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spgl-my.sharepoint.com/personal/derek_ding_spglobal_com/Documents/_Home/DEREK/S&amp;P Work/C&amp;G Model Governance Feb 2017/RS-INS-GLB-D-1125 Insurer Risk-Based Capital/V003/"/>
    </mc:Choice>
  </mc:AlternateContent>
  <xr:revisionPtr revIDLastSave="0" documentId="13_ncr:1_{22E86142-88F8-4805-A549-351DC32571C2}" xr6:coauthVersionLast="47" xr6:coauthVersionMax="47" xr10:uidLastSave="{00000000-0000-0000-0000-000000000000}"/>
  <bookViews>
    <workbookView xWindow="-110" yWindow="-110" windowWidth="19420" windowHeight="10300" firstSheet="1" activeTab="1" xr2:uid="{2783CC7B-4149-4854-8631-4158F6284071}"/>
  </bookViews>
  <sheets>
    <sheet name="S&amp;P Only" sheetId="38" r:id="rId1"/>
    <sheet name="Disclaimer" sheetId="37" r:id="rId2"/>
    <sheet name="Input" sheetId="1" r:id="rId3"/>
    <sheet name="Adjustment" sheetId="29" r:id="rId4"/>
    <sheet name="Output" sheetId="10" r:id="rId5"/>
    <sheet name="TAC" sheetId="19" r:id="rId6"/>
    <sheet name="Asset Risk" sheetId="4" r:id="rId7"/>
    <sheet name="Nat Cat Risk" sheetId="31" r:id="rId8"/>
    <sheet name="Non-Life Risk" sheetId="20" r:id="rId9"/>
    <sheet name="Life Risk" sheetId="26" r:id="rId10"/>
    <sheet name="Interest Rate Risk" sheetId="7" r:id="rId11"/>
    <sheet name="Diversification" sheetId="27" r:id="rId12"/>
    <sheet name="Risk Charges" sheetId="5" r:id="rId13"/>
    <sheet name="Lists" sheetId="21" state="hidden" r:id="rId14"/>
    <sheet name="Countries" sheetId="8" state="hidden" r:id="rId15"/>
    <sheet name="Currencies" sheetId="30" state="hidden" r:id="rId16"/>
    <sheet name="Data storage" sheetId="39" state="veryHidden" r:id="rId17"/>
    <sheet name="Step 4 bond aggregation" sheetId="3" state="hidden" r:id="rId18"/>
    <sheet name="Raw Data" sheetId="32" state="hidden" r:id="rId19"/>
    <sheet name="Processed Data" sheetId="33" state="hidden" r:id="rId20"/>
    <sheet name="Data storage - Outputs" sheetId="40" state="hidden" r:id="rId21"/>
    <sheet name="Default Values" sheetId="34" state="hidden" r:id="rId22"/>
  </sheets>
  <functionGroups builtInGroupCount="19"/>
  <definedNames>
    <definedName name="_xlnm._FilterDatabase" localSheetId="14" hidden="1">Countries!$B$2:$G$199</definedName>
    <definedName name="_xlnm._FilterDatabase" localSheetId="19" hidden="1">'Processed Data'!$A$2:$Q$2954</definedName>
    <definedName name="_xlnm._FilterDatabase" localSheetId="18" hidden="1">'Raw Data'!$A$3:$H$1389</definedName>
    <definedName name="_xlchart.v5.0" hidden="1">Output!$C$160:$C$174</definedName>
    <definedName name="_xlchart.v5.1" hidden="1">Output!$D$160:$D$174</definedName>
    <definedName name="base_url_dev">'Data storage'!$A$14</definedName>
    <definedName name="base_url_prod">'Data storage'!$A$16</definedName>
    <definedName name="bond_wam">'Interest Rate Risk'!$H$35</definedName>
    <definedName name="calc_ir_in_step_1">'Interest Rate Risk'!$E$40</definedName>
    <definedName name="calc_ir_in_step_1a">'Interest Rate Risk'!$F$40</definedName>
    <definedName name="calc_ir_in_step_1b">'Interest Rate Risk'!$G$40</definedName>
    <definedName name="calc_ir_in_step_2">'Interest Rate Risk'!$H$40</definedName>
    <definedName name="calc_tac_non_life_resv_disc_adj">TAC!$F$13</definedName>
    <definedName name="calc_urgl">Input!$L$351</definedName>
    <definedName name="CIQWBGuid" hidden="1">"SP_Ins_Capital_Model_v3.0_EMEA_unprotected.xls"</definedName>
    <definedName name="default_val_dest_addr">'Default Values'!$H$2</definedName>
    <definedName name="default_val_value">'Default Values'!$I$2</definedName>
    <definedName name="downloaded_fx_rate">'Data storage'!$W$1:$X$1</definedName>
    <definedName name="downloaded_fx_rate2">'Data storage'!$Z$1:$AA$1</definedName>
    <definedName name="downloaded_fx_rate3">'Data storage'!$AC$1:$AG$1</definedName>
    <definedName name="duration_mismatch_bespoke">Input!$G$838</definedName>
    <definedName name="entities_service">'Data storage'!$B$2</definedName>
    <definedName name="entities_url">'Data storage'!$B$4</definedName>
    <definedName name="Error_Check_Precision">Lists!$X$3</definedName>
    <definedName name="Error_Message">Lists!$P$3</definedName>
    <definedName name="exchange_rates_service">'Data storage'!$V$2</definedName>
    <definedName name="exchange_rates_service2">'Data storage'!$Y$2</definedName>
    <definedName name="exchange_rates_service3">'Data storage'!$AB$2</definedName>
    <definedName name="fx_rates_url">'Data storage'!$V$4</definedName>
    <definedName name="fx_rates_url2">'Data storage'!$Y$4</definedName>
    <definedName name="fx_rates_url3">'Data storage'!$AB$4</definedName>
    <definedName name="init_service">'Data storage'!$M$2</definedName>
    <definedName name="init_url">'Data storage'!$M$4</definedName>
    <definedName name="inp_appl_tax_rate">Input!$F$39</definedName>
    <definedName name="inp_domicile">Input!$L$11</definedName>
    <definedName name="inp_entity_id">'S&amp;P Only'!$K$33</definedName>
    <definedName name="inp_entity_name">Input!$F$10</definedName>
    <definedName name="inp_erg_adj_corp">Input!$C$314:$L$314</definedName>
    <definedName name="inp_erg_adj_fin">Input!$C$318:$L$318</definedName>
    <definedName name="inp_erg_adj_sf_junior">Input!$C$334:$L$334</definedName>
    <definedName name="inp_erg_adj_sf_mezz">Input!$C$330:$L$330</definedName>
    <definedName name="inp_erg_adj_sf_senior">Input!$C$326:$L$326</definedName>
    <definedName name="inp_erg_adj_sov">Input!$C$322:$L$322</definedName>
    <definedName name="inp_ir_exposure_to_fx">Input!$G$858</definedName>
    <definedName name="inp_ir_mismatch_directiion_bespoke">Input!$G$845</definedName>
    <definedName name="inp_ir_mismatch_directiion_life">Input!$G$847</definedName>
    <definedName name="inp_ir_mismatch_directiion_non_life">Input!$H$847</definedName>
    <definedName name="inp_is_nat_cat_prem_removed">Input!$K$568</definedName>
    <definedName name="inp_long_reserve_cl">Input!$F$772</definedName>
    <definedName name="inp_ltc_non_us_liabilities">Input!$F$758</definedName>
    <definedName name="inp_ltc_us_active_life_reserves">Input!$F$763</definedName>
    <definedName name="inp_ltc_us_claims_reserves">Input!$F$762</definedName>
    <definedName name="inp_mi_upr_earn_pattern">Input!$I$697</definedName>
    <definedName name="inp_nat_cat_aal">Input!$F$714</definedName>
    <definedName name="inp_nat_cat_cl_99_5_charge">Input!$F$716</definedName>
    <definedName name="inp_nat_cat_is_aep_curve_available">Input!$F$703</definedName>
    <definedName name="inp_net_aging_reserves">Input!$F$831</definedName>
    <definedName name="inp_oth_life_linked_bus_with_guarantee">Input!$F$794</definedName>
    <definedName name="inp_oth_life_linked_bus_wo_guarantee">Input!$F$795</definedName>
    <definedName name="inp_region">Input!$J$11</definedName>
    <definedName name="inp_reins_recov_rtg_adj">Input!$C$685</definedName>
    <definedName name="inp_reporting_year">Input!$F$13</definedName>
    <definedName name="inp_scenario">Input!$H$13</definedName>
    <definedName name="inp_sector">Input!$L$12</definedName>
    <definedName name="inp_summary_currency">Input!$F$12</definedName>
    <definedName name="inp_summary_review_type">Input!$H$11</definedName>
    <definedName name="inp_summary_units">Input!$J$12</definedName>
    <definedName name="inp_summary_usd_fx">Input!$H$12</definedName>
    <definedName name="inp_tac_adj_life_resv_oth_eqty_like">Input!$F$50</definedName>
    <definedName name="inp_tac_adj_life_resv_valuation">Input!$F$51</definedName>
    <definedName name="inp_tac_adj_life_resv_vif_off_bal">Input!$F$48</definedName>
    <definedName name="inp_tac_adj_non_life_resv_disc_on_bal">Input!$F$38</definedName>
    <definedName name="inp_tac_adj_non_life_resv_not_disc_on_bal">Input!$F$37</definedName>
    <definedName name="inp_tac_adj_non_life_resv_surplus_not_disc">Input!$F$43</definedName>
    <definedName name="inp_tac_is_debt_eligible">Input!$F$63</definedName>
    <definedName name="inp_tac_policyholder_cptl">Input!$F$53</definedName>
    <definedName name="inp_tac_urg_on_invest">Input!$F$55</definedName>
    <definedName name="inp_year_end">Input!$F$11</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CAPEX_BR" hidden="1">"c111"</definedName>
    <definedName name="IQ_CH" hidden="1">110000</definedName>
    <definedName name="IQ_CHANGE_AP_BR" hidden="1">"c135"</definedName>
    <definedName name="IQ_CHANGE_AR_BR" hidden="1">"c142"</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ONV_RATE" hidden="1">"c2192"</definedName>
    <definedName name="IQ_CQ" hidden="1">5000</definedName>
    <definedName name="IQ_CURRENCY_GAIN_BR" hidden="1">"c236"</definedName>
    <definedName name="IQ_CURRENT_PORT_DEBT_BR" hidden="1">"c1567"</definedName>
    <definedName name="IQ_CY" hidden="1">10000</definedName>
    <definedName name="IQ_DA_BR" hidden="1">"c248"</definedName>
    <definedName name="IQ_DA_CF_BR" hidden="1">"c251"</definedName>
    <definedName name="IQ_DA_SUPPL_BR" hidden="1">"c260"</definedName>
    <definedName name="IQ_DA_SUPPL_CF_BR" hidden="1">"c263"</definedName>
    <definedName name="IQ_DAILY" hidden="1">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T_BR" hidden="1">"c378"</definedName>
    <definedName name="IQ_EBT_EXCL_BR" hidden="1">"c381"</definedName>
    <definedName name="IQ_EXTRA_ACC_ITEMS_BR" hidden="1">"c412"</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VEST_LOANS_CF_BR" hidden="1">"c630"</definedName>
    <definedName name="IQ_INVEST_SECURITY_CF_BR" hidden="1">"c639"</definedName>
    <definedName name="IQ_LATESTK" hidden="1">1000</definedName>
    <definedName name="IQ_LATESTQ" hidden="1">500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 hidden="1">2000</definedName>
    <definedName name="IQ_LTMMONTH" hidden="1">120000</definedName>
    <definedName name="IQ_MERGER_BR" hidden="1">"c715"</definedName>
    <definedName name="IQ_MERGER_RESTRUCTURE_BR" hidden="1">"c721"</definedName>
    <definedName name="IQ_MINORITY_INTEREST_BR" hidden="1">"c729"</definedName>
    <definedName name="IQ_MONTH" hidden="1">15000</definedName>
    <definedName name="IQ_MTD" hidden="1">800000</definedName>
    <definedName name="IQ_NAMES_REVISION_DATE_" hidden="1">42434.3333912037</definedName>
    <definedName name="IQ_NET_DEBT_ISSUED_BR" hidden="1">"c753"</definedName>
    <definedName name="IQ_NET_INT_INC_BR" hidden="1">"c765"</definedName>
    <definedName name="IQ_NTM" hidden="1">6000</definedName>
    <definedName name="IQ_OG_TOTAL_OIL_PRODUCTON" hidden="1">"c2059"</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REF_ISSUED_BR" hidden="1">"c1047"</definedName>
    <definedName name="IQ_PREF_OTHER_BR" hidden="1">"c1055"</definedName>
    <definedName name="IQ_PREF_REP_BR" hidden="1">"c1062"</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REV_BR" hidden="1">"c1303"</definedName>
    <definedName name="IQ_TREASURY_OTHER_EQUITY_BR" hidden="1">"c1314"</definedName>
    <definedName name="IQ_UNEARN_REV_CURRENT_BR" hidden="1">"c1324"</definedName>
    <definedName name="IQ_WEEK" hidden="1">50000</definedName>
    <definedName name="IQ_YTD" hidden="1">3000</definedName>
    <definedName name="IQ_YTDMONTH" hidden="1">130000</definedName>
    <definedName name="lov_adjustment_types">Lists!$L$3:$L$37</definedName>
    <definedName name="lov_bond_sectors">Lists!$B$3:$B$8</definedName>
    <definedName name="lov_countries">Countries!$E$3:$E$199</definedName>
    <definedName name="lov_currencies">Currencies!$B$3:$B$164</definedName>
    <definedName name="lov_domicile_countries">Countries!$J$3:$J$200</definedName>
    <definedName name="lov_dur_mismtch_direction">Lists!$T$3:$T$5</definedName>
    <definedName name="lov_duration_mismatch_groups">Lists!$V$3:$V$8</definedName>
    <definedName name="lov_entities">'Data storage'!$C$1:$C$1000</definedName>
    <definedName name="lov_erg_mapped_rtg">Lists!$E$3:$E$9</definedName>
    <definedName name="lov_erg_rtg_map_adj">Lists!$G$3:$G$5</definedName>
    <definedName name="lov_file_versions">'Data storage'!$I$1:$I$1000</definedName>
    <definedName name="lov_ins_sectors">Lists!$O$3:$O$10</definedName>
    <definedName name="lov_ir_bespoke_duration_mismatch">Lists!$AA$3:$AA$5</definedName>
    <definedName name="lov_ir_categories">Lists!$U$3:$U$7</definedName>
    <definedName name="lov_ir_exposure_ctg_inp">Lists!$R$3:$R$6</definedName>
    <definedName name="lov_ir_exposure_ctg_life">Lists!$S$3:$S$6</definedName>
    <definedName name="lov_ir_risk_by_country">Countries!$E$3:$G$199</definedName>
    <definedName name="lov_long_reserve_cl">Lists!$Z$3:$Z$6</definedName>
    <definedName name="lov_nat_cat_aep_oep">Lists!$Y$3:$Y$5</definedName>
    <definedName name="lov_non_blank_entities">'Data storage'!$AM$2</definedName>
    <definedName name="lov_non_blank_file_versions">'Data storage'!$AP$2</definedName>
    <definedName name="lov_non_blank_reference_entities">'Data storage'!$AQ$2</definedName>
    <definedName name="lov_non_blank_scenarios">'Data storage'!$AO$2</definedName>
    <definedName name="lov_non_blank_years">'Data storage'!$AN$2</definedName>
    <definedName name="lov_recovery_levels">Lists!$C$3:$C$6</definedName>
    <definedName name="lov_reference_entities">'Data storage'!$P$1:$P$20000</definedName>
    <definedName name="lov_regions">Lists!$N$3:$N$6</definedName>
    <definedName name="lov_reporting_years">Lists!$W$3:$W$25</definedName>
    <definedName name="lov_resinsurer_rtg">Lists!$F$3:$F$9</definedName>
    <definedName name="lov_review_type">Lists!$J$3:$J$5</definedName>
    <definedName name="lov_rtg_categories">Lists!$D$3:$D$9</definedName>
    <definedName name="lov_scenarios">'Data storage'!$G$1:$G$1000</definedName>
    <definedName name="lov_tac_adjustment_types">Lists!$M$3:$M$4</definedName>
    <definedName name="lov_term_buckets">Lists!$I$3:$I$7</definedName>
    <definedName name="lov_units">Lists!$K$3:$K$6</definedName>
    <definedName name="lov_years">'Data storage'!$E$1:$E$1000</definedName>
    <definedName name="lov_yes_no">Lists!$Q$3:$Q$4</definedName>
    <definedName name="model_data_service">'Data storage'!$K$2</definedName>
    <definedName name="model_data_service2">'Data storage'!$L$2</definedName>
    <definedName name="model_data_url">'Data storage'!$K$4</definedName>
    <definedName name="model_data_url2">'Data storage'!$L$4</definedName>
    <definedName name="model_id">'Data storage'!$A$8</definedName>
    <definedName name="model_version">'Data storage'!$A$10</definedName>
    <definedName name="num_mnemonics_returned">'Raw Data'!$B$1</definedName>
    <definedName name="num_mnemonics_success">'Raw Data'!$B$2</definedName>
    <definedName name="out_key_1">'Data storage - Outputs'!$I$2</definedName>
    <definedName name="out_key_2">'Data storage - Outputs'!$R$2</definedName>
    <definedName name="out_key_3">'Data storage - Outputs'!$W$2</definedName>
    <definedName name="out_key_4">'Data storage - Outputs'!$AB$2</definedName>
    <definedName name="out_section_asset_risk">Output!$B$34</definedName>
    <definedName name="out_section_diversification">Output!$B$134</definedName>
    <definedName name="out_section_diversified">Output!$B$148</definedName>
    <definedName name="out_section_liability_risk">Output!$B$63</definedName>
    <definedName name="out_section_summary">Output!$B$7</definedName>
    <definedName name="out_section_tac">Output!$B$15</definedName>
    <definedName name="out_table_top_left">'Data storage - Outputs'!$B$2</definedName>
    <definedName name="out_tac">Output!$H$31</definedName>
    <definedName name="out_target_capital_div_99_99">Output!$H$156</definedName>
    <definedName name="out_value_1">'Data storage - Outputs'!$P$2</definedName>
    <definedName name="out_value_2">'Data storage - Outputs'!$U$2</definedName>
    <definedName name="out_value_3">'Data storage - Outputs'!$Z$2</definedName>
    <definedName name="out_value_4">'Data storage - Outputs'!$AE$2</definedName>
    <definedName name="prompt_save_draft">'S&amp;P Only'!$C$43</definedName>
    <definedName name="prompt_save_final">'S&amp;P Only'!$C$49</definedName>
    <definedName name="record_status">'Data storage'!$A$12</definedName>
    <definedName name="reference_entities_service">'Data storage'!$O$2</definedName>
    <definedName name="reference_entities_url">'Data storage'!$O$4</definedName>
    <definedName name="request_headers_output">'Data storage'!$AJ$1</definedName>
    <definedName name="request_headers_service">'Data storage'!$AI$2</definedName>
    <definedName name="request_headers_url">'Data storage'!$AI$4</definedName>
    <definedName name="save_service">'Data storage'!$N$2</definedName>
    <definedName name="save_url">'Data storage'!$N$4</definedName>
    <definedName name="scenarios_service">'Data storage'!$F$2</definedName>
    <definedName name="scenarios_url">'Data storage'!$F$4</definedName>
    <definedName name="section_additional_information">Input!$B$899</definedName>
    <definedName name="section_adj_ace_tac">Adjustment!$B$27</definedName>
    <definedName name="section_adj_req_capital">Adjustment!$B$2</definedName>
    <definedName name="section_bonds_sp_rated">Input!$B$79</definedName>
    <definedName name="section_bonds_sp_unrated_step_2_3">Input!$B$118</definedName>
    <definedName name="section_bonds_sp_unrated_step_4">Input!$B$187</definedName>
    <definedName name="section_equity">Input!$B$343</definedName>
    <definedName name="section_erg_to_rtg_map">Input!$B$309</definedName>
    <definedName name="section_german_health">Input!$B$829</definedName>
    <definedName name="section_interest_rate">Input!$B$836</definedName>
    <definedName name="section_longevity">Input!$B$766</definedName>
    <definedName name="section_morbidity_ci">Input!$B$732</definedName>
    <definedName name="section_morbidity_disability">Input!$B$739</definedName>
    <definedName name="section_morbidity_ltc">Input!$B$755</definedName>
    <definedName name="section_mort_and_pandemic">Input!$B$721</definedName>
    <definedName name="section_mortgage_insurance">Input!$B$693</definedName>
    <definedName name="section_natural_catastrophe">Input!$B$701</definedName>
    <definedName name="section_non_invested_assets">Input!$B$395</definedName>
    <definedName name="section_non_life_prem">Input!$B$437</definedName>
    <definedName name="section_non_life_resv">Input!$B$571</definedName>
    <definedName name="section_other_invested_assets">Input!$B$365</definedName>
    <definedName name="section_other_life">Input!$B$777</definedName>
    <definedName name="section_real_estate">Input!$B$354</definedName>
    <definedName name="section_ring_fenced_funds">Input!$B$820</definedName>
    <definedName name="section_sp_internal">Input!$B$4:$B$7</definedName>
    <definedName name="section_summary">Input!$B$8</definedName>
    <definedName name="section_tac">Input!$B$15</definedName>
    <definedName name="section_variable_annuities">Input!$B$807</definedName>
    <definedName name="selected_domicile">'S&amp;P Only'!$N$13</definedName>
    <definedName name="selected_entity">'S&amp;P Only'!$F$12</definedName>
    <definedName name="selected_file_version">'S&amp;P Only'!$F$21</definedName>
    <definedName name="selected_key">'S&amp;P Only'!$K$21</definedName>
    <definedName name="selected_my_records_only">'S&amp;P Only'!$K$13</definedName>
    <definedName name="selected_naic_code">'S&amp;P Only'!$F$7</definedName>
    <definedName name="selected_partial_name">'S&amp;P Only'!$K$12</definedName>
    <definedName name="selected_reference_entity">'S&amp;P Only'!$F$27</definedName>
    <definedName name="selected_reference_partial_analyst_name">'S&amp;P Only'!$K$28</definedName>
    <definedName name="selected_reference_partial_entity_name">'S&amp;P Only'!$K$27</definedName>
    <definedName name="selected_reporting_year">'S&amp;P Only'!$H$7</definedName>
    <definedName name="selected_reporting_year2">'S&amp;P Only'!$F$15</definedName>
    <definedName name="selected_scenario">'S&amp;P Only'!$F$18</definedName>
    <definedName name="selected_sector">'S&amp;P Only'!$N$12</definedName>
    <definedName name="server_address">'Data storage'!$A$2</definedName>
    <definedName name="service_host">'Raw Data'!$M$2</definedName>
    <definedName name="service1_full_url">'Raw Data'!$M$16</definedName>
    <definedName name="service1_path">'Raw Data'!$M$6</definedName>
    <definedName name="service2_full_url">'Raw Data'!$M$22</definedName>
    <definedName name="service2_path">'Raw Data'!$M$19</definedName>
    <definedName name="stress_levels">'Risk Charges'!$D$2:$G$2</definedName>
    <definedName name="survey_data_dest_addr">'Processed Data'!$M$2</definedName>
    <definedName name="survey_data_error_code">'Processed Data'!$N$2</definedName>
    <definedName name="survey_data_from_api">'Raw Data'!$A$4:$H$5000</definedName>
    <definedName name="survey_data_value">'Processed Data'!$O$2</definedName>
    <definedName name="table_model_data">'Processed Data'!$A$2</definedName>
    <definedName name="table_reference_entities">'Data storage'!$P$1:$U$20000</definedName>
    <definedName name="table_request_headers">'Data storage'!$AJ$1:$AK$100</definedName>
    <definedName name="table_versions">'Data storage'!$I$1:$J$1000</definedName>
    <definedName name="total_bonds">'Interest Rate Risk'!$F$35</definedName>
    <definedName name="total_bonds_steps_2_3">'Asset Risk'!$O$107</definedName>
    <definedName name="total_equity">'Asset Risk'!$I$150</definedName>
    <definedName name="total_invested_assets">Input!$J$392</definedName>
    <definedName name="total_ir_exposure_life">Input!$F$853</definedName>
    <definedName name="total_ir_exposure_non_life">Input!$F$854</definedName>
    <definedName name="total_life_reserves">Input!$I$802</definedName>
    <definedName name="total_mortgages">'Asset Risk'!$D$187</definedName>
    <definedName name="total_net_reinsurance_recoverables">'Asset Risk'!$B$183</definedName>
    <definedName name="total_non_invested_assets">Input!$Q$395</definedName>
    <definedName name="total_other_invested_assets">'Asset Risk'!$I$213</definedName>
    <definedName name="total_property">'Asset Risk'!$I$161</definedName>
    <definedName name="total_rated_bonds">'Asset Risk'!$D$107</definedName>
    <definedName name="versions_service">'Data storage'!$H$2</definedName>
    <definedName name="versions_url">'Data storage'!$H$4</definedName>
    <definedName name="years_service">'Data storage'!$D$2</definedName>
    <definedName name="years_url">'Data storage'!$D$4</definedName>
    <definedName name="Z_2FCE2DA2_1935_11D5_9846_444553540000_.wvu.Rows" localSheetId="5" hidden="1">TAC!#REF!</definedName>
    <definedName name="Z_6479977F_E9AE_11D5_B77F_00C04F1F99A9_.wvu.PrintTitles" localSheetId="5" hidden="1">TAC!$1:$4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10" l="1"/>
  <c r="G2" i="37" l="1"/>
  <c r="A2" i="39"/>
  <c r="E8" i="1"/>
  <c r="L351" i="1"/>
  <c r="F42" i="19"/>
  <c r="V7" i="20" l="1"/>
  <c r="V6" i="20"/>
  <c r="M1766" i="33"/>
  <c r="F1766" i="33"/>
  <c r="H22" i="34"/>
  <c r="F22" i="34"/>
  <c r="G856" i="1"/>
  <c r="G855" i="1"/>
  <c r="D21" i="19"/>
  <c r="F2356" i="33"/>
  <c r="F46" i="33"/>
  <c r="F70" i="1"/>
  <c r="I802" i="1"/>
  <c r="D126" i="26" s="1"/>
  <c r="D127" i="26" s="1"/>
  <c r="E480" i="1"/>
  <c r="E633" i="1"/>
  <c r="T349" i="1"/>
  <c r="F15" i="31"/>
  <c r="L1231" i="33"/>
  <c r="F1231" i="33"/>
  <c r="F1230" i="33"/>
  <c r="D154" i="4"/>
  <c r="E154" i="4"/>
  <c r="F154" i="4"/>
  <c r="G154" i="4"/>
  <c r="D155" i="4"/>
  <c r="E155" i="4"/>
  <c r="F155" i="4"/>
  <c r="G155" i="4"/>
  <c r="I150" i="4"/>
  <c r="Q343" i="1"/>
  <c r="Y707" i="1"/>
  <c r="Y711" i="1"/>
  <c r="Y710" i="1"/>
  <c r="Y709" i="1"/>
  <c r="Y708" i="1"/>
  <c r="Y706" i="1"/>
  <c r="W712" i="1"/>
  <c r="V712" i="1"/>
  <c r="U712" i="1"/>
  <c r="T712" i="1"/>
  <c r="P899" i="1"/>
  <c r="Q836" i="1"/>
  <c r="D19" i="19"/>
  <c r="E18" i="19"/>
  <c r="D18" i="19"/>
  <c r="P1766" i="33" a="1"/>
  <c r="Y712" i="1" l="1" a="1"/>
  <c r="Y712" i="1" s="1"/>
  <c r="P1766" i="33"/>
  <c r="G853" i="1"/>
  <c r="S713" i="1"/>
  <c r="X712" i="1" a="1"/>
  <c r="X712" i="1" s="1"/>
  <c r="AE89" i="7"/>
  <c r="T863" i="1"/>
  <c r="T864" i="1"/>
  <c r="T865" i="1"/>
  <c r="K865" i="1" s="1"/>
  <c r="T866" i="1"/>
  <c r="K866" i="1" s="1"/>
  <c r="T867" i="1"/>
  <c r="AE59" i="7" s="1"/>
  <c r="T868" i="1"/>
  <c r="AE60" i="7" s="1"/>
  <c r="T869" i="1"/>
  <c r="AE61" i="7" s="1"/>
  <c r="T870" i="1"/>
  <c r="M870" i="1" s="1"/>
  <c r="T871" i="1"/>
  <c r="T872" i="1"/>
  <c r="T873" i="1"/>
  <c r="K873" i="1" s="1"/>
  <c r="T874" i="1"/>
  <c r="K874" i="1" s="1"/>
  <c r="T875" i="1"/>
  <c r="AE67" i="7" s="1"/>
  <c r="T876" i="1"/>
  <c r="AE68" i="7" s="1"/>
  <c r="T877" i="1"/>
  <c r="AE69" i="7" s="1"/>
  <c r="T878" i="1"/>
  <c r="M878" i="1" s="1"/>
  <c r="T879" i="1"/>
  <c r="M879" i="1" s="1"/>
  <c r="T880" i="1"/>
  <c r="M880" i="1" s="1"/>
  <c r="T881" i="1"/>
  <c r="K881" i="1" s="1"/>
  <c r="T882" i="1"/>
  <c r="K882" i="1" s="1"/>
  <c r="T883" i="1"/>
  <c r="AE75" i="7" s="1"/>
  <c r="T884" i="1"/>
  <c r="AE76" i="7" s="1"/>
  <c r="T885" i="1"/>
  <c r="AE77" i="7" s="1"/>
  <c r="T886" i="1"/>
  <c r="M886" i="1" s="1"/>
  <c r="T887" i="1"/>
  <c r="M887" i="1" s="1"/>
  <c r="T888" i="1"/>
  <c r="M888" i="1" s="1"/>
  <c r="T889" i="1"/>
  <c r="K889" i="1" s="1"/>
  <c r="T890" i="1"/>
  <c r="K890" i="1" s="1"/>
  <c r="T891" i="1"/>
  <c r="AE83" i="7" s="1"/>
  <c r="T892" i="1"/>
  <c r="AE84" i="7" s="1"/>
  <c r="T893" i="1"/>
  <c r="AE85" i="7" s="1"/>
  <c r="T894" i="1"/>
  <c r="M894" i="1" s="1"/>
  <c r="T895" i="1"/>
  <c r="M895" i="1" s="1"/>
  <c r="T896" i="1"/>
  <c r="M896" i="1" s="1"/>
  <c r="F2915" i="33"/>
  <c r="E852" i="1"/>
  <c r="E853" i="1"/>
  <c r="E854" i="1"/>
  <c r="E855" i="1"/>
  <c r="E856" i="1"/>
  <c r="S712" i="1" l="1"/>
  <c r="AE78" i="7"/>
  <c r="M889" i="1"/>
  <c r="K867" i="1"/>
  <c r="M867" i="1" s="1"/>
  <c r="K875" i="1"/>
  <c r="AE62" i="7"/>
  <c r="K883" i="1"/>
  <c r="AE70" i="7"/>
  <c r="K891" i="1"/>
  <c r="M865" i="1"/>
  <c r="AE86" i="7"/>
  <c r="M873" i="1"/>
  <c r="M881" i="1"/>
  <c r="K868" i="1"/>
  <c r="M868" i="1" s="1"/>
  <c r="K876" i="1"/>
  <c r="K884" i="1"/>
  <c r="K892" i="1"/>
  <c r="M866" i="1"/>
  <c r="M874" i="1"/>
  <c r="M882" i="1"/>
  <c r="M890" i="1"/>
  <c r="AE55" i="7"/>
  <c r="AE63" i="7"/>
  <c r="AE71" i="7"/>
  <c r="AE79" i="7"/>
  <c r="AE87" i="7"/>
  <c r="K869" i="1"/>
  <c r="M869" i="1" s="1"/>
  <c r="K877" i="1"/>
  <c r="K885" i="1"/>
  <c r="K893" i="1"/>
  <c r="M875" i="1"/>
  <c r="M883" i="1"/>
  <c r="M891" i="1"/>
  <c r="AE56" i="7"/>
  <c r="AE64" i="7"/>
  <c r="AE72" i="7"/>
  <c r="AE80" i="7"/>
  <c r="AE88" i="7"/>
  <c r="K870" i="1"/>
  <c r="K878" i="1"/>
  <c r="K886" i="1"/>
  <c r="K894" i="1"/>
  <c r="M876" i="1"/>
  <c r="M884" i="1"/>
  <c r="M892" i="1"/>
  <c r="AE57" i="7"/>
  <c r="AE65" i="7"/>
  <c r="AE73" i="7"/>
  <c r="AE81" i="7"/>
  <c r="K863" i="1"/>
  <c r="M863" i="1" s="1"/>
  <c r="K871" i="1"/>
  <c r="M871" i="1" s="1"/>
  <c r="K879" i="1"/>
  <c r="K887" i="1"/>
  <c r="K895" i="1"/>
  <c r="M877" i="1"/>
  <c r="M885" i="1"/>
  <c r="M893" i="1"/>
  <c r="AE58" i="7"/>
  <c r="AE66" i="7"/>
  <c r="AE74" i="7"/>
  <c r="AE82" i="7"/>
  <c r="K864" i="1"/>
  <c r="M864" i="1" s="1"/>
  <c r="K872" i="1"/>
  <c r="M872" i="1" s="1"/>
  <c r="K880" i="1"/>
  <c r="K888" i="1"/>
  <c r="K896" i="1"/>
  <c r="F1794" i="33"/>
  <c r="G29" i="31"/>
  <c r="G32" i="31" s="1"/>
  <c r="AB15" i="40"/>
  <c r="W15" i="40"/>
  <c r="R15" i="40"/>
  <c r="F1865" i="33"/>
  <c r="F1864" i="33"/>
  <c r="F1863" i="33"/>
  <c r="F1862" i="33"/>
  <c r="H14" i="34"/>
  <c r="F14" i="34"/>
  <c r="F2954" i="33"/>
  <c r="F2953" i="33"/>
  <c r="F2952" i="33"/>
  <c r="F2951" i="33"/>
  <c r="F2950" i="33"/>
  <c r="F2949" i="33"/>
  <c r="F2948" i="33"/>
  <c r="F2947" i="33"/>
  <c r="F2946" i="33"/>
  <c r="F2945" i="33"/>
  <c r="F2944" i="33"/>
  <c r="F2943" i="33"/>
  <c r="F2942" i="33"/>
  <c r="F2941" i="33"/>
  <c r="F2940" i="33"/>
  <c r="F2939" i="33"/>
  <c r="F2938" i="33"/>
  <c r="F2937" i="33"/>
  <c r="F2936" i="33"/>
  <c r="F2935" i="33"/>
  <c r="F2934" i="33"/>
  <c r="F2933" i="33"/>
  <c r="F2932" i="33"/>
  <c r="F2931" i="33"/>
  <c r="F2930" i="33"/>
  <c r="F2929" i="33"/>
  <c r="F2928" i="33"/>
  <c r="F2927" i="33"/>
  <c r="F2926" i="33"/>
  <c r="F2925" i="33"/>
  <c r="F2924" i="33"/>
  <c r="F2923" i="33"/>
  <c r="F2922" i="33"/>
  <c r="F2921" i="33"/>
  <c r="F2920" i="33"/>
  <c r="F2919" i="33"/>
  <c r="F2918" i="33"/>
  <c r="F2917" i="33"/>
  <c r="F2916" i="33"/>
  <c r="F2914" i="33"/>
  <c r="F2913" i="33"/>
  <c r="F2912" i="33"/>
  <c r="F2911" i="33"/>
  <c r="F2910" i="33"/>
  <c r="F2909" i="33"/>
  <c r="F2908" i="33"/>
  <c r="F2907" i="33"/>
  <c r="F2906" i="33"/>
  <c r="F2905" i="33"/>
  <c r="F2904" i="33"/>
  <c r="F2903" i="33"/>
  <c r="F2902" i="33"/>
  <c r="F2901" i="33"/>
  <c r="F2900" i="33"/>
  <c r="F2899" i="33"/>
  <c r="F2898" i="33"/>
  <c r="F2897" i="33"/>
  <c r="F2896" i="33"/>
  <c r="F2895" i="33"/>
  <c r="F2894" i="33"/>
  <c r="F2893" i="33"/>
  <c r="F2892" i="33"/>
  <c r="F2891" i="33"/>
  <c r="F2890" i="33"/>
  <c r="F2889" i="33"/>
  <c r="F2888" i="33"/>
  <c r="F2887" i="33"/>
  <c r="F2886" i="33"/>
  <c r="F2885" i="33"/>
  <c r="F2884" i="33"/>
  <c r="F2883" i="33"/>
  <c r="F2882" i="33"/>
  <c r="F2881" i="33"/>
  <c r="F2880" i="33"/>
  <c r="F2879" i="33"/>
  <c r="F2878" i="33"/>
  <c r="F2877" i="33"/>
  <c r="F2876" i="33"/>
  <c r="F2875" i="33"/>
  <c r="F2874" i="33"/>
  <c r="F2873" i="33"/>
  <c r="F2872" i="33"/>
  <c r="F2871" i="33"/>
  <c r="F2870" i="33"/>
  <c r="F2869" i="33"/>
  <c r="F2868" i="33"/>
  <c r="F2867" i="33"/>
  <c r="F2866" i="33"/>
  <c r="F2865" i="33"/>
  <c r="F2864" i="33"/>
  <c r="F2863" i="33"/>
  <c r="F2862" i="33"/>
  <c r="F2861" i="33"/>
  <c r="F2860" i="33"/>
  <c r="F2859" i="33"/>
  <c r="F2858" i="33"/>
  <c r="F2857" i="33"/>
  <c r="F2856" i="33"/>
  <c r="F2855" i="33"/>
  <c r="F2854" i="33"/>
  <c r="F2853" i="33"/>
  <c r="F2852" i="33"/>
  <c r="F2851" i="33"/>
  <c r="F2850" i="33"/>
  <c r="F2849" i="33"/>
  <c r="F2848" i="33"/>
  <c r="F2847" i="33"/>
  <c r="F2846" i="33"/>
  <c r="F2845" i="33"/>
  <c r="F2844" i="33"/>
  <c r="F2843" i="33"/>
  <c r="F2842" i="33"/>
  <c r="F2841" i="33"/>
  <c r="F2840" i="33"/>
  <c r="F2839" i="33"/>
  <c r="F2838" i="33"/>
  <c r="F2837" i="33"/>
  <c r="F2836" i="33"/>
  <c r="F2835" i="33"/>
  <c r="F2834" i="33"/>
  <c r="F2833" i="33"/>
  <c r="F2832" i="33"/>
  <c r="F2831" i="33"/>
  <c r="F2830" i="33"/>
  <c r="F2829" i="33"/>
  <c r="F2828" i="33"/>
  <c r="F2827" i="33"/>
  <c r="F2826" i="33"/>
  <c r="F2825" i="33"/>
  <c r="F2824" i="33"/>
  <c r="F2823" i="33"/>
  <c r="F2822" i="33"/>
  <c r="F2821" i="33"/>
  <c r="F2820" i="33"/>
  <c r="F2819" i="33"/>
  <c r="F2818" i="33"/>
  <c r="F2817" i="33"/>
  <c r="F2816" i="33"/>
  <c r="F2815" i="33"/>
  <c r="F2814" i="33"/>
  <c r="F2813" i="33"/>
  <c r="F2812" i="33"/>
  <c r="F2811" i="33"/>
  <c r="F2810" i="33"/>
  <c r="F2809" i="33"/>
  <c r="F2808" i="33"/>
  <c r="F2807" i="33"/>
  <c r="F2806" i="33"/>
  <c r="F2805" i="33"/>
  <c r="F2804" i="33"/>
  <c r="F2803" i="33"/>
  <c r="F2802" i="33"/>
  <c r="F2801" i="33"/>
  <c r="F2800" i="33"/>
  <c r="F2799" i="33"/>
  <c r="F2798" i="33"/>
  <c r="F2797" i="33"/>
  <c r="F2796" i="33"/>
  <c r="F2795" i="33"/>
  <c r="F2794" i="33"/>
  <c r="F2793" i="33"/>
  <c r="F2792" i="33"/>
  <c r="F2791" i="33"/>
  <c r="F2790" i="33"/>
  <c r="F2789" i="33"/>
  <c r="F2788" i="33"/>
  <c r="F2787" i="33"/>
  <c r="F2786" i="33"/>
  <c r="F2785" i="33"/>
  <c r="F2784" i="33"/>
  <c r="F2783" i="33"/>
  <c r="F2782" i="33"/>
  <c r="F2781" i="33"/>
  <c r="F2780" i="33"/>
  <c r="F2779" i="33"/>
  <c r="F2778" i="33"/>
  <c r="F2777" i="33"/>
  <c r="F2776" i="33"/>
  <c r="F2775" i="33"/>
  <c r="F2774" i="33"/>
  <c r="F2773" i="33"/>
  <c r="F2772" i="33"/>
  <c r="F2771" i="33"/>
  <c r="F2770" i="33"/>
  <c r="F2769" i="33"/>
  <c r="F2768" i="33"/>
  <c r="F2767" i="33"/>
  <c r="F2766" i="33"/>
  <c r="F2765" i="33"/>
  <c r="F2764" i="33"/>
  <c r="F2763" i="33"/>
  <c r="F2762" i="33"/>
  <c r="F2761" i="33"/>
  <c r="F2760" i="33"/>
  <c r="F2759" i="33"/>
  <c r="F2758" i="33"/>
  <c r="F2757" i="33"/>
  <c r="F2756" i="33"/>
  <c r="F2755" i="33"/>
  <c r="F2754" i="33"/>
  <c r="F2753" i="33"/>
  <c r="F2752" i="33"/>
  <c r="F2751" i="33"/>
  <c r="F2750" i="33"/>
  <c r="F2749" i="33"/>
  <c r="F2748" i="33"/>
  <c r="F2747" i="33"/>
  <c r="F2746" i="33"/>
  <c r="F2745" i="33"/>
  <c r="F2744" i="33"/>
  <c r="F2743" i="33"/>
  <c r="F2742" i="33"/>
  <c r="F2741" i="33"/>
  <c r="F2740" i="33"/>
  <c r="F2739" i="33"/>
  <c r="F2738" i="33"/>
  <c r="F2737" i="33"/>
  <c r="F2736" i="33"/>
  <c r="F2735" i="33"/>
  <c r="F2734" i="33"/>
  <c r="F2733" i="33"/>
  <c r="F2732" i="33"/>
  <c r="F2731" i="33"/>
  <c r="F2730" i="33"/>
  <c r="F2729" i="33"/>
  <c r="F2728" i="33"/>
  <c r="F2727" i="33"/>
  <c r="F2726" i="33"/>
  <c r="F2725" i="33"/>
  <c r="F2724" i="33"/>
  <c r="F2723" i="33"/>
  <c r="F2722" i="33"/>
  <c r="F2721" i="33"/>
  <c r="F2720" i="33"/>
  <c r="F2719" i="33"/>
  <c r="F2718" i="33"/>
  <c r="F2717" i="33"/>
  <c r="F2716" i="33"/>
  <c r="F2715" i="33"/>
  <c r="F2714" i="33"/>
  <c r="F2713" i="33"/>
  <c r="F2712" i="33"/>
  <c r="F2711" i="33"/>
  <c r="F2710" i="33"/>
  <c r="F2709" i="33"/>
  <c r="F2708" i="33"/>
  <c r="F2707" i="33"/>
  <c r="F2706" i="33"/>
  <c r="F2705" i="33"/>
  <c r="F2704" i="33"/>
  <c r="F2703" i="33"/>
  <c r="F2702" i="33"/>
  <c r="F2701" i="33"/>
  <c r="F2700" i="33"/>
  <c r="F2699" i="33"/>
  <c r="F2698" i="33"/>
  <c r="F2697" i="33"/>
  <c r="F2696" i="33"/>
  <c r="F2695" i="33"/>
  <c r="F2694" i="33"/>
  <c r="F2693" i="33"/>
  <c r="F2692" i="33"/>
  <c r="F2691" i="33"/>
  <c r="F2690" i="33"/>
  <c r="F2689" i="33"/>
  <c r="F2688" i="33"/>
  <c r="F2687" i="33"/>
  <c r="F2686" i="33"/>
  <c r="F2685" i="33"/>
  <c r="F2684" i="33"/>
  <c r="F2683" i="33"/>
  <c r="F2682" i="33"/>
  <c r="F2681" i="33"/>
  <c r="F2680" i="33"/>
  <c r="F2679" i="33"/>
  <c r="F2678" i="33"/>
  <c r="F2677" i="33"/>
  <c r="F2676" i="33"/>
  <c r="F2675" i="33"/>
  <c r="F2674" i="33"/>
  <c r="F2673" i="33"/>
  <c r="F2672" i="33"/>
  <c r="F2671" i="33"/>
  <c r="F2670" i="33"/>
  <c r="F2669" i="33"/>
  <c r="F2668" i="33"/>
  <c r="F2667" i="33"/>
  <c r="F2666" i="33"/>
  <c r="F2665" i="33"/>
  <c r="F2664" i="33"/>
  <c r="F2663" i="33"/>
  <c r="F2662" i="33"/>
  <c r="F2661" i="33"/>
  <c r="F2660" i="33"/>
  <c r="F2659" i="33"/>
  <c r="F2658" i="33"/>
  <c r="F2657" i="33"/>
  <c r="F2656" i="33"/>
  <c r="F2655" i="33"/>
  <c r="F2654" i="33"/>
  <c r="F2653" i="33"/>
  <c r="F2652" i="33"/>
  <c r="F2651" i="33"/>
  <c r="F2650" i="33"/>
  <c r="F2649" i="33"/>
  <c r="F2648" i="33"/>
  <c r="F2647" i="33"/>
  <c r="F2646" i="33"/>
  <c r="F2645" i="33"/>
  <c r="F2644" i="33"/>
  <c r="F2643" i="33"/>
  <c r="F2642" i="33"/>
  <c r="F2641" i="33"/>
  <c r="F2640" i="33"/>
  <c r="F2639" i="33"/>
  <c r="F2638" i="33"/>
  <c r="F2637" i="33"/>
  <c r="F2636" i="33"/>
  <c r="F2635" i="33"/>
  <c r="F2634" i="33"/>
  <c r="F2633" i="33"/>
  <c r="F2632" i="33"/>
  <c r="F2631" i="33"/>
  <c r="F2630" i="33"/>
  <c r="F2629" i="33"/>
  <c r="F2628" i="33"/>
  <c r="F2627" i="33"/>
  <c r="F2626" i="33"/>
  <c r="F2625" i="33"/>
  <c r="F2624" i="33"/>
  <c r="F2623" i="33"/>
  <c r="F2622" i="33"/>
  <c r="F2621" i="33"/>
  <c r="F2620" i="33"/>
  <c r="F2619" i="33"/>
  <c r="F2618" i="33"/>
  <c r="F2617" i="33"/>
  <c r="F2616" i="33"/>
  <c r="F2615" i="33"/>
  <c r="F2614" i="33"/>
  <c r="F2613" i="33"/>
  <c r="F2612" i="33"/>
  <c r="F2611" i="33"/>
  <c r="F2610" i="33"/>
  <c r="F2609" i="33"/>
  <c r="F2608" i="33"/>
  <c r="F2607" i="33"/>
  <c r="F2606" i="33"/>
  <c r="F2605" i="33"/>
  <c r="F2604" i="33"/>
  <c r="F2603" i="33"/>
  <c r="F2602" i="33"/>
  <c r="F2601" i="33"/>
  <c r="F2600" i="33"/>
  <c r="F2599" i="33"/>
  <c r="F2598" i="33"/>
  <c r="F2597" i="33"/>
  <c r="F2596" i="33"/>
  <c r="F2595" i="33"/>
  <c r="F2594" i="33"/>
  <c r="F2593" i="33"/>
  <c r="F2592" i="33"/>
  <c r="F2591" i="33"/>
  <c r="F2590" i="33"/>
  <c r="F2589" i="33"/>
  <c r="F2588" i="33"/>
  <c r="F2587" i="33"/>
  <c r="F2586" i="33"/>
  <c r="F2585" i="33"/>
  <c r="F2584" i="33"/>
  <c r="F2583" i="33"/>
  <c r="F2582" i="33"/>
  <c r="F2581" i="33"/>
  <c r="F2580" i="33"/>
  <c r="F2579" i="33"/>
  <c r="F2578" i="33"/>
  <c r="F2577" i="33"/>
  <c r="F2576" i="33"/>
  <c r="F2575" i="33"/>
  <c r="F2574" i="33"/>
  <c r="F2573" i="33"/>
  <c r="F2572" i="33"/>
  <c r="F2571" i="33"/>
  <c r="F2570" i="33"/>
  <c r="F2569" i="33"/>
  <c r="F2568" i="33"/>
  <c r="F2567" i="33"/>
  <c r="F2566" i="33"/>
  <c r="F2565" i="33"/>
  <c r="F2564" i="33"/>
  <c r="F2563" i="33"/>
  <c r="F2562" i="33"/>
  <c r="F2561" i="33"/>
  <c r="F2560" i="33"/>
  <c r="F2559" i="33"/>
  <c r="F2558" i="33"/>
  <c r="F2557" i="33"/>
  <c r="F2556" i="33"/>
  <c r="F2555" i="33"/>
  <c r="F2554" i="33"/>
  <c r="F2553" i="33"/>
  <c r="F2552" i="33"/>
  <c r="F2551" i="33"/>
  <c r="F2550" i="33"/>
  <c r="F2549" i="33"/>
  <c r="F2548" i="33"/>
  <c r="F2547" i="33"/>
  <c r="F2546" i="33"/>
  <c r="F2545" i="33"/>
  <c r="F2544" i="33"/>
  <c r="F2543" i="33"/>
  <c r="F2542" i="33"/>
  <c r="F2541" i="33"/>
  <c r="F2540" i="33"/>
  <c r="F2539" i="33"/>
  <c r="F2538" i="33"/>
  <c r="F2537" i="33"/>
  <c r="F2536" i="33"/>
  <c r="F2535" i="33"/>
  <c r="F2534" i="33"/>
  <c r="F2533" i="33"/>
  <c r="F2532" i="33"/>
  <c r="F2531" i="33"/>
  <c r="F2530" i="33"/>
  <c r="F2529" i="33"/>
  <c r="F2528" i="33"/>
  <c r="F2527" i="33"/>
  <c r="F2526" i="33"/>
  <c r="F2525" i="33"/>
  <c r="F2524" i="33"/>
  <c r="F2523" i="33"/>
  <c r="F2522" i="33"/>
  <c r="F2521" i="33"/>
  <c r="F2520" i="33"/>
  <c r="F2519" i="33"/>
  <c r="F2518" i="33"/>
  <c r="F2517" i="33"/>
  <c r="F2516" i="33"/>
  <c r="F2515" i="33"/>
  <c r="F2514" i="33"/>
  <c r="F2513" i="33"/>
  <c r="F2512" i="33"/>
  <c r="F2511" i="33"/>
  <c r="F2510" i="33"/>
  <c r="F2509" i="33"/>
  <c r="F2508" i="33"/>
  <c r="F2507" i="33"/>
  <c r="F2506" i="33"/>
  <c r="F2505" i="33"/>
  <c r="F2504" i="33"/>
  <c r="F2503" i="33"/>
  <c r="F2502" i="33"/>
  <c r="F2501" i="33"/>
  <c r="F2500" i="33"/>
  <c r="F2499" i="33"/>
  <c r="F2498" i="33"/>
  <c r="F2497" i="33"/>
  <c r="F2496" i="33"/>
  <c r="F2495" i="33"/>
  <c r="F2494" i="33"/>
  <c r="F2493" i="33"/>
  <c r="F2492" i="33"/>
  <c r="F2491" i="33"/>
  <c r="F2490" i="33"/>
  <c r="F2489" i="33"/>
  <c r="F2488" i="33"/>
  <c r="F2487" i="33"/>
  <c r="F2486" i="33"/>
  <c r="F2485" i="33"/>
  <c r="F2484" i="33"/>
  <c r="F2483" i="33"/>
  <c r="F2482" i="33"/>
  <c r="F2481" i="33"/>
  <c r="F2480" i="33"/>
  <c r="F2479" i="33"/>
  <c r="F2478" i="33"/>
  <c r="F2477" i="33"/>
  <c r="F2476" i="33"/>
  <c r="F2475" i="33"/>
  <c r="F2474" i="33"/>
  <c r="F2473" i="33"/>
  <c r="F2472" i="33"/>
  <c r="F2471" i="33"/>
  <c r="F2470" i="33"/>
  <c r="F2469" i="33"/>
  <c r="F2468" i="33"/>
  <c r="F2467" i="33"/>
  <c r="F2466" i="33"/>
  <c r="F2465" i="33"/>
  <c r="F2464" i="33"/>
  <c r="F2463" i="33"/>
  <c r="F2462" i="33"/>
  <c r="F2461" i="33"/>
  <c r="F2460" i="33"/>
  <c r="F2459" i="33"/>
  <c r="F2458" i="33"/>
  <c r="F2457" i="33"/>
  <c r="F2456" i="33"/>
  <c r="F2455" i="33"/>
  <c r="F2454" i="33"/>
  <c r="F2453" i="33"/>
  <c r="F2452" i="33"/>
  <c r="F2451" i="33"/>
  <c r="F2450" i="33"/>
  <c r="F2449" i="33"/>
  <c r="F2448" i="33"/>
  <c r="F2447" i="33"/>
  <c r="F2446" i="33"/>
  <c r="F2445" i="33"/>
  <c r="F2444" i="33"/>
  <c r="F2443" i="33"/>
  <c r="F2442" i="33"/>
  <c r="F2441" i="33"/>
  <c r="F2440" i="33"/>
  <c r="F2439" i="33"/>
  <c r="F2438" i="33"/>
  <c r="F2437" i="33"/>
  <c r="F2436" i="33"/>
  <c r="F2435" i="33"/>
  <c r="F2434" i="33"/>
  <c r="F2433" i="33"/>
  <c r="F2432" i="33"/>
  <c r="F2431" i="33"/>
  <c r="F2430" i="33"/>
  <c r="F2429" i="33"/>
  <c r="F2428" i="33"/>
  <c r="F2427" i="33"/>
  <c r="F2426" i="33"/>
  <c r="F2425" i="33"/>
  <c r="F2424" i="33"/>
  <c r="F2423" i="33"/>
  <c r="F2422" i="33"/>
  <c r="F2421" i="33"/>
  <c r="F2420" i="33"/>
  <c r="F2419" i="33"/>
  <c r="F2418" i="33"/>
  <c r="F2417" i="33"/>
  <c r="F2416" i="33"/>
  <c r="F2415" i="33"/>
  <c r="F2414" i="33"/>
  <c r="F2413" i="33"/>
  <c r="F2412" i="33"/>
  <c r="F2411" i="33"/>
  <c r="F2410" i="33"/>
  <c r="F2409" i="33"/>
  <c r="F2408" i="33"/>
  <c r="F2407" i="33"/>
  <c r="F2406" i="33"/>
  <c r="F2405" i="33"/>
  <c r="F2404" i="33"/>
  <c r="F2403" i="33"/>
  <c r="F2402" i="33"/>
  <c r="F2401" i="33"/>
  <c r="F2400" i="33"/>
  <c r="F2399" i="33"/>
  <c r="F2398" i="33"/>
  <c r="F2397" i="33"/>
  <c r="F2396" i="33"/>
  <c r="F2395" i="33"/>
  <c r="F2394" i="33"/>
  <c r="F2393" i="33"/>
  <c r="F2392" i="33"/>
  <c r="F2391" i="33"/>
  <c r="F2390" i="33"/>
  <c r="F2389" i="33"/>
  <c r="F2388" i="33"/>
  <c r="F2387" i="33"/>
  <c r="F2386" i="33"/>
  <c r="F2385" i="33"/>
  <c r="F2384" i="33"/>
  <c r="F2383" i="33"/>
  <c r="F2382" i="33"/>
  <c r="F2381" i="33"/>
  <c r="F2380" i="33"/>
  <c r="F2379" i="33"/>
  <c r="F2378" i="33"/>
  <c r="F2377" i="33"/>
  <c r="F2376" i="33"/>
  <c r="F2375" i="33"/>
  <c r="F2374" i="33"/>
  <c r="F2373" i="33"/>
  <c r="F2372" i="33"/>
  <c r="F2371" i="33"/>
  <c r="F2370" i="33"/>
  <c r="F2369" i="33"/>
  <c r="F2368" i="33"/>
  <c r="F2367" i="33"/>
  <c r="F2366" i="33"/>
  <c r="F2365" i="33"/>
  <c r="F2364" i="33"/>
  <c r="F2363" i="33"/>
  <c r="F2362" i="33"/>
  <c r="F2361" i="33"/>
  <c r="F2360" i="33"/>
  <c r="F2359" i="33"/>
  <c r="F2358" i="33"/>
  <c r="F2357" i="33"/>
  <c r="F2355" i="33"/>
  <c r="F2354" i="33"/>
  <c r="F2353" i="33"/>
  <c r="F2352" i="33"/>
  <c r="F2351" i="33"/>
  <c r="F2350" i="33"/>
  <c r="F2349" i="33"/>
  <c r="F2348" i="33"/>
  <c r="F2347" i="33"/>
  <c r="F2346" i="33"/>
  <c r="F2345" i="33"/>
  <c r="F2344" i="33"/>
  <c r="F2343" i="33"/>
  <c r="F2342" i="33"/>
  <c r="F2341" i="33"/>
  <c r="F2340" i="33"/>
  <c r="F2339" i="33"/>
  <c r="F2338" i="33"/>
  <c r="F2337" i="33"/>
  <c r="F2336" i="33"/>
  <c r="F2335" i="33"/>
  <c r="F2334" i="33"/>
  <c r="F2333" i="33"/>
  <c r="F2332" i="33"/>
  <c r="F2331" i="33"/>
  <c r="F2330" i="33"/>
  <c r="F2329" i="33"/>
  <c r="F2328" i="33"/>
  <c r="F2327" i="33"/>
  <c r="F2326" i="33"/>
  <c r="F2325" i="33"/>
  <c r="F2324" i="33"/>
  <c r="F2323" i="33"/>
  <c r="F2322" i="33"/>
  <c r="F2321" i="33"/>
  <c r="F2320" i="33"/>
  <c r="F2319" i="33"/>
  <c r="F2318" i="33"/>
  <c r="F2317" i="33"/>
  <c r="F2316" i="33"/>
  <c r="F2315" i="33"/>
  <c r="F2314" i="33"/>
  <c r="F2313" i="33"/>
  <c r="F2312" i="33"/>
  <c r="F2311" i="33"/>
  <c r="F2310" i="33"/>
  <c r="F2309" i="33"/>
  <c r="F2308" i="33"/>
  <c r="F2307" i="33"/>
  <c r="F2306" i="33"/>
  <c r="F2305" i="33"/>
  <c r="F2304" i="33"/>
  <c r="F2303" i="33"/>
  <c r="F2302" i="33"/>
  <c r="F2301" i="33"/>
  <c r="F2300" i="33"/>
  <c r="F2299" i="33"/>
  <c r="F2298" i="33"/>
  <c r="F2297" i="33"/>
  <c r="F2296" i="33"/>
  <c r="F2295" i="33"/>
  <c r="F2294" i="33"/>
  <c r="F2293" i="33"/>
  <c r="F2292" i="33"/>
  <c r="F2291" i="33"/>
  <c r="F2290" i="33"/>
  <c r="F2289" i="33"/>
  <c r="F2288" i="33"/>
  <c r="F2287" i="33"/>
  <c r="F2286" i="33"/>
  <c r="F2285" i="33"/>
  <c r="F2284" i="33"/>
  <c r="F2283" i="33"/>
  <c r="F2282" i="33"/>
  <c r="F2281" i="33"/>
  <c r="F2280" i="33"/>
  <c r="F2279" i="33"/>
  <c r="F2278" i="33"/>
  <c r="F2277" i="33"/>
  <c r="F2276" i="33"/>
  <c r="F2275" i="33"/>
  <c r="F2274" i="33"/>
  <c r="F2273" i="33"/>
  <c r="F2272" i="33"/>
  <c r="F2271" i="33"/>
  <c r="F2270" i="33"/>
  <c r="F2269" i="33"/>
  <c r="F2268" i="33"/>
  <c r="F2267" i="33"/>
  <c r="F2266" i="33"/>
  <c r="F2265" i="33"/>
  <c r="F2264" i="33"/>
  <c r="F2263" i="33"/>
  <c r="F2262" i="33"/>
  <c r="F2261" i="33"/>
  <c r="F2260" i="33"/>
  <c r="F2259" i="33"/>
  <c r="F2258" i="33"/>
  <c r="F2257" i="33"/>
  <c r="F2256" i="33"/>
  <c r="F2255" i="33"/>
  <c r="F2254" i="33"/>
  <c r="F2253" i="33"/>
  <c r="F2252" i="33"/>
  <c r="F2251" i="33"/>
  <c r="F2250" i="33"/>
  <c r="F2249" i="33"/>
  <c r="F2248" i="33"/>
  <c r="F2247" i="33"/>
  <c r="F2246" i="33"/>
  <c r="F2245" i="33"/>
  <c r="F2244" i="33"/>
  <c r="F2243" i="33"/>
  <c r="F2242" i="33"/>
  <c r="F2241" i="33"/>
  <c r="F2240" i="33"/>
  <c r="F2239" i="33"/>
  <c r="F2238" i="33"/>
  <c r="F2237" i="33"/>
  <c r="F2236" i="33"/>
  <c r="F2235" i="33"/>
  <c r="F2234" i="33"/>
  <c r="F2233" i="33"/>
  <c r="F2232" i="33"/>
  <c r="F2231" i="33"/>
  <c r="F2230" i="33"/>
  <c r="F2229" i="33"/>
  <c r="F2228" i="33"/>
  <c r="F2227" i="33"/>
  <c r="F2226" i="33"/>
  <c r="F2225" i="33"/>
  <c r="F2224" i="33"/>
  <c r="F2223" i="33"/>
  <c r="F2222" i="33"/>
  <c r="F2221" i="33"/>
  <c r="F2220" i="33"/>
  <c r="F2219" i="33"/>
  <c r="F2218" i="33"/>
  <c r="F2217" i="33"/>
  <c r="F2216" i="33"/>
  <c r="F2215" i="33"/>
  <c r="F2214" i="33"/>
  <c r="F2213" i="33"/>
  <c r="F2212" i="33"/>
  <c r="F2211" i="33"/>
  <c r="F2210" i="33"/>
  <c r="F2209" i="33"/>
  <c r="F2208" i="33"/>
  <c r="F2207" i="33"/>
  <c r="F2206" i="33"/>
  <c r="F2205" i="33"/>
  <c r="F2204" i="33"/>
  <c r="F2203" i="33"/>
  <c r="F2202" i="33"/>
  <c r="F2201" i="33"/>
  <c r="F2200" i="33"/>
  <c r="F2199" i="33"/>
  <c r="F2198" i="33"/>
  <c r="F2197" i="33"/>
  <c r="F2196" i="33"/>
  <c r="F2195" i="33"/>
  <c r="F2194" i="33"/>
  <c r="F2193" i="33"/>
  <c r="F2192" i="33"/>
  <c r="F2191" i="33"/>
  <c r="F2190" i="33"/>
  <c r="F2189" i="33"/>
  <c r="F2188" i="33"/>
  <c r="F2187" i="33"/>
  <c r="F2186" i="33"/>
  <c r="F2185" i="33"/>
  <c r="F2184" i="33"/>
  <c r="F2183" i="33"/>
  <c r="F2182" i="33"/>
  <c r="F2181" i="33"/>
  <c r="F2180" i="33"/>
  <c r="F2179" i="33"/>
  <c r="F2178" i="33"/>
  <c r="F2177" i="33"/>
  <c r="F2176" i="33"/>
  <c r="F2175" i="33"/>
  <c r="F2174" i="33"/>
  <c r="F2173" i="33"/>
  <c r="F2172" i="33"/>
  <c r="F2171" i="33"/>
  <c r="F2170" i="33"/>
  <c r="F2169" i="33"/>
  <c r="F2168" i="33"/>
  <c r="F2167" i="33"/>
  <c r="F2166" i="33"/>
  <c r="F2165" i="33"/>
  <c r="F2164" i="33"/>
  <c r="F2163" i="33"/>
  <c r="F2162" i="33"/>
  <c r="F2161" i="33"/>
  <c r="F2160" i="33"/>
  <c r="F2159" i="33"/>
  <c r="F2158" i="33"/>
  <c r="F2157" i="33"/>
  <c r="F2156" i="33"/>
  <c r="F2155" i="33"/>
  <c r="F2154" i="33"/>
  <c r="F2153" i="33"/>
  <c r="F2152" i="33"/>
  <c r="F2151" i="33"/>
  <c r="F2150" i="33"/>
  <c r="F2149" i="33"/>
  <c r="F2148" i="33"/>
  <c r="F2147" i="33"/>
  <c r="F2146" i="33"/>
  <c r="F2145" i="33"/>
  <c r="F2144" i="33"/>
  <c r="F2143" i="33"/>
  <c r="F2142" i="33"/>
  <c r="F2141" i="33"/>
  <c r="F2140" i="33"/>
  <c r="F2139" i="33"/>
  <c r="F2138" i="33"/>
  <c r="F2137" i="33"/>
  <c r="F2136" i="33"/>
  <c r="F2135" i="33"/>
  <c r="F2134" i="33"/>
  <c r="F2133" i="33"/>
  <c r="F2132" i="33"/>
  <c r="F2131" i="33"/>
  <c r="F2130" i="33"/>
  <c r="F2129" i="33"/>
  <c r="F2128" i="33"/>
  <c r="F2127" i="33"/>
  <c r="F2126" i="33"/>
  <c r="F2125" i="33"/>
  <c r="F2124" i="33"/>
  <c r="F2123" i="33"/>
  <c r="F2122" i="33"/>
  <c r="F2121" i="33"/>
  <c r="F2120" i="33"/>
  <c r="F2119" i="33"/>
  <c r="F2118" i="33"/>
  <c r="F2117" i="33"/>
  <c r="F2116" i="33"/>
  <c r="F2115" i="33"/>
  <c r="F2114" i="33"/>
  <c r="F2113" i="33"/>
  <c r="F2112" i="33"/>
  <c r="F2111" i="33"/>
  <c r="F2110" i="33"/>
  <c r="F2109" i="33"/>
  <c r="F2108" i="33"/>
  <c r="F2107" i="33"/>
  <c r="F2106" i="33"/>
  <c r="F2105" i="33"/>
  <c r="F2104" i="33"/>
  <c r="F2103" i="33"/>
  <c r="F2102" i="33"/>
  <c r="F2101" i="33"/>
  <c r="F2100" i="33"/>
  <c r="F2099" i="33"/>
  <c r="F2098" i="33"/>
  <c r="F2097" i="33"/>
  <c r="F2096" i="33"/>
  <c r="F2095" i="33"/>
  <c r="F2094" i="33"/>
  <c r="F2093" i="33"/>
  <c r="F2092" i="33"/>
  <c r="F2091" i="33"/>
  <c r="F2090" i="33"/>
  <c r="F2089" i="33"/>
  <c r="F2088" i="33"/>
  <c r="F2087" i="33"/>
  <c r="F2086" i="33"/>
  <c r="F2085" i="33"/>
  <c r="F2084" i="33"/>
  <c r="F2083" i="33"/>
  <c r="F2082" i="33"/>
  <c r="F2081" i="33"/>
  <c r="F2080" i="33"/>
  <c r="F2079" i="33"/>
  <c r="F2078" i="33"/>
  <c r="F2077" i="33"/>
  <c r="F2076" i="33"/>
  <c r="F2075" i="33"/>
  <c r="F2074" i="33"/>
  <c r="F2073" i="33"/>
  <c r="F2072" i="33"/>
  <c r="F2071" i="33"/>
  <c r="F2070" i="33"/>
  <c r="F2069" i="33"/>
  <c r="F2068" i="33"/>
  <c r="F2067" i="33"/>
  <c r="F2066" i="33"/>
  <c r="F2065" i="33"/>
  <c r="F2064" i="33"/>
  <c r="F2063" i="33"/>
  <c r="F2062" i="33"/>
  <c r="F2061" i="33"/>
  <c r="F2060" i="33"/>
  <c r="F2059" i="33"/>
  <c r="F2058" i="33"/>
  <c r="F2057" i="33"/>
  <c r="F2056" i="33"/>
  <c r="F2055" i="33"/>
  <c r="F2054" i="33"/>
  <c r="F2053" i="33"/>
  <c r="F2052" i="33"/>
  <c r="F2051" i="33"/>
  <c r="F2050" i="33"/>
  <c r="F2049" i="33"/>
  <c r="F2048" i="33"/>
  <c r="F2047" i="33"/>
  <c r="F2046" i="33"/>
  <c r="F2045" i="33"/>
  <c r="F2044" i="33"/>
  <c r="F2043" i="33"/>
  <c r="F2042" i="33"/>
  <c r="F2041" i="33"/>
  <c r="F2040" i="33"/>
  <c r="F2039" i="33"/>
  <c r="F2038" i="33"/>
  <c r="F2037" i="33"/>
  <c r="F2036" i="33"/>
  <c r="F2035" i="33"/>
  <c r="F2034" i="33"/>
  <c r="F2033" i="33"/>
  <c r="F2032" i="33"/>
  <c r="F2031" i="33"/>
  <c r="F2030" i="33"/>
  <c r="F2029" i="33"/>
  <c r="F2028" i="33"/>
  <c r="F2027" i="33"/>
  <c r="F2026" i="33"/>
  <c r="F2025" i="33"/>
  <c r="F2024" i="33"/>
  <c r="F2023" i="33"/>
  <c r="F2022" i="33"/>
  <c r="F2021" i="33"/>
  <c r="F2020" i="33"/>
  <c r="F2019" i="33"/>
  <c r="F2018" i="33"/>
  <c r="F2017" i="33"/>
  <c r="F2016" i="33"/>
  <c r="F2015" i="33"/>
  <c r="F2014" i="33"/>
  <c r="F2013" i="33"/>
  <c r="F2012" i="33"/>
  <c r="F2011" i="33"/>
  <c r="F2010" i="33"/>
  <c r="F2009" i="33"/>
  <c r="F2008" i="33"/>
  <c r="F2007" i="33"/>
  <c r="F2006" i="33"/>
  <c r="F2005" i="33"/>
  <c r="F2004" i="33"/>
  <c r="F2003" i="33"/>
  <c r="F2002" i="33"/>
  <c r="F2001" i="33"/>
  <c r="F2000" i="33"/>
  <c r="F1999" i="33"/>
  <c r="F1998" i="33"/>
  <c r="F1997" i="33"/>
  <c r="F1996" i="33"/>
  <c r="F1995" i="33"/>
  <c r="F1994" i="33"/>
  <c r="F1993" i="33"/>
  <c r="F1992" i="33"/>
  <c r="F1991" i="33"/>
  <c r="F1990" i="33"/>
  <c r="F1989" i="33"/>
  <c r="F1988" i="33"/>
  <c r="F1987" i="33"/>
  <c r="F1986" i="33"/>
  <c r="F1985" i="33"/>
  <c r="F1984" i="33"/>
  <c r="F1983" i="33"/>
  <c r="F1982" i="33"/>
  <c r="F1981" i="33"/>
  <c r="F1980" i="33"/>
  <c r="F1979" i="33"/>
  <c r="F1978" i="33"/>
  <c r="F1977" i="33"/>
  <c r="F1976" i="33"/>
  <c r="F1975" i="33"/>
  <c r="F1974" i="33"/>
  <c r="F1973" i="33"/>
  <c r="F1972" i="33"/>
  <c r="F1971" i="33"/>
  <c r="F1970" i="33"/>
  <c r="F1969" i="33"/>
  <c r="F1968" i="33"/>
  <c r="F1967" i="33"/>
  <c r="F1966" i="33"/>
  <c r="F1965" i="33"/>
  <c r="F1964" i="33"/>
  <c r="F1963" i="33"/>
  <c r="F1962" i="33"/>
  <c r="F1961" i="33"/>
  <c r="F1960" i="33"/>
  <c r="F1959" i="33"/>
  <c r="F1958" i="33"/>
  <c r="F1957" i="33"/>
  <c r="F1956" i="33"/>
  <c r="F1955" i="33"/>
  <c r="F1954" i="33"/>
  <c r="F1953" i="33"/>
  <c r="F1952" i="33"/>
  <c r="F1951" i="33"/>
  <c r="F1950" i="33"/>
  <c r="F1949" i="33"/>
  <c r="F1948" i="33"/>
  <c r="F1947" i="33"/>
  <c r="F1946" i="33"/>
  <c r="F1945" i="33"/>
  <c r="F1944" i="33"/>
  <c r="F1943" i="33"/>
  <c r="F1942" i="33"/>
  <c r="F1941" i="33"/>
  <c r="F1940" i="33"/>
  <c r="F1939" i="33"/>
  <c r="F1938" i="33"/>
  <c r="F1937" i="33"/>
  <c r="F1936" i="33"/>
  <c r="F1935" i="33"/>
  <c r="F1934" i="33"/>
  <c r="F1933" i="33"/>
  <c r="F1932" i="33"/>
  <c r="F1931" i="33"/>
  <c r="F1930" i="33"/>
  <c r="F1929" i="33"/>
  <c r="F1928" i="33"/>
  <c r="F1927" i="33"/>
  <c r="F1926" i="33"/>
  <c r="F1925" i="33"/>
  <c r="F1924" i="33"/>
  <c r="F1923" i="33"/>
  <c r="F1922" i="33"/>
  <c r="F1921" i="33"/>
  <c r="F1920" i="33"/>
  <c r="F1919" i="33"/>
  <c r="F1918" i="33"/>
  <c r="F1917" i="33"/>
  <c r="F1916" i="33"/>
  <c r="F1915" i="33"/>
  <c r="F1914" i="33"/>
  <c r="F1913" i="33"/>
  <c r="F1912" i="33"/>
  <c r="F1911" i="33"/>
  <c r="F1910" i="33"/>
  <c r="F1909" i="33"/>
  <c r="F1908" i="33"/>
  <c r="F1907" i="33"/>
  <c r="F1906" i="33"/>
  <c r="F1905" i="33"/>
  <c r="F1904" i="33"/>
  <c r="F1903" i="33"/>
  <c r="F1902" i="33"/>
  <c r="F1901" i="33"/>
  <c r="F1900" i="33"/>
  <c r="F1899" i="33"/>
  <c r="F1898" i="33"/>
  <c r="F1897" i="33"/>
  <c r="F1896" i="33"/>
  <c r="F1895" i="33"/>
  <c r="F1894" i="33"/>
  <c r="F1893" i="33"/>
  <c r="F1892" i="33"/>
  <c r="F1891" i="33"/>
  <c r="F1890" i="33"/>
  <c r="F1889" i="33"/>
  <c r="F1888" i="33"/>
  <c r="F1887" i="33"/>
  <c r="F1886" i="33"/>
  <c r="F1885" i="33"/>
  <c r="F1884" i="33"/>
  <c r="F1883" i="33"/>
  <c r="F1882" i="33"/>
  <c r="F1881" i="33"/>
  <c r="F1880" i="33"/>
  <c r="F1879" i="33"/>
  <c r="F1878" i="33"/>
  <c r="F1877" i="33"/>
  <c r="F1876" i="33"/>
  <c r="F1875" i="33"/>
  <c r="F1874" i="33"/>
  <c r="F1873" i="33"/>
  <c r="F1872" i="33"/>
  <c r="F1871" i="33"/>
  <c r="F1870" i="33"/>
  <c r="F1869" i="33"/>
  <c r="F1868" i="33"/>
  <c r="F1867" i="33"/>
  <c r="F1866" i="33"/>
  <c r="F1861" i="33"/>
  <c r="F1860" i="33"/>
  <c r="F1859" i="33"/>
  <c r="F1858" i="33"/>
  <c r="F1857" i="33"/>
  <c r="F1856" i="33"/>
  <c r="F1855" i="33"/>
  <c r="F1854" i="33"/>
  <c r="F1853" i="33"/>
  <c r="F1852" i="33"/>
  <c r="F1851" i="33"/>
  <c r="F1850" i="33"/>
  <c r="F1849" i="33"/>
  <c r="F1848" i="33"/>
  <c r="F1847" i="33"/>
  <c r="F1846" i="33"/>
  <c r="F1845" i="33"/>
  <c r="F1844" i="33"/>
  <c r="F1843" i="33"/>
  <c r="F1842" i="33"/>
  <c r="F1841" i="33"/>
  <c r="F1840" i="33"/>
  <c r="F1839" i="33"/>
  <c r="F1838" i="33"/>
  <c r="F1837" i="33"/>
  <c r="F1836" i="33"/>
  <c r="F1835" i="33"/>
  <c r="F1834" i="33"/>
  <c r="F1833" i="33"/>
  <c r="F1832" i="33"/>
  <c r="F1831" i="33"/>
  <c r="F1830" i="33"/>
  <c r="F1829" i="33"/>
  <c r="F1828" i="33"/>
  <c r="F1827" i="33"/>
  <c r="F1826" i="33"/>
  <c r="F1825" i="33"/>
  <c r="F1824" i="33"/>
  <c r="F1823" i="33"/>
  <c r="F1822" i="33"/>
  <c r="F1821" i="33"/>
  <c r="F1820" i="33"/>
  <c r="F1819" i="33"/>
  <c r="F1818" i="33"/>
  <c r="F1817" i="33"/>
  <c r="F1816" i="33"/>
  <c r="F1815" i="33"/>
  <c r="F1814" i="33"/>
  <c r="F1813" i="33"/>
  <c r="F1812" i="33"/>
  <c r="F1811" i="33"/>
  <c r="F1810" i="33"/>
  <c r="F1809" i="33"/>
  <c r="F1808" i="33"/>
  <c r="F1807" i="33"/>
  <c r="F1806" i="33"/>
  <c r="F1805" i="33"/>
  <c r="F1804" i="33"/>
  <c r="F1803" i="33"/>
  <c r="F1802" i="33"/>
  <c r="F1801" i="33"/>
  <c r="F1800" i="33"/>
  <c r="F1799" i="33"/>
  <c r="F1798" i="33"/>
  <c r="F1797" i="33"/>
  <c r="F1796" i="33"/>
  <c r="F1795" i="33"/>
  <c r="F1793" i="33"/>
  <c r="F1792" i="33"/>
  <c r="F1791" i="33"/>
  <c r="F1790" i="33"/>
  <c r="F1789" i="33"/>
  <c r="F1788" i="33"/>
  <c r="F1787" i="33"/>
  <c r="F1786" i="33"/>
  <c r="F1785" i="33"/>
  <c r="F1784" i="33"/>
  <c r="F1783" i="33"/>
  <c r="F1782" i="33"/>
  <c r="F1781" i="33"/>
  <c r="F1780" i="33"/>
  <c r="F1779" i="33"/>
  <c r="F1778" i="33"/>
  <c r="F1777" i="33"/>
  <c r="F1776" i="33"/>
  <c r="F1775" i="33"/>
  <c r="F1774" i="33"/>
  <c r="F1773" i="33"/>
  <c r="F1772" i="33"/>
  <c r="F1771" i="33"/>
  <c r="F1770" i="33"/>
  <c r="F1769" i="33"/>
  <c r="F1768" i="33"/>
  <c r="F1767" i="33"/>
  <c r="F1765" i="33"/>
  <c r="F1764" i="33"/>
  <c r="F1763" i="33"/>
  <c r="F1762" i="33"/>
  <c r="F1761" i="33"/>
  <c r="F1760" i="33"/>
  <c r="F1759" i="33"/>
  <c r="F1758" i="33"/>
  <c r="F1757" i="33"/>
  <c r="F1756" i="33"/>
  <c r="F1755" i="33"/>
  <c r="F1754" i="33"/>
  <c r="F1753" i="33"/>
  <c r="F1752" i="33"/>
  <c r="F1751" i="33"/>
  <c r="F1750" i="33"/>
  <c r="F1749" i="33"/>
  <c r="F1748" i="33"/>
  <c r="F1747" i="33"/>
  <c r="F1746" i="33"/>
  <c r="F1745" i="33"/>
  <c r="F1744" i="33"/>
  <c r="F1743" i="33"/>
  <c r="F1742" i="33"/>
  <c r="F1741" i="33"/>
  <c r="F1740" i="33"/>
  <c r="F1739" i="33"/>
  <c r="F1738" i="33"/>
  <c r="F1737" i="33"/>
  <c r="F1736" i="33"/>
  <c r="F1735" i="33"/>
  <c r="F1734" i="33"/>
  <c r="F1733" i="33"/>
  <c r="F1732" i="33"/>
  <c r="F1731" i="33"/>
  <c r="F1730" i="33"/>
  <c r="F1729" i="33"/>
  <c r="F1728" i="33"/>
  <c r="F1727" i="33"/>
  <c r="F1726" i="33"/>
  <c r="F1725" i="33"/>
  <c r="F1724" i="33"/>
  <c r="F1723" i="33"/>
  <c r="F1722" i="33"/>
  <c r="F1721" i="33"/>
  <c r="F1720" i="33"/>
  <c r="F1719" i="33"/>
  <c r="F1718" i="33"/>
  <c r="F1717" i="33"/>
  <c r="F1716" i="33"/>
  <c r="F1715" i="33"/>
  <c r="F1714" i="33"/>
  <c r="F1713" i="33"/>
  <c r="F1712" i="33"/>
  <c r="F1711" i="33"/>
  <c r="F1710" i="33"/>
  <c r="F1709" i="33"/>
  <c r="F1708" i="33"/>
  <c r="F1707" i="33"/>
  <c r="F1706" i="33"/>
  <c r="F1705" i="33"/>
  <c r="F1704" i="33"/>
  <c r="F1703" i="33"/>
  <c r="F1702" i="33"/>
  <c r="F1701" i="33"/>
  <c r="F1700" i="33"/>
  <c r="F1699" i="33"/>
  <c r="F1698" i="33"/>
  <c r="F1697" i="33"/>
  <c r="F1696" i="33"/>
  <c r="F1695" i="33"/>
  <c r="F1694" i="33"/>
  <c r="F1693" i="33"/>
  <c r="F1692" i="33"/>
  <c r="F1691" i="33"/>
  <c r="F1690" i="33"/>
  <c r="F1689" i="33"/>
  <c r="F1688" i="33"/>
  <c r="F1687" i="33"/>
  <c r="F1686" i="33"/>
  <c r="F1685" i="33"/>
  <c r="F1684" i="33"/>
  <c r="F1683" i="33"/>
  <c r="F1682" i="33"/>
  <c r="F1681" i="33"/>
  <c r="F1680" i="33"/>
  <c r="F1679" i="33"/>
  <c r="F1678" i="33"/>
  <c r="F1677" i="33"/>
  <c r="F1676" i="33"/>
  <c r="F1675" i="33"/>
  <c r="F1674" i="33"/>
  <c r="F1673" i="33"/>
  <c r="F1672" i="33"/>
  <c r="F1671" i="33"/>
  <c r="F1670" i="33"/>
  <c r="F1669" i="33"/>
  <c r="F1668" i="33"/>
  <c r="F1667" i="33"/>
  <c r="F1666" i="33"/>
  <c r="F1665" i="33"/>
  <c r="F1664" i="33"/>
  <c r="F1663" i="33"/>
  <c r="F1662" i="33"/>
  <c r="F1661" i="33"/>
  <c r="F1660" i="33"/>
  <c r="F1659" i="33"/>
  <c r="F1658" i="33"/>
  <c r="F1657" i="33"/>
  <c r="F1656" i="33"/>
  <c r="F1655" i="33"/>
  <c r="F1654" i="33"/>
  <c r="F1653" i="33"/>
  <c r="F1652" i="33"/>
  <c r="F1651" i="33"/>
  <c r="F1650" i="33"/>
  <c r="F1649" i="33"/>
  <c r="F1648" i="33"/>
  <c r="F1647" i="33"/>
  <c r="F1646" i="33"/>
  <c r="F1645" i="33"/>
  <c r="F1644" i="33"/>
  <c r="F1643" i="33"/>
  <c r="F1642" i="33"/>
  <c r="F1641" i="33"/>
  <c r="F1640" i="33"/>
  <c r="F1639" i="33"/>
  <c r="F1638" i="33"/>
  <c r="F1637" i="33"/>
  <c r="F1636" i="33"/>
  <c r="F1635" i="33"/>
  <c r="F1634" i="33"/>
  <c r="F1633" i="33"/>
  <c r="F1632" i="33"/>
  <c r="F1631" i="33"/>
  <c r="F1630" i="33"/>
  <c r="F1629" i="33"/>
  <c r="F1628" i="33"/>
  <c r="F1627" i="33"/>
  <c r="F1626" i="33"/>
  <c r="F1625" i="33"/>
  <c r="F1624" i="33"/>
  <c r="F1623" i="33"/>
  <c r="F1622" i="33"/>
  <c r="F1621" i="33"/>
  <c r="F1620" i="33"/>
  <c r="F1619" i="33"/>
  <c r="F1618" i="33"/>
  <c r="F1617" i="33"/>
  <c r="F1616" i="33"/>
  <c r="F1615" i="33"/>
  <c r="F1614" i="33"/>
  <c r="F1613" i="33"/>
  <c r="F1612" i="33"/>
  <c r="F1611" i="33"/>
  <c r="F1610" i="33"/>
  <c r="F1609" i="33"/>
  <c r="F1608" i="33"/>
  <c r="F1607" i="33"/>
  <c r="F1606" i="33"/>
  <c r="F1605" i="33"/>
  <c r="F1604" i="33"/>
  <c r="F1603" i="33"/>
  <c r="F1602" i="33"/>
  <c r="F1601" i="33"/>
  <c r="F1600" i="33"/>
  <c r="F1599" i="33"/>
  <c r="F1598" i="33"/>
  <c r="F1597" i="33"/>
  <c r="F1596" i="33"/>
  <c r="F1595" i="33"/>
  <c r="F1594" i="33"/>
  <c r="F1593" i="33"/>
  <c r="F1592" i="33"/>
  <c r="F1591" i="33"/>
  <c r="F1590" i="33"/>
  <c r="F1589" i="33"/>
  <c r="F1588" i="33"/>
  <c r="F1587" i="33"/>
  <c r="F1586" i="33"/>
  <c r="F1585" i="33"/>
  <c r="F1584" i="33"/>
  <c r="F1583" i="33"/>
  <c r="F1582" i="33"/>
  <c r="F1581" i="33"/>
  <c r="F1580" i="33"/>
  <c r="F1579" i="33"/>
  <c r="F1578" i="33"/>
  <c r="F1577" i="33"/>
  <c r="F1576" i="33"/>
  <c r="F1575" i="33"/>
  <c r="F1574" i="33"/>
  <c r="F1573" i="33"/>
  <c r="F1572" i="33"/>
  <c r="F1571" i="33"/>
  <c r="F1570" i="33"/>
  <c r="F1569" i="33"/>
  <c r="F1568" i="33"/>
  <c r="F1567" i="33"/>
  <c r="F1566" i="33"/>
  <c r="F1565" i="33"/>
  <c r="F1564" i="33"/>
  <c r="F1563" i="33"/>
  <c r="F1562" i="33"/>
  <c r="F1561" i="33"/>
  <c r="F1560" i="33"/>
  <c r="F1559" i="33"/>
  <c r="F1558" i="33"/>
  <c r="F1557" i="33"/>
  <c r="F1556" i="33"/>
  <c r="F1555" i="33"/>
  <c r="F1554" i="33"/>
  <c r="F1553" i="33"/>
  <c r="F1552" i="33"/>
  <c r="F1551" i="33"/>
  <c r="F1550" i="33"/>
  <c r="F1549" i="33"/>
  <c r="F1548" i="33"/>
  <c r="F1547" i="33"/>
  <c r="F1546" i="33"/>
  <c r="F1545" i="33"/>
  <c r="F1544" i="33"/>
  <c r="F1543" i="33"/>
  <c r="F1542" i="33"/>
  <c r="F1541" i="33"/>
  <c r="F1540" i="33"/>
  <c r="F1539" i="33"/>
  <c r="F1538" i="33"/>
  <c r="F1537" i="33"/>
  <c r="F1536" i="33"/>
  <c r="F1535" i="33"/>
  <c r="F1534" i="33"/>
  <c r="F1533" i="33"/>
  <c r="F1532" i="33"/>
  <c r="F1531" i="33"/>
  <c r="F1530" i="33"/>
  <c r="F1529" i="33"/>
  <c r="F1528" i="33"/>
  <c r="F1527" i="33"/>
  <c r="F1526" i="33"/>
  <c r="F1525" i="33"/>
  <c r="F1524" i="33"/>
  <c r="F1523" i="33"/>
  <c r="F1522" i="33"/>
  <c r="F1521" i="33"/>
  <c r="F1520" i="33"/>
  <c r="F1519" i="33"/>
  <c r="F1518" i="33"/>
  <c r="F1517" i="33"/>
  <c r="F1516" i="33"/>
  <c r="F1515" i="33"/>
  <c r="F1514" i="33"/>
  <c r="F1513" i="33"/>
  <c r="F1512" i="33"/>
  <c r="F1511" i="33"/>
  <c r="F1510" i="33"/>
  <c r="F1509" i="33"/>
  <c r="F1508" i="33"/>
  <c r="F1507" i="33"/>
  <c r="F1506" i="33"/>
  <c r="F1505" i="33"/>
  <c r="F1504" i="33"/>
  <c r="F1503" i="33"/>
  <c r="F1502" i="33"/>
  <c r="F1501" i="33"/>
  <c r="F1500" i="33"/>
  <c r="F1499" i="33"/>
  <c r="F1498" i="33"/>
  <c r="F1497" i="33"/>
  <c r="F1496" i="33"/>
  <c r="F1495" i="33"/>
  <c r="F1494" i="33"/>
  <c r="F1493" i="33"/>
  <c r="F1492" i="33"/>
  <c r="F1491" i="33"/>
  <c r="F1490" i="33"/>
  <c r="F1489" i="33"/>
  <c r="F1488" i="33"/>
  <c r="F1487" i="33"/>
  <c r="F1486" i="33"/>
  <c r="F1485" i="33"/>
  <c r="F1484" i="33"/>
  <c r="F1483" i="33"/>
  <c r="F1482" i="33"/>
  <c r="F1481" i="33"/>
  <c r="F1480" i="33"/>
  <c r="F1479" i="33"/>
  <c r="F1478" i="33"/>
  <c r="F1477" i="33"/>
  <c r="F1476" i="33"/>
  <c r="F1475" i="33"/>
  <c r="F1474" i="33"/>
  <c r="F1473" i="33"/>
  <c r="F1472" i="33"/>
  <c r="F1471" i="33"/>
  <c r="F1470" i="33"/>
  <c r="F1469" i="33"/>
  <c r="F1468" i="33"/>
  <c r="F1467" i="33"/>
  <c r="F1466" i="33"/>
  <c r="F1465" i="33"/>
  <c r="F1464" i="33"/>
  <c r="F1463" i="33"/>
  <c r="F1462" i="33"/>
  <c r="F1461" i="33"/>
  <c r="F1460" i="33"/>
  <c r="F1459" i="33"/>
  <c r="F1458" i="33"/>
  <c r="F1457" i="33"/>
  <c r="F1456" i="33"/>
  <c r="F1455" i="33"/>
  <c r="F1454" i="33"/>
  <c r="F1453" i="33"/>
  <c r="F1452" i="33"/>
  <c r="F1451" i="33"/>
  <c r="F1450" i="33"/>
  <c r="F1449" i="33"/>
  <c r="F1448" i="33"/>
  <c r="F1447" i="33"/>
  <c r="F1446" i="33"/>
  <c r="F1445" i="33"/>
  <c r="F1444" i="33"/>
  <c r="F1443" i="33"/>
  <c r="F1442" i="33"/>
  <c r="F1441" i="33"/>
  <c r="F1440" i="33"/>
  <c r="F1439" i="33"/>
  <c r="F1438" i="33"/>
  <c r="F1437" i="33"/>
  <c r="F1436" i="33"/>
  <c r="F1435" i="33"/>
  <c r="F1434" i="33"/>
  <c r="F1433" i="33"/>
  <c r="F1432" i="33"/>
  <c r="F1431" i="33"/>
  <c r="F1430" i="33"/>
  <c r="F1429" i="33"/>
  <c r="F1428" i="33"/>
  <c r="F1427" i="33"/>
  <c r="F1426" i="33"/>
  <c r="F1425" i="33"/>
  <c r="F1424" i="33"/>
  <c r="F1423" i="33"/>
  <c r="F1422" i="33"/>
  <c r="F1421" i="33"/>
  <c r="F1420" i="33"/>
  <c r="F1419" i="33"/>
  <c r="F1418" i="33"/>
  <c r="F1417" i="33"/>
  <c r="F1416" i="33"/>
  <c r="F1415" i="33"/>
  <c r="F1414" i="33"/>
  <c r="F1413" i="33"/>
  <c r="F1412" i="33"/>
  <c r="F1411" i="33"/>
  <c r="F1410" i="33"/>
  <c r="F1409" i="33"/>
  <c r="F1408" i="33"/>
  <c r="F1407" i="33"/>
  <c r="F1406" i="33"/>
  <c r="F1405" i="33"/>
  <c r="F1404" i="33"/>
  <c r="F1403" i="33"/>
  <c r="F1402" i="33"/>
  <c r="F1401" i="33"/>
  <c r="F1400" i="33"/>
  <c r="F1399" i="33"/>
  <c r="F1398" i="33"/>
  <c r="F1397" i="33"/>
  <c r="F1396" i="33"/>
  <c r="F1395" i="33"/>
  <c r="F1394" i="33"/>
  <c r="F1393" i="33"/>
  <c r="F1392" i="33"/>
  <c r="F1391" i="33"/>
  <c r="F1390" i="33"/>
  <c r="F1389" i="33"/>
  <c r="F1388" i="33"/>
  <c r="F1387" i="33"/>
  <c r="F1386" i="33"/>
  <c r="F1385" i="33"/>
  <c r="F1384" i="33"/>
  <c r="F1383" i="33"/>
  <c r="F1382" i="33"/>
  <c r="F1381" i="33"/>
  <c r="F1380" i="33"/>
  <c r="F1379" i="33"/>
  <c r="F1378" i="33"/>
  <c r="F1377" i="33"/>
  <c r="F1376" i="33"/>
  <c r="F1375" i="33"/>
  <c r="F1374" i="33"/>
  <c r="F1373" i="33"/>
  <c r="F1372" i="33"/>
  <c r="F1371" i="33"/>
  <c r="F1370" i="33"/>
  <c r="F1369" i="33"/>
  <c r="F1368" i="33"/>
  <c r="F1367" i="33"/>
  <c r="F1366" i="33"/>
  <c r="F1365" i="33"/>
  <c r="F1364" i="33"/>
  <c r="F1363" i="33"/>
  <c r="F1362" i="33"/>
  <c r="F1361" i="33"/>
  <c r="F1360" i="33"/>
  <c r="F1359" i="33"/>
  <c r="F1358" i="33"/>
  <c r="F1357" i="33"/>
  <c r="F1356" i="33"/>
  <c r="F1355" i="33"/>
  <c r="F1354" i="33"/>
  <c r="F1353" i="33"/>
  <c r="F1352" i="33"/>
  <c r="F1351" i="33"/>
  <c r="F1350" i="33"/>
  <c r="F1349" i="33"/>
  <c r="F1348" i="33"/>
  <c r="F1347" i="33"/>
  <c r="F1346" i="33"/>
  <c r="F1345" i="33"/>
  <c r="F1344" i="33"/>
  <c r="F1343" i="33"/>
  <c r="F1342" i="33"/>
  <c r="F1341" i="33"/>
  <c r="F1340" i="33"/>
  <c r="F1339" i="33"/>
  <c r="F1338" i="33"/>
  <c r="F1337" i="33"/>
  <c r="F1336" i="33"/>
  <c r="F1335" i="33"/>
  <c r="F1334" i="33"/>
  <c r="F1333" i="33"/>
  <c r="F1332" i="33"/>
  <c r="F1331" i="33"/>
  <c r="F1330" i="33"/>
  <c r="F1329" i="33"/>
  <c r="F1328" i="33"/>
  <c r="F1327" i="33"/>
  <c r="F1326" i="33"/>
  <c r="F1325" i="33"/>
  <c r="F1324" i="33"/>
  <c r="F1323" i="33"/>
  <c r="F1322" i="33"/>
  <c r="F1321" i="33"/>
  <c r="F1320" i="33"/>
  <c r="F1319" i="33"/>
  <c r="F1318" i="33"/>
  <c r="F1317" i="33"/>
  <c r="F1316" i="33"/>
  <c r="F1315" i="33"/>
  <c r="F1314" i="33"/>
  <c r="F1313" i="33"/>
  <c r="F1312" i="33"/>
  <c r="F1311" i="33"/>
  <c r="F1310" i="33"/>
  <c r="F1309" i="33"/>
  <c r="F1308" i="33"/>
  <c r="F1307" i="33"/>
  <c r="F1306" i="33"/>
  <c r="F1305" i="33"/>
  <c r="F1304" i="33"/>
  <c r="F1303" i="33"/>
  <c r="F1302" i="33"/>
  <c r="F1301" i="33"/>
  <c r="F1300" i="33"/>
  <c r="F1299" i="33"/>
  <c r="F1298" i="33"/>
  <c r="F1297" i="33"/>
  <c r="F1296" i="33"/>
  <c r="F1295" i="33"/>
  <c r="F1294" i="33"/>
  <c r="F1293" i="33"/>
  <c r="F1292" i="33"/>
  <c r="F1291" i="33"/>
  <c r="F1290" i="33"/>
  <c r="F1289" i="33"/>
  <c r="F1288" i="33"/>
  <c r="F1287" i="33"/>
  <c r="F1286" i="33"/>
  <c r="F1285" i="33"/>
  <c r="F1284" i="33"/>
  <c r="F1283" i="33"/>
  <c r="F1282" i="33"/>
  <c r="F1281" i="33"/>
  <c r="F1280" i="33"/>
  <c r="F1279" i="33"/>
  <c r="F1278" i="33"/>
  <c r="F1277" i="33"/>
  <c r="F1276" i="33"/>
  <c r="F1275" i="33"/>
  <c r="F1274" i="33"/>
  <c r="F1273" i="33"/>
  <c r="F1272" i="33"/>
  <c r="F1271" i="33"/>
  <c r="F1270" i="33"/>
  <c r="F1269" i="33"/>
  <c r="F1268" i="33"/>
  <c r="F1267" i="33"/>
  <c r="F1266" i="33"/>
  <c r="F1265" i="33"/>
  <c r="F1264" i="33"/>
  <c r="F1263" i="33"/>
  <c r="F1262" i="33"/>
  <c r="F1261" i="33"/>
  <c r="F1260" i="33"/>
  <c r="F1259" i="33"/>
  <c r="F1258" i="33"/>
  <c r="F1257" i="33"/>
  <c r="F1256" i="33"/>
  <c r="F1255" i="33"/>
  <c r="F1254" i="33"/>
  <c r="F1253" i="33"/>
  <c r="F1252" i="33"/>
  <c r="F1251" i="33"/>
  <c r="F1250" i="33"/>
  <c r="F1249" i="33"/>
  <c r="F1248" i="33"/>
  <c r="F1247" i="33"/>
  <c r="F1246" i="33"/>
  <c r="F1245" i="33"/>
  <c r="F1244" i="33"/>
  <c r="F1243" i="33"/>
  <c r="F1242" i="33"/>
  <c r="F1241" i="33"/>
  <c r="F1240" i="33"/>
  <c r="F1239" i="33"/>
  <c r="F1238" i="33"/>
  <c r="F1237" i="33"/>
  <c r="F1236" i="33"/>
  <c r="F1235" i="33"/>
  <c r="F1234" i="33"/>
  <c r="F1233" i="33"/>
  <c r="F1232" i="33"/>
  <c r="F1229" i="33"/>
  <c r="F1228" i="33"/>
  <c r="F1227" i="33"/>
  <c r="F1226" i="33"/>
  <c r="F1225" i="33"/>
  <c r="F1224" i="33"/>
  <c r="F1223" i="33"/>
  <c r="F1222" i="33"/>
  <c r="F1221" i="33"/>
  <c r="F1220" i="33"/>
  <c r="F1219" i="33"/>
  <c r="F1218" i="33"/>
  <c r="F1217" i="33"/>
  <c r="F1216" i="33"/>
  <c r="F1215" i="33"/>
  <c r="F1214" i="33"/>
  <c r="F1213" i="33"/>
  <c r="F1212" i="33"/>
  <c r="F1211" i="33"/>
  <c r="F1210" i="33"/>
  <c r="F1209" i="33"/>
  <c r="F1208" i="33"/>
  <c r="F1207" i="33"/>
  <c r="F1206" i="33"/>
  <c r="F1205" i="33"/>
  <c r="F1204" i="33"/>
  <c r="F1203" i="33"/>
  <c r="F1202" i="33"/>
  <c r="F1201" i="33"/>
  <c r="F1200" i="33"/>
  <c r="F1199" i="33"/>
  <c r="F1198" i="33"/>
  <c r="F1197" i="33"/>
  <c r="F1196" i="33"/>
  <c r="F1195" i="33"/>
  <c r="F1194" i="33"/>
  <c r="F1193" i="33"/>
  <c r="F1192" i="33"/>
  <c r="F1191" i="33"/>
  <c r="F1190" i="33"/>
  <c r="F1189" i="33"/>
  <c r="F1188" i="33"/>
  <c r="F1187" i="33"/>
  <c r="F1186" i="33"/>
  <c r="F1185" i="33"/>
  <c r="F1184" i="33"/>
  <c r="F1183" i="33"/>
  <c r="F1182" i="33"/>
  <c r="F1181" i="33"/>
  <c r="F1180" i="33"/>
  <c r="F1179" i="33"/>
  <c r="F1178" i="33"/>
  <c r="F1177" i="33"/>
  <c r="F1176" i="33"/>
  <c r="F1175" i="33"/>
  <c r="F1174" i="33"/>
  <c r="F1173" i="33"/>
  <c r="F1172" i="33"/>
  <c r="F1171" i="33"/>
  <c r="F1170" i="33"/>
  <c r="F1169" i="33"/>
  <c r="F1168" i="33"/>
  <c r="F1167" i="33"/>
  <c r="F1166" i="33"/>
  <c r="F1165" i="33"/>
  <c r="F1164" i="33"/>
  <c r="F1163" i="33"/>
  <c r="F1162" i="33"/>
  <c r="F1161" i="33"/>
  <c r="F1160" i="33"/>
  <c r="F1159" i="33"/>
  <c r="F1158" i="33"/>
  <c r="F1157" i="33"/>
  <c r="F1156" i="33"/>
  <c r="F1155" i="33"/>
  <c r="F1154" i="33"/>
  <c r="F1153" i="33"/>
  <c r="F1152" i="33"/>
  <c r="F1151" i="33"/>
  <c r="F1150" i="33"/>
  <c r="F1149" i="33"/>
  <c r="F1148" i="33"/>
  <c r="F1147" i="33"/>
  <c r="F1146" i="33"/>
  <c r="F1145" i="33"/>
  <c r="F1144" i="33"/>
  <c r="F1143" i="33"/>
  <c r="F1142" i="33"/>
  <c r="F1141" i="33"/>
  <c r="F1140" i="33"/>
  <c r="F1139" i="33"/>
  <c r="F1138" i="33"/>
  <c r="F1137" i="33"/>
  <c r="F1136" i="33"/>
  <c r="F1135" i="33"/>
  <c r="F1134" i="33"/>
  <c r="F1133" i="33"/>
  <c r="F1132" i="33"/>
  <c r="F1131" i="33"/>
  <c r="F1130" i="33"/>
  <c r="F1129" i="33"/>
  <c r="F1128" i="33"/>
  <c r="F1127" i="33"/>
  <c r="F1126" i="33"/>
  <c r="F1125" i="33"/>
  <c r="F1124" i="33"/>
  <c r="F1123" i="33"/>
  <c r="F1122" i="33"/>
  <c r="F1121" i="33"/>
  <c r="F1120" i="33"/>
  <c r="F1119" i="33"/>
  <c r="F1118" i="33"/>
  <c r="F1117" i="33"/>
  <c r="F1116" i="33"/>
  <c r="F1115" i="33"/>
  <c r="F1114" i="33"/>
  <c r="F1113" i="33"/>
  <c r="F1112" i="33"/>
  <c r="F1111" i="33"/>
  <c r="F1110" i="33"/>
  <c r="F1109" i="33"/>
  <c r="F1108" i="33"/>
  <c r="F1107" i="33"/>
  <c r="F1106" i="33"/>
  <c r="F1105" i="33"/>
  <c r="F1104" i="33"/>
  <c r="F1103" i="33"/>
  <c r="F1102" i="33"/>
  <c r="F1101" i="33"/>
  <c r="F1100" i="33"/>
  <c r="F1099" i="33"/>
  <c r="F1098" i="33"/>
  <c r="F1097" i="33"/>
  <c r="F1096" i="33"/>
  <c r="F1095" i="33"/>
  <c r="F1094" i="33"/>
  <c r="F1093" i="33"/>
  <c r="F1092" i="33"/>
  <c r="F1091" i="33"/>
  <c r="F1090" i="33"/>
  <c r="F1089" i="33"/>
  <c r="F1088" i="33"/>
  <c r="F1087" i="33"/>
  <c r="F1086" i="33"/>
  <c r="F1085" i="33"/>
  <c r="F1084" i="33"/>
  <c r="F1083" i="33"/>
  <c r="F1082" i="33"/>
  <c r="F1081" i="33"/>
  <c r="F1080" i="33"/>
  <c r="F1079" i="33"/>
  <c r="F1078" i="33"/>
  <c r="F1077" i="33"/>
  <c r="F1076" i="33"/>
  <c r="F1075" i="33"/>
  <c r="F1074" i="33"/>
  <c r="F1073" i="33"/>
  <c r="F1072" i="33"/>
  <c r="F1071" i="33"/>
  <c r="F1070" i="33"/>
  <c r="F1069" i="33"/>
  <c r="F1068" i="33"/>
  <c r="F1067" i="33"/>
  <c r="F1066" i="33"/>
  <c r="F1065" i="33"/>
  <c r="F1064" i="33"/>
  <c r="F1063" i="33"/>
  <c r="F1062" i="33"/>
  <c r="F1061" i="33"/>
  <c r="F1060" i="33"/>
  <c r="F1059" i="33"/>
  <c r="F1058" i="33"/>
  <c r="F1057" i="33"/>
  <c r="F1056" i="33"/>
  <c r="F1055" i="33"/>
  <c r="F1054" i="33"/>
  <c r="F1053" i="33"/>
  <c r="F1052" i="33"/>
  <c r="F1051" i="33"/>
  <c r="F1050" i="33"/>
  <c r="F1049" i="33"/>
  <c r="F1048" i="33"/>
  <c r="F1047" i="33"/>
  <c r="F1046" i="33"/>
  <c r="F1045" i="33"/>
  <c r="F1044" i="33"/>
  <c r="F1043" i="33"/>
  <c r="F1042" i="33"/>
  <c r="F1041" i="33"/>
  <c r="F1040" i="33"/>
  <c r="F1039" i="33"/>
  <c r="F1038" i="33"/>
  <c r="F1037" i="33"/>
  <c r="F1036" i="33"/>
  <c r="F1035" i="33"/>
  <c r="F1034" i="33"/>
  <c r="F1033" i="33"/>
  <c r="F1032" i="33"/>
  <c r="F1031" i="33"/>
  <c r="F1030" i="33"/>
  <c r="F1029" i="33"/>
  <c r="F1028" i="33"/>
  <c r="F1027" i="33"/>
  <c r="F1026" i="33"/>
  <c r="F1025" i="33"/>
  <c r="F1024" i="33"/>
  <c r="F1023" i="33"/>
  <c r="F1022" i="33"/>
  <c r="F1021" i="33"/>
  <c r="F1020" i="33"/>
  <c r="F1019" i="33"/>
  <c r="F1018" i="33"/>
  <c r="F1017" i="33"/>
  <c r="F1016" i="33"/>
  <c r="F1015" i="33"/>
  <c r="F1014" i="33"/>
  <c r="F1013" i="33"/>
  <c r="F1012" i="33"/>
  <c r="F1011" i="33"/>
  <c r="F1010" i="33"/>
  <c r="F1009" i="33"/>
  <c r="F1008" i="33"/>
  <c r="F1007" i="33"/>
  <c r="F1006" i="33"/>
  <c r="F1005" i="33"/>
  <c r="F1004" i="33"/>
  <c r="F1003" i="33"/>
  <c r="F1002" i="33"/>
  <c r="F1001" i="33"/>
  <c r="F1000" i="33"/>
  <c r="F999" i="33"/>
  <c r="F998" i="33"/>
  <c r="F997" i="33"/>
  <c r="F996" i="33"/>
  <c r="F995" i="33"/>
  <c r="F994" i="33"/>
  <c r="F993" i="33"/>
  <c r="F992" i="33"/>
  <c r="F991" i="33"/>
  <c r="F990" i="33"/>
  <c r="F989" i="33"/>
  <c r="F988" i="33"/>
  <c r="F987" i="33"/>
  <c r="F986" i="33"/>
  <c r="F985" i="33"/>
  <c r="F984" i="33"/>
  <c r="F983" i="33"/>
  <c r="F982" i="33"/>
  <c r="F981" i="33"/>
  <c r="F980" i="33"/>
  <c r="F979" i="33"/>
  <c r="F978" i="33"/>
  <c r="F977" i="33"/>
  <c r="F976" i="33"/>
  <c r="F975" i="33"/>
  <c r="F974" i="33"/>
  <c r="F973" i="33"/>
  <c r="F972" i="33"/>
  <c r="F971" i="33"/>
  <c r="F970" i="33"/>
  <c r="F969" i="33"/>
  <c r="F968" i="33"/>
  <c r="F967" i="33"/>
  <c r="F966" i="33"/>
  <c r="F965" i="33"/>
  <c r="F964" i="33"/>
  <c r="F963" i="33"/>
  <c r="F962" i="33"/>
  <c r="F961" i="33"/>
  <c r="F960" i="33"/>
  <c r="F959" i="33"/>
  <c r="F958" i="33"/>
  <c r="F957" i="33"/>
  <c r="F956" i="33"/>
  <c r="F955" i="33"/>
  <c r="F954" i="33"/>
  <c r="F953" i="33"/>
  <c r="F952" i="33"/>
  <c r="F951" i="33"/>
  <c r="F950" i="33"/>
  <c r="F949" i="33"/>
  <c r="F948" i="33"/>
  <c r="F947" i="33"/>
  <c r="F946" i="33"/>
  <c r="F945" i="33"/>
  <c r="F944" i="33"/>
  <c r="F943" i="33"/>
  <c r="F942" i="33"/>
  <c r="F941" i="33"/>
  <c r="F940" i="33"/>
  <c r="F939" i="33"/>
  <c r="F938" i="33"/>
  <c r="F937" i="33"/>
  <c r="F936" i="33"/>
  <c r="F935" i="33"/>
  <c r="F934" i="33"/>
  <c r="F933" i="33"/>
  <c r="F932" i="33"/>
  <c r="F931" i="33"/>
  <c r="F930" i="33"/>
  <c r="F929" i="33"/>
  <c r="F928" i="33"/>
  <c r="F927" i="33"/>
  <c r="F926" i="33"/>
  <c r="F925" i="33"/>
  <c r="F924" i="33"/>
  <c r="F923" i="33"/>
  <c r="F922" i="33"/>
  <c r="F921" i="33"/>
  <c r="F920" i="33"/>
  <c r="F919" i="33"/>
  <c r="F918" i="33"/>
  <c r="F917" i="33"/>
  <c r="F916" i="33"/>
  <c r="F915" i="33"/>
  <c r="F914" i="33"/>
  <c r="F913" i="33"/>
  <c r="F912" i="33"/>
  <c r="F911" i="33"/>
  <c r="F910" i="33"/>
  <c r="F909" i="33"/>
  <c r="F908" i="33"/>
  <c r="F907" i="33"/>
  <c r="F906" i="33"/>
  <c r="F905" i="33"/>
  <c r="F904" i="33"/>
  <c r="F903" i="33"/>
  <c r="F902" i="33"/>
  <c r="F901" i="33"/>
  <c r="F900" i="33"/>
  <c r="F899" i="33"/>
  <c r="F898" i="33"/>
  <c r="F897" i="33"/>
  <c r="F896" i="33"/>
  <c r="F895" i="33"/>
  <c r="F894" i="33"/>
  <c r="F893" i="33"/>
  <c r="F892" i="33"/>
  <c r="F891" i="33"/>
  <c r="F890" i="33"/>
  <c r="F889" i="33"/>
  <c r="F888" i="33"/>
  <c r="F887" i="33"/>
  <c r="F886" i="33"/>
  <c r="F885" i="33"/>
  <c r="F884" i="33"/>
  <c r="F883" i="33"/>
  <c r="F882" i="33"/>
  <c r="F881" i="33"/>
  <c r="F880" i="33"/>
  <c r="F879" i="33"/>
  <c r="F878" i="33"/>
  <c r="F877" i="33"/>
  <c r="F876" i="33"/>
  <c r="F875" i="33"/>
  <c r="F874" i="33"/>
  <c r="F873" i="33"/>
  <c r="F872" i="33"/>
  <c r="F871" i="33"/>
  <c r="F870" i="33"/>
  <c r="F869" i="33"/>
  <c r="F868" i="33"/>
  <c r="F867" i="33"/>
  <c r="F866" i="33"/>
  <c r="F865" i="33"/>
  <c r="F864" i="33"/>
  <c r="F863" i="33"/>
  <c r="F862" i="33"/>
  <c r="F861" i="33"/>
  <c r="F860" i="33"/>
  <c r="F859" i="33"/>
  <c r="F858" i="33"/>
  <c r="F857" i="33"/>
  <c r="F856" i="33"/>
  <c r="F855" i="33"/>
  <c r="F854" i="33"/>
  <c r="F853" i="33"/>
  <c r="F852" i="33"/>
  <c r="F851" i="33"/>
  <c r="F850" i="33"/>
  <c r="F849" i="33"/>
  <c r="F848" i="33"/>
  <c r="F847" i="33"/>
  <c r="F846" i="33"/>
  <c r="F845" i="33"/>
  <c r="F844" i="33"/>
  <c r="F843" i="33"/>
  <c r="F842" i="33"/>
  <c r="F841" i="33"/>
  <c r="F840" i="33"/>
  <c r="F839" i="33"/>
  <c r="F838" i="33"/>
  <c r="F837" i="33"/>
  <c r="F836" i="33"/>
  <c r="F835" i="33"/>
  <c r="F834" i="33"/>
  <c r="F833" i="33"/>
  <c r="F832" i="33"/>
  <c r="F831" i="33"/>
  <c r="F830" i="33"/>
  <c r="F829" i="33"/>
  <c r="F828" i="33"/>
  <c r="F827" i="33"/>
  <c r="F826" i="33"/>
  <c r="F825" i="33"/>
  <c r="F824" i="33"/>
  <c r="F823" i="33"/>
  <c r="F822" i="33"/>
  <c r="F821" i="33"/>
  <c r="F820" i="33"/>
  <c r="F819" i="33"/>
  <c r="F818" i="33"/>
  <c r="F817" i="33"/>
  <c r="F816" i="33"/>
  <c r="F815" i="33"/>
  <c r="F814" i="33"/>
  <c r="F813" i="33"/>
  <c r="F812" i="33"/>
  <c r="F811" i="33"/>
  <c r="F810" i="33"/>
  <c r="F809" i="33"/>
  <c r="F808" i="33"/>
  <c r="F807" i="33"/>
  <c r="F806" i="33"/>
  <c r="F805" i="33"/>
  <c r="F804" i="33"/>
  <c r="F803" i="33"/>
  <c r="F802" i="33"/>
  <c r="F801" i="33"/>
  <c r="F800" i="33"/>
  <c r="F799" i="33"/>
  <c r="F798" i="33"/>
  <c r="F797" i="33"/>
  <c r="F796" i="33"/>
  <c r="F795" i="33"/>
  <c r="F794" i="33"/>
  <c r="F793" i="33"/>
  <c r="F792" i="33"/>
  <c r="F791" i="33"/>
  <c r="F790" i="33"/>
  <c r="F789" i="33"/>
  <c r="F788" i="33"/>
  <c r="F787" i="33"/>
  <c r="F786" i="33"/>
  <c r="F785" i="33"/>
  <c r="F784" i="33"/>
  <c r="F783" i="33"/>
  <c r="F782" i="33"/>
  <c r="F781" i="33"/>
  <c r="F780" i="33"/>
  <c r="F779" i="33"/>
  <c r="F778" i="33"/>
  <c r="F777" i="33"/>
  <c r="F776" i="33"/>
  <c r="F775" i="33"/>
  <c r="F774" i="33"/>
  <c r="F773" i="33"/>
  <c r="F772" i="33"/>
  <c r="F771" i="33"/>
  <c r="F770" i="33"/>
  <c r="F769" i="33"/>
  <c r="F768" i="33"/>
  <c r="F767" i="33"/>
  <c r="F766" i="33"/>
  <c r="F765" i="33"/>
  <c r="F764" i="33"/>
  <c r="F763" i="33"/>
  <c r="F762" i="33"/>
  <c r="F761" i="33"/>
  <c r="F760" i="33"/>
  <c r="F759" i="33"/>
  <c r="F758" i="33"/>
  <c r="F757" i="33"/>
  <c r="F756" i="33"/>
  <c r="F755" i="33"/>
  <c r="F754" i="33"/>
  <c r="F753" i="33"/>
  <c r="F752" i="33"/>
  <c r="F751" i="33"/>
  <c r="F750" i="33"/>
  <c r="F749" i="33"/>
  <c r="F748" i="33"/>
  <c r="F747" i="33"/>
  <c r="F746" i="33"/>
  <c r="F745" i="33"/>
  <c r="F744" i="33"/>
  <c r="F743" i="33"/>
  <c r="F742" i="33"/>
  <c r="F741" i="33"/>
  <c r="F740" i="33"/>
  <c r="F739" i="33"/>
  <c r="F738" i="33"/>
  <c r="F737" i="33"/>
  <c r="F736" i="33"/>
  <c r="F735" i="33"/>
  <c r="F734" i="33"/>
  <c r="F733" i="33"/>
  <c r="F732" i="33"/>
  <c r="F731" i="33"/>
  <c r="F730" i="33"/>
  <c r="F729" i="33"/>
  <c r="F728" i="33"/>
  <c r="F727" i="33"/>
  <c r="F726" i="33"/>
  <c r="F725" i="33"/>
  <c r="F724" i="33"/>
  <c r="F723" i="33"/>
  <c r="F722" i="33"/>
  <c r="F721" i="33"/>
  <c r="F720" i="33"/>
  <c r="F719" i="33"/>
  <c r="F718" i="33"/>
  <c r="F717" i="33"/>
  <c r="F716" i="33"/>
  <c r="F715" i="33"/>
  <c r="F714" i="33"/>
  <c r="F713" i="33"/>
  <c r="F712" i="33"/>
  <c r="F711" i="33"/>
  <c r="F710" i="33"/>
  <c r="F709" i="33"/>
  <c r="F708" i="33"/>
  <c r="F707" i="33"/>
  <c r="F706" i="33"/>
  <c r="F705" i="33"/>
  <c r="F704" i="33"/>
  <c r="F703" i="33"/>
  <c r="F702" i="33"/>
  <c r="F701" i="33"/>
  <c r="F700" i="33"/>
  <c r="F699" i="33"/>
  <c r="F698" i="33"/>
  <c r="F697" i="33"/>
  <c r="F696" i="33"/>
  <c r="F695" i="33"/>
  <c r="F694" i="33"/>
  <c r="F693" i="33"/>
  <c r="F692" i="33"/>
  <c r="F691" i="33"/>
  <c r="F690" i="33"/>
  <c r="F689" i="33"/>
  <c r="F688" i="33"/>
  <c r="F687" i="33"/>
  <c r="F686" i="33"/>
  <c r="F685" i="33"/>
  <c r="F684" i="33"/>
  <c r="F683" i="33"/>
  <c r="F682" i="33"/>
  <c r="F681" i="33"/>
  <c r="F680" i="33"/>
  <c r="F679" i="33"/>
  <c r="F678" i="33"/>
  <c r="F677" i="33"/>
  <c r="F676" i="33"/>
  <c r="F675" i="33"/>
  <c r="F674" i="33"/>
  <c r="F673" i="33"/>
  <c r="F672" i="33"/>
  <c r="F671" i="33"/>
  <c r="F670" i="33"/>
  <c r="F669" i="33"/>
  <c r="F668" i="33"/>
  <c r="F667" i="33"/>
  <c r="F666" i="33"/>
  <c r="F665" i="33"/>
  <c r="F664" i="33"/>
  <c r="F663" i="33"/>
  <c r="F662" i="33"/>
  <c r="F661" i="33"/>
  <c r="F660" i="33"/>
  <c r="F659" i="33"/>
  <c r="F658" i="33"/>
  <c r="F657" i="33"/>
  <c r="F656" i="33"/>
  <c r="F655" i="33"/>
  <c r="F654" i="33"/>
  <c r="F653" i="33"/>
  <c r="F652" i="33"/>
  <c r="F651" i="33"/>
  <c r="F650" i="33"/>
  <c r="F649" i="33"/>
  <c r="F648" i="33"/>
  <c r="F647" i="33"/>
  <c r="F646" i="33"/>
  <c r="F645" i="33"/>
  <c r="F644" i="33"/>
  <c r="F643" i="33"/>
  <c r="F642" i="33"/>
  <c r="F641" i="33"/>
  <c r="F640" i="33"/>
  <c r="F639" i="33"/>
  <c r="F638" i="33"/>
  <c r="F637" i="33"/>
  <c r="F636" i="33"/>
  <c r="F635" i="33"/>
  <c r="F634" i="33"/>
  <c r="F633" i="33"/>
  <c r="F632" i="33"/>
  <c r="F631" i="33"/>
  <c r="F630" i="33"/>
  <c r="F629" i="33"/>
  <c r="F628" i="33"/>
  <c r="F627" i="33"/>
  <c r="F626" i="33"/>
  <c r="F625" i="33"/>
  <c r="F624" i="33"/>
  <c r="F623" i="33"/>
  <c r="F622" i="33"/>
  <c r="F621" i="33"/>
  <c r="F620" i="33"/>
  <c r="F619" i="33"/>
  <c r="F618" i="33"/>
  <c r="F617" i="33"/>
  <c r="F616" i="33"/>
  <c r="F615" i="33"/>
  <c r="F614" i="33"/>
  <c r="F613" i="33"/>
  <c r="F612" i="33"/>
  <c r="F611" i="33"/>
  <c r="F610" i="33"/>
  <c r="F609" i="33"/>
  <c r="F608" i="33"/>
  <c r="F607" i="33"/>
  <c r="F606" i="33"/>
  <c r="F605" i="33"/>
  <c r="F604" i="33"/>
  <c r="F603" i="33"/>
  <c r="F602" i="33"/>
  <c r="F601" i="33"/>
  <c r="F600" i="33"/>
  <c r="F599" i="33"/>
  <c r="F598" i="33"/>
  <c r="F597" i="33"/>
  <c r="F596" i="33"/>
  <c r="F595" i="33"/>
  <c r="F594" i="33"/>
  <c r="F593" i="33"/>
  <c r="F592" i="33"/>
  <c r="F591" i="33"/>
  <c r="F590" i="33"/>
  <c r="F589" i="33"/>
  <c r="F588" i="33"/>
  <c r="F587" i="33"/>
  <c r="F586" i="33"/>
  <c r="F585" i="33"/>
  <c r="F584" i="33"/>
  <c r="F583" i="33"/>
  <c r="F582" i="33"/>
  <c r="F581" i="33"/>
  <c r="F580" i="33"/>
  <c r="F579" i="33"/>
  <c r="F578" i="33"/>
  <c r="F577" i="33"/>
  <c r="F576" i="33"/>
  <c r="F575" i="33"/>
  <c r="F574" i="33"/>
  <c r="F573" i="33"/>
  <c r="F572" i="33"/>
  <c r="F571" i="33"/>
  <c r="F570" i="33"/>
  <c r="F569" i="33"/>
  <c r="F568" i="33"/>
  <c r="F567" i="33"/>
  <c r="F566" i="33"/>
  <c r="F565" i="33"/>
  <c r="F564" i="33"/>
  <c r="F563" i="33"/>
  <c r="F562" i="33"/>
  <c r="F561" i="33"/>
  <c r="F560" i="33"/>
  <c r="F559" i="33"/>
  <c r="F558" i="33"/>
  <c r="F557" i="33"/>
  <c r="F556" i="33"/>
  <c r="F555" i="33"/>
  <c r="F554" i="33"/>
  <c r="F553" i="33"/>
  <c r="F552" i="33"/>
  <c r="F551" i="33"/>
  <c r="F550" i="33"/>
  <c r="F549" i="33"/>
  <c r="F548" i="33"/>
  <c r="F547" i="33"/>
  <c r="F546" i="33"/>
  <c r="F545" i="33"/>
  <c r="F544" i="33"/>
  <c r="F543" i="33"/>
  <c r="F542" i="33"/>
  <c r="F541" i="33"/>
  <c r="F540" i="33"/>
  <c r="F539" i="33"/>
  <c r="F538" i="33"/>
  <c r="F537" i="33"/>
  <c r="F536" i="33"/>
  <c r="F535" i="33"/>
  <c r="F534" i="33"/>
  <c r="F533" i="33"/>
  <c r="F532" i="33"/>
  <c r="F531" i="33"/>
  <c r="F530" i="33"/>
  <c r="F529" i="33"/>
  <c r="F528" i="33"/>
  <c r="F527" i="33"/>
  <c r="F526" i="33"/>
  <c r="F525" i="33"/>
  <c r="F524" i="33"/>
  <c r="F523" i="33"/>
  <c r="F522" i="33"/>
  <c r="F521" i="33"/>
  <c r="F520" i="33"/>
  <c r="F519" i="33"/>
  <c r="F518" i="33"/>
  <c r="F517" i="33"/>
  <c r="F516" i="33"/>
  <c r="F515" i="33"/>
  <c r="F514" i="33"/>
  <c r="F513" i="33"/>
  <c r="F512" i="33"/>
  <c r="F511" i="33"/>
  <c r="F510" i="33"/>
  <c r="F509" i="33"/>
  <c r="F508" i="33"/>
  <c r="F507" i="33"/>
  <c r="F506" i="33"/>
  <c r="F505" i="33"/>
  <c r="F504" i="33"/>
  <c r="F503" i="33"/>
  <c r="F502" i="33"/>
  <c r="F501" i="33"/>
  <c r="F500" i="33"/>
  <c r="F499" i="33"/>
  <c r="F498" i="33"/>
  <c r="F497" i="33"/>
  <c r="F496" i="33"/>
  <c r="F495" i="33"/>
  <c r="F494" i="33"/>
  <c r="F493" i="33"/>
  <c r="F492" i="33"/>
  <c r="F491" i="33"/>
  <c r="F490" i="33"/>
  <c r="F489" i="33"/>
  <c r="F488" i="33"/>
  <c r="F487" i="33"/>
  <c r="F486" i="33"/>
  <c r="F485" i="33"/>
  <c r="F484" i="33"/>
  <c r="F483" i="33"/>
  <c r="F482" i="33"/>
  <c r="F481" i="33"/>
  <c r="F480" i="33"/>
  <c r="F479" i="33"/>
  <c r="F478" i="33"/>
  <c r="F477" i="33"/>
  <c r="F476" i="33"/>
  <c r="F475" i="33"/>
  <c r="F474" i="33"/>
  <c r="F473" i="33"/>
  <c r="F472" i="33"/>
  <c r="F471" i="33"/>
  <c r="F470" i="33"/>
  <c r="F469" i="33"/>
  <c r="F468" i="33"/>
  <c r="F467" i="33"/>
  <c r="F466" i="33"/>
  <c r="F465" i="33"/>
  <c r="F464" i="33"/>
  <c r="F463" i="33"/>
  <c r="F462" i="33"/>
  <c r="F461" i="33"/>
  <c r="F460" i="33"/>
  <c r="F459" i="33"/>
  <c r="F458" i="33"/>
  <c r="F457" i="33"/>
  <c r="F456" i="33"/>
  <c r="F455" i="33"/>
  <c r="F454" i="33"/>
  <c r="F453" i="33"/>
  <c r="F452" i="33"/>
  <c r="F451" i="33"/>
  <c r="F450" i="33"/>
  <c r="F449" i="33"/>
  <c r="F448" i="33"/>
  <c r="F447" i="33"/>
  <c r="F446" i="33"/>
  <c r="F445" i="33"/>
  <c r="F444" i="33"/>
  <c r="F443" i="33"/>
  <c r="F442" i="33"/>
  <c r="F441" i="33"/>
  <c r="F440" i="33"/>
  <c r="F439" i="33"/>
  <c r="F438" i="33"/>
  <c r="F437" i="33"/>
  <c r="F436" i="33"/>
  <c r="F435" i="33"/>
  <c r="F434" i="33"/>
  <c r="F433" i="33"/>
  <c r="F432" i="33"/>
  <c r="F431" i="33"/>
  <c r="F430" i="33"/>
  <c r="F429" i="33"/>
  <c r="F428" i="33"/>
  <c r="F427" i="33"/>
  <c r="F426" i="33"/>
  <c r="F425" i="33"/>
  <c r="F424" i="33"/>
  <c r="F423" i="33"/>
  <c r="F422" i="33"/>
  <c r="F421" i="33"/>
  <c r="F420" i="33"/>
  <c r="F419" i="33"/>
  <c r="F418" i="33"/>
  <c r="F417" i="33"/>
  <c r="F416" i="33"/>
  <c r="F415" i="33"/>
  <c r="F414" i="33"/>
  <c r="F413" i="33"/>
  <c r="F412" i="33"/>
  <c r="F411" i="33"/>
  <c r="F410" i="33"/>
  <c r="F409" i="33"/>
  <c r="F408" i="33"/>
  <c r="F407" i="33"/>
  <c r="F406" i="33"/>
  <c r="F405" i="33"/>
  <c r="F404" i="33"/>
  <c r="F403" i="33"/>
  <c r="F402" i="33"/>
  <c r="F401" i="33"/>
  <c r="F400" i="33"/>
  <c r="F399" i="33"/>
  <c r="F398" i="33"/>
  <c r="F397" i="33"/>
  <c r="F396" i="33"/>
  <c r="F395" i="33"/>
  <c r="F394" i="33"/>
  <c r="F393" i="33"/>
  <c r="F392" i="33"/>
  <c r="F391" i="33"/>
  <c r="F390" i="33"/>
  <c r="F389" i="33"/>
  <c r="F388" i="33"/>
  <c r="F387" i="33"/>
  <c r="F386" i="33"/>
  <c r="F385" i="33"/>
  <c r="F384" i="33"/>
  <c r="F383" i="33"/>
  <c r="F382" i="33"/>
  <c r="F381" i="33"/>
  <c r="F380" i="33"/>
  <c r="F379" i="33"/>
  <c r="F378" i="33"/>
  <c r="F377" i="33"/>
  <c r="F376" i="33"/>
  <c r="F375" i="33"/>
  <c r="F374" i="33"/>
  <c r="F373" i="33"/>
  <c r="F372" i="33"/>
  <c r="F371" i="33"/>
  <c r="F370" i="33"/>
  <c r="F369" i="33"/>
  <c r="F368" i="33"/>
  <c r="F367" i="33"/>
  <c r="F366" i="33"/>
  <c r="F365" i="33"/>
  <c r="F364" i="33"/>
  <c r="F363" i="33"/>
  <c r="F362" i="33"/>
  <c r="F361" i="33"/>
  <c r="F360" i="33"/>
  <c r="F359" i="33"/>
  <c r="F358" i="33"/>
  <c r="F357" i="33"/>
  <c r="F356" i="33"/>
  <c r="F355" i="33"/>
  <c r="F354" i="33"/>
  <c r="F353" i="33"/>
  <c r="F352" i="33"/>
  <c r="F351" i="33"/>
  <c r="F350" i="33"/>
  <c r="F349" i="33"/>
  <c r="F348" i="33"/>
  <c r="F347" i="33"/>
  <c r="F346" i="33"/>
  <c r="F345" i="33"/>
  <c r="F344" i="33"/>
  <c r="F343" i="33"/>
  <c r="F342" i="33"/>
  <c r="F341" i="33"/>
  <c r="F340" i="33"/>
  <c r="F339" i="33"/>
  <c r="F338" i="33"/>
  <c r="F337" i="33"/>
  <c r="F336" i="33"/>
  <c r="F335" i="33"/>
  <c r="F334" i="33"/>
  <c r="F333" i="33"/>
  <c r="F332" i="33"/>
  <c r="F331" i="33"/>
  <c r="F330" i="33"/>
  <c r="F329" i="33"/>
  <c r="F328" i="33"/>
  <c r="F327" i="33"/>
  <c r="F326" i="33"/>
  <c r="F325" i="33"/>
  <c r="F324" i="33"/>
  <c r="F323" i="33"/>
  <c r="F322" i="33"/>
  <c r="F321" i="33"/>
  <c r="F320" i="33"/>
  <c r="F319" i="33"/>
  <c r="F318" i="33"/>
  <c r="F317" i="33"/>
  <c r="F316" i="33"/>
  <c r="F315" i="33"/>
  <c r="F314" i="33"/>
  <c r="F313" i="33"/>
  <c r="F312" i="33"/>
  <c r="F311" i="33"/>
  <c r="F310" i="33"/>
  <c r="F309" i="33"/>
  <c r="F308" i="33"/>
  <c r="F307" i="33"/>
  <c r="F306" i="33"/>
  <c r="F305" i="33"/>
  <c r="F304" i="33"/>
  <c r="F303" i="33"/>
  <c r="F302" i="33"/>
  <c r="F301" i="33"/>
  <c r="F300" i="33"/>
  <c r="F299" i="33"/>
  <c r="F298" i="33"/>
  <c r="F297" i="33"/>
  <c r="F296" i="33"/>
  <c r="F295" i="33"/>
  <c r="F294" i="33"/>
  <c r="F293" i="33"/>
  <c r="F292" i="33"/>
  <c r="F291" i="33"/>
  <c r="F290" i="33"/>
  <c r="F289" i="33"/>
  <c r="F288" i="33"/>
  <c r="F287" i="33"/>
  <c r="F286" i="33"/>
  <c r="F285" i="33"/>
  <c r="F284" i="33"/>
  <c r="F283" i="33"/>
  <c r="F282" i="33"/>
  <c r="F281" i="33"/>
  <c r="F280" i="33"/>
  <c r="F279" i="33"/>
  <c r="F278" i="33"/>
  <c r="F277" i="33"/>
  <c r="F276" i="33"/>
  <c r="F275" i="33"/>
  <c r="F274" i="33"/>
  <c r="F273" i="33"/>
  <c r="F272" i="33"/>
  <c r="F271" i="33"/>
  <c r="F270" i="33"/>
  <c r="F269" i="33"/>
  <c r="F268" i="33"/>
  <c r="F267" i="33"/>
  <c r="F266" i="33"/>
  <c r="F265" i="33"/>
  <c r="F264" i="33"/>
  <c r="F263" i="33"/>
  <c r="F262" i="33"/>
  <c r="F261" i="33"/>
  <c r="F260" i="33"/>
  <c r="F259" i="33"/>
  <c r="F258" i="33"/>
  <c r="F257" i="33"/>
  <c r="F256" i="33"/>
  <c r="F255" i="33"/>
  <c r="F254" i="33"/>
  <c r="F253" i="33"/>
  <c r="F252" i="33"/>
  <c r="F251" i="33"/>
  <c r="F250" i="33"/>
  <c r="F249" i="33"/>
  <c r="F248" i="33"/>
  <c r="F247" i="33"/>
  <c r="F246" i="33"/>
  <c r="F245" i="33"/>
  <c r="F244" i="33"/>
  <c r="F243" i="33"/>
  <c r="F242" i="33"/>
  <c r="F241" i="33"/>
  <c r="F240" i="33"/>
  <c r="F239" i="33"/>
  <c r="F238" i="33"/>
  <c r="F237" i="33"/>
  <c r="F236" i="33"/>
  <c r="F235" i="33"/>
  <c r="F234" i="33"/>
  <c r="F233" i="33"/>
  <c r="F232" i="33"/>
  <c r="F231" i="33"/>
  <c r="F230" i="33"/>
  <c r="F229" i="33"/>
  <c r="F228" i="33"/>
  <c r="F227" i="33"/>
  <c r="F226" i="33"/>
  <c r="F225" i="33"/>
  <c r="F224" i="33"/>
  <c r="F223" i="33"/>
  <c r="F222" i="33"/>
  <c r="F221" i="33"/>
  <c r="F220" i="33"/>
  <c r="F219" i="33"/>
  <c r="F218" i="33"/>
  <c r="F217" i="33"/>
  <c r="F216" i="33"/>
  <c r="F215" i="33"/>
  <c r="F214" i="33"/>
  <c r="F213" i="33"/>
  <c r="F212" i="33"/>
  <c r="F211" i="33"/>
  <c r="F210" i="33"/>
  <c r="F209" i="33"/>
  <c r="F208" i="33"/>
  <c r="F207" i="33"/>
  <c r="F206" i="33"/>
  <c r="F205" i="33"/>
  <c r="F204" i="33"/>
  <c r="F203" i="33"/>
  <c r="F202" i="33"/>
  <c r="F201" i="33"/>
  <c r="F200" i="33"/>
  <c r="F199" i="33"/>
  <c r="F198" i="33"/>
  <c r="F197" i="33"/>
  <c r="F196" i="33"/>
  <c r="F195" i="33"/>
  <c r="F194" i="33"/>
  <c r="F193" i="33"/>
  <c r="F192" i="33"/>
  <c r="F191" i="33"/>
  <c r="F190" i="33"/>
  <c r="F189" i="33"/>
  <c r="F188" i="33"/>
  <c r="F187" i="33"/>
  <c r="F186" i="33"/>
  <c r="F185" i="33"/>
  <c r="F184" i="33"/>
  <c r="F183" i="33"/>
  <c r="F182" i="33"/>
  <c r="F181" i="33"/>
  <c r="F180" i="33"/>
  <c r="F179" i="33"/>
  <c r="F178" i="33"/>
  <c r="F177" i="33"/>
  <c r="F176" i="33"/>
  <c r="F175" i="33"/>
  <c r="F174" i="33"/>
  <c r="F173" i="33"/>
  <c r="F172" i="33"/>
  <c r="F171" i="33"/>
  <c r="F170" i="33"/>
  <c r="F169" i="33"/>
  <c r="F168" i="33"/>
  <c r="F167" i="33"/>
  <c r="F166" i="33"/>
  <c r="F165" i="33"/>
  <c r="F164" i="33"/>
  <c r="F163" i="33"/>
  <c r="F162" i="33"/>
  <c r="F161" i="33"/>
  <c r="F160" i="33"/>
  <c r="F159" i="33"/>
  <c r="F158" i="33"/>
  <c r="F157" i="33"/>
  <c r="F156" i="33"/>
  <c r="F155" i="33"/>
  <c r="F154" i="33"/>
  <c r="F153" i="33"/>
  <c r="F152" i="33"/>
  <c r="F151" i="33"/>
  <c r="F150" i="33"/>
  <c r="F149" i="33"/>
  <c r="F148" i="33"/>
  <c r="F147" i="33"/>
  <c r="F146" i="33"/>
  <c r="F145" i="33"/>
  <c r="F144" i="33"/>
  <c r="F143" i="33"/>
  <c r="F142" i="33"/>
  <c r="F141" i="33"/>
  <c r="F140" i="33"/>
  <c r="F139" i="33"/>
  <c r="F138" i="33"/>
  <c r="F137" i="33"/>
  <c r="F136" i="33"/>
  <c r="F135" i="33"/>
  <c r="F134" i="33"/>
  <c r="F133" i="33"/>
  <c r="F132" i="33"/>
  <c r="F131" i="33"/>
  <c r="F130" i="33"/>
  <c r="F129" i="33"/>
  <c r="F128" i="33"/>
  <c r="F127" i="33"/>
  <c r="F126" i="33"/>
  <c r="F125" i="33"/>
  <c r="F124" i="33"/>
  <c r="F123" i="33"/>
  <c r="F122" i="33"/>
  <c r="F121" i="33"/>
  <c r="F120" i="33"/>
  <c r="F119" i="33"/>
  <c r="F118" i="33"/>
  <c r="F117" i="33"/>
  <c r="F116" i="33"/>
  <c r="F115" i="33"/>
  <c r="F114" i="33"/>
  <c r="F113" i="33"/>
  <c r="F112" i="33"/>
  <c r="F111" i="33"/>
  <c r="F110" i="33"/>
  <c r="F109" i="33"/>
  <c r="F108" i="33"/>
  <c r="F107" i="33"/>
  <c r="F106" i="33"/>
  <c r="F105" i="33"/>
  <c r="F104" i="33"/>
  <c r="F103" i="33"/>
  <c r="F102" i="33"/>
  <c r="F101" i="33"/>
  <c r="F100" i="33"/>
  <c r="F99" i="33"/>
  <c r="F98" i="33"/>
  <c r="F97" i="33"/>
  <c r="F96" i="33"/>
  <c r="F95" i="33"/>
  <c r="F94" i="33"/>
  <c r="F93" i="33"/>
  <c r="F92" i="33"/>
  <c r="F91" i="33"/>
  <c r="F90" i="33"/>
  <c r="F89" i="33"/>
  <c r="F88" i="33"/>
  <c r="F87" i="33"/>
  <c r="F86" i="33"/>
  <c r="F85" i="33"/>
  <c r="F84" i="33"/>
  <c r="F83" i="33"/>
  <c r="F82" i="33"/>
  <c r="F81" i="33"/>
  <c r="F80" i="33"/>
  <c r="F79" i="33"/>
  <c r="F78" i="33"/>
  <c r="F77" i="33"/>
  <c r="F76" i="33"/>
  <c r="F75" i="33"/>
  <c r="F74" i="33"/>
  <c r="F73" i="33"/>
  <c r="F72" i="33"/>
  <c r="F71" i="33"/>
  <c r="F70" i="33"/>
  <c r="F69" i="33"/>
  <c r="F68" i="33"/>
  <c r="F67" i="33"/>
  <c r="F66" i="33"/>
  <c r="F65" i="33"/>
  <c r="F64" i="33"/>
  <c r="F63" i="33"/>
  <c r="F62" i="33"/>
  <c r="F61" i="33"/>
  <c r="F60" i="33"/>
  <c r="F59" i="33"/>
  <c r="F58" i="33"/>
  <c r="F57" i="33"/>
  <c r="F56" i="33"/>
  <c r="F55" i="33"/>
  <c r="F54" i="33"/>
  <c r="F53" i="33"/>
  <c r="F52" i="33"/>
  <c r="F51" i="33"/>
  <c r="F50" i="33"/>
  <c r="F49" i="33"/>
  <c r="F48" i="33"/>
  <c r="F47" i="33"/>
  <c r="F45" i="33"/>
  <c r="F44" i="33"/>
  <c r="F43" i="33"/>
  <c r="F42" i="33"/>
  <c r="F41" i="33"/>
  <c r="F40" i="33"/>
  <c r="F39" i="33"/>
  <c r="F38" i="33"/>
  <c r="F37" i="33"/>
  <c r="F36" i="33"/>
  <c r="F35" i="33"/>
  <c r="F34" i="33"/>
  <c r="F33" i="33"/>
  <c r="F32" i="33"/>
  <c r="F31" i="33"/>
  <c r="F30" i="33"/>
  <c r="F29" i="33"/>
  <c r="F28" i="33"/>
  <c r="F27" i="33"/>
  <c r="F26" i="33"/>
  <c r="F25" i="33"/>
  <c r="F24" i="33"/>
  <c r="F23" i="33"/>
  <c r="F22" i="33"/>
  <c r="F21" i="33"/>
  <c r="F20" i="33"/>
  <c r="F19" i="33"/>
  <c r="F18" i="33"/>
  <c r="F17" i="33"/>
  <c r="F16" i="33"/>
  <c r="F15" i="33"/>
  <c r="F14" i="33"/>
  <c r="F13" i="33"/>
  <c r="F12" i="33"/>
  <c r="F11" i="33"/>
  <c r="F10" i="33"/>
  <c r="F9" i="33"/>
  <c r="F8" i="33"/>
  <c r="F7" i="33"/>
  <c r="F6" i="33"/>
  <c r="F5" i="33"/>
  <c r="F4" i="33"/>
  <c r="I2562" i="33"/>
  <c r="K2562" i="33" s="1"/>
  <c r="D29" i="31" l="1"/>
  <c r="D32" i="31" s="1"/>
  <c r="F29" i="31"/>
  <c r="E29" i="31"/>
  <c r="K2563" i="33"/>
  <c r="K2564" i="33" l="1"/>
  <c r="L1775" i="33" l="1"/>
  <c r="I1774" i="33"/>
  <c r="K1774" i="33" s="1"/>
  <c r="K1775" i="33" s="1"/>
  <c r="K1776" i="33" s="1"/>
  <c r="K1777" i="33" s="1"/>
  <c r="K1778" i="33" s="1"/>
  <c r="K1779" i="33" s="1"/>
  <c r="L1781" i="33"/>
  <c r="L1782" i="33" s="1"/>
  <c r="I1780" i="33"/>
  <c r="K1780" i="33" s="1"/>
  <c r="K1781" i="33" s="1"/>
  <c r="K1782" i="33" s="1"/>
  <c r="K1783" i="33" s="1"/>
  <c r="K1784" i="33" s="1"/>
  <c r="K1785" i="33" s="1"/>
  <c r="M1774" i="33" l="1"/>
  <c r="M1775" i="33"/>
  <c r="L1776" i="33"/>
  <c r="L1783" i="33"/>
  <c r="M1782" i="33"/>
  <c r="M1780" i="33"/>
  <c r="M1781" i="33"/>
  <c r="J1536" i="33"/>
  <c r="P1774" i="33" a="1"/>
  <c r="P1775" i="33" a="1"/>
  <c r="P1782" i="33" a="1"/>
  <c r="P1781" i="33" a="1"/>
  <c r="P1780" i="33" a="1"/>
  <c r="P1775" i="33" l="1"/>
  <c r="P1774" i="33"/>
  <c r="M1776" i="33"/>
  <c r="L1777" i="33"/>
  <c r="P1781" i="33"/>
  <c r="P1780" i="33"/>
  <c r="P1782" i="33"/>
  <c r="L1784" i="33"/>
  <c r="M1783" i="33"/>
  <c r="P1783" i="33" a="1"/>
  <c r="P1776" i="33" a="1"/>
  <c r="P1776" i="33" l="1"/>
  <c r="L1778" i="33"/>
  <c r="M1777" i="33"/>
  <c r="P1783" i="33"/>
  <c r="L1785" i="33"/>
  <c r="M1785" i="33" s="1"/>
  <c r="M1784" i="33"/>
  <c r="P1777" i="33" a="1"/>
  <c r="P1785" i="33" a="1"/>
  <c r="P1784" i="33" a="1"/>
  <c r="P1777" i="33" l="1"/>
  <c r="L1779" i="33"/>
  <c r="M1779" i="33" s="1"/>
  <c r="M1778" i="33"/>
  <c r="P1784" i="33"/>
  <c r="P1785" i="33"/>
  <c r="P1779" i="33" a="1"/>
  <c r="P1778" i="33" a="1"/>
  <c r="P1778" i="33" l="1"/>
  <c r="P1779" i="33"/>
  <c r="I1098" i="33" l="1"/>
  <c r="I1043" i="33"/>
  <c r="I21" i="34"/>
  <c r="I19" i="34"/>
  <c r="I18" i="34"/>
  <c r="I3" i="34"/>
  <c r="I6" i="34"/>
  <c r="I15" i="34"/>
  <c r="D3" i="19" l="1"/>
  <c r="E89" i="7"/>
  <c r="C29" i="10" l="1"/>
  <c r="C172" i="10" s="1"/>
  <c r="F61" i="19"/>
  <c r="F62" i="19"/>
  <c r="H29" i="10" s="1"/>
  <c r="J29" i="10" s="1"/>
  <c r="L29" i="10" s="1"/>
  <c r="N29" i="10" s="1"/>
  <c r="F36" i="19"/>
  <c r="F40" i="7"/>
  <c r="G40" i="7"/>
  <c r="AJ20" i="5"/>
  <c r="AJ19" i="5"/>
  <c r="AJ18" i="5"/>
  <c r="AJ17" i="5"/>
  <c r="AJ16" i="5"/>
  <c r="AJ15" i="5"/>
  <c r="AJ12" i="5"/>
  <c r="AJ11" i="5"/>
  <c r="AJ10" i="5"/>
  <c r="AJ9" i="5"/>
  <c r="AJ8" i="5"/>
  <c r="AJ7" i="5"/>
  <c r="Y20" i="5"/>
  <c r="Y19" i="5"/>
  <c r="Y18" i="5"/>
  <c r="Y17" i="5"/>
  <c r="Y16" i="5"/>
  <c r="Y15" i="5"/>
  <c r="Y12" i="5"/>
  <c r="Y11" i="5"/>
  <c r="Y10" i="5"/>
  <c r="Y9" i="5"/>
  <c r="Y8" i="5"/>
  <c r="Y7" i="5"/>
  <c r="AR7" i="5"/>
  <c r="AR31" i="5" s="1"/>
  <c r="AQ7" i="5"/>
  <c r="AQ31" i="5" s="1"/>
  <c r="AP7" i="5"/>
  <c r="AP31" i="5" s="1"/>
  <c r="AO7" i="5"/>
  <c r="AO31" i="5" s="1"/>
  <c r="AN7" i="5"/>
  <c r="AN31" i="5" s="1"/>
  <c r="AM7" i="5"/>
  <c r="AM31" i="5" s="1"/>
  <c r="AL7" i="5"/>
  <c r="AL31" i="5" s="1"/>
  <c r="AK7" i="5"/>
  <c r="AK31" i="5" s="1"/>
  <c r="AG7" i="5"/>
  <c r="AG23" i="5" s="1"/>
  <c r="AF7" i="5"/>
  <c r="AF23" i="5" s="1"/>
  <c r="AE7" i="5"/>
  <c r="AE23" i="5" s="1"/>
  <c r="AD7" i="5"/>
  <c r="AD23" i="5" s="1"/>
  <c r="AC7" i="5"/>
  <c r="AC23" i="5" s="1"/>
  <c r="AB7" i="5"/>
  <c r="AB31" i="5" s="1"/>
  <c r="AA7" i="5"/>
  <c r="AA31" i="5" s="1"/>
  <c r="Z7" i="5"/>
  <c r="Z31" i="5" s="1"/>
  <c r="N20" i="5"/>
  <c r="N19" i="5"/>
  <c r="N18" i="5"/>
  <c r="N17" i="5"/>
  <c r="N16" i="5"/>
  <c r="N15" i="5"/>
  <c r="V7" i="5"/>
  <c r="V15" i="5" s="1"/>
  <c r="U7" i="5"/>
  <c r="U15" i="5" s="1"/>
  <c r="T7" i="5"/>
  <c r="T31" i="5" s="1"/>
  <c r="S7" i="5"/>
  <c r="S31" i="5" s="1"/>
  <c r="R7" i="5"/>
  <c r="R31" i="5" s="1"/>
  <c r="Q7" i="5"/>
  <c r="Q31" i="5" s="1"/>
  <c r="P7" i="5"/>
  <c r="P31" i="5" s="1"/>
  <c r="O7" i="5"/>
  <c r="O31" i="5" s="1"/>
  <c r="N12" i="5"/>
  <c r="N11" i="5"/>
  <c r="N10" i="5"/>
  <c r="N9" i="5"/>
  <c r="N8" i="5"/>
  <c r="N7" i="5"/>
  <c r="K31" i="5"/>
  <c r="J31" i="5"/>
  <c r="I31" i="5"/>
  <c r="H31" i="5"/>
  <c r="G31" i="5"/>
  <c r="F31" i="5"/>
  <c r="E31" i="5"/>
  <c r="D31" i="5"/>
  <c r="K23" i="5"/>
  <c r="J23" i="5"/>
  <c r="I23" i="5"/>
  <c r="H23" i="5"/>
  <c r="G23" i="5"/>
  <c r="F23" i="5"/>
  <c r="E23" i="5"/>
  <c r="D23" i="5"/>
  <c r="C20" i="5"/>
  <c r="N28" i="5" s="1"/>
  <c r="C19" i="5"/>
  <c r="N27" i="5" s="1"/>
  <c r="C18" i="5"/>
  <c r="N26" i="5" s="1"/>
  <c r="C17" i="5"/>
  <c r="AJ25" i="5" s="1"/>
  <c r="C16" i="5"/>
  <c r="N24" i="5" s="1"/>
  <c r="C15" i="5"/>
  <c r="N23" i="5" s="1"/>
  <c r="K15" i="5"/>
  <c r="J15" i="5"/>
  <c r="I15" i="5"/>
  <c r="H15" i="5"/>
  <c r="G15" i="5"/>
  <c r="F15" i="5"/>
  <c r="E15" i="5"/>
  <c r="D15" i="5"/>
  <c r="AG31" i="5" l="1"/>
  <c r="AE31" i="5"/>
  <c r="AF31" i="5"/>
  <c r="AC31" i="5"/>
  <c r="AD31" i="5"/>
  <c r="U23" i="5"/>
  <c r="V23" i="5"/>
  <c r="U31" i="5"/>
  <c r="V31" i="5"/>
  <c r="C25" i="5"/>
  <c r="N33" i="5" s="1"/>
  <c r="C26" i="5"/>
  <c r="N34" i="5" s="1"/>
  <c r="C27" i="5"/>
  <c r="N35" i="5" s="1"/>
  <c r="C28" i="5"/>
  <c r="AJ36" i="5" s="1"/>
  <c r="N25" i="5"/>
  <c r="AG15" i="5"/>
  <c r="AR15" i="5"/>
  <c r="AR23" i="5"/>
  <c r="Y26" i="5"/>
  <c r="AJ26" i="5"/>
  <c r="Z15" i="5"/>
  <c r="Z23" i="5"/>
  <c r="AK15" i="5"/>
  <c r="AK23" i="5"/>
  <c r="Y27" i="5"/>
  <c r="AJ27" i="5"/>
  <c r="O15" i="5"/>
  <c r="O23" i="5"/>
  <c r="AA15" i="5"/>
  <c r="AA23" i="5"/>
  <c r="AL15" i="5"/>
  <c r="AL23" i="5"/>
  <c r="Y28" i="5"/>
  <c r="AJ28" i="5"/>
  <c r="P15" i="5"/>
  <c r="P23" i="5"/>
  <c r="AB15" i="5"/>
  <c r="AB23" i="5"/>
  <c r="AM15" i="5"/>
  <c r="AM23" i="5"/>
  <c r="Q15" i="5"/>
  <c r="Q23" i="5"/>
  <c r="AC15" i="5"/>
  <c r="AN15" i="5"/>
  <c r="AN23" i="5"/>
  <c r="R15" i="5"/>
  <c r="R23" i="5"/>
  <c r="AD15" i="5"/>
  <c r="AO15" i="5"/>
  <c r="AO23" i="5"/>
  <c r="Y23" i="5"/>
  <c r="AJ23" i="5"/>
  <c r="C23" i="5"/>
  <c r="S15" i="5"/>
  <c r="S23" i="5"/>
  <c r="AE15" i="5"/>
  <c r="AP15" i="5"/>
  <c r="AP23" i="5"/>
  <c r="Y24" i="5"/>
  <c r="AJ24" i="5"/>
  <c r="C24" i="5"/>
  <c r="T15" i="5"/>
  <c r="T23" i="5"/>
  <c r="AF15" i="5"/>
  <c r="AQ15" i="5"/>
  <c r="AQ23" i="5"/>
  <c r="Y25" i="5"/>
  <c r="V51" i="7"/>
  <c r="E40" i="7"/>
  <c r="I171" i="5"/>
  <c r="Y33" i="5" l="1"/>
  <c r="C34" i="5"/>
  <c r="AJ34" i="5"/>
  <c r="Y35" i="5"/>
  <c r="C33" i="5"/>
  <c r="Y34" i="5"/>
  <c r="AJ33" i="5"/>
  <c r="N36" i="5"/>
  <c r="C36" i="5"/>
  <c r="Y36" i="5"/>
  <c r="AJ35" i="5"/>
  <c r="C35" i="5"/>
  <c r="N32" i="5"/>
  <c r="C32" i="5"/>
  <c r="AJ32" i="5"/>
  <c r="Y32" i="5"/>
  <c r="N31" i="5"/>
  <c r="C31" i="5"/>
  <c r="AJ31" i="5"/>
  <c r="Y31" i="5"/>
  <c r="D76" i="27" l="1"/>
  <c r="E76" i="27"/>
  <c r="F76" i="27"/>
  <c r="G76" i="27"/>
  <c r="H76" i="27"/>
  <c r="I76" i="27"/>
  <c r="H534" i="1"/>
  <c r="H450" i="1"/>
  <c r="H489" i="1"/>
  <c r="E511" i="1"/>
  <c r="H511" i="1"/>
  <c r="H554" i="1"/>
  <c r="H584" i="1"/>
  <c r="H611" i="1"/>
  <c r="H633" i="1"/>
  <c r="H656" i="1"/>
  <c r="E656" i="1"/>
  <c r="E611" i="1"/>
  <c r="E584" i="1"/>
  <c r="E554" i="1"/>
  <c r="E534" i="1"/>
  <c r="E489" i="1"/>
  <c r="E450" i="1"/>
  <c r="E449" i="1"/>
  <c r="E448" i="1"/>
  <c r="E447" i="1"/>
  <c r="E446" i="1"/>
  <c r="E445" i="1"/>
  <c r="E444" i="1"/>
  <c r="E443" i="1"/>
  <c r="E442" i="1"/>
  <c r="H676" i="1"/>
  <c r="E677" i="1"/>
  <c r="E678" i="1"/>
  <c r="E679" i="1"/>
  <c r="E676" i="1"/>
  <c r="E662" i="1"/>
  <c r="E663" i="1"/>
  <c r="E664" i="1"/>
  <c r="E665" i="1"/>
  <c r="E666" i="1"/>
  <c r="E667" i="1"/>
  <c r="E668" i="1"/>
  <c r="E669" i="1"/>
  <c r="E670" i="1"/>
  <c r="E671" i="1"/>
  <c r="E672" i="1"/>
  <c r="E673" i="1"/>
  <c r="E674" i="1"/>
  <c r="E675" i="1"/>
  <c r="Z296" i="20"/>
  <c r="H296" i="20" s="1"/>
  <c r="M296" i="20"/>
  <c r="D296" i="20"/>
  <c r="Z276" i="20"/>
  <c r="H276" i="20" s="1"/>
  <c r="M276" i="20"/>
  <c r="D276" i="20"/>
  <c r="Z253" i="20"/>
  <c r="H253" i="20" s="1"/>
  <c r="M253" i="20"/>
  <c r="D253" i="20"/>
  <c r="Z231" i="20"/>
  <c r="H231" i="20" s="1"/>
  <c r="M231" i="20"/>
  <c r="D231" i="20"/>
  <c r="Z160" i="20"/>
  <c r="H160" i="20" s="1"/>
  <c r="M160" i="20"/>
  <c r="D160" i="20"/>
  <c r="Z140" i="20"/>
  <c r="H140" i="20" s="1"/>
  <c r="M140" i="20"/>
  <c r="D140" i="20"/>
  <c r="Z117" i="20"/>
  <c r="H117" i="20" s="1"/>
  <c r="M117" i="20"/>
  <c r="D117" i="20"/>
  <c r="Z95" i="20"/>
  <c r="H95" i="20" s="1"/>
  <c r="M95" i="20"/>
  <c r="D95" i="20"/>
  <c r="Z204" i="20"/>
  <c r="H204" i="20" s="1"/>
  <c r="M204" i="20"/>
  <c r="D204" i="20"/>
  <c r="Z56" i="20"/>
  <c r="H56" i="20" s="1"/>
  <c r="M56" i="20"/>
  <c r="D56" i="20"/>
  <c r="H13" i="34"/>
  <c r="F13" i="34"/>
  <c r="H12" i="34"/>
  <c r="F12" i="34"/>
  <c r="S840" i="1"/>
  <c r="I170" i="5"/>
  <c r="I169" i="5"/>
  <c r="I168" i="5"/>
  <c r="G112" i="26" s="1"/>
  <c r="G113" i="26" s="1"/>
  <c r="S839" i="1"/>
  <c r="G222" i="4"/>
  <c r="F222" i="4"/>
  <c r="E222" i="4"/>
  <c r="D222" i="4"/>
  <c r="G769" i="1"/>
  <c r="F21" i="34"/>
  <c r="H21" i="34"/>
  <c r="C40" i="7"/>
  <c r="B40" i="7"/>
  <c r="BU69" i="4"/>
  <c r="BW98" i="4"/>
  <c r="BW89" i="4"/>
  <c r="BW80" i="4"/>
  <c r="BW71" i="4"/>
  <c r="BK69" i="4"/>
  <c r="BM98" i="4"/>
  <c r="BM89" i="4"/>
  <c r="BM80" i="4"/>
  <c r="BM71" i="4"/>
  <c r="B661" i="3"/>
  <c r="B656" i="3"/>
  <c r="B651" i="3"/>
  <c r="B646" i="3"/>
  <c r="B641" i="3"/>
  <c r="B636" i="3"/>
  <c r="B631" i="3"/>
  <c r="B626" i="3"/>
  <c r="B621" i="3"/>
  <c r="B616" i="3"/>
  <c r="B611" i="3"/>
  <c r="B660" i="3"/>
  <c r="B655" i="3"/>
  <c r="B650" i="3"/>
  <c r="B645" i="3"/>
  <c r="B640" i="3"/>
  <c r="B635" i="3"/>
  <c r="B630" i="3"/>
  <c r="B625" i="3"/>
  <c r="B620" i="3"/>
  <c r="B615" i="3"/>
  <c r="B610" i="3"/>
  <c r="B659" i="3"/>
  <c r="B654" i="3"/>
  <c r="B649" i="3"/>
  <c r="B644" i="3"/>
  <c r="B639" i="3"/>
  <c r="B634" i="3"/>
  <c r="B629" i="3"/>
  <c r="B624" i="3"/>
  <c r="B619" i="3"/>
  <c r="B614" i="3"/>
  <c r="B609" i="3"/>
  <c r="B658" i="3"/>
  <c r="B653" i="3"/>
  <c r="B648" i="3"/>
  <c r="B643" i="3"/>
  <c r="B638" i="3"/>
  <c r="B633" i="3"/>
  <c r="B628" i="3"/>
  <c r="B623" i="3"/>
  <c r="B618" i="3"/>
  <c r="B613" i="3"/>
  <c r="B608" i="3"/>
  <c r="B657" i="3"/>
  <c r="B652" i="3"/>
  <c r="B647" i="3"/>
  <c r="B642" i="3"/>
  <c r="B637" i="3"/>
  <c r="B632" i="3"/>
  <c r="B627" i="3"/>
  <c r="B622" i="3"/>
  <c r="B617" i="3"/>
  <c r="B612" i="3"/>
  <c r="B607" i="3"/>
  <c r="D661" i="3"/>
  <c r="G661" i="3" s="1"/>
  <c r="C661" i="3"/>
  <c r="D660" i="3"/>
  <c r="G660" i="3" s="1"/>
  <c r="C660" i="3"/>
  <c r="D659" i="3"/>
  <c r="G659" i="3" s="1"/>
  <c r="C659" i="3"/>
  <c r="D658" i="3"/>
  <c r="G658" i="3" s="1"/>
  <c r="C658" i="3"/>
  <c r="D657" i="3"/>
  <c r="G657" i="3" s="1"/>
  <c r="C657" i="3"/>
  <c r="D656" i="3"/>
  <c r="G656" i="3" s="1"/>
  <c r="C656" i="3"/>
  <c r="D655" i="3"/>
  <c r="G655" i="3" s="1"/>
  <c r="C655" i="3"/>
  <c r="D654" i="3"/>
  <c r="G654" i="3" s="1"/>
  <c r="C654" i="3"/>
  <c r="D653" i="3"/>
  <c r="G653" i="3" s="1"/>
  <c r="C653" i="3"/>
  <c r="D652" i="3"/>
  <c r="G652" i="3" s="1"/>
  <c r="C652" i="3"/>
  <c r="D651" i="3"/>
  <c r="G651" i="3" s="1"/>
  <c r="C651" i="3"/>
  <c r="D650" i="3"/>
  <c r="G650" i="3" s="1"/>
  <c r="C650" i="3"/>
  <c r="D649" i="3"/>
  <c r="G649" i="3" s="1"/>
  <c r="C649" i="3"/>
  <c r="D648" i="3"/>
  <c r="G648" i="3" s="1"/>
  <c r="C648" i="3"/>
  <c r="D647" i="3"/>
  <c r="G647" i="3" s="1"/>
  <c r="C647" i="3"/>
  <c r="D646" i="3"/>
  <c r="G646" i="3" s="1"/>
  <c r="C646" i="3"/>
  <c r="D645" i="3"/>
  <c r="G645" i="3" s="1"/>
  <c r="C645" i="3"/>
  <c r="D644" i="3"/>
  <c r="G644" i="3" s="1"/>
  <c r="C644" i="3"/>
  <c r="D643" i="3"/>
  <c r="G643" i="3" s="1"/>
  <c r="C643" i="3"/>
  <c r="D642" i="3"/>
  <c r="G642" i="3" s="1"/>
  <c r="C642" i="3"/>
  <c r="D641" i="3"/>
  <c r="G641" i="3" s="1"/>
  <c r="C641" i="3"/>
  <c r="D640" i="3"/>
  <c r="G640" i="3" s="1"/>
  <c r="C640" i="3"/>
  <c r="D639" i="3"/>
  <c r="G639" i="3" s="1"/>
  <c r="C639" i="3"/>
  <c r="D638" i="3"/>
  <c r="G638" i="3" s="1"/>
  <c r="C638" i="3"/>
  <c r="D637" i="3"/>
  <c r="G637" i="3" s="1"/>
  <c r="C637" i="3"/>
  <c r="D636" i="3"/>
  <c r="G636" i="3" s="1"/>
  <c r="C636" i="3"/>
  <c r="D635" i="3"/>
  <c r="G635" i="3" s="1"/>
  <c r="C635" i="3"/>
  <c r="D634" i="3"/>
  <c r="G634" i="3" s="1"/>
  <c r="C634" i="3"/>
  <c r="D633" i="3"/>
  <c r="G633" i="3" s="1"/>
  <c r="C633" i="3"/>
  <c r="D632" i="3"/>
  <c r="G632" i="3" s="1"/>
  <c r="C632" i="3"/>
  <c r="D631" i="3"/>
  <c r="G631" i="3" s="1"/>
  <c r="C631" i="3"/>
  <c r="D630" i="3"/>
  <c r="G630" i="3" s="1"/>
  <c r="C630" i="3"/>
  <c r="D629" i="3"/>
  <c r="G629" i="3" s="1"/>
  <c r="C629" i="3"/>
  <c r="D628" i="3"/>
  <c r="G628" i="3" s="1"/>
  <c r="C628" i="3"/>
  <c r="D627" i="3"/>
  <c r="G627" i="3" s="1"/>
  <c r="C627" i="3"/>
  <c r="D626" i="3"/>
  <c r="G626" i="3" s="1"/>
  <c r="C626" i="3"/>
  <c r="D625" i="3"/>
  <c r="G625" i="3" s="1"/>
  <c r="C625" i="3"/>
  <c r="D624" i="3"/>
  <c r="G624" i="3" s="1"/>
  <c r="C624" i="3"/>
  <c r="D623" i="3"/>
  <c r="G623" i="3" s="1"/>
  <c r="C623" i="3"/>
  <c r="D622" i="3"/>
  <c r="G622" i="3" s="1"/>
  <c r="C622" i="3"/>
  <c r="D621" i="3"/>
  <c r="G621" i="3" s="1"/>
  <c r="C621" i="3"/>
  <c r="D620" i="3"/>
  <c r="G620" i="3" s="1"/>
  <c r="C620" i="3"/>
  <c r="D619" i="3"/>
  <c r="G619" i="3" s="1"/>
  <c r="C619" i="3"/>
  <c r="D618" i="3"/>
  <c r="G618" i="3" s="1"/>
  <c r="C618" i="3"/>
  <c r="D617" i="3"/>
  <c r="G617" i="3" s="1"/>
  <c r="C617" i="3"/>
  <c r="D616" i="3"/>
  <c r="G616" i="3" s="1"/>
  <c r="C616" i="3"/>
  <c r="D615" i="3"/>
  <c r="G615" i="3" s="1"/>
  <c r="C615" i="3"/>
  <c r="D614" i="3"/>
  <c r="G614" i="3" s="1"/>
  <c r="C614" i="3"/>
  <c r="D613" i="3"/>
  <c r="G613" i="3" s="1"/>
  <c r="C613" i="3"/>
  <c r="D612" i="3"/>
  <c r="G612" i="3" s="1"/>
  <c r="C612" i="3"/>
  <c r="D611" i="3"/>
  <c r="G611" i="3" s="1"/>
  <c r="C611" i="3"/>
  <c r="D610" i="3"/>
  <c r="G610" i="3" s="1"/>
  <c r="C610" i="3"/>
  <c r="D609" i="3"/>
  <c r="G609" i="3" s="1"/>
  <c r="C609" i="3"/>
  <c r="D608" i="3"/>
  <c r="G608" i="3" s="1"/>
  <c r="C608" i="3"/>
  <c r="D607" i="3"/>
  <c r="G607" i="3" s="1"/>
  <c r="C607" i="3"/>
  <c r="K6" i="3"/>
  <c r="K7" i="3"/>
  <c r="B606" i="3"/>
  <c r="B601" i="3"/>
  <c r="B596" i="3"/>
  <c r="B591" i="3"/>
  <c r="B586" i="3"/>
  <c r="B581" i="3"/>
  <c r="B576" i="3"/>
  <c r="B571" i="3"/>
  <c r="B566" i="3"/>
  <c r="B561" i="3"/>
  <c r="B605" i="3"/>
  <c r="B600" i="3"/>
  <c r="B595" i="3"/>
  <c r="B590" i="3"/>
  <c r="B585" i="3"/>
  <c r="B580" i="3"/>
  <c r="B575" i="3"/>
  <c r="B570" i="3"/>
  <c r="B565" i="3"/>
  <c r="B560" i="3"/>
  <c r="B604" i="3"/>
  <c r="B599" i="3"/>
  <c r="B594" i="3"/>
  <c r="B589" i="3"/>
  <c r="B584" i="3"/>
  <c r="B579" i="3"/>
  <c r="B574" i="3"/>
  <c r="B569" i="3"/>
  <c r="B564" i="3"/>
  <c r="B559" i="3"/>
  <c r="B603" i="3"/>
  <c r="B598" i="3"/>
  <c r="B593" i="3"/>
  <c r="B588" i="3"/>
  <c r="B583" i="3"/>
  <c r="B578" i="3"/>
  <c r="B573" i="3"/>
  <c r="B568" i="3"/>
  <c r="B563" i="3"/>
  <c r="B558" i="3"/>
  <c r="B602" i="3"/>
  <c r="B597" i="3"/>
  <c r="B592" i="3"/>
  <c r="B587" i="3"/>
  <c r="B582" i="3"/>
  <c r="B577" i="3"/>
  <c r="B572" i="3"/>
  <c r="B567" i="3"/>
  <c r="B562" i="3"/>
  <c r="B557" i="3"/>
  <c r="B553" i="3"/>
  <c r="B554" i="3"/>
  <c r="B555" i="3"/>
  <c r="B556" i="3"/>
  <c r="B552" i="3"/>
  <c r="D606" i="3"/>
  <c r="G606" i="3" s="1"/>
  <c r="C606" i="3"/>
  <c r="D605" i="3"/>
  <c r="G605" i="3" s="1"/>
  <c r="C605" i="3"/>
  <c r="D604" i="3"/>
  <c r="G604" i="3" s="1"/>
  <c r="C604" i="3"/>
  <c r="D603" i="3"/>
  <c r="G603" i="3" s="1"/>
  <c r="C603" i="3"/>
  <c r="D602" i="3"/>
  <c r="G602" i="3" s="1"/>
  <c r="C602" i="3"/>
  <c r="D601" i="3"/>
  <c r="G601" i="3" s="1"/>
  <c r="C601" i="3"/>
  <c r="D600" i="3"/>
  <c r="G600" i="3" s="1"/>
  <c r="C600" i="3"/>
  <c r="D599" i="3"/>
  <c r="G599" i="3" s="1"/>
  <c r="C599" i="3"/>
  <c r="D598" i="3"/>
  <c r="G598" i="3" s="1"/>
  <c r="C598" i="3"/>
  <c r="D597" i="3"/>
  <c r="G597" i="3" s="1"/>
  <c r="C597" i="3"/>
  <c r="D596" i="3"/>
  <c r="G596" i="3" s="1"/>
  <c r="C596" i="3"/>
  <c r="D595" i="3"/>
  <c r="G595" i="3" s="1"/>
  <c r="C595" i="3"/>
  <c r="D594" i="3"/>
  <c r="G594" i="3" s="1"/>
  <c r="C594" i="3"/>
  <c r="D593" i="3"/>
  <c r="G593" i="3" s="1"/>
  <c r="C593" i="3"/>
  <c r="D592" i="3"/>
  <c r="G592" i="3" s="1"/>
  <c r="C592" i="3"/>
  <c r="D591" i="3"/>
  <c r="G591" i="3" s="1"/>
  <c r="C591" i="3"/>
  <c r="D590" i="3"/>
  <c r="G590" i="3" s="1"/>
  <c r="C590" i="3"/>
  <c r="D589" i="3"/>
  <c r="G589" i="3" s="1"/>
  <c r="C589" i="3"/>
  <c r="D588" i="3"/>
  <c r="G588" i="3" s="1"/>
  <c r="C588" i="3"/>
  <c r="D587" i="3"/>
  <c r="G587" i="3" s="1"/>
  <c r="C587" i="3"/>
  <c r="D586" i="3"/>
  <c r="G586" i="3" s="1"/>
  <c r="C586" i="3"/>
  <c r="D585" i="3"/>
  <c r="G585" i="3" s="1"/>
  <c r="C585" i="3"/>
  <c r="D584" i="3"/>
  <c r="G584" i="3" s="1"/>
  <c r="C584" i="3"/>
  <c r="D583" i="3"/>
  <c r="G583" i="3" s="1"/>
  <c r="C583" i="3"/>
  <c r="D582" i="3"/>
  <c r="G582" i="3" s="1"/>
  <c r="C582" i="3"/>
  <c r="D581" i="3"/>
  <c r="G581" i="3" s="1"/>
  <c r="C581" i="3"/>
  <c r="D580" i="3"/>
  <c r="G580" i="3" s="1"/>
  <c r="C580" i="3"/>
  <c r="D579" i="3"/>
  <c r="G579" i="3" s="1"/>
  <c r="C579" i="3"/>
  <c r="D578" i="3"/>
  <c r="G578" i="3" s="1"/>
  <c r="C578" i="3"/>
  <c r="D577" i="3"/>
  <c r="G577" i="3" s="1"/>
  <c r="C577" i="3"/>
  <c r="D576" i="3"/>
  <c r="G576" i="3" s="1"/>
  <c r="C576" i="3"/>
  <c r="D575" i="3"/>
  <c r="G575" i="3" s="1"/>
  <c r="C575" i="3"/>
  <c r="D574" i="3"/>
  <c r="G574" i="3" s="1"/>
  <c r="C574" i="3"/>
  <c r="D573" i="3"/>
  <c r="G573" i="3" s="1"/>
  <c r="C573" i="3"/>
  <c r="D572" i="3"/>
  <c r="G572" i="3" s="1"/>
  <c r="C572" i="3"/>
  <c r="D571" i="3"/>
  <c r="G571" i="3" s="1"/>
  <c r="C571" i="3"/>
  <c r="D570" i="3"/>
  <c r="G570" i="3" s="1"/>
  <c r="C570" i="3"/>
  <c r="D569" i="3"/>
  <c r="G569" i="3" s="1"/>
  <c r="C569" i="3"/>
  <c r="D568" i="3"/>
  <c r="G568" i="3" s="1"/>
  <c r="C568" i="3"/>
  <c r="D567" i="3"/>
  <c r="G567" i="3" s="1"/>
  <c r="C567" i="3"/>
  <c r="D566" i="3"/>
  <c r="G566" i="3" s="1"/>
  <c r="C566" i="3"/>
  <c r="D565" i="3"/>
  <c r="G565" i="3" s="1"/>
  <c r="C565" i="3"/>
  <c r="D564" i="3"/>
  <c r="G564" i="3" s="1"/>
  <c r="C564" i="3"/>
  <c r="D563" i="3"/>
  <c r="G563" i="3" s="1"/>
  <c r="C563" i="3"/>
  <c r="D562" i="3"/>
  <c r="G562" i="3" s="1"/>
  <c r="C562" i="3"/>
  <c r="D561" i="3"/>
  <c r="G561" i="3" s="1"/>
  <c r="C561" i="3"/>
  <c r="D560" i="3"/>
  <c r="G560" i="3" s="1"/>
  <c r="C560" i="3"/>
  <c r="D559" i="3"/>
  <c r="G559" i="3" s="1"/>
  <c r="C559" i="3"/>
  <c r="D558" i="3"/>
  <c r="G558" i="3" s="1"/>
  <c r="C558" i="3"/>
  <c r="D557" i="3"/>
  <c r="G557" i="3" s="1"/>
  <c r="C557" i="3"/>
  <c r="D556" i="3"/>
  <c r="G556" i="3" s="1"/>
  <c r="C556" i="3"/>
  <c r="D555" i="3"/>
  <c r="G555" i="3" s="1"/>
  <c r="C555" i="3"/>
  <c r="D554" i="3"/>
  <c r="G554" i="3" s="1"/>
  <c r="C554" i="3"/>
  <c r="D553" i="3"/>
  <c r="G553" i="3" s="1"/>
  <c r="C553" i="3"/>
  <c r="D552" i="3"/>
  <c r="G552" i="3" s="1"/>
  <c r="C552" i="3"/>
  <c r="F661" i="3" l="1"/>
  <c r="T89" i="7"/>
  <c r="S89" i="7"/>
  <c r="F659" i="3"/>
  <c r="F603" i="3"/>
  <c r="F658" i="3"/>
  <c r="F602" i="3"/>
  <c r="F606" i="3"/>
  <c r="F604" i="3"/>
  <c r="F605" i="3"/>
  <c r="F657" i="3"/>
  <c r="F660" i="3"/>
  <c r="H40" i="7"/>
  <c r="H648" i="1"/>
  <c r="E648" i="1"/>
  <c r="H630" i="1"/>
  <c r="E630" i="1"/>
  <c r="H526" i="1"/>
  <c r="E526" i="1"/>
  <c r="H508" i="1"/>
  <c r="E508" i="1"/>
  <c r="Z268" i="20"/>
  <c r="H268" i="20" s="1"/>
  <c r="D268" i="20"/>
  <c r="M268" i="20"/>
  <c r="D132" i="20"/>
  <c r="M132" i="20"/>
  <c r="Z132" i="20"/>
  <c r="H132" i="20" s="1"/>
  <c r="Z114" i="20"/>
  <c r="H114" i="20" s="1"/>
  <c r="D114" i="20"/>
  <c r="M114" i="20"/>
  <c r="Z250" i="20"/>
  <c r="H250" i="20" s="1"/>
  <c r="D250" i="20"/>
  <c r="M250" i="20"/>
  <c r="M333" i="1" l="1"/>
  <c r="M329" i="1"/>
  <c r="H299" i="1"/>
  <c r="H289" i="1"/>
  <c r="L299" i="1"/>
  <c r="E299" i="1"/>
  <c r="L289" i="1"/>
  <c r="E289" i="1"/>
  <c r="A603" i="3" l="1"/>
  <c r="A595" i="3"/>
  <c r="A587" i="3"/>
  <c r="A579" i="3"/>
  <c r="A571" i="3"/>
  <c r="A563" i="3"/>
  <c r="A555" i="3"/>
  <c r="A576" i="3"/>
  <c r="A602" i="3"/>
  <c r="A594" i="3"/>
  <c r="A586" i="3"/>
  <c r="A578" i="3"/>
  <c r="A570" i="3"/>
  <c r="A562" i="3"/>
  <c r="A554" i="3"/>
  <c r="A567" i="3"/>
  <c r="A601" i="3"/>
  <c r="A593" i="3"/>
  <c r="A585" i="3"/>
  <c r="A577" i="3"/>
  <c r="A569" i="3"/>
  <c r="A561" i="3"/>
  <c r="A553" i="3"/>
  <c r="A584" i="3"/>
  <c r="A591" i="3"/>
  <c r="A600" i="3"/>
  <c r="A592" i="3"/>
  <c r="A568" i="3"/>
  <c r="A560" i="3"/>
  <c r="A552" i="3"/>
  <c r="A583" i="3"/>
  <c r="A575" i="3"/>
  <c r="A606" i="3"/>
  <c r="A598" i="3"/>
  <c r="A590" i="3"/>
  <c r="A582" i="3"/>
  <c r="A574" i="3"/>
  <c r="A566" i="3"/>
  <c r="A558" i="3"/>
  <c r="A605" i="3"/>
  <c r="A597" i="3"/>
  <c r="A589" i="3"/>
  <c r="A581" i="3"/>
  <c r="A573" i="3"/>
  <c r="A565" i="3"/>
  <c r="A557" i="3"/>
  <c r="A559" i="3"/>
  <c r="A604" i="3"/>
  <c r="A596" i="3"/>
  <c r="A588" i="3"/>
  <c r="A580" i="3"/>
  <c r="A572" i="3"/>
  <c r="A564" i="3"/>
  <c r="A556" i="3"/>
  <c r="A599" i="3"/>
  <c r="A609" i="3"/>
  <c r="A613" i="3"/>
  <c r="A621" i="3"/>
  <c r="A629" i="3"/>
  <c r="A637" i="3"/>
  <c r="A645" i="3"/>
  <c r="A653" i="3"/>
  <c r="A661" i="3"/>
  <c r="A614" i="3"/>
  <c r="A622" i="3"/>
  <c r="A630" i="3"/>
  <c r="A638" i="3"/>
  <c r="A646" i="3"/>
  <c r="A654" i="3"/>
  <c r="A607" i="3"/>
  <c r="A615" i="3"/>
  <c r="A623" i="3"/>
  <c r="A631" i="3"/>
  <c r="A639" i="3"/>
  <c r="A647" i="3"/>
  <c r="A655" i="3"/>
  <c r="A616" i="3"/>
  <c r="A624" i="3"/>
  <c r="A632" i="3"/>
  <c r="A640" i="3"/>
  <c r="A648" i="3"/>
  <c r="A656" i="3"/>
  <c r="A608" i="3"/>
  <c r="A617" i="3"/>
  <c r="A625" i="3"/>
  <c r="A633" i="3"/>
  <c r="A641" i="3"/>
  <c r="A649" i="3"/>
  <c r="A657" i="3"/>
  <c r="A610" i="3"/>
  <c r="A618" i="3"/>
  <c r="A626" i="3"/>
  <c r="A634" i="3"/>
  <c r="A642" i="3"/>
  <c r="A650" i="3"/>
  <c r="A658" i="3"/>
  <c r="A612" i="3"/>
  <c r="A620" i="3"/>
  <c r="A628" i="3"/>
  <c r="A636" i="3"/>
  <c r="A644" i="3"/>
  <c r="A652" i="3"/>
  <c r="A660" i="3"/>
  <c r="A643" i="3"/>
  <c r="A651" i="3"/>
  <c r="A659" i="3"/>
  <c r="A611" i="3"/>
  <c r="A619" i="3"/>
  <c r="A627" i="3"/>
  <c r="A635" i="3"/>
  <c r="E659" i="3"/>
  <c r="E651" i="3"/>
  <c r="E643" i="3"/>
  <c r="E635" i="3"/>
  <c r="E627" i="3"/>
  <c r="E619" i="3"/>
  <c r="E611" i="3"/>
  <c r="E658" i="3"/>
  <c r="E650" i="3"/>
  <c r="E642" i="3"/>
  <c r="E634" i="3"/>
  <c r="E626" i="3"/>
  <c r="E618" i="3"/>
  <c r="E610" i="3"/>
  <c r="E657" i="3"/>
  <c r="E649" i="3"/>
  <c r="E641" i="3"/>
  <c r="E633" i="3"/>
  <c r="E625" i="3"/>
  <c r="E617" i="3"/>
  <c r="E609" i="3"/>
  <c r="E656" i="3"/>
  <c r="E648" i="3"/>
  <c r="E640" i="3"/>
  <c r="E632" i="3"/>
  <c r="E624" i="3"/>
  <c r="E616" i="3"/>
  <c r="E608" i="3"/>
  <c r="E655" i="3"/>
  <c r="E647" i="3"/>
  <c r="E639" i="3"/>
  <c r="E631" i="3"/>
  <c r="E623" i="3"/>
  <c r="E615" i="3"/>
  <c r="E607" i="3"/>
  <c r="E654" i="3"/>
  <c r="E646" i="3"/>
  <c r="E638" i="3"/>
  <c r="E630" i="3"/>
  <c r="E622" i="3"/>
  <c r="E614" i="3"/>
  <c r="E661" i="3"/>
  <c r="E653" i="3"/>
  <c r="E645" i="3"/>
  <c r="E637" i="3"/>
  <c r="E629" i="3"/>
  <c r="E621" i="3"/>
  <c r="E613" i="3"/>
  <c r="E660" i="3"/>
  <c r="E652" i="3"/>
  <c r="E644" i="3"/>
  <c r="E636" i="3"/>
  <c r="E628" i="3"/>
  <c r="E620" i="3"/>
  <c r="E612" i="3"/>
  <c r="E606" i="3"/>
  <c r="E553" i="3"/>
  <c r="E561" i="3"/>
  <c r="E569" i="3"/>
  <c r="E577" i="3"/>
  <c r="E585" i="3"/>
  <c r="E593" i="3"/>
  <c r="E601" i="3"/>
  <c r="E573" i="3"/>
  <c r="E554" i="3"/>
  <c r="E562" i="3"/>
  <c r="E570" i="3"/>
  <c r="E578" i="3"/>
  <c r="E586" i="3"/>
  <c r="E594" i="3"/>
  <c r="E602" i="3"/>
  <c r="E565" i="3"/>
  <c r="E555" i="3"/>
  <c r="E563" i="3"/>
  <c r="E571" i="3"/>
  <c r="E579" i="3"/>
  <c r="E587" i="3"/>
  <c r="E595" i="3"/>
  <c r="E603" i="3"/>
  <c r="E604" i="3"/>
  <c r="E556" i="3"/>
  <c r="E564" i="3"/>
  <c r="E572" i="3"/>
  <c r="E580" i="3"/>
  <c r="E588" i="3"/>
  <c r="E596" i="3"/>
  <c r="E589" i="3"/>
  <c r="E557" i="3"/>
  <c r="E581" i="3"/>
  <c r="E605" i="3"/>
  <c r="E558" i="3"/>
  <c r="E566" i="3"/>
  <c r="E574" i="3"/>
  <c r="E582" i="3"/>
  <c r="E590" i="3"/>
  <c r="E598" i="3"/>
  <c r="E552" i="3"/>
  <c r="E559" i="3"/>
  <c r="E567" i="3"/>
  <c r="E575" i="3"/>
  <c r="E583" i="3"/>
  <c r="E591" i="3"/>
  <c r="E599" i="3"/>
  <c r="E597" i="3"/>
  <c r="E560" i="3"/>
  <c r="E568" i="3"/>
  <c r="E576" i="3"/>
  <c r="E584" i="3"/>
  <c r="E592" i="3"/>
  <c r="E600" i="3"/>
  <c r="X707" i="1"/>
  <c r="X708" i="1"/>
  <c r="X709" i="1"/>
  <c r="X710" i="1"/>
  <c r="X711" i="1"/>
  <c r="X706" i="1"/>
  <c r="T707" i="1"/>
  <c r="U707" i="1"/>
  <c r="V707" i="1"/>
  <c r="W707" i="1"/>
  <c r="T708" i="1"/>
  <c r="U708" i="1"/>
  <c r="V708" i="1"/>
  <c r="W708" i="1"/>
  <c r="T709" i="1"/>
  <c r="U709" i="1"/>
  <c r="V709" i="1"/>
  <c r="W709" i="1"/>
  <c r="T710" i="1"/>
  <c r="U710" i="1"/>
  <c r="V710" i="1"/>
  <c r="W710" i="1"/>
  <c r="T711" i="1"/>
  <c r="U711" i="1"/>
  <c r="V711" i="1"/>
  <c r="W711" i="1"/>
  <c r="U706" i="1"/>
  <c r="V706" i="1"/>
  <c r="W706" i="1"/>
  <c r="T706" i="1"/>
  <c r="T703" i="1"/>
  <c r="F712" i="1"/>
  <c r="F32" i="31" l="1"/>
  <c r="E32" i="31"/>
  <c r="S708" i="1"/>
  <c r="S709" i="1"/>
  <c r="J709" i="1" s="1"/>
  <c r="S711" i="1"/>
  <c r="J711" i="1" s="1"/>
  <c r="S710" i="1"/>
  <c r="J710" i="1" s="1"/>
  <c r="S707" i="1"/>
  <c r="S706" i="1"/>
  <c r="H701" i="1" l="1"/>
  <c r="J706" i="1"/>
  <c r="J708" i="1"/>
  <c r="J707" i="1"/>
  <c r="G54" i="38" l="1"/>
  <c r="V4" i="39"/>
  <c r="H712" i="1" l="1"/>
  <c r="K56" i="38"/>
  <c r="J56" i="38"/>
  <c r="I56" i="38"/>
  <c r="H56" i="38"/>
  <c r="G56" i="38"/>
  <c r="G55" i="38"/>
  <c r="H55" i="38"/>
  <c r="AB4" i="39"/>
  <c r="Y4" i="39"/>
  <c r="H29" i="38"/>
  <c r="F29" i="38"/>
  <c r="F54" i="38"/>
  <c r="H54" i="38"/>
  <c r="AQ2" i="39" a="1"/>
  <c r="AQ2" i="39" s="1"/>
  <c r="G712" i="1"/>
  <c r="O4" i="39" a="1"/>
  <c r="I712" i="1" l="1"/>
  <c r="O4" i="39"/>
  <c r="I2544" i="33" l="1"/>
  <c r="K2544" i="33" s="1"/>
  <c r="K2545" i="33" s="1"/>
  <c r="L2119" i="33"/>
  <c r="L2118" i="33"/>
  <c r="I2116" i="33"/>
  <c r="K2116" i="33" s="1"/>
  <c r="D19" i="26"/>
  <c r="S12" i="1"/>
  <c r="S11" i="1"/>
  <c r="L2082" i="33"/>
  <c r="L2083" i="33" s="1"/>
  <c r="K2117" i="33" l="1"/>
  <c r="M2116" i="33"/>
  <c r="H8" i="1"/>
  <c r="L2084" i="33"/>
  <c r="L2047" i="33"/>
  <c r="B2" i="32"/>
  <c r="M11" i="32"/>
  <c r="M9" i="32"/>
  <c r="M2" i="32"/>
  <c r="P2116" i="33" a="1"/>
  <c r="M16" i="32" l="1"/>
  <c r="P2116" i="33"/>
  <c r="M2117" i="33"/>
  <c r="K2118" i="33"/>
  <c r="L2085" i="33"/>
  <c r="L2048" i="33"/>
  <c r="P2117" i="33" a="1"/>
  <c r="P2117" i="33" l="1"/>
  <c r="K2119" i="33"/>
  <c r="M2119" i="33" s="1"/>
  <c r="M2118" i="33"/>
  <c r="L2086" i="33"/>
  <c r="L2049" i="33"/>
  <c r="P701" i="1"/>
  <c r="F60" i="19"/>
  <c r="AP2" i="39" a="1"/>
  <c r="AP2" i="39" s="1"/>
  <c r="AO2" i="39" a="1"/>
  <c r="AO2" i="39" s="1"/>
  <c r="AN2" i="39" a="1"/>
  <c r="AN2" i="39" s="1"/>
  <c r="AM2" i="39" a="1"/>
  <c r="AM2" i="39" s="1"/>
  <c r="F10" i="19"/>
  <c r="F11" i="19" s="1"/>
  <c r="F12" i="19" s="1"/>
  <c r="P2119" i="33" a="1"/>
  <c r="P2118" i="33" a="1"/>
  <c r="D23" i="19" l="1"/>
  <c r="P2118" i="33"/>
  <c r="P2119" i="33"/>
  <c r="L2087" i="33"/>
  <c r="L2050" i="33"/>
  <c r="L2088" i="33" l="1"/>
  <c r="L2051" i="33"/>
  <c r="F13" i="19"/>
  <c r="Z22" i="20"/>
  <c r="F45" i="19" l="1"/>
  <c r="G854" i="1"/>
  <c r="L2089" i="33"/>
  <c r="L2052" i="33"/>
  <c r="L185" i="1"/>
  <c r="L177" i="1"/>
  <c r="L169" i="1"/>
  <c r="L161" i="1"/>
  <c r="L152" i="1"/>
  <c r="L144" i="1"/>
  <c r="L136" i="1"/>
  <c r="L128" i="1"/>
  <c r="M112" i="1"/>
  <c r="M104" i="1"/>
  <c r="M96" i="1"/>
  <c r="M88" i="1"/>
  <c r="I2952" i="33"/>
  <c r="K2952" i="33" s="1"/>
  <c r="K2953" i="33" s="1"/>
  <c r="K2954" i="33" s="1"/>
  <c r="I2904" i="33"/>
  <c r="K2904" i="33" s="1"/>
  <c r="K2905" i="33" s="1"/>
  <c r="K2906" i="33" s="1"/>
  <c r="I2903" i="33"/>
  <c r="K2903" i="33" s="1"/>
  <c r="I2899" i="33"/>
  <c r="K2899" i="33" s="1"/>
  <c r="K2900" i="33" s="1"/>
  <c r="K2901" i="33" s="1"/>
  <c r="K2902" i="33" s="1"/>
  <c r="I2893" i="33"/>
  <c r="K2893" i="33" s="1"/>
  <c r="K2894" i="33" s="1"/>
  <c r="K2895" i="33" s="1"/>
  <c r="K2896" i="33" s="1"/>
  <c r="K2897" i="33" s="1"/>
  <c r="K2898" i="33" s="1"/>
  <c r="I2879" i="33"/>
  <c r="K2879" i="33" s="1"/>
  <c r="K2880" i="33" s="1"/>
  <c r="K2881" i="33" s="1"/>
  <c r="I2873" i="33"/>
  <c r="K2873" i="33" s="1"/>
  <c r="K2874" i="33" s="1"/>
  <c r="K2875" i="33" s="1"/>
  <c r="K2876" i="33" s="1"/>
  <c r="K2877" i="33" s="1"/>
  <c r="K2878" i="33" s="1"/>
  <c r="I2869" i="33"/>
  <c r="K2869" i="33" s="1"/>
  <c r="I2860" i="33"/>
  <c r="K2860" i="33" s="1"/>
  <c r="K2861" i="33" s="1"/>
  <c r="K2862" i="33" s="1"/>
  <c r="K2863" i="33" s="1"/>
  <c r="K2864" i="33" s="1"/>
  <c r="K2865" i="33" s="1"/>
  <c r="K2866" i="33" s="1"/>
  <c r="K2867" i="33" s="1"/>
  <c r="K2868" i="33" s="1"/>
  <c r="I2858" i="33"/>
  <c r="K2858" i="33" s="1"/>
  <c r="K2859" i="33" s="1"/>
  <c r="I2854" i="33"/>
  <c r="K2854" i="33" s="1"/>
  <c r="K2855" i="33" s="1"/>
  <c r="K2856" i="33" s="1"/>
  <c r="K2857" i="33" s="1"/>
  <c r="I2844" i="33"/>
  <c r="K2844" i="33" s="1"/>
  <c r="I2841" i="33"/>
  <c r="K2841" i="33" s="1"/>
  <c r="K2842" i="33" s="1"/>
  <c r="K2843" i="33" s="1"/>
  <c r="I2731" i="33"/>
  <c r="K2731" i="33" s="1"/>
  <c r="K2732" i="33" s="1"/>
  <c r="K2733" i="33" s="1"/>
  <c r="K2734" i="33" s="1"/>
  <c r="K2735" i="33" s="1"/>
  <c r="K2736" i="33" s="1"/>
  <c r="K2737" i="33" s="1"/>
  <c r="K2738" i="33" s="1"/>
  <c r="K2739" i="33" s="1"/>
  <c r="K2740" i="33" s="1"/>
  <c r="K2741" i="33" s="1"/>
  <c r="K2742" i="33" s="1"/>
  <c r="K2743" i="33" s="1"/>
  <c r="K2744" i="33" s="1"/>
  <c r="K2745" i="33" s="1"/>
  <c r="K2746" i="33" s="1"/>
  <c r="K2747" i="33" s="1"/>
  <c r="K2748" i="33" s="1"/>
  <c r="K2749" i="33" s="1"/>
  <c r="K2750" i="33" s="1"/>
  <c r="K2751" i="33" s="1"/>
  <c r="K2752" i="33" s="1"/>
  <c r="K2753" i="33" s="1"/>
  <c r="K2754" i="33" s="1"/>
  <c r="K2755" i="33" s="1"/>
  <c r="K2756" i="33" s="1"/>
  <c r="K2757" i="33" s="1"/>
  <c r="K2758" i="33" s="1"/>
  <c r="K2759" i="33" s="1"/>
  <c r="K2760" i="33" s="1"/>
  <c r="K2761" i="33" s="1"/>
  <c r="K2762" i="33" s="1"/>
  <c r="K2763" i="33" s="1"/>
  <c r="K2764" i="33" s="1"/>
  <c r="K2765" i="33" s="1"/>
  <c r="K2766" i="33" s="1"/>
  <c r="K2767" i="33" s="1"/>
  <c r="K2768" i="33" s="1"/>
  <c r="K2769" i="33" s="1"/>
  <c r="K2770" i="33" s="1"/>
  <c r="K2771" i="33" s="1"/>
  <c r="K2772" i="33" s="1"/>
  <c r="K2773" i="33" s="1"/>
  <c r="K2774" i="33" s="1"/>
  <c r="K2775" i="33" s="1"/>
  <c r="K2776" i="33" s="1"/>
  <c r="K2777" i="33" s="1"/>
  <c r="K2778" i="33" s="1"/>
  <c r="K2779" i="33" s="1"/>
  <c r="K2780" i="33" s="1"/>
  <c r="K2781" i="33" s="1"/>
  <c r="K2782" i="33" s="1"/>
  <c r="I2609" i="33"/>
  <c r="K2609" i="33" s="1"/>
  <c r="K2610" i="33" s="1"/>
  <c r="K2611" i="33" s="1"/>
  <c r="K2612" i="33" s="1"/>
  <c r="K2613" i="33" s="1"/>
  <c r="K2614" i="33" s="1"/>
  <c r="K2615" i="33" s="1"/>
  <c r="K2616" i="33" s="1"/>
  <c r="K2617" i="33" s="1"/>
  <c r="K2618" i="33" s="1"/>
  <c r="K2619" i="33" s="1"/>
  <c r="K2620" i="33" s="1"/>
  <c r="K2621" i="33" s="1"/>
  <c r="K2622" i="33" s="1"/>
  <c r="K2623" i="33" s="1"/>
  <c r="K2624" i="33" s="1"/>
  <c r="K2625" i="33" s="1"/>
  <c r="K2626" i="33" s="1"/>
  <c r="K2627" i="33" s="1"/>
  <c r="K2628" i="33" s="1"/>
  <c r="K2629" i="33" s="1"/>
  <c r="K2630" i="33" s="1"/>
  <c r="K2631" i="33" s="1"/>
  <c r="K2632" i="33" s="1"/>
  <c r="K2633" i="33" s="1"/>
  <c r="K2634" i="33" s="1"/>
  <c r="K2635" i="33" s="1"/>
  <c r="K2636" i="33" s="1"/>
  <c r="K2637" i="33" s="1"/>
  <c r="K2638" i="33" s="1"/>
  <c r="K2639" i="33" s="1"/>
  <c r="K2640" i="33" s="1"/>
  <c r="K2641" i="33" s="1"/>
  <c r="K2642" i="33" s="1"/>
  <c r="K2643" i="33" s="1"/>
  <c r="K2644" i="33" s="1"/>
  <c r="K2645" i="33" s="1"/>
  <c r="K2646" i="33" s="1"/>
  <c r="K2647" i="33" s="1"/>
  <c r="K2648" i="33" s="1"/>
  <c r="K2649" i="33" s="1"/>
  <c r="K2650" i="33" s="1"/>
  <c r="K2651" i="33" s="1"/>
  <c r="K2652" i="33" s="1"/>
  <c r="K2653" i="33" s="1"/>
  <c r="K2654" i="33" s="1"/>
  <c r="I2585" i="33"/>
  <c r="K2585" i="33" s="1"/>
  <c r="K2586" i="33" s="1"/>
  <c r="K2587" i="33" s="1"/>
  <c r="K2588" i="33" s="1"/>
  <c r="K2589" i="33" s="1"/>
  <c r="K2590" i="33" s="1"/>
  <c r="K2591" i="33" s="1"/>
  <c r="K2592" i="33" s="1"/>
  <c r="I2572" i="33"/>
  <c r="K2572" i="33" s="1"/>
  <c r="K2573" i="33" s="1"/>
  <c r="K2574" i="33" s="1"/>
  <c r="I2567" i="33"/>
  <c r="K2567" i="33" s="1"/>
  <c r="K2568" i="33" s="1"/>
  <c r="K2569" i="33" s="1"/>
  <c r="K2570" i="33" s="1"/>
  <c r="K2571" i="33" s="1"/>
  <c r="K2565" i="33"/>
  <c r="K2566" i="33" s="1"/>
  <c r="K2546" i="33"/>
  <c r="I2448" i="33"/>
  <c r="K2448" i="33" s="1"/>
  <c r="K2449" i="33" s="1"/>
  <c r="K2450" i="33" s="1"/>
  <c r="K2451" i="33" s="1"/>
  <c r="K2452" i="33" s="1"/>
  <c r="K2453" i="33" s="1"/>
  <c r="K2454" i="33" s="1"/>
  <c r="K2455" i="33" s="1"/>
  <c r="K2456" i="33" s="1"/>
  <c r="I2392" i="33"/>
  <c r="K2392" i="33" s="1"/>
  <c r="K2393" i="33" s="1"/>
  <c r="K2394" i="33" s="1"/>
  <c r="K2395" i="33" s="1"/>
  <c r="K2396" i="33" s="1"/>
  <c r="K2397" i="33" s="1"/>
  <c r="K2398" i="33" s="1"/>
  <c r="I2363" i="33"/>
  <c r="K2363" i="33" s="1"/>
  <c r="K2364" i="33" s="1"/>
  <c r="K2365" i="33" s="1"/>
  <c r="K2366" i="33" s="1"/>
  <c r="K2367" i="33" s="1"/>
  <c r="K2368" i="33" s="1"/>
  <c r="K2369" i="33" s="1"/>
  <c r="I2323" i="33"/>
  <c r="K2323" i="33" s="1"/>
  <c r="L2321" i="33"/>
  <c r="L2322" i="33" s="1"/>
  <c r="I2320" i="33"/>
  <c r="K2320" i="33" s="1"/>
  <c r="L2301" i="33"/>
  <c r="L2302" i="33" s="1"/>
  <c r="L2303" i="33" s="1"/>
  <c r="L2281" i="33"/>
  <c r="L2261" i="33"/>
  <c r="L2262" i="33" s="1"/>
  <c r="I2260" i="33"/>
  <c r="K2260" i="33" s="1"/>
  <c r="L2241" i="33"/>
  <c r="L2221" i="33"/>
  <c r="L2222" i="33" s="1"/>
  <c r="L2223" i="33" s="1"/>
  <c r="L2224" i="33" s="1"/>
  <c r="L2225" i="33" s="1"/>
  <c r="L2226" i="33" s="1"/>
  <c r="L2227" i="33" s="1"/>
  <c r="L2228" i="33" s="1"/>
  <c r="L2229" i="33" s="1"/>
  <c r="L2230" i="33" s="1"/>
  <c r="L2231" i="33" s="1"/>
  <c r="L2232" i="33" s="1"/>
  <c r="L2233" i="33" s="1"/>
  <c r="L2234" i="33" s="1"/>
  <c r="L2235" i="33" s="1"/>
  <c r="L2236" i="33" s="1"/>
  <c r="L2237" i="33" s="1"/>
  <c r="L2238" i="33" s="1"/>
  <c r="L2239" i="33" s="1"/>
  <c r="L2201" i="33"/>
  <c r="L2202" i="33" s="1"/>
  <c r="L2181" i="33"/>
  <c r="L2182" i="33" s="1"/>
  <c r="L2183" i="33" s="1"/>
  <c r="L2161" i="33"/>
  <c r="L2162" i="33" s="1"/>
  <c r="L2163" i="33" s="1"/>
  <c r="L2164" i="33" s="1"/>
  <c r="L2165" i="33" s="1"/>
  <c r="L2166" i="33" s="1"/>
  <c r="L2167" i="33" s="1"/>
  <c r="L2168" i="33" s="1"/>
  <c r="L2169" i="33" s="1"/>
  <c r="L2170" i="33" s="1"/>
  <c r="L2171" i="33" s="1"/>
  <c r="L2172" i="33" s="1"/>
  <c r="L2173" i="33" s="1"/>
  <c r="L2174" i="33" s="1"/>
  <c r="L2175" i="33" s="1"/>
  <c r="L2176" i="33" s="1"/>
  <c r="L2177" i="33" s="1"/>
  <c r="L2178" i="33" s="1"/>
  <c r="L2179" i="33" s="1"/>
  <c r="L2141" i="33"/>
  <c r="L2142" i="33" s="1"/>
  <c r="L2143" i="33" s="1"/>
  <c r="L2144" i="33" s="1"/>
  <c r="L2145" i="33" s="1"/>
  <c r="L2121" i="33"/>
  <c r="I2120" i="33"/>
  <c r="K2120" i="33" s="1"/>
  <c r="M2120" i="33" s="1"/>
  <c r="L2012" i="33"/>
  <c r="L2013" i="33" s="1"/>
  <c r="L1977" i="33"/>
  <c r="L1978" i="33" s="1"/>
  <c r="L1943" i="33"/>
  <c r="L1909" i="33"/>
  <c r="L1910" i="33" s="1"/>
  <c r="L1911" i="33" s="1"/>
  <c r="L1912" i="33" s="1"/>
  <c r="L1913" i="33" s="1"/>
  <c r="L1914" i="33" s="1"/>
  <c r="L1915" i="33" s="1"/>
  <c r="L1916" i="33" s="1"/>
  <c r="L1917" i="33" s="1"/>
  <c r="L1918" i="33" s="1"/>
  <c r="L1919" i="33" s="1"/>
  <c r="L1920" i="33" s="1"/>
  <c r="L1921" i="33" s="1"/>
  <c r="L1922" i="33" s="1"/>
  <c r="L1923" i="33" s="1"/>
  <c r="L1924" i="33" s="1"/>
  <c r="L1925" i="33" s="1"/>
  <c r="L1926" i="33" s="1"/>
  <c r="L1927" i="33" s="1"/>
  <c r="L1928" i="33" s="1"/>
  <c r="L1929" i="33" s="1"/>
  <c r="L1930" i="33" s="1"/>
  <c r="L1931" i="33" s="1"/>
  <c r="L1932" i="33" s="1"/>
  <c r="L1933" i="33" s="1"/>
  <c r="L1934" i="33" s="1"/>
  <c r="L1935" i="33" s="1"/>
  <c r="L1936" i="33" s="1"/>
  <c r="L1937" i="33" s="1"/>
  <c r="L1938" i="33" s="1"/>
  <c r="L1939" i="33" s="1"/>
  <c r="L1940" i="33" s="1"/>
  <c r="L1941" i="33" s="1"/>
  <c r="L1874" i="33"/>
  <c r="L1861" i="33"/>
  <c r="I1860" i="33"/>
  <c r="K1860" i="33" s="1"/>
  <c r="M1860" i="33" s="1"/>
  <c r="I1859" i="33"/>
  <c r="K1859" i="33" s="1"/>
  <c r="M1859" i="33" s="1"/>
  <c r="L1856" i="33"/>
  <c r="I1855" i="33"/>
  <c r="K1855" i="33" s="1"/>
  <c r="M1855" i="33" s="1"/>
  <c r="L1854" i="33"/>
  <c r="I1853" i="33"/>
  <c r="K1853" i="33" s="1"/>
  <c r="M1853" i="33" s="1"/>
  <c r="L1850" i="33"/>
  <c r="J1849" i="33"/>
  <c r="I1849" i="33"/>
  <c r="L1846" i="33"/>
  <c r="L1847" i="33" s="1"/>
  <c r="I1845" i="33"/>
  <c r="K1845" i="33" s="1"/>
  <c r="M1845" i="33" s="1"/>
  <c r="L1839" i="33"/>
  <c r="L1840" i="33" s="1"/>
  <c r="I1838" i="33"/>
  <c r="K1838" i="33" s="1"/>
  <c r="L1834" i="33"/>
  <c r="L1835" i="33" s="1"/>
  <c r="I1833" i="33"/>
  <c r="K1833" i="33" s="1"/>
  <c r="M1833" i="33" s="1"/>
  <c r="L1820" i="33"/>
  <c r="L1821" i="33" s="1"/>
  <c r="I1819" i="33"/>
  <c r="K1819" i="33" s="1"/>
  <c r="L1815" i="33"/>
  <c r="L1816" i="33" s="1"/>
  <c r="I1814" i="33"/>
  <c r="K1814" i="33" s="1"/>
  <c r="M1814" i="33" s="1"/>
  <c r="L1810" i="33"/>
  <c r="L1811" i="33" s="1"/>
  <c r="I1809" i="33"/>
  <c r="K1809" i="33" s="1"/>
  <c r="M1809" i="33" s="1"/>
  <c r="L1801" i="33"/>
  <c r="L1802" i="33" s="1"/>
  <c r="I1800" i="33"/>
  <c r="K1800" i="33" s="1"/>
  <c r="L1799" i="33"/>
  <c r="I1798" i="33"/>
  <c r="K1798" i="33" s="1"/>
  <c r="M1798" i="33" s="1"/>
  <c r="L1796" i="33"/>
  <c r="L1797" i="33" s="1"/>
  <c r="I1795" i="33"/>
  <c r="K1795" i="33" s="1"/>
  <c r="M1795" i="33" s="1"/>
  <c r="L1793" i="33"/>
  <c r="L1787" i="33"/>
  <c r="I1786" i="33"/>
  <c r="K1786" i="33" s="1"/>
  <c r="M1786" i="33" s="1"/>
  <c r="L1768" i="33"/>
  <c r="I1767" i="33"/>
  <c r="K1767" i="33" s="1"/>
  <c r="M1767" i="33" s="1"/>
  <c r="L1764" i="33"/>
  <c r="L1761" i="33"/>
  <c r="L1762" i="33" s="1"/>
  <c r="I1760" i="33"/>
  <c r="K1760" i="33" s="1"/>
  <c r="L1741" i="33"/>
  <c r="L1742" i="33" s="1"/>
  <c r="J1740" i="33"/>
  <c r="I1740" i="33"/>
  <c r="L1722" i="33"/>
  <c r="L1723" i="33" s="1"/>
  <c r="L1724" i="33" s="1"/>
  <c r="L1725" i="33" s="1"/>
  <c r="L1726" i="33" s="1"/>
  <c r="L1727" i="33" s="1"/>
  <c r="L1728" i="33" s="1"/>
  <c r="L1729" i="33" s="1"/>
  <c r="L1730" i="33" s="1"/>
  <c r="I1721" i="33"/>
  <c r="K1721" i="33" s="1"/>
  <c r="L1701" i="33"/>
  <c r="L1702" i="33" s="1"/>
  <c r="J1700" i="33"/>
  <c r="I1700" i="33"/>
  <c r="L1680" i="33"/>
  <c r="L1681" i="33" s="1"/>
  <c r="L1682" i="33" s="1"/>
  <c r="L1683" i="33" s="1"/>
  <c r="L1684" i="33" s="1"/>
  <c r="L1685" i="33" s="1"/>
  <c r="L1686" i="33" s="1"/>
  <c r="L1687" i="33" s="1"/>
  <c r="L1688" i="33" s="1"/>
  <c r="L1689" i="33" s="1"/>
  <c r="L1690" i="33" s="1"/>
  <c r="L1691" i="33" s="1"/>
  <c r="L1692" i="33" s="1"/>
  <c r="L1693" i="33" s="1"/>
  <c r="L1694" i="33" s="1"/>
  <c r="L1695" i="33" s="1"/>
  <c r="L1696" i="33" s="1"/>
  <c r="L1697" i="33" s="1"/>
  <c r="L1698" i="33" s="1"/>
  <c r="L1699" i="33" s="1"/>
  <c r="I1679" i="33"/>
  <c r="K1679" i="33" s="1"/>
  <c r="M1679" i="33" s="1"/>
  <c r="L1658" i="33"/>
  <c r="L1659" i="33" s="1"/>
  <c r="J1657" i="33"/>
  <c r="I1657" i="33"/>
  <c r="L1636" i="33"/>
  <c r="L1637" i="33" s="1"/>
  <c r="I1635" i="33"/>
  <c r="K1635" i="33" s="1"/>
  <c r="L1611" i="33"/>
  <c r="L1612" i="33" s="1"/>
  <c r="J1610" i="33"/>
  <c r="I1610" i="33"/>
  <c r="L1586" i="33"/>
  <c r="L1587" i="33" s="1"/>
  <c r="I1585" i="33"/>
  <c r="K1585" i="33" s="1"/>
  <c r="M1585" i="33" s="1"/>
  <c r="L1572" i="33"/>
  <c r="L1573" i="33" s="1"/>
  <c r="J1571" i="33"/>
  <c r="I1571" i="33"/>
  <c r="L1558" i="33"/>
  <c r="I1557" i="33"/>
  <c r="K1557" i="33" s="1"/>
  <c r="M1557" i="33" s="1"/>
  <c r="L1537" i="33"/>
  <c r="I1536" i="33"/>
  <c r="K1536" i="33" s="1"/>
  <c r="M1536" i="33" s="1"/>
  <c r="L1518" i="33"/>
  <c r="I1517" i="33"/>
  <c r="K1517" i="33" s="1"/>
  <c r="M1517" i="33" s="1"/>
  <c r="L1497" i="33"/>
  <c r="L1498" i="33" s="1"/>
  <c r="J1496" i="33"/>
  <c r="I1496" i="33"/>
  <c r="L1476" i="33"/>
  <c r="L1477" i="33" s="1"/>
  <c r="I1475" i="33"/>
  <c r="K1475" i="33" s="1"/>
  <c r="L1454" i="33"/>
  <c r="J1453" i="33"/>
  <c r="I1453" i="33"/>
  <c r="L1432" i="33"/>
  <c r="L1433" i="33" s="1"/>
  <c r="I1431" i="33"/>
  <c r="K1431" i="33" s="1"/>
  <c r="L1395" i="33"/>
  <c r="L1396" i="33" s="1"/>
  <c r="J1394" i="33"/>
  <c r="I1394" i="33"/>
  <c r="L1358" i="33"/>
  <c r="L1359" i="33" s="1"/>
  <c r="L1360" i="33" s="1"/>
  <c r="I1357" i="33"/>
  <c r="K1357" i="33" s="1"/>
  <c r="L1344" i="33"/>
  <c r="L1345" i="33" s="1"/>
  <c r="J1343" i="33"/>
  <c r="I1343" i="33"/>
  <c r="I1329" i="33"/>
  <c r="K1329" i="33" s="1"/>
  <c r="K1330" i="33" s="1"/>
  <c r="K1331" i="33" s="1"/>
  <c r="K1332" i="33" s="1"/>
  <c r="K1333" i="33" s="1"/>
  <c r="K1334" i="33" s="1"/>
  <c r="K1335" i="33" s="1"/>
  <c r="K1336" i="33" s="1"/>
  <c r="K1337" i="33" s="1"/>
  <c r="L1322" i="33"/>
  <c r="I1321" i="33"/>
  <c r="K1321" i="33" s="1"/>
  <c r="K1322" i="33" s="1"/>
  <c r="K1323" i="33" s="1"/>
  <c r="L1314" i="33"/>
  <c r="I1313" i="33"/>
  <c r="L1306" i="33"/>
  <c r="J1305" i="33"/>
  <c r="J1313" i="33" s="1"/>
  <c r="I1305" i="33"/>
  <c r="L1298" i="33"/>
  <c r="L1299" i="33" s="1"/>
  <c r="I1297" i="33"/>
  <c r="K1297" i="33" s="1"/>
  <c r="L1290" i="33"/>
  <c r="L1291" i="33" s="1"/>
  <c r="L1292" i="33" s="1"/>
  <c r="L1293" i="33" s="1"/>
  <c r="L1294" i="33" s="1"/>
  <c r="I1289" i="33"/>
  <c r="L1282" i="33"/>
  <c r="L1283" i="33" s="1"/>
  <c r="L1284" i="33" s="1"/>
  <c r="L1285" i="33" s="1"/>
  <c r="L1286" i="33" s="1"/>
  <c r="L1287" i="33" s="1"/>
  <c r="L1288" i="33" s="1"/>
  <c r="J1281" i="33"/>
  <c r="J1289" i="33" s="1"/>
  <c r="I1281" i="33"/>
  <c r="I1273" i="33"/>
  <c r="K1273" i="33" s="1"/>
  <c r="K1274" i="33" s="1"/>
  <c r="K1275" i="33" s="1"/>
  <c r="K1276" i="33" s="1"/>
  <c r="K1277" i="33" s="1"/>
  <c r="K1278" i="33" s="1"/>
  <c r="K1279" i="33" s="1"/>
  <c r="K1280" i="33" s="1"/>
  <c r="I1272" i="33"/>
  <c r="K1272" i="33" s="1"/>
  <c r="I1271" i="33"/>
  <c r="K1271" i="33" s="1"/>
  <c r="L1267" i="33"/>
  <c r="L1268" i="33" s="1"/>
  <c r="I1267" i="33"/>
  <c r="K1267" i="33" s="1"/>
  <c r="K1268" i="33" s="1"/>
  <c r="K1269" i="33" s="1"/>
  <c r="K1270" i="33" s="1"/>
  <c r="I1266" i="33"/>
  <c r="K1266" i="33" s="1"/>
  <c r="M1266" i="33" s="1"/>
  <c r="L1264" i="33"/>
  <c r="L1265" i="33" s="1"/>
  <c r="L1261" i="33"/>
  <c r="L1262" i="33" s="1"/>
  <c r="I1260" i="33"/>
  <c r="K1260" i="33" s="1"/>
  <c r="L1258" i="33"/>
  <c r="L1255" i="33"/>
  <c r="L1256" i="33" s="1"/>
  <c r="L1252" i="33"/>
  <c r="L1253" i="33" s="1"/>
  <c r="L1249" i="33"/>
  <c r="L1250" i="33" s="1"/>
  <c r="L1246" i="33"/>
  <c r="L1247" i="33" s="1"/>
  <c r="L1243" i="33"/>
  <c r="I1242" i="33"/>
  <c r="K1242" i="33" s="1"/>
  <c r="L1241" i="33"/>
  <c r="L1238" i="33"/>
  <c r="L1239" i="33" s="1"/>
  <c r="L1240" i="33" s="1"/>
  <c r="L1234" i="33"/>
  <c r="L1235" i="33" s="1"/>
  <c r="L1236" i="33" s="1"/>
  <c r="I1233" i="33"/>
  <c r="K1233" i="33" s="1"/>
  <c r="L1232" i="33"/>
  <c r="L1227" i="33"/>
  <c r="L1228" i="33" s="1"/>
  <c r="L1229" i="33" s="1"/>
  <c r="L1223" i="33"/>
  <c r="L1224" i="33" s="1"/>
  <c r="L1219" i="33"/>
  <c r="L1220" i="33" s="1"/>
  <c r="L1215" i="33"/>
  <c r="L1216" i="33" s="1"/>
  <c r="I1214" i="33"/>
  <c r="K1214" i="33" s="1"/>
  <c r="K1215" i="33" s="1"/>
  <c r="K1216" i="33" s="1"/>
  <c r="K1217" i="33" s="1"/>
  <c r="L1172" i="33"/>
  <c r="L1182" i="33" s="1"/>
  <c r="L1171" i="33"/>
  <c r="L1181" i="33" s="1"/>
  <c r="L1170" i="33"/>
  <c r="L1180" i="33" s="1"/>
  <c r="L1169" i="33"/>
  <c r="L1179" i="33" s="1"/>
  <c r="L1168" i="33"/>
  <c r="L1167" i="33"/>
  <c r="L1166" i="33"/>
  <c r="L1176" i="33" s="1"/>
  <c r="L1165" i="33"/>
  <c r="L1175" i="33" s="1"/>
  <c r="L1164" i="33"/>
  <c r="L1174" i="33" s="1"/>
  <c r="L1184" i="33" s="1"/>
  <c r="L1194" i="33" s="1"/>
  <c r="L1204" i="33" s="1"/>
  <c r="L1163" i="33"/>
  <c r="L1173" i="33" s="1"/>
  <c r="L1183" i="33" s="1"/>
  <c r="L1193" i="33" s="1"/>
  <c r="L1203" i="33" s="1"/>
  <c r="I1153" i="33" a="1"/>
  <c r="I1153" i="33" s="1"/>
  <c r="K1153" i="33" s="1"/>
  <c r="I988" i="33"/>
  <c r="I933" i="33"/>
  <c r="I878" i="33"/>
  <c r="I823" i="33"/>
  <c r="I768" i="33"/>
  <c r="I713" i="33"/>
  <c r="I658" i="33"/>
  <c r="I603" i="33"/>
  <c r="J548" i="33"/>
  <c r="J603" i="33" s="1"/>
  <c r="J658" i="33" s="1"/>
  <c r="J713" i="33" s="1"/>
  <c r="J768" i="33" s="1"/>
  <c r="I548" i="33"/>
  <c r="L514" i="33"/>
  <c r="L525" i="33" s="1"/>
  <c r="L536" i="33" s="1"/>
  <c r="L547" i="33" s="1"/>
  <c r="L513" i="33"/>
  <c r="L524" i="33" s="1"/>
  <c r="L512" i="33"/>
  <c r="L523" i="33" s="1"/>
  <c r="L534" i="33" s="1"/>
  <c r="L511" i="33"/>
  <c r="L522" i="33" s="1"/>
  <c r="L510" i="33"/>
  <c r="L521" i="33" s="1"/>
  <c r="L532" i="33" s="1"/>
  <c r="L509" i="33"/>
  <c r="L520" i="33" s="1"/>
  <c r="L508" i="33"/>
  <c r="L519" i="33" s="1"/>
  <c r="L530" i="33" s="1"/>
  <c r="L507" i="33"/>
  <c r="L518" i="33" s="1"/>
  <c r="L506" i="33"/>
  <c r="L517" i="33" s="1"/>
  <c r="L528" i="33" s="1"/>
  <c r="L539" i="33" s="1"/>
  <c r="L505" i="33"/>
  <c r="L516" i="33" s="1"/>
  <c r="L504" i="33"/>
  <c r="L515" i="33" s="1"/>
  <c r="L526" i="33" s="1"/>
  <c r="I493" i="33"/>
  <c r="K493" i="33" s="1"/>
  <c r="K504" i="33" s="1"/>
  <c r="K515" i="33" s="1"/>
  <c r="K526" i="33" s="1"/>
  <c r="K537" i="33" s="1"/>
  <c r="L489" i="33"/>
  <c r="L490" i="33" s="1"/>
  <c r="L491" i="33" s="1"/>
  <c r="L492" i="33" s="1"/>
  <c r="L484" i="33"/>
  <c r="L485" i="33" s="1"/>
  <c r="L479" i="33"/>
  <c r="L480" i="33" s="1"/>
  <c r="L474" i="33"/>
  <c r="L475" i="33" s="1"/>
  <c r="L476" i="33" s="1"/>
  <c r="L477" i="33" s="1"/>
  <c r="L469" i="33"/>
  <c r="L464" i="33"/>
  <c r="L465" i="33" s="1"/>
  <c r="L459" i="33"/>
  <c r="L460" i="33" s="1"/>
  <c r="L461" i="33" s="1"/>
  <c r="I458" i="33"/>
  <c r="L454" i="33"/>
  <c r="L455" i="33" s="1"/>
  <c r="L456" i="33" s="1"/>
  <c r="L449" i="33"/>
  <c r="L450" i="33" s="1"/>
  <c r="L444" i="33"/>
  <c r="L439" i="33"/>
  <c r="L440" i="33" s="1"/>
  <c r="L441" i="33" s="1"/>
  <c r="L442" i="33" s="1"/>
  <c r="L434" i="33"/>
  <c r="L435" i="33" s="1"/>
  <c r="L436" i="33" s="1"/>
  <c r="L429" i="33"/>
  <c r="L430" i="33" s="1"/>
  <c r="L431" i="33" s="1"/>
  <c r="L432" i="33" s="1"/>
  <c r="L424" i="33"/>
  <c r="L425" i="33" s="1"/>
  <c r="L426" i="33" s="1"/>
  <c r="L427" i="33" s="1"/>
  <c r="I423" i="33"/>
  <c r="L419" i="33"/>
  <c r="L420" i="33" s="1"/>
  <c r="L421" i="33" s="1"/>
  <c r="L414" i="33"/>
  <c r="L415" i="33" s="1"/>
  <c r="L416" i="33" s="1"/>
  <c r="L409" i="33"/>
  <c r="L404" i="33"/>
  <c r="L405" i="33" s="1"/>
  <c r="L399" i="33"/>
  <c r="L400" i="33" s="1"/>
  <c r="L394" i="33"/>
  <c r="L389" i="33"/>
  <c r="L390" i="33" s="1"/>
  <c r="L391" i="33" s="1"/>
  <c r="L392" i="33" s="1"/>
  <c r="I388" i="33"/>
  <c r="L384" i="33"/>
  <c r="L385" i="33" s="1"/>
  <c r="L386" i="33" s="1"/>
  <c r="L379" i="33"/>
  <c r="L380" i="33" s="1"/>
  <c r="L381" i="33" s="1"/>
  <c r="L382" i="33" s="1"/>
  <c r="L374" i="33"/>
  <c r="L369" i="33"/>
  <c r="L370" i="33" s="1"/>
  <c r="L371" i="33" s="1"/>
  <c r="L372" i="33" s="1"/>
  <c r="L364" i="33"/>
  <c r="L365" i="33" s="1"/>
  <c r="L359" i="33"/>
  <c r="L360" i="33" s="1"/>
  <c r="L354" i="33"/>
  <c r="I353" i="33"/>
  <c r="L349" i="33"/>
  <c r="L344" i="33"/>
  <c r="L345" i="33" s="1"/>
  <c r="L339" i="33"/>
  <c r="L340" i="33" s="1"/>
  <c r="L334" i="33"/>
  <c r="L335" i="33" s="1"/>
  <c r="L329" i="33"/>
  <c r="L330" i="33" s="1"/>
  <c r="L324" i="33"/>
  <c r="L325" i="33" s="1"/>
  <c r="L319" i="33"/>
  <c r="L320" i="33" s="1"/>
  <c r="L321" i="33" s="1"/>
  <c r="L322" i="33" s="1"/>
  <c r="I318" i="33"/>
  <c r="L314" i="33"/>
  <c r="L315" i="33" s="1"/>
  <c r="L309" i="33"/>
  <c r="L310" i="33" s="1"/>
  <c r="L311" i="33" s="1"/>
  <c r="L312" i="33" s="1"/>
  <c r="L304" i="33"/>
  <c r="L299" i="33"/>
  <c r="L294" i="33"/>
  <c r="L295" i="33" s="1"/>
  <c r="L289" i="33"/>
  <c r="L290" i="33" s="1"/>
  <c r="L284" i="33"/>
  <c r="L285" i="33" s="1"/>
  <c r="I283" i="33"/>
  <c r="L279" i="33"/>
  <c r="L280" i="33" s="1"/>
  <c r="L274" i="33"/>
  <c r="L275" i="33" s="1"/>
  <c r="L269" i="33"/>
  <c r="L270" i="33" s="1"/>
  <c r="L264" i="33"/>
  <c r="L265" i="33" s="1"/>
  <c r="L266" i="33" s="1"/>
  <c r="L259" i="33"/>
  <c r="L260" i="33" s="1"/>
  <c r="L261" i="33" s="1"/>
  <c r="L262" i="33" s="1"/>
  <c r="L254" i="33"/>
  <c r="L255" i="33" s="1"/>
  <c r="L249" i="33"/>
  <c r="L250" i="33" s="1"/>
  <c r="J248" i="33"/>
  <c r="J283" i="33" s="1"/>
  <c r="J318" i="33" s="1"/>
  <c r="J353" i="33" s="1"/>
  <c r="J388" i="33" s="1"/>
  <c r="J423" i="33" s="1"/>
  <c r="I248" i="33"/>
  <c r="L244" i="33"/>
  <c r="L245" i="33" s="1"/>
  <c r="L246" i="33" s="1"/>
  <c r="L239" i="33"/>
  <c r="L240" i="33" s="1"/>
  <c r="L234" i="33"/>
  <c r="L235" i="33" s="1"/>
  <c r="L229" i="33"/>
  <c r="L230" i="33" s="1"/>
  <c r="L231" i="33" s="1"/>
  <c r="L224" i="33"/>
  <c r="L219" i="33"/>
  <c r="L220" i="33" s="1"/>
  <c r="L214" i="33"/>
  <c r="L215" i="33" s="1"/>
  <c r="I213" i="33"/>
  <c r="K213" i="33" s="1"/>
  <c r="L208" i="33"/>
  <c r="L209" i="33" s="1"/>
  <c r="L203" i="33"/>
  <c r="L198" i="33"/>
  <c r="L193" i="33"/>
  <c r="L188" i="33"/>
  <c r="L189" i="33" s="1"/>
  <c r="L183" i="33"/>
  <c r="L184" i="33" s="1"/>
  <c r="L185" i="33" s="1"/>
  <c r="L186" i="33" s="1"/>
  <c r="L178" i="33"/>
  <c r="L179" i="33" s="1"/>
  <c r="L180" i="33" s="1"/>
  <c r="L173" i="33"/>
  <c r="L174" i="33" s="1"/>
  <c r="L175" i="33" s="1"/>
  <c r="I172" i="33"/>
  <c r="L168" i="33"/>
  <c r="L169" i="33" s="1"/>
  <c r="L170" i="33" s="1"/>
  <c r="L163" i="33"/>
  <c r="L164" i="33" s="1"/>
  <c r="L158" i="33"/>
  <c r="L153" i="33"/>
  <c r="L148" i="33"/>
  <c r="L143" i="33"/>
  <c r="L138" i="33"/>
  <c r="L139" i="33" s="1"/>
  <c r="L133" i="33"/>
  <c r="L134" i="33" s="1"/>
  <c r="L135" i="33" s="1"/>
  <c r="L136" i="33" s="1"/>
  <c r="I132" i="33"/>
  <c r="L128" i="33"/>
  <c r="L129" i="33" s="1"/>
  <c r="L123" i="33"/>
  <c r="L124" i="33" s="1"/>
  <c r="L125" i="33" s="1"/>
  <c r="L126" i="33" s="1"/>
  <c r="L118" i="33"/>
  <c r="L119" i="33" s="1"/>
  <c r="L113" i="33"/>
  <c r="L114" i="33" s="1"/>
  <c r="L115" i="33" s="1"/>
  <c r="L116" i="33" s="1"/>
  <c r="L108" i="33"/>
  <c r="L109" i="33" s="1"/>
  <c r="L110" i="33" s="1"/>
  <c r="L103" i="33"/>
  <c r="L98" i="33"/>
  <c r="L93" i="33"/>
  <c r="J92" i="33"/>
  <c r="J132" i="33" s="1"/>
  <c r="I92" i="33"/>
  <c r="L88" i="33"/>
  <c r="L89" i="33" s="1"/>
  <c r="L83" i="33"/>
  <c r="L78" i="33"/>
  <c r="L79" i="33" s="1"/>
  <c r="L73" i="33"/>
  <c r="L74" i="33" s="1"/>
  <c r="L75" i="33" s="1"/>
  <c r="L76" i="33" s="1"/>
  <c r="L68" i="33"/>
  <c r="L69" i="33" s="1"/>
  <c r="L70" i="33" s="1"/>
  <c r="L71" i="33" s="1"/>
  <c r="L63" i="33"/>
  <c r="L64" i="33" s="1"/>
  <c r="L65" i="33" s="1"/>
  <c r="L58" i="33"/>
  <c r="L59" i="33" s="1"/>
  <c r="L60" i="33" s="1"/>
  <c r="L61" i="33" s="1"/>
  <c r="L53" i="33"/>
  <c r="L54" i="33" s="1"/>
  <c r="L55" i="33" s="1"/>
  <c r="L56" i="33" s="1"/>
  <c r="I52" i="33"/>
  <c r="K52" i="33" s="1"/>
  <c r="L14" i="33"/>
  <c r="L15" i="33" s="1"/>
  <c r="L16" i="33" s="1"/>
  <c r="L17" i="33" s="1"/>
  <c r="I13" i="33"/>
  <c r="K13" i="33" s="1"/>
  <c r="L4" i="33"/>
  <c r="I3" i="33"/>
  <c r="K3" i="33" s="1"/>
  <c r="F3" i="33"/>
  <c r="D113" i="26"/>
  <c r="B4" i="39" a="1"/>
  <c r="P1266" i="33" a="1"/>
  <c r="P2120" i="33" a="1"/>
  <c r="P1853" i="33" a="1"/>
  <c r="P1795" i="33" a="1"/>
  <c r="P1845" i="33" a="1"/>
  <c r="P1786" i="33" a="1"/>
  <c r="P1814" i="33" a="1"/>
  <c r="P1859" i="33" a="1"/>
  <c r="P1798" i="33" a="1"/>
  <c r="P1809" i="33" a="1"/>
  <c r="P1833" i="33" a="1"/>
  <c r="P1860" i="33" a="1"/>
  <c r="P1855" i="33" a="1"/>
  <c r="P1767" i="33" a="1"/>
  <c r="P1557" i="33" a="1"/>
  <c r="P1679" i="33" a="1"/>
  <c r="P1585" i="33" a="1"/>
  <c r="K2783" i="33" l="1"/>
  <c r="K2784" i="33" s="1"/>
  <c r="K2785" i="33" s="1"/>
  <c r="K2655" i="33"/>
  <c r="K2656" i="33" s="1"/>
  <c r="K2657" i="33" s="1"/>
  <c r="K2658" i="33" s="1"/>
  <c r="K2659" i="33" s="1"/>
  <c r="K2660" i="33" s="1"/>
  <c r="K2661" i="33" s="1"/>
  <c r="K2662" i="33" s="1"/>
  <c r="K2663" i="33" s="1"/>
  <c r="K2664" i="33" s="1"/>
  <c r="K2665" i="33" s="1"/>
  <c r="K2666" i="33" s="1"/>
  <c r="K2667" i="33" s="1"/>
  <c r="K2668" i="33" s="1"/>
  <c r="K2669" i="33" s="1"/>
  <c r="K2670" i="33" s="1"/>
  <c r="K2671" i="33" s="1"/>
  <c r="K2672" i="33" s="1"/>
  <c r="K2673" i="33" s="1"/>
  <c r="K2674" i="33" s="1"/>
  <c r="K2675" i="33" s="1"/>
  <c r="L1703" i="33"/>
  <c r="L1499" i="33"/>
  <c r="K1324" i="33"/>
  <c r="K1325" i="33" s="1"/>
  <c r="K1326" i="33" s="1"/>
  <c r="K1327" i="33" s="1"/>
  <c r="K1328" i="33" s="1"/>
  <c r="K1338" i="33"/>
  <c r="K1339" i="33" s="1"/>
  <c r="K1340" i="33" s="1"/>
  <c r="K1341" i="33" s="1"/>
  <c r="K1342" i="33" s="1"/>
  <c r="D117" i="26"/>
  <c r="E117" i="26"/>
  <c r="G117" i="26"/>
  <c r="F117" i="26"/>
  <c r="K2907" i="33"/>
  <c r="K2908" i="33" s="1"/>
  <c r="K2882" i="33"/>
  <c r="K2870" i="33"/>
  <c r="K2871" i="33" s="1"/>
  <c r="K2872" i="33" s="1"/>
  <c r="K2845" i="33"/>
  <c r="K2846" i="33" s="1"/>
  <c r="K2847" i="33" s="1"/>
  <c r="K2848" i="33" s="1"/>
  <c r="K2849" i="33" s="1"/>
  <c r="K2850" i="33" s="1"/>
  <c r="K2851" i="33" s="1"/>
  <c r="K2852" i="33" s="1"/>
  <c r="K2853" i="33" s="1"/>
  <c r="K2593" i="33"/>
  <c r="K2594" i="33" s="1"/>
  <c r="K2595" i="33" s="1"/>
  <c r="K2596" i="33" s="1"/>
  <c r="K2597" i="33" s="1"/>
  <c r="K2598" i="33" s="1"/>
  <c r="K2599" i="33" s="1"/>
  <c r="K2600" i="33" s="1"/>
  <c r="K2575" i="33"/>
  <c r="K2576" i="33" s="1"/>
  <c r="K2577" i="33" s="1"/>
  <c r="K2547" i="33"/>
  <c r="K2548" i="33" s="1"/>
  <c r="K2549" i="33" s="1"/>
  <c r="K2457" i="33"/>
  <c r="K2458" i="33" s="1"/>
  <c r="K2459" i="33" s="1"/>
  <c r="K2460" i="33" s="1"/>
  <c r="K2461" i="33" s="1"/>
  <c r="K2462" i="33" s="1"/>
  <c r="K2463" i="33" s="1"/>
  <c r="K2464" i="33" s="1"/>
  <c r="K2465" i="33" s="1"/>
  <c r="K2399" i="33"/>
  <c r="K2400" i="33" s="1"/>
  <c r="K2401" i="33" s="1"/>
  <c r="K2402" i="33" s="1"/>
  <c r="K2403" i="33" s="1"/>
  <c r="K2404" i="33" s="1"/>
  <c r="K2405" i="33" s="1"/>
  <c r="K2370" i="33"/>
  <c r="K2371" i="33" s="1"/>
  <c r="K2372" i="33" s="1"/>
  <c r="K2373" i="33" s="1"/>
  <c r="K2374" i="33" s="1"/>
  <c r="K2375" i="33" s="1"/>
  <c r="K2376" i="33" s="1"/>
  <c r="K92" i="33"/>
  <c r="M92" i="33" s="1"/>
  <c r="K1394" i="33"/>
  <c r="M1394" i="33" s="1"/>
  <c r="K2324" i="33"/>
  <c r="K2325" i="33" s="1"/>
  <c r="K2326" i="33" s="1"/>
  <c r="K2327" i="33" s="1"/>
  <c r="K2328" i="33" s="1"/>
  <c r="K2329" i="33" s="1"/>
  <c r="L2090" i="33"/>
  <c r="K1453" i="33"/>
  <c r="M1453" i="33" s="1"/>
  <c r="K1849" i="33"/>
  <c r="M1849" i="33" s="1"/>
  <c r="K548" i="33"/>
  <c r="K549" i="33" s="1"/>
  <c r="L2053" i="33"/>
  <c r="K1571" i="33"/>
  <c r="M1571" i="33" s="1"/>
  <c r="K658" i="33"/>
  <c r="K669" i="33" s="1"/>
  <c r="K680" i="33" s="1"/>
  <c r="K691" i="33" s="1"/>
  <c r="K702" i="33" s="1"/>
  <c r="K248" i="33"/>
  <c r="K253" i="33" s="1"/>
  <c r="K254" i="33" s="1"/>
  <c r="K255" i="33" s="1"/>
  <c r="K256" i="33" s="1"/>
  <c r="K257" i="33" s="1"/>
  <c r="K1657" i="33"/>
  <c r="M1657" i="33" s="1"/>
  <c r="K1740" i="33"/>
  <c r="K1741" i="33" s="1"/>
  <c r="K1742" i="33" s="1"/>
  <c r="K1743" i="33" s="1"/>
  <c r="K1744" i="33" s="1"/>
  <c r="K1745" i="33" s="1"/>
  <c r="K1746" i="33" s="1"/>
  <c r="K1747" i="33" s="1"/>
  <c r="K1748" i="33" s="1"/>
  <c r="K1749" i="33" s="1"/>
  <c r="K1750" i="33" s="1"/>
  <c r="K1751" i="33" s="1"/>
  <c r="K1752" i="33" s="1"/>
  <c r="K1753" i="33" s="1"/>
  <c r="K1754" i="33" s="1"/>
  <c r="K132" i="33"/>
  <c r="M132" i="33" s="1"/>
  <c r="K1846" i="33"/>
  <c r="M1846" i="33" s="1"/>
  <c r="K1815" i="33"/>
  <c r="M1815" i="33" s="1"/>
  <c r="K1289" i="33"/>
  <c r="K1290" i="33" s="1"/>
  <c r="M1290" i="33" s="1"/>
  <c r="K1263" i="33"/>
  <c r="M1263" i="33" s="1"/>
  <c r="K1261" i="33"/>
  <c r="K1262" i="33" s="1"/>
  <c r="M1262" i="33" s="1"/>
  <c r="K1163" i="33"/>
  <c r="K1173" i="33" s="1"/>
  <c r="M1173" i="33" s="1"/>
  <c r="K1154" i="33"/>
  <c r="M1154" i="33" s="1"/>
  <c r="M1153" i="33"/>
  <c r="M1475" i="33"/>
  <c r="K1476" i="33"/>
  <c r="K1477" i="33" s="1"/>
  <c r="K1478" i="33" s="1"/>
  <c r="K1479" i="33" s="1"/>
  <c r="K1480" i="33" s="1"/>
  <c r="K1481" i="33" s="1"/>
  <c r="K1482" i="33" s="1"/>
  <c r="K1483" i="33" s="1"/>
  <c r="K1343" i="33"/>
  <c r="M1343" i="33" s="1"/>
  <c r="K494" i="33"/>
  <c r="M494" i="33" s="1"/>
  <c r="M1268" i="33"/>
  <c r="K1680" i="33"/>
  <c r="K1681" i="33" s="1"/>
  <c r="M504" i="33"/>
  <c r="K1518" i="33"/>
  <c r="K1519" i="33" s="1"/>
  <c r="K1520" i="33" s="1"/>
  <c r="K1521" i="33" s="1"/>
  <c r="K1522" i="33" s="1"/>
  <c r="K1523" i="33" s="1"/>
  <c r="K1524" i="33" s="1"/>
  <c r="K1525" i="33" s="1"/>
  <c r="K1526" i="33" s="1"/>
  <c r="K1527" i="33" s="1"/>
  <c r="K1528" i="33" s="1"/>
  <c r="K1529" i="33" s="1"/>
  <c r="K1530" i="33" s="1"/>
  <c r="K1531" i="33" s="1"/>
  <c r="K1532" i="33" s="1"/>
  <c r="K1533" i="33" s="1"/>
  <c r="K1534" i="33" s="1"/>
  <c r="K1535" i="33" s="1"/>
  <c r="K1834" i="33"/>
  <c r="M1834" i="33" s="1"/>
  <c r="M493" i="33"/>
  <c r="M1321" i="33"/>
  <c r="K1810" i="33"/>
  <c r="B4" i="39"/>
  <c r="P1266" i="33"/>
  <c r="P1557" i="33"/>
  <c r="P1767" i="33"/>
  <c r="P1798" i="33"/>
  <c r="P1855" i="33"/>
  <c r="P1679" i="33"/>
  <c r="P1795" i="33"/>
  <c r="P1585" i="33"/>
  <c r="P1786" i="33"/>
  <c r="P1809" i="33"/>
  <c r="P1853" i="33"/>
  <c r="P1860" i="33"/>
  <c r="P2120" i="33"/>
  <c r="P1833" i="33"/>
  <c r="P1859" i="33"/>
  <c r="P1814" i="33"/>
  <c r="P1845" i="33"/>
  <c r="K53" i="33"/>
  <c r="K54" i="33" s="1"/>
  <c r="K55" i="33" s="1"/>
  <c r="K56" i="33" s="1"/>
  <c r="M56" i="33" s="1"/>
  <c r="M52" i="33"/>
  <c r="K57" i="33"/>
  <c r="M13" i="33"/>
  <c r="K14" i="33"/>
  <c r="L111" i="33"/>
  <c r="L171" i="33"/>
  <c r="L181" i="33"/>
  <c r="K218" i="33"/>
  <c r="M213" i="33"/>
  <c r="K214" i="33"/>
  <c r="L221" i="33"/>
  <c r="L120" i="33"/>
  <c r="K4" i="33"/>
  <c r="K5" i="33" s="1"/>
  <c r="M3" i="33"/>
  <c r="L18" i="33"/>
  <c r="L216" i="33"/>
  <c r="L176" i="33"/>
  <c r="K423" i="33"/>
  <c r="J458" i="33"/>
  <c r="K458" i="33" s="1"/>
  <c r="L80" i="33"/>
  <c r="L251" i="33"/>
  <c r="L326" i="33"/>
  <c r="L346" i="33"/>
  <c r="K353" i="33"/>
  <c r="L401" i="33"/>
  <c r="L451" i="33"/>
  <c r="K768" i="33"/>
  <c r="J823" i="33"/>
  <c r="L66" i="33"/>
  <c r="L140" i="33"/>
  <c r="L165" i="33"/>
  <c r="L291" i="33"/>
  <c r="L316" i="33"/>
  <c r="L276" i="33"/>
  <c r="L361" i="33"/>
  <c r="L486" i="33"/>
  <c r="L529" i="33"/>
  <c r="L533" i="33"/>
  <c r="L537" i="33"/>
  <c r="M526" i="33"/>
  <c r="I14" i="33"/>
  <c r="I15" i="33" s="1"/>
  <c r="I16" i="33" s="1"/>
  <c r="L159" i="33"/>
  <c r="L210" i="33"/>
  <c r="L267" i="33"/>
  <c r="K283" i="33"/>
  <c r="L305" i="33"/>
  <c r="L331" i="33"/>
  <c r="L336" i="33"/>
  <c r="L543" i="33"/>
  <c r="L130" i="33"/>
  <c r="L247" i="33"/>
  <c r="L366" i="33"/>
  <c r="L90" i="33"/>
  <c r="L190" i="33"/>
  <c r="L241" i="33"/>
  <c r="L281" i="33"/>
  <c r="L296" i="33"/>
  <c r="L355" i="33"/>
  <c r="L410" i="33"/>
  <c r="L417" i="33"/>
  <c r="L422" i="33"/>
  <c r="L457" i="33"/>
  <c r="L99" i="33"/>
  <c r="L104" i="33"/>
  <c r="L236" i="33"/>
  <c r="L406" i="33"/>
  <c r="L437" i="33"/>
  <c r="L466" i="33"/>
  <c r="L527" i="33"/>
  <c r="L531" i="33"/>
  <c r="L535" i="33"/>
  <c r="L545" i="33"/>
  <c r="J172" i="33"/>
  <c r="K172" i="33" s="1"/>
  <c r="L350" i="33"/>
  <c r="L395" i="33"/>
  <c r="L445" i="33"/>
  <c r="L462" i="33"/>
  <c r="L481" i="33"/>
  <c r="L550" i="33"/>
  <c r="L558" i="33"/>
  <c r="L154" i="33"/>
  <c r="L204" i="33"/>
  <c r="L225" i="33"/>
  <c r="L232" i="33"/>
  <c r="L256" i="33"/>
  <c r="L271" i="33"/>
  <c r="L286" i="33"/>
  <c r="K318" i="33"/>
  <c r="L341" i="33"/>
  <c r="M515" i="33"/>
  <c r="L1189" i="33"/>
  <c r="L1199" i="33" s="1"/>
  <c r="L1209" i="33" s="1"/>
  <c r="L149" i="33"/>
  <c r="L199" i="33"/>
  <c r="L300" i="33"/>
  <c r="K388" i="33"/>
  <c r="L541" i="33"/>
  <c r="L84" i="33"/>
  <c r="L94" i="33"/>
  <c r="L144" i="33"/>
  <c r="L194" i="33"/>
  <c r="L470" i="33"/>
  <c r="L375" i="33"/>
  <c r="L387" i="33"/>
  <c r="K713" i="33"/>
  <c r="K603" i="33"/>
  <c r="L1178" i="33"/>
  <c r="L1186" i="33"/>
  <c r="L1196" i="33" s="1"/>
  <c r="L1206" i="33" s="1"/>
  <c r="L1221" i="33"/>
  <c r="L1192" i="33"/>
  <c r="L1202" i="33" s="1"/>
  <c r="L1212" i="33" s="1"/>
  <c r="M1216" i="33"/>
  <c r="L1217" i="33"/>
  <c r="M1217" i="33" s="1"/>
  <c r="K1245" i="33"/>
  <c r="K1243" i="33"/>
  <c r="K1244" i="33" s="1"/>
  <c r="M1242" i="33"/>
  <c r="K1298" i="33"/>
  <c r="K1299" i="33" s="1"/>
  <c r="K1300" i="33" s="1"/>
  <c r="K1301" i="33" s="1"/>
  <c r="K1302" i="33" s="1"/>
  <c r="K1303" i="33" s="1"/>
  <c r="K1304" i="33" s="1"/>
  <c r="M1297" i="33"/>
  <c r="L1361" i="33"/>
  <c r="L1315" i="33"/>
  <c r="L1191" i="33"/>
  <c r="L1201" i="33" s="1"/>
  <c r="L1211" i="33" s="1"/>
  <c r="L1323" i="33"/>
  <c r="L1324" i="33" s="1"/>
  <c r="L1325" i="33" s="1"/>
  <c r="M1322" i="33"/>
  <c r="M1357" i="33"/>
  <c r="K1358" i="33"/>
  <c r="K1359" i="33" s="1"/>
  <c r="K1360" i="33" s="1"/>
  <c r="K1361" i="33" s="1"/>
  <c r="K1362" i="33" s="1"/>
  <c r="K1363" i="33" s="1"/>
  <c r="K1364" i="33" s="1"/>
  <c r="K1365" i="33" s="1"/>
  <c r="K1366" i="33" s="1"/>
  <c r="K1367" i="33" s="1"/>
  <c r="K1368" i="33" s="1"/>
  <c r="K1369" i="33" s="1"/>
  <c r="K1370" i="33" s="1"/>
  <c r="K1371" i="33" s="1"/>
  <c r="K1372" i="33" s="1"/>
  <c r="K1373" i="33" s="1"/>
  <c r="K1374" i="33" s="1"/>
  <c r="K1375" i="33" s="1"/>
  <c r="K1376" i="33" s="1"/>
  <c r="K1377" i="33" s="1"/>
  <c r="K1378" i="33" s="1"/>
  <c r="K1379" i="33" s="1"/>
  <c r="K1380" i="33" s="1"/>
  <c r="K1381" i="33" s="1"/>
  <c r="K1382" i="33" s="1"/>
  <c r="K1383" i="33" s="1"/>
  <c r="K1384" i="33" s="1"/>
  <c r="K1385" i="33" s="1"/>
  <c r="K1386" i="33" s="1"/>
  <c r="K1387" i="33" s="1"/>
  <c r="K1388" i="33" s="1"/>
  <c r="K1389" i="33" s="1"/>
  <c r="K1390" i="33" s="1"/>
  <c r="K1391" i="33" s="1"/>
  <c r="L1225" i="33"/>
  <c r="K1237" i="33"/>
  <c r="M1233" i="33"/>
  <c r="K1234" i="33"/>
  <c r="L1259" i="33"/>
  <c r="L1307" i="33"/>
  <c r="L1346" i="33"/>
  <c r="L1190" i="33"/>
  <c r="L1200" i="33" s="1"/>
  <c r="L1210" i="33" s="1"/>
  <c r="M1267" i="33"/>
  <c r="K1313" i="33"/>
  <c r="L1177" i="33"/>
  <c r="L1185" i="33"/>
  <c r="L1195" i="33" s="1"/>
  <c r="L1205" i="33" s="1"/>
  <c r="M1214" i="33"/>
  <c r="K1218" i="33"/>
  <c r="L1295" i="33"/>
  <c r="L1244" i="33"/>
  <c r="L1269" i="33"/>
  <c r="L1300" i="33"/>
  <c r="K1305" i="33"/>
  <c r="M1635" i="33"/>
  <c r="K1636" i="33"/>
  <c r="M1431" i="33"/>
  <c r="K1432" i="33"/>
  <c r="L1397" i="33"/>
  <c r="M1260" i="33"/>
  <c r="L1478" i="33"/>
  <c r="K1558" i="33"/>
  <c r="K1559" i="33" s="1"/>
  <c r="K1560" i="33" s="1"/>
  <c r="K1561" i="33" s="1"/>
  <c r="K1562" i="33" s="1"/>
  <c r="K1563" i="33" s="1"/>
  <c r="K1564" i="33" s="1"/>
  <c r="K1565" i="33" s="1"/>
  <c r="K1566" i="33" s="1"/>
  <c r="K1567" i="33" s="1"/>
  <c r="K1568" i="33" s="1"/>
  <c r="K1569" i="33" s="1"/>
  <c r="K1570" i="33" s="1"/>
  <c r="M1215" i="33"/>
  <c r="L1559" i="33"/>
  <c r="L1588" i="33"/>
  <c r="L1434" i="33"/>
  <c r="L1574" i="33"/>
  <c r="K1586" i="33"/>
  <c r="K1587" i="33" s="1"/>
  <c r="K1588" i="33" s="1"/>
  <c r="K1589" i="33" s="1"/>
  <c r="K1590" i="33" s="1"/>
  <c r="K1591" i="33" s="1"/>
  <c r="K1592" i="33" s="1"/>
  <c r="K1593" i="33" s="1"/>
  <c r="K1594" i="33" s="1"/>
  <c r="K1595" i="33" s="1"/>
  <c r="K1596" i="33" s="1"/>
  <c r="K1597" i="33" s="1"/>
  <c r="K1598" i="33" s="1"/>
  <c r="K1599" i="33" s="1"/>
  <c r="K1600" i="33" s="1"/>
  <c r="K1601" i="33" s="1"/>
  <c r="K1602" i="33" s="1"/>
  <c r="K1603" i="33" s="1"/>
  <c r="K1604" i="33" s="1"/>
  <c r="K1605" i="33" s="1"/>
  <c r="K1606" i="33" s="1"/>
  <c r="L1613" i="33"/>
  <c r="L1455" i="33"/>
  <c r="K1537" i="33"/>
  <c r="K1538" i="33" s="1"/>
  <c r="K1539" i="33" s="1"/>
  <c r="K1540" i="33" s="1"/>
  <c r="K1541" i="33" s="1"/>
  <c r="K1542" i="33" s="1"/>
  <c r="K1543" i="33" s="1"/>
  <c r="K1544" i="33" s="1"/>
  <c r="K1545" i="33" s="1"/>
  <c r="K1546" i="33" s="1"/>
  <c r="K1547" i="33" s="1"/>
  <c r="K1548" i="33" s="1"/>
  <c r="K1549" i="33" s="1"/>
  <c r="K1550" i="33" s="1"/>
  <c r="L1638" i="33"/>
  <c r="M1721" i="33"/>
  <c r="K1722" i="33"/>
  <c r="K1281" i="33"/>
  <c r="K1496" i="33"/>
  <c r="K1610" i="33"/>
  <c r="L1660" i="33"/>
  <c r="K1796" i="33"/>
  <c r="M1800" i="33"/>
  <c r="K1801" i="33"/>
  <c r="L1979" i="33"/>
  <c r="M1838" i="33"/>
  <c r="K1839" i="33"/>
  <c r="L1875" i="33"/>
  <c r="K1763" i="33"/>
  <c r="K1761" i="33"/>
  <c r="L1817" i="33"/>
  <c r="L1818" i="33" s="1"/>
  <c r="M1760" i="33"/>
  <c r="M1819" i="33"/>
  <c r="K1820" i="33"/>
  <c r="L1519" i="33"/>
  <c r="L1538" i="33"/>
  <c r="K1799" i="33"/>
  <c r="M1799" i="33" s="1"/>
  <c r="L1812" i="33"/>
  <c r="L1813" i="33" s="1"/>
  <c r="L1731" i="33"/>
  <c r="L1743" i="33"/>
  <c r="L1848" i="33"/>
  <c r="L2184" i="33"/>
  <c r="L1836" i="33"/>
  <c r="L2146" i="33"/>
  <c r="K1700" i="33"/>
  <c r="L1803" i="33"/>
  <c r="L1822" i="33"/>
  <c r="L1841" i="33"/>
  <c r="L2014" i="33"/>
  <c r="L1944" i="33"/>
  <c r="L2122" i="33"/>
  <c r="L2203" i="33"/>
  <c r="K2121" i="33"/>
  <c r="K2122" i="33" s="1"/>
  <c r="K2123" i="33" s="1"/>
  <c r="K2124" i="33" s="1"/>
  <c r="K2125" i="33" s="1"/>
  <c r="K2126" i="33" s="1"/>
  <c r="K2127" i="33" s="1"/>
  <c r="K2128" i="33" s="1"/>
  <c r="K2129" i="33" s="1"/>
  <c r="K2130" i="33" s="1"/>
  <c r="K2131" i="33" s="1"/>
  <c r="K2132" i="33" s="1"/>
  <c r="K2133" i="33" s="1"/>
  <c r="K2134" i="33" s="1"/>
  <c r="K2135" i="33" s="1"/>
  <c r="K2136" i="33" s="1"/>
  <c r="K2137" i="33" s="1"/>
  <c r="K2138" i="33" s="1"/>
  <c r="K2139" i="33" s="1"/>
  <c r="K1768" i="33"/>
  <c r="K1769" i="33" s="1"/>
  <c r="K1770" i="33" s="1"/>
  <c r="K1771" i="33" s="1"/>
  <c r="K1772" i="33" s="1"/>
  <c r="K1773" i="33" s="1"/>
  <c r="K1787" i="33"/>
  <c r="K1788" i="33" s="1"/>
  <c r="K1789" i="33" s="1"/>
  <c r="K1790" i="33" s="1"/>
  <c r="K1791" i="33" s="1"/>
  <c r="K1792" i="33" s="1"/>
  <c r="K1854" i="33"/>
  <c r="M1854" i="33" s="1"/>
  <c r="K1856" i="33"/>
  <c r="K1857" i="33" s="1"/>
  <c r="K1858" i="33" s="1"/>
  <c r="K1861" i="33"/>
  <c r="K2140" i="33"/>
  <c r="L1765" i="33"/>
  <c r="L1769" i="33"/>
  <c r="L1788" i="33"/>
  <c r="L1851" i="33"/>
  <c r="L1857" i="33"/>
  <c r="L2304" i="33"/>
  <c r="K2280" i="33"/>
  <c r="K2261" i="33"/>
  <c r="M2260" i="33"/>
  <c r="M2320" i="33"/>
  <c r="K2321" i="33"/>
  <c r="K2322" i="33" s="1"/>
  <c r="M2322" i="33" s="1"/>
  <c r="L2263" i="33"/>
  <c r="L2323" i="33"/>
  <c r="L2242" i="33"/>
  <c r="L2282" i="33"/>
  <c r="P1849" i="33" a="1"/>
  <c r="P92" i="33" a="1"/>
  <c r="P13" i="33" a="1"/>
  <c r="P1854" i="33" a="1"/>
  <c r="P2320" i="33" a="1"/>
  <c r="P1297" i="33" a="1"/>
  <c r="P1215" i="33" a="1"/>
  <c r="P1216" i="33" a="1"/>
  <c r="P504" i="33" a="1"/>
  <c r="P1263" i="33" a="1"/>
  <c r="P2322" i="33" a="1"/>
  <c r="P1173" i="33" a="1"/>
  <c r="P526" i="33" a="1"/>
  <c r="P1321" i="33" a="1"/>
  <c r="P1834" i="33" a="1"/>
  <c r="P3" i="33" a="1"/>
  <c r="P1846" i="33" a="1"/>
  <c r="P1357" i="33" a="1"/>
  <c r="P1290" i="33" a="1"/>
  <c r="P1267" i="33" a="1"/>
  <c r="P1571" i="33" a="1"/>
  <c r="P1214" i="33" a="1"/>
  <c r="P1635" i="33" a="1"/>
  <c r="P1260" i="33" a="1"/>
  <c r="P1394" i="33" a="1"/>
  <c r="P1343" i="33" a="1"/>
  <c r="P1815" i="33" a="1"/>
  <c r="P213" i="33" a="1"/>
  <c r="P1322" i="33" a="1"/>
  <c r="P1262" i="33" a="1"/>
  <c r="P1242" i="33" a="1"/>
  <c r="P1268" i="33" a="1"/>
  <c r="P1819" i="33" a="1"/>
  <c r="P52" i="33" a="1"/>
  <c r="P1800" i="33" a="1"/>
  <c r="P493" i="33" a="1"/>
  <c r="P1838" i="33" a="1"/>
  <c r="P1657" i="33" a="1"/>
  <c r="P56" i="33" a="1"/>
  <c r="P1153" i="33" a="1"/>
  <c r="P1217" i="33" a="1"/>
  <c r="P494" i="33" a="1"/>
  <c r="P1721" i="33" a="1"/>
  <c r="P2260" i="33" a="1"/>
  <c r="P1233" i="33" a="1"/>
  <c r="P1799" i="33" a="1"/>
  <c r="P132" i="33" a="1"/>
  <c r="P1760" i="33" a="1"/>
  <c r="P515" i="33" a="1"/>
  <c r="P1154" i="33" a="1"/>
  <c r="K1862" i="33" l="1"/>
  <c r="K2676" i="33"/>
  <c r="K2677" i="33" s="1"/>
  <c r="K2678" i="33" s="1"/>
  <c r="K2679" i="33" s="1"/>
  <c r="K2680" i="33" s="1"/>
  <c r="K2681" i="33" s="1"/>
  <c r="K2682" i="33" s="1"/>
  <c r="K2683" i="33" s="1"/>
  <c r="K2684" i="33" s="1"/>
  <c r="K2685" i="33" s="1"/>
  <c r="K2686" i="33" s="1"/>
  <c r="K2687" i="33" s="1"/>
  <c r="K2688" i="33" s="1"/>
  <c r="K2689" i="33" s="1"/>
  <c r="K2690" i="33" s="1"/>
  <c r="K2691" i="33" s="1"/>
  <c r="K2786" i="33"/>
  <c r="K2787" i="33" s="1"/>
  <c r="K2788" i="33" s="1"/>
  <c r="K2789" i="33" s="1"/>
  <c r="K2790" i="33" s="1"/>
  <c r="K2791" i="33" s="1"/>
  <c r="K2792" i="33" s="1"/>
  <c r="K2793" i="33" s="1"/>
  <c r="K2794" i="33" s="1"/>
  <c r="K2795" i="33" s="1"/>
  <c r="K2796" i="33" s="1"/>
  <c r="K2797" i="33" s="1"/>
  <c r="K2798" i="33" s="1"/>
  <c r="K2799" i="33" s="1"/>
  <c r="K2800" i="33" s="1"/>
  <c r="K2801" i="33" s="1"/>
  <c r="K1755" i="33"/>
  <c r="K1756" i="33" s="1"/>
  <c r="K1757" i="33" s="1"/>
  <c r="K1758" i="33" s="1"/>
  <c r="K1759" i="33" s="1"/>
  <c r="M1759" i="33" s="1"/>
  <c r="L1704" i="33"/>
  <c r="K1682" i="33"/>
  <c r="M1681" i="33"/>
  <c r="K1607" i="33"/>
  <c r="K1551" i="33"/>
  <c r="K1552" i="33" s="1"/>
  <c r="K1553" i="33" s="1"/>
  <c r="K1554" i="33" s="1"/>
  <c r="K1555" i="33" s="1"/>
  <c r="L1500" i="33"/>
  <c r="K1484" i="33"/>
  <c r="M1324" i="33"/>
  <c r="K1392" i="33"/>
  <c r="K1393" i="33" s="1"/>
  <c r="M5" i="33"/>
  <c r="K6" i="33"/>
  <c r="M6" i="33" s="1"/>
  <c r="I17" i="33"/>
  <c r="I18" i="33" s="1"/>
  <c r="I19" i="33" s="1"/>
  <c r="I20" i="33" s="1"/>
  <c r="I21" i="33" s="1"/>
  <c r="I22" i="33" s="1"/>
  <c r="I23" i="33" s="1"/>
  <c r="I24" i="33" s="1"/>
  <c r="I25" i="33" s="1"/>
  <c r="I26" i="33" s="1"/>
  <c r="I27" i="33" s="1"/>
  <c r="I28" i="33" s="1"/>
  <c r="I29" i="33" s="1"/>
  <c r="I30" i="33" s="1"/>
  <c r="I31" i="33" s="1"/>
  <c r="I32" i="33" s="1"/>
  <c r="I33" i="33" s="1"/>
  <c r="I34" i="33" s="1"/>
  <c r="I35" i="33" s="1"/>
  <c r="K2883" i="33"/>
  <c r="K2884" i="33" s="1"/>
  <c r="K2885" i="33" s="1"/>
  <c r="K2886" i="33" s="1"/>
  <c r="K2887" i="33" s="1"/>
  <c r="K2888" i="33" s="1"/>
  <c r="K2889" i="33" s="1"/>
  <c r="K2890" i="33" s="1"/>
  <c r="K2909" i="33"/>
  <c r="K2910" i="33" s="1"/>
  <c r="K2911" i="33" s="1"/>
  <c r="K2601" i="33"/>
  <c r="K2602" i="33" s="1"/>
  <c r="K2603" i="33" s="1"/>
  <c r="K2604" i="33" s="1"/>
  <c r="K2605" i="33" s="1"/>
  <c r="K2578" i="33"/>
  <c r="K2579" i="33" s="1"/>
  <c r="K2580" i="33" s="1"/>
  <c r="K2581" i="33" s="1"/>
  <c r="K2582" i="33" s="1"/>
  <c r="K2583" i="33" s="1"/>
  <c r="K2584" i="33" s="1"/>
  <c r="K2550" i="33"/>
  <c r="K2551" i="33" s="1"/>
  <c r="K2552" i="33" s="1"/>
  <c r="K97" i="33"/>
  <c r="M97" i="33" s="1"/>
  <c r="K2466" i="33"/>
  <c r="K2467" i="33" s="1"/>
  <c r="K2468" i="33" s="1"/>
  <c r="K2469" i="33" s="1"/>
  <c r="K2470" i="33" s="1"/>
  <c r="K2471" i="33" s="1"/>
  <c r="K2472" i="33" s="1"/>
  <c r="K2473" i="33" s="1"/>
  <c r="K93" i="33"/>
  <c r="K94" i="33" s="1"/>
  <c r="K95" i="33" s="1"/>
  <c r="K96" i="33" s="1"/>
  <c r="K1395" i="33"/>
  <c r="K1396" i="33" s="1"/>
  <c r="K2406" i="33"/>
  <c r="K2407" i="33" s="1"/>
  <c r="K2408" i="33" s="1"/>
  <c r="K2409" i="33" s="1"/>
  <c r="K2410" i="33" s="1"/>
  <c r="K2411" i="33" s="1"/>
  <c r="K2412" i="33" s="1"/>
  <c r="P92" i="33"/>
  <c r="K2377" i="33"/>
  <c r="K2378" i="33" s="1"/>
  <c r="K2379" i="33" s="1"/>
  <c r="K2380" i="33" s="1"/>
  <c r="K2381" i="33" s="1"/>
  <c r="K2382" i="33" s="1"/>
  <c r="K2383" i="33" s="1"/>
  <c r="P1394" i="33"/>
  <c r="K2330" i="33"/>
  <c r="K2331" i="33" s="1"/>
  <c r="K659" i="33"/>
  <c r="K670" i="33" s="1"/>
  <c r="K681" i="33" s="1"/>
  <c r="K692" i="33" s="1"/>
  <c r="K703" i="33" s="1"/>
  <c r="K559" i="33"/>
  <c r="K570" i="33" s="1"/>
  <c r="K581" i="33" s="1"/>
  <c r="K592" i="33" s="1"/>
  <c r="M1742" i="33"/>
  <c r="K1850" i="33"/>
  <c r="K1851" i="33" s="1"/>
  <c r="K1852" i="33" s="1"/>
  <c r="K1454" i="33"/>
  <c r="K1455" i="33" s="1"/>
  <c r="K1456" i="33" s="1"/>
  <c r="K1457" i="33" s="1"/>
  <c r="K1458" i="33" s="1"/>
  <c r="K1459" i="33" s="1"/>
  <c r="K1460" i="33" s="1"/>
  <c r="K1461" i="33" s="1"/>
  <c r="K1462" i="33" s="1"/>
  <c r="K1463" i="33" s="1"/>
  <c r="K1464" i="33" s="1"/>
  <c r="K1465" i="33" s="1"/>
  <c r="K1466" i="33" s="1"/>
  <c r="M1740" i="33"/>
  <c r="M253" i="33"/>
  <c r="K258" i="33"/>
  <c r="K259" i="33" s="1"/>
  <c r="L2091" i="33"/>
  <c r="K1658" i="33"/>
  <c r="K1659" i="33" s="1"/>
  <c r="K1660" i="33" s="1"/>
  <c r="K1661" i="33" s="1"/>
  <c r="K1662" i="33" s="1"/>
  <c r="K1663" i="33" s="1"/>
  <c r="K1664" i="33" s="1"/>
  <c r="K1665" i="33" s="1"/>
  <c r="K1666" i="33" s="1"/>
  <c r="K1667" i="33" s="1"/>
  <c r="K1668" i="33" s="1"/>
  <c r="K1669" i="33" s="1"/>
  <c r="K1670" i="33" s="1"/>
  <c r="K1671" i="33" s="1"/>
  <c r="K1672" i="33" s="1"/>
  <c r="K1673" i="33" s="1"/>
  <c r="K1674" i="33" s="1"/>
  <c r="K1675" i="33" s="1"/>
  <c r="K1676" i="33" s="1"/>
  <c r="K1677" i="33" s="1"/>
  <c r="K1678" i="33" s="1"/>
  <c r="L2054" i="33"/>
  <c r="K249" i="33"/>
  <c r="K250" i="33" s="1"/>
  <c r="M248" i="33"/>
  <c r="P1657" i="33"/>
  <c r="P1571" i="33"/>
  <c r="K1572" i="33"/>
  <c r="K1573" i="33" s="1"/>
  <c r="K1574" i="33" s="1"/>
  <c r="K1575" i="33" s="1"/>
  <c r="K1576" i="33" s="1"/>
  <c r="K1577" i="33" s="1"/>
  <c r="K1578" i="33" s="1"/>
  <c r="K1579" i="33" s="1"/>
  <c r="K1580" i="33" s="1"/>
  <c r="K1581" i="33" s="1"/>
  <c r="K1582" i="33" s="1"/>
  <c r="K1583" i="33" s="1"/>
  <c r="K1584" i="33" s="1"/>
  <c r="M1741" i="33"/>
  <c r="K1291" i="33"/>
  <c r="M1291" i="33" s="1"/>
  <c r="K1155" i="33"/>
  <c r="K1156" i="33" s="1"/>
  <c r="K137" i="33"/>
  <c r="K142" i="33" s="1"/>
  <c r="K1816" i="33"/>
  <c r="K1817" i="33" s="1"/>
  <c r="M1163" i="33"/>
  <c r="K495" i="33"/>
  <c r="K496" i="33" s="1"/>
  <c r="K1164" i="33"/>
  <c r="K1165" i="33" s="1"/>
  <c r="K1166" i="33" s="1"/>
  <c r="K1167" i="33" s="1"/>
  <c r="K1168" i="33" s="1"/>
  <c r="K1169" i="33" s="1"/>
  <c r="K1170" i="33" s="1"/>
  <c r="K1171" i="33" s="1"/>
  <c r="K1172" i="33" s="1"/>
  <c r="M1172" i="33" s="1"/>
  <c r="M1289" i="33"/>
  <c r="K505" i="33"/>
  <c r="K516" i="33" s="1"/>
  <c r="K527" i="33" s="1"/>
  <c r="K538" i="33" s="1"/>
  <c r="K133" i="33"/>
  <c r="M133" i="33" s="1"/>
  <c r="P132" i="33"/>
  <c r="M1261" i="33"/>
  <c r="K1344" i="33"/>
  <c r="K1345" i="33" s="1"/>
  <c r="K1346" i="33" s="1"/>
  <c r="K1347" i="33" s="1"/>
  <c r="K1348" i="33" s="1"/>
  <c r="K1349" i="33" s="1"/>
  <c r="K1350" i="33" s="1"/>
  <c r="K1351" i="33" s="1"/>
  <c r="K1847" i="33"/>
  <c r="M1680" i="33"/>
  <c r="M1476" i="33"/>
  <c r="M1477" i="33"/>
  <c r="K1264" i="33"/>
  <c r="K1265" i="33" s="1"/>
  <c r="M1265" i="33" s="1"/>
  <c r="K1835" i="33"/>
  <c r="K1836" i="33" s="1"/>
  <c r="K1837" i="33" s="1"/>
  <c r="M1298" i="33"/>
  <c r="P1846" i="33"/>
  <c r="M1359" i="33"/>
  <c r="M1358" i="33"/>
  <c r="M2321" i="33"/>
  <c r="M1586" i="33"/>
  <c r="M1861" i="33"/>
  <c r="M1518" i="33"/>
  <c r="P1262" i="33"/>
  <c r="P494" i="33"/>
  <c r="P1153" i="33"/>
  <c r="P504" i="33"/>
  <c r="P1321" i="33"/>
  <c r="P493" i="33"/>
  <c r="P1268" i="33"/>
  <c r="M1299" i="33"/>
  <c r="M1810" i="33"/>
  <c r="K1811" i="33"/>
  <c r="M55" i="33"/>
  <c r="M1768" i="33"/>
  <c r="M1537" i="33"/>
  <c r="K550" i="33"/>
  <c r="M550" i="33" s="1"/>
  <c r="K560" i="33"/>
  <c r="K571" i="33" s="1"/>
  <c r="K582" i="33" s="1"/>
  <c r="K593" i="33" s="1"/>
  <c r="M54" i="33"/>
  <c r="P1854" i="33"/>
  <c r="P1819" i="33"/>
  <c r="P1173" i="33"/>
  <c r="P1799" i="33"/>
  <c r="P1760" i="33"/>
  <c r="P1838" i="33"/>
  <c r="P1260" i="33"/>
  <c r="P1849" i="33"/>
  <c r="P1154" i="33"/>
  <c r="P1357" i="33"/>
  <c r="P526" i="33"/>
  <c r="P3" i="33"/>
  <c r="P52" i="33"/>
  <c r="P1815" i="33"/>
  <c r="P1215" i="33"/>
  <c r="P1290" i="33"/>
  <c r="P1322" i="33"/>
  <c r="P56" i="33"/>
  <c r="P1834" i="33"/>
  <c r="P1233" i="33"/>
  <c r="P1217" i="33"/>
  <c r="P2260" i="33"/>
  <c r="P1343" i="33"/>
  <c r="P1263" i="33"/>
  <c r="P1297" i="33"/>
  <c r="P1216" i="33"/>
  <c r="P2322" i="33"/>
  <c r="P1214" i="33"/>
  <c r="P213" i="33"/>
  <c r="P1721" i="33"/>
  <c r="P2320" i="33"/>
  <c r="P1800" i="33"/>
  <c r="P1635" i="33"/>
  <c r="P1267" i="33"/>
  <c r="P1242" i="33"/>
  <c r="P515" i="33"/>
  <c r="P13" i="33"/>
  <c r="L2305" i="33"/>
  <c r="M2122" i="33"/>
  <c r="L2123" i="33"/>
  <c r="L1456" i="33"/>
  <c r="L205" i="33"/>
  <c r="L337" i="33"/>
  <c r="K428" i="33"/>
  <c r="K424" i="33"/>
  <c r="M423" i="33"/>
  <c r="M1769" i="33"/>
  <c r="L1770" i="33"/>
  <c r="M1792" i="33"/>
  <c r="K1793" i="33"/>
  <c r="K1794" i="33" s="1"/>
  <c r="L1945" i="33"/>
  <c r="M1787" i="33"/>
  <c r="M1496" i="33"/>
  <c r="K1497" i="33"/>
  <c r="K1498" i="33" s="1"/>
  <c r="L1614" i="33"/>
  <c r="L1575" i="33"/>
  <c r="M1300" i="33"/>
  <c r="L1301" i="33"/>
  <c r="L1296" i="33"/>
  <c r="K1248" i="33"/>
  <c r="K1246" i="33"/>
  <c r="M1245" i="33"/>
  <c r="K614" i="33"/>
  <c r="K625" i="33" s="1"/>
  <c r="K636" i="33" s="1"/>
  <c r="K647" i="33" s="1"/>
  <c r="K604" i="33"/>
  <c r="K323" i="33"/>
  <c r="M318" i="33"/>
  <c r="K319" i="33"/>
  <c r="L155" i="33"/>
  <c r="L356" i="33"/>
  <c r="L242" i="33"/>
  <c r="L367" i="33"/>
  <c r="L131" i="33"/>
  <c r="L487" i="33"/>
  <c r="L347" i="33"/>
  <c r="L19" i="33"/>
  <c r="K58" i="33"/>
  <c r="M57" i="33"/>
  <c r="K62" i="33"/>
  <c r="L471" i="33"/>
  <c r="L446" i="33"/>
  <c r="L2015" i="33"/>
  <c r="K1701" i="33"/>
  <c r="K1702" i="33" s="1"/>
  <c r="M1700" i="33"/>
  <c r="L1837" i="33"/>
  <c r="L1744" i="33"/>
  <c r="M1743" i="33"/>
  <c r="M1796" i="33"/>
  <c r="K1797" i="33"/>
  <c r="M1797" i="33" s="1"/>
  <c r="K1282" i="33"/>
  <c r="M1281" i="33"/>
  <c r="M1432" i="33"/>
  <c r="K1433" i="33"/>
  <c r="M1243" i="33"/>
  <c r="M1361" i="33"/>
  <c r="L1362" i="33"/>
  <c r="L287" i="33"/>
  <c r="L396" i="33"/>
  <c r="L542" i="33"/>
  <c r="L105" i="33"/>
  <c r="M254" i="33"/>
  <c r="L222" i="33"/>
  <c r="M1839" i="33"/>
  <c r="K1840" i="33"/>
  <c r="M1559" i="33"/>
  <c r="L1560" i="33"/>
  <c r="K1306" i="33"/>
  <c r="M1305" i="33"/>
  <c r="K358" i="33"/>
  <c r="M353" i="33"/>
  <c r="K354" i="33"/>
  <c r="L2243" i="33"/>
  <c r="L2264" i="33"/>
  <c r="L2147" i="33"/>
  <c r="M1722" i="33"/>
  <c r="K1723" i="33"/>
  <c r="L1435" i="33"/>
  <c r="K1183" i="33"/>
  <c r="K1193" i="33" s="1"/>
  <c r="K1203" i="33" s="1"/>
  <c r="K1174" i="33"/>
  <c r="L1347" i="33"/>
  <c r="K1235" i="33"/>
  <c r="M1234" i="33"/>
  <c r="L1316" i="33"/>
  <c r="M1360" i="33"/>
  <c r="K724" i="33"/>
  <c r="K735" i="33" s="1"/>
  <c r="K746" i="33" s="1"/>
  <c r="K757" i="33" s="1"/>
  <c r="K714" i="33"/>
  <c r="L195" i="33"/>
  <c r="M388" i="33"/>
  <c r="K393" i="33"/>
  <c r="K389" i="33"/>
  <c r="L272" i="33"/>
  <c r="L569" i="33"/>
  <c r="L538" i="33"/>
  <c r="L407" i="33"/>
  <c r="L91" i="33"/>
  <c r="L554" i="33"/>
  <c r="L332" i="33"/>
  <c r="M537" i="33"/>
  <c r="L548" i="33"/>
  <c r="L362" i="33"/>
  <c r="L452" i="33"/>
  <c r="K7" i="33"/>
  <c r="M4" i="33"/>
  <c r="M1538" i="33"/>
  <c r="L1539" i="33"/>
  <c r="L1398" i="33"/>
  <c r="M1323" i="33"/>
  <c r="L376" i="33"/>
  <c r="L145" i="33"/>
  <c r="L351" i="33"/>
  <c r="L100" i="33"/>
  <c r="L297" i="33"/>
  <c r="L191" i="33"/>
  <c r="L306" i="33"/>
  <c r="L211" i="33"/>
  <c r="L544" i="33"/>
  <c r="L317" i="33"/>
  <c r="L327" i="33"/>
  <c r="L217" i="33"/>
  <c r="L121" i="33"/>
  <c r="L1732" i="33"/>
  <c r="M2323" i="33"/>
  <c r="L2324" i="33"/>
  <c r="K2262" i="33"/>
  <c r="M2261" i="33"/>
  <c r="L1867" i="33"/>
  <c r="K2160" i="33"/>
  <c r="K2141" i="33"/>
  <c r="M2140" i="33"/>
  <c r="L2204" i="33"/>
  <c r="L1842" i="33"/>
  <c r="M1856" i="33"/>
  <c r="M2121" i="33"/>
  <c r="M1519" i="33"/>
  <c r="L1520" i="33"/>
  <c r="M1763" i="33"/>
  <c r="K1764" i="33"/>
  <c r="L1980" i="33"/>
  <c r="L1661" i="33"/>
  <c r="L1639" i="33"/>
  <c r="M1588" i="33"/>
  <c r="L1589" i="33"/>
  <c r="M1478" i="33"/>
  <c r="L1479" i="33"/>
  <c r="M1269" i="33"/>
  <c r="L1270" i="33"/>
  <c r="K1219" i="33"/>
  <c r="M1218" i="33"/>
  <c r="K1222" i="33"/>
  <c r="L1308" i="33"/>
  <c r="K1238" i="33"/>
  <c r="M1237" i="33"/>
  <c r="L95" i="33"/>
  <c r="L301" i="33"/>
  <c r="M256" i="33"/>
  <c r="L257" i="33"/>
  <c r="M257" i="33" s="1"/>
  <c r="L467" i="33"/>
  <c r="L237" i="33"/>
  <c r="M458" i="33"/>
  <c r="K463" i="33"/>
  <c r="K459" i="33"/>
  <c r="L277" i="33"/>
  <c r="L166" i="33"/>
  <c r="L81" i="33"/>
  <c r="K215" i="33"/>
  <c r="M214" i="33"/>
  <c r="M53" i="33"/>
  <c r="M1788" i="33"/>
  <c r="L1789" i="33"/>
  <c r="L1804" i="33"/>
  <c r="L482" i="33"/>
  <c r="L2185" i="33"/>
  <c r="K1762" i="33"/>
  <c r="M1762" i="33" s="1"/>
  <c r="M1761" i="33"/>
  <c r="M2280" i="33"/>
  <c r="K2300" i="33"/>
  <c r="K2281" i="33"/>
  <c r="M1857" i="33"/>
  <c r="L1858" i="33"/>
  <c r="M1858" i="33" s="1"/>
  <c r="L1823" i="33"/>
  <c r="L1876" i="33"/>
  <c r="M1801" i="33"/>
  <c r="K1802" i="33"/>
  <c r="M1610" i="33"/>
  <c r="K1611" i="33"/>
  <c r="M1587" i="33"/>
  <c r="M1636" i="33"/>
  <c r="K1637" i="33"/>
  <c r="M1244" i="33"/>
  <c r="K1314" i="33"/>
  <c r="M1313" i="33"/>
  <c r="L85" i="33"/>
  <c r="L200" i="33"/>
  <c r="L561" i="33"/>
  <c r="L556" i="33"/>
  <c r="L411" i="33"/>
  <c r="L282" i="33"/>
  <c r="K288" i="33"/>
  <c r="M283" i="33"/>
  <c r="K284" i="33"/>
  <c r="L292" i="33"/>
  <c r="J878" i="33"/>
  <c r="K823" i="33"/>
  <c r="L402" i="33"/>
  <c r="M14" i="33"/>
  <c r="K15" i="33"/>
  <c r="L2283" i="33"/>
  <c r="L1187" i="33"/>
  <c r="L1197" i="33" s="1"/>
  <c r="L1207" i="33" s="1"/>
  <c r="L1852" i="33"/>
  <c r="M1820" i="33"/>
  <c r="K1821" i="33"/>
  <c r="M1558" i="33"/>
  <c r="L1188" i="33"/>
  <c r="L1198" i="33" s="1"/>
  <c r="L1208" i="33" s="1"/>
  <c r="L552" i="33"/>
  <c r="L150" i="33"/>
  <c r="L342" i="33"/>
  <c r="L226" i="33"/>
  <c r="K173" i="33"/>
  <c r="M172" i="33"/>
  <c r="K177" i="33"/>
  <c r="L546" i="33"/>
  <c r="M255" i="33"/>
  <c r="L160" i="33"/>
  <c r="L540" i="33"/>
  <c r="L141" i="33"/>
  <c r="K779" i="33"/>
  <c r="K790" i="33" s="1"/>
  <c r="K801" i="33" s="1"/>
  <c r="K812" i="33" s="1"/>
  <c r="K769" i="33"/>
  <c r="L252" i="33"/>
  <c r="K219" i="33"/>
  <c r="K223" i="33"/>
  <c r="M218" i="33"/>
  <c r="P353" i="33" a="1"/>
  <c r="P1291" i="33" a="1"/>
  <c r="P1265" i="33" a="1"/>
  <c r="P55" i="33" a="1"/>
  <c r="P1163" i="33" a="1"/>
  <c r="P1478" i="33" a="1"/>
  <c r="P256" i="33" a="1"/>
  <c r="P248" i="33" a="1"/>
  <c r="P1298" i="33" a="1"/>
  <c r="P1680" i="33" a="1"/>
  <c r="P1857" i="33" a="1"/>
  <c r="P1558" i="33" a="1"/>
  <c r="P1839" i="33" a="1"/>
  <c r="P1768" i="33" a="1"/>
  <c r="P1281" i="33" a="1"/>
  <c r="P1761" i="33" a="1"/>
  <c r="P1237" i="33" a="1"/>
  <c r="P1763" i="33" a="1"/>
  <c r="P1856" i="33" a="1"/>
  <c r="P1741" i="33" a="1"/>
  <c r="P1261" i="33" a="1"/>
  <c r="P6" i="33" a="1"/>
  <c r="P1762" i="33" a="1"/>
  <c r="P1289" i="33" a="1"/>
  <c r="P1700" i="33" a="1"/>
  <c r="P1797" i="33" a="1"/>
  <c r="P2261" i="33" a="1"/>
  <c r="P1722" i="33" a="1"/>
  <c r="P1244" i="33" a="1"/>
  <c r="P1787" i="33" a="1"/>
  <c r="P1359" i="33" a="1"/>
  <c r="P133" i="33" a="1"/>
  <c r="P1610" i="33" a="1"/>
  <c r="P1218" i="33" a="1"/>
  <c r="P2140" i="33" a="1"/>
  <c r="P257" i="33" a="1"/>
  <c r="P4" i="33" a="1"/>
  <c r="P1858" i="33" a="1"/>
  <c r="P283" i="33" a="1"/>
  <c r="P218" i="33" a="1"/>
  <c r="P57" i="33" a="1"/>
  <c r="P1588" i="33" a="1"/>
  <c r="P53" i="33" a="1"/>
  <c r="P1172" i="33" a="1"/>
  <c r="P1788" i="33" a="1"/>
  <c r="P5" i="33" a="1"/>
  <c r="P1740" i="33" a="1"/>
  <c r="P1360" i="33" a="1"/>
  <c r="P1245" i="33" a="1"/>
  <c r="P388" i="33" a="1"/>
  <c r="P1743" i="33" a="1"/>
  <c r="P2321" i="33" a="1"/>
  <c r="P14" i="33" a="1"/>
  <c r="P255" i="33" a="1"/>
  <c r="P2122" i="33" a="1"/>
  <c r="P1358" i="33" a="1"/>
  <c r="P1792" i="33" a="1"/>
  <c r="P1742" i="33" a="1"/>
  <c r="P423" i="33" a="1"/>
  <c r="P458" i="33" a="1"/>
  <c r="P1796" i="33" a="1"/>
  <c r="P1769" i="33" a="1"/>
  <c r="P1820" i="33" a="1"/>
  <c r="P1313" i="33" a="1"/>
  <c r="P1305" i="33" a="1"/>
  <c r="P54" i="33" a="1"/>
  <c r="P550" i="33" a="1"/>
  <c r="P1361" i="33" a="1"/>
  <c r="P2323" i="33" a="1"/>
  <c r="P214" i="33" a="1"/>
  <c r="P1234" i="33" a="1"/>
  <c r="P1324" i="33" a="1"/>
  <c r="P1861" i="33" a="1"/>
  <c r="P97" i="33" a="1"/>
  <c r="P1300" i="33" a="1"/>
  <c r="P1269" i="33" a="1"/>
  <c r="P1587" i="33" a="1"/>
  <c r="P172" i="33" a="1"/>
  <c r="P1432" i="33" a="1"/>
  <c r="P1559" i="33" a="1"/>
  <c r="P2280" i="33" a="1"/>
  <c r="P2121" i="33" a="1"/>
  <c r="P254" i="33" a="1"/>
  <c r="P537" i="33" a="1"/>
  <c r="P1636" i="33" a="1"/>
  <c r="P1323" i="33" a="1"/>
  <c r="P1299" i="33" a="1"/>
  <c r="P1681" i="33" a="1"/>
  <c r="P1810" i="33" a="1"/>
  <c r="P1801" i="33" a="1"/>
  <c r="P318" i="33" a="1"/>
  <c r="P1586" i="33" a="1"/>
  <c r="P1243" i="33" a="1"/>
  <c r="P253" i="33" a="1"/>
  <c r="M1793" i="33" l="1"/>
  <c r="M1794" i="33"/>
  <c r="K1863" i="33"/>
  <c r="M1862" i="33"/>
  <c r="K2802" i="33"/>
  <c r="K2803" i="33" s="1"/>
  <c r="K2804" i="33" s="1"/>
  <c r="K2805" i="33" s="1"/>
  <c r="K2806" i="33" s="1"/>
  <c r="K2807" i="33" s="1"/>
  <c r="K2808" i="33" s="1"/>
  <c r="K2809" i="33" s="1"/>
  <c r="K2692" i="33"/>
  <c r="K2693" i="33" s="1"/>
  <c r="K2694" i="33" s="1"/>
  <c r="K2695" i="33" s="1"/>
  <c r="K2696" i="33" s="1"/>
  <c r="K2697" i="33" s="1"/>
  <c r="K2698" i="33" s="1"/>
  <c r="K2699" i="33" s="1"/>
  <c r="M1817" i="33"/>
  <c r="K1818" i="33"/>
  <c r="M1818" i="33" s="1"/>
  <c r="K1703" i="33"/>
  <c r="M1702" i="33"/>
  <c r="L1705" i="33"/>
  <c r="P1681" i="33"/>
  <c r="K1683" i="33"/>
  <c r="M1682" i="33"/>
  <c r="K1608" i="33"/>
  <c r="K1556" i="33"/>
  <c r="M1556" i="33" s="1"/>
  <c r="M1555" i="33"/>
  <c r="K1499" i="33"/>
  <c r="M1498" i="33"/>
  <c r="L1501" i="33"/>
  <c r="K1485" i="33"/>
  <c r="K1486" i="33" s="1"/>
  <c r="K1487" i="33" s="1"/>
  <c r="K1488" i="33" s="1"/>
  <c r="K1489" i="33" s="1"/>
  <c r="K1490" i="33" s="1"/>
  <c r="K1491" i="33" s="1"/>
  <c r="K1492" i="33" s="1"/>
  <c r="K1493" i="33" s="1"/>
  <c r="K1494" i="33" s="1"/>
  <c r="K1495" i="33" s="1"/>
  <c r="P1324" i="33"/>
  <c r="K1467" i="33"/>
  <c r="K1468" i="33" s="1"/>
  <c r="K1469" i="33" s="1"/>
  <c r="K1470" i="33" s="1"/>
  <c r="K1352" i="33"/>
  <c r="K1353" i="33" s="1"/>
  <c r="K1354" i="33" s="1"/>
  <c r="K1355" i="33" s="1"/>
  <c r="K1356" i="33" s="1"/>
  <c r="K1204" i="33"/>
  <c r="M1203" i="33"/>
  <c r="K1194" i="33"/>
  <c r="M1193" i="33"/>
  <c r="P6" i="33"/>
  <c r="P5" i="33"/>
  <c r="I36" i="33"/>
  <c r="I37" i="33" s="1"/>
  <c r="I38" i="33" s="1"/>
  <c r="I39" i="33" s="1"/>
  <c r="K2912" i="33"/>
  <c r="K2913" i="33" s="1"/>
  <c r="K2914" i="33" s="1"/>
  <c r="K2915" i="33" s="1"/>
  <c r="K2916" i="33" s="1"/>
  <c r="K102" i="33"/>
  <c r="K103" i="33" s="1"/>
  <c r="K104" i="33" s="1"/>
  <c r="K660" i="33"/>
  <c r="K671" i="33" s="1"/>
  <c r="K682" i="33" s="1"/>
  <c r="K693" i="33" s="1"/>
  <c r="K704" i="33" s="1"/>
  <c r="K98" i="33"/>
  <c r="K99" i="33" s="1"/>
  <c r="K100" i="33" s="1"/>
  <c r="K101" i="33" s="1"/>
  <c r="M1574" i="33"/>
  <c r="M93" i="33"/>
  <c r="K2606" i="33"/>
  <c r="K2607" i="33" s="1"/>
  <c r="K2608" i="33" s="1"/>
  <c r="M1395" i="33"/>
  <c r="M1852" i="33"/>
  <c r="M94" i="33"/>
  <c r="M249" i="33"/>
  <c r="M1850" i="33"/>
  <c r="K2553" i="33"/>
  <c r="K2554" i="33" s="1"/>
  <c r="K2555" i="33" s="1"/>
  <c r="K2556" i="33" s="1"/>
  <c r="K2557" i="33" s="1"/>
  <c r="K2558" i="33" s="1"/>
  <c r="K2559" i="33" s="1"/>
  <c r="K2560" i="33" s="1"/>
  <c r="K2561" i="33" s="1"/>
  <c r="P97" i="33"/>
  <c r="K2474" i="33"/>
  <c r="K2475" i="33" s="1"/>
  <c r="K2476" i="33" s="1"/>
  <c r="K2477" i="33" s="1"/>
  <c r="K2478" i="33" s="1"/>
  <c r="K2479" i="33" s="1"/>
  <c r="K2480" i="33" s="1"/>
  <c r="K2413" i="33"/>
  <c r="K2414" i="33" s="1"/>
  <c r="K2415" i="33" s="1"/>
  <c r="K2416" i="33" s="1"/>
  <c r="K2417" i="33" s="1"/>
  <c r="K2418" i="33" s="1"/>
  <c r="K2419" i="33" s="1"/>
  <c r="K2384" i="33"/>
  <c r="K2385" i="33" s="1"/>
  <c r="K2386" i="33" s="1"/>
  <c r="K2387" i="33" s="1"/>
  <c r="K2388" i="33" s="1"/>
  <c r="K2389" i="33" s="1"/>
  <c r="K2390" i="33" s="1"/>
  <c r="K2391" i="33" s="1"/>
  <c r="K2332" i="33"/>
  <c r="K2333" i="33" s="1"/>
  <c r="K2334" i="33" s="1"/>
  <c r="M1455" i="33"/>
  <c r="M258" i="33"/>
  <c r="M1659" i="33"/>
  <c r="M1658" i="33"/>
  <c r="M1660" i="33"/>
  <c r="M1572" i="33"/>
  <c r="P1742" i="33"/>
  <c r="K263" i="33"/>
  <c r="M263" i="33" s="1"/>
  <c r="M1851" i="33"/>
  <c r="P1740" i="33"/>
  <c r="M1454" i="33"/>
  <c r="P253" i="33"/>
  <c r="L2092" i="33"/>
  <c r="L2055" i="33"/>
  <c r="P248" i="33"/>
  <c r="M1573" i="33"/>
  <c r="P1741" i="33"/>
  <c r="M1170" i="33"/>
  <c r="M1155" i="33"/>
  <c r="M495" i="33"/>
  <c r="M137" i="33"/>
  <c r="M1168" i="33"/>
  <c r="K1292" i="33"/>
  <c r="M1292" i="33" s="1"/>
  <c r="K506" i="33"/>
  <c r="K517" i="33" s="1"/>
  <c r="P1163" i="33"/>
  <c r="K138" i="33"/>
  <c r="M138" i="33" s="1"/>
  <c r="M1816" i="33"/>
  <c r="M1171" i="33"/>
  <c r="M1165" i="33"/>
  <c r="M1167" i="33"/>
  <c r="M1164" i="33"/>
  <c r="K134" i="33"/>
  <c r="K135" i="33" s="1"/>
  <c r="M1169" i="33"/>
  <c r="M1166" i="33"/>
  <c r="M505" i="33"/>
  <c r="P1172" i="33"/>
  <c r="M1836" i="33"/>
  <c r="M1837" i="33"/>
  <c r="P1289" i="33"/>
  <c r="M1264" i="33"/>
  <c r="M527" i="33"/>
  <c r="M516" i="33"/>
  <c r="M1344" i="33"/>
  <c r="M1346" i="33"/>
  <c r="P1261" i="33"/>
  <c r="P1680" i="33"/>
  <c r="M1345" i="33"/>
  <c r="M1835" i="33"/>
  <c r="K1848" i="33"/>
  <c r="M1848" i="33" s="1"/>
  <c r="M1847" i="33"/>
  <c r="P1298" i="33"/>
  <c r="P1358" i="33"/>
  <c r="P2321" i="33"/>
  <c r="P1359" i="33"/>
  <c r="P1861" i="33"/>
  <c r="P1586" i="33"/>
  <c r="P1768" i="33"/>
  <c r="P55" i="33"/>
  <c r="P54" i="33"/>
  <c r="P1810" i="33"/>
  <c r="P1299" i="33"/>
  <c r="K1812" i="33"/>
  <c r="M1811" i="33"/>
  <c r="K551" i="33"/>
  <c r="K561" i="33"/>
  <c r="K572" i="33" s="1"/>
  <c r="K583" i="33" s="1"/>
  <c r="K594" i="33" s="1"/>
  <c r="K1397" i="33"/>
  <c r="M1396" i="33"/>
  <c r="P1636" i="33"/>
  <c r="P1361" i="33"/>
  <c r="P1743" i="33"/>
  <c r="P1269" i="33"/>
  <c r="P1856" i="33"/>
  <c r="P1858" i="33"/>
  <c r="P214" i="33"/>
  <c r="P1360" i="33"/>
  <c r="P1243" i="33"/>
  <c r="P2122" i="33"/>
  <c r="P53" i="33"/>
  <c r="P1587" i="33"/>
  <c r="P2261" i="33"/>
  <c r="P537" i="33"/>
  <c r="P388" i="33"/>
  <c r="P1305" i="33"/>
  <c r="P255" i="33"/>
  <c r="P1478" i="33"/>
  <c r="P1820" i="33"/>
  <c r="P14" i="33"/>
  <c r="P283" i="33"/>
  <c r="P458" i="33"/>
  <c r="P1291" i="33"/>
  <c r="P254" i="33"/>
  <c r="P1432" i="33"/>
  <c r="P1792" i="33"/>
  <c r="P1323" i="33"/>
  <c r="P218" i="33"/>
  <c r="P1313" i="33"/>
  <c r="P1610" i="33"/>
  <c r="P257" i="33"/>
  <c r="P1588" i="33"/>
  <c r="P1763" i="33"/>
  <c r="P1234" i="33"/>
  <c r="P1281" i="33"/>
  <c r="P1700" i="33"/>
  <c r="P318" i="33"/>
  <c r="P550" i="33"/>
  <c r="P2280" i="33"/>
  <c r="P256" i="33"/>
  <c r="P1218" i="33"/>
  <c r="P2140" i="33"/>
  <c r="P2323" i="33"/>
  <c r="P1559" i="33"/>
  <c r="P1245" i="33"/>
  <c r="P1769" i="33"/>
  <c r="P1857" i="33"/>
  <c r="P1244" i="33"/>
  <c r="P1801" i="33"/>
  <c r="P1761" i="33"/>
  <c r="P1722" i="33"/>
  <c r="P1797" i="33"/>
  <c r="P4" i="33"/>
  <c r="P172" i="33"/>
  <c r="P1558" i="33"/>
  <c r="P1762" i="33"/>
  <c r="P1788" i="33"/>
  <c r="P1237" i="33"/>
  <c r="P2121" i="33"/>
  <c r="P1265" i="33"/>
  <c r="P353" i="33"/>
  <c r="P1839" i="33"/>
  <c r="P1796" i="33"/>
  <c r="P57" i="33"/>
  <c r="P133" i="33"/>
  <c r="P1300" i="33"/>
  <c r="P1787" i="33"/>
  <c r="P423" i="33"/>
  <c r="K1239" i="33"/>
  <c r="M1238" i="33"/>
  <c r="M1661" i="33"/>
  <c r="L1662" i="33"/>
  <c r="L1868" i="33"/>
  <c r="M389" i="33"/>
  <c r="K390" i="33"/>
  <c r="K59" i="33"/>
  <c r="M58" i="33"/>
  <c r="M1575" i="33"/>
  <c r="L1576" i="33"/>
  <c r="L1946" i="33"/>
  <c r="K425" i="33"/>
  <c r="M424" i="33"/>
  <c r="M2123" i="33"/>
  <c r="L2124" i="33"/>
  <c r="L412" i="33"/>
  <c r="L307" i="33"/>
  <c r="L352" i="33"/>
  <c r="M1539" i="33"/>
  <c r="L1540" i="33"/>
  <c r="L565" i="33"/>
  <c r="L2148" i="33"/>
  <c r="M358" i="33"/>
  <c r="K359" i="33"/>
  <c r="K363" i="33"/>
  <c r="K780" i="33"/>
  <c r="K791" i="33" s="1"/>
  <c r="K802" i="33" s="1"/>
  <c r="K813" i="33" s="1"/>
  <c r="K770" i="33"/>
  <c r="L227" i="33"/>
  <c r="L567" i="33"/>
  <c r="L86" i="33"/>
  <c r="K460" i="33"/>
  <c r="M459" i="33"/>
  <c r="L1309" i="33"/>
  <c r="M1479" i="33"/>
  <c r="L1480" i="33"/>
  <c r="L1843" i="33"/>
  <c r="L1733" i="33"/>
  <c r="L1326" i="33"/>
  <c r="M1325" i="33"/>
  <c r="M548" i="33"/>
  <c r="L559" i="33"/>
  <c r="M393" i="33"/>
  <c r="K398" i="33"/>
  <c r="K394" i="33"/>
  <c r="K1175" i="33"/>
  <c r="M1174" i="33"/>
  <c r="M142" i="33"/>
  <c r="K147" i="33"/>
  <c r="K143" i="33"/>
  <c r="M1744" i="33"/>
  <c r="L1745" i="33"/>
  <c r="L156" i="33"/>
  <c r="K433" i="33"/>
  <c r="M428" i="33"/>
  <c r="K429" i="33"/>
  <c r="M173" i="33"/>
  <c r="K174" i="33"/>
  <c r="K468" i="33"/>
  <c r="K464" i="33"/>
  <c r="M463" i="33"/>
  <c r="L1317" i="33"/>
  <c r="K1184" i="33"/>
  <c r="M1183" i="33"/>
  <c r="K1434" i="33"/>
  <c r="M1433" i="33"/>
  <c r="L447" i="33"/>
  <c r="L20" i="33"/>
  <c r="K605" i="33"/>
  <c r="K615" i="33"/>
  <c r="K626" i="33" s="1"/>
  <c r="K637" i="33" s="1"/>
  <c r="K648" i="33" s="1"/>
  <c r="L1615" i="33"/>
  <c r="L2306" i="33"/>
  <c r="L2186" i="33"/>
  <c r="K1822" i="33"/>
  <c r="M1821" i="33"/>
  <c r="M1611" i="33"/>
  <c r="K1612" i="33"/>
  <c r="K2282" i="33"/>
  <c r="M2281" i="33"/>
  <c r="M1589" i="33"/>
  <c r="L1590" i="33"/>
  <c r="K1765" i="33"/>
  <c r="M1765" i="33" s="1"/>
  <c r="M1764" i="33"/>
  <c r="L2205" i="33"/>
  <c r="K2263" i="33"/>
  <c r="M2262" i="33"/>
  <c r="M7" i="33"/>
  <c r="K8" i="33"/>
  <c r="M538" i="33"/>
  <c r="L549" i="33"/>
  <c r="L196" i="33"/>
  <c r="L1436" i="33"/>
  <c r="L2265" i="33"/>
  <c r="K1307" i="33"/>
  <c r="M1306" i="33"/>
  <c r="L397" i="33"/>
  <c r="M319" i="33"/>
  <c r="K320" i="33"/>
  <c r="M1156" i="33"/>
  <c r="K1157" i="33"/>
  <c r="L2284" i="33"/>
  <c r="K16" i="33"/>
  <c r="K17" i="33" s="1"/>
  <c r="M15" i="33"/>
  <c r="K289" i="33"/>
  <c r="M288" i="33"/>
  <c r="K293" i="33"/>
  <c r="L572" i="33"/>
  <c r="M2300" i="33"/>
  <c r="K2301" i="33"/>
  <c r="L1805" i="33"/>
  <c r="M1222" i="33"/>
  <c r="K1223" i="33"/>
  <c r="K1226" i="33"/>
  <c r="K1230" i="33" s="1"/>
  <c r="M2324" i="33"/>
  <c r="L2325" i="33"/>
  <c r="L555" i="33"/>
  <c r="L377" i="33"/>
  <c r="L2244" i="33"/>
  <c r="M1560" i="33"/>
  <c r="L1561" i="33"/>
  <c r="L106" i="33"/>
  <c r="L472" i="33"/>
  <c r="M1497" i="33"/>
  <c r="M1770" i="33"/>
  <c r="L1771" i="33"/>
  <c r="L206" i="33"/>
  <c r="M95" i="33"/>
  <c r="L96" i="33"/>
  <c r="M96" i="33" s="1"/>
  <c r="K216" i="33"/>
  <c r="M215" i="33"/>
  <c r="K251" i="33"/>
  <c r="M250" i="33"/>
  <c r="K228" i="33"/>
  <c r="M223" i="33"/>
  <c r="K224" i="33"/>
  <c r="L551" i="33"/>
  <c r="L557" i="33"/>
  <c r="L151" i="33"/>
  <c r="K1315" i="33"/>
  <c r="M1314" i="33"/>
  <c r="K1803" i="33"/>
  <c r="M1802" i="33"/>
  <c r="L1824" i="33"/>
  <c r="L1640" i="33"/>
  <c r="M1520" i="33"/>
  <c r="L1521" i="33"/>
  <c r="L1399" i="33"/>
  <c r="K260" i="33"/>
  <c r="M259" i="33"/>
  <c r="L580" i="33"/>
  <c r="K1236" i="33"/>
  <c r="M1236" i="33" s="1"/>
  <c r="M1235" i="33"/>
  <c r="M1723" i="33"/>
  <c r="K1724" i="33"/>
  <c r="K1283" i="33"/>
  <c r="M1282" i="33"/>
  <c r="M1701" i="33"/>
  <c r="M323" i="33"/>
  <c r="K324" i="33"/>
  <c r="K328" i="33"/>
  <c r="L146" i="33"/>
  <c r="K220" i="33"/>
  <c r="M219" i="33"/>
  <c r="K182" i="33"/>
  <c r="K178" i="33"/>
  <c r="M177" i="33"/>
  <c r="K824" i="33"/>
  <c r="K834" i="33"/>
  <c r="K845" i="33" s="1"/>
  <c r="K856" i="33" s="1"/>
  <c r="K867" i="33" s="1"/>
  <c r="M1789" i="33"/>
  <c r="L1790" i="33"/>
  <c r="L302" i="33"/>
  <c r="M1219" i="33"/>
  <c r="K1220" i="33"/>
  <c r="K2142" i="33"/>
  <c r="M2141" i="33"/>
  <c r="L101" i="33"/>
  <c r="K725" i="33"/>
  <c r="K736" i="33" s="1"/>
  <c r="K747" i="33" s="1"/>
  <c r="K758" i="33" s="1"/>
  <c r="K715" i="33"/>
  <c r="M1347" i="33"/>
  <c r="L1348" i="33"/>
  <c r="K355" i="33"/>
  <c r="M354" i="33"/>
  <c r="K1841" i="33"/>
  <c r="M1840" i="33"/>
  <c r="L553" i="33"/>
  <c r="L2016" i="33"/>
  <c r="K67" i="33"/>
  <c r="K63" i="33"/>
  <c r="M62" i="33"/>
  <c r="L357" i="33"/>
  <c r="M1246" i="33"/>
  <c r="K1247" i="33"/>
  <c r="M1247" i="33" s="1"/>
  <c r="L1302" i="33"/>
  <c r="M1301" i="33"/>
  <c r="M1456" i="33"/>
  <c r="L1457" i="33"/>
  <c r="M284" i="33"/>
  <c r="K285" i="33"/>
  <c r="L1981" i="33"/>
  <c r="L161" i="33"/>
  <c r="L563" i="33"/>
  <c r="J933" i="33"/>
  <c r="K878" i="33"/>
  <c r="L201" i="33"/>
  <c r="K1638" i="33"/>
  <c r="M1637" i="33"/>
  <c r="L1877" i="33"/>
  <c r="L1271" i="33"/>
  <c r="M1270" i="33"/>
  <c r="M2160" i="33"/>
  <c r="K2180" i="33"/>
  <c r="K2161" i="33"/>
  <c r="M1362" i="33"/>
  <c r="L1363" i="33"/>
  <c r="K497" i="33"/>
  <c r="M496" i="33"/>
  <c r="K507" i="33"/>
  <c r="M1248" i="33"/>
  <c r="K1251" i="33"/>
  <c r="K1249" i="33"/>
  <c r="P93" i="33" a="1"/>
  <c r="P1270" i="33" a="1"/>
  <c r="P1168" i="33" a="1"/>
  <c r="P1837" i="33" a="1"/>
  <c r="P495" i="33" a="1"/>
  <c r="P1183" i="33" a="1"/>
  <c r="P1236" i="33" a="1"/>
  <c r="P1170" i="33" a="1"/>
  <c r="P1723" i="33" a="1"/>
  <c r="P516" i="33" a="1"/>
  <c r="P1222" i="33" a="1"/>
  <c r="P323" i="33" a="1"/>
  <c r="P1345" i="33" a="1"/>
  <c r="P1156" i="33" a="1"/>
  <c r="P1395" i="33" a="1"/>
  <c r="P223" i="33" a="1"/>
  <c r="P1575" i="33" a="1"/>
  <c r="P1573" i="33" a="1"/>
  <c r="P1589" i="33" a="1"/>
  <c r="P284" i="33" a="1"/>
  <c r="P1637" i="33" a="1"/>
  <c r="P1165" i="33" a="1"/>
  <c r="P2324" i="33" a="1"/>
  <c r="P1660" i="33" a="1"/>
  <c r="P1560" i="33" a="1"/>
  <c r="P1682" i="33" a="1"/>
  <c r="P1171" i="33" a="1"/>
  <c r="P1840" i="33" a="1"/>
  <c r="P1572" i="33" a="1"/>
  <c r="P2123" i="33" a="1"/>
  <c r="P1454" i="33" a="1"/>
  <c r="P1702" i="33" a="1"/>
  <c r="P1167" i="33" a="1"/>
  <c r="P1235" i="33" a="1"/>
  <c r="P1362" i="33" a="1"/>
  <c r="P1611" i="33" a="1"/>
  <c r="P1247" i="33" a="1"/>
  <c r="P1744" i="33" a="1"/>
  <c r="P1574" i="33" a="1"/>
  <c r="P1166" i="33" a="1"/>
  <c r="P505" i="33" a="1"/>
  <c r="P1793" i="33" a="1"/>
  <c r="P1847" i="33" a="1"/>
  <c r="P215" i="33" a="1"/>
  <c r="P2262" i="33" a="1"/>
  <c r="P1282" i="33" a="1"/>
  <c r="P1821" i="33" a="1"/>
  <c r="P177" i="33" a="1"/>
  <c r="P389" i="33" a="1"/>
  <c r="P1789" i="33" a="1"/>
  <c r="P1344" i="33" a="1"/>
  <c r="P1701" i="33" a="1"/>
  <c r="P250" i="33" a="1"/>
  <c r="P538" i="33" a="1"/>
  <c r="P1219" i="33" a="1"/>
  <c r="P2281" i="33" a="1"/>
  <c r="P1770" i="33" a="1"/>
  <c r="P7" i="33" a="1"/>
  <c r="P95" i="33" a="1"/>
  <c r="P142" i="33" a="1"/>
  <c r="P1851" i="33" a="1"/>
  <c r="P1862" i="33" a="1"/>
  <c r="P1238" i="33" a="1"/>
  <c r="P1852" i="33" a="1"/>
  <c r="P358" i="33" a="1"/>
  <c r="P15" i="33" a="1"/>
  <c r="P1498" i="33" a="1"/>
  <c r="P1169" i="33" a="1"/>
  <c r="P1325" i="33" a="1"/>
  <c r="P288" i="33" a="1"/>
  <c r="P1347" i="33" a="1"/>
  <c r="P138" i="33" a="1"/>
  <c r="P428" i="33" a="1"/>
  <c r="P2300" i="33" a="1"/>
  <c r="P459" i="33" a="1"/>
  <c r="P58" i="33" a="1"/>
  <c r="P2141" i="33" a="1"/>
  <c r="P1306" i="33" a="1"/>
  <c r="P393" i="33" a="1"/>
  <c r="P1174" i="33" a="1"/>
  <c r="P94" i="33" a="1"/>
  <c r="P137" i="33" a="1"/>
  <c r="P1301" i="33" a="1"/>
  <c r="P1264" i="33" a="1"/>
  <c r="P424" i="33" a="1"/>
  <c r="P1817" i="33" a="1"/>
  <c r="P1661" i="33" a="1"/>
  <c r="P1811" i="33" a="1"/>
  <c r="P259" i="33" a="1"/>
  <c r="P96" i="33" a="1"/>
  <c r="P62" i="33" a="1"/>
  <c r="P463" i="33" a="1"/>
  <c r="P2160" i="33" a="1"/>
  <c r="P527" i="33" a="1"/>
  <c r="P1835" i="33" a="1"/>
  <c r="P496" i="33" a="1"/>
  <c r="P1794" i="33" a="1"/>
  <c r="P1292" i="33" a="1"/>
  <c r="P1556" i="33" a="1"/>
  <c r="P1836" i="33" a="1"/>
  <c r="P548" i="33" a="1"/>
  <c r="P1850" i="33" a="1"/>
  <c r="P1396" i="33" a="1"/>
  <c r="P1765" i="33" a="1"/>
  <c r="P319" i="33" a="1"/>
  <c r="P1658" i="33" a="1"/>
  <c r="P1818" i="33" a="1"/>
  <c r="P1346" i="33" a="1"/>
  <c r="P1816" i="33" a="1"/>
  <c r="P1246" i="33" a="1"/>
  <c r="P354" i="33" a="1"/>
  <c r="P219" i="33" a="1"/>
  <c r="P1155" i="33" a="1"/>
  <c r="P1848" i="33" a="1"/>
  <c r="P1764" i="33" a="1"/>
  <c r="P173" i="33" a="1"/>
  <c r="P1193" i="33" a="1"/>
  <c r="P1802" i="33" a="1"/>
  <c r="P1164" i="33" a="1"/>
  <c r="P1659" i="33" a="1"/>
  <c r="P1314" i="33" a="1"/>
  <c r="P263" i="33" a="1"/>
  <c r="P258" i="33" a="1"/>
  <c r="P249" i="33" a="1"/>
  <c r="P1248" i="33" a="1"/>
  <c r="P1203" i="33" a="1"/>
  <c r="K1231" i="33" l="1"/>
  <c r="M1231" i="33" s="1"/>
  <c r="M1230" i="33"/>
  <c r="P1794" i="33"/>
  <c r="P1793" i="33"/>
  <c r="P1862" i="33"/>
  <c r="K1864" i="33"/>
  <c r="M1863" i="33"/>
  <c r="K2700" i="33"/>
  <c r="K2701" i="33" s="1"/>
  <c r="K2702" i="33" s="1"/>
  <c r="K2703" i="33" s="1"/>
  <c r="K2704" i="33" s="1"/>
  <c r="K2705" i="33" s="1"/>
  <c r="K2706" i="33" s="1"/>
  <c r="K2707" i="33" s="1"/>
  <c r="K2708" i="33" s="1"/>
  <c r="K2709" i="33" s="1"/>
  <c r="K2710" i="33" s="1"/>
  <c r="K2711" i="33" s="1"/>
  <c r="K2712" i="33" s="1"/>
  <c r="K2713" i="33" s="1"/>
  <c r="K2714" i="33" s="1"/>
  <c r="K2715" i="33" s="1"/>
  <c r="K2716" i="33" s="1"/>
  <c r="K2717" i="33" s="1"/>
  <c r="K2810" i="33"/>
  <c r="K2811" i="33" s="1"/>
  <c r="K2812" i="33" s="1"/>
  <c r="K2813" i="33" s="1"/>
  <c r="K2814" i="33" s="1"/>
  <c r="K2815" i="33" s="1"/>
  <c r="K2816" i="33" s="1"/>
  <c r="K2817" i="33" s="1"/>
  <c r="K2818" i="33" s="1"/>
  <c r="K2819" i="33" s="1"/>
  <c r="K2820" i="33" s="1"/>
  <c r="K2821" i="33" s="1"/>
  <c r="K2822" i="33" s="1"/>
  <c r="K2823" i="33" s="1"/>
  <c r="K2824" i="33" s="1"/>
  <c r="K2825" i="33" s="1"/>
  <c r="K2826" i="33" s="1"/>
  <c r="K2827" i="33" s="1"/>
  <c r="P1818" i="33"/>
  <c r="P1817" i="33"/>
  <c r="M1812" i="33"/>
  <c r="K1813" i="33"/>
  <c r="M1813" i="33" s="1"/>
  <c r="P1702" i="33"/>
  <c r="L1706" i="33"/>
  <c r="K1704" i="33"/>
  <c r="M1703" i="33"/>
  <c r="P1682" i="33"/>
  <c r="K1684" i="33"/>
  <c r="M1683" i="33"/>
  <c r="K1609" i="33"/>
  <c r="P1556" i="33"/>
  <c r="P1498" i="33"/>
  <c r="L1502" i="33"/>
  <c r="K1500" i="33"/>
  <c r="M1499" i="33"/>
  <c r="K1471" i="33"/>
  <c r="K1472" i="33" s="1"/>
  <c r="K1473" i="33" s="1"/>
  <c r="K1474" i="33" s="1"/>
  <c r="P1203" i="33"/>
  <c r="K1205" i="33"/>
  <c r="M1204" i="33"/>
  <c r="P1193" i="33"/>
  <c r="K1195" i="33"/>
  <c r="M1194" i="33"/>
  <c r="I40" i="33"/>
  <c r="I41" i="33" s="1"/>
  <c r="I42" i="33" s="1"/>
  <c r="I43" i="33" s="1"/>
  <c r="I44" i="33" s="1"/>
  <c r="I45" i="33" s="1"/>
  <c r="K10" i="33"/>
  <c r="K9" i="33"/>
  <c r="K18" i="33"/>
  <c r="M17" i="33"/>
  <c r="K107" i="33"/>
  <c r="K108" i="33" s="1"/>
  <c r="M108" i="33" s="1"/>
  <c r="M103" i="33"/>
  <c r="M102" i="33"/>
  <c r="M100" i="33"/>
  <c r="K661" i="33"/>
  <c r="K662" i="33" s="1"/>
  <c r="K2917" i="33"/>
  <c r="K2918" i="33" s="1"/>
  <c r="K2919" i="33" s="1"/>
  <c r="K2920" i="33" s="1"/>
  <c r="K2921" i="33" s="1"/>
  <c r="K2922" i="33" s="1"/>
  <c r="K2923" i="33" s="1"/>
  <c r="K2924" i="33" s="1"/>
  <c r="K2925" i="33" s="1"/>
  <c r="K2926" i="33" s="1"/>
  <c r="K2927" i="33" s="1"/>
  <c r="K2928" i="33" s="1"/>
  <c r="K2929" i="33" s="1"/>
  <c r="K2930" i="33" s="1"/>
  <c r="K2931" i="33" s="1"/>
  <c r="K2932" i="33" s="1"/>
  <c r="K2933" i="33" s="1"/>
  <c r="K2934" i="33" s="1"/>
  <c r="K2935" i="33" s="1"/>
  <c r="K2936" i="33" s="1"/>
  <c r="K2937" i="33" s="1"/>
  <c r="K2938" i="33" s="1"/>
  <c r="K2939" i="33" s="1"/>
  <c r="K2940" i="33" s="1"/>
  <c r="K2941" i="33" s="1"/>
  <c r="K2942" i="33" s="1"/>
  <c r="K2943" i="33" s="1"/>
  <c r="K2944" i="33" s="1"/>
  <c r="K2945" i="33" s="1"/>
  <c r="K2946" i="33" s="1"/>
  <c r="K2947" i="33" s="1"/>
  <c r="K2948" i="33" s="1"/>
  <c r="K2949" i="33" s="1"/>
  <c r="K2950" i="33" s="1"/>
  <c r="K2951" i="33" s="1"/>
  <c r="K2891" i="33"/>
  <c r="K2892" i="33" s="1"/>
  <c r="M101" i="33"/>
  <c r="M99" i="33"/>
  <c r="M98" i="33"/>
  <c r="P93" i="33"/>
  <c r="P1574" i="33"/>
  <c r="P1395" i="33"/>
  <c r="P94" i="33"/>
  <c r="P1852" i="33"/>
  <c r="P1850" i="33"/>
  <c r="P249" i="33"/>
  <c r="K264" i="33"/>
  <c r="M264" i="33" s="1"/>
  <c r="K268" i="33"/>
  <c r="K273" i="33" s="1"/>
  <c r="K2481" i="33"/>
  <c r="K2482" i="33" s="1"/>
  <c r="K2483" i="33" s="1"/>
  <c r="K2484" i="33" s="1"/>
  <c r="K2485" i="33" s="1"/>
  <c r="K2486" i="33" s="1"/>
  <c r="K2487" i="33" s="1"/>
  <c r="K2488" i="33" s="1"/>
  <c r="K2420" i="33"/>
  <c r="K2421" i="33" s="1"/>
  <c r="K2422" i="33" s="1"/>
  <c r="K2423" i="33" s="1"/>
  <c r="K2424" i="33" s="1"/>
  <c r="K2425" i="33" s="1"/>
  <c r="K2426" i="33" s="1"/>
  <c r="K2335" i="33"/>
  <c r="K2336" i="33" s="1"/>
  <c r="K2337" i="33" s="1"/>
  <c r="K2338" i="33" s="1"/>
  <c r="K2339" i="33" s="1"/>
  <c r="K2340" i="33" s="1"/>
  <c r="K2341" i="33" s="1"/>
  <c r="K2342" i="33" s="1"/>
  <c r="K2343" i="33" s="1"/>
  <c r="K2344" i="33" s="1"/>
  <c r="K2345" i="33" s="1"/>
  <c r="P258" i="33"/>
  <c r="P1572" i="33"/>
  <c r="P1659" i="33"/>
  <c r="P1660" i="33"/>
  <c r="P1658" i="33"/>
  <c r="P1851" i="33"/>
  <c r="P1454" i="33"/>
  <c r="L2093" i="33"/>
  <c r="L2056" i="33"/>
  <c r="P1573" i="33"/>
  <c r="K1293" i="33"/>
  <c r="K1294" i="33" s="1"/>
  <c r="P1170" i="33"/>
  <c r="P495" i="33"/>
  <c r="P1155" i="33"/>
  <c r="P1168" i="33"/>
  <c r="P137" i="33"/>
  <c r="M134" i="33"/>
  <c r="M506" i="33"/>
  <c r="P1816" i="33"/>
  <c r="K139" i="33"/>
  <c r="K140" i="33" s="1"/>
  <c r="P1164" i="33"/>
  <c r="P1165" i="33"/>
  <c r="P1171" i="33"/>
  <c r="P1167" i="33"/>
  <c r="P505" i="33"/>
  <c r="P1166" i="33"/>
  <c r="P1169" i="33"/>
  <c r="P1837" i="33"/>
  <c r="P1836" i="33"/>
  <c r="P516" i="33"/>
  <c r="P527" i="33"/>
  <c r="P1264" i="33"/>
  <c r="P1346" i="33"/>
  <c r="P1344" i="33"/>
  <c r="P1847" i="33"/>
  <c r="P1848" i="33"/>
  <c r="P1835" i="33"/>
  <c r="P1345" i="33"/>
  <c r="M561" i="33"/>
  <c r="P1811" i="33"/>
  <c r="P1396" i="33"/>
  <c r="K552" i="33"/>
  <c r="K562" i="33"/>
  <c r="K573" i="33" s="1"/>
  <c r="K584" i="33" s="1"/>
  <c r="K595" i="33" s="1"/>
  <c r="K1398" i="33"/>
  <c r="M1397" i="33"/>
  <c r="P1235" i="33"/>
  <c r="P1744" i="33"/>
  <c r="P2141" i="33"/>
  <c r="P1789" i="33"/>
  <c r="P1701" i="33"/>
  <c r="P1236" i="33"/>
  <c r="P1222" i="33"/>
  <c r="P2262" i="33"/>
  <c r="P393" i="33"/>
  <c r="P459" i="33"/>
  <c r="P138" i="33"/>
  <c r="P1560" i="33"/>
  <c r="P173" i="33"/>
  <c r="P2160" i="33"/>
  <c r="P284" i="33"/>
  <c r="P1840" i="33"/>
  <c r="P223" i="33"/>
  <c r="P96" i="33"/>
  <c r="P2281" i="33"/>
  <c r="P428" i="33"/>
  <c r="P2123" i="33"/>
  <c r="P1661" i="33"/>
  <c r="P219" i="33"/>
  <c r="P1637" i="33"/>
  <c r="P62" i="33"/>
  <c r="P1282" i="33"/>
  <c r="P95" i="33"/>
  <c r="P288" i="33"/>
  <c r="P1306" i="33"/>
  <c r="P142" i="33"/>
  <c r="P424" i="33"/>
  <c r="P58" i="33"/>
  <c r="P1238" i="33"/>
  <c r="P1183" i="33"/>
  <c r="P354" i="33"/>
  <c r="P1219" i="33"/>
  <c r="P1156" i="33"/>
  <c r="P538" i="33"/>
  <c r="P463" i="33"/>
  <c r="P548" i="33"/>
  <c r="P358" i="33"/>
  <c r="P1314" i="33"/>
  <c r="P1821" i="33"/>
  <c r="P1270" i="33"/>
  <c r="P1248" i="33"/>
  <c r="P1301" i="33"/>
  <c r="P177" i="33"/>
  <c r="P250" i="33"/>
  <c r="P263" i="33"/>
  <c r="P2300" i="33"/>
  <c r="P1764" i="33"/>
  <c r="P1611" i="33"/>
  <c r="P1174" i="33"/>
  <c r="P1325" i="33"/>
  <c r="P1589" i="33"/>
  <c r="P1575" i="33"/>
  <c r="P259" i="33"/>
  <c r="P1802" i="33"/>
  <c r="P2324" i="33"/>
  <c r="P15" i="33"/>
  <c r="P319" i="33"/>
  <c r="P7" i="33"/>
  <c r="P1765" i="33"/>
  <c r="P389" i="33"/>
  <c r="P1246" i="33"/>
  <c r="P1362" i="33"/>
  <c r="P496" i="33"/>
  <c r="P1247" i="33"/>
  <c r="P1347" i="33"/>
  <c r="P323" i="33"/>
  <c r="P1723" i="33"/>
  <c r="P215" i="33"/>
  <c r="P1770" i="33"/>
  <c r="P1292" i="33"/>
  <c r="K217" i="33"/>
  <c r="M217" i="33" s="1"/>
  <c r="M216" i="33"/>
  <c r="L583" i="33"/>
  <c r="M572" i="33"/>
  <c r="L576" i="33"/>
  <c r="M2180" i="33"/>
  <c r="K2200" i="33"/>
  <c r="K2181" i="33"/>
  <c r="L1878" i="33"/>
  <c r="K286" i="33"/>
  <c r="M285" i="33"/>
  <c r="K221" i="33"/>
  <c r="M220" i="33"/>
  <c r="K1316" i="33"/>
  <c r="M1315" i="33"/>
  <c r="K225" i="33"/>
  <c r="M224" i="33"/>
  <c r="L2245" i="33"/>
  <c r="K1823" i="33"/>
  <c r="M1822" i="33"/>
  <c r="K606" i="33"/>
  <c r="K616" i="33"/>
  <c r="K627" i="33" s="1"/>
  <c r="K638" i="33" s="1"/>
  <c r="K649" i="33" s="1"/>
  <c r="K1185" i="33"/>
  <c r="M1184" i="33"/>
  <c r="M429" i="33"/>
  <c r="K430" i="33"/>
  <c r="K144" i="33"/>
  <c r="M143" i="33"/>
  <c r="M1540" i="33"/>
  <c r="L1541" i="33"/>
  <c r="M2124" i="33"/>
  <c r="L2125" i="33"/>
  <c r="M1662" i="33"/>
  <c r="L1663" i="33"/>
  <c r="J988" i="33"/>
  <c r="K933" i="33"/>
  <c r="M1790" i="33"/>
  <c r="L1791" i="33"/>
  <c r="M1791" i="33" s="1"/>
  <c r="K1224" i="33"/>
  <c r="M1223" i="33"/>
  <c r="M1363" i="33"/>
  <c r="L1364" i="33"/>
  <c r="L574" i="33"/>
  <c r="K2143" i="33"/>
  <c r="M2142" i="33"/>
  <c r="L591" i="33"/>
  <c r="L1806" i="33"/>
  <c r="K294" i="33"/>
  <c r="K298" i="33"/>
  <c r="M293" i="33"/>
  <c r="K2264" i="33"/>
  <c r="M2263" i="33"/>
  <c r="L2187" i="33"/>
  <c r="M147" i="33"/>
  <c r="K152" i="33"/>
  <c r="K148" i="33"/>
  <c r="L1734" i="33"/>
  <c r="K461" i="33"/>
  <c r="M460" i="33"/>
  <c r="K368" i="33"/>
  <c r="K364" i="33"/>
  <c r="M363" i="33"/>
  <c r="K136" i="33"/>
  <c r="M136" i="33" s="1"/>
  <c r="M135" i="33"/>
  <c r="K1250" i="33"/>
  <c r="M1250" i="33" s="1"/>
  <c r="M1249" i="33"/>
  <c r="M1457" i="33"/>
  <c r="L1458" i="33"/>
  <c r="K1842" i="33"/>
  <c r="M1841" i="33"/>
  <c r="K1221" i="33"/>
  <c r="M1221" i="33" s="1"/>
  <c r="M1220" i="33"/>
  <c r="K825" i="33"/>
  <c r="K835" i="33"/>
  <c r="K846" i="33" s="1"/>
  <c r="K857" i="33" s="1"/>
  <c r="K868" i="33" s="1"/>
  <c r="K229" i="33"/>
  <c r="K233" i="33"/>
  <c r="M228" i="33"/>
  <c r="K1158" i="33"/>
  <c r="M1157" i="33"/>
  <c r="M549" i="33"/>
  <c r="L560" i="33"/>
  <c r="K2283" i="33"/>
  <c r="M2282" i="33"/>
  <c r="L21" i="33"/>
  <c r="L1318" i="33"/>
  <c r="M433" i="33"/>
  <c r="K438" i="33"/>
  <c r="K434" i="33"/>
  <c r="L570" i="33"/>
  <c r="M559" i="33"/>
  <c r="L1844" i="33"/>
  <c r="M359" i="33"/>
  <c r="K360" i="33"/>
  <c r="K498" i="33"/>
  <c r="M497" i="33"/>
  <c r="K508" i="33"/>
  <c r="L2285" i="33"/>
  <c r="M1251" i="33"/>
  <c r="K1252" i="33"/>
  <c r="K1254" i="33"/>
  <c r="L1272" i="33"/>
  <c r="M1271" i="33"/>
  <c r="K1639" i="33"/>
  <c r="M1638" i="33"/>
  <c r="K64" i="33"/>
  <c r="M63" i="33"/>
  <c r="K1284" i="33"/>
  <c r="M1283" i="33"/>
  <c r="M1521" i="33"/>
  <c r="L1522" i="33"/>
  <c r="L1825" i="33"/>
  <c r="L566" i="33"/>
  <c r="K2302" i="33"/>
  <c r="M2301" i="33"/>
  <c r="M289" i="33"/>
  <c r="K290" i="33"/>
  <c r="K1308" i="33"/>
  <c r="M1307" i="33"/>
  <c r="L2206" i="33"/>
  <c r="K1613" i="33"/>
  <c r="M1612" i="33"/>
  <c r="L2307" i="33"/>
  <c r="K781" i="33"/>
  <c r="K792" i="33" s="1"/>
  <c r="K803" i="33" s="1"/>
  <c r="K814" i="33" s="1"/>
  <c r="K771" i="33"/>
  <c r="K426" i="33"/>
  <c r="M425" i="33"/>
  <c r="K60" i="33"/>
  <c r="M59" i="33"/>
  <c r="K1240" i="33"/>
  <c r="M1239" i="33"/>
  <c r="L564" i="33"/>
  <c r="K72" i="33"/>
  <c r="K68" i="33"/>
  <c r="M67" i="33"/>
  <c r="K356" i="33"/>
  <c r="M355" i="33"/>
  <c r="K329" i="33"/>
  <c r="K333" i="33"/>
  <c r="M328" i="33"/>
  <c r="K105" i="33"/>
  <c r="M104" i="33"/>
  <c r="L568" i="33"/>
  <c r="M2325" i="33"/>
  <c r="L2326" i="33"/>
  <c r="K321" i="33"/>
  <c r="M320" i="33"/>
  <c r="L2266" i="33"/>
  <c r="M8" i="33"/>
  <c r="K465" i="33"/>
  <c r="M464" i="33"/>
  <c r="M1480" i="33"/>
  <c r="L1481" i="33"/>
  <c r="L2149" i="33"/>
  <c r="L1947" i="33"/>
  <c r="K391" i="33"/>
  <c r="M390" i="33"/>
  <c r="M2161" i="33"/>
  <c r="K2162" i="33"/>
  <c r="K726" i="33"/>
  <c r="K737" i="33" s="1"/>
  <c r="K748" i="33" s="1"/>
  <c r="K759" i="33" s="1"/>
  <c r="K716" i="33"/>
  <c r="L1400" i="33"/>
  <c r="K403" i="33"/>
  <c r="K399" i="33"/>
  <c r="M398" i="33"/>
  <c r="K518" i="33"/>
  <c r="M507" i="33"/>
  <c r="M1302" i="33"/>
  <c r="L1303" i="33"/>
  <c r="L2017" i="33"/>
  <c r="M1348" i="33"/>
  <c r="L1349" i="33"/>
  <c r="K179" i="33"/>
  <c r="M178" i="33"/>
  <c r="K325" i="33"/>
  <c r="M324" i="33"/>
  <c r="M1724" i="33"/>
  <c r="K1725" i="33"/>
  <c r="L1641" i="33"/>
  <c r="K252" i="33"/>
  <c r="M252" i="33" s="1"/>
  <c r="M251" i="33"/>
  <c r="M1771" i="33"/>
  <c r="L1772" i="33"/>
  <c r="L1616" i="33"/>
  <c r="M468" i="33"/>
  <c r="K469" i="33"/>
  <c r="K473" i="33"/>
  <c r="K1176" i="33"/>
  <c r="M1175" i="33"/>
  <c r="L1327" i="33"/>
  <c r="M1326" i="33"/>
  <c r="K889" i="33"/>
  <c r="K900" i="33" s="1"/>
  <c r="K911" i="33" s="1"/>
  <c r="K922" i="33" s="1"/>
  <c r="K879" i="33"/>
  <c r="L1982" i="33"/>
  <c r="K187" i="33"/>
  <c r="K183" i="33"/>
  <c r="M182" i="33"/>
  <c r="K261" i="33"/>
  <c r="M260" i="33"/>
  <c r="K1804" i="33"/>
  <c r="M1803" i="33"/>
  <c r="M551" i="33"/>
  <c r="L562" i="33"/>
  <c r="L1562" i="33"/>
  <c r="M1561" i="33"/>
  <c r="K1227" i="33"/>
  <c r="M1226" i="33"/>
  <c r="M16" i="33"/>
  <c r="L1437" i="33"/>
  <c r="M1590" i="33"/>
  <c r="L1591" i="33"/>
  <c r="K1435" i="33"/>
  <c r="M1434" i="33"/>
  <c r="K175" i="33"/>
  <c r="M174" i="33"/>
  <c r="L1746" i="33"/>
  <c r="M1745" i="33"/>
  <c r="K395" i="33"/>
  <c r="M394" i="33"/>
  <c r="L1310" i="33"/>
  <c r="L578" i="33"/>
  <c r="K528" i="33"/>
  <c r="M517" i="33"/>
  <c r="M1576" i="33"/>
  <c r="L1577" i="33"/>
  <c r="L1870" i="33"/>
  <c r="L1869" i="33"/>
  <c r="P1638" i="33" a="1"/>
  <c r="P1683" i="33" a="1"/>
  <c r="P1771" i="33" a="1"/>
  <c r="P2142" i="33" a="1"/>
  <c r="P264" i="33" a="1"/>
  <c r="P551" i="33" a="1"/>
  <c r="P216" i="33" a="1"/>
  <c r="P1499" i="33" a="1"/>
  <c r="P1703" i="33" a="1"/>
  <c r="P1812" i="33" a="1"/>
  <c r="P98" i="33" a="1"/>
  <c r="P2124" i="33" a="1"/>
  <c r="P1590" i="33" a="1"/>
  <c r="P1223" i="33" a="1"/>
  <c r="P1790" i="33" a="1"/>
  <c r="P1239" i="33" a="1"/>
  <c r="P1157" i="33" a="1"/>
  <c r="P497" i="33" a="1"/>
  <c r="P1745" i="33" a="1"/>
  <c r="P143" i="33" a="1"/>
  <c r="P1204" i="33" a="1"/>
  <c r="P429" i="33" a="1"/>
  <c r="P559" i="33" a="1"/>
  <c r="P1302" i="33" a="1"/>
  <c r="P1803" i="33" a="1"/>
  <c r="P394" i="33" a="1"/>
  <c r="P1822" i="33" a="1"/>
  <c r="P1175" i="33" a="1"/>
  <c r="P1184" i="33" a="1"/>
  <c r="P289" i="33" a="1"/>
  <c r="P425" i="33" a="1"/>
  <c r="P507" i="33" a="1"/>
  <c r="P1791" i="33" a="1"/>
  <c r="P1724" i="33" a="1"/>
  <c r="P1363" i="33" a="1"/>
  <c r="P572" i="33" a="1"/>
  <c r="P1307" i="33" a="1"/>
  <c r="P398" i="33" a="1"/>
  <c r="P63" i="33" a="1"/>
  <c r="P224" i="33" a="1"/>
  <c r="P1194" i="33" a="1"/>
  <c r="P2282" i="33" a="1"/>
  <c r="P104" i="33" a="1"/>
  <c r="P1326" i="33" a="1"/>
  <c r="P59" i="33" a="1"/>
  <c r="P1315" i="33" a="1"/>
  <c r="P102" i="33" a="1"/>
  <c r="P136" i="33" a="1"/>
  <c r="P1250" i="33" a="1"/>
  <c r="P2325" i="33" a="1"/>
  <c r="P228" i="33" a="1"/>
  <c r="P359" i="33" a="1"/>
  <c r="P251" i="33" a="1"/>
  <c r="P2263" i="33" a="1"/>
  <c r="P220" i="33" a="1"/>
  <c r="P260" i="33" a="1"/>
  <c r="P108" i="33" a="1"/>
  <c r="P549" i="33" a="1"/>
  <c r="P1612" i="33" a="1"/>
  <c r="P135" i="33" a="1"/>
  <c r="P561" i="33" a="1"/>
  <c r="P217" i="33" a="1"/>
  <c r="P460" i="33" a="1"/>
  <c r="P355" i="33" a="1"/>
  <c r="P182" i="33" a="1"/>
  <c r="P1226" i="33" a="1"/>
  <c r="P16" i="33" a="1"/>
  <c r="P1662" i="33" a="1"/>
  <c r="P1397" i="33" a="1"/>
  <c r="P506" i="33" a="1"/>
  <c r="P1220" i="33" a="1"/>
  <c r="P1576" i="33" a="1"/>
  <c r="P99" i="33" a="1"/>
  <c r="P390" i="33" a="1"/>
  <c r="P1283" i="33" a="1"/>
  <c r="P174" i="33" a="1"/>
  <c r="P8" i="33" a="1"/>
  <c r="P517" i="33" a="1"/>
  <c r="P464" i="33" a="1"/>
  <c r="P328" i="33" a="1"/>
  <c r="P1561" i="33" a="1"/>
  <c r="P1841" i="33" a="1"/>
  <c r="P1251" i="33" a="1"/>
  <c r="P2180" i="33" a="1"/>
  <c r="P324" i="33" a="1"/>
  <c r="P101" i="33" a="1"/>
  <c r="P17" i="33" a="1"/>
  <c r="P363" i="33" a="1"/>
  <c r="P1231" i="33" a="1"/>
  <c r="P100" i="33" a="1"/>
  <c r="P134" i="33" a="1"/>
  <c r="P285" i="33" a="1"/>
  <c r="P320" i="33" a="1"/>
  <c r="P252" i="33" a="1"/>
  <c r="P1271" i="33" a="1"/>
  <c r="P103" i="33" a="1"/>
  <c r="P1863" i="33" a="1"/>
  <c r="P1221" i="33" a="1"/>
  <c r="P293" i="33" a="1"/>
  <c r="P1813" i="33" a="1"/>
  <c r="P1249" i="33" a="1"/>
  <c r="P1230" i="33" a="1"/>
  <c r="P433" i="33" a="1"/>
  <c r="P1348" i="33" a="1"/>
  <c r="P468" i="33" a="1"/>
  <c r="P2161" i="33" a="1"/>
  <c r="P178" i="33" a="1"/>
  <c r="P147" i="33" a="1"/>
  <c r="P2301" i="33" a="1"/>
  <c r="P67" i="33" a="1"/>
  <c r="I47" i="33" l="1"/>
  <c r="I50" i="33" s="1"/>
  <c r="I51" i="33" s="1"/>
  <c r="I46" i="33"/>
  <c r="P1230" i="33"/>
  <c r="P1231" i="33"/>
  <c r="P1863" i="33"/>
  <c r="K1865" i="33"/>
  <c r="M1864" i="33"/>
  <c r="K2828" i="33"/>
  <c r="K2829" i="33" s="1"/>
  <c r="K2830" i="33" s="1"/>
  <c r="K2831" i="33" s="1"/>
  <c r="K2832" i="33" s="1"/>
  <c r="K2833" i="33" s="1"/>
  <c r="K2834" i="33" s="1"/>
  <c r="K2835" i="33" s="1"/>
  <c r="K2836" i="33" s="1"/>
  <c r="K2837" i="33" s="1"/>
  <c r="K2838" i="33" s="1"/>
  <c r="K2839" i="33" s="1"/>
  <c r="K2840" i="33" s="1"/>
  <c r="K2718" i="33"/>
  <c r="K2719" i="33" s="1"/>
  <c r="K2720" i="33" s="1"/>
  <c r="K2721" i="33" s="1"/>
  <c r="K2722" i="33" s="1"/>
  <c r="K2723" i="33" s="1"/>
  <c r="K2724" i="33" s="1"/>
  <c r="K2725" i="33" s="1"/>
  <c r="K2726" i="33" s="1"/>
  <c r="K2727" i="33" s="1"/>
  <c r="K2728" i="33" s="1"/>
  <c r="K2729" i="33" s="1"/>
  <c r="K2730" i="33" s="1"/>
  <c r="P1813" i="33"/>
  <c r="P1812" i="33"/>
  <c r="P1703" i="33"/>
  <c r="K1705" i="33"/>
  <c r="M1704" i="33"/>
  <c r="L1707" i="33"/>
  <c r="P1683" i="33"/>
  <c r="K1685" i="33"/>
  <c r="M1684" i="33"/>
  <c r="P1499" i="33"/>
  <c r="K1501" i="33"/>
  <c r="M1500" i="33"/>
  <c r="L1503" i="33"/>
  <c r="P1204" i="33"/>
  <c r="K1206" i="33"/>
  <c r="M1205" i="33"/>
  <c r="P1194" i="33"/>
  <c r="K1196" i="33"/>
  <c r="M1195" i="33"/>
  <c r="K988" i="33"/>
  <c r="K999" i="33" s="1"/>
  <c r="K1010" i="33" s="1"/>
  <c r="K1021" i="33" s="1"/>
  <c r="K1032" i="33" s="1"/>
  <c r="J1043" i="33"/>
  <c r="M10" i="33"/>
  <c r="M9" i="33"/>
  <c r="K11" i="33"/>
  <c r="K109" i="33"/>
  <c r="M109" i="33" s="1"/>
  <c r="K672" i="33"/>
  <c r="K683" i="33" s="1"/>
  <c r="K694" i="33" s="1"/>
  <c r="K705" i="33" s="1"/>
  <c r="P17" i="33"/>
  <c r="K112" i="33"/>
  <c r="M112" i="33" s="1"/>
  <c r="M107" i="33"/>
  <c r="P103" i="33"/>
  <c r="P102" i="33"/>
  <c r="P100" i="33"/>
  <c r="P98" i="33"/>
  <c r="P99" i="33"/>
  <c r="P101" i="33"/>
  <c r="K269" i="33"/>
  <c r="M269" i="33" s="1"/>
  <c r="M1293" i="33"/>
  <c r="K265" i="33"/>
  <c r="M265" i="33" s="1"/>
  <c r="M268" i="33"/>
  <c r="K2489" i="33"/>
  <c r="K2490" i="33" s="1"/>
  <c r="K2491" i="33" s="1"/>
  <c r="K2492" i="33" s="1"/>
  <c r="K2493" i="33" s="1"/>
  <c r="K2494" i="33" s="1"/>
  <c r="K2495" i="33" s="1"/>
  <c r="K2496" i="33" s="1"/>
  <c r="K2427" i="33"/>
  <c r="K2428" i="33" s="1"/>
  <c r="K2429" i="33" s="1"/>
  <c r="K2430" i="33" s="1"/>
  <c r="K2431" i="33" s="1"/>
  <c r="K2432" i="33" s="1"/>
  <c r="K2433" i="33" s="1"/>
  <c r="K2346" i="33"/>
  <c r="K2347" i="33" s="1"/>
  <c r="K2348" i="33" s="1"/>
  <c r="K2349" i="33" s="1"/>
  <c r="K2350" i="33" s="1"/>
  <c r="K2351" i="33" s="1"/>
  <c r="L2094" i="33"/>
  <c r="L2057" i="33"/>
  <c r="M139" i="33"/>
  <c r="P134" i="33"/>
  <c r="P506" i="33"/>
  <c r="P561" i="33"/>
  <c r="P1397" i="33"/>
  <c r="K1399" i="33"/>
  <c r="M1398" i="33"/>
  <c r="M552" i="33"/>
  <c r="K563" i="33"/>
  <c r="K553" i="33"/>
  <c r="P260" i="33"/>
  <c r="P59" i="33"/>
  <c r="P264" i="33"/>
  <c r="P460" i="33"/>
  <c r="P1662" i="33"/>
  <c r="P429" i="33"/>
  <c r="P1315" i="33"/>
  <c r="P217" i="33"/>
  <c r="P1576" i="33"/>
  <c r="P1590" i="33"/>
  <c r="P2325" i="33"/>
  <c r="P289" i="33"/>
  <c r="P108" i="33"/>
  <c r="P559" i="33"/>
  <c r="P1220" i="33"/>
  <c r="P1250" i="33"/>
  <c r="P2263" i="33"/>
  <c r="P1223" i="33"/>
  <c r="P1184" i="33"/>
  <c r="P67" i="33"/>
  <c r="P1249" i="33"/>
  <c r="P517" i="33"/>
  <c r="P1745" i="33"/>
  <c r="P1561" i="33"/>
  <c r="P182" i="33"/>
  <c r="P1326" i="33"/>
  <c r="P1724" i="33"/>
  <c r="P507" i="33"/>
  <c r="P425" i="33"/>
  <c r="P1612" i="33"/>
  <c r="P2301" i="33"/>
  <c r="P63" i="33"/>
  <c r="P1251" i="33"/>
  <c r="P2282" i="33"/>
  <c r="P1221" i="33"/>
  <c r="P135" i="33"/>
  <c r="P2124" i="33"/>
  <c r="P220" i="33"/>
  <c r="P2180" i="33"/>
  <c r="P1226" i="33"/>
  <c r="P324" i="33"/>
  <c r="P8" i="33"/>
  <c r="P228" i="33"/>
  <c r="P1841" i="33"/>
  <c r="P136" i="33"/>
  <c r="P293" i="33"/>
  <c r="P1791" i="33"/>
  <c r="P468" i="33"/>
  <c r="P16" i="33"/>
  <c r="P1771" i="33"/>
  <c r="P1302" i="33"/>
  <c r="P1638" i="33"/>
  <c r="P359" i="33"/>
  <c r="P363" i="33"/>
  <c r="P1790" i="33"/>
  <c r="P285" i="33"/>
  <c r="P464" i="33"/>
  <c r="P174" i="33"/>
  <c r="P1175" i="33"/>
  <c r="P398" i="33"/>
  <c r="P551" i="33"/>
  <c r="P251" i="33"/>
  <c r="P178" i="33"/>
  <c r="P104" i="33"/>
  <c r="P433" i="33"/>
  <c r="P549" i="33"/>
  <c r="P1363" i="33"/>
  <c r="P143" i="33"/>
  <c r="P1822" i="33"/>
  <c r="P572" i="33"/>
  <c r="P394" i="33"/>
  <c r="P1348" i="33"/>
  <c r="P497" i="33"/>
  <c r="P1803" i="33"/>
  <c r="P252" i="33"/>
  <c r="P2161" i="33"/>
  <c r="P320" i="33"/>
  <c r="P355" i="33"/>
  <c r="P1239" i="33"/>
  <c r="P1307" i="33"/>
  <c r="P1283" i="33"/>
  <c r="P1271" i="33"/>
  <c r="P1157" i="33"/>
  <c r="P147" i="33"/>
  <c r="P224" i="33"/>
  <c r="P390" i="33"/>
  <c r="P328" i="33"/>
  <c r="P2142" i="33"/>
  <c r="P216" i="33"/>
  <c r="M2326" i="33"/>
  <c r="L2327" i="33"/>
  <c r="K291" i="33"/>
  <c r="M290" i="33"/>
  <c r="K836" i="33"/>
  <c r="K847" i="33" s="1"/>
  <c r="K858" i="33" s="1"/>
  <c r="K869" i="33" s="1"/>
  <c r="K826" i="33"/>
  <c r="K2144" i="33"/>
  <c r="M2143" i="33"/>
  <c r="K141" i="33"/>
  <c r="M141" i="33" s="1"/>
  <c r="M140" i="33"/>
  <c r="K396" i="33"/>
  <c r="M395" i="33"/>
  <c r="M1227" i="33"/>
  <c r="K1228" i="33"/>
  <c r="K262" i="33"/>
  <c r="M262" i="33" s="1"/>
  <c r="M261" i="33"/>
  <c r="L1617" i="33"/>
  <c r="K1726" i="33"/>
  <c r="M1725" i="33"/>
  <c r="L2018" i="33"/>
  <c r="L1401" i="33"/>
  <c r="L1948" i="33"/>
  <c r="K466" i="33"/>
  <c r="M465" i="33"/>
  <c r="K330" i="33"/>
  <c r="M329" i="33"/>
  <c r="K69" i="33"/>
  <c r="M68" i="33"/>
  <c r="K61" i="33"/>
  <c r="M61" i="33" s="1"/>
  <c r="M60" i="33"/>
  <c r="M1252" i="33"/>
  <c r="K1253" i="33"/>
  <c r="M1253" i="33" s="1"/>
  <c r="K499" i="33"/>
  <c r="M498" i="33"/>
  <c r="K509" i="33"/>
  <c r="L22" i="33"/>
  <c r="K462" i="33"/>
  <c r="M462" i="33" s="1"/>
  <c r="M461" i="33"/>
  <c r="M2125" i="33"/>
  <c r="L2126" i="33"/>
  <c r="K1317" i="33"/>
  <c r="M1316" i="33"/>
  <c r="K2220" i="33"/>
  <c r="K2201" i="33"/>
  <c r="M2200" i="33"/>
  <c r="M1577" i="33"/>
  <c r="L1578" i="33"/>
  <c r="K1295" i="33"/>
  <c r="M1294" i="33"/>
  <c r="L2308" i="33"/>
  <c r="K274" i="33"/>
  <c r="M273" i="33"/>
  <c r="K278" i="33"/>
  <c r="M1254" i="33"/>
  <c r="K1255" i="33"/>
  <c r="K1257" i="33"/>
  <c r="K2182" i="33"/>
  <c r="M2181" i="33"/>
  <c r="L1438" i="33"/>
  <c r="K77" i="33"/>
  <c r="K73" i="33"/>
  <c r="M72" i="33"/>
  <c r="L1826" i="33"/>
  <c r="L581" i="33"/>
  <c r="M570" i="33"/>
  <c r="K2265" i="33"/>
  <c r="M2264" i="33"/>
  <c r="K1225" i="33"/>
  <c r="M1225" i="33" s="1"/>
  <c r="M1224" i="33"/>
  <c r="K1186" i="33"/>
  <c r="M1185" i="33"/>
  <c r="L2246" i="33"/>
  <c r="K338" i="33"/>
  <c r="M333" i="33"/>
  <c r="K334" i="33"/>
  <c r="M1562" i="33"/>
  <c r="L1563" i="33"/>
  <c r="K184" i="33"/>
  <c r="M183" i="33"/>
  <c r="M1303" i="33"/>
  <c r="L1304" i="33"/>
  <c r="M1304" i="33" s="1"/>
  <c r="K529" i="33"/>
  <c r="M518" i="33"/>
  <c r="K727" i="33"/>
  <c r="K738" i="33" s="1"/>
  <c r="K749" i="33" s="1"/>
  <c r="K760" i="33" s="1"/>
  <c r="K717" i="33"/>
  <c r="L2150" i="33"/>
  <c r="L579" i="33"/>
  <c r="K427" i="33"/>
  <c r="M427" i="33" s="1"/>
  <c r="M426" i="33"/>
  <c r="K1614" i="33"/>
  <c r="M1613" i="33"/>
  <c r="K2303" i="33"/>
  <c r="M2302" i="33"/>
  <c r="M64" i="33"/>
  <c r="K65" i="33"/>
  <c r="L2286" i="33"/>
  <c r="K361" i="33"/>
  <c r="M360" i="33"/>
  <c r="K435" i="33"/>
  <c r="M434" i="33"/>
  <c r="K2284" i="33"/>
  <c r="M2283" i="33"/>
  <c r="L1735" i="33"/>
  <c r="L1736" i="33" s="1"/>
  <c r="L1737" i="33" s="1"/>
  <c r="L1738" i="33" s="1"/>
  <c r="L1739" i="33" s="1"/>
  <c r="L602" i="33"/>
  <c r="L585" i="33"/>
  <c r="M1541" i="33"/>
  <c r="L1542" i="33"/>
  <c r="K222" i="33"/>
  <c r="M222" i="33" s="1"/>
  <c r="M221" i="33"/>
  <c r="L587" i="33"/>
  <c r="K539" i="33"/>
  <c r="M539" i="33" s="1"/>
  <c r="M528" i="33"/>
  <c r="M187" i="33"/>
  <c r="K192" i="33"/>
  <c r="K188" i="33"/>
  <c r="K326" i="33"/>
  <c r="M325" i="33"/>
  <c r="L2267" i="33"/>
  <c r="K782" i="33"/>
  <c r="K793" i="33" s="1"/>
  <c r="K804" i="33" s="1"/>
  <c r="K815" i="33" s="1"/>
  <c r="K772" i="33"/>
  <c r="M1522" i="33"/>
  <c r="L1523" i="33"/>
  <c r="M438" i="33"/>
  <c r="K443" i="33"/>
  <c r="K439" i="33"/>
  <c r="L571" i="33"/>
  <c r="M560" i="33"/>
  <c r="K234" i="33"/>
  <c r="K238" i="33"/>
  <c r="M233" i="33"/>
  <c r="K1843" i="33"/>
  <c r="M1842" i="33"/>
  <c r="K149" i="33"/>
  <c r="M148" i="33"/>
  <c r="M298" i="33"/>
  <c r="K303" i="33"/>
  <c r="K299" i="33"/>
  <c r="M1364" i="33"/>
  <c r="L1365" i="33"/>
  <c r="K617" i="33"/>
  <c r="K628" i="33" s="1"/>
  <c r="K639" i="33" s="1"/>
  <c r="K650" i="33" s="1"/>
  <c r="K607" i="33"/>
  <c r="M1327" i="33"/>
  <c r="L1328" i="33"/>
  <c r="L573" i="33"/>
  <c r="M562" i="33"/>
  <c r="L589" i="33"/>
  <c r="K176" i="33"/>
  <c r="M176" i="33" s="1"/>
  <c r="M175" i="33"/>
  <c r="K19" i="33"/>
  <c r="M18" i="33"/>
  <c r="L1983" i="33"/>
  <c r="K1177" i="33"/>
  <c r="M1176" i="33"/>
  <c r="M399" i="33"/>
  <c r="K400" i="33"/>
  <c r="K2163" i="33"/>
  <c r="M2162" i="33"/>
  <c r="L575" i="33"/>
  <c r="L2207" i="33"/>
  <c r="L577" i="33"/>
  <c r="K1640" i="33"/>
  <c r="M1639" i="33"/>
  <c r="K663" i="33"/>
  <c r="K673" i="33"/>
  <c r="K684" i="33" s="1"/>
  <c r="K695" i="33" s="1"/>
  <c r="K706" i="33" s="1"/>
  <c r="M229" i="33"/>
  <c r="K230" i="33"/>
  <c r="M1458" i="33"/>
  <c r="L1459" i="33"/>
  <c r="K365" i="33"/>
  <c r="M364" i="33"/>
  <c r="M152" i="33"/>
  <c r="K157" i="33"/>
  <c r="K153" i="33"/>
  <c r="K295" i="33"/>
  <c r="M294" i="33"/>
  <c r="K934" i="33"/>
  <c r="K944" i="33"/>
  <c r="K955" i="33" s="1"/>
  <c r="K966" i="33" s="1"/>
  <c r="K977" i="33" s="1"/>
  <c r="K287" i="33"/>
  <c r="M287" i="33" s="1"/>
  <c r="M286" i="33"/>
  <c r="M1746" i="33"/>
  <c r="L1747" i="33"/>
  <c r="M1772" i="33"/>
  <c r="L1773" i="33"/>
  <c r="M1773" i="33" s="1"/>
  <c r="L1311" i="33"/>
  <c r="K478" i="33"/>
  <c r="K474" i="33"/>
  <c r="M473" i="33"/>
  <c r="K180" i="33"/>
  <c r="M179" i="33"/>
  <c r="M403" i="33"/>
  <c r="K408" i="33"/>
  <c r="K404" i="33"/>
  <c r="M1481" i="33"/>
  <c r="L1482" i="33"/>
  <c r="K106" i="33"/>
  <c r="M106" i="33" s="1"/>
  <c r="M105" i="33"/>
  <c r="M368" i="33"/>
  <c r="K369" i="33"/>
  <c r="K373" i="33"/>
  <c r="L1807" i="33"/>
  <c r="K145" i="33"/>
  <c r="M144" i="33"/>
  <c r="K1824" i="33"/>
  <c r="M1823" i="33"/>
  <c r="L1879" i="33"/>
  <c r="L594" i="33"/>
  <c r="M583" i="33"/>
  <c r="M1591" i="33"/>
  <c r="L1592" i="33"/>
  <c r="K392" i="33"/>
  <c r="M392" i="33" s="1"/>
  <c r="M391" i="33"/>
  <c r="K1436" i="33"/>
  <c r="M1435" i="33"/>
  <c r="K1805" i="33"/>
  <c r="M1804" i="33"/>
  <c r="K890" i="33"/>
  <c r="K901" i="33" s="1"/>
  <c r="K912" i="33" s="1"/>
  <c r="K923" i="33" s="1"/>
  <c r="K880" i="33"/>
  <c r="K470" i="33"/>
  <c r="M469" i="33"/>
  <c r="L1642" i="33"/>
  <c r="M1349" i="33"/>
  <c r="L1350" i="33"/>
  <c r="K322" i="33"/>
  <c r="M322" i="33" s="1"/>
  <c r="M321" i="33"/>
  <c r="K357" i="33"/>
  <c r="M357" i="33" s="1"/>
  <c r="M356" i="33"/>
  <c r="K1241" i="33"/>
  <c r="M1241" i="33" s="1"/>
  <c r="M1240" i="33"/>
  <c r="K1309" i="33"/>
  <c r="M1308" i="33"/>
  <c r="K1285" i="33"/>
  <c r="M1284" i="33"/>
  <c r="L1273" i="33"/>
  <c r="M1272" i="33"/>
  <c r="K519" i="33"/>
  <c r="M508" i="33"/>
  <c r="L1319" i="33"/>
  <c r="K1159" i="33"/>
  <c r="M1158" i="33"/>
  <c r="L2188" i="33"/>
  <c r="M1663" i="33"/>
  <c r="L1664" i="33"/>
  <c r="K431" i="33"/>
  <c r="M430" i="33"/>
  <c r="K226" i="33"/>
  <c r="M225" i="33"/>
  <c r="P141" i="33" a="1"/>
  <c r="P399" i="33" a="1"/>
  <c r="P61" i="33" a="1"/>
  <c r="P10" i="33" a="1"/>
  <c r="P2326" i="33" a="1"/>
  <c r="P107" i="33" a="1"/>
  <c r="P1253" i="33" a="1"/>
  <c r="P1725" i="33" a="1"/>
  <c r="P392" i="33" a="1"/>
  <c r="P1704" i="33" a="1"/>
  <c r="P2143" i="33" a="1"/>
  <c r="P175" i="33" a="1"/>
  <c r="P1303" i="33" a="1"/>
  <c r="P560" i="33" a="1"/>
  <c r="P1663" i="33" a="1"/>
  <c r="P1308" i="33" a="1"/>
  <c r="P1252" i="33" a="1"/>
  <c r="P2302" i="33" a="1"/>
  <c r="P144" i="33" a="1"/>
  <c r="P360" i="33" a="1"/>
  <c r="P1772" i="33" a="1"/>
  <c r="P1254" i="33" a="1"/>
  <c r="P1158" i="33" a="1"/>
  <c r="P1364" i="33" a="1"/>
  <c r="P1195" i="33" a="1"/>
  <c r="P1804" i="33" a="1"/>
  <c r="P2264" i="33" a="1"/>
  <c r="P290" i="33" a="1"/>
  <c r="P403" i="33" a="1"/>
  <c r="P430" i="33" a="1"/>
  <c r="P139" i="33" a="1"/>
  <c r="P469" i="33" a="1"/>
  <c r="P539" i="33" a="1"/>
  <c r="P465" i="33" a="1"/>
  <c r="P187" i="33" a="1"/>
  <c r="P1577" i="33" a="1"/>
  <c r="P1241" i="33" a="1"/>
  <c r="P273" i="33" a="1"/>
  <c r="P518" i="33" a="1"/>
  <c r="P287" i="33" a="1"/>
  <c r="P570" i="33" a="1"/>
  <c r="P1304" i="33" a="1"/>
  <c r="P262" i="33" a="1"/>
  <c r="P1205" i="33" a="1"/>
  <c r="P1349" i="33" a="1"/>
  <c r="P1224" i="33" a="1"/>
  <c r="P221" i="33" a="1"/>
  <c r="P1823" i="33" a="1"/>
  <c r="P9" i="33" a="1"/>
  <c r="P109" i="33" a="1"/>
  <c r="P1176" i="33" a="1"/>
  <c r="P427" i="33" a="1"/>
  <c r="P391" i="33" a="1"/>
  <c r="P1284" i="33" a="1"/>
  <c r="P1842" i="33" a="1"/>
  <c r="P1185" i="33" a="1"/>
  <c r="P1864" i="33" a="1"/>
  <c r="P321" i="33" a="1"/>
  <c r="P329" i="33" a="1"/>
  <c r="P106" i="33" a="1"/>
  <c r="P265" i="33" a="1"/>
  <c r="P152" i="33" a="1"/>
  <c r="P2181" i="33" a="1"/>
  <c r="P261" i="33" a="1"/>
  <c r="P364" i="33" a="1"/>
  <c r="P18" i="33" a="1"/>
  <c r="P68" i="33" a="1"/>
  <c r="P2200" i="33" a="1"/>
  <c r="P426" i="33" a="1"/>
  <c r="P1227" i="33" a="1"/>
  <c r="P333" i="33" a="1"/>
  <c r="P179" i="33" a="1"/>
  <c r="P1746" i="33" a="1"/>
  <c r="P462" i="33" a="1"/>
  <c r="P368" i="33" a="1"/>
  <c r="P1293" i="33" a="1"/>
  <c r="P233" i="33" a="1"/>
  <c r="P1240" i="33" a="1"/>
  <c r="P183" i="33" a="1"/>
  <c r="P508" i="33" a="1"/>
  <c r="P112" i="33" a="1"/>
  <c r="P229" i="33" a="1"/>
  <c r="P1272" i="33" a="1"/>
  <c r="P528" i="33" a="1"/>
  <c r="P222" i="33" a="1"/>
  <c r="P322" i="33" a="1"/>
  <c r="P286" i="33" a="1"/>
  <c r="P473" i="33" a="1"/>
  <c r="P72" i="33" a="1"/>
  <c r="P1639" i="33" a="1"/>
  <c r="P434" i="33" a="1"/>
  <c r="P298" i="33" a="1"/>
  <c r="P1316" i="33" a="1"/>
  <c r="P1225" i="33" a="1"/>
  <c r="P1500" i="33" a="1"/>
  <c r="P1684" i="33" a="1"/>
  <c r="P498" i="33" a="1"/>
  <c r="P1613" i="33" a="1"/>
  <c r="P64" i="33" a="1"/>
  <c r="P356" i="33" a="1"/>
  <c r="P60" i="33" a="1"/>
  <c r="P461" i="33" a="1"/>
  <c r="P325" i="33" a="1"/>
  <c r="P395" i="33" a="1"/>
  <c r="P583" i="33" a="1"/>
  <c r="P552" i="33" a="1"/>
  <c r="P2125" i="33" a="1"/>
  <c r="P438" i="33" a="1"/>
  <c r="P1562" i="33" a="1"/>
  <c r="P562" i="33" a="1"/>
  <c r="P1773" i="33" a="1"/>
  <c r="P105" i="33" a="1"/>
  <c r="P2162" i="33" a="1"/>
  <c r="P1591" i="33" a="1"/>
  <c r="P357" i="33" a="1"/>
  <c r="P2283" i="33" a="1"/>
  <c r="P148" i="33" a="1"/>
  <c r="P294" i="33" a="1"/>
  <c r="P176" i="33" a="1"/>
  <c r="P225" i="33" a="1"/>
  <c r="P140" i="33" a="1"/>
  <c r="P269" i="33" a="1"/>
  <c r="P1327" i="33" a="1"/>
  <c r="P268" i="33" a="1"/>
  <c r="P1398" i="33" a="1"/>
  <c r="P1294" i="33" a="1"/>
  <c r="I48" i="33" l="1"/>
  <c r="I49" i="33" s="1"/>
  <c r="P1864" i="33"/>
  <c r="K1866" i="33"/>
  <c r="M1865" i="33"/>
  <c r="P1704" i="33"/>
  <c r="L1708" i="33"/>
  <c r="K1706" i="33"/>
  <c r="M1705" i="33"/>
  <c r="P1684" i="33"/>
  <c r="K1686" i="33"/>
  <c r="M1685" i="33"/>
  <c r="P1500" i="33"/>
  <c r="L1504" i="33"/>
  <c r="K1502" i="33"/>
  <c r="M1501" i="33"/>
  <c r="K989" i="33"/>
  <c r="K990" i="33" s="1"/>
  <c r="P1205" i="33"/>
  <c r="K1207" i="33"/>
  <c r="M1206" i="33"/>
  <c r="P1195" i="33"/>
  <c r="K1197" i="33"/>
  <c r="M1196" i="33"/>
  <c r="K1043" i="33"/>
  <c r="K1044" i="33" s="1"/>
  <c r="J1098" i="33"/>
  <c r="K1098" i="33" s="1"/>
  <c r="M11" i="33"/>
  <c r="K12" i="33"/>
  <c r="M12" i="33" s="1"/>
  <c r="P10" i="33"/>
  <c r="P9" i="33"/>
  <c r="K110" i="33"/>
  <c r="K111" i="33" s="1"/>
  <c r="M111" i="33" s="1"/>
  <c r="K117" i="33"/>
  <c r="K122" i="33" s="1"/>
  <c r="M122" i="33" s="1"/>
  <c r="K113" i="33"/>
  <c r="K114" i="33" s="1"/>
  <c r="K115" i="33" s="1"/>
  <c r="P107" i="33"/>
  <c r="P112" i="33"/>
  <c r="K270" i="33"/>
  <c r="K271" i="33" s="1"/>
  <c r="K266" i="33"/>
  <c r="K267" i="33" s="1"/>
  <c r="M267" i="33" s="1"/>
  <c r="P1293" i="33"/>
  <c r="P268" i="33"/>
  <c r="K2497" i="33"/>
  <c r="K2498" i="33" s="1"/>
  <c r="K2499" i="33" s="1"/>
  <c r="K2500" i="33" s="1"/>
  <c r="K2501" i="33" s="1"/>
  <c r="K2502" i="33" s="1"/>
  <c r="K2503" i="33" s="1"/>
  <c r="K2504" i="33" s="1"/>
  <c r="K2434" i="33"/>
  <c r="K2435" i="33" s="1"/>
  <c r="K2436" i="33" s="1"/>
  <c r="K2437" i="33" s="1"/>
  <c r="K2438" i="33" s="1"/>
  <c r="K2439" i="33" s="1"/>
  <c r="K2440" i="33" s="1"/>
  <c r="L2095" i="33"/>
  <c r="L2058" i="33"/>
  <c r="P139" i="33"/>
  <c r="P552" i="33"/>
  <c r="P1398" i="33"/>
  <c r="K554" i="33"/>
  <c r="K564" i="33"/>
  <c r="M553" i="33"/>
  <c r="K574" i="33"/>
  <c r="M563" i="33"/>
  <c r="K1400" i="33"/>
  <c r="M1399" i="33"/>
  <c r="P1746" i="33"/>
  <c r="P298" i="33"/>
  <c r="P1327" i="33"/>
  <c r="P360" i="33"/>
  <c r="P2200" i="33"/>
  <c r="P262" i="33"/>
  <c r="P1241" i="33"/>
  <c r="P1804" i="33"/>
  <c r="P144" i="33"/>
  <c r="P368" i="33"/>
  <c r="P287" i="33"/>
  <c r="P175" i="33"/>
  <c r="P187" i="33"/>
  <c r="P1185" i="33"/>
  <c r="P498" i="33"/>
  <c r="P329" i="33"/>
  <c r="P18" i="33"/>
  <c r="P68" i="33"/>
  <c r="P286" i="33"/>
  <c r="P1272" i="33"/>
  <c r="P356" i="33"/>
  <c r="P1349" i="33"/>
  <c r="P1591" i="33"/>
  <c r="P403" i="33"/>
  <c r="P229" i="33"/>
  <c r="P399" i="33"/>
  <c r="P176" i="33"/>
  <c r="P1842" i="33"/>
  <c r="P528" i="33"/>
  <c r="P221" i="33"/>
  <c r="P426" i="33"/>
  <c r="P1294" i="33"/>
  <c r="P461" i="33"/>
  <c r="P1227" i="33"/>
  <c r="P2162" i="33"/>
  <c r="P570" i="33"/>
  <c r="P2143" i="33"/>
  <c r="P508" i="33"/>
  <c r="P2181" i="33"/>
  <c r="P225" i="33"/>
  <c r="P1158" i="33"/>
  <c r="P357" i="33"/>
  <c r="P583" i="33"/>
  <c r="P269" i="33"/>
  <c r="P1176" i="33"/>
  <c r="P438" i="33"/>
  <c r="P539" i="33"/>
  <c r="P222" i="33"/>
  <c r="P427" i="33"/>
  <c r="P1562" i="33"/>
  <c r="P1224" i="33"/>
  <c r="P72" i="33"/>
  <c r="P1316" i="33"/>
  <c r="P462" i="33"/>
  <c r="P1253" i="33"/>
  <c r="P465" i="33"/>
  <c r="P1725" i="33"/>
  <c r="P395" i="33"/>
  <c r="P290" i="33"/>
  <c r="P391" i="33"/>
  <c r="P1303" i="33"/>
  <c r="P392" i="33"/>
  <c r="P1284" i="33"/>
  <c r="P321" i="33"/>
  <c r="P105" i="33"/>
  <c r="P1773" i="33"/>
  <c r="P152" i="33"/>
  <c r="P1364" i="33"/>
  <c r="P233" i="33"/>
  <c r="P109" i="33"/>
  <c r="P2283" i="33"/>
  <c r="P518" i="33"/>
  <c r="P1225" i="33"/>
  <c r="P1254" i="33"/>
  <c r="P265" i="33"/>
  <c r="P1252" i="33"/>
  <c r="P473" i="33"/>
  <c r="P560" i="33"/>
  <c r="P261" i="33"/>
  <c r="P1663" i="33"/>
  <c r="P148" i="33"/>
  <c r="P1613" i="33"/>
  <c r="P430" i="33"/>
  <c r="P322" i="33"/>
  <c r="P469" i="33"/>
  <c r="P106" i="33"/>
  <c r="P179" i="33"/>
  <c r="P1772" i="33"/>
  <c r="P364" i="33"/>
  <c r="P562" i="33"/>
  <c r="P325" i="33"/>
  <c r="P64" i="33"/>
  <c r="P333" i="33"/>
  <c r="P2264" i="33"/>
  <c r="P1577" i="33"/>
  <c r="P60" i="33"/>
  <c r="P140" i="33"/>
  <c r="P1823" i="33"/>
  <c r="P1639" i="33"/>
  <c r="P1240" i="33"/>
  <c r="P294" i="33"/>
  <c r="P183" i="33"/>
  <c r="P1308" i="33"/>
  <c r="P434" i="33"/>
  <c r="P2302" i="33"/>
  <c r="P1304" i="33"/>
  <c r="P273" i="33"/>
  <c r="P2125" i="33"/>
  <c r="P61" i="33"/>
  <c r="P141" i="33"/>
  <c r="P2326" i="33"/>
  <c r="K436" i="33"/>
  <c r="M435" i="33"/>
  <c r="L23" i="33"/>
  <c r="L1402" i="33"/>
  <c r="M369" i="33"/>
  <c r="K370" i="33"/>
  <c r="K2145" i="33"/>
  <c r="M2144" i="33"/>
  <c r="L2189" i="33"/>
  <c r="K530" i="33"/>
  <c r="M519" i="33"/>
  <c r="M1350" i="33"/>
  <c r="L1351" i="33"/>
  <c r="L1352" i="33" s="1"/>
  <c r="M1592" i="33"/>
  <c r="L1593" i="33"/>
  <c r="K413" i="33"/>
  <c r="M408" i="33"/>
  <c r="K409" i="33"/>
  <c r="M478" i="33"/>
  <c r="K483" i="33"/>
  <c r="K479" i="33"/>
  <c r="K296" i="33"/>
  <c r="M295" i="33"/>
  <c r="K231" i="33"/>
  <c r="M230" i="33"/>
  <c r="K401" i="33"/>
  <c r="M400" i="33"/>
  <c r="K618" i="33"/>
  <c r="K629" i="33" s="1"/>
  <c r="K640" i="33" s="1"/>
  <c r="K651" i="33" s="1"/>
  <c r="K608" i="33"/>
  <c r="K150" i="33"/>
  <c r="M149" i="33"/>
  <c r="M439" i="33"/>
  <c r="K440" i="33"/>
  <c r="L598" i="33"/>
  <c r="L613" i="33"/>
  <c r="K362" i="33"/>
  <c r="M362" i="33" s="1"/>
  <c r="M361" i="33"/>
  <c r="K1615" i="33"/>
  <c r="M1614" i="33"/>
  <c r="L2151" i="33"/>
  <c r="K185" i="33"/>
  <c r="M184" i="33"/>
  <c r="L1827" i="33"/>
  <c r="K2183" i="33"/>
  <c r="M2182" i="33"/>
  <c r="K2202" i="33"/>
  <c r="M2201" i="33"/>
  <c r="L2019" i="33"/>
  <c r="K1229" i="33"/>
  <c r="M1228" i="33"/>
  <c r="K827" i="33"/>
  <c r="K837" i="33"/>
  <c r="K848" i="33" s="1"/>
  <c r="K859" i="33" s="1"/>
  <c r="K870" i="33" s="1"/>
  <c r="K891" i="33"/>
  <c r="K902" i="33" s="1"/>
  <c r="K913" i="33" s="1"/>
  <c r="K924" i="33" s="1"/>
  <c r="K881" i="33"/>
  <c r="M373" i="33"/>
  <c r="K378" i="33"/>
  <c r="K374" i="33"/>
  <c r="M188" i="33"/>
  <c r="K189" i="33"/>
  <c r="K1641" i="33"/>
  <c r="M1640" i="33"/>
  <c r="M192" i="33"/>
  <c r="K197" i="33"/>
  <c r="K193" i="33"/>
  <c r="K1806" i="33"/>
  <c r="M1805" i="33"/>
  <c r="K146" i="33"/>
  <c r="M146" i="33" s="1"/>
  <c r="M145" i="33"/>
  <c r="K154" i="33"/>
  <c r="M153" i="33"/>
  <c r="L588" i="33"/>
  <c r="M443" i="33"/>
  <c r="K448" i="33"/>
  <c r="K444" i="33"/>
  <c r="L2287" i="33"/>
  <c r="K728" i="33"/>
  <c r="K739" i="33" s="1"/>
  <c r="K750" i="33" s="1"/>
  <c r="K761" i="33" s="1"/>
  <c r="K718" i="33"/>
  <c r="L1564" i="33"/>
  <c r="M1563" i="33"/>
  <c r="K1187" i="33"/>
  <c r="M1186" i="33"/>
  <c r="K1258" i="33"/>
  <c r="M1257" i="33"/>
  <c r="K2240" i="33"/>
  <c r="K2221" i="33"/>
  <c r="M2220" i="33"/>
  <c r="M499" i="33"/>
  <c r="K500" i="33"/>
  <c r="K510" i="33"/>
  <c r="K331" i="33"/>
  <c r="M330" i="33"/>
  <c r="M1664" i="33"/>
  <c r="L1665" i="33"/>
  <c r="L1329" i="33"/>
  <c r="M1328" i="33"/>
  <c r="M274" i="33"/>
  <c r="K275" i="33"/>
  <c r="K1825" i="33"/>
  <c r="M1824" i="33"/>
  <c r="K20" i="33"/>
  <c r="M19" i="33"/>
  <c r="L582" i="33"/>
  <c r="M571" i="33"/>
  <c r="K70" i="33"/>
  <c r="M69" i="33"/>
  <c r="M1273" i="33"/>
  <c r="L1274" i="33"/>
  <c r="L1643" i="33"/>
  <c r="L1312" i="33"/>
  <c r="M157" i="33"/>
  <c r="K158" i="33"/>
  <c r="K162" i="33"/>
  <c r="L2208" i="33"/>
  <c r="M1365" i="33"/>
  <c r="L1366" i="33"/>
  <c r="K1844" i="33"/>
  <c r="M1844" i="33" s="1"/>
  <c r="M1843" i="33"/>
  <c r="K1256" i="33"/>
  <c r="M1256" i="33" s="1"/>
  <c r="M1255" i="33"/>
  <c r="K1296" i="33"/>
  <c r="M1296" i="33" s="1"/>
  <c r="M1295" i="33"/>
  <c r="M1459" i="33"/>
  <c r="L1460" i="33"/>
  <c r="K475" i="33"/>
  <c r="M474" i="33"/>
  <c r="M2163" i="33"/>
  <c r="K2164" i="33"/>
  <c r="K227" i="33"/>
  <c r="M227" i="33" s="1"/>
  <c r="M226" i="33"/>
  <c r="M1159" i="33"/>
  <c r="K1160" i="33"/>
  <c r="M594" i="33"/>
  <c r="L605" i="33"/>
  <c r="K1178" i="33"/>
  <c r="M1177" i="33"/>
  <c r="L600" i="33"/>
  <c r="M1523" i="33"/>
  <c r="L1524" i="33"/>
  <c r="L2268" i="33"/>
  <c r="M1542" i="33"/>
  <c r="L1543" i="33"/>
  <c r="K66" i="33"/>
  <c r="M66" i="33" s="1"/>
  <c r="M65" i="33"/>
  <c r="M334" i="33"/>
  <c r="K335" i="33"/>
  <c r="K74" i="33"/>
  <c r="M73" i="33"/>
  <c r="M1578" i="33"/>
  <c r="L1579" i="33"/>
  <c r="L1580" i="33" s="1"/>
  <c r="K1318" i="33"/>
  <c r="M1317" i="33"/>
  <c r="K467" i="33"/>
  <c r="M467" i="33" s="1"/>
  <c r="M466" i="33"/>
  <c r="M1726" i="33"/>
  <c r="K1727" i="33"/>
  <c r="K397" i="33"/>
  <c r="M397" i="33" s="1"/>
  <c r="M396" i="33"/>
  <c r="K292" i="33"/>
  <c r="M292" i="33" s="1"/>
  <c r="M291" i="33"/>
  <c r="K1310" i="33"/>
  <c r="M1309" i="33"/>
  <c r="L596" i="33"/>
  <c r="L590" i="33"/>
  <c r="L2247" i="33"/>
  <c r="K405" i="33"/>
  <c r="M404" i="33"/>
  <c r="M581" i="33"/>
  <c r="L592" i="33"/>
  <c r="L1320" i="33"/>
  <c r="K1286" i="33"/>
  <c r="M1285" i="33"/>
  <c r="L1880" i="33"/>
  <c r="L1808" i="33"/>
  <c r="K945" i="33"/>
  <c r="K956" i="33" s="1"/>
  <c r="K967" i="33" s="1"/>
  <c r="K978" i="33" s="1"/>
  <c r="K935" i="33"/>
  <c r="L586" i="33"/>
  <c r="L1984" i="33"/>
  <c r="K300" i="33"/>
  <c r="M299" i="33"/>
  <c r="M238" i="33"/>
  <c r="K239" i="33"/>
  <c r="K243" i="33"/>
  <c r="K2285" i="33"/>
  <c r="M2284" i="33"/>
  <c r="K540" i="33"/>
  <c r="M540" i="33" s="1"/>
  <c r="M529" i="33"/>
  <c r="M77" i="33"/>
  <c r="K82" i="33"/>
  <c r="K78" i="33"/>
  <c r="K279" i="33"/>
  <c r="M278" i="33"/>
  <c r="M2126" i="33"/>
  <c r="L2127" i="33"/>
  <c r="L1949" i="33"/>
  <c r="L1618" i="33"/>
  <c r="M2327" i="33"/>
  <c r="L2328" i="33"/>
  <c r="K2304" i="33"/>
  <c r="M2303" i="33"/>
  <c r="L2309" i="33"/>
  <c r="K520" i="33"/>
  <c r="M509" i="33"/>
  <c r="M431" i="33"/>
  <c r="K432" i="33"/>
  <c r="M432" i="33" s="1"/>
  <c r="K471" i="33"/>
  <c r="M470" i="33"/>
  <c r="K1437" i="33"/>
  <c r="M1436" i="33"/>
  <c r="M1482" i="33"/>
  <c r="L1483" i="33"/>
  <c r="L1484" i="33" s="1"/>
  <c r="K181" i="33"/>
  <c r="M181" i="33" s="1"/>
  <c r="M180" i="33"/>
  <c r="L1748" i="33"/>
  <c r="M1747" i="33"/>
  <c r="K366" i="33"/>
  <c r="M365" i="33"/>
  <c r="K664" i="33"/>
  <c r="K674" i="33"/>
  <c r="K685" i="33" s="1"/>
  <c r="K696" i="33" s="1"/>
  <c r="K707" i="33" s="1"/>
  <c r="M573" i="33"/>
  <c r="L584" i="33"/>
  <c r="K308" i="33"/>
  <c r="K304" i="33"/>
  <c r="M303" i="33"/>
  <c r="K235" i="33"/>
  <c r="M234" i="33"/>
  <c r="K783" i="33"/>
  <c r="K794" i="33" s="1"/>
  <c r="K805" i="33" s="1"/>
  <c r="K816" i="33" s="1"/>
  <c r="K773" i="33"/>
  <c r="K327" i="33"/>
  <c r="M327" i="33" s="1"/>
  <c r="M326" i="33"/>
  <c r="K343" i="33"/>
  <c r="M338" i="33"/>
  <c r="K339" i="33"/>
  <c r="K2266" i="33"/>
  <c r="M2265" i="33"/>
  <c r="L1439" i="33"/>
  <c r="P467" i="33" a="1"/>
  <c r="P1501" i="33" a="1"/>
  <c r="P1159" i="33" a="1"/>
  <c r="P188" i="33" a="1"/>
  <c r="P1350" i="33" a="1"/>
  <c r="P1592" i="33" a="1"/>
  <c r="P1295" i="33" a="1"/>
  <c r="P303" i="33" a="1"/>
  <c r="P153" i="33" a="1"/>
  <c r="P396" i="33" a="1"/>
  <c r="P478" i="33" a="1"/>
  <c r="P431" i="33" a="1"/>
  <c r="P238" i="33" a="1"/>
  <c r="P234" i="33" a="1"/>
  <c r="P1578" i="33" a="1"/>
  <c r="P1705" i="33" a="1"/>
  <c r="P1542" i="33" a="1"/>
  <c r="P1328" i="33" a="1"/>
  <c r="P11" i="33" a="1"/>
  <c r="P408" i="33" a="1"/>
  <c r="P122" i="33" a="1"/>
  <c r="P571" i="33" a="1"/>
  <c r="P1685" i="33" a="1"/>
  <c r="P267" i="33" a="1"/>
  <c r="P278" i="33" a="1"/>
  <c r="P373" i="33" a="1"/>
  <c r="P553" i="33" a="1"/>
  <c r="P1309" i="33" a="1"/>
  <c r="P326" i="33" a="1"/>
  <c r="P2126" i="33" a="1"/>
  <c r="P594" i="33" a="1"/>
  <c r="P519" i="33" a="1"/>
  <c r="P1563" i="33" a="1"/>
  <c r="P227" i="33" a="1"/>
  <c r="P470" i="33" a="1"/>
  <c r="P180" i="33" a="1"/>
  <c r="P1273" i="33" a="1"/>
  <c r="P334" i="33" a="1"/>
  <c r="P1285" i="33" a="1"/>
  <c r="P327" i="33" a="1"/>
  <c r="P1824" i="33" a="1"/>
  <c r="P145" i="33" a="1"/>
  <c r="P181" i="33" a="1"/>
  <c r="P274" i="33" a="1"/>
  <c r="P362" i="33" a="1"/>
  <c r="P404" i="33" a="1"/>
  <c r="P1296" i="33" a="1"/>
  <c r="P529" i="33" a="1"/>
  <c r="P365" i="33" a="1"/>
  <c r="P1747" i="33" a="1"/>
  <c r="P157" i="33" a="1"/>
  <c r="P73" i="33" a="1"/>
  <c r="P291" i="33" a="1"/>
  <c r="P1256" i="33" a="1"/>
  <c r="P1317" i="33" a="1"/>
  <c r="P400" i="33" a="1"/>
  <c r="P1206" i="33" a="1"/>
  <c r="P2163" i="33" a="1"/>
  <c r="P1228" i="33" a="1"/>
  <c r="P563" i="33" a="1"/>
  <c r="P226" i="33" a="1"/>
  <c r="P65" i="33" a="1"/>
  <c r="P1177" i="33" a="1"/>
  <c r="P474" i="33" a="1"/>
  <c r="P2303" i="33" a="1"/>
  <c r="P1186" i="33" a="1"/>
  <c r="P2144" i="33" a="1"/>
  <c r="P573" i="33" a="1"/>
  <c r="P1257" i="33" a="1"/>
  <c r="P1365" i="33" a="1"/>
  <c r="P295" i="33" a="1"/>
  <c r="P432" i="33" a="1"/>
  <c r="P397" i="33" a="1"/>
  <c r="P435" i="33" a="1"/>
  <c r="P12" i="33" a="1"/>
  <c r="P69" i="33" a="1"/>
  <c r="P1399" i="33" a="1"/>
  <c r="P1844" i="33" a="1"/>
  <c r="P192" i="33" a="1"/>
  <c r="P1255" i="33" a="1"/>
  <c r="P499" i="33" a="1"/>
  <c r="P66" i="33" a="1"/>
  <c r="P299" i="33" a="1"/>
  <c r="P338" i="33" a="1"/>
  <c r="P1640" i="33" a="1"/>
  <c r="P540" i="33" a="1"/>
  <c r="P77" i="33" a="1"/>
  <c r="P2284" i="33" a="1"/>
  <c r="P230" i="33" a="1"/>
  <c r="P466" i="33" a="1"/>
  <c r="P581" i="33" a="1"/>
  <c r="P292" i="33" a="1"/>
  <c r="P2201" i="33" a="1"/>
  <c r="P439" i="33" a="1"/>
  <c r="P1865" i="33" a="1"/>
  <c r="P361" i="33" a="1"/>
  <c r="P1843" i="33" a="1"/>
  <c r="P1614" i="33" a="1"/>
  <c r="P2327" i="33" a="1"/>
  <c r="P2182" i="33" a="1"/>
  <c r="P369" i="33" a="1"/>
  <c r="P2220" i="33" a="1"/>
  <c r="P2265" i="33" a="1"/>
  <c r="P149" i="33" a="1"/>
  <c r="P111" i="33" a="1"/>
  <c r="P19" i="33" a="1"/>
  <c r="P1726" i="33" a="1"/>
  <c r="P1196" i="33" a="1"/>
  <c r="P330" i="33" a="1"/>
  <c r="P1523" i="33" a="1"/>
  <c r="P184" i="33" a="1"/>
  <c r="P509" i="33" a="1"/>
  <c r="P146" i="33" a="1"/>
  <c r="P1805" i="33" a="1"/>
  <c r="P443" i="33" a="1"/>
  <c r="P1664" i="33" a="1"/>
  <c r="P1865" i="33" l="1"/>
  <c r="K1867" i="33"/>
  <c r="M1866" i="33"/>
  <c r="K2352" i="33"/>
  <c r="K2353" i="33" s="1"/>
  <c r="P1705" i="33"/>
  <c r="K1707" i="33"/>
  <c r="M1706" i="33"/>
  <c r="L1709" i="33"/>
  <c r="P1685" i="33"/>
  <c r="K1687" i="33"/>
  <c r="M1686" i="33"/>
  <c r="L1581" i="33"/>
  <c r="M1580" i="33"/>
  <c r="K1000" i="33"/>
  <c r="K1011" i="33" s="1"/>
  <c r="K1022" i="33" s="1"/>
  <c r="K1033" i="33" s="1"/>
  <c r="P1501" i="33"/>
  <c r="K1503" i="33"/>
  <c r="M1502" i="33"/>
  <c r="L1505" i="33"/>
  <c r="L1485" i="33"/>
  <c r="M1484" i="33"/>
  <c r="M1352" i="33"/>
  <c r="L1353" i="33"/>
  <c r="M110" i="33"/>
  <c r="K1054" i="33"/>
  <c r="K1065" i="33" s="1"/>
  <c r="K1076" i="33" s="1"/>
  <c r="K1087" i="33" s="1"/>
  <c r="P1206" i="33"/>
  <c r="K1208" i="33"/>
  <c r="M1207" i="33"/>
  <c r="P1196" i="33"/>
  <c r="K1198" i="33"/>
  <c r="M1197" i="33"/>
  <c r="K1109" i="33"/>
  <c r="K1120" i="33" s="1"/>
  <c r="K1131" i="33" s="1"/>
  <c r="K1142" i="33" s="1"/>
  <c r="K1099" i="33"/>
  <c r="K1055" i="33"/>
  <c r="K1066" i="33" s="1"/>
  <c r="K1077" i="33" s="1"/>
  <c r="K1088" i="33" s="1"/>
  <c r="K1045" i="33"/>
  <c r="P12" i="33"/>
  <c r="P11" i="33"/>
  <c r="M114" i="33"/>
  <c r="K123" i="33"/>
  <c r="K124" i="33" s="1"/>
  <c r="K127" i="33"/>
  <c r="M127" i="33" s="1"/>
  <c r="M113" i="33"/>
  <c r="K118" i="33"/>
  <c r="K119" i="33" s="1"/>
  <c r="K120" i="33" s="1"/>
  <c r="M117" i="33"/>
  <c r="M266" i="33"/>
  <c r="M270" i="33"/>
  <c r="K2505" i="33"/>
  <c r="K2506" i="33" s="1"/>
  <c r="K2507" i="33" s="1"/>
  <c r="K2508" i="33" s="1"/>
  <c r="K2509" i="33" s="1"/>
  <c r="K2510" i="33" s="1"/>
  <c r="K2511" i="33" s="1"/>
  <c r="K2512" i="33" s="1"/>
  <c r="K2441" i="33"/>
  <c r="K2442" i="33" s="1"/>
  <c r="K2443" i="33" s="1"/>
  <c r="K2444" i="33" s="1"/>
  <c r="K2445" i="33" s="1"/>
  <c r="K2446" i="33" s="1"/>
  <c r="K2447" i="33" s="1"/>
  <c r="L2096" i="33"/>
  <c r="L2059" i="33"/>
  <c r="P1399" i="33"/>
  <c r="P563" i="33"/>
  <c r="P553" i="33"/>
  <c r="K1401" i="33"/>
  <c r="M1400" i="33"/>
  <c r="K585" i="33"/>
  <c r="M574" i="33"/>
  <c r="K575" i="33"/>
  <c r="M564" i="33"/>
  <c r="K565" i="33"/>
  <c r="M554" i="33"/>
  <c r="K555" i="33"/>
  <c r="P292" i="33"/>
  <c r="P571" i="33"/>
  <c r="P1186" i="33"/>
  <c r="P122" i="33"/>
  <c r="P153" i="33"/>
  <c r="P327" i="33"/>
  <c r="P180" i="33"/>
  <c r="P432" i="33"/>
  <c r="P540" i="33"/>
  <c r="P404" i="33"/>
  <c r="P396" i="33"/>
  <c r="P1177" i="33"/>
  <c r="P1843" i="33"/>
  <c r="P373" i="33"/>
  <c r="P361" i="33"/>
  <c r="P230" i="33"/>
  <c r="P408" i="33"/>
  <c r="P2327" i="33"/>
  <c r="P1542" i="33"/>
  <c r="P1159" i="33"/>
  <c r="P1844" i="33"/>
  <c r="P19" i="33"/>
  <c r="P1328" i="33"/>
  <c r="P499" i="33"/>
  <c r="P1563" i="33"/>
  <c r="P192" i="33"/>
  <c r="P362" i="33"/>
  <c r="P439" i="33"/>
  <c r="P66" i="33"/>
  <c r="P431" i="33"/>
  <c r="P2265" i="33"/>
  <c r="P278" i="33"/>
  <c r="P73" i="33"/>
  <c r="P226" i="33"/>
  <c r="P1295" i="33"/>
  <c r="P157" i="33"/>
  <c r="P2220" i="33"/>
  <c r="P1640" i="33"/>
  <c r="P184" i="33"/>
  <c r="P149" i="33"/>
  <c r="P295" i="33"/>
  <c r="P2144" i="33"/>
  <c r="P435" i="33"/>
  <c r="P326" i="33"/>
  <c r="P267" i="33"/>
  <c r="P2126" i="33"/>
  <c r="P299" i="33"/>
  <c r="P234" i="33"/>
  <c r="P2284" i="33"/>
  <c r="P1726" i="33"/>
  <c r="P227" i="33"/>
  <c r="P1296" i="33"/>
  <c r="P1365" i="33"/>
  <c r="P1824" i="33"/>
  <c r="P145" i="33"/>
  <c r="P1592" i="33"/>
  <c r="P581" i="33"/>
  <c r="P573" i="33"/>
  <c r="P1578" i="33"/>
  <c r="P509" i="33"/>
  <c r="P365" i="33"/>
  <c r="P1309" i="33"/>
  <c r="P466" i="33"/>
  <c r="P1255" i="33"/>
  <c r="P1273" i="33"/>
  <c r="P1664" i="33"/>
  <c r="P443" i="33"/>
  <c r="P146" i="33"/>
  <c r="P2201" i="33"/>
  <c r="P529" i="33"/>
  <c r="P181" i="33"/>
  <c r="P238" i="33"/>
  <c r="P397" i="33"/>
  <c r="P338" i="33"/>
  <c r="P303" i="33"/>
  <c r="P467" i="33"/>
  <c r="P334" i="33"/>
  <c r="P1523" i="33"/>
  <c r="P594" i="33"/>
  <c r="P2163" i="33"/>
  <c r="P1256" i="33"/>
  <c r="P69" i="33"/>
  <c r="P330" i="33"/>
  <c r="P1257" i="33"/>
  <c r="P1805" i="33"/>
  <c r="P188" i="33"/>
  <c r="P1228" i="33"/>
  <c r="P1350" i="33"/>
  <c r="P369" i="33"/>
  <c r="P1747" i="33"/>
  <c r="P470" i="33"/>
  <c r="P2303" i="33"/>
  <c r="P77" i="33"/>
  <c r="P111" i="33"/>
  <c r="P1285" i="33"/>
  <c r="P291" i="33"/>
  <c r="P1317" i="33"/>
  <c r="P65" i="33"/>
  <c r="P474" i="33"/>
  <c r="P274" i="33"/>
  <c r="P2182" i="33"/>
  <c r="P1614" i="33"/>
  <c r="P400" i="33"/>
  <c r="P478" i="33"/>
  <c r="P519" i="33"/>
  <c r="M1748" i="33"/>
  <c r="L1749" i="33"/>
  <c r="K2305" i="33"/>
  <c r="M2304" i="33"/>
  <c r="K1319" i="33"/>
  <c r="M1318" i="33"/>
  <c r="K476" i="33"/>
  <c r="M475" i="33"/>
  <c r="K521" i="33"/>
  <c r="M510" i="33"/>
  <c r="K194" i="33"/>
  <c r="M193" i="33"/>
  <c r="K383" i="33"/>
  <c r="K379" i="33"/>
  <c r="M378" i="33"/>
  <c r="L2020" i="33"/>
  <c r="K2184" i="33"/>
  <c r="M2183" i="33"/>
  <c r="K1616" i="33"/>
  <c r="M1615" i="33"/>
  <c r="K402" i="33"/>
  <c r="M402" i="33" s="1"/>
  <c r="M401" i="33"/>
  <c r="K410" i="33"/>
  <c r="M409" i="33"/>
  <c r="K541" i="33"/>
  <c r="M541" i="33" s="1"/>
  <c r="M530" i="33"/>
  <c r="L1440" i="33"/>
  <c r="L595" i="33"/>
  <c r="M584" i="33"/>
  <c r="M2328" i="33"/>
  <c r="L2329" i="33"/>
  <c r="M2127" i="33"/>
  <c r="L2128" i="33"/>
  <c r="M239" i="33"/>
  <c r="K240" i="33"/>
  <c r="K946" i="33"/>
  <c r="K957" i="33" s="1"/>
  <c r="K968" i="33" s="1"/>
  <c r="K979" i="33" s="1"/>
  <c r="K936" i="33"/>
  <c r="L607" i="33"/>
  <c r="M1579" i="33"/>
  <c r="M1543" i="33"/>
  <c r="L1544" i="33"/>
  <c r="K1161" i="33"/>
  <c r="M1160" i="33"/>
  <c r="M1460" i="33"/>
  <c r="L1461" i="33"/>
  <c r="K163" i="33"/>
  <c r="M162" i="33"/>
  <c r="K167" i="33"/>
  <c r="L593" i="33"/>
  <c r="M582" i="33"/>
  <c r="M500" i="33"/>
  <c r="K501" i="33"/>
  <c r="K511" i="33"/>
  <c r="K1188" i="33"/>
  <c r="M1187" i="33"/>
  <c r="K155" i="33"/>
  <c r="M154" i="33"/>
  <c r="M197" i="33"/>
  <c r="K202" i="33"/>
  <c r="K198" i="33"/>
  <c r="L1828" i="33"/>
  <c r="K441" i="33"/>
  <c r="M440" i="33"/>
  <c r="L2190" i="33"/>
  <c r="L597" i="33"/>
  <c r="K406" i="33"/>
  <c r="M405" i="33"/>
  <c r="K1179" i="33"/>
  <c r="M1178" i="33"/>
  <c r="K159" i="33"/>
  <c r="M158" i="33"/>
  <c r="L1644" i="33"/>
  <c r="K892" i="33"/>
  <c r="K903" i="33" s="1"/>
  <c r="K914" i="33" s="1"/>
  <c r="K925" i="33" s="1"/>
  <c r="K882" i="33"/>
  <c r="K232" i="33"/>
  <c r="M232" i="33" s="1"/>
  <c r="M231" i="33"/>
  <c r="K418" i="33"/>
  <c r="K414" i="33"/>
  <c r="M413" i="33"/>
  <c r="L24" i="33"/>
  <c r="K116" i="33"/>
  <c r="M116" i="33" s="1"/>
  <c r="M115" i="33"/>
  <c r="M1366" i="33"/>
  <c r="L1367" i="33"/>
  <c r="K21" i="33"/>
  <c r="M20" i="33"/>
  <c r="L1330" i="33"/>
  <c r="M1329" i="33"/>
  <c r="L1565" i="33"/>
  <c r="L1566" i="33" s="1"/>
  <c r="M1564" i="33"/>
  <c r="K445" i="33"/>
  <c r="M444" i="33"/>
  <c r="K272" i="33"/>
  <c r="M272" i="33" s="1"/>
  <c r="M271" i="33"/>
  <c r="L624" i="33"/>
  <c r="M1593" i="33"/>
  <c r="L1594" i="33"/>
  <c r="K244" i="33"/>
  <c r="M243" i="33"/>
  <c r="K1287" i="33"/>
  <c r="M1286" i="33"/>
  <c r="K784" i="33"/>
  <c r="K795" i="33" s="1"/>
  <c r="K806" i="33" s="1"/>
  <c r="K817" i="33" s="1"/>
  <c r="K774" i="33"/>
  <c r="M1483" i="33"/>
  <c r="K1728" i="33"/>
  <c r="M1727" i="33"/>
  <c r="K2267" i="33"/>
  <c r="M2266" i="33"/>
  <c r="K675" i="33"/>
  <c r="K686" i="33" s="1"/>
  <c r="K697" i="33" s="1"/>
  <c r="K708" i="33" s="1"/>
  <c r="K665" i="33"/>
  <c r="K531" i="33"/>
  <c r="M520" i="33"/>
  <c r="K280" i="33"/>
  <c r="M279" i="33"/>
  <c r="K301" i="33"/>
  <c r="M300" i="33"/>
  <c r="K75" i="33"/>
  <c r="M74" i="33"/>
  <c r="L2269" i="33"/>
  <c r="M1274" i="33"/>
  <c r="L1275" i="33"/>
  <c r="M1665" i="33"/>
  <c r="L1666" i="33"/>
  <c r="K2222" i="33"/>
  <c r="M2221" i="33"/>
  <c r="K729" i="33"/>
  <c r="K740" i="33" s="1"/>
  <c r="K751" i="33" s="1"/>
  <c r="K762" i="33" s="1"/>
  <c r="K719" i="33"/>
  <c r="K453" i="33"/>
  <c r="K449" i="33"/>
  <c r="M448" i="33"/>
  <c r="K1642" i="33"/>
  <c r="M1641" i="33"/>
  <c r="K186" i="33"/>
  <c r="M186" i="33" s="1"/>
  <c r="M185" i="33"/>
  <c r="K151" i="33"/>
  <c r="M151" i="33" s="1"/>
  <c r="M150" i="33"/>
  <c r="K297" i="33"/>
  <c r="M297" i="33" s="1"/>
  <c r="M296" i="33"/>
  <c r="K2146" i="33"/>
  <c r="M2145" i="33"/>
  <c r="K437" i="33"/>
  <c r="M437" i="33" s="1"/>
  <c r="M436" i="33"/>
  <c r="M308" i="33"/>
  <c r="K309" i="33"/>
  <c r="K313" i="33"/>
  <c r="K472" i="33"/>
  <c r="M472" i="33" s="1"/>
  <c r="M471" i="33"/>
  <c r="K1001" i="33"/>
  <c r="K1012" i="33" s="1"/>
  <c r="K1023" i="33" s="1"/>
  <c r="K1034" i="33" s="1"/>
  <c r="K991" i="33"/>
  <c r="M339" i="33"/>
  <c r="K340" i="33"/>
  <c r="K236" i="33"/>
  <c r="M235" i="33"/>
  <c r="L2310" i="33"/>
  <c r="L1950" i="33"/>
  <c r="M78" i="33"/>
  <c r="K79" i="33"/>
  <c r="K2286" i="33"/>
  <c r="M2285" i="33"/>
  <c r="L1985" i="33"/>
  <c r="L1881" i="33"/>
  <c r="L2248" i="33"/>
  <c r="K336" i="33"/>
  <c r="M335" i="33"/>
  <c r="M1524" i="33"/>
  <c r="L1525" i="33"/>
  <c r="L616" i="33"/>
  <c r="M605" i="33"/>
  <c r="K2165" i="33"/>
  <c r="M2164" i="33"/>
  <c r="L2209" i="33"/>
  <c r="K1826" i="33"/>
  <c r="M1825" i="33"/>
  <c r="M2240" i="33"/>
  <c r="K2241" i="33"/>
  <c r="K190" i="33"/>
  <c r="M189" i="33"/>
  <c r="K828" i="33"/>
  <c r="K838" i="33"/>
  <c r="K849" i="33" s="1"/>
  <c r="K860" i="33" s="1"/>
  <c r="K871" i="33" s="1"/>
  <c r="K609" i="33"/>
  <c r="K619" i="33"/>
  <c r="K630" i="33" s="1"/>
  <c r="K641" i="33" s="1"/>
  <c r="K652" i="33" s="1"/>
  <c r="M479" i="33"/>
  <c r="K480" i="33"/>
  <c r="M1351" i="33"/>
  <c r="K371" i="33"/>
  <c r="M370" i="33"/>
  <c r="L601" i="33"/>
  <c r="L1619" i="33"/>
  <c r="K367" i="33"/>
  <c r="M367" i="33" s="1"/>
  <c r="M366" i="33"/>
  <c r="K1438" i="33"/>
  <c r="M1437" i="33"/>
  <c r="M82" i="33"/>
  <c r="K87" i="33"/>
  <c r="K83" i="33"/>
  <c r="K1311" i="33"/>
  <c r="M1310" i="33"/>
  <c r="K276" i="33"/>
  <c r="M275" i="33"/>
  <c r="L2288" i="33"/>
  <c r="L599" i="33"/>
  <c r="K2203" i="33"/>
  <c r="M2202" i="33"/>
  <c r="L2152" i="33"/>
  <c r="L609" i="33"/>
  <c r="M483" i="33"/>
  <c r="K488" i="33"/>
  <c r="K484" i="33"/>
  <c r="K344" i="33"/>
  <c r="M343" i="33"/>
  <c r="K348" i="33"/>
  <c r="K305" i="33"/>
  <c r="M304" i="33"/>
  <c r="L603" i="33"/>
  <c r="M592" i="33"/>
  <c r="L611" i="33"/>
  <c r="K71" i="33"/>
  <c r="M71" i="33" s="1"/>
  <c r="M70" i="33"/>
  <c r="K332" i="33"/>
  <c r="M332" i="33" s="1"/>
  <c r="M331" i="33"/>
  <c r="K1259" i="33"/>
  <c r="M1259" i="33" s="1"/>
  <c r="M1258" i="33"/>
  <c r="K1807" i="33"/>
  <c r="M1806" i="33"/>
  <c r="K375" i="33"/>
  <c r="M374" i="33"/>
  <c r="K1232" i="33"/>
  <c r="M1232" i="33" s="1"/>
  <c r="M1229" i="33"/>
  <c r="L1403" i="33"/>
  <c r="P401" i="33" a="1"/>
  <c r="P500" i="33" a="1"/>
  <c r="P471" i="33" a="1"/>
  <c r="P117" i="33" a="1"/>
  <c r="P297" i="33" a="1"/>
  <c r="P70" i="33" a="1"/>
  <c r="P154" i="33" a="1"/>
  <c r="P479" i="33" a="1"/>
  <c r="P71" i="33" a="1"/>
  <c r="P185" i="33" a="1"/>
  <c r="P343" i="33" a="1"/>
  <c r="P113" i="33" a="1"/>
  <c r="P483" i="33" a="1"/>
  <c r="P114" i="33" a="1"/>
  <c r="P272" i="33" a="1"/>
  <c r="P374" i="33" a="1"/>
  <c r="P331" i="33" a="1"/>
  <c r="P1259" i="33" a="1"/>
  <c r="P115" i="33" a="1"/>
  <c r="P279" i="33" a="1"/>
  <c r="P1641" i="33" a="1"/>
  <c r="P409" i="33" a="1"/>
  <c r="P116" i="33" a="1"/>
  <c r="P448" i="33" a="1"/>
  <c r="P510" i="33" a="1"/>
  <c r="P444" i="33" a="1"/>
  <c r="P584" i="33" a="1"/>
  <c r="P1806" i="33" a="1"/>
  <c r="P582" i="33" a="1"/>
  <c r="P335" i="33" a="1"/>
  <c r="P1310" i="33" a="1"/>
  <c r="P1318" i="33" a="1"/>
  <c r="P1207" i="33" a="1"/>
  <c r="P231" i="33" a="1"/>
  <c r="P1579" i="33" a="1"/>
  <c r="P402" i="33" a="1"/>
  <c r="P2164" i="33" a="1"/>
  <c r="P158" i="33" a="1"/>
  <c r="P1258" i="33" a="1"/>
  <c r="P332" i="33" a="1"/>
  <c r="P1232" i="33" a="1"/>
  <c r="P1160" i="33" a="1"/>
  <c r="P378" i="33" a="1"/>
  <c r="P1615" i="33" a="1"/>
  <c r="P239" i="33" a="1"/>
  <c r="P405" i="33" a="1"/>
  <c r="P2202" i="33" a="1"/>
  <c r="P193" i="33" a="1"/>
  <c r="P271" i="33" a="1"/>
  <c r="P1329" i="33" a="1"/>
  <c r="P440" i="33" a="1"/>
  <c r="P304" i="33" a="1"/>
  <c r="P1178" i="33" a="1"/>
  <c r="P370" i="33" a="1"/>
  <c r="P2240" i="33" a="1"/>
  <c r="P162" i="33" a="1"/>
  <c r="P1825" i="33" a="1"/>
  <c r="P2183" i="33" a="1"/>
  <c r="P413" i="33" a="1"/>
  <c r="P1366" i="33" a="1"/>
  <c r="P1686" i="33" a="1"/>
  <c r="P1665" i="33" a="1"/>
  <c r="P2221" i="33" a="1"/>
  <c r="P243" i="33" a="1"/>
  <c r="P520" i="33" a="1"/>
  <c r="P1274" i="33" a="1"/>
  <c r="P78" i="33" a="1"/>
  <c r="P189" i="33" a="1"/>
  <c r="P232" i="33" a="1"/>
  <c r="P1748" i="33" a="1"/>
  <c r="P1351" i="33" a="1"/>
  <c r="P437" i="33" a="1"/>
  <c r="P339" i="33" a="1"/>
  <c r="P270" i="33" a="1"/>
  <c r="P366" i="33" a="1"/>
  <c r="P1727" i="33" a="1"/>
  <c r="P592" i="33" a="1"/>
  <c r="P2328" i="33" a="1"/>
  <c r="P1187" i="33" a="1"/>
  <c r="P2127" i="33" a="1"/>
  <c r="P1580" i="33" a="1"/>
  <c r="P1197" i="33" a="1"/>
  <c r="P2145" i="33" a="1"/>
  <c r="P197" i="33" a="1"/>
  <c r="P564" i="33" a="1"/>
  <c r="P300" i="33" a="1"/>
  <c r="P186" i="33" a="1"/>
  <c r="P1352" i="33" a="1"/>
  <c r="P266" i="33" a="1"/>
  <c r="P296" i="33" a="1"/>
  <c r="P1229" i="33" a="1"/>
  <c r="P472" i="33" a="1"/>
  <c r="P605" i="33" a="1"/>
  <c r="P1484" i="33" a="1"/>
  <c r="P275" i="33" a="1"/>
  <c r="P1286" i="33" a="1"/>
  <c r="P2285" i="33" a="1"/>
  <c r="P475" i="33" a="1"/>
  <c r="P554" i="33" a="1"/>
  <c r="P1866" i="33" a="1"/>
  <c r="P574" i="33" a="1"/>
  <c r="P235" i="33" a="1"/>
  <c r="P20" i="33" a="1"/>
  <c r="P367" i="33" a="1"/>
  <c r="P1502" i="33" a="1"/>
  <c r="P308" i="33" a="1"/>
  <c r="P436" i="33" a="1"/>
  <c r="P127" i="33" a="1"/>
  <c r="P530" i="33" a="1"/>
  <c r="P1400" i="33" a="1"/>
  <c r="P82" i="33" a="1"/>
  <c r="P151" i="33" a="1"/>
  <c r="P110" i="33" a="1"/>
  <c r="P2266" i="33" a="1"/>
  <c r="P74" i="33" a="1"/>
  <c r="P1706" i="33" a="1"/>
  <c r="P541" i="33" a="1"/>
  <c r="P1593" i="33" a="1"/>
  <c r="P2304" i="33" a="1"/>
  <c r="P150" i="33" a="1"/>
  <c r="P1564" i="33" a="1"/>
  <c r="P1866" i="33" l="1"/>
  <c r="K1868" i="33"/>
  <c r="M1867" i="33"/>
  <c r="K2354" i="33"/>
  <c r="K2355" i="33" s="1"/>
  <c r="P1706" i="33"/>
  <c r="L1710" i="33"/>
  <c r="K1708" i="33"/>
  <c r="M1707" i="33"/>
  <c r="P1686" i="33"/>
  <c r="K1688" i="33"/>
  <c r="M1687" i="33"/>
  <c r="P1580" i="33"/>
  <c r="L1582" i="33"/>
  <c r="M1581" i="33"/>
  <c r="L1567" i="33"/>
  <c r="M1566" i="33"/>
  <c r="P1502" i="33"/>
  <c r="L1506" i="33"/>
  <c r="K1504" i="33"/>
  <c r="M1503" i="33"/>
  <c r="P1352" i="33"/>
  <c r="P1484" i="33"/>
  <c r="P110" i="33"/>
  <c r="P1207" i="33"/>
  <c r="K1209" i="33"/>
  <c r="M1208" i="33"/>
  <c r="P1197" i="33"/>
  <c r="K1199" i="33"/>
  <c r="M1198" i="33"/>
  <c r="K1110" i="33"/>
  <c r="K1121" i="33" s="1"/>
  <c r="K1132" i="33" s="1"/>
  <c r="K1143" i="33" s="1"/>
  <c r="K1100" i="33"/>
  <c r="K1056" i="33"/>
  <c r="K1067" i="33" s="1"/>
  <c r="K1078" i="33" s="1"/>
  <c r="K1089" i="33" s="1"/>
  <c r="K1046" i="33"/>
  <c r="M123" i="33"/>
  <c r="P114" i="33"/>
  <c r="K128" i="33"/>
  <c r="M128" i="33" s="1"/>
  <c r="P113" i="33"/>
  <c r="P117" i="33"/>
  <c r="M118" i="33"/>
  <c r="M119" i="33"/>
  <c r="P266" i="33"/>
  <c r="P270" i="33"/>
  <c r="K2513" i="33"/>
  <c r="K2514" i="33" s="1"/>
  <c r="K2515" i="33" s="1"/>
  <c r="K2516" i="33" s="1"/>
  <c r="K2517" i="33" s="1"/>
  <c r="K2518" i="33" s="1"/>
  <c r="K2519" i="33" s="1"/>
  <c r="K2520" i="33" s="1"/>
  <c r="L2097" i="33"/>
  <c r="L2060" i="33"/>
  <c r="P574" i="33"/>
  <c r="P1400" i="33"/>
  <c r="P554" i="33"/>
  <c r="P564" i="33"/>
  <c r="K586" i="33"/>
  <c r="M575" i="33"/>
  <c r="K596" i="33"/>
  <c r="M596" i="33" s="1"/>
  <c r="M585" i="33"/>
  <c r="K556" i="33"/>
  <c r="K566" i="33"/>
  <c r="M555" i="33"/>
  <c r="K1402" i="33"/>
  <c r="M1401" i="33"/>
  <c r="M565" i="33"/>
  <c r="K576" i="33"/>
  <c r="P374" i="33"/>
  <c r="P272" i="33"/>
  <c r="P127" i="33"/>
  <c r="P582" i="33"/>
  <c r="P402" i="33"/>
  <c r="P475" i="33"/>
  <c r="P483" i="33"/>
  <c r="P70" i="33"/>
  <c r="P471" i="33"/>
  <c r="P413" i="33"/>
  <c r="P71" i="33"/>
  <c r="P472" i="33"/>
  <c r="P296" i="33"/>
  <c r="P2221" i="33"/>
  <c r="P444" i="33"/>
  <c r="P1187" i="33"/>
  <c r="P378" i="33"/>
  <c r="P1748" i="33"/>
  <c r="P275" i="33"/>
  <c r="P2285" i="33"/>
  <c r="P1641" i="33"/>
  <c r="P1593" i="33"/>
  <c r="P1366" i="33"/>
  <c r="P239" i="33"/>
  <c r="P189" i="33"/>
  <c r="P235" i="33"/>
  <c r="P343" i="33"/>
  <c r="P82" i="33"/>
  <c r="P1351" i="33"/>
  <c r="P150" i="33"/>
  <c r="P74" i="33"/>
  <c r="P300" i="33"/>
  <c r="P2266" i="33"/>
  <c r="P1564" i="33"/>
  <c r="P231" i="33"/>
  <c r="P158" i="33"/>
  <c r="P162" i="33"/>
  <c r="P530" i="33"/>
  <c r="P1615" i="33"/>
  <c r="P332" i="33"/>
  <c r="P370" i="33"/>
  <c r="P335" i="33"/>
  <c r="P1258" i="33"/>
  <c r="P2202" i="33"/>
  <c r="P2164" i="33"/>
  <c r="P308" i="33"/>
  <c r="P151" i="33"/>
  <c r="P448" i="33"/>
  <c r="P1665" i="33"/>
  <c r="P115" i="33"/>
  <c r="P232" i="33"/>
  <c r="P197" i="33"/>
  <c r="P1579" i="33"/>
  <c r="P2127" i="33"/>
  <c r="P541" i="33"/>
  <c r="P193" i="33"/>
  <c r="P1318" i="33"/>
  <c r="P1232" i="33"/>
  <c r="P304" i="33"/>
  <c r="P1806" i="33"/>
  <c r="P297" i="33"/>
  <c r="P1259" i="33"/>
  <c r="P1310" i="33"/>
  <c r="P479" i="33"/>
  <c r="P2240" i="33"/>
  <c r="P78" i="33"/>
  <c r="P339" i="33"/>
  <c r="P436" i="33"/>
  <c r="P185" i="33"/>
  <c r="P279" i="33"/>
  <c r="P1727" i="33"/>
  <c r="P1286" i="33"/>
  <c r="P1329" i="33"/>
  <c r="P116" i="33"/>
  <c r="P1178" i="33"/>
  <c r="P154" i="33"/>
  <c r="P500" i="33"/>
  <c r="P409" i="33"/>
  <c r="P2183" i="33"/>
  <c r="P1229" i="33"/>
  <c r="P331" i="33"/>
  <c r="P592" i="33"/>
  <c r="P366" i="33"/>
  <c r="P1825" i="33"/>
  <c r="P605" i="33"/>
  <c r="P437" i="33"/>
  <c r="P186" i="33"/>
  <c r="P1274" i="33"/>
  <c r="P440" i="33"/>
  <c r="P2328" i="33"/>
  <c r="P510" i="33"/>
  <c r="P2304" i="33"/>
  <c r="P367" i="33"/>
  <c r="P2145" i="33"/>
  <c r="P520" i="33"/>
  <c r="P243" i="33"/>
  <c r="P271" i="33"/>
  <c r="P20" i="33"/>
  <c r="P405" i="33"/>
  <c r="P1160" i="33"/>
  <c r="P584" i="33"/>
  <c r="P401" i="33"/>
  <c r="L620" i="33"/>
  <c r="M609" i="33"/>
  <c r="M1525" i="33"/>
  <c r="L1526" i="33"/>
  <c r="L2311" i="33"/>
  <c r="K542" i="33"/>
  <c r="M542" i="33" s="1"/>
  <c r="M531" i="33"/>
  <c r="K22" i="33"/>
  <c r="M21" i="33"/>
  <c r="K407" i="33"/>
  <c r="M407" i="33" s="1"/>
  <c r="M406" i="33"/>
  <c r="L1829" i="33"/>
  <c r="K125" i="33"/>
  <c r="M124" i="33"/>
  <c r="L606" i="33"/>
  <c r="M595" i="33"/>
  <c r="M1749" i="33"/>
  <c r="L1750" i="33"/>
  <c r="L1986" i="33"/>
  <c r="K2147" i="33"/>
  <c r="M2146" i="33"/>
  <c r="K245" i="33"/>
  <c r="M244" i="33"/>
  <c r="M1161" i="33"/>
  <c r="K1162" i="33"/>
  <c r="M1162" i="33" s="1"/>
  <c r="K376" i="33"/>
  <c r="M375" i="33"/>
  <c r="K306" i="33"/>
  <c r="M305" i="33"/>
  <c r="K84" i="33"/>
  <c r="M83" i="33"/>
  <c r="K372" i="33"/>
  <c r="M372" i="33" s="1"/>
  <c r="M371" i="33"/>
  <c r="K839" i="33"/>
  <c r="K850" i="33" s="1"/>
  <c r="K861" i="33" s="1"/>
  <c r="K872" i="33" s="1"/>
  <c r="K829" i="33"/>
  <c r="K676" i="33"/>
  <c r="K687" i="33" s="1"/>
  <c r="K698" i="33" s="1"/>
  <c r="K709" i="33" s="1"/>
  <c r="K666" i="33"/>
  <c r="K785" i="33"/>
  <c r="K796" i="33" s="1"/>
  <c r="K807" i="33" s="1"/>
  <c r="K818" i="33" s="1"/>
  <c r="K775" i="33"/>
  <c r="M1594" i="33"/>
  <c r="L1595" i="33"/>
  <c r="M1367" i="33"/>
  <c r="L1368" i="33"/>
  <c r="K415" i="33"/>
  <c r="M414" i="33"/>
  <c r="L1645" i="33"/>
  <c r="M593" i="33"/>
  <c r="L604" i="33"/>
  <c r="M1544" i="33"/>
  <c r="L1545" i="33"/>
  <c r="K241" i="33"/>
  <c r="M240" i="33"/>
  <c r="L1441" i="33"/>
  <c r="K477" i="33"/>
  <c r="M477" i="33" s="1"/>
  <c r="M476" i="33"/>
  <c r="L2289" i="33"/>
  <c r="K2223" i="33"/>
  <c r="M2222" i="33"/>
  <c r="L2270" i="33"/>
  <c r="K446" i="33"/>
  <c r="M445" i="33"/>
  <c r="M418" i="33"/>
  <c r="K419" i="33"/>
  <c r="K199" i="33"/>
  <c r="M198" i="33"/>
  <c r="K1189" i="33"/>
  <c r="M1188" i="33"/>
  <c r="K168" i="33"/>
  <c r="M167" i="33"/>
  <c r="K121" i="33"/>
  <c r="M121" i="33" s="1"/>
  <c r="M120" i="33"/>
  <c r="M379" i="33"/>
  <c r="K380" i="33"/>
  <c r="L610" i="33"/>
  <c r="L1620" i="33"/>
  <c r="M348" i="33"/>
  <c r="K349" i="33"/>
  <c r="K1808" i="33"/>
  <c r="M1808" i="33" s="1"/>
  <c r="M1807" i="33"/>
  <c r="L2153" i="33"/>
  <c r="K277" i="33"/>
  <c r="M277" i="33" s="1"/>
  <c r="M276" i="33"/>
  <c r="L612" i="33"/>
  <c r="K191" i="33"/>
  <c r="M191" i="33" s="1"/>
  <c r="M190" i="33"/>
  <c r="L2210" i="33"/>
  <c r="K337" i="33"/>
  <c r="M337" i="33" s="1"/>
  <c r="M336" i="33"/>
  <c r="K2287" i="33"/>
  <c r="M2286" i="33"/>
  <c r="K237" i="33"/>
  <c r="M237" i="33" s="1"/>
  <c r="M236" i="33"/>
  <c r="M309" i="33"/>
  <c r="K310" i="33"/>
  <c r="K1643" i="33"/>
  <c r="M1642" i="33"/>
  <c r="M1666" i="33"/>
  <c r="L1667" i="33"/>
  <c r="L608" i="33"/>
  <c r="M202" i="33"/>
  <c r="K203" i="33"/>
  <c r="K207" i="33"/>
  <c r="K522" i="33"/>
  <c r="M511" i="33"/>
  <c r="M2128" i="33"/>
  <c r="L2129" i="33"/>
  <c r="M383" i="33"/>
  <c r="K384" i="33"/>
  <c r="M87" i="33"/>
  <c r="K88" i="33"/>
  <c r="M1353" i="33"/>
  <c r="L1354" i="33"/>
  <c r="M313" i="33"/>
  <c r="K314" i="33"/>
  <c r="L1404" i="33"/>
  <c r="M344" i="33"/>
  <c r="K345" i="33"/>
  <c r="K481" i="33"/>
  <c r="M480" i="33"/>
  <c r="K2242" i="33"/>
  <c r="M2241" i="33"/>
  <c r="L2249" i="33"/>
  <c r="K80" i="33"/>
  <c r="M79" i="33"/>
  <c r="K341" i="33"/>
  <c r="M340" i="33"/>
  <c r="K76" i="33"/>
  <c r="M76" i="33" s="1"/>
  <c r="M75" i="33"/>
  <c r="K302" i="33"/>
  <c r="M302" i="33" s="1"/>
  <c r="M301" i="33"/>
  <c r="K2268" i="33"/>
  <c r="M2267" i="33"/>
  <c r="L635" i="33"/>
  <c r="M1565" i="33"/>
  <c r="K160" i="33"/>
  <c r="M159" i="33"/>
  <c r="L2191" i="33"/>
  <c r="M501" i="33"/>
  <c r="K502" i="33"/>
  <c r="K512" i="33"/>
  <c r="K164" i="33"/>
  <c r="M163" i="33"/>
  <c r="K1617" i="33"/>
  <c r="M1616" i="33"/>
  <c r="L622" i="33"/>
  <c r="K485" i="33"/>
  <c r="M484" i="33"/>
  <c r="K2204" i="33"/>
  <c r="M2203" i="33"/>
  <c r="K1439" i="33"/>
  <c r="M1438" i="33"/>
  <c r="K2166" i="33"/>
  <c r="M2165" i="33"/>
  <c r="M449" i="33"/>
  <c r="K450" i="33"/>
  <c r="M1275" i="33"/>
  <c r="L1276" i="33"/>
  <c r="K893" i="33"/>
  <c r="K904" i="33" s="1"/>
  <c r="K915" i="33" s="1"/>
  <c r="K926" i="33" s="1"/>
  <c r="K883" i="33"/>
  <c r="M1461" i="33"/>
  <c r="L1462" i="33"/>
  <c r="M2329" i="33"/>
  <c r="L2330" i="33"/>
  <c r="K195" i="33"/>
  <c r="M194" i="33"/>
  <c r="K1320" i="33"/>
  <c r="M1320" i="33" s="1"/>
  <c r="M1319" i="33"/>
  <c r="K489" i="33"/>
  <c r="M488" i="33"/>
  <c r="K1312" i="33"/>
  <c r="M1312" i="33" s="1"/>
  <c r="M1311" i="33"/>
  <c r="L1882" i="33"/>
  <c r="L1951" i="33"/>
  <c r="K1002" i="33"/>
  <c r="K1013" i="33" s="1"/>
  <c r="K1024" i="33" s="1"/>
  <c r="K1035" i="33" s="1"/>
  <c r="K992" i="33"/>
  <c r="M453" i="33"/>
  <c r="K454" i="33"/>
  <c r="K281" i="33"/>
  <c r="M280" i="33"/>
  <c r="K1729" i="33"/>
  <c r="M1728" i="33"/>
  <c r="K1288" i="33"/>
  <c r="M1288" i="33" s="1"/>
  <c r="M1287" i="33"/>
  <c r="M1330" i="33"/>
  <c r="L1331" i="33"/>
  <c r="K1180" i="33"/>
  <c r="M1179" i="33"/>
  <c r="K156" i="33"/>
  <c r="M156" i="33" s="1"/>
  <c r="M155" i="33"/>
  <c r="L618" i="33"/>
  <c r="M607" i="33"/>
  <c r="K411" i="33"/>
  <c r="M410" i="33"/>
  <c r="K2185" i="33"/>
  <c r="M2184" i="33"/>
  <c r="L614" i="33"/>
  <c r="M603" i="33"/>
  <c r="K610" i="33"/>
  <c r="K620" i="33"/>
  <c r="K631" i="33" s="1"/>
  <c r="K642" i="33" s="1"/>
  <c r="K653" i="33" s="1"/>
  <c r="K1827" i="33"/>
  <c r="M1826" i="33"/>
  <c r="L627" i="33"/>
  <c r="M616" i="33"/>
  <c r="K730" i="33"/>
  <c r="K741" i="33" s="1"/>
  <c r="K752" i="33" s="1"/>
  <c r="K763" i="33" s="1"/>
  <c r="K720" i="33"/>
  <c r="M1485" i="33"/>
  <c r="L1486" i="33"/>
  <c r="L25" i="33"/>
  <c r="K442" i="33"/>
  <c r="M442" i="33" s="1"/>
  <c r="M441" i="33"/>
  <c r="K937" i="33"/>
  <c r="K947" i="33"/>
  <c r="K958" i="33" s="1"/>
  <c r="K969" i="33" s="1"/>
  <c r="K980" i="33" s="1"/>
  <c r="L2021" i="33"/>
  <c r="K532" i="33"/>
  <c r="M521" i="33"/>
  <c r="K2306" i="33"/>
  <c r="M2305" i="33"/>
  <c r="P1826" i="33" a="1"/>
  <c r="P244" i="33" a="1"/>
  <c r="P163" i="33" a="1"/>
  <c r="P595" i="33" a="1"/>
  <c r="P202" i="33" a="1"/>
  <c r="P1311" i="33" a="1"/>
  <c r="P476" i="33" a="1"/>
  <c r="P379" i="33" a="1"/>
  <c r="P336" i="33" a="1"/>
  <c r="P344" i="33" a="1"/>
  <c r="P1807" i="33" a="1"/>
  <c r="P371" i="33" a="1"/>
  <c r="P156" i="33" a="1"/>
  <c r="P1162" i="33" a="1"/>
  <c r="P585" i="33" a="1"/>
  <c r="P1867" i="33" a="1"/>
  <c r="P1198" i="33" a="1"/>
  <c r="P1188" i="33" a="1"/>
  <c r="P1565" i="33" a="1"/>
  <c r="P1319" i="33" a="1"/>
  <c r="P1503" i="33" a="1"/>
  <c r="P2203" i="33" a="1"/>
  <c r="P1312" i="33" a="1"/>
  <c r="P442" i="33" a="1"/>
  <c r="P155" i="33" a="1"/>
  <c r="P1320" i="33" a="1"/>
  <c r="P1161" i="33" a="1"/>
  <c r="P596" i="33" a="1"/>
  <c r="P449" i="33" a="1"/>
  <c r="P87" i="33" a="1"/>
  <c r="P76" i="33" a="1"/>
  <c r="P609" i="33" a="1"/>
  <c r="P240" i="33" a="1"/>
  <c r="P237" i="33" a="1"/>
  <c r="P1808" i="33" a="1"/>
  <c r="P2286" i="33" a="1"/>
  <c r="P477" i="33" a="1"/>
  <c r="P79" i="33" a="1"/>
  <c r="P531" i="33" a="1"/>
  <c r="P277" i="33" a="1"/>
  <c r="P1179" i="33" a="1"/>
  <c r="P372" i="33" a="1"/>
  <c r="P1330" i="33" a="1"/>
  <c r="P1616" i="33" a="1"/>
  <c r="P280" i="33" a="1"/>
  <c r="P542" i="33" a="1"/>
  <c r="P2184" i="33" a="1"/>
  <c r="P375" i="33" a="1"/>
  <c r="P75" i="33" a="1"/>
  <c r="P521" i="33" a="1"/>
  <c r="P198" i="33" a="1"/>
  <c r="P2305" i="33" a="1"/>
  <c r="P301" i="33" a="1"/>
  <c r="P236" i="33" a="1"/>
  <c r="P313" i="33" a="1"/>
  <c r="P124" i="33" a="1"/>
  <c r="P565" i="33" a="1"/>
  <c r="P128" i="33" a="1"/>
  <c r="P555" i="33" a="1"/>
  <c r="P407" i="33" a="1"/>
  <c r="P123" i="33" a="1"/>
  <c r="P1353" i="33" a="1"/>
  <c r="P305" i="33" a="1"/>
  <c r="P348" i="33" a="1"/>
  <c r="P480" i="33" a="1"/>
  <c r="P2267" i="33" a="1"/>
  <c r="P276" i="33" a="1"/>
  <c r="P121" i="33" a="1"/>
  <c r="P484" i="33" a="1"/>
  <c r="P1707" i="33" a="1"/>
  <c r="P445" i="33" a="1"/>
  <c r="P603" i="33" a="1"/>
  <c r="P167" i="33" a="1"/>
  <c r="P1208" i="33" a="1"/>
  <c r="P1275" i="33" a="1"/>
  <c r="P1642" i="33" a="1"/>
  <c r="P118" i="33" a="1"/>
  <c r="P1401" i="33" a="1"/>
  <c r="P2329" i="33" a="1"/>
  <c r="P302" i="33" a="1"/>
  <c r="P1594" i="33" a="1"/>
  <c r="P418" i="33" a="1"/>
  <c r="P1666" i="33" a="1"/>
  <c r="P1687" i="33" a="1"/>
  <c r="P593" i="33" a="1"/>
  <c r="P337" i="33" a="1"/>
  <c r="P1728" i="33" a="1"/>
  <c r="P120" i="33" a="1"/>
  <c r="P2241" i="33" a="1"/>
  <c r="P1749" i="33" a="1"/>
  <c r="P159" i="33" a="1"/>
  <c r="P2146" i="33" a="1"/>
  <c r="P119" i="33" a="1"/>
  <c r="P414" i="33" a="1"/>
  <c r="P190" i="33" a="1"/>
  <c r="P406" i="33" a="1"/>
  <c r="P1581" i="33" a="1"/>
  <c r="P194" i="33" a="1"/>
  <c r="P191" i="33" a="1"/>
  <c r="P383" i="33" a="1"/>
  <c r="P2128" i="33" a="1"/>
  <c r="P511" i="33" a="1"/>
  <c r="P453" i="33" a="1"/>
  <c r="P488" i="33" a="1"/>
  <c r="P83" i="33" a="1"/>
  <c r="P616" i="33" a="1"/>
  <c r="P501" i="33" a="1"/>
  <c r="P2222" i="33" a="1"/>
  <c r="P2165" i="33" a="1"/>
  <c r="P309" i="33" a="1"/>
  <c r="P1288" i="33" a="1"/>
  <c r="P410" i="33" a="1"/>
  <c r="P1287" i="33" a="1"/>
  <c r="P575" i="33" a="1"/>
  <c r="P21" i="33" a="1"/>
  <c r="P340" i="33" a="1"/>
  <c r="P1367" i="33" a="1"/>
  <c r="P441" i="33" a="1"/>
  <c r="P607" i="33" a="1"/>
  <c r="P1566" i="33" a="1"/>
  <c r="K2356" i="33" l="1"/>
  <c r="P1867" i="33"/>
  <c r="K1869" i="33"/>
  <c r="M1868" i="33"/>
  <c r="P1707" i="33"/>
  <c r="L1711" i="33"/>
  <c r="K1709" i="33"/>
  <c r="M1708" i="33"/>
  <c r="P1687" i="33"/>
  <c r="K1689" i="33"/>
  <c r="M1688" i="33"/>
  <c r="P1581" i="33"/>
  <c r="M1582" i="33"/>
  <c r="L1583" i="33"/>
  <c r="P1566" i="33"/>
  <c r="L1568" i="33"/>
  <c r="M1567" i="33"/>
  <c r="P1503" i="33"/>
  <c r="K1505" i="33"/>
  <c r="M1504" i="33"/>
  <c r="L1507" i="33"/>
  <c r="P1208" i="33"/>
  <c r="K1210" i="33"/>
  <c r="M1209" i="33"/>
  <c r="P1198" i="33"/>
  <c r="K1200" i="33"/>
  <c r="M1199" i="33"/>
  <c r="K1101" i="33"/>
  <c r="K1111" i="33"/>
  <c r="K1122" i="33" s="1"/>
  <c r="K1133" i="33" s="1"/>
  <c r="K1144" i="33" s="1"/>
  <c r="K1047" i="33"/>
  <c r="K1057" i="33"/>
  <c r="K1068" i="33" s="1"/>
  <c r="K1079" i="33" s="1"/>
  <c r="K1090" i="33" s="1"/>
  <c r="K129" i="33"/>
  <c r="M129" i="33" s="1"/>
  <c r="P123" i="33"/>
  <c r="P119" i="33"/>
  <c r="P118" i="33"/>
  <c r="K2521" i="33"/>
  <c r="K2522" i="33" s="1"/>
  <c r="K2523" i="33" s="1"/>
  <c r="K2524" i="33" s="1"/>
  <c r="K2525" i="33" s="1"/>
  <c r="K2526" i="33" s="1"/>
  <c r="K2527" i="33" s="1"/>
  <c r="K2528" i="33" s="1"/>
  <c r="K2529" i="33" s="1"/>
  <c r="K2530" i="33" s="1"/>
  <c r="K2531" i="33" s="1"/>
  <c r="K2532" i="33" s="1"/>
  <c r="K2533" i="33" s="1"/>
  <c r="K2534" i="33" s="1"/>
  <c r="K2535" i="33" s="1"/>
  <c r="K2536" i="33" s="1"/>
  <c r="K2537" i="33" s="1"/>
  <c r="K2538" i="33" s="1"/>
  <c r="K2539" i="33" s="1"/>
  <c r="K2540" i="33" s="1"/>
  <c r="K2541" i="33" s="1"/>
  <c r="K2542" i="33" s="1"/>
  <c r="K2543" i="33" s="1"/>
  <c r="L2098" i="33"/>
  <c r="L2061" i="33"/>
  <c r="P585" i="33"/>
  <c r="P596" i="33"/>
  <c r="P565" i="33"/>
  <c r="P575" i="33"/>
  <c r="P1401" i="33"/>
  <c r="P555" i="33"/>
  <c r="M576" i="33"/>
  <c r="K587" i="33"/>
  <c r="K597" i="33"/>
  <c r="M597" i="33" s="1"/>
  <c r="M586" i="33"/>
  <c r="K1403" i="33"/>
  <c r="M1402" i="33"/>
  <c r="K577" i="33"/>
  <c r="M566" i="33"/>
  <c r="M556" i="33"/>
  <c r="K567" i="33"/>
  <c r="K557" i="33"/>
  <c r="P1179" i="33"/>
  <c r="P2165" i="33"/>
  <c r="P1565" i="33"/>
  <c r="P120" i="33"/>
  <c r="P371" i="33"/>
  <c r="P1162" i="33"/>
  <c r="P1749" i="33"/>
  <c r="P407" i="33"/>
  <c r="P1826" i="33"/>
  <c r="P1728" i="33"/>
  <c r="P302" i="33"/>
  <c r="P2286" i="33"/>
  <c r="P75" i="33"/>
  <c r="P2241" i="33"/>
  <c r="P511" i="33"/>
  <c r="P1666" i="33"/>
  <c r="P348" i="33"/>
  <c r="P121" i="33"/>
  <c r="P418" i="33"/>
  <c r="P1367" i="33"/>
  <c r="P372" i="33"/>
  <c r="P1161" i="33"/>
  <c r="P2146" i="33"/>
  <c r="P595" i="33"/>
  <c r="P21" i="33"/>
  <c r="P2184" i="33"/>
  <c r="P488" i="33"/>
  <c r="P484" i="33"/>
  <c r="P2305" i="33"/>
  <c r="P410" i="33"/>
  <c r="P280" i="33"/>
  <c r="P1319" i="33"/>
  <c r="P501" i="33"/>
  <c r="P76" i="33"/>
  <c r="P313" i="33"/>
  <c r="P1642" i="33"/>
  <c r="P336" i="33"/>
  <c r="P276" i="33"/>
  <c r="P167" i="33"/>
  <c r="P445" i="33"/>
  <c r="P476" i="33"/>
  <c r="P83" i="33"/>
  <c r="P244" i="33"/>
  <c r="P340" i="33"/>
  <c r="P337" i="33"/>
  <c r="P1594" i="33"/>
  <c r="P124" i="33"/>
  <c r="P531" i="33"/>
  <c r="P609" i="33"/>
  <c r="P1320" i="33"/>
  <c r="P441" i="33"/>
  <c r="P607" i="33"/>
  <c r="P194" i="33"/>
  <c r="P1616" i="33"/>
  <c r="P1353" i="33"/>
  <c r="P383" i="33"/>
  <c r="P1188" i="33"/>
  <c r="P305" i="33"/>
  <c r="P542" i="33"/>
  <c r="P593" i="33"/>
  <c r="P521" i="33"/>
  <c r="P442" i="33"/>
  <c r="P1275" i="33"/>
  <c r="P159" i="33"/>
  <c r="P2267" i="33"/>
  <c r="P79" i="33"/>
  <c r="P202" i="33"/>
  <c r="P309" i="33"/>
  <c r="P1330" i="33"/>
  <c r="P277" i="33"/>
  <c r="P616" i="33"/>
  <c r="P603" i="33"/>
  <c r="P155" i="33"/>
  <c r="P1287" i="33"/>
  <c r="P1311" i="33"/>
  <c r="P2203" i="33"/>
  <c r="P163" i="33"/>
  <c r="P344" i="33"/>
  <c r="P87" i="33"/>
  <c r="P2128" i="33"/>
  <c r="P236" i="33"/>
  <c r="P190" i="33"/>
  <c r="P1807" i="33"/>
  <c r="P198" i="33"/>
  <c r="P2222" i="33"/>
  <c r="P240" i="33"/>
  <c r="P414" i="33"/>
  <c r="P375" i="33"/>
  <c r="P480" i="33"/>
  <c r="P477" i="33"/>
  <c r="P128" i="33"/>
  <c r="P156" i="33"/>
  <c r="P1288" i="33"/>
  <c r="P453" i="33"/>
  <c r="P1312" i="33"/>
  <c r="P2329" i="33"/>
  <c r="P449" i="33"/>
  <c r="P301" i="33"/>
  <c r="P237" i="33"/>
  <c r="P191" i="33"/>
  <c r="P1808" i="33"/>
  <c r="P379" i="33"/>
  <c r="P406" i="33"/>
  <c r="L623" i="33"/>
  <c r="K350" i="33"/>
  <c r="M349" i="33"/>
  <c r="M419" i="33"/>
  <c r="K420" i="33"/>
  <c r="L2290" i="33"/>
  <c r="K1003" i="33"/>
  <c r="K1014" i="33" s="1"/>
  <c r="K1025" i="33" s="1"/>
  <c r="K1036" i="33" s="1"/>
  <c r="K993" i="33"/>
  <c r="M1462" i="33"/>
  <c r="L1463" i="33"/>
  <c r="M1368" i="33"/>
  <c r="L1369" i="33"/>
  <c r="K938" i="33"/>
  <c r="K948" i="33"/>
  <c r="K959" i="33" s="1"/>
  <c r="K970" i="33" s="1"/>
  <c r="K981" i="33" s="1"/>
  <c r="L26" i="33"/>
  <c r="K1828" i="33"/>
  <c r="M1827" i="33"/>
  <c r="K2186" i="33"/>
  <c r="M2185" i="33"/>
  <c r="K1181" i="33"/>
  <c r="M1180" i="33"/>
  <c r="M1729" i="33"/>
  <c r="K1730" i="33"/>
  <c r="K490" i="33"/>
  <c r="M489" i="33"/>
  <c r="M2166" i="33"/>
  <c r="K2167" i="33"/>
  <c r="K486" i="33"/>
  <c r="M485" i="33"/>
  <c r="M502" i="33"/>
  <c r="K503" i="33"/>
  <c r="K513" i="33"/>
  <c r="K315" i="33"/>
  <c r="M314" i="33"/>
  <c r="K2288" i="33"/>
  <c r="M2287" i="33"/>
  <c r="M1526" i="33"/>
  <c r="L1527" i="33"/>
  <c r="K523" i="33"/>
  <c r="M512" i="33"/>
  <c r="L1668" i="33"/>
  <c r="M1667" i="33"/>
  <c r="M1545" i="33"/>
  <c r="L1546" i="33"/>
  <c r="M1486" i="33"/>
  <c r="L1487" i="33"/>
  <c r="L1332" i="33"/>
  <c r="M1331" i="33"/>
  <c r="L1952" i="33"/>
  <c r="K894" i="33"/>
  <c r="K905" i="33" s="1"/>
  <c r="K916" i="33" s="1"/>
  <c r="K927" i="33" s="1"/>
  <c r="K884" i="33"/>
  <c r="L646" i="33"/>
  <c r="K2243" i="33"/>
  <c r="M2242" i="33"/>
  <c r="K533" i="33"/>
  <c r="M522" i="33"/>
  <c r="L1621" i="33"/>
  <c r="L615" i="33"/>
  <c r="M604" i="33"/>
  <c r="M1595" i="33"/>
  <c r="L1596" i="33"/>
  <c r="K2148" i="33"/>
  <c r="M2147" i="33"/>
  <c r="M606" i="33"/>
  <c r="L617" i="33"/>
  <c r="K23" i="33"/>
  <c r="M22" i="33"/>
  <c r="K2307" i="33"/>
  <c r="M2306" i="33"/>
  <c r="K282" i="33"/>
  <c r="M282" i="33" s="1"/>
  <c r="M281" i="33"/>
  <c r="M207" i="33"/>
  <c r="K208" i="33"/>
  <c r="K1644" i="33"/>
  <c r="M1643" i="33"/>
  <c r="K169" i="33"/>
  <c r="M168" i="33"/>
  <c r="K447" i="33"/>
  <c r="M447" i="33" s="1"/>
  <c r="M446" i="33"/>
  <c r="K85" i="33"/>
  <c r="M84" i="33"/>
  <c r="K246" i="33"/>
  <c r="M245" i="33"/>
  <c r="L1987" i="33"/>
  <c r="L2192" i="33"/>
  <c r="M1354" i="33"/>
  <c r="L1355" i="33"/>
  <c r="K731" i="33"/>
  <c r="K742" i="33" s="1"/>
  <c r="K753" i="33" s="1"/>
  <c r="K764" i="33" s="1"/>
  <c r="K721" i="33"/>
  <c r="L1883" i="33"/>
  <c r="M1276" i="33"/>
  <c r="L1277" i="33"/>
  <c r="K342" i="33"/>
  <c r="M342" i="33" s="1"/>
  <c r="M341" i="33"/>
  <c r="K482" i="33"/>
  <c r="M482" i="33" s="1"/>
  <c r="M481" i="33"/>
  <c r="K204" i="33"/>
  <c r="M203" i="33"/>
  <c r="K311" i="33"/>
  <c r="M310" i="33"/>
  <c r="L1442" i="33"/>
  <c r="L1646" i="33"/>
  <c r="K786" i="33"/>
  <c r="K797" i="33" s="1"/>
  <c r="K808" i="33" s="1"/>
  <c r="K819" i="33" s="1"/>
  <c r="K776" i="33"/>
  <c r="K126" i="33"/>
  <c r="M126" i="33" s="1"/>
  <c r="M125" i="33"/>
  <c r="L631" i="33"/>
  <c r="M620" i="33"/>
  <c r="K385" i="33"/>
  <c r="M384" i="33"/>
  <c r="K543" i="33"/>
  <c r="M543" i="33" s="1"/>
  <c r="M532" i="33"/>
  <c r="L629" i="33"/>
  <c r="M618" i="33"/>
  <c r="K196" i="33"/>
  <c r="M196" i="33" s="1"/>
  <c r="M195" i="33"/>
  <c r="K1440" i="33"/>
  <c r="M1439" i="33"/>
  <c r="K1618" i="33"/>
  <c r="M1617" i="33"/>
  <c r="K346" i="33"/>
  <c r="M345" i="33"/>
  <c r="K89" i="33"/>
  <c r="M88" i="33"/>
  <c r="M2129" i="33"/>
  <c r="L2130" i="33"/>
  <c r="L2211" i="33"/>
  <c r="L2154" i="33"/>
  <c r="M610" i="33"/>
  <c r="L621" i="33"/>
  <c r="K1190" i="33"/>
  <c r="M1189" i="33"/>
  <c r="L2271" i="33"/>
  <c r="K307" i="33"/>
  <c r="M307" i="33" s="1"/>
  <c r="M306" i="33"/>
  <c r="L1830" i="33"/>
  <c r="L633" i="33"/>
  <c r="L2022" i="33"/>
  <c r="K455" i="33"/>
  <c r="M454" i="33"/>
  <c r="M2330" i="33"/>
  <c r="L2331" i="33"/>
  <c r="K451" i="33"/>
  <c r="M450" i="33"/>
  <c r="K161" i="33"/>
  <c r="M161" i="33" s="1"/>
  <c r="M160" i="33"/>
  <c r="K2269" i="33"/>
  <c r="M2268" i="33"/>
  <c r="K81" i="33"/>
  <c r="M81" i="33" s="1"/>
  <c r="M80" i="33"/>
  <c r="L619" i="33"/>
  <c r="M608" i="33"/>
  <c r="K381" i="33"/>
  <c r="M380" i="33"/>
  <c r="K667" i="33"/>
  <c r="K677" i="33"/>
  <c r="K688" i="33" s="1"/>
  <c r="K699" i="33" s="1"/>
  <c r="K710" i="33" s="1"/>
  <c r="K830" i="33"/>
  <c r="K840" i="33"/>
  <c r="K851" i="33" s="1"/>
  <c r="K862" i="33" s="1"/>
  <c r="K873" i="33" s="1"/>
  <c r="K621" i="33"/>
  <c r="K632" i="33" s="1"/>
  <c r="K643" i="33" s="1"/>
  <c r="K654" i="33" s="1"/>
  <c r="K611" i="33"/>
  <c r="K412" i="33"/>
  <c r="M412" i="33" s="1"/>
  <c r="M411" i="33"/>
  <c r="L638" i="33"/>
  <c r="M627" i="33"/>
  <c r="M614" i="33"/>
  <c r="L625" i="33"/>
  <c r="K2205" i="33"/>
  <c r="M2204" i="33"/>
  <c r="K165" i="33"/>
  <c r="M164" i="33"/>
  <c r="L2250" i="33"/>
  <c r="L1405" i="33"/>
  <c r="K200" i="33"/>
  <c r="M199" i="33"/>
  <c r="K2224" i="33"/>
  <c r="M2223" i="33"/>
  <c r="K242" i="33"/>
  <c r="M242" i="33" s="1"/>
  <c r="M241" i="33"/>
  <c r="K416" i="33"/>
  <c r="M415" i="33"/>
  <c r="K377" i="33"/>
  <c r="M377" i="33" s="1"/>
  <c r="M376" i="33"/>
  <c r="M1750" i="33"/>
  <c r="L1751" i="33"/>
  <c r="L2312" i="33"/>
  <c r="P1595" i="33" a="1"/>
  <c r="P556" i="33" a="1"/>
  <c r="P282" i="33" a="1"/>
  <c r="P242" i="33" a="1"/>
  <c r="P380" i="33" a="1"/>
  <c r="P168" i="33" a="1"/>
  <c r="P450" i="33" a="1"/>
  <c r="P604" i="33" a="1"/>
  <c r="P1827" i="33" a="1"/>
  <c r="P412" i="33" a="1"/>
  <c r="P2287" i="33" a="1"/>
  <c r="P485" i="33" a="1"/>
  <c r="P2330" i="33" a="1"/>
  <c r="P164" i="33" a="1"/>
  <c r="P597" i="33" a="1"/>
  <c r="P281" i="33" a="1"/>
  <c r="P126" i="33" a="1"/>
  <c r="P1667" i="33" a="1"/>
  <c r="P620" i="33" a="1"/>
  <c r="P2204" i="33" a="1"/>
  <c r="P2185" i="33" a="1"/>
  <c r="P1567" i="33" a="1"/>
  <c r="P512" i="33" a="1"/>
  <c r="P618" i="33" a="1"/>
  <c r="P307" i="33" a="1"/>
  <c r="P1368" i="33" a="1"/>
  <c r="P306" i="33" a="1"/>
  <c r="P454" i="33" a="1"/>
  <c r="P2268" i="33" a="1"/>
  <c r="P627" i="33" a="1"/>
  <c r="P1180" i="33" a="1"/>
  <c r="P376" i="33" a="1"/>
  <c r="P341" i="33" a="1"/>
  <c r="P314" i="33" a="1"/>
  <c r="P80" i="33" a="1"/>
  <c r="P614" i="33" a="1"/>
  <c r="P543" i="33" a="1"/>
  <c r="P447" i="33" a="1"/>
  <c r="P342" i="33" a="1"/>
  <c r="P377" i="33" a="1"/>
  <c r="P245" i="33" a="1"/>
  <c r="P1708" i="33" a="1"/>
  <c r="P160" i="33" a="1"/>
  <c r="P2129" i="33" a="1"/>
  <c r="P384" i="33" a="1"/>
  <c r="P1199" i="33" a="1"/>
  <c r="P161" i="33" a="1"/>
  <c r="P522" i="33" a="1"/>
  <c r="P586" i="33" a="1"/>
  <c r="P2242" i="33" a="1"/>
  <c r="P419" i="33" a="1"/>
  <c r="P1354" i="33" a="1"/>
  <c r="P502" i="33" a="1"/>
  <c r="P566" i="33" a="1"/>
  <c r="P481" i="33" a="1"/>
  <c r="P129" i="33" a="1"/>
  <c r="P2223" i="33" a="1"/>
  <c r="P489" i="33" a="1"/>
  <c r="P195" i="33" a="1"/>
  <c r="P125" i="33" a="1"/>
  <c r="P446" i="33" a="1"/>
  <c r="P608" i="33" a="1"/>
  <c r="P349" i="33" a="1"/>
  <c r="P22" i="33" a="1"/>
  <c r="P241" i="33" a="1"/>
  <c r="P345" i="33" a="1"/>
  <c r="P1504" i="33" a="1"/>
  <c r="P610" i="33" a="1"/>
  <c r="P2166" i="33" a="1"/>
  <c r="P196" i="33" a="1"/>
  <c r="P1688" i="33" a="1"/>
  <c r="P207" i="33" a="1"/>
  <c r="P532" i="33" a="1"/>
  <c r="P81" i="33" a="1"/>
  <c r="P415" i="33" a="1"/>
  <c r="P411" i="33" a="1"/>
  <c r="P84" i="33" a="1"/>
  <c r="P199" i="33" a="1"/>
  <c r="P310" i="33" a="1"/>
  <c r="P606" i="33" a="1"/>
  <c r="P1582" i="33" a="1"/>
  <c r="P576" i="33" a="1"/>
  <c r="P203" i="33" a="1"/>
  <c r="P482" i="33" a="1"/>
  <c r="P1617" i="33" a="1"/>
  <c r="P1643" i="33" a="1"/>
  <c r="P1276" i="33" a="1"/>
  <c r="P1209" i="33" a="1"/>
  <c r="P2306" i="33" a="1"/>
  <c r="P2147" i="33" a="1"/>
  <c r="P88" i="33" a="1"/>
  <c r="P1750" i="33" a="1"/>
  <c r="P1402" i="33" a="1"/>
  <c r="P1331" i="33" a="1"/>
  <c r="P1729" i="33" a="1"/>
  <c r="P1189" i="33" a="1"/>
  <c r="K2357" i="33" l="1"/>
  <c r="K2358" i="33" s="1"/>
  <c r="K2359" i="33" s="1"/>
  <c r="K2360" i="33" s="1"/>
  <c r="K2361" i="33" s="1"/>
  <c r="K2362" i="33" s="1"/>
  <c r="K1870" i="33"/>
  <c r="M1869" i="33"/>
  <c r="P1708" i="33"/>
  <c r="K1710" i="33"/>
  <c r="M1709" i="33"/>
  <c r="L1712" i="33"/>
  <c r="P1688" i="33"/>
  <c r="K1690" i="33"/>
  <c r="M1689" i="33"/>
  <c r="P1582" i="33"/>
  <c r="M1583" i="33"/>
  <c r="L1584" i="33"/>
  <c r="M1584" i="33" s="1"/>
  <c r="P1567" i="33"/>
  <c r="M1568" i="33"/>
  <c r="L1569" i="33"/>
  <c r="P1504" i="33"/>
  <c r="L1508" i="33"/>
  <c r="K1506" i="33"/>
  <c r="M1505" i="33"/>
  <c r="P1209" i="33"/>
  <c r="K1211" i="33"/>
  <c r="M1210" i="33"/>
  <c r="P1199" i="33"/>
  <c r="K1201" i="33"/>
  <c r="M1200" i="33"/>
  <c r="K1102" i="33"/>
  <c r="K1112" i="33"/>
  <c r="K1123" i="33" s="1"/>
  <c r="K1134" i="33" s="1"/>
  <c r="K1145" i="33" s="1"/>
  <c r="K1058" i="33"/>
  <c r="K1069" i="33" s="1"/>
  <c r="K1080" i="33" s="1"/>
  <c r="K1091" i="33" s="1"/>
  <c r="K1048" i="33"/>
  <c r="K130" i="33"/>
  <c r="K131" i="33" s="1"/>
  <c r="M131" i="33" s="1"/>
  <c r="L2099" i="33"/>
  <c r="L2062" i="33"/>
  <c r="P556" i="33"/>
  <c r="P576" i="33"/>
  <c r="P566" i="33"/>
  <c r="P1402" i="33"/>
  <c r="P586" i="33"/>
  <c r="P597" i="33"/>
  <c r="K598" i="33"/>
  <c r="M598" i="33" s="1"/>
  <c r="M587" i="33"/>
  <c r="M577" i="33"/>
  <c r="K588" i="33"/>
  <c r="K578" i="33"/>
  <c r="M567" i="33"/>
  <c r="K1404" i="33"/>
  <c r="M1403" i="33"/>
  <c r="K568" i="33"/>
  <c r="K558" i="33"/>
  <c r="M557" i="33"/>
  <c r="P126" i="33"/>
  <c r="P2223" i="33"/>
  <c r="P2204" i="33"/>
  <c r="P411" i="33"/>
  <c r="P80" i="33"/>
  <c r="P1617" i="33"/>
  <c r="P384" i="33"/>
  <c r="P203" i="33"/>
  <c r="P1276" i="33"/>
  <c r="P207" i="33"/>
  <c r="P606" i="33"/>
  <c r="P485" i="33"/>
  <c r="P1180" i="33"/>
  <c r="P349" i="33"/>
  <c r="P1750" i="33"/>
  <c r="P543" i="33"/>
  <c r="P412" i="33"/>
  <c r="P81" i="33"/>
  <c r="P2330" i="33"/>
  <c r="P446" i="33"/>
  <c r="P281" i="33"/>
  <c r="P2147" i="33"/>
  <c r="P522" i="33"/>
  <c r="P2287" i="33"/>
  <c r="P242" i="33"/>
  <c r="P376" i="33"/>
  <c r="P199" i="33"/>
  <c r="P2268" i="33"/>
  <c r="P454" i="33"/>
  <c r="P1189" i="33"/>
  <c r="P618" i="33"/>
  <c r="P481" i="33"/>
  <c r="P447" i="33"/>
  <c r="P282" i="33"/>
  <c r="P2185" i="33"/>
  <c r="P377" i="33"/>
  <c r="P2129" i="33"/>
  <c r="P168" i="33"/>
  <c r="P2306" i="33"/>
  <c r="P1667" i="33"/>
  <c r="P314" i="33"/>
  <c r="P2166" i="33"/>
  <c r="P1368" i="33"/>
  <c r="P415" i="33"/>
  <c r="P627" i="33"/>
  <c r="P380" i="33"/>
  <c r="P160" i="33"/>
  <c r="P306" i="33"/>
  <c r="P88" i="33"/>
  <c r="P195" i="33"/>
  <c r="P620" i="33"/>
  <c r="P341" i="33"/>
  <c r="P1595" i="33"/>
  <c r="P489" i="33"/>
  <c r="P1827" i="33"/>
  <c r="P482" i="33"/>
  <c r="P161" i="33"/>
  <c r="P307" i="33"/>
  <c r="P610" i="33"/>
  <c r="P196" i="33"/>
  <c r="P342" i="33"/>
  <c r="P84" i="33"/>
  <c r="P1643" i="33"/>
  <c r="P22" i="33"/>
  <c r="P604" i="33"/>
  <c r="P2242" i="33"/>
  <c r="P1331" i="33"/>
  <c r="P512" i="33"/>
  <c r="P614" i="33"/>
  <c r="P245" i="33"/>
  <c r="P241" i="33"/>
  <c r="P164" i="33"/>
  <c r="P129" i="33"/>
  <c r="P608" i="33"/>
  <c r="P450" i="33"/>
  <c r="P345" i="33"/>
  <c r="P532" i="33"/>
  <c r="P125" i="33"/>
  <c r="P310" i="33"/>
  <c r="P1354" i="33"/>
  <c r="P502" i="33"/>
  <c r="P1729" i="33"/>
  <c r="P419" i="33"/>
  <c r="M1487" i="33"/>
  <c r="L1488" i="33"/>
  <c r="L1406" i="33"/>
  <c r="M2331" i="33"/>
  <c r="L2332" i="33"/>
  <c r="L1831" i="33"/>
  <c r="L2272" i="33"/>
  <c r="L2212" i="33"/>
  <c r="K787" i="33"/>
  <c r="K798" i="33" s="1"/>
  <c r="K809" i="33" s="1"/>
  <c r="K820" i="33" s="1"/>
  <c r="K777" i="33"/>
  <c r="L657" i="33"/>
  <c r="L630" i="33"/>
  <c r="M619" i="33"/>
  <c r="M311" i="33"/>
  <c r="K312" i="33"/>
  <c r="M312" i="33" s="1"/>
  <c r="K2225" i="33"/>
  <c r="M2224" i="33"/>
  <c r="K2206" i="33"/>
  <c r="M2205" i="33"/>
  <c r="K831" i="33"/>
  <c r="K841" i="33"/>
  <c r="K852" i="33" s="1"/>
  <c r="K863" i="33" s="1"/>
  <c r="K874" i="33" s="1"/>
  <c r="K1619" i="33"/>
  <c r="M1618" i="33"/>
  <c r="K386" i="33"/>
  <c r="M385" i="33"/>
  <c r="K205" i="33"/>
  <c r="M204" i="33"/>
  <c r="L1884" i="33"/>
  <c r="L1988" i="33"/>
  <c r="K895" i="33"/>
  <c r="K906" i="33" s="1"/>
  <c r="K917" i="33" s="1"/>
  <c r="K928" i="33" s="1"/>
  <c r="K885" i="33"/>
  <c r="M1546" i="33"/>
  <c r="L1547" i="33"/>
  <c r="K487" i="33"/>
  <c r="M487" i="33" s="1"/>
  <c r="M486" i="33"/>
  <c r="K1182" i="33"/>
  <c r="M1182" i="33" s="1"/>
  <c r="M1181" i="33"/>
  <c r="K949" i="33"/>
  <c r="K960" i="33" s="1"/>
  <c r="K971" i="33" s="1"/>
  <c r="K982" i="33" s="1"/>
  <c r="K939" i="33"/>
  <c r="K351" i="33"/>
  <c r="M350" i="33"/>
  <c r="K166" i="33"/>
  <c r="M166" i="33" s="1"/>
  <c r="M165" i="33"/>
  <c r="L644" i="33"/>
  <c r="L2193" i="33"/>
  <c r="L2251" i="33"/>
  <c r="L636" i="33"/>
  <c r="M625" i="33"/>
  <c r="K622" i="33"/>
  <c r="K612" i="33"/>
  <c r="M611" i="33"/>
  <c r="M2130" i="33"/>
  <c r="L2131" i="33"/>
  <c r="L1647" i="33"/>
  <c r="L1648" i="33" s="1"/>
  <c r="K2149" i="33"/>
  <c r="M2148" i="33"/>
  <c r="K544" i="33"/>
  <c r="M544" i="33" s="1"/>
  <c r="M533" i="33"/>
  <c r="K2289" i="33"/>
  <c r="M2288" i="33"/>
  <c r="K2168" i="33"/>
  <c r="M2167" i="33"/>
  <c r="M1369" i="33"/>
  <c r="L1370" i="33"/>
  <c r="K2187" i="33"/>
  <c r="M2186" i="33"/>
  <c r="L634" i="33"/>
  <c r="K456" i="33"/>
  <c r="M455" i="33"/>
  <c r="K1441" i="33"/>
  <c r="M1440" i="33"/>
  <c r="L640" i="33"/>
  <c r="M629" i="33"/>
  <c r="K732" i="33"/>
  <c r="K743" i="33" s="1"/>
  <c r="K754" i="33" s="1"/>
  <c r="K765" i="33" s="1"/>
  <c r="K722" i="33"/>
  <c r="M1596" i="33"/>
  <c r="L1597" i="33"/>
  <c r="L2313" i="33"/>
  <c r="L2023" i="33"/>
  <c r="L632" i="33"/>
  <c r="M621" i="33"/>
  <c r="L1443" i="33"/>
  <c r="K247" i="33"/>
  <c r="M247" i="33" s="1"/>
  <c r="M246" i="33"/>
  <c r="K170" i="33"/>
  <c r="M169" i="33"/>
  <c r="K2308" i="33"/>
  <c r="M2307" i="33"/>
  <c r="L1669" i="33"/>
  <c r="L1670" i="33" s="1"/>
  <c r="M1668" i="33"/>
  <c r="K316" i="33"/>
  <c r="M315" i="33"/>
  <c r="M1463" i="33"/>
  <c r="L1464" i="33"/>
  <c r="L2291" i="33"/>
  <c r="K201" i="33"/>
  <c r="M201" i="33" s="1"/>
  <c r="M200" i="33"/>
  <c r="K668" i="33"/>
  <c r="K679" i="33" s="1"/>
  <c r="K690" i="33" s="1"/>
  <c r="K701" i="33" s="1"/>
  <c r="K712" i="33" s="1"/>
  <c r="K678" i="33"/>
  <c r="K689" i="33" s="1"/>
  <c r="K700" i="33" s="1"/>
  <c r="K711" i="33" s="1"/>
  <c r="L1953" i="33"/>
  <c r="K417" i="33"/>
  <c r="M417" i="33" s="1"/>
  <c r="M416" i="33"/>
  <c r="L649" i="33"/>
  <c r="M638" i="33"/>
  <c r="M381" i="33"/>
  <c r="K382" i="33"/>
  <c r="M382" i="33" s="1"/>
  <c r="K90" i="33"/>
  <c r="M89" i="33"/>
  <c r="L642" i="33"/>
  <c r="M631" i="33"/>
  <c r="M1355" i="33"/>
  <c r="L1356" i="33"/>
  <c r="M1356" i="33" s="1"/>
  <c r="K524" i="33"/>
  <c r="M513" i="33"/>
  <c r="K491" i="33"/>
  <c r="M490" i="33"/>
  <c r="K1829" i="33"/>
  <c r="M1828" i="33"/>
  <c r="K2270" i="33"/>
  <c r="M2269" i="33"/>
  <c r="K1191" i="33"/>
  <c r="M1190" i="33"/>
  <c r="L1752" i="33"/>
  <c r="M1751" i="33"/>
  <c r="L2155" i="33"/>
  <c r="K86" i="33"/>
  <c r="M86" i="33" s="1"/>
  <c r="M85" i="33"/>
  <c r="K1645" i="33"/>
  <c r="M1644" i="33"/>
  <c r="K24" i="33"/>
  <c r="M23" i="33"/>
  <c r="L626" i="33"/>
  <c r="M615" i="33"/>
  <c r="K2244" i="33"/>
  <c r="M2243" i="33"/>
  <c r="M1332" i="33"/>
  <c r="L1333" i="33"/>
  <c r="K534" i="33"/>
  <c r="M523" i="33"/>
  <c r="K514" i="33"/>
  <c r="M503" i="33"/>
  <c r="K1731" i="33"/>
  <c r="M1730" i="33"/>
  <c r="K1004" i="33"/>
  <c r="K1015" i="33" s="1"/>
  <c r="K1026" i="33" s="1"/>
  <c r="K1037" i="33" s="1"/>
  <c r="K994" i="33"/>
  <c r="K421" i="33"/>
  <c r="M420" i="33"/>
  <c r="K452" i="33"/>
  <c r="M452" i="33" s="1"/>
  <c r="M451" i="33"/>
  <c r="K347" i="33"/>
  <c r="M347" i="33" s="1"/>
  <c r="M346" i="33"/>
  <c r="M1277" i="33"/>
  <c r="L1278" i="33"/>
  <c r="K209" i="33"/>
  <c r="M208" i="33"/>
  <c r="L628" i="33"/>
  <c r="M617" i="33"/>
  <c r="L1622" i="33"/>
  <c r="M1527" i="33"/>
  <c r="L1528" i="33"/>
  <c r="L28" i="33"/>
  <c r="L27" i="33"/>
  <c r="P1828" i="33" a="1"/>
  <c r="P385" i="33" a="1"/>
  <c r="P1618" i="33" a="1"/>
  <c r="P1584" i="33" a="1"/>
  <c r="P617" i="33" a="1"/>
  <c r="P2288" i="33" a="1"/>
  <c r="P1403" i="33" a="1"/>
  <c r="P1869" i="33" a="1"/>
  <c r="P1751" i="33" a="1"/>
  <c r="P2205" i="33" a="1"/>
  <c r="P204" i="33" a="1"/>
  <c r="P487" i="33" a="1"/>
  <c r="P1200" i="33" a="1"/>
  <c r="P1730" i="33" a="1"/>
  <c r="P629" i="33" a="1"/>
  <c r="P598" i="33" a="1"/>
  <c r="P1190" i="33" a="1"/>
  <c r="P1181" i="33" a="1"/>
  <c r="P567" i="33" a="1"/>
  <c r="P577" i="33" a="1"/>
  <c r="P1332" i="33" a="1"/>
  <c r="P557" i="33" a="1"/>
  <c r="P200" i="33" a="1"/>
  <c r="P631" i="33" a="1"/>
  <c r="P208" i="33" a="1"/>
  <c r="P2224" i="33" a="1"/>
  <c r="P169" i="33" a="1"/>
  <c r="P1644" i="33" a="1"/>
  <c r="P85" i="33" a="1"/>
  <c r="P1709" i="33" a="1"/>
  <c r="P201" i="33" a="1"/>
  <c r="P89" i="33" a="1"/>
  <c r="P1369" i="33" a="1"/>
  <c r="P2331" i="33" a="1"/>
  <c r="P611" i="33" a="1"/>
  <c r="P1568" i="33" a="1"/>
  <c r="P420" i="33" a="1"/>
  <c r="P523" i="33" a="1"/>
  <c r="P451" i="33" a="1"/>
  <c r="P625" i="33" a="1"/>
  <c r="P452" i="33" a="1"/>
  <c r="P503" i="33" a="1"/>
  <c r="P247" i="33" a="1"/>
  <c r="P2307" i="33" a="1"/>
  <c r="P416" i="33" a="1"/>
  <c r="P533" i="33" a="1"/>
  <c r="P346" i="33" a="1"/>
  <c r="P1355" i="33" a="1"/>
  <c r="P1689" i="33" a="1"/>
  <c r="P2148" i="33" a="1"/>
  <c r="P587" i="33" a="1"/>
  <c r="P1583" i="33" a="1"/>
  <c r="P1210" i="33" a="1"/>
  <c r="P615" i="33" a="1"/>
  <c r="P638" i="33" a="1"/>
  <c r="P621" i="33" a="1"/>
  <c r="P131" i="33" a="1"/>
  <c r="P86" i="33" a="1"/>
  <c r="P1356" i="33" a="1"/>
  <c r="P2186" i="33" a="1"/>
  <c r="P350" i="33" a="1"/>
  <c r="P513" i="33" a="1"/>
  <c r="P382" i="33" a="1"/>
  <c r="P1182" i="33" a="1"/>
  <c r="P2243" i="33" a="1"/>
  <c r="P490" i="33" a="1"/>
  <c r="P165" i="33" a="1"/>
  <c r="P455" i="33" a="1"/>
  <c r="P381" i="33" a="1"/>
  <c r="P2130" i="33" a="1"/>
  <c r="P619" i="33" a="1"/>
  <c r="P417" i="33" a="1"/>
  <c r="P1277" i="33" a="1"/>
  <c r="P166" i="33" a="1"/>
  <c r="P246" i="33" a="1"/>
  <c r="P347" i="33" a="1"/>
  <c r="P2167" i="33" a="1"/>
  <c r="P315" i="33" a="1"/>
  <c r="P544" i="33" a="1"/>
  <c r="P1596" i="33" a="1"/>
  <c r="P1668" i="33" a="1"/>
  <c r="P311" i="33" a="1"/>
  <c r="P1505" i="33" a="1"/>
  <c r="P2269" i="33" a="1"/>
  <c r="P312" i="33" a="1"/>
  <c r="P23" i="33" a="1"/>
  <c r="P486" i="33" a="1"/>
  <c r="P1869" i="33" l="1"/>
  <c r="K1871" i="33"/>
  <c r="M1870" i="33"/>
  <c r="P1709" i="33"/>
  <c r="L1713" i="33"/>
  <c r="K1711" i="33"/>
  <c r="M1710" i="33"/>
  <c r="P1689" i="33"/>
  <c r="K1691" i="33"/>
  <c r="M1690" i="33"/>
  <c r="L1671" i="33"/>
  <c r="M1670" i="33"/>
  <c r="L1649" i="33"/>
  <c r="P1584" i="33"/>
  <c r="P1583" i="33"/>
  <c r="P1568" i="33"/>
  <c r="M1569" i="33"/>
  <c r="L1570" i="33"/>
  <c r="M1570" i="33" s="1"/>
  <c r="P1505" i="33"/>
  <c r="K1507" i="33"/>
  <c r="M1506" i="33"/>
  <c r="L1509" i="33"/>
  <c r="P1210" i="33"/>
  <c r="K1212" i="33"/>
  <c r="M1211" i="33"/>
  <c r="P1200" i="33"/>
  <c r="K1202" i="33"/>
  <c r="M1202" i="33" s="1"/>
  <c r="M1201" i="33"/>
  <c r="K1113" i="33"/>
  <c r="K1124" i="33" s="1"/>
  <c r="K1135" i="33" s="1"/>
  <c r="K1146" i="33" s="1"/>
  <c r="K1103" i="33"/>
  <c r="K1059" i="33"/>
  <c r="K1070" i="33" s="1"/>
  <c r="K1081" i="33" s="1"/>
  <c r="K1092" i="33" s="1"/>
  <c r="K1049" i="33"/>
  <c r="M130" i="33"/>
  <c r="L2100" i="33"/>
  <c r="L2063" i="33"/>
  <c r="P587" i="33"/>
  <c r="P598" i="33"/>
  <c r="P1403" i="33"/>
  <c r="P567" i="33"/>
  <c r="P557" i="33"/>
  <c r="P577" i="33"/>
  <c r="K569" i="33"/>
  <c r="M558" i="33"/>
  <c r="K579" i="33"/>
  <c r="M568" i="33"/>
  <c r="K1405" i="33"/>
  <c r="M1404" i="33"/>
  <c r="K589" i="33"/>
  <c r="M578" i="33"/>
  <c r="K599" i="33"/>
  <c r="M599" i="33" s="1"/>
  <c r="M588" i="33"/>
  <c r="P416" i="33"/>
  <c r="P346" i="33"/>
  <c r="P315" i="33"/>
  <c r="P533" i="33"/>
  <c r="P347" i="33"/>
  <c r="P1332" i="33"/>
  <c r="P544" i="33"/>
  <c r="P350" i="33"/>
  <c r="P486" i="33"/>
  <c r="P312" i="33"/>
  <c r="P503" i="33"/>
  <c r="P1644" i="33"/>
  <c r="P638" i="33"/>
  <c r="P1730" i="33"/>
  <c r="P2243" i="33"/>
  <c r="P85" i="33"/>
  <c r="P1190" i="33"/>
  <c r="P513" i="33"/>
  <c r="P89" i="33"/>
  <c r="P200" i="33"/>
  <c r="P1668" i="33"/>
  <c r="P246" i="33"/>
  <c r="P629" i="33"/>
  <c r="P2148" i="33"/>
  <c r="P487" i="33"/>
  <c r="P311" i="33"/>
  <c r="P2331" i="33"/>
  <c r="P382" i="33"/>
  <c r="P490" i="33"/>
  <c r="P611" i="33"/>
  <c r="P617" i="33"/>
  <c r="P86" i="33"/>
  <c r="P201" i="33"/>
  <c r="P247" i="33"/>
  <c r="P1369" i="33"/>
  <c r="P625" i="33"/>
  <c r="P204" i="33"/>
  <c r="P2205" i="33"/>
  <c r="P619" i="33"/>
  <c r="P451" i="33"/>
  <c r="P1356" i="33"/>
  <c r="P2186" i="33"/>
  <c r="P2167" i="33"/>
  <c r="P452" i="33"/>
  <c r="P1355" i="33"/>
  <c r="P381" i="33"/>
  <c r="P417" i="33"/>
  <c r="P385" i="33"/>
  <c r="P2224" i="33"/>
  <c r="P615" i="33"/>
  <c r="P523" i="33"/>
  <c r="P1828" i="33"/>
  <c r="P621" i="33"/>
  <c r="P2269" i="33"/>
  <c r="P420" i="33"/>
  <c r="P23" i="33"/>
  <c r="P631" i="33"/>
  <c r="P2307" i="33"/>
  <c r="P2288" i="33"/>
  <c r="P1277" i="33"/>
  <c r="P1596" i="33"/>
  <c r="P2130" i="33"/>
  <c r="P165" i="33"/>
  <c r="P1181" i="33"/>
  <c r="P1618" i="33"/>
  <c r="P208" i="33"/>
  <c r="P1751" i="33"/>
  <c r="P169" i="33"/>
  <c r="P455" i="33"/>
  <c r="P166" i="33"/>
  <c r="P1182" i="33"/>
  <c r="P131" i="33"/>
  <c r="K1005" i="33"/>
  <c r="K1016" i="33" s="1"/>
  <c r="K1027" i="33" s="1"/>
  <c r="K1038" i="33" s="1"/>
  <c r="K995" i="33"/>
  <c r="L2024" i="33"/>
  <c r="K733" i="33"/>
  <c r="K744" i="33" s="1"/>
  <c r="K755" i="33" s="1"/>
  <c r="K766" i="33" s="1"/>
  <c r="K723" i="33"/>
  <c r="K734" i="33" s="1"/>
  <c r="K745" i="33" s="1"/>
  <c r="K756" i="33" s="1"/>
  <c r="K767" i="33" s="1"/>
  <c r="K1646" i="33"/>
  <c r="M1645" i="33"/>
  <c r="L1753" i="33"/>
  <c r="M1752" i="33"/>
  <c r="K492" i="33"/>
  <c r="M492" i="33" s="1"/>
  <c r="M491" i="33"/>
  <c r="L660" i="33"/>
  <c r="M649" i="33"/>
  <c r="K317" i="33"/>
  <c r="M317" i="33" s="1"/>
  <c r="M316" i="33"/>
  <c r="K171" i="33"/>
  <c r="M171" i="33" s="1"/>
  <c r="M170" i="33"/>
  <c r="K457" i="33"/>
  <c r="M457" i="33" s="1"/>
  <c r="M456" i="33"/>
  <c r="K613" i="33"/>
  <c r="K623" i="33"/>
  <c r="M612" i="33"/>
  <c r="L1885" i="33"/>
  <c r="K788" i="33"/>
  <c r="K799" i="33" s="1"/>
  <c r="K810" i="33" s="1"/>
  <c r="K821" i="33" s="1"/>
  <c r="K778" i="33"/>
  <c r="K789" i="33" s="1"/>
  <c r="K800" i="33" s="1"/>
  <c r="K811" i="33" s="1"/>
  <c r="K822" i="33" s="1"/>
  <c r="M2332" i="33"/>
  <c r="L2333" i="33"/>
  <c r="L2292" i="33"/>
  <c r="M1370" i="33"/>
  <c r="L1371" i="33"/>
  <c r="K633" i="33"/>
  <c r="M622" i="33"/>
  <c r="K352" i="33"/>
  <c r="M352" i="33" s="1"/>
  <c r="M351" i="33"/>
  <c r="K832" i="33"/>
  <c r="K842" i="33"/>
  <c r="K853" i="33" s="1"/>
  <c r="K864" i="33" s="1"/>
  <c r="K875" i="33" s="1"/>
  <c r="L1623" i="33"/>
  <c r="M1333" i="33"/>
  <c r="L1334" i="33"/>
  <c r="L639" i="33"/>
  <c r="M628" i="33"/>
  <c r="K1732" i="33"/>
  <c r="M1731" i="33"/>
  <c r="K2245" i="33"/>
  <c r="M2244" i="33"/>
  <c r="K1192" i="33"/>
  <c r="M1192" i="33" s="1"/>
  <c r="M1191" i="33"/>
  <c r="K535" i="33"/>
  <c r="M524" i="33"/>
  <c r="K91" i="33"/>
  <c r="M91" i="33" s="1"/>
  <c r="M90" i="33"/>
  <c r="M1669" i="33"/>
  <c r="L651" i="33"/>
  <c r="M640" i="33"/>
  <c r="L645" i="33"/>
  <c r="K2150" i="33"/>
  <c r="M2149" i="33"/>
  <c r="M1547" i="33"/>
  <c r="L1548" i="33"/>
  <c r="L2213" i="33"/>
  <c r="L1407" i="33"/>
  <c r="L647" i="33"/>
  <c r="M636" i="33"/>
  <c r="L655" i="33"/>
  <c r="K206" i="33"/>
  <c r="M206" i="33" s="1"/>
  <c r="M205" i="33"/>
  <c r="K2207" i="33"/>
  <c r="M2206" i="33"/>
  <c r="L641" i="33"/>
  <c r="M630" i="33"/>
  <c r="L29" i="33"/>
  <c r="K210" i="33"/>
  <c r="M209" i="33"/>
  <c r="M514" i="33"/>
  <c r="K525" i="33"/>
  <c r="L637" i="33"/>
  <c r="M626" i="33"/>
  <c r="L2156" i="33"/>
  <c r="K2271" i="33"/>
  <c r="M2270" i="33"/>
  <c r="K1442" i="33"/>
  <c r="M1441" i="33"/>
  <c r="K2188" i="33"/>
  <c r="M2187" i="33"/>
  <c r="K2169" i="33"/>
  <c r="M2168" i="33"/>
  <c r="L2252" i="33"/>
  <c r="K950" i="33"/>
  <c r="K961" i="33" s="1"/>
  <c r="K972" i="33" s="1"/>
  <c r="K983" i="33" s="1"/>
  <c r="K940" i="33"/>
  <c r="K896" i="33"/>
  <c r="K907" i="33" s="1"/>
  <c r="K918" i="33" s="1"/>
  <c r="K929" i="33" s="1"/>
  <c r="K886" i="33"/>
  <c r="M1488" i="33"/>
  <c r="L1489" i="33"/>
  <c r="L1444" i="33"/>
  <c r="L1445" i="33" s="1"/>
  <c r="L1446" i="33" s="1"/>
  <c r="M1278" i="33"/>
  <c r="L1279" i="33"/>
  <c r="M1464" i="33"/>
  <c r="L1465" i="33"/>
  <c r="M1597" i="33"/>
  <c r="L1598" i="33"/>
  <c r="M2131" i="33"/>
  <c r="L2132" i="33"/>
  <c r="K387" i="33"/>
  <c r="M387" i="33" s="1"/>
  <c r="M386" i="33"/>
  <c r="K2226" i="33"/>
  <c r="M2225" i="33"/>
  <c r="L668" i="33"/>
  <c r="L2273" i="33"/>
  <c r="L2314" i="33"/>
  <c r="M1528" i="33"/>
  <c r="L1529" i="33"/>
  <c r="L1954" i="33"/>
  <c r="K422" i="33"/>
  <c r="M422" i="33" s="1"/>
  <c r="M421" i="33"/>
  <c r="K545" i="33"/>
  <c r="M545" i="33" s="1"/>
  <c r="M534" i="33"/>
  <c r="K25" i="33"/>
  <c r="M24" i="33"/>
  <c r="K1830" i="33"/>
  <c r="M1829" i="33"/>
  <c r="L653" i="33"/>
  <c r="M642" i="33"/>
  <c r="K2309" i="33"/>
  <c r="M2308" i="33"/>
  <c r="L643" i="33"/>
  <c r="M632" i="33"/>
  <c r="K2290" i="33"/>
  <c r="M2289" i="33"/>
  <c r="L2194" i="33"/>
  <c r="L1989" i="33"/>
  <c r="L1832" i="33"/>
  <c r="K1620" i="33"/>
  <c r="M1619" i="33"/>
  <c r="P2206" i="33" a="1"/>
  <c r="P636" i="33" a="1"/>
  <c r="P1569" i="33" a="1"/>
  <c r="P524" i="33" a="1"/>
  <c r="P1752" i="33" a="1"/>
  <c r="P588" i="33" a="1"/>
  <c r="P386" i="33" a="1"/>
  <c r="P1870" i="33" a="1"/>
  <c r="P352" i="33" a="1"/>
  <c r="P622" i="33" a="1"/>
  <c r="P492" i="33" a="1"/>
  <c r="P2149" i="33" a="1"/>
  <c r="P2289" i="33" a="1"/>
  <c r="P514" i="33" a="1"/>
  <c r="P2332" i="33" a="1"/>
  <c r="P534" i="33" a="1"/>
  <c r="P1710" i="33" a="1"/>
  <c r="P612" i="33" a="1"/>
  <c r="P1670" i="33" a="1"/>
  <c r="P578" i="33" a="1"/>
  <c r="P130" i="33" a="1"/>
  <c r="P351" i="33" a="1"/>
  <c r="P626" i="33" a="1"/>
  <c r="P1829" i="33" a="1"/>
  <c r="P642" i="33" a="1"/>
  <c r="P1211" i="33" a="1"/>
  <c r="P209" i="33" a="1"/>
  <c r="P421" i="33" a="1"/>
  <c r="P2131" i="33" a="1"/>
  <c r="P599" i="33" a="1"/>
  <c r="P628" i="33" a="1"/>
  <c r="P24" i="33" a="1"/>
  <c r="P630" i="33" a="1"/>
  <c r="P170" i="33" a="1"/>
  <c r="P457" i="33" a="1"/>
  <c r="P1202" i="33" a="1"/>
  <c r="P2187" i="33" a="1"/>
  <c r="P1645" i="33" a="1"/>
  <c r="P90" i="33" a="1"/>
  <c r="P91" i="33" a="1"/>
  <c r="P171" i="33" a="1"/>
  <c r="P568" i="33" a="1"/>
  <c r="P1669" i="33" a="1"/>
  <c r="P1570" i="33" a="1"/>
  <c r="P317" i="33" a="1"/>
  <c r="P2244" i="33" a="1"/>
  <c r="P1731" i="33" a="1"/>
  <c r="P1370" i="33" a="1"/>
  <c r="P1690" i="33" a="1"/>
  <c r="P1192" i="33" a="1"/>
  <c r="P1191" i="33" a="1"/>
  <c r="P2270" i="33" a="1"/>
  <c r="P206" i="33" a="1"/>
  <c r="P545" i="33" a="1"/>
  <c r="P1278" i="33" a="1"/>
  <c r="P1404" i="33" a="1"/>
  <c r="P1333" i="33" a="1"/>
  <c r="P2225" i="33" a="1"/>
  <c r="P640" i="33" a="1"/>
  <c r="P316" i="33" a="1"/>
  <c r="P387" i="33" a="1"/>
  <c r="P1506" i="33" a="1"/>
  <c r="P558" i="33" a="1"/>
  <c r="P2308" i="33" a="1"/>
  <c r="P1597" i="33" a="1"/>
  <c r="P205" i="33" a="1"/>
  <c r="P491" i="33" a="1"/>
  <c r="P1619" i="33" a="1"/>
  <c r="P2168" i="33" a="1"/>
  <c r="P649" i="33" a="1"/>
  <c r="P632" i="33" a="1"/>
  <c r="P422" i="33" a="1"/>
  <c r="P456" i="33" a="1"/>
  <c r="P1201" i="33" a="1"/>
  <c r="P1870" i="33" l="1"/>
  <c r="K1872" i="33"/>
  <c r="M1872" i="33" s="1"/>
  <c r="M1871" i="33"/>
  <c r="K1873" i="33"/>
  <c r="P1710" i="33"/>
  <c r="K1712" i="33"/>
  <c r="M1711" i="33"/>
  <c r="L1714" i="33"/>
  <c r="P1690" i="33"/>
  <c r="K1692" i="33"/>
  <c r="M1691" i="33"/>
  <c r="P1670" i="33"/>
  <c r="L1672" i="33"/>
  <c r="M1671" i="33"/>
  <c r="L1650" i="33"/>
  <c r="P1570" i="33"/>
  <c r="P1569" i="33"/>
  <c r="P1506" i="33"/>
  <c r="L1510" i="33"/>
  <c r="K1508" i="33"/>
  <c r="M1507" i="33"/>
  <c r="M1212" i="33"/>
  <c r="K1213" i="33"/>
  <c r="P1211" i="33"/>
  <c r="P1201" i="33"/>
  <c r="P1202" i="33"/>
  <c r="K1114" i="33"/>
  <c r="K1125" i="33" s="1"/>
  <c r="K1136" i="33" s="1"/>
  <c r="K1147" i="33" s="1"/>
  <c r="K1104" i="33"/>
  <c r="K1060" i="33"/>
  <c r="K1071" i="33" s="1"/>
  <c r="K1082" i="33" s="1"/>
  <c r="K1093" i="33" s="1"/>
  <c r="K1050" i="33"/>
  <c r="P130" i="33"/>
  <c r="L2101" i="33"/>
  <c r="L2064" i="33"/>
  <c r="P599" i="33"/>
  <c r="P578" i="33"/>
  <c r="P1404" i="33"/>
  <c r="P558" i="33"/>
  <c r="P588" i="33"/>
  <c r="P568" i="33"/>
  <c r="K580" i="33"/>
  <c r="M569" i="33"/>
  <c r="K600" i="33"/>
  <c r="M600" i="33" s="1"/>
  <c r="M589" i="33"/>
  <c r="K1406" i="33"/>
  <c r="M1405" i="33"/>
  <c r="M579" i="33"/>
  <c r="K590" i="33"/>
  <c r="P2270" i="33"/>
  <c r="P545" i="33"/>
  <c r="P1597" i="33"/>
  <c r="P206" i="33"/>
  <c r="P91" i="33"/>
  <c r="P2332" i="33"/>
  <c r="P649" i="33"/>
  <c r="P1645" i="33"/>
  <c r="P2225" i="33"/>
  <c r="P2149" i="33"/>
  <c r="P642" i="33"/>
  <c r="P421" i="33"/>
  <c r="P386" i="33"/>
  <c r="P2187" i="33"/>
  <c r="P524" i="33"/>
  <c r="P205" i="33"/>
  <c r="P422" i="33"/>
  <c r="P387" i="33"/>
  <c r="P1370" i="33"/>
  <c r="P456" i="33"/>
  <c r="P534" i="33"/>
  <c r="P1731" i="33"/>
  <c r="P632" i="33"/>
  <c r="P1829" i="33"/>
  <c r="P626" i="33"/>
  <c r="P630" i="33"/>
  <c r="P640" i="33"/>
  <c r="P1191" i="33"/>
  <c r="P628" i="33"/>
  <c r="P351" i="33"/>
  <c r="P457" i="33"/>
  <c r="P2168" i="33"/>
  <c r="P90" i="33"/>
  <c r="P1278" i="33"/>
  <c r="P1192" i="33"/>
  <c r="P352" i="33"/>
  <c r="P170" i="33"/>
  <c r="P491" i="33"/>
  <c r="P317" i="33"/>
  <c r="P1619" i="33"/>
  <c r="P2289" i="33"/>
  <c r="P2308" i="33"/>
  <c r="P24" i="33"/>
  <c r="P2206" i="33"/>
  <c r="P636" i="33"/>
  <c r="P2244" i="33"/>
  <c r="P612" i="33"/>
  <c r="P171" i="33"/>
  <c r="P492" i="33"/>
  <c r="P209" i="33"/>
  <c r="P622" i="33"/>
  <c r="P2131" i="33"/>
  <c r="P514" i="33"/>
  <c r="P1669" i="33"/>
  <c r="P1333" i="33"/>
  <c r="P316" i="33"/>
  <c r="P1752" i="33"/>
  <c r="K2227" i="33"/>
  <c r="M2226" i="33"/>
  <c r="M2169" i="33"/>
  <c r="K2170" i="33"/>
  <c r="K2272" i="33"/>
  <c r="M2271" i="33"/>
  <c r="K211" i="33"/>
  <c r="M210" i="33"/>
  <c r="K2151" i="33"/>
  <c r="M2150" i="33"/>
  <c r="K1733" i="33"/>
  <c r="M1732" i="33"/>
  <c r="K644" i="33"/>
  <c r="M633" i="33"/>
  <c r="K624" i="33"/>
  <c r="M613" i="33"/>
  <c r="L1990" i="33"/>
  <c r="L2315" i="33"/>
  <c r="M1465" i="33"/>
  <c r="L1466" i="33"/>
  <c r="L1467" i="33" s="1"/>
  <c r="K897" i="33"/>
  <c r="K908" i="33" s="1"/>
  <c r="K919" i="33" s="1"/>
  <c r="K930" i="33" s="1"/>
  <c r="K887" i="33"/>
  <c r="L2157" i="33"/>
  <c r="L1408" i="33"/>
  <c r="M1371" i="33"/>
  <c r="L1372" i="33"/>
  <c r="M660" i="33"/>
  <c r="L671" i="33"/>
  <c r="K1647" i="33"/>
  <c r="K1648" i="33" s="1"/>
  <c r="M1646" i="33"/>
  <c r="M1529" i="33"/>
  <c r="L1530" i="33"/>
  <c r="L1624" i="33"/>
  <c r="M653" i="33"/>
  <c r="L664" i="33"/>
  <c r="K2189" i="33"/>
  <c r="M2188" i="33"/>
  <c r="L30" i="33"/>
  <c r="L656" i="33"/>
  <c r="K546" i="33"/>
  <c r="M546" i="33" s="1"/>
  <c r="M535" i="33"/>
  <c r="K833" i="33"/>
  <c r="K844" i="33" s="1"/>
  <c r="K855" i="33" s="1"/>
  <c r="K866" i="33" s="1"/>
  <c r="K877" i="33" s="1"/>
  <c r="K843" i="33"/>
  <c r="K854" i="33" s="1"/>
  <c r="K865" i="33" s="1"/>
  <c r="K876" i="33" s="1"/>
  <c r="M1489" i="33"/>
  <c r="L1490" i="33"/>
  <c r="L2195" i="33"/>
  <c r="L1955" i="33"/>
  <c r="L2274" i="33"/>
  <c r="M1279" i="33"/>
  <c r="L1280" i="33"/>
  <c r="M1280" i="33" s="1"/>
  <c r="K941" i="33"/>
  <c r="K951" i="33"/>
  <c r="K962" i="33" s="1"/>
  <c r="K973" i="33" s="1"/>
  <c r="K984" i="33" s="1"/>
  <c r="L1886" i="33"/>
  <c r="M2333" i="33"/>
  <c r="L2334" i="33"/>
  <c r="M1753" i="33"/>
  <c r="L1754" i="33"/>
  <c r="L1755" i="33" s="1"/>
  <c r="L654" i="33"/>
  <c r="M643" i="33"/>
  <c r="K1831" i="33"/>
  <c r="M1830" i="33"/>
  <c r="K1443" i="33"/>
  <c r="M1442" i="33"/>
  <c r="L648" i="33"/>
  <c r="M637" i="33"/>
  <c r="L652" i="33"/>
  <c r="M641" i="33"/>
  <c r="L666" i="33"/>
  <c r="L2214" i="33"/>
  <c r="M651" i="33"/>
  <c r="L662" i="33"/>
  <c r="L650" i="33"/>
  <c r="M639" i="33"/>
  <c r="L2025" i="33"/>
  <c r="M1598" i="33"/>
  <c r="L1599" i="33"/>
  <c r="M2132" i="33"/>
  <c r="L2133" i="33"/>
  <c r="L2253" i="33"/>
  <c r="K536" i="33"/>
  <c r="M525" i="33"/>
  <c r="M1548" i="33"/>
  <c r="L1549" i="33"/>
  <c r="L1335" i="33"/>
  <c r="M1334" i="33"/>
  <c r="L2293" i="33"/>
  <c r="K1621" i="33"/>
  <c r="M1620" i="33"/>
  <c r="K2291" i="33"/>
  <c r="M2290" i="33"/>
  <c r="K2310" i="33"/>
  <c r="M2309" i="33"/>
  <c r="K26" i="33"/>
  <c r="M25" i="33"/>
  <c r="M668" i="33"/>
  <c r="L679" i="33"/>
  <c r="K2208" i="33"/>
  <c r="M2207" i="33"/>
  <c r="L658" i="33"/>
  <c r="M647" i="33"/>
  <c r="K2246" i="33"/>
  <c r="M2245" i="33"/>
  <c r="K634" i="33"/>
  <c r="M623" i="33"/>
  <c r="K1006" i="33"/>
  <c r="K1017" i="33" s="1"/>
  <c r="K1028" i="33" s="1"/>
  <c r="K1039" i="33" s="1"/>
  <c r="K996" i="33"/>
  <c r="P633" i="33" a="1"/>
  <c r="P1671" i="33" a="1"/>
  <c r="P569" i="33" a="1"/>
  <c r="P2271" i="33" a="1"/>
  <c r="P653" i="33" a="1"/>
  <c r="P535" i="33" a="1"/>
  <c r="P2188" i="33" a="1"/>
  <c r="P1334" i="33" a="1"/>
  <c r="P1371" i="33" a="1"/>
  <c r="P600" i="33" a="1"/>
  <c r="P2207" i="33" a="1"/>
  <c r="P546" i="33" a="1"/>
  <c r="P1691" i="33" a="1"/>
  <c r="P1871" i="33" a="1"/>
  <c r="P623" i="33" a="1"/>
  <c r="P2309" i="33" a="1"/>
  <c r="P651" i="33" a="1"/>
  <c r="P1830" i="33" a="1"/>
  <c r="P1753" i="33" a="1"/>
  <c r="P1280" i="33" a="1"/>
  <c r="P2333" i="33" a="1"/>
  <c r="P579" i="33" a="1"/>
  <c r="P1279" i="33" a="1"/>
  <c r="P668" i="33" a="1"/>
  <c r="P2226" i="33" a="1"/>
  <c r="P639" i="33" a="1"/>
  <c r="P637" i="33" a="1"/>
  <c r="P641" i="33" a="1"/>
  <c r="P1212" i="33" a="1"/>
  <c r="P1507" i="33" a="1"/>
  <c r="P1405" i="33" a="1"/>
  <c r="P660" i="33" a="1"/>
  <c r="P1732" i="33" a="1"/>
  <c r="P210" i="33" a="1"/>
  <c r="P2290" i="33" a="1"/>
  <c r="P1598" i="33" a="1"/>
  <c r="P647" i="33" a="1"/>
  <c r="P589" i="33" a="1"/>
  <c r="P2150" i="33" a="1"/>
  <c r="P1711" i="33" a="1"/>
  <c r="P25" i="33" a="1"/>
  <c r="P643" i="33" a="1"/>
  <c r="P613" i="33" a="1"/>
  <c r="P2132" i="33" a="1"/>
  <c r="P1646" i="33" a="1"/>
  <c r="P2169" i="33" a="1"/>
  <c r="P2245" i="33" a="1"/>
  <c r="P525" i="33" a="1"/>
  <c r="P1620" i="33" a="1"/>
  <c r="P1871" i="33" l="1"/>
  <c r="K1976" i="33"/>
  <c r="M1873" i="33"/>
  <c r="K1874" i="33"/>
  <c r="L1756" i="33"/>
  <c r="M1755" i="33"/>
  <c r="P1711" i="33"/>
  <c r="L1715" i="33"/>
  <c r="K1713" i="33"/>
  <c r="M1712" i="33"/>
  <c r="P1691" i="33"/>
  <c r="K1693" i="33"/>
  <c r="M1692" i="33"/>
  <c r="P1671" i="33"/>
  <c r="M1672" i="33"/>
  <c r="L1673" i="33"/>
  <c r="K1649" i="33"/>
  <c r="M1648" i="33"/>
  <c r="L1651" i="33"/>
  <c r="P1507" i="33"/>
  <c r="K1509" i="33"/>
  <c r="M1508" i="33"/>
  <c r="L1511" i="33"/>
  <c r="M1467" i="33"/>
  <c r="L1468" i="33"/>
  <c r="P1212" i="33"/>
  <c r="K1115" i="33"/>
  <c r="K1126" i="33" s="1"/>
  <c r="K1137" i="33" s="1"/>
  <c r="K1148" i="33" s="1"/>
  <c r="K1105" i="33"/>
  <c r="K1061" i="33"/>
  <c r="K1072" i="33" s="1"/>
  <c r="K1083" i="33" s="1"/>
  <c r="K1094" i="33" s="1"/>
  <c r="K1051" i="33"/>
  <c r="L2102" i="33"/>
  <c r="L2065" i="33"/>
  <c r="P579" i="33"/>
  <c r="P1405" i="33"/>
  <c r="P569" i="33"/>
  <c r="P589" i="33"/>
  <c r="P600" i="33"/>
  <c r="M580" i="33"/>
  <c r="K591" i="33"/>
  <c r="K601" i="33"/>
  <c r="M601" i="33" s="1"/>
  <c r="M590" i="33"/>
  <c r="K1407" i="33"/>
  <c r="M1406" i="33"/>
  <c r="P2290" i="33"/>
  <c r="P1753" i="33"/>
  <c r="P535" i="33"/>
  <c r="P1646" i="33"/>
  <c r="P1732" i="33"/>
  <c r="P633" i="33"/>
  <c r="P2245" i="33"/>
  <c r="P1620" i="33"/>
  <c r="P639" i="33"/>
  <c r="P641" i="33"/>
  <c r="P1830" i="33"/>
  <c r="P546" i="33"/>
  <c r="P653" i="33"/>
  <c r="P2169" i="33"/>
  <c r="P2188" i="33"/>
  <c r="P668" i="33"/>
  <c r="P2132" i="33"/>
  <c r="P2333" i="33"/>
  <c r="P1280" i="33"/>
  <c r="P613" i="33"/>
  <c r="P2150" i="33"/>
  <c r="P2226" i="33"/>
  <c r="P647" i="33"/>
  <c r="P25" i="33"/>
  <c r="P525" i="33"/>
  <c r="P637" i="33"/>
  <c r="P643" i="33"/>
  <c r="P1279" i="33"/>
  <c r="P660" i="33"/>
  <c r="P1598" i="33"/>
  <c r="P2271" i="33"/>
  <c r="P651" i="33"/>
  <c r="P210" i="33"/>
  <c r="P623" i="33"/>
  <c r="P2207" i="33"/>
  <c r="P2309" i="33"/>
  <c r="P1334" i="33"/>
  <c r="P1371" i="33"/>
  <c r="M1530" i="33"/>
  <c r="L1531" i="33"/>
  <c r="L1532" i="33" s="1"/>
  <c r="L1447" i="33"/>
  <c r="L1448" i="33" s="1"/>
  <c r="L1449" i="33" s="1"/>
  <c r="L2026" i="33"/>
  <c r="M1754" i="33"/>
  <c r="K2190" i="33"/>
  <c r="M2189" i="33"/>
  <c r="K655" i="33"/>
  <c r="M655" i="33" s="1"/>
  <c r="M644" i="33"/>
  <c r="K2273" i="33"/>
  <c r="M2272" i="33"/>
  <c r="K645" i="33"/>
  <c r="M634" i="33"/>
  <c r="L2316" i="33"/>
  <c r="K2292" i="33"/>
  <c r="M2291" i="33"/>
  <c r="M666" i="33"/>
  <c r="L677" i="33"/>
  <c r="L2196" i="33"/>
  <c r="M664" i="33"/>
  <c r="L675" i="33"/>
  <c r="L2158" i="33"/>
  <c r="L1991" i="33"/>
  <c r="K2171" i="33"/>
  <c r="M2170" i="33"/>
  <c r="M1335" i="33"/>
  <c r="L1336" i="33"/>
  <c r="K1444" i="33"/>
  <c r="K1445" i="33" s="1"/>
  <c r="M1443" i="33"/>
  <c r="M679" i="33"/>
  <c r="L690" i="33"/>
  <c r="M1549" i="33"/>
  <c r="L1550" i="33"/>
  <c r="L1551" i="33" s="1"/>
  <c r="M2133" i="33"/>
  <c r="L2134" i="33"/>
  <c r="M2334" i="33"/>
  <c r="L2335" i="33"/>
  <c r="K942" i="33"/>
  <c r="K952" i="33"/>
  <c r="K963" i="33" s="1"/>
  <c r="K974" i="33" s="1"/>
  <c r="K985" i="33" s="1"/>
  <c r="M1647" i="33"/>
  <c r="K1734" i="33"/>
  <c r="M1733" i="33"/>
  <c r="K2247" i="33"/>
  <c r="M2246" i="33"/>
  <c r="K1622" i="33"/>
  <c r="M1621" i="33"/>
  <c r="L661" i="33"/>
  <c r="M650" i="33"/>
  <c r="L663" i="33"/>
  <c r="M652" i="33"/>
  <c r="K1832" i="33"/>
  <c r="M1832" i="33" s="1"/>
  <c r="M1831" i="33"/>
  <c r="M1490" i="33"/>
  <c r="L1491" i="33"/>
  <c r="M671" i="33"/>
  <c r="L682" i="33"/>
  <c r="K888" i="33"/>
  <c r="K899" i="33" s="1"/>
  <c r="K910" i="33" s="1"/>
  <c r="K921" i="33" s="1"/>
  <c r="K932" i="33" s="1"/>
  <c r="K898" i="33"/>
  <c r="K909" i="33" s="1"/>
  <c r="K920" i="33" s="1"/>
  <c r="K931" i="33" s="1"/>
  <c r="K2311" i="33"/>
  <c r="M2310" i="33"/>
  <c r="L1887" i="33"/>
  <c r="K1007" i="33"/>
  <c r="K1018" i="33" s="1"/>
  <c r="K1029" i="33" s="1"/>
  <c r="K1040" i="33" s="1"/>
  <c r="K997" i="33"/>
  <c r="L2294" i="33"/>
  <c r="M662" i="33"/>
  <c r="L673" i="33"/>
  <c r="L667" i="33"/>
  <c r="K635" i="33"/>
  <c r="M624" i="33"/>
  <c r="K2152" i="33"/>
  <c r="M2151" i="33"/>
  <c r="K2228" i="33"/>
  <c r="M2227" i="33"/>
  <c r="M658" i="33"/>
  <c r="L669" i="33"/>
  <c r="K27" i="33"/>
  <c r="M26" i="33"/>
  <c r="K547" i="33"/>
  <c r="M547" i="33" s="1"/>
  <c r="M536" i="33"/>
  <c r="L659" i="33"/>
  <c r="M648" i="33"/>
  <c r="M654" i="33"/>
  <c r="L665" i="33"/>
  <c r="L2275" i="33"/>
  <c r="L1625" i="33"/>
  <c r="M1372" i="33"/>
  <c r="L1373" i="33"/>
  <c r="M1466" i="33"/>
  <c r="K2209" i="33"/>
  <c r="M2208" i="33"/>
  <c r="L2215" i="33"/>
  <c r="L1956" i="33"/>
  <c r="L1409" i="33"/>
  <c r="L2254" i="33"/>
  <c r="M1599" i="33"/>
  <c r="L1600" i="33"/>
  <c r="L31" i="33"/>
  <c r="K212" i="33"/>
  <c r="M212" i="33" s="1"/>
  <c r="M211" i="33"/>
  <c r="P1647" i="33" a="1"/>
  <c r="P2151" i="33" a="1"/>
  <c r="P662" i="33" a="1"/>
  <c r="P1712" i="33" a="1"/>
  <c r="P1755" i="33" a="1"/>
  <c r="P1467" i="33" a="1"/>
  <c r="P2272" i="33" a="1"/>
  <c r="P601" i="33" a="1"/>
  <c r="P1692" i="33" a="1"/>
  <c r="P2170" i="33" a="1"/>
  <c r="P2227" i="33" a="1"/>
  <c r="P652" i="33" a="1"/>
  <c r="P2310" i="33" a="1"/>
  <c r="P658" i="33" a="1"/>
  <c r="P1672" i="33" a="1"/>
  <c r="P1832" i="33" a="1"/>
  <c r="P666" i="33" a="1"/>
  <c r="P547" i="33" a="1"/>
  <c r="P1372" i="33" a="1"/>
  <c r="P671" i="33" a="1"/>
  <c r="P1508" i="33" a="1"/>
  <c r="P580" i="33" a="1"/>
  <c r="P654" i="33" a="1"/>
  <c r="P1873" i="33" a="1"/>
  <c r="P211" i="33" a="1"/>
  <c r="P648" i="33" a="1"/>
  <c r="P1335" i="33" a="1"/>
  <c r="P1599" i="33" a="1"/>
  <c r="P650" i="33" a="1"/>
  <c r="P1406" i="33" a="1"/>
  <c r="P212" i="33" a="1"/>
  <c r="P655" i="33" a="1"/>
  <c r="P1754" i="33" a="1"/>
  <c r="P2189" i="33" a="1"/>
  <c r="P2334" i="33" a="1"/>
  <c r="P2246" i="33" a="1"/>
  <c r="P1831" i="33" a="1"/>
  <c r="P536" i="33" a="1"/>
  <c r="P624" i="33" a="1"/>
  <c r="P644" i="33" a="1"/>
  <c r="P590" i="33" a="1"/>
  <c r="P679" i="33" a="1"/>
  <c r="P26" i="33" a="1"/>
  <c r="P2133" i="33" a="1"/>
  <c r="P1621" i="33" a="1"/>
  <c r="P1733" i="33" a="1"/>
  <c r="P664" i="33" a="1"/>
  <c r="P634" i="33" a="1"/>
  <c r="P1648" i="33" a="1"/>
  <c r="P2208" i="33" a="1"/>
  <c r="P2291" i="33" a="1"/>
  <c r="P1873" i="33" l="1"/>
  <c r="K1908" i="33"/>
  <c r="K1875" i="33"/>
  <c r="M1874" i="33"/>
  <c r="K2011" i="33"/>
  <c r="M1976" i="33"/>
  <c r="K1977" i="33"/>
  <c r="P1755" i="33"/>
  <c r="L1757" i="33"/>
  <c r="M1756" i="33"/>
  <c r="P1712" i="33"/>
  <c r="K1714" i="33"/>
  <c r="M1713" i="33"/>
  <c r="L1716" i="33"/>
  <c r="P1692" i="33"/>
  <c r="K1694" i="33"/>
  <c r="M1693" i="33"/>
  <c r="P1672" i="33"/>
  <c r="M1673" i="33"/>
  <c r="L1674" i="33"/>
  <c r="P1648" i="33"/>
  <c r="L1652" i="33"/>
  <c r="K1650" i="33"/>
  <c r="M1649" i="33"/>
  <c r="L1552" i="33"/>
  <c r="M1551" i="33"/>
  <c r="L1533" i="33"/>
  <c r="M1532" i="33"/>
  <c r="P1508" i="33"/>
  <c r="L1512" i="33"/>
  <c r="K1510" i="33"/>
  <c r="M1509" i="33"/>
  <c r="P1467" i="33"/>
  <c r="M1445" i="33"/>
  <c r="K1446" i="33"/>
  <c r="K1116" i="33"/>
  <c r="K1127" i="33" s="1"/>
  <c r="K1138" i="33" s="1"/>
  <c r="K1149" i="33" s="1"/>
  <c r="K1106" i="33"/>
  <c r="K1062" i="33"/>
  <c r="K1073" i="33" s="1"/>
  <c r="K1084" i="33" s="1"/>
  <c r="K1095" i="33" s="1"/>
  <c r="K1052" i="33"/>
  <c r="L2103" i="33"/>
  <c r="L2066" i="33"/>
  <c r="P601" i="33"/>
  <c r="P580" i="33"/>
  <c r="P1406" i="33"/>
  <c r="P590" i="33"/>
  <c r="K602" i="33"/>
  <c r="M602" i="33" s="1"/>
  <c r="M591" i="33"/>
  <c r="K1408" i="33"/>
  <c r="M1407" i="33"/>
  <c r="P2334" i="33"/>
  <c r="P652" i="33"/>
  <c r="P1733" i="33"/>
  <c r="P644" i="33"/>
  <c r="P654" i="33"/>
  <c r="P658" i="33"/>
  <c r="P2133" i="33"/>
  <c r="P1335" i="33"/>
  <c r="P666" i="33"/>
  <c r="P655" i="33"/>
  <c r="P2227" i="33"/>
  <c r="P650" i="33"/>
  <c r="P1647" i="33"/>
  <c r="P2291" i="33"/>
  <c r="P634" i="33"/>
  <c r="P2189" i="33"/>
  <c r="P1754" i="33"/>
  <c r="P1599" i="33"/>
  <c r="P1372" i="33"/>
  <c r="P671" i="33"/>
  <c r="P664" i="33"/>
  <c r="P1832" i="33"/>
  <c r="P648" i="33"/>
  <c r="P211" i="33"/>
  <c r="P2208" i="33"/>
  <c r="P536" i="33"/>
  <c r="P2151" i="33"/>
  <c r="P1621" i="33"/>
  <c r="P2170" i="33"/>
  <c r="P212" i="33"/>
  <c r="P547" i="33"/>
  <c r="P662" i="33"/>
  <c r="P679" i="33"/>
  <c r="P26" i="33"/>
  <c r="P624" i="33"/>
  <c r="P2310" i="33"/>
  <c r="P1831" i="33"/>
  <c r="P2246" i="33"/>
  <c r="P2272" i="33"/>
  <c r="L32" i="33"/>
  <c r="L33" i="33" s="1"/>
  <c r="L1957" i="33"/>
  <c r="M1468" i="33"/>
  <c r="L1469" i="33"/>
  <c r="L1470" i="33" s="1"/>
  <c r="M665" i="33"/>
  <c r="L676" i="33"/>
  <c r="M669" i="33"/>
  <c r="L680" i="33"/>
  <c r="L2295" i="33"/>
  <c r="M2134" i="33"/>
  <c r="L2135" i="33"/>
  <c r="L1337" i="33"/>
  <c r="L1338" i="33" s="1"/>
  <c r="M1336" i="33"/>
  <c r="M677" i="33"/>
  <c r="L688" i="33"/>
  <c r="L2317" i="33"/>
  <c r="L2027" i="33"/>
  <c r="L2276" i="33"/>
  <c r="K646" i="33"/>
  <c r="M635" i="33"/>
  <c r="K2248" i="33"/>
  <c r="M2247" i="33"/>
  <c r="M1444" i="33"/>
  <c r="M663" i="33"/>
  <c r="L674" i="33"/>
  <c r="K1735" i="33"/>
  <c r="K1736" i="33" s="1"/>
  <c r="M1734" i="33"/>
  <c r="L2159" i="33"/>
  <c r="L2216" i="33"/>
  <c r="K1008" i="33"/>
  <c r="K1019" i="33" s="1"/>
  <c r="K1030" i="33" s="1"/>
  <c r="K1041" i="33" s="1"/>
  <c r="K998" i="33"/>
  <c r="K1009" i="33" s="1"/>
  <c r="K1020" i="33" s="1"/>
  <c r="K1031" i="33" s="1"/>
  <c r="K1042" i="33" s="1"/>
  <c r="M682" i="33"/>
  <c r="L693" i="33"/>
  <c r="M1550" i="33"/>
  <c r="M675" i="33"/>
  <c r="L686" i="33"/>
  <c r="M1373" i="33"/>
  <c r="L1374" i="33"/>
  <c r="M659" i="33"/>
  <c r="L670" i="33"/>
  <c r="K2229" i="33"/>
  <c r="M2228" i="33"/>
  <c r="M667" i="33"/>
  <c r="L678" i="33"/>
  <c r="M661" i="33"/>
  <c r="L672" i="33"/>
  <c r="K2293" i="33"/>
  <c r="M2292" i="33"/>
  <c r="K656" i="33"/>
  <c r="M656" i="33" s="1"/>
  <c r="M645" i="33"/>
  <c r="K2191" i="33"/>
  <c r="M2190" i="33"/>
  <c r="L2255" i="33"/>
  <c r="L1626" i="33"/>
  <c r="M673" i="33"/>
  <c r="L684" i="33"/>
  <c r="L1888" i="33"/>
  <c r="M1491" i="33"/>
  <c r="L1492" i="33"/>
  <c r="L1493" i="33" s="1"/>
  <c r="M690" i="33"/>
  <c r="L701" i="33"/>
  <c r="L2197" i="33"/>
  <c r="K28" i="33"/>
  <c r="M27" i="33"/>
  <c r="K2210" i="33"/>
  <c r="M2209" i="33"/>
  <c r="K2153" i="33"/>
  <c r="M2152" i="33"/>
  <c r="K1623" i="33"/>
  <c r="M1622" i="33"/>
  <c r="K953" i="33"/>
  <c r="K964" i="33" s="1"/>
  <c r="K975" i="33" s="1"/>
  <c r="K986" i="33" s="1"/>
  <c r="K943" i="33"/>
  <c r="K954" i="33" s="1"/>
  <c r="K965" i="33" s="1"/>
  <c r="K976" i="33" s="1"/>
  <c r="K987" i="33" s="1"/>
  <c r="M2171" i="33"/>
  <c r="K2172" i="33"/>
  <c r="K2312" i="33"/>
  <c r="M2311" i="33"/>
  <c r="K2274" i="33"/>
  <c r="M2273" i="33"/>
  <c r="M1600" i="33"/>
  <c r="L1601" i="33"/>
  <c r="L1410" i="33"/>
  <c r="M2335" i="33"/>
  <c r="L2336" i="33"/>
  <c r="L1992" i="33"/>
  <c r="M1531" i="33"/>
  <c r="P2209" i="33" a="1"/>
  <c r="P659" i="33" a="1"/>
  <c r="P2311" i="33" a="1"/>
  <c r="P673" i="33" a="1"/>
  <c r="P2152" i="33" a="1"/>
  <c r="P1756" i="33" a="1"/>
  <c r="P1532" i="33" a="1"/>
  <c r="P1551" i="33" a="1"/>
  <c r="P2171" i="33" a="1"/>
  <c r="P682" i="33" a="1"/>
  <c r="P663" i="33" a="1"/>
  <c r="P1336" i="33" a="1"/>
  <c r="P2190" i="33" a="1"/>
  <c r="P1713" i="33" a="1"/>
  <c r="P591" i="33" a="1"/>
  <c r="P1445" i="33" a="1"/>
  <c r="P1407" i="33" a="1"/>
  <c r="P665" i="33" a="1"/>
  <c r="P656" i="33" a="1"/>
  <c r="P677" i="33" a="1"/>
  <c r="P2134" i="33" a="1"/>
  <c r="P675" i="33" a="1"/>
  <c r="P1673" i="33" a="1"/>
  <c r="P1874" i="33" a="1"/>
  <c r="P2273" i="33" a="1"/>
  <c r="P2247" i="33" a="1"/>
  <c r="P661" i="33" a="1"/>
  <c r="P645" i="33" a="1"/>
  <c r="P1373" i="33" a="1"/>
  <c r="P2292" i="33" a="1"/>
  <c r="P669" i="33" a="1"/>
  <c r="P1976" i="33" a="1"/>
  <c r="P1509" i="33" a="1"/>
  <c r="P635" i="33" a="1"/>
  <c r="P667" i="33" a="1"/>
  <c r="P1693" i="33" a="1"/>
  <c r="P690" i="33" a="1"/>
  <c r="P602" i="33" a="1"/>
  <c r="P1649" i="33" a="1"/>
  <c r="P2335" i="33" a="1"/>
  <c r="P27" i="33" a="1"/>
  <c r="P1600" i="33" a="1"/>
  <c r="P2228" i="33" a="1"/>
  <c r="P1622" i="33" a="1"/>
  <c r="P1734" i="33" a="1"/>
  <c r="P1976" i="33" l="1"/>
  <c r="P1874" i="33"/>
  <c r="M1977" i="33"/>
  <c r="K1978" i="33"/>
  <c r="K2046" i="33"/>
  <c r="K2012" i="33"/>
  <c r="M2011" i="33"/>
  <c r="K1876" i="33"/>
  <c r="M1875" i="33"/>
  <c r="K1942" i="33"/>
  <c r="K1909" i="33"/>
  <c r="M1908" i="33"/>
  <c r="P1756" i="33"/>
  <c r="L1758" i="33"/>
  <c r="M1758" i="33" s="1"/>
  <c r="M1757" i="33"/>
  <c r="K1737" i="33"/>
  <c r="M1736" i="33"/>
  <c r="P1713" i="33"/>
  <c r="L1717" i="33"/>
  <c r="K1715" i="33"/>
  <c r="M1714" i="33"/>
  <c r="P1693" i="33"/>
  <c r="K1695" i="33"/>
  <c r="M1694" i="33"/>
  <c r="P1673" i="33"/>
  <c r="L1675" i="33"/>
  <c r="M1674" i="33"/>
  <c r="P1649" i="33"/>
  <c r="L1653" i="33"/>
  <c r="K1651" i="33"/>
  <c r="M1650" i="33"/>
  <c r="P1551" i="33"/>
  <c r="M1552" i="33"/>
  <c r="L1553" i="33"/>
  <c r="P1532" i="33"/>
  <c r="M1533" i="33"/>
  <c r="L1534" i="33"/>
  <c r="P1509" i="33"/>
  <c r="K1511" i="33"/>
  <c r="M1510" i="33"/>
  <c r="L1513" i="33"/>
  <c r="M1338" i="33"/>
  <c r="L1339" i="33"/>
  <c r="M1470" i="33"/>
  <c r="L1471" i="33"/>
  <c r="L1494" i="33"/>
  <c r="M1493" i="33"/>
  <c r="P1445" i="33"/>
  <c r="M1213" i="33"/>
  <c r="K1117" i="33"/>
  <c r="K1128" i="33" s="1"/>
  <c r="K1139" i="33" s="1"/>
  <c r="K1150" i="33" s="1"/>
  <c r="K1107" i="33"/>
  <c r="K1063" i="33"/>
  <c r="K1074" i="33" s="1"/>
  <c r="K1085" i="33" s="1"/>
  <c r="K1096" i="33" s="1"/>
  <c r="K1053" i="33"/>
  <c r="K1064" i="33" s="1"/>
  <c r="K1075" i="33" s="1"/>
  <c r="K1086" i="33" s="1"/>
  <c r="K1097" i="33" s="1"/>
  <c r="L34" i="33"/>
  <c r="L2104" i="33"/>
  <c r="L2067" i="33"/>
  <c r="P1407" i="33"/>
  <c r="P591" i="33"/>
  <c r="P602" i="33"/>
  <c r="K1409" i="33"/>
  <c r="M1408" i="33"/>
  <c r="P661" i="33"/>
  <c r="P2209" i="33"/>
  <c r="P645" i="33"/>
  <c r="P1336" i="33"/>
  <c r="P2171" i="33"/>
  <c r="P690" i="33"/>
  <c r="P656" i="33"/>
  <c r="P667" i="33"/>
  <c r="P1373" i="33"/>
  <c r="P665" i="33"/>
  <c r="P677" i="33"/>
  <c r="P2311" i="33"/>
  <c r="P27" i="33"/>
  <c r="P2292" i="33"/>
  <c r="P2228" i="33"/>
  <c r="P1734" i="33"/>
  <c r="P2247" i="33"/>
  <c r="P682" i="33"/>
  <c r="P2134" i="33"/>
  <c r="P1622" i="33"/>
  <c r="P2335" i="33"/>
  <c r="P1600" i="33"/>
  <c r="P659" i="33"/>
  <c r="P675" i="33"/>
  <c r="P663" i="33"/>
  <c r="P673" i="33"/>
  <c r="P2273" i="33"/>
  <c r="P2152" i="33"/>
  <c r="P2190" i="33"/>
  <c r="P635" i="33"/>
  <c r="P669" i="33"/>
  <c r="K657" i="33"/>
  <c r="M657" i="33" s="1"/>
  <c r="M646" i="33"/>
  <c r="M701" i="33"/>
  <c r="L712" i="33"/>
  <c r="M678" i="33"/>
  <c r="L689" i="33"/>
  <c r="M1374" i="33"/>
  <c r="L1375" i="33"/>
  <c r="M676" i="33"/>
  <c r="L687" i="33"/>
  <c r="K2313" i="33"/>
  <c r="M2312" i="33"/>
  <c r="K2211" i="33"/>
  <c r="M2210" i="33"/>
  <c r="L2277" i="33"/>
  <c r="M1337" i="33"/>
  <c r="K2173" i="33"/>
  <c r="M2172" i="33"/>
  <c r="L1627" i="33"/>
  <c r="L1993" i="33"/>
  <c r="L1411" i="33"/>
  <c r="M1492" i="33"/>
  <c r="L2256" i="33"/>
  <c r="L1450" i="33"/>
  <c r="M693" i="33"/>
  <c r="L704" i="33"/>
  <c r="L2028" i="33"/>
  <c r="M2135" i="33"/>
  <c r="L2136" i="33"/>
  <c r="M1469" i="33"/>
  <c r="K2294" i="33"/>
  <c r="M2293" i="33"/>
  <c r="L1889" i="33"/>
  <c r="M670" i="33"/>
  <c r="L681" i="33"/>
  <c r="M686" i="33"/>
  <c r="L697" i="33"/>
  <c r="M674" i="33"/>
  <c r="L685" i="33"/>
  <c r="L2318" i="33"/>
  <c r="L2296" i="33"/>
  <c r="L1958" i="33"/>
  <c r="K2275" i="33"/>
  <c r="M2274" i="33"/>
  <c r="K2154" i="33"/>
  <c r="M2153" i="33"/>
  <c r="K2192" i="33"/>
  <c r="M2191" i="33"/>
  <c r="K29" i="33"/>
  <c r="M28" i="33"/>
  <c r="K2230" i="33"/>
  <c r="M2229" i="33"/>
  <c r="M1735" i="33"/>
  <c r="M2336" i="33"/>
  <c r="L2337" i="33"/>
  <c r="M1601" i="33"/>
  <c r="L1602" i="33"/>
  <c r="K1624" i="33"/>
  <c r="M1623" i="33"/>
  <c r="K2249" i="33"/>
  <c r="M2248" i="33"/>
  <c r="K1447" i="33"/>
  <c r="K1448" i="33" s="1"/>
  <c r="M1446" i="33"/>
  <c r="L2198" i="33"/>
  <c r="M684" i="33"/>
  <c r="L695" i="33"/>
  <c r="M672" i="33"/>
  <c r="L683" i="33"/>
  <c r="L2217" i="33"/>
  <c r="M688" i="33"/>
  <c r="L699" i="33"/>
  <c r="M680" i="33"/>
  <c r="L691" i="33"/>
  <c r="P672" i="33" a="1"/>
  <c r="P2293" i="33" a="1"/>
  <c r="P2210" i="33" a="1"/>
  <c r="P680" i="33" a="1"/>
  <c r="P1977" i="33" a="1"/>
  <c r="P1908" i="33" a="1"/>
  <c r="P1875" i="33" a="1"/>
  <c r="P2248" i="33" a="1"/>
  <c r="P688" i="33" a="1"/>
  <c r="P1533" i="33" a="1"/>
  <c r="P2229" i="33" a="1"/>
  <c r="P693" i="33" a="1"/>
  <c r="P1408" i="33" a="1"/>
  <c r="P2191" i="33" a="1"/>
  <c r="P1601" i="33" a="1"/>
  <c r="P1470" i="33" a="1"/>
  <c r="P2135" i="33" a="1"/>
  <c r="P1694" i="33" a="1"/>
  <c r="P2336" i="33" a="1"/>
  <c r="P674" i="33" a="1"/>
  <c r="P670" i="33" a="1"/>
  <c r="P1552" i="33" a="1"/>
  <c r="P1714" i="33" a="1"/>
  <c r="P28" i="33" a="1"/>
  <c r="P684" i="33" a="1"/>
  <c r="P2274" i="33" a="1"/>
  <c r="P1674" i="33" a="1"/>
  <c r="P678" i="33" a="1"/>
  <c r="P1374" i="33" a="1"/>
  <c r="P1757" i="33" a="1"/>
  <c r="P646" i="33" a="1"/>
  <c r="P686" i="33" a="1"/>
  <c r="P657" i="33" a="1"/>
  <c r="P676" i="33" a="1"/>
  <c r="P1736" i="33" a="1"/>
  <c r="P1758" i="33" a="1"/>
  <c r="P1650" i="33" a="1"/>
  <c r="P1623" i="33" a="1"/>
  <c r="P2153" i="33" a="1"/>
  <c r="P1735" i="33" a="1"/>
  <c r="P2172" i="33" a="1"/>
  <c r="P1337" i="33" a="1"/>
  <c r="P2312" i="33" a="1"/>
  <c r="P701" i="33" a="1"/>
  <c r="P1510" i="33" a="1"/>
  <c r="P1493" i="33" a="1"/>
  <c r="P1338" i="33" a="1"/>
  <c r="P1908" i="33" l="1"/>
  <c r="P1977" i="33"/>
  <c r="P1875" i="33"/>
  <c r="K2013" i="33"/>
  <c r="M2012" i="33"/>
  <c r="K2081" i="33"/>
  <c r="M2046" i="33"/>
  <c r="K2047" i="33"/>
  <c r="K1877" i="33"/>
  <c r="M1876" i="33"/>
  <c r="K1979" i="33"/>
  <c r="M1978" i="33"/>
  <c r="M1909" i="33"/>
  <c r="K1910" i="33"/>
  <c r="K1943" i="33"/>
  <c r="M1942" i="33"/>
  <c r="P1757" i="33"/>
  <c r="P1758" i="33"/>
  <c r="P1736" i="33"/>
  <c r="K1738" i="33"/>
  <c r="M1737" i="33"/>
  <c r="P1714" i="33"/>
  <c r="K1716" i="33"/>
  <c r="M1715" i="33"/>
  <c r="L1718" i="33"/>
  <c r="P1694" i="33"/>
  <c r="K1696" i="33"/>
  <c r="M1695" i="33"/>
  <c r="P1674" i="33"/>
  <c r="L1676" i="33"/>
  <c r="M1675" i="33"/>
  <c r="P1650" i="33"/>
  <c r="K1652" i="33"/>
  <c r="M1651" i="33"/>
  <c r="L1654" i="33"/>
  <c r="P1552" i="33"/>
  <c r="M1553" i="33"/>
  <c r="L1554" i="33"/>
  <c r="M1554" i="33" s="1"/>
  <c r="P1533" i="33"/>
  <c r="L1535" i="33"/>
  <c r="M1535" i="33" s="1"/>
  <c r="M1534" i="33"/>
  <c r="P1510" i="33"/>
  <c r="L1514" i="33"/>
  <c r="K1512" i="33"/>
  <c r="M1511" i="33"/>
  <c r="P1338" i="33"/>
  <c r="P1470" i="33"/>
  <c r="P1493" i="33"/>
  <c r="M1448" i="33"/>
  <c r="K1449" i="33"/>
  <c r="K1118" i="33"/>
  <c r="K1129" i="33" s="1"/>
  <c r="K1140" i="33" s="1"/>
  <c r="K1151" i="33" s="1"/>
  <c r="K1108" i="33"/>
  <c r="K1119" i="33" s="1"/>
  <c r="K1130" i="33" s="1"/>
  <c r="K1141" i="33" s="1"/>
  <c r="K1152" i="33" s="1"/>
  <c r="L2105" i="33"/>
  <c r="L2068" i="33"/>
  <c r="P1408" i="33"/>
  <c r="K1410" i="33"/>
  <c r="M1409" i="33"/>
  <c r="P28" i="33"/>
  <c r="P678" i="33"/>
  <c r="P1601" i="33"/>
  <c r="P674" i="33"/>
  <c r="P693" i="33"/>
  <c r="P676" i="33"/>
  <c r="P2210" i="33"/>
  <c r="P701" i="33"/>
  <c r="P688" i="33"/>
  <c r="P2293" i="33"/>
  <c r="P2336" i="33"/>
  <c r="P686" i="33"/>
  <c r="P2274" i="33"/>
  <c r="P2248" i="33"/>
  <c r="P1623" i="33"/>
  <c r="P1735" i="33"/>
  <c r="P2191" i="33"/>
  <c r="P1337" i="33"/>
  <c r="P2312" i="33"/>
  <c r="P680" i="33"/>
  <c r="P672" i="33"/>
  <c r="P670" i="33"/>
  <c r="P2135" i="33"/>
  <c r="P646" i="33"/>
  <c r="P684" i="33"/>
  <c r="P2229" i="33"/>
  <c r="P2153" i="33"/>
  <c r="P2172" i="33"/>
  <c r="P1374" i="33"/>
  <c r="P657" i="33"/>
  <c r="M1447" i="33"/>
  <c r="L2278" i="33"/>
  <c r="M685" i="33"/>
  <c r="L696" i="33"/>
  <c r="L1412" i="33"/>
  <c r="L2218" i="33"/>
  <c r="K30" i="33"/>
  <c r="M29" i="33"/>
  <c r="K2276" i="33"/>
  <c r="M2275" i="33"/>
  <c r="K2295" i="33"/>
  <c r="M2294" i="33"/>
  <c r="M712" i="33"/>
  <c r="L723" i="33"/>
  <c r="M1602" i="33"/>
  <c r="L1603" i="33"/>
  <c r="M2337" i="33"/>
  <c r="L2338" i="33"/>
  <c r="L1959" i="33"/>
  <c r="M697" i="33"/>
  <c r="L708" i="33"/>
  <c r="M1471" i="33"/>
  <c r="L1472" i="33"/>
  <c r="L1451" i="33"/>
  <c r="L1994" i="33"/>
  <c r="L35" i="33"/>
  <c r="L36" i="33" s="1"/>
  <c r="K2231" i="33"/>
  <c r="M2230" i="33"/>
  <c r="K2174" i="33"/>
  <c r="M2173" i="33"/>
  <c r="L2199" i="33"/>
  <c r="K2212" i="33"/>
  <c r="M2211" i="33"/>
  <c r="M687" i="33"/>
  <c r="L698" i="33"/>
  <c r="M691" i="33"/>
  <c r="L702" i="33"/>
  <c r="M683" i="33"/>
  <c r="L694" i="33"/>
  <c r="L2297" i="33"/>
  <c r="M681" i="33"/>
  <c r="L692" i="33"/>
  <c r="M2136" i="33"/>
  <c r="L2137" i="33"/>
  <c r="L2257" i="33"/>
  <c r="L1628" i="33"/>
  <c r="M704" i="33"/>
  <c r="L715" i="33"/>
  <c r="K2250" i="33"/>
  <c r="M2249" i="33"/>
  <c r="K1625" i="33"/>
  <c r="M1624" i="33"/>
  <c r="K2193" i="33"/>
  <c r="M2192" i="33"/>
  <c r="M1339" i="33"/>
  <c r="L1340" i="33"/>
  <c r="K2314" i="33"/>
  <c r="M2313" i="33"/>
  <c r="M1375" i="33"/>
  <c r="L1376" i="33"/>
  <c r="K2155" i="33"/>
  <c r="M2154" i="33"/>
  <c r="M699" i="33"/>
  <c r="L710" i="33"/>
  <c r="M695" i="33"/>
  <c r="L706" i="33"/>
  <c r="L2319" i="33"/>
  <c r="L1890" i="33"/>
  <c r="L2029" i="33"/>
  <c r="M1494" i="33"/>
  <c r="L1495" i="33"/>
  <c r="M1495" i="33" s="1"/>
  <c r="M689" i="33"/>
  <c r="L700" i="33"/>
  <c r="P1715" i="33" a="1"/>
  <c r="P2173" i="33" a="1"/>
  <c r="P697" i="33" a="1"/>
  <c r="P695" i="33" a="1"/>
  <c r="P1553" i="33" a="1"/>
  <c r="P1511" i="33" a="1"/>
  <c r="P687" i="33" a="1"/>
  <c r="P1409" i="33" a="1"/>
  <c r="P1651" i="33" a="1"/>
  <c r="P2012" i="33" a="1"/>
  <c r="P1339" i="33" a="1"/>
  <c r="P2275" i="33" a="1"/>
  <c r="P1554" i="33" a="1"/>
  <c r="P681" i="33" a="1"/>
  <c r="P29" i="33" a="1"/>
  <c r="P691" i="33" a="1"/>
  <c r="P689" i="33" a="1"/>
  <c r="P2154" i="33" a="1"/>
  <c r="P1448" i="33" a="1"/>
  <c r="P1534" i="33" a="1"/>
  <c r="P2337" i="33" a="1"/>
  <c r="P1876" i="33" a="1"/>
  <c r="P2211" i="33" a="1"/>
  <c r="P1695" i="33" a="1"/>
  <c r="P1375" i="33" a="1"/>
  <c r="P2294" i="33" a="1"/>
  <c r="P2230" i="33" a="1"/>
  <c r="P1978" i="33" a="1"/>
  <c r="P1602" i="33" a="1"/>
  <c r="P1675" i="33" a="1"/>
  <c r="P2313" i="33" a="1"/>
  <c r="P685" i="33" a="1"/>
  <c r="P683" i="33" a="1"/>
  <c r="P2192" i="33" a="1"/>
  <c r="P1737" i="33" a="1"/>
  <c r="P1535" i="33" a="1"/>
  <c r="P699" i="33" a="1"/>
  <c r="P2249" i="33" a="1"/>
  <c r="P1942" i="33" a="1"/>
  <c r="P1624" i="33" a="1"/>
  <c r="P704" i="33" a="1"/>
  <c r="P2046" i="33" a="1"/>
  <c r="P2136" i="33" a="1"/>
  <c r="P712" i="33" a="1"/>
  <c r="P1909" i="33" a="1"/>
  <c r="P1942" i="33" l="1"/>
  <c r="P2046" i="33"/>
  <c r="P1909" i="33"/>
  <c r="P2012" i="33"/>
  <c r="P1978" i="33"/>
  <c r="P1876" i="33"/>
  <c r="K2048" i="33"/>
  <c r="M2047" i="33"/>
  <c r="K1944" i="33"/>
  <c r="M1943" i="33"/>
  <c r="K1911" i="33"/>
  <c r="M1910" i="33"/>
  <c r="K2082" i="33"/>
  <c r="M2081" i="33"/>
  <c r="K2014" i="33"/>
  <c r="M2013" i="33"/>
  <c r="K1980" i="33"/>
  <c r="M1979" i="33"/>
  <c r="K1878" i="33"/>
  <c r="M1877" i="33"/>
  <c r="P1737" i="33"/>
  <c r="K1739" i="33"/>
  <c r="M1739" i="33" s="1"/>
  <c r="M1738" i="33"/>
  <c r="P1715" i="33"/>
  <c r="L1719" i="33"/>
  <c r="K1717" i="33"/>
  <c r="M1716" i="33"/>
  <c r="P1695" i="33"/>
  <c r="K1697" i="33"/>
  <c r="M1696" i="33"/>
  <c r="P1675" i="33"/>
  <c r="L1677" i="33"/>
  <c r="M1676" i="33"/>
  <c r="P1651" i="33"/>
  <c r="L1655" i="33"/>
  <c r="K1653" i="33"/>
  <c r="M1652" i="33"/>
  <c r="P1554" i="33"/>
  <c r="P1553" i="33"/>
  <c r="P1534" i="33"/>
  <c r="P1535" i="33"/>
  <c r="P1511" i="33"/>
  <c r="K1513" i="33"/>
  <c r="M1512" i="33"/>
  <c r="L1515" i="33"/>
  <c r="P1448" i="33"/>
  <c r="L2106" i="33"/>
  <c r="L2069" i="33"/>
  <c r="P1409" i="33"/>
  <c r="K1411" i="33"/>
  <c r="M1410" i="33"/>
  <c r="P2154" i="33"/>
  <c r="P1339" i="33"/>
  <c r="P712" i="33"/>
  <c r="P29" i="33"/>
  <c r="P2173" i="33"/>
  <c r="P689" i="33"/>
  <c r="P2136" i="33"/>
  <c r="P683" i="33"/>
  <c r="P2337" i="33"/>
  <c r="P2211" i="33"/>
  <c r="P685" i="33"/>
  <c r="P695" i="33"/>
  <c r="P1375" i="33"/>
  <c r="P704" i="33"/>
  <c r="P681" i="33"/>
  <c r="P691" i="33"/>
  <c r="P1602" i="33"/>
  <c r="P2294" i="33"/>
  <c r="P2230" i="33"/>
  <c r="P2313" i="33"/>
  <c r="P1624" i="33"/>
  <c r="P2192" i="33"/>
  <c r="P699" i="33"/>
  <c r="P687" i="33"/>
  <c r="P697" i="33"/>
  <c r="P2275" i="33"/>
  <c r="P2249" i="33"/>
  <c r="L1891" i="33"/>
  <c r="L1341" i="33"/>
  <c r="M1340" i="33"/>
  <c r="L1995" i="33"/>
  <c r="M723" i="33"/>
  <c r="L734" i="33"/>
  <c r="K2277" i="33"/>
  <c r="M2276" i="33"/>
  <c r="L2219" i="33"/>
  <c r="K1450" i="33"/>
  <c r="M1449" i="33"/>
  <c r="K2156" i="33"/>
  <c r="M2155" i="33"/>
  <c r="K2251" i="33"/>
  <c r="M2250" i="33"/>
  <c r="L1413" i="33"/>
  <c r="M2137" i="33"/>
  <c r="L2138" i="33"/>
  <c r="L1452" i="33"/>
  <c r="M2338" i="33"/>
  <c r="L2339" i="33"/>
  <c r="K31" i="33"/>
  <c r="M30" i="33"/>
  <c r="K2194" i="33"/>
  <c r="M2193" i="33"/>
  <c r="M2174" i="33"/>
  <c r="K2175" i="33"/>
  <c r="M696" i="33"/>
  <c r="L707" i="33"/>
  <c r="M702" i="33"/>
  <c r="L713" i="33"/>
  <c r="M694" i="33"/>
  <c r="L705" i="33"/>
  <c r="M706" i="33"/>
  <c r="L717" i="33"/>
  <c r="M715" i="33"/>
  <c r="L726" i="33"/>
  <c r="M1472" i="33"/>
  <c r="L1473" i="33"/>
  <c r="K2213" i="33"/>
  <c r="M2212" i="33"/>
  <c r="K2232" i="33"/>
  <c r="M2231" i="33"/>
  <c r="M700" i="33"/>
  <c r="L711" i="33"/>
  <c r="M1376" i="33"/>
  <c r="L1377" i="33"/>
  <c r="L2030" i="33"/>
  <c r="M710" i="33"/>
  <c r="L721" i="33"/>
  <c r="L1629" i="33"/>
  <c r="L2298" i="33"/>
  <c r="M698" i="33"/>
  <c r="L709" i="33"/>
  <c r="L37" i="33"/>
  <c r="M708" i="33"/>
  <c r="L719" i="33"/>
  <c r="K2296" i="33"/>
  <c r="M2295" i="33"/>
  <c r="L2279" i="33"/>
  <c r="M692" i="33"/>
  <c r="L703" i="33"/>
  <c r="M1603" i="33"/>
  <c r="L1604" i="33"/>
  <c r="K2315" i="33"/>
  <c r="M2314" i="33"/>
  <c r="K1626" i="33"/>
  <c r="M1625" i="33"/>
  <c r="L2258" i="33"/>
  <c r="L1960" i="33"/>
  <c r="P1512" i="33" a="1"/>
  <c r="P30" i="33" a="1"/>
  <c r="P1738" i="33" a="1"/>
  <c r="P1943" i="33" a="1"/>
  <c r="P2193" i="33" a="1"/>
  <c r="P1376" i="33" a="1"/>
  <c r="P1340" i="33" a="1"/>
  <c r="P1603" i="33" a="1"/>
  <c r="P2276" i="33" a="1"/>
  <c r="P706" i="33" a="1"/>
  <c r="P2231" i="33" a="1"/>
  <c r="P2314" i="33" a="1"/>
  <c r="P723" i="33" a="1"/>
  <c r="P696" i="33" a="1"/>
  <c r="P2295" i="33" a="1"/>
  <c r="P1739" i="33" a="1"/>
  <c r="P2047" i="33" a="1"/>
  <c r="P1910" i="33" a="1"/>
  <c r="P2250" i="33" a="1"/>
  <c r="P1410" i="33" a="1"/>
  <c r="P700" i="33" a="1"/>
  <c r="P2174" i="33" a="1"/>
  <c r="P702" i="33" a="1"/>
  <c r="P1716" i="33" a="1"/>
  <c r="P1979" i="33" a="1"/>
  <c r="P694" i="33" a="1"/>
  <c r="P698" i="33" a="1"/>
  <c r="P1696" i="33" a="1"/>
  <c r="P708" i="33" a="1"/>
  <c r="P1652" i="33" a="1"/>
  <c r="P715" i="33" a="1"/>
  <c r="P2212" i="33" a="1"/>
  <c r="P1877" i="33" a="1"/>
  <c r="P2013" i="33" a="1"/>
  <c r="P692" i="33" a="1"/>
  <c r="P2137" i="33" a="1"/>
  <c r="P1625" i="33" a="1"/>
  <c r="P710" i="33" a="1"/>
  <c r="P2081" i="33" a="1"/>
  <c r="P2338" i="33" a="1"/>
  <c r="P1676" i="33" a="1"/>
  <c r="P2155" i="33" a="1"/>
  <c r="P2081" i="33" l="1"/>
  <c r="P2013" i="33"/>
  <c r="P2047" i="33"/>
  <c r="P1877" i="33"/>
  <c r="P1910" i="33"/>
  <c r="P1979" i="33"/>
  <c r="P1943" i="33"/>
  <c r="M2014" i="33"/>
  <c r="K2015" i="33"/>
  <c r="K2049" i="33"/>
  <c r="M2048" i="33"/>
  <c r="K2083" i="33"/>
  <c r="M2082" i="33"/>
  <c r="K1879" i="33"/>
  <c r="M1878" i="33"/>
  <c r="K1912" i="33"/>
  <c r="M1911" i="33"/>
  <c r="K1981" i="33"/>
  <c r="M1980" i="33"/>
  <c r="K1945" i="33"/>
  <c r="M1944" i="33"/>
  <c r="P1738" i="33"/>
  <c r="P1739" i="33"/>
  <c r="P1716" i="33"/>
  <c r="K1718" i="33"/>
  <c r="M1717" i="33"/>
  <c r="L1720" i="33"/>
  <c r="P1696" i="33"/>
  <c r="K1698" i="33"/>
  <c r="M1697" i="33"/>
  <c r="P1676" i="33"/>
  <c r="M1677" i="33"/>
  <c r="L1678" i="33"/>
  <c r="M1678" i="33" s="1"/>
  <c r="P1652" i="33"/>
  <c r="K1654" i="33"/>
  <c r="M1653" i="33"/>
  <c r="L1656" i="33"/>
  <c r="P1512" i="33"/>
  <c r="L1516" i="33"/>
  <c r="K1514" i="33"/>
  <c r="M1513" i="33"/>
  <c r="L2107" i="33"/>
  <c r="L2070" i="33"/>
  <c r="P1410" i="33"/>
  <c r="K1412" i="33"/>
  <c r="M1411" i="33"/>
  <c r="P2231" i="33"/>
  <c r="P30" i="33"/>
  <c r="P723" i="33"/>
  <c r="P710" i="33"/>
  <c r="P2174" i="33"/>
  <c r="P2295" i="33"/>
  <c r="P1603" i="33"/>
  <c r="P698" i="33"/>
  <c r="P715" i="33"/>
  <c r="P702" i="33"/>
  <c r="P2338" i="33"/>
  <c r="P1625" i="33"/>
  <c r="P2212" i="33"/>
  <c r="P2193" i="33"/>
  <c r="P1340" i="33"/>
  <c r="P692" i="33"/>
  <c r="P708" i="33"/>
  <c r="P1376" i="33"/>
  <c r="P706" i="33"/>
  <c r="P696" i="33"/>
  <c r="P2250" i="33"/>
  <c r="P2276" i="33"/>
  <c r="P2314" i="33"/>
  <c r="P700" i="33"/>
  <c r="P694" i="33"/>
  <c r="P2137" i="33"/>
  <c r="P2155" i="33"/>
  <c r="M721" i="33"/>
  <c r="L732" i="33"/>
  <c r="M1473" i="33"/>
  <c r="L1474" i="33"/>
  <c r="M1474" i="33" s="1"/>
  <c r="K2176" i="33"/>
  <c r="M2175" i="33"/>
  <c r="K2157" i="33"/>
  <c r="M2156" i="33"/>
  <c r="K2233" i="33"/>
  <c r="M2232" i="33"/>
  <c r="K32" i="33"/>
  <c r="K33" i="33" s="1"/>
  <c r="M31" i="33"/>
  <c r="L1414" i="33"/>
  <c r="L1996" i="33"/>
  <c r="M713" i="33"/>
  <c r="L724" i="33"/>
  <c r="K2297" i="33"/>
  <c r="M2296" i="33"/>
  <c r="M1604" i="33"/>
  <c r="L1605" i="33"/>
  <c r="L1606" i="33" s="1"/>
  <c r="M709" i="33"/>
  <c r="L720" i="33"/>
  <c r="L2031" i="33"/>
  <c r="M726" i="33"/>
  <c r="L737" i="33"/>
  <c r="M2339" i="33"/>
  <c r="L2340" i="33"/>
  <c r="K1451" i="33"/>
  <c r="M1450" i="33"/>
  <c r="L1961" i="33"/>
  <c r="M703" i="33"/>
  <c r="L714" i="33"/>
  <c r="M719" i="33"/>
  <c r="L730" i="33"/>
  <c r="L2299" i="33"/>
  <c r="M1377" i="33"/>
  <c r="L1378" i="33"/>
  <c r="M717" i="33"/>
  <c r="L728" i="33"/>
  <c r="M707" i="33"/>
  <c r="L718" i="33"/>
  <c r="K1627" i="33"/>
  <c r="M1626" i="33"/>
  <c r="K2214" i="33"/>
  <c r="M2213" i="33"/>
  <c r="K2195" i="33"/>
  <c r="M2194" i="33"/>
  <c r="M1341" i="33"/>
  <c r="L1342" i="33"/>
  <c r="M1342" i="33" s="1"/>
  <c r="M705" i="33"/>
  <c r="L716" i="33"/>
  <c r="L1630" i="33"/>
  <c r="L1631" i="33" s="1"/>
  <c r="M711" i="33"/>
  <c r="L722" i="33"/>
  <c r="M2138" i="33"/>
  <c r="L2139" i="33"/>
  <c r="M2139" i="33" s="1"/>
  <c r="K2252" i="33"/>
  <c r="M2251" i="33"/>
  <c r="K2278" i="33"/>
  <c r="M2277" i="33"/>
  <c r="L1892" i="33"/>
  <c r="L2259" i="33"/>
  <c r="K2316" i="33"/>
  <c r="M2315" i="33"/>
  <c r="L38" i="33"/>
  <c r="L39" i="33" s="1"/>
  <c r="M734" i="33"/>
  <c r="L745" i="33"/>
  <c r="P2315" i="33" a="1"/>
  <c r="P1911" i="33" a="1"/>
  <c r="P1878" i="33" a="1"/>
  <c r="P2213" i="33" a="1"/>
  <c r="P1944" i="33" a="1"/>
  <c r="P1677" i="33" a="1"/>
  <c r="P709" i="33" a="1"/>
  <c r="P1678" i="33" a="1"/>
  <c r="P2014" i="33" a="1"/>
  <c r="P713" i="33" a="1"/>
  <c r="P1341" i="33" a="1"/>
  <c r="P2139" i="33" a="1"/>
  <c r="P2138" i="33" a="1"/>
  <c r="P1342" i="33" a="1"/>
  <c r="P707" i="33" a="1"/>
  <c r="P1377" i="33" a="1"/>
  <c r="P705" i="33" a="1"/>
  <c r="P726" i="33" a="1"/>
  <c r="P2277" i="33" a="1"/>
  <c r="P1513" i="33" a="1"/>
  <c r="P1697" i="33" a="1"/>
  <c r="P717" i="33" a="1"/>
  <c r="P2156" i="33" a="1"/>
  <c r="P2048" i="33" a="1"/>
  <c r="P2232" i="33" a="1"/>
  <c r="P2296" i="33" a="1"/>
  <c r="P2339" i="33" a="1"/>
  <c r="P1653" i="33" a="1"/>
  <c r="P721" i="33" a="1"/>
  <c r="P1980" i="33" a="1"/>
  <c r="P703" i="33" a="1"/>
  <c r="P2082" i="33" a="1"/>
  <c r="P734" i="33" a="1"/>
  <c r="P1717" i="33" a="1"/>
  <c r="P31" i="33" a="1"/>
  <c r="P1626" i="33" a="1"/>
  <c r="P2175" i="33" a="1"/>
  <c r="P1604" i="33" a="1"/>
  <c r="P711" i="33" a="1"/>
  <c r="P2194" i="33" a="1"/>
  <c r="P1411" i="33" a="1"/>
  <c r="P719" i="33" a="1"/>
  <c r="P2251" i="33" a="1"/>
  <c r="P1878" i="33" l="1"/>
  <c r="P2014" i="33"/>
  <c r="P1944" i="33"/>
  <c r="P2082" i="33"/>
  <c r="P1980" i="33"/>
  <c r="P2048" i="33"/>
  <c r="P1911" i="33"/>
  <c r="K1880" i="33"/>
  <c r="M1879" i="33"/>
  <c r="K1946" i="33"/>
  <c r="M1945" i="33"/>
  <c r="M2083" i="33"/>
  <c r="K2084" i="33"/>
  <c r="K1982" i="33"/>
  <c r="M1981" i="33"/>
  <c r="K2050" i="33"/>
  <c r="M2049" i="33"/>
  <c r="K1913" i="33"/>
  <c r="M1912" i="33"/>
  <c r="K2016" i="33"/>
  <c r="M2015" i="33"/>
  <c r="P1717" i="33"/>
  <c r="K1719" i="33"/>
  <c r="M1718" i="33"/>
  <c r="P1697" i="33"/>
  <c r="K1699" i="33"/>
  <c r="M1699" i="33" s="1"/>
  <c r="M1698" i="33"/>
  <c r="P1678" i="33"/>
  <c r="P1677" i="33"/>
  <c r="P1653" i="33"/>
  <c r="K1655" i="33"/>
  <c r="M1654" i="33"/>
  <c r="L1632" i="33"/>
  <c r="L1607" i="33"/>
  <c r="M1606" i="33"/>
  <c r="P1513" i="33"/>
  <c r="K1515" i="33"/>
  <c r="M1514" i="33"/>
  <c r="K34" i="33"/>
  <c r="M33" i="33"/>
  <c r="L2108" i="33"/>
  <c r="L2071" i="33"/>
  <c r="P1411" i="33"/>
  <c r="K1413" i="33"/>
  <c r="M1412" i="33"/>
  <c r="P2139" i="33"/>
  <c r="P1342" i="33"/>
  <c r="P1377" i="33"/>
  <c r="P2296" i="33"/>
  <c r="P709" i="33"/>
  <c r="P2138" i="33"/>
  <c r="P1341" i="33"/>
  <c r="P719" i="33"/>
  <c r="P1604" i="33"/>
  <c r="P2156" i="33"/>
  <c r="P721" i="33"/>
  <c r="P2213" i="33"/>
  <c r="P2339" i="33"/>
  <c r="P2232" i="33"/>
  <c r="P713" i="33"/>
  <c r="P2194" i="33"/>
  <c r="P734" i="33"/>
  <c r="P2251" i="33"/>
  <c r="P1626" i="33"/>
  <c r="P717" i="33"/>
  <c r="P703" i="33"/>
  <c r="P726" i="33"/>
  <c r="P2175" i="33"/>
  <c r="P31" i="33"/>
  <c r="P711" i="33"/>
  <c r="P2277" i="33"/>
  <c r="P707" i="33"/>
  <c r="P2315" i="33"/>
  <c r="P705" i="33"/>
  <c r="M718" i="33"/>
  <c r="L729" i="33"/>
  <c r="L1415" i="33"/>
  <c r="M722" i="33"/>
  <c r="L733" i="33"/>
  <c r="K2196" i="33"/>
  <c r="M2195" i="33"/>
  <c r="M32" i="33"/>
  <c r="M720" i="33"/>
  <c r="L731" i="33"/>
  <c r="K2298" i="33"/>
  <c r="M2297" i="33"/>
  <c r="K1452" i="33"/>
  <c r="M1452" i="33" s="1"/>
  <c r="M1451" i="33"/>
  <c r="M724" i="33"/>
  <c r="L735" i="33"/>
  <c r="L1893" i="33"/>
  <c r="M2340" i="33"/>
  <c r="L2341" i="33"/>
  <c r="L40" i="33"/>
  <c r="M745" i="33"/>
  <c r="L756" i="33"/>
  <c r="K2279" i="33"/>
  <c r="M2279" i="33" s="1"/>
  <c r="M2278" i="33"/>
  <c r="K2215" i="33"/>
  <c r="M2214" i="33"/>
  <c r="M728" i="33"/>
  <c r="L739" i="33"/>
  <c r="M714" i="33"/>
  <c r="L725" i="33"/>
  <c r="M737" i="33"/>
  <c r="L748" i="33"/>
  <c r="K2234" i="33"/>
  <c r="M2233" i="33"/>
  <c r="K2158" i="33"/>
  <c r="M2157" i="33"/>
  <c r="M1605" i="33"/>
  <c r="L1997" i="33"/>
  <c r="M730" i="33"/>
  <c r="L741" i="33"/>
  <c r="M732" i="33"/>
  <c r="L743" i="33"/>
  <c r="M716" i="33"/>
  <c r="L727" i="33"/>
  <c r="K2317" i="33"/>
  <c r="M2316" i="33"/>
  <c r="K2253" i="33"/>
  <c r="M2252" i="33"/>
  <c r="K1628" i="33"/>
  <c r="M1627" i="33"/>
  <c r="M1378" i="33"/>
  <c r="L1379" i="33"/>
  <c r="L1962" i="33"/>
  <c r="L2032" i="33"/>
  <c r="K2177" i="33"/>
  <c r="M2176" i="33"/>
  <c r="P720" i="33" a="1"/>
  <c r="P1412" i="33" a="1"/>
  <c r="P2015" i="33" a="1"/>
  <c r="P2316" i="33" a="1"/>
  <c r="P2252" i="33" a="1"/>
  <c r="P2083" i="33" a="1"/>
  <c r="P2278" i="33" a="1"/>
  <c r="P728" i="33" a="1"/>
  <c r="P2195" i="33" a="1"/>
  <c r="P730" i="33" a="1"/>
  <c r="P2297" i="33" a="1"/>
  <c r="P1606" i="33" a="1"/>
  <c r="P1981" i="33" a="1"/>
  <c r="P714" i="33" a="1"/>
  <c r="P2279" i="33" a="1"/>
  <c r="P745" i="33" a="1"/>
  <c r="P2340" i="33" a="1"/>
  <c r="P718" i="33" a="1"/>
  <c r="P1699" i="33" a="1"/>
  <c r="P722" i="33" a="1"/>
  <c r="P1627" i="33" a="1"/>
  <c r="P1514" i="33" a="1"/>
  <c r="P1945" i="33" a="1"/>
  <c r="P1378" i="33" a="1"/>
  <c r="P2049" i="33" a="1"/>
  <c r="P1654" i="33" a="1"/>
  <c r="P33" i="33" a="1"/>
  <c r="P2157" i="33" a="1"/>
  <c r="P32" i="33" a="1"/>
  <c r="P1912" i="33" a="1"/>
  <c r="P1698" i="33" a="1"/>
  <c r="P2233" i="33" a="1"/>
  <c r="P2214" i="33" a="1"/>
  <c r="P1879" i="33" a="1"/>
  <c r="P2176" i="33" a="1"/>
  <c r="P732" i="33" a="1"/>
  <c r="P737" i="33" a="1"/>
  <c r="P724" i="33" a="1"/>
  <c r="P1718" i="33" a="1"/>
  <c r="P1605" i="33" a="1"/>
  <c r="P716" i="33" a="1"/>
  <c r="P2015" i="33" l="1"/>
  <c r="P2083" i="33"/>
  <c r="P1912" i="33"/>
  <c r="P1945" i="33"/>
  <c r="P1981" i="33"/>
  <c r="P2049" i="33"/>
  <c r="P1879" i="33"/>
  <c r="K1881" i="33"/>
  <c r="M1880" i="33"/>
  <c r="K1983" i="33"/>
  <c r="M1982" i="33"/>
  <c r="K2085" i="33"/>
  <c r="M2084" i="33"/>
  <c r="K2017" i="33"/>
  <c r="M2016" i="33"/>
  <c r="K1914" i="33"/>
  <c r="M1913" i="33"/>
  <c r="K1947" i="33"/>
  <c r="M1946" i="33"/>
  <c r="K2051" i="33"/>
  <c r="M2050" i="33"/>
  <c r="P1718" i="33"/>
  <c r="K1720" i="33"/>
  <c r="M1720" i="33" s="1"/>
  <c r="M1719" i="33"/>
  <c r="P1698" i="33"/>
  <c r="P1699" i="33"/>
  <c r="P1654" i="33"/>
  <c r="K1656" i="33"/>
  <c r="M1656" i="33" s="1"/>
  <c r="M1655" i="33"/>
  <c r="L1633" i="33"/>
  <c r="P1606" i="33"/>
  <c r="L1608" i="33"/>
  <c r="M1607" i="33"/>
  <c r="P1514" i="33"/>
  <c r="K1516" i="33"/>
  <c r="M1516" i="33" s="1"/>
  <c r="M1515" i="33"/>
  <c r="P33" i="33"/>
  <c r="L2109" i="33"/>
  <c r="L2072" i="33"/>
  <c r="P1412" i="33"/>
  <c r="K1414" i="33"/>
  <c r="M1413" i="33"/>
  <c r="P2316" i="33"/>
  <c r="P2195" i="33"/>
  <c r="P732" i="33"/>
  <c r="P728" i="33"/>
  <c r="P724" i="33"/>
  <c r="P2297" i="33"/>
  <c r="P32" i="33"/>
  <c r="P2233" i="33"/>
  <c r="P737" i="33"/>
  <c r="P2279" i="33"/>
  <c r="P2340" i="33"/>
  <c r="P720" i="33"/>
  <c r="P718" i="33"/>
  <c r="P2252" i="33"/>
  <c r="P2214" i="33"/>
  <c r="P730" i="33"/>
  <c r="P2176" i="33"/>
  <c r="P2278" i="33"/>
  <c r="P1378" i="33"/>
  <c r="P716" i="33"/>
  <c r="P1605" i="33"/>
  <c r="P714" i="33"/>
  <c r="P745" i="33"/>
  <c r="P722" i="33"/>
  <c r="P1627" i="33"/>
  <c r="P2157" i="33"/>
  <c r="L2033" i="33"/>
  <c r="M2177" i="33"/>
  <c r="K2178" i="33"/>
  <c r="K1629" i="33"/>
  <c r="M1628" i="33"/>
  <c r="K2159" i="33"/>
  <c r="M2159" i="33" s="1"/>
  <c r="M2158" i="33"/>
  <c r="K2235" i="33"/>
  <c r="M2234" i="33"/>
  <c r="K2254" i="33"/>
  <c r="M2253" i="33"/>
  <c r="K2216" i="33"/>
  <c r="M2215" i="33"/>
  <c r="K2299" i="33"/>
  <c r="M2299" i="33" s="1"/>
  <c r="M2298" i="33"/>
  <c r="L1998" i="33"/>
  <c r="M731" i="33"/>
  <c r="L742" i="33"/>
  <c r="K2318" i="33"/>
  <c r="M2317" i="33"/>
  <c r="K2197" i="33"/>
  <c r="M2196" i="33"/>
  <c r="K35" i="33"/>
  <c r="K36" i="33" s="1"/>
  <c r="M34" i="33"/>
  <c r="L1963" i="33"/>
  <c r="M748" i="33"/>
  <c r="L759" i="33"/>
  <c r="M2341" i="33"/>
  <c r="L2342" i="33"/>
  <c r="L2343" i="33" s="1"/>
  <c r="M729" i="33"/>
  <c r="L740" i="33"/>
  <c r="M1379" i="33"/>
  <c r="L1380" i="33"/>
  <c r="M727" i="33"/>
  <c r="L738" i="33"/>
  <c r="M725" i="33"/>
  <c r="L736" i="33"/>
  <c r="M756" i="33"/>
  <c r="L767" i="33"/>
  <c r="L1894" i="33"/>
  <c r="M733" i="33"/>
  <c r="L744" i="33"/>
  <c r="M741" i="33"/>
  <c r="L752" i="33"/>
  <c r="M743" i="33"/>
  <c r="L754" i="33"/>
  <c r="M739" i="33"/>
  <c r="L750" i="33"/>
  <c r="L41" i="33"/>
  <c r="M735" i="33"/>
  <c r="L746" i="33"/>
  <c r="L1416" i="33"/>
  <c r="K21" i="38"/>
  <c r="L4" i="39" s="1"/>
  <c r="H4" i="39" a="1"/>
  <c r="K4" i="39" a="1"/>
  <c r="P1880" i="33" a="1"/>
  <c r="P2234" i="33" a="1"/>
  <c r="P1656" i="33" a="1"/>
  <c r="P741" i="33" a="1"/>
  <c r="P34" i="33" a="1"/>
  <c r="P748" i="33" a="1"/>
  <c r="P2050" i="33" a="1"/>
  <c r="P1982" i="33" a="1"/>
  <c r="P2341" i="33" a="1"/>
  <c r="P1913" i="33" a="1"/>
  <c r="P2159" i="33" a="1"/>
  <c r="P2158" i="33" a="1"/>
  <c r="P1655" i="33" a="1"/>
  <c r="P2177" i="33" a="1"/>
  <c r="P731" i="33" a="1"/>
  <c r="P1515" i="33" a="1"/>
  <c r="P1719" i="33" a="1"/>
  <c r="P727" i="33" a="1"/>
  <c r="P725" i="33" a="1"/>
  <c r="P743" i="33" a="1"/>
  <c r="P756" i="33" a="1"/>
  <c r="P2253" i="33" a="1"/>
  <c r="P739" i="33" a="1"/>
  <c r="P2299" i="33" a="1"/>
  <c r="P1628" i="33" a="1"/>
  <c r="P1946" i="33" a="1"/>
  <c r="P1413" i="33" a="1"/>
  <c r="P2084" i="33" a="1"/>
  <c r="P2298" i="33" a="1"/>
  <c r="P2196" i="33" a="1"/>
  <c r="P1516" i="33" a="1"/>
  <c r="P733" i="33" a="1"/>
  <c r="P1720" i="33" a="1"/>
  <c r="P2317" i="33" a="1"/>
  <c r="P2215" i="33" a="1"/>
  <c r="P1379" i="33" a="1"/>
  <c r="P1607" i="33" a="1"/>
  <c r="P729" i="33" a="1"/>
  <c r="P735" i="33" a="1"/>
  <c r="P2016" i="33" a="1"/>
  <c r="P2016" i="33" l="1"/>
  <c r="P2050" i="33"/>
  <c r="P2084" i="33"/>
  <c r="P1946" i="33"/>
  <c r="P1982" i="33"/>
  <c r="P1913" i="33"/>
  <c r="P1880" i="33"/>
  <c r="K1915" i="33"/>
  <c r="M1914" i="33"/>
  <c r="K1882" i="33"/>
  <c r="M1881" i="33"/>
  <c r="K2018" i="33"/>
  <c r="M2017" i="33"/>
  <c r="K2052" i="33"/>
  <c r="M2051" i="33"/>
  <c r="K2086" i="33"/>
  <c r="M2085" i="33"/>
  <c r="K1948" i="33"/>
  <c r="M1947" i="33"/>
  <c r="K1984" i="33"/>
  <c r="M1983" i="33"/>
  <c r="M2343" i="33"/>
  <c r="L2344" i="33"/>
  <c r="P1719" i="33"/>
  <c r="P1720" i="33"/>
  <c r="P1655" i="33"/>
  <c r="P1656" i="33"/>
  <c r="L1634" i="33"/>
  <c r="P1607" i="33"/>
  <c r="L1609" i="33"/>
  <c r="M1609" i="33" s="1"/>
  <c r="M1608" i="33"/>
  <c r="P1515" i="33"/>
  <c r="P1516" i="33"/>
  <c r="K37" i="33"/>
  <c r="M36" i="33"/>
  <c r="L2110" i="33"/>
  <c r="L2073" i="33"/>
  <c r="P1413" i="33"/>
  <c r="K1415" i="33"/>
  <c r="M1414" i="33"/>
  <c r="P34" i="33"/>
  <c r="P2253" i="33"/>
  <c r="P1628" i="33"/>
  <c r="P739" i="33"/>
  <c r="P741" i="33"/>
  <c r="P725" i="33"/>
  <c r="P729" i="33"/>
  <c r="P2196" i="33"/>
  <c r="P743" i="33"/>
  <c r="P733" i="33"/>
  <c r="P2341" i="33"/>
  <c r="P2317" i="33"/>
  <c r="P2298" i="33"/>
  <c r="P2234" i="33"/>
  <c r="P735" i="33"/>
  <c r="P727" i="33"/>
  <c r="P748" i="33"/>
  <c r="P2299" i="33"/>
  <c r="P2177" i="33"/>
  <c r="P2215" i="33"/>
  <c r="P2158" i="33"/>
  <c r="P756" i="33"/>
  <c r="P1379" i="33"/>
  <c r="P731" i="33"/>
  <c r="P2159" i="33"/>
  <c r="L1417" i="33"/>
  <c r="M750" i="33"/>
  <c r="L761" i="33"/>
  <c r="M752" i="33"/>
  <c r="L763" i="33"/>
  <c r="M736" i="33"/>
  <c r="L747" i="33"/>
  <c r="M740" i="33"/>
  <c r="L751" i="33"/>
  <c r="L1999" i="33"/>
  <c r="M35" i="33"/>
  <c r="K2255" i="33"/>
  <c r="M2254" i="33"/>
  <c r="K1630" i="33"/>
  <c r="K1631" i="33" s="1"/>
  <c r="M1629" i="33"/>
  <c r="M754" i="33"/>
  <c r="L765" i="33"/>
  <c r="M744" i="33"/>
  <c r="L755" i="33"/>
  <c r="M2342" i="33"/>
  <c r="K2198" i="33"/>
  <c r="M2197" i="33"/>
  <c r="M746" i="33"/>
  <c r="L757" i="33"/>
  <c r="L1895" i="33"/>
  <c r="M738" i="33"/>
  <c r="L749" i="33"/>
  <c r="M759" i="33"/>
  <c r="L770" i="33"/>
  <c r="K2179" i="33"/>
  <c r="M2179" i="33" s="1"/>
  <c r="M2178" i="33"/>
  <c r="K2319" i="33"/>
  <c r="M2319" i="33" s="1"/>
  <c r="M2318" i="33"/>
  <c r="K2236" i="33"/>
  <c r="M2235" i="33"/>
  <c r="M767" i="33"/>
  <c r="L778" i="33"/>
  <c r="M1380" i="33"/>
  <c r="L1381" i="33"/>
  <c r="L1964" i="33"/>
  <c r="M742" i="33"/>
  <c r="L753" i="33"/>
  <c r="L2034" i="33"/>
  <c r="L42" i="33"/>
  <c r="K2217" i="33"/>
  <c r="M2216" i="33"/>
  <c r="K4" i="39"/>
  <c r="H4" i="39"/>
  <c r="D862" i="1"/>
  <c r="E862" i="1"/>
  <c r="T862" i="1" s="1"/>
  <c r="P752" i="33" a="1"/>
  <c r="P36" i="33" a="1"/>
  <c r="P744" i="33" a="1"/>
  <c r="P2254" i="33" a="1"/>
  <c r="P1414" i="33" a="1"/>
  <c r="P1380" i="33" a="1"/>
  <c r="P738" i="33" a="1"/>
  <c r="P1947" i="33" a="1"/>
  <c r="P2235" i="33" a="1"/>
  <c r="P2197" i="33" a="1"/>
  <c r="P1629" i="33" a="1"/>
  <c r="P2318" i="33" a="1"/>
  <c r="P740" i="33" a="1"/>
  <c r="P2216" i="33" a="1"/>
  <c r="P2178" i="33" a="1"/>
  <c r="P2017" i="33" a="1"/>
  <c r="P746" i="33" a="1"/>
  <c r="P1608" i="33" a="1"/>
  <c r="P2342" i="33" a="1"/>
  <c r="P1881" i="33" a="1"/>
  <c r="P2179" i="33" a="1"/>
  <c r="P767" i="33" a="1"/>
  <c r="P2085" i="33" a="1"/>
  <c r="P1609" i="33" a="1"/>
  <c r="P2343" i="33" a="1"/>
  <c r="P750" i="33" a="1"/>
  <c r="P1914" i="33" a="1"/>
  <c r="P1983" i="33" a="1"/>
  <c r="P754" i="33" a="1"/>
  <c r="P2319" i="33" a="1"/>
  <c r="P759" i="33" a="1"/>
  <c r="P2051" i="33" a="1"/>
  <c r="P35" i="33" a="1"/>
  <c r="P736" i="33" a="1"/>
  <c r="P742" i="33" a="1"/>
  <c r="M862" i="1" l="1"/>
  <c r="K862" i="1"/>
  <c r="AE54" i="7"/>
  <c r="F853" i="1"/>
  <c r="F856" i="1"/>
  <c r="P2051" i="33"/>
  <c r="P1983" i="33"/>
  <c r="P2017" i="33"/>
  <c r="P1947" i="33"/>
  <c r="P1881" i="33"/>
  <c r="P2085" i="33"/>
  <c r="P1914" i="33"/>
  <c r="K2087" i="33"/>
  <c r="M2086" i="33"/>
  <c r="K1916" i="33"/>
  <c r="M1915" i="33"/>
  <c r="K2053" i="33"/>
  <c r="M2052" i="33"/>
  <c r="K1985" i="33"/>
  <c r="M1984" i="33"/>
  <c r="M2018" i="33"/>
  <c r="K2019" i="33"/>
  <c r="K1949" i="33"/>
  <c r="M1948" i="33"/>
  <c r="K1883" i="33"/>
  <c r="M1882" i="33"/>
  <c r="P2343" i="33"/>
  <c r="K1632" i="33"/>
  <c r="M1631" i="33"/>
  <c r="P1608" i="33"/>
  <c r="P1609" i="33"/>
  <c r="P36" i="33"/>
  <c r="L2111" i="33"/>
  <c r="L2074" i="33"/>
  <c r="P1414" i="33"/>
  <c r="P736" i="33"/>
  <c r="K1416" i="33"/>
  <c r="M1415" i="33"/>
  <c r="P2197" i="33"/>
  <c r="P2254" i="33"/>
  <c r="P1380" i="33"/>
  <c r="P2178" i="33"/>
  <c r="P35" i="33"/>
  <c r="P767" i="33"/>
  <c r="P2179" i="33"/>
  <c r="P746" i="33"/>
  <c r="P744" i="33"/>
  <c r="P752" i="33"/>
  <c r="P2216" i="33"/>
  <c r="P2235" i="33"/>
  <c r="P742" i="33"/>
  <c r="P759" i="33"/>
  <c r="P754" i="33"/>
  <c r="P750" i="33"/>
  <c r="P2318" i="33"/>
  <c r="P1629" i="33"/>
  <c r="P2319" i="33"/>
  <c r="P738" i="33"/>
  <c r="P2342" i="33"/>
  <c r="P740" i="33"/>
  <c r="M1381" i="33"/>
  <c r="L1382" i="33"/>
  <c r="L1896" i="33"/>
  <c r="M747" i="33"/>
  <c r="L758" i="33"/>
  <c r="L43" i="33"/>
  <c r="K2199" i="33"/>
  <c r="M2199" i="33" s="1"/>
  <c r="M2198" i="33"/>
  <c r="K2256" i="33"/>
  <c r="M2255" i="33"/>
  <c r="L789" i="33"/>
  <c r="M778" i="33"/>
  <c r="M757" i="33"/>
  <c r="L768" i="33"/>
  <c r="M755" i="33"/>
  <c r="L766" i="33"/>
  <c r="M763" i="33"/>
  <c r="L774" i="33"/>
  <c r="K38" i="33"/>
  <c r="K39" i="33" s="1"/>
  <c r="M37" i="33"/>
  <c r="M753" i="33"/>
  <c r="L764" i="33"/>
  <c r="L781" i="33"/>
  <c r="M770" i="33"/>
  <c r="M765" i="33"/>
  <c r="L776" i="33"/>
  <c r="L2000" i="33"/>
  <c r="M761" i="33"/>
  <c r="L772" i="33"/>
  <c r="L2035" i="33"/>
  <c r="K2218" i="33"/>
  <c r="M2217" i="33"/>
  <c r="K2237" i="33"/>
  <c r="M2236" i="33"/>
  <c r="L1965" i="33"/>
  <c r="M749" i="33"/>
  <c r="L760" i="33"/>
  <c r="M2344" i="33"/>
  <c r="L2345" i="33"/>
  <c r="M751" i="33"/>
  <c r="L762" i="33"/>
  <c r="L1418" i="33"/>
  <c r="M1630" i="33"/>
  <c r="P1630" i="33" a="1"/>
  <c r="P751" i="33" a="1"/>
  <c r="P2255" i="33" a="1"/>
  <c r="P770" i="33" a="1"/>
  <c r="P753" i="33" a="1"/>
  <c r="P755" i="33" a="1"/>
  <c r="P761" i="33" a="1"/>
  <c r="P2344" i="33" a="1"/>
  <c r="P778" i="33" a="1"/>
  <c r="P757" i="33" a="1"/>
  <c r="P1984" i="33" a="1"/>
  <c r="P37" i="33" a="1"/>
  <c r="P1948" i="33" a="1"/>
  <c r="P2236" i="33" a="1"/>
  <c r="P2052" i="33" a="1"/>
  <c r="P749" i="33" a="1"/>
  <c r="P2018" i="33" a="1"/>
  <c r="P1415" i="33" a="1"/>
  <c r="P1381" i="33" a="1"/>
  <c r="P747" i="33" a="1"/>
  <c r="P1631" i="33" a="1"/>
  <c r="P1882" i="33" a="1"/>
  <c r="P1915" i="33" a="1"/>
  <c r="P765" i="33" a="1"/>
  <c r="P2086" i="33" a="1"/>
  <c r="P2198" i="33" a="1"/>
  <c r="P763" i="33" a="1"/>
  <c r="P2217" i="33" a="1"/>
  <c r="P2199" i="33" a="1"/>
  <c r="H856" i="1" l="1"/>
  <c r="I856" i="1" s="1"/>
  <c r="P2018" i="33"/>
  <c r="P1984" i="33"/>
  <c r="P1882" i="33"/>
  <c r="P2052" i="33"/>
  <c r="P1948" i="33"/>
  <c r="P1915" i="33"/>
  <c r="P2086" i="33"/>
  <c r="K2088" i="33"/>
  <c r="M2087" i="33"/>
  <c r="M1985" i="33"/>
  <c r="K1986" i="33"/>
  <c r="K1884" i="33"/>
  <c r="M1883" i="33"/>
  <c r="K2054" i="33"/>
  <c r="M2053" i="33"/>
  <c r="K1950" i="33"/>
  <c r="M1949" i="33"/>
  <c r="K1917" i="33"/>
  <c r="M1916" i="33"/>
  <c r="M2019" i="33"/>
  <c r="K2020" i="33"/>
  <c r="P1631" i="33"/>
  <c r="K1633" i="33"/>
  <c r="M1632" i="33"/>
  <c r="M39" i="33"/>
  <c r="K40" i="33"/>
  <c r="L2112" i="33"/>
  <c r="L2075" i="33"/>
  <c r="P1415" i="33"/>
  <c r="K1417" i="33"/>
  <c r="M1416" i="33"/>
  <c r="P749" i="33"/>
  <c r="P765" i="33"/>
  <c r="P778" i="33"/>
  <c r="P757" i="33"/>
  <c r="P770" i="33"/>
  <c r="P2255" i="33"/>
  <c r="P763" i="33"/>
  <c r="P747" i="33"/>
  <c r="P1381" i="33"/>
  <c r="P1630" i="33"/>
  <c r="P751" i="33"/>
  <c r="P761" i="33"/>
  <c r="P2198" i="33"/>
  <c r="P2236" i="33"/>
  <c r="P753" i="33"/>
  <c r="P755" i="33"/>
  <c r="P2199" i="33"/>
  <c r="P2217" i="33"/>
  <c r="P2344" i="33"/>
  <c r="P37" i="33"/>
  <c r="L787" i="33"/>
  <c r="M776" i="33"/>
  <c r="M38" i="33"/>
  <c r="K2219" i="33"/>
  <c r="M2219" i="33" s="1"/>
  <c r="M2218" i="33"/>
  <c r="L1419" i="33"/>
  <c r="L1966" i="33"/>
  <c r="L2036" i="33"/>
  <c r="M789" i="33"/>
  <c r="L800" i="33"/>
  <c r="L44" i="33"/>
  <c r="L785" i="33"/>
  <c r="M774" i="33"/>
  <c r="M758" i="33"/>
  <c r="L769" i="33"/>
  <c r="M762" i="33"/>
  <c r="L773" i="33"/>
  <c r="L783" i="33"/>
  <c r="M772" i="33"/>
  <c r="M781" i="33"/>
  <c r="L792" i="33"/>
  <c r="K2257" i="33"/>
  <c r="M2256" i="33"/>
  <c r="M764" i="33"/>
  <c r="L775" i="33"/>
  <c r="M766" i="33"/>
  <c r="L777" i="33"/>
  <c r="L1897" i="33"/>
  <c r="M760" i="33"/>
  <c r="L771" i="33"/>
  <c r="M2345" i="33"/>
  <c r="L2346" i="33"/>
  <c r="L2001" i="33"/>
  <c r="K2238" i="33"/>
  <c r="M2237" i="33"/>
  <c r="L779" i="33"/>
  <c r="M768" i="33"/>
  <c r="M1382" i="33"/>
  <c r="L1383" i="33"/>
  <c r="P2256" i="33" a="1"/>
  <c r="P789" i="33" a="1"/>
  <c r="P38" i="33" a="1"/>
  <c r="P1632" i="33" a="1"/>
  <c r="P1916" i="33" a="1"/>
  <c r="P781" i="33" a="1"/>
  <c r="P766" i="33" a="1"/>
  <c r="P772" i="33" a="1"/>
  <c r="P768" i="33" a="1"/>
  <c r="P1382" i="33" a="1"/>
  <c r="P1985" i="33" a="1"/>
  <c r="P2237" i="33" a="1"/>
  <c r="P1949" i="33" a="1"/>
  <c r="P2219" i="33" a="1"/>
  <c r="P1416" i="33" a="1"/>
  <c r="P2053" i="33" a="1"/>
  <c r="P762" i="33" a="1"/>
  <c r="P760" i="33" a="1"/>
  <c r="P39" i="33" a="1"/>
  <c r="P758" i="33" a="1"/>
  <c r="P774" i="33" a="1"/>
  <c r="P764" i="33" a="1"/>
  <c r="P2087" i="33" a="1"/>
  <c r="P2218" i="33" a="1"/>
  <c r="P1883" i="33" a="1"/>
  <c r="P2345" i="33" a="1"/>
  <c r="P776" i="33" a="1"/>
  <c r="P2053" i="33" l="1"/>
  <c r="P1883" i="33"/>
  <c r="P1916" i="33"/>
  <c r="P1985" i="33"/>
  <c r="P1949" i="33"/>
  <c r="P2087" i="33"/>
  <c r="K1951" i="33"/>
  <c r="M1950" i="33"/>
  <c r="K2089" i="33"/>
  <c r="M2088" i="33"/>
  <c r="K2055" i="33"/>
  <c r="M2054" i="33"/>
  <c r="M2020" i="33"/>
  <c r="K2021" i="33"/>
  <c r="K1885" i="33"/>
  <c r="M1884" i="33"/>
  <c r="M1986" i="33"/>
  <c r="K1987" i="33"/>
  <c r="K1918" i="33"/>
  <c r="M1917" i="33"/>
  <c r="P1632" i="33"/>
  <c r="K1634" i="33"/>
  <c r="M1634" i="33" s="1"/>
  <c r="M1633" i="33"/>
  <c r="P39" i="33"/>
  <c r="L2113" i="33"/>
  <c r="L2076" i="33"/>
  <c r="P1416" i="33"/>
  <c r="K1418" i="33"/>
  <c r="M1417" i="33"/>
  <c r="P774" i="33"/>
  <c r="P764" i="33"/>
  <c r="P781" i="33"/>
  <c r="P772" i="33"/>
  <c r="P38" i="33"/>
  <c r="P760" i="33"/>
  <c r="P776" i="33"/>
  <c r="P2237" i="33"/>
  <c r="P1382" i="33"/>
  <c r="P762" i="33"/>
  <c r="P789" i="33"/>
  <c r="P768" i="33"/>
  <c r="P2256" i="33"/>
  <c r="P2218" i="33"/>
  <c r="P2345" i="33"/>
  <c r="P766" i="33"/>
  <c r="P758" i="33"/>
  <c r="P2219" i="33"/>
  <c r="K2239" i="33"/>
  <c r="M2239" i="33" s="1"/>
  <c r="M2238" i="33"/>
  <c r="M785" i="33"/>
  <c r="L796" i="33"/>
  <c r="L803" i="33"/>
  <c r="M792" i="33"/>
  <c r="M771" i="33"/>
  <c r="L782" i="33"/>
  <c r="L1967" i="33"/>
  <c r="M783" i="33"/>
  <c r="L794" i="33"/>
  <c r="L45" i="33"/>
  <c r="L46" i="33" s="1"/>
  <c r="K41" i="33"/>
  <c r="M40" i="33"/>
  <c r="M775" i="33"/>
  <c r="L786" i="33"/>
  <c r="M1383" i="33"/>
  <c r="L1384" i="33"/>
  <c r="L2002" i="33"/>
  <c r="L1898" i="33"/>
  <c r="M773" i="33"/>
  <c r="L784" i="33"/>
  <c r="L811" i="33"/>
  <c r="M800" i="33"/>
  <c r="L1420" i="33"/>
  <c r="M787" i="33"/>
  <c r="L798" i="33"/>
  <c r="M2346" i="33"/>
  <c r="L2347" i="33"/>
  <c r="M777" i="33"/>
  <c r="L788" i="33"/>
  <c r="M769" i="33"/>
  <c r="L780" i="33"/>
  <c r="L2037" i="33"/>
  <c r="M779" i="33"/>
  <c r="L790" i="33"/>
  <c r="K2258" i="33"/>
  <c r="M2257" i="33"/>
  <c r="P773" i="33" a="1"/>
  <c r="P1884" i="33" a="1"/>
  <c r="P769" i="33" a="1"/>
  <c r="P1986" i="33" a="1"/>
  <c r="P2346" i="33" a="1"/>
  <c r="P1633" i="33" a="1"/>
  <c r="P2054" i="33" a="1"/>
  <c r="P1417" i="33" a="1"/>
  <c r="P771" i="33" a="1"/>
  <c r="P1950" i="33" a="1"/>
  <c r="P792" i="33" a="1"/>
  <c r="P800" i="33" a="1"/>
  <c r="P2088" i="33" a="1"/>
  <c r="P783" i="33" a="1"/>
  <c r="P785" i="33" a="1"/>
  <c r="P1634" i="33" a="1"/>
  <c r="P1917" i="33" a="1"/>
  <c r="P775" i="33" a="1"/>
  <c r="P787" i="33" a="1"/>
  <c r="P2257" i="33" a="1"/>
  <c r="P1383" i="33" a="1"/>
  <c r="P40" i="33" a="1"/>
  <c r="P777" i="33" a="1"/>
  <c r="P2239" i="33" a="1"/>
  <c r="P2238" i="33" a="1"/>
  <c r="P779" i="33" a="1"/>
  <c r="L47" i="33" l="1"/>
  <c r="L48" i="33" s="1"/>
  <c r="L49" i="33" s="1"/>
  <c r="P1884" i="33"/>
  <c r="P1950" i="33"/>
  <c r="P1917" i="33"/>
  <c r="P2054" i="33"/>
  <c r="P2088" i="33"/>
  <c r="P1986" i="33"/>
  <c r="K1886" i="33"/>
  <c r="M1885" i="33"/>
  <c r="M1951" i="33"/>
  <c r="K1952" i="33"/>
  <c r="M2021" i="33"/>
  <c r="K2022" i="33"/>
  <c r="K1919" i="33"/>
  <c r="M1918" i="33"/>
  <c r="K2056" i="33"/>
  <c r="M2055" i="33"/>
  <c r="K1988" i="33"/>
  <c r="M1987" i="33"/>
  <c r="M2089" i="33"/>
  <c r="K2090" i="33"/>
  <c r="P1633" i="33"/>
  <c r="P1634" i="33"/>
  <c r="L2114" i="33"/>
  <c r="L2077" i="33"/>
  <c r="P1417" i="33"/>
  <c r="K1419" i="33"/>
  <c r="M1418" i="33"/>
  <c r="P769" i="33"/>
  <c r="P2257" i="33"/>
  <c r="P777" i="33"/>
  <c r="P785" i="33"/>
  <c r="P800" i="33"/>
  <c r="P779" i="33"/>
  <c r="P2346" i="33"/>
  <c r="P1383" i="33"/>
  <c r="P783" i="33"/>
  <c r="P771" i="33"/>
  <c r="P792" i="33"/>
  <c r="P2238" i="33"/>
  <c r="P787" i="33"/>
  <c r="P773" i="33"/>
  <c r="P775" i="33"/>
  <c r="P2239" i="33"/>
  <c r="P40" i="33"/>
  <c r="K42" i="33"/>
  <c r="M41" i="33"/>
  <c r="L799" i="33"/>
  <c r="M788" i="33"/>
  <c r="L1421" i="33"/>
  <c r="L2003" i="33"/>
  <c r="L1968" i="33"/>
  <c r="L807" i="33"/>
  <c r="M796" i="33"/>
  <c r="K2259" i="33"/>
  <c r="M2259" i="33" s="1"/>
  <c r="M2258" i="33"/>
  <c r="L801" i="33"/>
  <c r="M790" i="33"/>
  <c r="M2347" i="33"/>
  <c r="L2348" i="33"/>
  <c r="M1384" i="33"/>
  <c r="L1385" i="33"/>
  <c r="L805" i="33"/>
  <c r="M794" i="33"/>
  <c r="L793" i="33"/>
  <c r="M782" i="33"/>
  <c r="M811" i="33"/>
  <c r="L822" i="33"/>
  <c r="L2038" i="33"/>
  <c r="L809" i="33"/>
  <c r="M798" i="33"/>
  <c r="L795" i="33"/>
  <c r="M784" i="33"/>
  <c r="L797" i="33"/>
  <c r="M786" i="33"/>
  <c r="M803" i="33"/>
  <c r="L814" i="33"/>
  <c r="L791" i="33"/>
  <c r="M780" i="33"/>
  <c r="L1899" i="33"/>
  <c r="P2259" i="33" a="1"/>
  <c r="P1418" i="33" a="1"/>
  <c r="P1384" i="33" a="1"/>
  <c r="P784" i="33" a="1"/>
  <c r="P796" i="33" a="1"/>
  <c r="P786" i="33" a="1"/>
  <c r="P794" i="33" a="1"/>
  <c r="P2258" i="33" a="1"/>
  <c r="P2055" i="33" a="1"/>
  <c r="P780" i="33" a="1"/>
  <c r="P1951" i="33" a="1"/>
  <c r="P2089" i="33" a="1"/>
  <c r="P790" i="33" a="1"/>
  <c r="P2021" i="33" a="1"/>
  <c r="P782" i="33" a="1"/>
  <c r="P1918" i="33" a="1"/>
  <c r="P41" i="33" a="1"/>
  <c r="P788" i="33" a="1"/>
  <c r="P811" i="33" a="1"/>
  <c r="P1987" i="33" a="1"/>
  <c r="P803" i="33" a="1"/>
  <c r="P2347" i="33" a="1"/>
  <c r="P1885" i="33" a="1"/>
  <c r="P798" i="33" a="1"/>
  <c r="P2055" i="33" l="1"/>
  <c r="P1885" i="33"/>
  <c r="P1918" i="33"/>
  <c r="P2089" i="33"/>
  <c r="P2021" i="33"/>
  <c r="P1987" i="33"/>
  <c r="P1951" i="33"/>
  <c r="K2057" i="33"/>
  <c r="M2056" i="33"/>
  <c r="K1887" i="33"/>
  <c r="M1886" i="33"/>
  <c r="K1920" i="33"/>
  <c r="M1919" i="33"/>
  <c r="K2091" i="33"/>
  <c r="M2090" i="33"/>
  <c r="M2022" i="33"/>
  <c r="K2023" i="33"/>
  <c r="K1953" i="33"/>
  <c r="M1952" i="33"/>
  <c r="M1988" i="33"/>
  <c r="K1989" i="33"/>
  <c r="L2115" i="33"/>
  <c r="L2078" i="33"/>
  <c r="P1418" i="33"/>
  <c r="K1420" i="33"/>
  <c r="M1419" i="33"/>
  <c r="P794" i="33"/>
  <c r="P2258" i="33"/>
  <c r="P803" i="33"/>
  <c r="P2259" i="33"/>
  <c r="P786" i="33"/>
  <c r="P796" i="33"/>
  <c r="P41" i="33"/>
  <c r="P1384" i="33"/>
  <c r="P780" i="33"/>
  <c r="P784" i="33"/>
  <c r="P788" i="33"/>
  <c r="P811" i="33"/>
  <c r="P2347" i="33"/>
  <c r="P798" i="33"/>
  <c r="P782" i="33"/>
  <c r="P790" i="33"/>
  <c r="L50" i="33"/>
  <c r="L2004" i="33"/>
  <c r="L2039" i="33"/>
  <c r="M805" i="33"/>
  <c r="L816" i="33"/>
  <c r="M1385" i="33"/>
  <c r="L1386" i="33"/>
  <c r="L1422" i="33"/>
  <c r="M801" i="33"/>
  <c r="L812" i="33"/>
  <c r="M797" i="33"/>
  <c r="L808" i="33"/>
  <c r="M807" i="33"/>
  <c r="L818" i="33"/>
  <c r="K43" i="33"/>
  <c r="M42" i="33"/>
  <c r="L833" i="33"/>
  <c r="M822" i="33"/>
  <c r="M2348" i="33"/>
  <c r="L2350" i="33"/>
  <c r="L2349" i="33" s="1"/>
  <c r="M2349" i="33" s="1"/>
  <c r="L1969" i="33"/>
  <c r="M793" i="33"/>
  <c r="L804" i="33"/>
  <c r="M791" i="33"/>
  <c r="L802" i="33"/>
  <c r="M795" i="33"/>
  <c r="L806" i="33"/>
  <c r="M799" i="33"/>
  <c r="L810" i="33"/>
  <c r="M809" i="33"/>
  <c r="L820" i="33"/>
  <c r="L1900" i="33"/>
  <c r="L825" i="33"/>
  <c r="M814" i="33"/>
  <c r="P1919" i="33" a="1"/>
  <c r="P807" i="33" a="1"/>
  <c r="P2022" i="33" a="1"/>
  <c r="P795" i="33" a="1"/>
  <c r="P801" i="33" a="1"/>
  <c r="P1952" i="33" a="1"/>
  <c r="P2348" i="33" a="1"/>
  <c r="P791" i="33" a="1"/>
  <c r="P2056" i="33" a="1"/>
  <c r="P805" i="33" a="1"/>
  <c r="P797" i="33" a="1"/>
  <c r="P809" i="33" a="1"/>
  <c r="P822" i="33" a="1"/>
  <c r="P1886" i="33" a="1"/>
  <c r="P2090" i="33" a="1"/>
  <c r="P799" i="33" a="1"/>
  <c r="P1385" i="33" a="1"/>
  <c r="P1419" i="33" a="1"/>
  <c r="P2349" i="33" a="1"/>
  <c r="P793" i="33" a="1"/>
  <c r="P42" i="33" a="1"/>
  <c r="P814" i="33" a="1"/>
  <c r="P1988" i="33" a="1"/>
  <c r="P2022" i="33" l="1"/>
  <c r="P2090" i="33"/>
  <c r="P1919" i="33"/>
  <c r="P1988" i="33"/>
  <c r="P1952" i="33"/>
  <c r="P1886" i="33"/>
  <c r="P2056" i="33"/>
  <c r="K2058" i="33"/>
  <c r="M2057" i="33"/>
  <c r="M2091" i="33"/>
  <c r="K2092" i="33"/>
  <c r="K1990" i="33"/>
  <c r="M1989" i="33"/>
  <c r="K1921" i="33"/>
  <c r="M1920" i="33"/>
  <c r="M1953" i="33"/>
  <c r="K1954" i="33"/>
  <c r="M1887" i="33"/>
  <c r="K1888" i="33"/>
  <c r="K2024" i="33"/>
  <c r="M2023" i="33"/>
  <c r="P2349" i="33"/>
  <c r="L2079" i="33"/>
  <c r="P1419" i="33"/>
  <c r="K1421" i="33"/>
  <c r="M1420" i="33"/>
  <c r="P814" i="33"/>
  <c r="P807" i="33"/>
  <c r="P795" i="33"/>
  <c r="P2348" i="33"/>
  <c r="P1385" i="33"/>
  <c r="P822" i="33"/>
  <c r="P791" i="33"/>
  <c r="P797" i="33"/>
  <c r="P799" i="33"/>
  <c r="P42" i="33"/>
  <c r="P809" i="33"/>
  <c r="P793" i="33"/>
  <c r="P801" i="33"/>
  <c r="P805" i="33"/>
  <c r="L821" i="33"/>
  <c r="M810" i="33"/>
  <c r="L1970" i="33"/>
  <c r="L829" i="33"/>
  <c r="M818" i="33"/>
  <c r="L1423" i="33"/>
  <c r="L51" i="33"/>
  <c r="L1901" i="33"/>
  <c r="L817" i="33"/>
  <c r="M806" i="33"/>
  <c r="M2350" i="33"/>
  <c r="L2351" i="33"/>
  <c r="M1386" i="33"/>
  <c r="L1387" i="33"/>
  <c r="L2040" i="33"/>
  <c r="L813" i="33"/>
  <c r="M802" i="33"/>
  <c r="L819" i="33"/>
  <c r="M808" i="33"/>
  <c r="L844" i="33"/>
  <c r="M833" i="33"/>
  <c r="L831" i="33"/>
  <c r="M820" i="33"/>
  <c r="L815" i="33"/>
  <c r="M804" i="33"/>
  <c r="L823" i="33"/>
  <c r="M812" i="33"/>
  <c r="L827" i="33"/>
  <c r="M816" i="33"/>
  <c r="L2005" i="33"/>
  <c r="L836" i="33"/>
  <c r="M825" i="33"/>
  <c r="K44" i="33"/>
  <c r="M43" i="33"/>
  <c r="P820" i="33" a="1"/>
  <c r="P1887" i="33" a="1"/>
  <c r="P1386" i="33" a="1"/>
  <c r="P833" i="33" a="1"/>
  <c r="P2057" i="33" a="1"/>
  <c r="P1420" i="33" a="1"/>
  <c r="P1989" i="33" a="1"/>
  <c r="P1920" i="33" a="1"/>
  <c r="P2091" i="33" a="1"/>
  <c r="P816" i="33" a="1"/>
  <c r="P802" i="33" a="1"/>
  <c r="P808" i="33" a="1"/>
  <c r="P810" i="33" a="1"/>
  <c r="P804" i="33" a="1"/>
  <c r="P818" i="33" a="1"/>
  <c r="P1953" i="33" a="1"/>
  <c r="P2350" i="33" a="1"/>
  <c r="P806" i="33" a="1"/>
  <c r="P825" i="33" a="1"/>
  <c r="P812" i="33" a="1"/>
  <c r="P2023" i="33" a="1"/>
  <c r="P43" i="33" a="1"/>
  <c r="P1953" i="33" l="1"/>
  <c r="P1920" i="33"/>
  <c r="P2023" i="33"/>
  <c r="P1989" i="33"/>
  <c r="P1887" i="33"/>
  <c r="P2091" i="33"/>
  <c r="P2057" i="33"/>
  <c r="K2059" i="33"/>
  <c r="M2058" i="33"/>
  <c r="M1921" i="33"/>
  <c r="K1922" i="33"/>
  <c r="K2025" i="33"/>
  <c r="M2024" i="33"/>
  <c r="M1990" i="33"/>
  <c r="K1991" i="33"/>
  <c r="K1889" i="33"/>
  <c r="M1888" i="33"/>
  <c r="M2092" i="33"/>
  <c r="K2093" i="33"/>
  <c r="K1955" i="33"/>
  <c r="M1954" i="33"/>
  <c r="L2080" i="33"/>
  <c r="P1420" i="33"/>
  <c r="K1422" i="33"/>
  <c r="M1421" i="33"/>
  <c r="P820" i="33"/>
  <c r="P808" i="33"/>
  <c r="P1386" i="33"/>
  <c r="P802" i="33"/>
  <c r="P810" i="33"/>
  <c r="P2350" i="33"/>
  <c r="P812" i="33"/>
  <c r="P806" i="33"/>
  <c r="P816" i="33"/>
  <c r="P825" i="33"/>
  <c r="P833" i="33"/>
  <c r="P818" i="33"/>
  <c r="P43" i="33"/>
  <c r="P804" i="33"/>
  <c r="L2006" i="33"/>
  <c r="M1387" i="33"/>
  <c r="L1388" i="33"/>
  <c r="L1389" i="33" s="1"/>
  <c r="L1971" i="33"/>
  <c r="L842" i="33"/>
  <c r="M831" i="33"/>
  <c r="L830" i="33"/>
  <c r="M819" i="33"/>
  <c r="M2351" i="33"/>
  <c r="L2352" i="33"/>
  <c r="L838" i="33"/>
  <c r="M827" i="33"/>
  <c r="L824" i="33"/>
  <c r="M813" i="33"/>
  <c r="L832" i="33"/>
  <c r="M821" i="33"/>
  <c r="L1424" i="33"/>
  <c r="L834" i="33"/>
  <c r="M823" i="33"/>
  <c r="L828" i="33"/>
  <c r="M817" i="33"/>
  <c r="L2041" i="33"/>
  <c r="L1902" i="33"/>
  <c r="K45" i="33"/>
  <c r="K46" i="33" s="1"/>
  <c r="M44" i="33"/>
  <c r="L847" i="33"/>
  <c r="M836" i="33"/>
  <c r="L826" i="33"/>
  <c r="M815" i="33"/>
  <c r="L855" i="33"/>
  <c r="M844" i="33"/>
  <c r="L840" i="33"/>
  <c r="M829" i="33"/>
  <c r="P827" i="33" a="1"/>
  <c r="P2092" i="33" a="1"/>
  <c r="P817" i="33" a="1"/>
  <c r="P829" i="33" a="1"/>
  <c r="P1421" i="33" a="1"/>
  <c r="P44" i="33" a="1"/>
  <c r="P815" i="33" a="1"/>
  <c r="P2024" i="33" a="1"/>
  <c r="P1921" i="33" a="1"/>
  <c r="P813" i="33" a="1"/>
  <c r="P2058" i="33" a="1"/>
  <c r="P821" i="33" a="1"/>
  <c r="P2351" i="33" a="1"/>
  <c r="P836" i="33" a="1"/>
  <c r="P1990" i="33" a="1"/>
  <c r="P1954" i="33" a="1"/>
  <c r="P819" i="33" a="1"/>
  <c r="P823" i="33" a="1"/>
  <c r="P831" i="33" a="1"/>
  <c r="P1888" i="33" a="1"/>
  <c r="P1387" i="33" a="1"/>
  <c r="P844" i="33" a="1"/>
  <c r="K47" i="33" l="1"/>
  <c r="K48" i="33" s="1"/>
  <c r="M46" i="33"/>
  <c r="P1990" i="33"/>
  <c r="P1954" i="33"/>
  <c r="P2024" i="33"/>
  <c r="P2092" i="33"/>
  <c r="P1921" i="33"/>
  <c r="P1888" i="33"/>
  <c r="P2058" i="33"/>
  <c r="M1889" i="33"/>
  <c r="K1890" i="33"/>
  <c r="M2059" i="33"/>
  <c r="K2060" i="33"/>
  <c r="K1992" i="33"/>
  <c r="M1991" i="33"/>
  <c r="K1956" i="33"/>
  <c r="M1955" i="33"/>
  <c r="K2026" i="33"/>
  <c r="M2025" i="33"/>
  <c r="M2093" i="33"/>
  <c r="K2094" i="33"/>
  <c r="M1922" i="33"/>
  <c r="K1923" i="33"/>
  <c r="M1389" i="33"/>
  <c r="L1390" i="33"/>
  <c r="P1421" i="33"/>
  <c r="K1423" i="33"/>
  <c r="M1422" i="33"/>
  <c r="P836" i="33"/>
  <c r="P817" i="33"/>
  <c r="P813" i="33"/>
  <c r="P819" i="33"/>
  <c r="P1387" i="33"/>
  <c r="P2351" i="33"/>
  <c r="P831" i="33"/>
  <c r="P44" i="33"/>
  <c r="P821" i="33"/>
  <c r="P827" i="33"/>
  <c r="P829" i="33"/>
  <c r="P844" i="33"/>
  <c r="P815" i="33"/>
  <c r="P823" i="33"/>
  <c r="M1388" i="33"/>
  <c r="L858" i="33"/>
  <c r="M847" i="33"/>
  <c r="L839" i="33"/>
  <c r="M828" i="33"/>
  <c r="L835" i="33"/>
  <c r="M824" i="33"/>
  <c r="L841" i="33"/>
  <c r="M830" i="33"/>
  <c r="L2007" i="33"/>
  <c r="L1425" i="33"/>
  <c r="L1426" i="33" s="1"/>
  <c r="L851" i="33"/>
  <c r="M840" i="33"/>
  <c r="M45" i="33"/>
  <c r="L853" i="33"/>
  <c r="M842" i="33"/>
  <c r="L837" i="33"/>
  <c r="M826" i="33"/>
  <c r="L1903" i="33"/>
  <c r="L1972" i="33"/>
  <c r="L866" i="33"/>
  <c r="M855" i="33"/>
  <c r="L843" i="33"/>
  <c r="M832" i="33"/>
  <c r="L849" i="33"/>
  <c r="M838" i="33"/>
  <c r="L845" i="33"/>
  <c r="M834" i="33"/>
  <c r="L2042" i="33"/>
  <c r="M2352" i="33"/>
  <c r="L2353" i="33"/>
  <c r="P840" i="33" a="1"/>
  <c r="P46" i="33" a="1"/>
  <c r="P1389" i="33" a="1"/>
  <c r="P826" i="33" a="1"/>
  <c r="P838" i="33" a="1"/>
  <c r="P1955" i="33" a="1"/>
  <c r="P834" i="33" a="1"/>
  <c r="P45" i="33" a="1"/>
  <c r="P855" i="33" a="1"/>
  <c r="P1388" i="33" a="1"/>
  <c r="P824" i="33" a="1"/>
  <c r="P2352" i="33" a="1"/>
  <c r="P1991" i="33" a="1"/>
  <c r="P842" i="33" a="1"/>
  <c r="P1889" i="33" a="1"/>
  <c r="P2059" i="33" a="1"/>
  <c r="P847" i="33" a="1"/>
  <c r="P830" i="33" a="1"/>
  <c r="P828" i="33" a="1"/>
  <c r="P1422" i="33" a="1"/>
  <c r="P2093" i="33" a="1"/>
  <c r="P1922" i="33" a="1"/>
  <c r="P2025" i="33" a="1"/>
  <c r="P832" i="33" a="1"/>
  <c r="P46" i="33" l="1"/>
  <c r="P1889" i="33"/>
  <c r="P1955" i="33"/>
  <c r="P1991" i="33"/>
  <c r="P1922" i="33"/>
  <c r="P2093" i="33"/>
  <c r="P2059" i="33"/>
  <c r="P2025" i="33"/>
  <c r="K2027" i="33"/>
  <c r="M2026" i="33"/>
  <c r="K1957" i="33"/>
  <c r="M1956" i="33"/>
  <c r="M1923" i="33"/>
  <c r="K1924" i="33"/>
  <c r="K1993" i="33"/>
  <c r="M1992" i="33"/>
  <c r="K2095" i="33"/>
  <c r="M2094" i="33"/>
  <c r="M2060" i="33"/>
  <c r="K2061" i="33"/>
  <c r="K1891" i="33"/>
  <c r="M1890" i="33"/>
  <c r="M1390" i="33"/>
  <c r="L1391" i="33"/>
  <c r="M1391" i="33" s="1"/>
  <c r="L1427" i="33"/>
  <c r="L1428" i="33" s="1"/>
  <c r="P1389" i="33"/>
  <c r="M48" i="33"/>
  <c r="K49" i="33"/>
  <c r="P1422" i="33"/>
  <c r="K1424" i="33"/>
  <c r="M1423" i="33"/>
  <c r="P840" i="33"/>
  <c r="P830" i="33"/>
  <c r="P847" i="33"/>
  <c r="P834" i="33"/>
  <c r="P1388" i="33"/>
  <c r="P838" i="33"/>
  <c r="P842" i="33"/>
  <c r="P2352" i="33"/>
  <c r="P855" i="33"/>
  <c r="P826" i="33"/>
  <c r="P45" i="33"/>
  <c r="P828" i="33"/>
  <c r="P824" i="33"/>
  <c r="P832" i="33"/>
  <c r="L856" i="33"/>
  <c r="M845" i="33"/>
  <c r="L877" i="33"/>
  <c r="M866" i="33"/>
  <c r="L864" i="33"/>
  <c r="M853" i="33"/>
  <c r="L862" i="33"/>
  <c r="M851" i="33"/>
  <c r="L852" i="33"/>
  <c r="M841" i="33"/>
  <c r="L869" i="33"/>
  <c r="M858" i="33"/>
  <c r="L1973" i="33"/>
  <c r="L846" i="33"/>
  <c r="M835" i="33"/>
  <c r="M2353" i="33"/>
  <c r="L2354" i="33"/>
  <c r="L860" i="33"/>
  <c r="M849" i="33"/>
  <c r="L854" i="33"/>
  <c r="M843" i="33"/>
  <c r="L1904" i="33"/>
  <c r="L2008" i="33"/>
  <c r="L2043" i="33"/>
  <c r="L848" i="33"/>
  <c r="M837" i="33"/>
  <c r="M47" i="33"/>
  <c r="L850" i="33"/>
  <c r="M839" i="33"/>
  <c r="P1391" i="33" a="1"/>
  <c r="P1890" i="33" a="1"/>
  <c r="P48" i="33" a="1"/>
  <c r="P843" i="33" a="1"/>
  <c r="P858" i="33" a="1"/>
  <c r="P866" i="33" a="1"/>
  <c r="P851" i="33" a="1"/>
  <c r="P2026" i="33" a="1"/>
  <c r="P2094" i="33" a="1"/>
  <c r="P1956" i="33" a="1"/>
  <c r="P1992" i="33" a="1"/>
  <c r="P1923" i="33" a="1"/>
  <c r="P853" i="33" a="1"/>
  <c r="P1390" i="33" a="1"/>
  <c r="P845" i="33" a="1"/>
  <c r="P837" i="33" a="1"/>
  <c r="P2060" i="33" a="1"/>
  <c r="P1423" i="33" a="1"/>
  <c r="P47" i="33" a="1"/>
  <c r="P839" i="33" a="1"/>
  <c r="P835" i="33" a="1"/>
  <c r="P2353" i="33" a="1"/>
  <c r="P849" i="33" a="1"/>
  <c r="P841" i="33" a="1"/>
  <c r="P1992" i="33" l="1"/>
  <c r="P1890" i="33"/>
  <c r="P1923" i="33"/>
  <c r="P1956" i="33"/>
  <c r="P2060" i="33"/>
  <c r="P2094" i="33"/>
  <c r="P2026" i="33"/>
  <c r="K2096" i="33"/>
  <c r="M2095" i="33"/>
  <c r="K2028" i="33"/>
  <c r="M2027" i="33"/>
  <c r="M1993" i="33"/>
  <c r="K1994" i="33"/>
  <c r="K1925" i="33"/>
  <c r="M1924" i="33"/>
  <c r="K1892" i="33"/>
  <c r="M1891" i="33"/>
  <c r="K2062" i="33"/>
  <c r="M2061" i="33"/>
  <c r="K1958" i="33"/>
  <c r="M1957" i="33"/>
  <c r="P1391" i="33"/>
  <c r="P1390" i="33"/>
  <c r="M49" i="33"/>
  <c r="K50" i="33"/>
  <c r="M50" i="33" s="1"/>
  <c r="P48" i="33"/>
  <c r="P1423" i="33"/>
  <c r="K1425" i="33"/>
  <c r="K1426" i="33" s="1"/>
  <c r="M1424" i="33"/>
  <c r="P849" i="33"/>
  <c r="P837" i="33"/>
  <c r="P843" i="33"/>
  <c r="P858" i="33"/>
  <c r="P866" i="33"/>
  <c r="P851" i="33"/>
  <c r="P841" i="33"/>
  <c r="P845" i="33"/>
  <c r="P839" i="33"/>
  <c r="P853" i="33"/>
  <c r="P835" i="33"/>
  <c r="P47" i="33"/>
  <c r="P2353" i="33"/>
  <c r="L863" i="33"/>
  <c r="M852" i="33"/>
  <c r="L1905" i="33"/>
  <c r="L865" i="33"/>
  <c r="M854" i="33"/>
  <c r="L880" i="33"/>
  <c r="M869" i="33"/>
  <c r="M877" i="33"/>
  <c r="L888" i="33"/>
  <c r="L1392" i="33"/>
  <c r="L859" i="33"/>
  <c r="M848" i="33"/>
  <c r="L867" i="33"/>
  <c r="M856" i="33"/>
  <c r="L2044" i="33"/>
  <c r="L861" i="33"/>
  <c r="M850" i="33"/>
  <c r="L873" i="33"/>
  <c r="M862" i="33"/>
  <c r="L857" i="33"/>
  <c r="M846" i="33"/>
  <c r="L2009" i="33"/>
  <c r="M2354" i="33"/>
  <c r="L2355" i="33"/>
  <c r="L2356" i="33" s="1"/>
  <c r="L1974" i="33"/>
  <c r="L871" i="33"/>
  <c r="M860" i="33"/>
  <c r="L875" i="33"/>
  <c r="M864" i="33"/>
  <c r="P848" i="33" a="1"/>
  <c r="P2061" i="33" a="1"/>
  <c r="P49" i="33" a="1"/>
  <c r="P860" i="33" a="1"/>
  <c r="P2095" i="33" a="1"/>
  <c r="P869" i="33" a="1"/>
  <c r="P1957" i="33" a="1"/>
  <c r="P864" i="33" a="1"/>
  <c r="P856" i="33" a="1"/>
  <c r="P1993" i="33" a="1"/>
  <c r="P852" i="33" a="1"/>
  <c r="P846" i="33" a="1"/>
  <c r="P854" i="33" a="1"/>
  <c r="P1891" i="33" a="1"/>
  <c r="P877" i="33" a="1"/>
  <c r="P862" i="33" a="1"/>
  <c r="P1424" i="33" a="1"/>
  <c r="P50" i="33" a="1"/>
  <c r="P850" i="33" a="1"/>
  <c r="P1924" i="33" a="1"/>
  <c r="P2027" i="33" a="1"/>
  <c r="P2354" i="33" a="1"/>
  <c r="L2357" i="33" l="1"/>
  <c r="L2358" i="33" s="1"/>
  <c r="M2356" i="33"/>
  <c r="K51" i="33"/>
  <c r="M51" i="33" s="1"/>
  <c r="P1924" i="33"/>
  <c r="P1957" i="33"/>
  <c r="P1993" i="33"/>
  <c r="P2061" i="33"/>
  <c r="P2027" i="33"/>
  <c r="P1891" i="33"/>
  <c r="P2095" i="33"/>
  <c r="K1893" i="33"/>
  <c r="M1892" i="33"/>
  <c r="M2096" i="33"/>
  <c r="K2097" i="33"/>
  <c r="K1926" i="33"/>
  <c r="M1925" i="33"/>
  <c r="K1995" i="33"/>
  <c r="M1994" i="33"/>
  <c r="M1958" i="33"/>
  <c r="K1959" i="33"/>
  <c r="K2063" i="33"/>
  <c r="M2062" i="33"/>
  <c r="K2029" i="33"/>
  <c r="M2028" i="33"/>
  <c r="K1427" i="33"/>
  <c r="M1426" i="33"/>
  <c r="P49" i="33"/>
  <c r="P1424" i="33"/>
  <c r="M1425" i="33"/>
  <c r="P848" i="33"/>
  <c r="P869" i="33"/>
  <c r="P852" i="33"/>
  <c r="P854" i="33"/>
  <c r="P864" i="33"/>
  <c r="P862" i="33"/>
  <c r="P50" i="33"/>
  <c r="P850" i="33"/>
  <c r="P860" i="33"/>
  <c r="P856" i="33"/>
  <c r="P846" i="33"/>
  <c r="P2354" i="33"/>
  <c r="P877" i="33"/>
  <c r="L870" i="33"/>
  <c r="M859" i="33"/>
  <c r="L891" i="33"/>
  <c r="M880" i="33"/>
  <c r="L874" i="33"/>
  <c r="M863" i="33"/>
  <c r="L876" i="33"/>
  <c r="M865" i="33"/>
  <c r="L2010" i="33"/>
  <c r="L882" i="33"/>
  <c r="M871" i="33"/>
  <c r="L1975" i="33"/>
  <c r="L2045" i="33"/>
  <c r="L1429" i="33"/>
  <c r="L868" i="33"/>
  <c r="M857" i="33"/>
  <c r="L886" i="33"/>
  <c r="M875" i="33"/>
  <c r="L884" i="33"/>
  <c r="M873" i="33"/>
  <c r="M1392" i="33"/>
  <c r="L1393" i="33"/>
  <c r="M1393" i="33" s="1"/>
  <c r="L872" i="33"/>
  <c r="M861" i="33"/>
  <c r="M2355" i="33"/>
  <c r="L899" i="33"/>
  <c r="M888" i="33"/>
  <c r="L1906" i="33"/>
  <c r="L878" i="33"/>
  <c r="M867" i="33"/>
  <c r="P1892" i="33" a="1"/>
  <c r="P2062" i="33" a="1"/>
  <c r="P873" i="33" a="1"/>
  <c r="P857" i="33" a="1"/>
  <c r="P1425" i="33" a="1"/>
  <c r="P1994" i="33" a="1"/>
  <c r="P859" i="33" a="1"/>
  <c r="P1426" i="33" a="1"/>
  <c r="P1393" i="33" a="1"/>
  <c r="P871" i="33" a="1"/>
  <c r="P865" i="33" a="1"/>
  <c r="P1392" i="33" a="1"/>
  <c r="P863" i="33" a="1"/>
  <c r="P888" i="33" a="1"/>
  <c r="P2028" i="33" a="1"/>
  <c r="P2355" i="33" a="1"/>
  <c r="P880" i="33" a="1"/>
  <c r="P861" i="33" a="1"/>
  <c r="P2356" i="33" a="1"/>
  <c r="P875" i="33" a="1"/>
  <c r="P1925" i="33" a="1"/>
  <c r="P2096" i="33" a="1"/>
  <c r="P1958" i="33" a="1"/>
  <c r="P867" i="33" a="1"/>
  <c r="P2356" i="33" l="1"/>
  <c r="P1958" i="33"/>
  <c r="P1994" i="33"/>
  <c r="P2028" i="33"/>
  <c r="P1925" i="33"/>
  <c r="P2062" i="33"/>
  <c r="P2096" i="33"/>
  <c r="P1892" i="33"/>
  <c r="M1893" i="33"/>
  <c r="K1894" i="33"/>
  <c r="M1995" i="33"/>
  <c r="K1996" i="33"/>
  <c r="K2030" i="33"/>
  <c r="M2029" i="33"/>
  <c r="K1927" i="33"/>
  <c r="M1926" i="33"/>
  <c r="K2098" i="33"/>
  <c r="M2097" i="33"/>
  <c r="M2063" i="33"/>
  <c r="K2064" i="33"/>
  <c r="K1960" i="33"/>
  <c r="M1959" i="33"/>
  <c r="M2358" i="33"/>
  <c r="L2359" i="33"/>
  <c r="P1426" i="33"/>
  <c r="K1428" i="33"/>
  <c r="M1427" i="33"/>
  <c r="P1425" i="33"/>
  <c r="P2355" i="33"/>
  <c r="P861" i="33"/>
  <c r="P875" i="33"/>
  <c r="P865" i="33"/>
  <c r="P863" i="33"/>
  <c r="P1392" i="33"/>
  <c r="P857" i="33"/>
  <c r="P867" i="33"/>
  <c r="P888" i="33"/>
  <c r="P871" i="33"/>
  <c r="P880" i="33"/>
  <c r="P1393" i="33"/>
  <c r="P873" i="33"/>
  <c r="P859" i="33"/>
  <c r="L883" i="33"/>
  <c r="M872" i="33"/>
  <c r="M884" i="33"/>
  <c r="L895" i="33"/>
  <c r="L881" i="33"/>
  <c r="M870" i="33"/>
  <c r="L879" i="33"/>
  <c r="M868" i="33"/>
  <c r="L885" i="33"/>
  <c r="M874" i="33"/>
  <c r="L897" i="33"/>
  <c r="M886" i="33"/>
  <c r="L1430" i="33"/>
  <c r="L889" i="33"/>
  <c r="M878" i="33"/>
  <c r="M899" i="33"/>
  <c r="L910" i="33"/>
  <c r="M882" i="33"/>
  <c r="L893" i="33"/>
  <c r="M891" i="33"/>
  <c r="L902" i="33"/>
  <c r="L887" i="33"/>
  <c r="M876" i="33"/>
  <c r="L1907" i="33"/>
  <c r="M2357" i="33"/>
  <c r="AI4" i="39"/>
  <c r="P876" i="33" a="1"/>
  <c r="P886" i="33" a="1"/>
  <c r="P2029" i="33" a="1"/>
  <c r="P2063" i="33" a="1"/>
  <c r="P870" i="33" a="1"/>
  <c r="P1959" i="33" a="1"/>
  <c r="P882" i="33" a="1"/>
  <c r="P1431" i="33" a="1"/>
  <c r="P868" i="33" a="1"/>
  <c r="P899" i="33" a="1"/>
  <c r="P884" i="33" a="1"/>
  <c r="P1995" i="33" a="1"/>
  <c r="P891" i="33" a="1"/>
  <c r="P2358" i="33" a="1"/>
  <c r="P874" i="33" a="1"/>
  <c r="P1926" i="33" a="1"/>
  <c r="P878" i="33" a="1"/>
  <c r="P1893" i="33" a="1"/>
  <c r="P872" i="33" a="1"/>
  <c r="P2097" i="33" a="1"/>
  <c r="P1427" i="33" a="1"/>
  <c r="P2357" i="33" a="1"/>
  <c r="P1893" i="33" l="1"/>
  <c r="P1926" i="33"/>
  <c r="P1959" i="33"/>
  <c r="P2029" i="33"/>
  <c r="P2063" i="33"/>
  <c r="P1995" i="33"/>
  <c r="P2097" i="33"/>
  <c r="M2098" i="33"/>
  <c r="K2099" i="33"/>
  <c r="K1928" i="33"/>
  <c r="M1927" i="33"/>
  <c r="K1961" i="33"/>
  <c r="M1960" i="33"/>
  <c r="K2031" i="33"/>
  <c r="M2030" i="33"/>
  <c r="M2064" i="33"/>
  <c r="K2065" i="33"/>
  <c r="M1996" i="33"/>
  <c r="K1997" i="33"/>
  <c r="K1895" i="33"/>
  <c r="M1894" i="33"/>
  <c r="M2359" i="33"/>
  <c r="L2360" i="33"/>
  <c r="M2360" i="33" s="1"/>
  <c r="P2358" i="33"/>
  <c r="P1427" i="33"/>
  <c r="P1431" i="33"/>
  <c r="K1429" i="33"/>
  <c r="M1428" i="33"/>
  <c r="P870" i="33"/>
  <c r="P876" i="33"/>
  <c r="P874" i="33"/>
  <c r="P878" i="33"/>
  <c r="P872" i="33"/>
  <c r="P891" i="33"/>
  <c r="P868" i="33"/>
  <c r="P884" i="33"/>
  <c r="P899" i="33"/>
  <c r="P2357" i="33"/>
  <c r="P882" i="33"/>
  <c r="P886" i="33"/>
  <c r="M893" i="33"/>
  <c r="L904" i="33"/>
  <c r="L908" i="33"/>
  <c r="M897" i="33"/>
  <c r="L921" i="33"/>
  <c r="M910" i="33"/>
  <c r="L898" i="33"/>
  <c r="M887" i="33"/>
  <c r="L913" i="33"/>
  <c r="M902" i="33"/>
  <c r="L892" i="33"/>
  <c r="M881" i="33"/>
  <c r="M883" i="33"/>
  <c r="L894" i="33"/>
  <c r="L900" i="33"/>
  <c r="M889" i="33"/>
  <c r="L906" i="33"/>
  <c r="M895" i="33"/>
  <c r="L890" i="33"/>
  <c r="M879" i="33"/>
  <c r="M885" i="33"/>
  <c r="L896" i="33"/>
  <c r="K33" i="38"/>
  <c r="F33" i="38"/>
  <c r="D115" i="40"/>
  <c r="D116" i="40" s="1"/>
  <c r="D117" i="40" s="1"/>
  <c r="D118" i="40" s="1"/>
  <c r="D119" i="40" s="1"/>
  <c r="D120" i="40" s="1"/>
  <c r="D106" i="40"/>
  <c r="D107" i="40" s="1"/>
  <c r="D108" i="40" s="1"/>
  <c r="D109" i="40" s="1"/>
  <c r="D110" i="40" s="1"/>
  <c r="D111" i="40" s="1"/>
  <c r="D112" i="40" s="1"/>
  <c r="D113" i="40" s="1"/>
  <c r="D41" i="40"/>
  <c r="D42" i="40" s="1"/>
  <c r="D43" i="40" s="1"/>
  <c r="D44" i="40" s="1"/>
  <c r="D45" i="40" s="1"/>
  <c r="D46" i="40" s="1"/>
  <c r="D47" i="40" s="1"/>
  <c r="D48" i="40" s="1"/>
  <c r="D49" i="40" s="1"/>
  <c r="D50" i="40" s="1"/>
  <c r="D51" i="40" s="1"/>
  <c r="D52" i="40" s="1"/>
  <c r="D53" i="40" s="1"/>
  <c r="D54" i="40" s="1"/>
  <c r="D55" i="40" s="1"/>
  <c r="D56" i="40" s="1"/>
  <c r="D57" i="40" s="1"/>
  <c r="D58" i="40" s="1"/>
  <c r="D19" i="40"/>
  <c r="C19" i="40"/>
  <c r="C20" i="40" s="1"/>
  <c r="C21" i="40" s="1"/>
  <c r="C22" i="40" s="1"/>
  <c r="C23" i="40" s="1"/>
  <c r="C24" i="40" s="1"/>
  <c r="C25" i="40" s="1"/>
  <c r="C26" i="40" s="1"/>
  <c r="B19" i="40"/>
  <c r="B20" i="40" s="1"/>
  <c r="B4" i="40"/>
  <c r="B5" i="40" s="1"/>
  <c r="AB18" i="40"/>
  <c r="AB17" i="40"/>
  <c r="AB16" i="40"/>
  <c r="AB14" i="40"/>
  <c r="AB13" i="40"/>
  <c r="AB12" i="40"/>
  <c r="AB11" i="40"/>
  <c r="AB10" i="40"/>
  <c r="AB9" i="40"/>
  <c r="AB8" i="40"/>
  <c r="AB7" i="40"/>
  <c r="AB6" i="40"/>
  <c r="AB5" i="40"/>
  <c r="AB4" i="40"/>
  <c r="AB3" i="40"/>
  <c r="R18" i="40"/>
  <c r="R17" i="40"/>
  <c r="R16" i="40"/>
  <c r="R14" i="40"/>
  <c r="R13" i="40"/>
  <c r="R12" i="40"/>
  <c r="R11" i="40"/>
  <c r="R10" i="40"/>
  <c r="R9" i="40"/>
  <c r="R8" i="40"/>
  <c r="R7" i="40"/>
  <c r="R6" i="40"/>
  <c r="R5" i="40"/>
  <c r="R4" i="40"/>
  <c r="R3" i="40"/>
  <c r="W4" i="40"/>
  <c r="W5" i="40"/>
  <c r="W6" i="40"/>
  <c r="W7" i="40"/>
  <c r="W8" i="40"/>
  <c r="W9" i="40"/>
  <c r="W10" i="40"/>
  <c r="W11" i="40"/>
  <c r="W12" i="40"/>
  <c r="W13" i="40"/>
  <c r="W14" i="40"/>
  <c r="W16" i="40"/>
  <c r="W17" i="40"/>
  <c r="W18" i="40"/>
  <c r="W3" i="40"/>
  <c r="I18" i="40"/>
  <c r="I3" i="40"/>
  <c r="AC4" i="40"/>
  <c r="AC5" i="40" s="1"/>
  <c r="X4" i="40"/>
  <c r="X5" i="40" s="1"/>
  <c r="S4" i="40"/>
  <c r="S5" i="40" s="1"/>
  <c r="S6" i="40" s="1"/>
  <c r="S7" i="40" s="1"/>
  <c r="S8" i="40" s="1"/>
  <c r="S9" i="40" s="1"/>
  <c r="S10" i="40" s="1"/>
  <c r="S11" i="40" s="1"/>
  <c r="S12" i="40" s="1"/>
  <c r="S13" i="40" s="1"/>
  <c r="S14" i="40" s="1"/>
  <c r="N4" i="40"/>
  <c r="K119" i="40"/>
  <c r="M119" i="40" s="1"/>
  <c r="K114" i="40"/>
  <c r="M114" i="40" s="1"/>
  <c r="K105" i="40"/>
  <c r="M105" i="40" s="1"/>
  <c r="K40" i="40"/>
  <c r="M40" i="40" s="1"/>
  <c r="M41" i="40" s="1"/>
  <c r="K18" i="40"/>
  <c r="M18" i="40" s="1"/>
  <c r="M19" i="40" s="1"/>
  <c r="K3" i="40" a="1"/>
  <c r="K3" i="40" s="1"/>
  <c r="M3" i="40" s="1"/>
  <c r="M4" i="40" s="1"/>
  <c r="I35" i="38"/>
  <c r="F37" i="38"/>
  <c r="F35" i="38"/>
  <c r="M21" i="32"/>
  <c r="M22" i="32" s="1"/>
  <c r="W4" i="21"/>
  <c r="W5" i="21" s="1"/>
  <c r="W6" i="21" s="1"/>
  <c r="W7" i="21" s="1"/>
  <c r="W8" i="21" s="1"/>
  <c r="W9" i="21" s="1"/>
  <c r="W10" i="21" s="1"/>
  <c r="W11" i="21" s="1"/>
  <c r="W12" i="21" s="1"/>
  <c r="W13" i="21" s="1"/>
  <c r="W14" i="21" s="1"/>
  <c r="W15" i="21" s="1"/>
  <c r="W16" i="21" s="1"/>
  <c r="W17" i="21" s="1"/>
  <c r="W18" i="21" s="1"/>
  <c r="W19" i="21" s="1"/>
  <c r="W20" i="21" s="1"/>
  <c r="W21" i="21" s="1"/>
  <c r="W22" i="21" s="1"/>
  <c r="W23" i="21" s="1"/>
  <c r="W24" i="21" s="1"/>
  <c r="W25" i="21" s="1"/>
  <c r="N4" i="39"/>
  <c r="M4" i="39"/>
  <c r="I4" i="32"/>
  <c r="D4" i="39" a="1"/>
  <c r="F4" i="39" a="1"/>
  <c r="P1927" i="33" a="1"/>
  <c r="P1433" i="33" a="1"/>
  <c r="P879" i="33" a="1"/>
  <c r="P2359" i="33" a="1"/>
  <c r="P1428" i="33" a="1"/>
  <c r="P897" i="33" a="1"/>
  <c r="P2098" i="33" a="1"/>
  <c r="P2030" i="33" a="1"/>
  <c r="P1453" i="33" a="1"/>
  <c r="P885" i="33" a="1"/>
  <c r="P881" i="33" a="1"/>
  <c r="P893" i="33" a="1"/>
  <c r="P2360" i="33" a="1"/>
  <c r="P883" i="33" a="1"/>
  <c r="P895" i="33" a="1"/>
  <c r="P910" i="33" a="1"/>
  <c r="P889" i="33" a="1"/>
  <c r="P902" i="33" a="1"/>
  <c r="P1894" i="33" a="1"/>
  <c r="P2064" i="33" a="1"/>
  <c r="P887" i="33" a="1"/>
  <c r="P1996" i="33" a="1"/>
  <c r="P1960" i="33" a="1"/>
  <c r="I4" i="40" l="1"/>
  <c r="P2064" i="33"/>
  <c r="P2098" i="33"/>
  <c r="P2030" i="33"/>
  <c r="P1894" i="33"/>
  <c r="P1960" i="33"/>
  <c r="P1927" i="33"/>
  <c r="P1996" i="33"/>
  <c r="M2031" i="33"/>
  <c r="K2032" i="33"/>
  <c r="K1896" i="33"/>
  <c r="M1895" i="33"/>
  <c r="K1962" i="33"/>
  <c r="M1961" i="33"/>
  <c r="K1998" i="33"/>
  <c r="M1997" i="33"/>
  <c r="K1929" i="33"/>
  <c r="M1928" i="33"/>
  <c r="K2066" i="33"/>
  <c r="M2065" i="33"/>
  <c r="K2100" i="33"/>
  <c r="M2099" i="33"/>
  <c r="D59" i="40"/>
  <c r="D60" i="40" s="1"/>
  <c r="D61" i="40" s="1"/>
  <c r="D62" i="40" s="1"/>
  <c r="D63" i="40" s="1"/>
  <c r="C27" i="40"/>
  <c r="C28" i="40" s="1"/>
  <c r="C29" i="40" s="1"/>
  <c r="C30" i="40" s="1"/>
  <c r="C31" i="40" s="1"/>
  <c r="C32" i="40" s="1"/>
  <c r="C33" i="40" s="1"/>
  <c r="C34" i="40" s="1"/>
  <c r="C35" i="40" s="1"/>
  <c r="C36" i="40" s="1"/>
  <c r="C37" i="40" s="1"/>
  <c r="C38" i="40" s="1"/>
  <c r="C39" i="40" s="1"/>
  <c r="C40" i="40" s="1"/>
  <c r="C41" i="40" s="1"/>
  <c r="C42" i="40" s="1"/>
  <c r="C43" i="40" s="1"/>
  <c r="C44" i="40" s="1"/>
  <c r="C45" i="40" s="1"/>
  <c r="C46" i="40" s="1"/>
  <c r="C47" i="40" s="1"/>
  <c r="C48" i="40" s="1"/>
  <c r="C49" i="40" s="1"/>
  <c r="C50" i="40" s="1"/>
  <c r="C51" i="40" s="1"/>
  <c r="C52" i="40" s="1"/>
  <c r="C53" i="40" s="1"/>
  <c r="C54" i="40" s="1"/>
  <c r="C55" i="40" s="1"/>
  <c r="C56" i="40" s="1"/>
  <c r="C57" i="40" s="1"/>
  <c r="C58" i="40" s="1"/>
  <c r="AB19" i="40"/>
  <c r="S15" i="40"/>
  <c r="S16" i="40" s="1"/>
  <c r="S17" i="40" s="1"/>
  <c r="S18" i="40" s="1"/>
  <c r="L2361" i="33"/>
  <c r="M2361" i="33" s="1"/>
  <c r="P2359" i="33"/>
  <c r="P1453" i="33"/>
  <c r="P1433" i="33"/>
  <c r="P1428" i="33"/>
  <c r="K1430" i="33"/>
  <c r="M1430" i="33" s="1"/>
  <c r="M1429" i="33"/>
  <c r="P879" i="33"/>
  <c r="P883" i="33"/>
  <c r="P895" i="33"/>
  <c r="P881" i="33"/>
  <c r="P910" i="33"/>
  <c r="P893" i="33"/>
  <c r="P902" i="33"/>
  <c r="P885" i="33"/>
  <c r="P2360" i="33"/>
  <c r="P889" i="33"/>
  <c r="P887" i="33"/>
  <c r="P897" i="33"/>
  <c r="M900" i="33"/>
  <c r="L911" i="33"/>
  <c r="L905" i="33"/>
  <c r="M894" i="33"/>
  <c r="M890" i="33"/>
  <c r="L901" i="33"/>
  <c r="M898" i="33"/>
  <c r="L909" i="33"/>
  <c r="M904" i="33"/>
  <c r="L915" i="33"/>
  <c r="M908" i="33"/>
  <c r="L919" i="33"/>
  <c r="L917" i="33"/>
  <c r="M906" i="33"/>
  <c r="M892" i="33"/>
  <c r="L903" i="33"/>
  <c r="M921" i="33"/>
  <c r="L932" i="33"/>
  <c r="M913" i="33"/>
  <c r="L924" i="33"/>
  <c r="M896" i="33"/>
  <c r="L907" i="33"/>
  <c r="B6" i="40"/>
  <c r="I6" i="40" s="1"/>
  <c r="I5" i="40"/>
  <c r="B21" i="40"/>
  <c r="B22" i="40" s="1"/>
  <c r="D20" i="40"/>
  <c r="D21" i="40" s="1"/>
  <c r="D22" i="40" s="1"/>
  <c r="D23" i="40" s="1"/>
  <c r="D24" i="40" s="1"/>
  <c r="D25" i="40" s="1"/>
  <c r="D26" i="40" s="1"/>
  <c r="W19" i="40"/>
  <c r="I19" i="40"/>
  <c r="R19" i="40"/>
  <c r="O4" i="40"/>
  <c r="O3" i="40"/>
  <c r="T3" i="40"/>
  <c r="Y4" i="40"/>
  <c r="N5" i="40"/>
  <c r="T4" i="40"/>
  <c r="AD3" i="40"/>
  <c r="Y3" i="40"/>
  <c r="AC6" i="40"/>
  <c r="AD4" i="40"/>
  <c r="X6" i="40"/>
  <c r="M42" i="40"/>
  <c r="M20" i="40"/>
  <c r="M5" i="40"/>
  <c r="Y5" i="40" s="1"/>
  <c r="F4" i="39"/>
  <c r="D4" i="39"/>
  <c r="X113" i="27"/>
  <c r="F136" i="27"/>
  <c r="K113" i="27"/>
  <c r="P1434" i="33" a="1"/>
  <c r="P921" i="33" a="1"/>
  <c r="P900" i="33" a="1"/>
  <c r="P1429" i="33" a="1"/>
  <c r="P1997" i="33" a="1"/>
  <c r="P904" i="33" a="1"/>
  <c r="P1430" i="33" a="1"/>
  <c r="P908" i="33" a="1"/>
  <c r="P906" i="33" a="1"/>
  <c r="P1961" i="33" a="1"/>
  <c r="P2065" i="33" a="1"/>
  <c r="P913" i="33" a="1"/>
  <c r="P890" i="33" a="1"/>
  <c r="P1928" i="33" a="1"/>
  <c r="P2361" i="33" a="1"/>
  <c r="P892" i="33" a="1"/>
  <c r="P894" i="33" a="1"/>
  <c r="P1455" i="33" a="1"/>
  <c r="P898" i="33" a="1"/>
  <c r="P896" i="33" a="1"/>
  <c r="P2031" i="33" a="1"/>
  <c r="P1895" i="33" a="1"/>
  <c r="P2099" i="33" a="1"/>
  <c r="P2031" i="33" l="1"/>
  <c r="P1997" i="33"/>
  <c r="P2099" i="33"/>
  <c r="P1961" i="33"/>
  <c r="P2065" i="33"/>
  <c r="P1895" i="33"/>
  <c r="P1928" i="33"/>
  <c r="M1929" i="33"/>
  <c r="K1930" i="33"/>
  <c r="M1998" i="33"/>
  <c r="K1999" i="33"/>
  <c r="K2101" i="33"/>
  <c r="M2100" i="33"/>
  <c r="M1962" i="33"/>
  <c r="K1963" i="33"/>
  <c r="K2067" i="33"/>
  <c r="M2066" i="33"/>
  <c r="M1896" i="33"/>
  <c r="K1897" i="33"/>
  <c r="K2033" i="33"/>
  <c r="M2032" i="33"/>
  <c r="D66" i="40"/>
  <c r="D67" i="40" s="1"/>
  <c r="D68" i="40" s="1"/>
  <c r="D69" i="40" s="1"/>
  <c r="D70" i="40" s="1"/>
  <c r="D71" i="40" s="1"/>
  <c r="D72" i="40" s="1"/>
  <c r="D73" i="40" s="1"/>
  <c r="D74" i="40" s="1"/>
  <c r="D75" i="40" s="1"/>
  <c r="D76" i="40" s="1"/>
  <c r="D77" i="40" s="1"/>
  <c r="D78" i="40" s="1"/>
  <c r="D79" i="40" s="1"/>
  <c r="D80" i="40" s="1"/>
  <c r="D81" i="40" s="1"/>
  <c r="D82" i="40" s="1"/>
  <c r="D83" i="40" s="1"/>
  <c r="D84" i="40" s="1"/>
  <c r="D85" i="40" s="1"/>
  <c r="D86" i="40" s="1"/>
  <c r="D87" i="40" s="1"/>
  <c r="D88" i="40" s="1"/>
  <c r="D89" i="40" s="1"/>
  <c r="D90" i="40" s="1"/>
  <c r="D91" i="40" s="1"/>
  <c r="D92" i="40" s="1"/>
  <c r="D93" i="40" s="1"/>
  <c r="D64" i="40"/>
  <c r="D65" i="40" s="1"/>
  <c r="C59" i="40"/>
  <c r="C60" i="40" s="1"/>
  <c r="C61" i="40" s="1"/>
  <c r="C62" i="40" s="1"/>
  <c r="C63" i="40" s="1"/>
  <c r="R21" i="40"/>
  <c r="D27" i="40"/>
  <c r="D28" i="40" s="1"/>
  <c r="D29" i="40" s="1"/>
  <c r="D30" i="40" s="1"/>
  <c r="D31" i="40" s="1"/>
  <c r="D32" i="40" s="1"/>
  <c r="D33" i="40" s="1"/>
  <c r="D34" i="40" s="1"/>
  <c r="D35" i="40" s="1"/>
  <c r="D36" i="40" s="1"/>
  <c r="D37" i="40" s="1"/>
  <c r="D38" i="40" s="1"/>
  <c r="D39" i="40" s="1"/>
  <c r="W21" i="40"/>
  <c r="I20" i="40"/>
  <c r="S19" i="40"/>
  <c r="T18" i="40"/>
  <c r="B7" i="40"/>
  <c r="I7" i="40" s="1"/>
  <c r="L2362" i="33"/>
  <c r="L2363" i="33" s="1"/>
  <c r="P1434" i="33"/>
  <c r="P1455" i="33"/>
  <c r="P1429" i="33"/>
  <c r="P1430" i="33"/>
  <c r="P921" i="33"/>
  <c r="P2361" i="33"/>
  <c r="P908" i="33"/>
  <c r="P894" i="33"/>
  <c r="P890" i="33"/>
  <c r="P892" i="33"/>
  <c r="P898" i="33"/>
  <c r="P904" i="33"/>
  <c r="P906" i="33"/>
  <c r="P896" i="33"/>
  <c r="P900" i="33"/>
  <c r="P913" i="33"/>
  <c r="L935" i="33"/>
  <c r="M924" i="33"/>
  <c r="L943" i="33"/>
  <c r="M932" i="33"/>
  <c r="L926" i="33"/>
  <c r="M915" i="33"/>
  <c r="M901" i="33"/>
  <c r="L912" i="33"/>
  <c r="L914" i="33"/>
  <c r="M903" i="33"/>
  <c r="M909" i="33"/>
  <c r="L920" i="33"/>
  <c r="M905" i="33"/>
  <c r="L916" i="33"/>
  <c r="L918" i="33"/>
  <c r="M907" i="33"/>
  <c r="L922" i="33"/>
  <c r="M911" i="33"/>
  <c r="M917" i="33"/>
  <c r="L928" i="33"/>
  <c r="L930" i="33"/>
  <c r="M919" i="33"/>
  <c r="AB21" i="40"/>
  <c r="W20" i="40"/>
  <c r="I21" i="40"/>
  <c r="R20" i="40"/>
  <c r="AB20" i="40"/>
  <c r="W22" i="40"/>
  <c r="B23" i="40"/>
  <c r="R22" i="40"/>
  <c r="I22" i="40"/>
  <c r="AB22" i="40"/>
  <c r="AD5" i="40"/>
  <c r="T5" i="40"/>
  <c r="N6" i="40"/>
  <c r="O5" i="40"/>
  <c r="AC7" i="40"/>
  <c r="X7" i="40"/>
  <c r="M43" i="40"/>
  <c r="M6" i="40"/>
  <c r="M21" i="40"/>
  <c r="P932" i="33" a="1"/>
  <c r="P917" i="33" a="1"/>
  <c r="P2032" i="33" a="1"/>
  <c r="P1456" i="33" a="1"/>
  <c r="P1896" i="33" a="1"/>
  <c r="P915" i="33" a="1"/>
  <c r="P903" i="33" a="1"/>
  <c r="P2100" i="33" a="1"/>
  <c r="P1929" i="33" a="1"/>
  <c r="P2066" i="33" a="1"/>
  <c r="P909" i="33" a="1"/>
  <c r="P1435" i="33" a="1"/>
  <c r="P907" i="33" a="1"/>
  <c r="P1998" i="33" a="1"/>
  <c r="P901" i="33" a="1"/>
  <c r="P905" i="33" a="1"/>
  <c r="P924" i="33" a="1"/>
  <c r="P911" i="33" a="1"/>
  <c r="P919" i="33" a="1"/>
  <c r="P1962" i="33" a="1"/>
  <c r="B8" i="40" l="1"/>
  <c r="B9" i="40" s="1"/>
  <c r="M2362" i="33"/>
  <c r="P1929" i="33"/>
  <c r="P1962" i="33"/>
  <c r="P2032" i="33"/>
  <c r="P2100" i="33"/>
  <c r="P1896" i="33"/>
  <c r="P1998" i="33"/>
  <c r="P2066" i="33"/>
  <c r="K2068" i="33"/>
  <c r="M2067" i="33"/>
  <c r="K1964" i="33"/>
  <c r="M1963" i="33"/>
  <c r="K2034" i="33"/>
  <c r="M2033" i="33"/>
  <c r="M2101" i="33"/>
  <c r="K2102" i="33"/>
  <c r="K1898" i="33"/>
  <c r="M1897" i="33"/>
  <c r="K2000" i="33"/>
  <c r="M1999" i="33"/>
  <c r="M1930" i="33"/>
  <c r="K1931" i="33"/>
  <c r="D94" i="40"/>
  <c r="D95" i="40" s="1"/>
  <c r="D96" i="40" s="1"/>
  <c r="D97" i="40" s="1"/>
  <c r="D98" i="40" s="1"/>
  <c r="D99" i="40" s="1"/>
  <c r="D100" i="40" s="1"/>
  <c r="D101" i="40" s="1"/>
  <c r="C64" i="40"/>
  <c r="C65" i="40" s="1"/>
  <c r="C66" i="40" s="1"/>
  <c r="C67" i="40" s="1"/>
  <c r="C68" i="40" s="1"/>
  <c r="C69" i="40" s="1"/>
  <c r="C70" i="40" s="1"/>
  <c r="C71" i="40" s="1"/>
  <c r="C72" i="40" s="1"/>
  <c r="C73" i="40" s="1"/>
  <c r="C74" i="40" s="1"/>
  <c r="C75" i="40" s="1"/>
  <c r="C76" i="40" s="1"/>
  <c r="C77" i="40" s="1"/>
  <c r="C78" i="40" s="1"/>
  <c r="C79" i="40" s="1"/>
  <c r="C80" i="40" s="1"/>
  <c r="C81" i="40" s="1"/>
  <c r="C82" i="40" s="1"/>
  <c r="C83" i="40" s="1"/>
  <c r="C84" i="40" s="1"/>
  <c r="C85" i="40" s="1"/>
  <c r="C86" i="40" s="1"/>
  <c r="C87" i="40" s="1"/>
  <c r="C88" i="40" s="1"/>
  <c r="C89" i="40" s="1"/>
  <c r="C90" i="40" s="1"/>
  <c r="C91" i="40" s="1"/>
  <c r="C92" i="40" s="1"/>
  <c r="C93" i="40" s="1"/>
  <c r="S20" i="40"/>
  <c r="T19" i="40"/>
  <c r="P1456" i="33"/>
  <c r="P1435" i="33"/>
  <c r="P909" i="33"/>
  <c r="P907" i="33"/>
  <c r="P903" i="33"/>
  <c r="P924" i="33"/>
  <c r="P905" i="33"/>
  <c r="P901" i="33"/>
  <c r="P919" i="33"/>
  <c r="P915" i="33"/>
  <c r="P917" i="33"/>
  <c r="P911" i="33"/>
  <c r="P932" i="33"/>
  <c r="M922" i="33"/>
  <c r="L933" i="33"/>
  <c r="M943" i="33"/>
  <c r="L954" i="33"/>
  <c r="L929" i="33"/>
  <c r="M918" i="33"/>
  <c r="M912" i="33"/>
  <c r="L923" i="33"/>
  <c r="L925" i="33"/>
  <c r="M914" i="33"/>
  <c r="M916" i="33"/>
  <c r="L927" i="33"/>
  <c r="L939" i="33"/>
  <c r="M928" i="33"/>
  <c r="M930" i="33"/>
  <c r="L941" i="33"/>
  <c r="M926" i="33"/>
  <c r="L937" i="33"/>
  <c r="M935" i="33"/>
  <c r="L946" i="33"/>
  <c r="M920" i="33"/>
  <c r="L931" i="33"/>
  <c r="B24" i="40"/>
  <c r="W23" i="40"/>
  <c r="R23" i="40"/>
  <c r="AB23" i="40"/>
  <c r="I23" i="40"/>
  <c r="M7" i="40"/>
  <c r="AD7" i="40" s="1"/>
  <c r="T6" i="40"/>
  <c r="AD6" i="40"/>
  <c r="Y6" i="40"/>
  <c r="N7" i="40"/>
  <c r="O6" i="40"/>
  <c r="AC8" i="40"/>
  <c r="X8" i="40"/>
  <c r="M44" i="40"/>
  <c r="M22" i="40"/>
  <c r="Y114" i="27"/>
  <c r="X115" i="27" s="1"/>
  <c r="Y113" i="27"/>
  <c r="W115" i="27" s="1"/>
  <c r="W114" i="27"/>
  <c r="L113" i="27"/>
  <c r="J115" i="27" s="1"/>
  <c r="P916" i="33" a="1"/>
  <c r="P918" i="33" a="1"/>
  <c r="P1930" i="33" a="1"/>
  <c r="P935" i="33" a="1"/>
  <c r="P2362" i="33" a="1"/>
  <c r="P920" i="33" a="1"/>
  <c r="P912" i="33" a="1"/>
  <c r="P922" i="33" a="1"/>
  <c r="P1457" i="33" a="1"/>
  <c r="P914" i="33" a="1"/>
  <c r="P930" i="33" a="1"/>
  <c r="P2033" i="33" a="1"/>
  <c r="P926" i="33" a="1"/>
  <c r="P928" i="33" a="1"/>
  <c r="P1963" i="33" a="1"/>
  <c r="P2101" i="33" a="1"/>
  <c r="P1999" i="33" a="1"/>
  <c r="P1897" i="33" a="1"/>
  <c r="P943" i="33" a="1"/>
  <c r="P2067" i="33" a="1"/>
  <c r="P1436" i="33" a="1"/>
  <c r="I8" i="40" l="1"/>
  <c r="P2362" i="33"/>
  <c r="P2101" i="33"/>
  <c r="P2033" i="33"/>
  <c r="P1930" i="33"/>
  <c r="P1999" i="33"/>
  <c r="P1963" i="33"/>
  <c r="P1897" i="33"/>
  <c r="P2067" i="33"/>
  <c r="K1899" i="33"/>
  <c r="M1898" i="33"/>
  <c r="K2069" i="33"/>
  <c r="M2068" i="33"/>
  <c r="M2102" i="33"/>
  <c r="K2103" i="33"/>
  <c r="K1932" i="33"/>
  <c r="M1931" i="33"/>
  <c r="M2034" i="33"/>
  <c r="K2035" i="33"/>
  <c r="K2001" i="33"/>
  <c r="M2000" i="33"/>
  <c r="K1965" i="33"/>
  <c r="M1964" i="33"/>
  <c r="D102" i="40"/>
  <c r="D103" i="40" s="1"/>
  <c r="D104" i="40" s="1"/>
  <c r="C94" i="40"/>
  <c r="C95" i="40" s="1"/>
  <c r="C96" i="40" s="1"/>
  <c r="C97" i="40" s="1"/>
  <c r="C98" i="40" s="1"/>
  <c r="C99" i="40" s="1"/>
  <c r="C100" i="40" s="1"/>
  <c r="C101" i="40" s="1"/>
  <c r="S21" i="40"/>
  <c r="T20" i="40"/>
  <c r="P1436" i="33"/>
  <c r="P1457" i="33"/>
  <c r="P914" i="33"/>
  <c r="P943" i="33"/>
  <c r="P935" i="33"/>
  <c r="P930" i="33"/>
  <c r="P922" i="33"/>
  <c r="P928" i="33"/>
  <c r="P926" i="33"/>
  <c r="P912" i="33"/>
  <c r="P918" i="33"/>
  <c r="P920" i="33"/>
  <c r="P916" i="33"/>
  <c r="M954" i="33"/>
  <c r="L965" i="33"/>
  <c r="M925" i="33"/>
  <c r="L936" i="33"/>
  <c r="M933" i="33"/>
  <c r="L944" i="33"/>
  <c r="M937" i="33"/>
  <c r="L948" i="33"/>
  <c r="L934" i="33"/>
  <c r="M923" i="33"/>
  <c r="M941" i="33"/>
  <c r="L952" i="33"/>
  <c r="M939" i="33"/>
  <c r="L950" i="33"/>
  <c r="M946" i="33"/>
  <c r="L957" i="33"/>
  <c r="L942" i="33"/>
  <c r="M931" i="33"/>
  <c r="L938" i="33"/>
  <c r="M927" i="33"/>
  <c r="M929" i="33"/>
  <c r="L940" i="33"/>
  <c r="B25" i="40"/>
  <c r="B26" i="40" s="1"/>
  <c r="R24" i="40"/>
  <c r="W24" i="40"/>
  <c r="AB24" i="40"/>
  <c r="I24" i="40"/>
  <c r="B10" i="40"/>
  <c r="I9" i="40"/>
  <c r="M8" i="40"/>
  <c r="AD8" i="40" s="1"/>
  <c r="T7" i="40"/>
  <c r="N8" i="40"/>
  <c r="O7" i="40"/>
  <c r="Y7" i="40"/>
  <c r="AC9" i="40"/>
  <c r="X9" i="40"/>
  <c r="M115" i="40"/>
  <c r="M45" i="40"/>
  <c r="M23" i="40"/>
  <c r="P933" i="33" a="1"/>
  <c r="P2034" i="33" a="1"/>
  <c r="P2000" i="33" a="1"/>
  <c r="P2102" i="33" a="1"/>
  <c r="P1964" i="33" a="1"/>
  <c r="P925" i="33" a="1"/>
  <c r="P941" i="33" a="1"/>
  <c r="P2068" i="33" a="1"/>
  <c r="P946" i="33" a="1"/>
  <c r="P1931" i="33" a="1"/>
  <c r="P929" i="33" a="1"/>
  <c r="P939" i="33" a="1"/>
  <c r="P1898" i="33" a="1"/>
  <c r="P1458" i="33" a="1"/>
  <c r="P923" i="33" a="1"/>
  <c r="P927" i="33" a="1"/>
  <c r="P1437" i="33" a="1"/>
  <c r="P954" i="33" a="1"/>
  <c r="P931" i="33" a="1"/>
  <c r="P937" i="33" a="1"/>
  <c r="P2034" i="33" l="1"/>
  <c r="P1931" i="33"/>
  <c r="P1964" i="33"/>
  <c r="P2102" i="33"/>
  <c r="P2000" i="33"/>
  <c r="P2068" i="33"/>
  <c r="P1898" i="33"/>
  <c r="K1900" i="33"/>
  <c r="M1899" i="33"/>
  <c r="K1933" i="33"/>
  <c r="M1932" i="33"/>
  <c r="M2103" i="33"/>
  <c r="K2104" i="33"/>
  <c r="M1965" i="33"/>
  <c r="K1966" i="33"/>
  <c r="M2001" i="33"/>
  <c r="K2002" i="33"/>
  <c r="K2070" i="33"/>
  <c r="M2069" i="33"/>
  <c r="K2036" i="33"/>
  <c r="M2035" i="33"/>
  <c r="C102" i="40"/>
  <c r="C103" i="40" s="1"/>
  <c r="C104" i="40" s="1"/>
  <c r="C105" i="40" s="1"/>
  <c r="C106" i="40" s="1"/>
  <c r="C107" i="40" s="1"/>
  <c r="C108" i="40" s="1"/>
  <c r="C109" i="40" s="1"/>
  <c r="C110" i="40" s="1"/>
  <c r="C111" i="40" s="1"/>
  <c r="C112" i="40" s="1"/>
  <c r="C113" i="40" s="1"/>
  <c r="C114" i="40" s="1"/>
  <c r="C115" i="40" s="1"/>
  <c r="C116" i="40" s="1"/>
  <c r="C117" i="40" s="1"/>
  <c r="C118" i="40" s="1"/>
  <c r="C119" i="40" s="1"/>
  <c r="C120" i="40" s="1"/>
  <c r="S22" i="40"/>
  <c r="T21" i="40"/>
  <c r="P1437" i="33"/>
  <c r="P1458" i="33"/>
  <c r="P923" i="33"/>
  <c r="P931" i="33"/>
  <c r="P946" i="33"/>
  <c r="P941" i="33"/>
  <c r="P929" i="33"/>
  <c r="P937" i="33"/>
  <c r="P954" i="33"/>
  <c r="P925" i="33"/>
  <c r="P927" i="33"/>
  <c r="P939" i="33"/>
  <c r="P933" i="33"/>
  <c r="M952" i="33"/>
  <c r="L963" i="33"/>
  <c r="M942" i="33"/>
  <c r="L953" i="33"/>
  <c r="M957" i="33"/>
  <c r="L968" i="33"/>
  <c r="M948" i="33"/>
  <c r="L959" i="33"/>
  <c r="M965" i="33"/>
  <c r="L976" i="33"/>
  <c r="M936" i="33"/>
  <c r="L947" i="33"/>
  <c r="M950" i="33"/>
  <c r="L961" i="33"/>
  <c r="M944" i="33"/>
  <c r="L955" i="33"/>
  <c r="M940" i="33"/>
  <c r="L951" i="33"/>
  <c r="M934" i="33"/>
  <c r="L945" i="33"/>
  <c r="M938" i="33"/>
  <c r="L949" i="33"/>
  <c r="R25" i="40"/>
  <c r="AB25" i="40"/>
  <c r="W25" i="40"/>
  <c r="I25" i="40"/>
  <c r="I10" i="40"/>
  <c r="B11" i="40"/>
  <c r="N9" i="40"/>
  <c r="O8" i="40"/>
  <c r="M9" i="40"/>
  <c r="Y9" i="40" s="1"/>
  <c r="T8" i="40"/>
  <c r="Y8" i="40"/>
  <c r="AC10" i="40"/>
  <c r="X10" i="40"/>
  <c r="M116" i="40"/>
  <c r="M46" i="40"/>
  <c r="M24" i="40"/>
  <c r="T346" i="1"/>
  <c r="P957" i="33" a="1"/>
  <c r="P952" i="33" a="1"/>
  <c r="P1899" i="33" a="1"/>
  <c r="P948" i="33" a="1"/>
  <c r="P950" i="33" a="1"/>
  <c r="P1438" i="33" a="1"/>
  <c r="P1965" i="33" a="1"/>
  <c r="P940" i="33" a="1"/>
  <c r="P2001" i="33" a="1"/>
  <c r="P965" i="33" a="1"/>
  <c r="P1459" i="33" a="1"/>
  <c r="P2035" i="33" a="1"/>
  <c r="P936" i="33" a="1"/>
  <c r="P938" i="33" a="1"/>
  <c r="P1932" i="33" a="1"/>
  <c r="P934" i="33" a="1"/>
  <c r="P944" i="33" a="1"/>
  <c r="P2069" i="33" a="1"/>
  <c r="P942" i="33" a="1"/>
  <c r="P2103" i="33" a="1"/>
  <c r="P2001" i="33" l="1"/>
  <c r="P1965" i="33"/>
  <c r="P2035" i="33"/>
  <c r="P2103" i="33"/>
  <c r="P1932" i="33"/>
  <c r="P2069" i="33"/>
  <c r="P1899" i="33"/>
  <c r="M1900" i="33"/>
  <c r="K1901" i="33"/>
  <c r="K1967" i="33"/>
  <c r="M1966" i="33"/>
  <c r="K2105" i="33"/>
  <c r="M2104" i="33"/>
  <c r="M2036" i="33"/>
  <c r="K2037" i="33"/>
  <c r="K2071" i="33"/>
  <c r="M2070" i="33"/>
  <c r="K1934" i="33"/>
  <c r="M1933" i="33"/>
  <c r="M2002" i="33"/>
  <c r="K2003" i="33"/>
  <c r="S23" i="40"/>
  <c r="T22" i="40"/>
  <c r="P1438" i="33"/>
  <c r="P1459" i="33"/>
  <c r="P938" i="33"/>
  <c r="P936" i="33"/>
  <c r="P950" i="33"/>
  <c r="P957" i="33"/>
  <c r="P934" i="33"/>
  <c r="P942" i="33"/>
  <c r="P965" i="33"/>
  <c r="P940" i="33"/>
  <c r="P944" i="33"/>
  <c r="P948" i="33"/>
  <c r="P952" i="33"/>
  <c r="M949" i="33"/>
  <c r="L960" i="33"/>
  <c r="M961" i="33"/>
  <c r="L972" i="33"/>
  <c r="M951" i="33"/>
  <c r="L962" i="33"/>
  <c r="M976" i="33"/>
  <c r="L987" i="33"/>
  <c r="M953" i="33"/>
  <c r="L964" i="33"/>
  <c r="M947" i="33"/>
  <c r="L958" i="33"/>
  <c r="M955" i="33"/>
  <c r="L966" i="33"/>
  <c r="M959" i="33"/>
  <c r="L970" i="33"/>
  <c r="M963" i="33"/>
  <c r="L974" i="33"/>
  <c r="M945" i="33"/>
  <c r="L956" i="33"/>
  <c r="M968" i="33"/>
  <c r="L979" i="33"/>
  <c r="AD9" i="40"/>
  <c r="B12" i="40"/>
  <c r="I11" i="40"/>
  <c r="N10" i="40"/>
  <c r="O9" i="40"/>
  <c r="M10" i="40"/>
  <c r="AD10" i="40" s="1"/>
  <c r="T9" i="40"/>
  <c r="AC11" i="40"/>
  <c r="X11" i="40"/>
  <c r="M117" i="40"/>
  <c r="M47" i="40"/>
  <c r="M25" i="40"/>
  <c r="M26" i="40" s="1"/>
  <c r="T350" i="1"/>
  <c r="T351" i="1" s="1"/>
  <c r="S351" i="1" s="1"/>
  <c r="T347" i="1"/>
  <c r="T348" i="1" s="1"/>
  <c r="S348" i="1" s="1"/>
  <c r="P1439" i="33" a="1"/>
  <c r="P963" i="33" a="1"/>
  <c r="P945" i="33" a="1"/>
  <c r="P961" i="33" a="1"/>
  <c r="P1966" i="33" a="1"/>
  <c r="P955" i="33" a="1"/>
  <c r="P953" i="33" a="1"/>
  <c r="P976" i="33" a="1"/>
  <c r="P949" i="33" a="1"/>
  <c r="P2002" i="33" a="1"/>
  <c r="P2036" i="33" a="1"/>
  <c r="P1900" i="33" a="1"/>
  <c r="P2070" i="33" a="1"/>
  <c r="P947" i="33" a="1"/>
  <c r="P1933" i="33" a="1"/>
  <c r="P959" i="33" a="1"/>
  <c r="P951" i="33" a="1"/>
  <c r="P1460" i="33" a="1"/>
  <c r="P968" i="33" a="1"/>
  <c r="P2104" i="33" a="1"/>
  <c r="H343" i="1" l="1"/>
  <c r="P1900" i="33"/>
  <c r="P2036" i="33"/>
  <c r="P2104" i="33"/>
  <c r="P2002" i="33"/>
  <c r="P1966" i="33"/>
  <c r="P1933" i="33"/>
  <c r="P2070" i="33"/>
  <c r="M2071" i="33"/>
  <c r="K2072" i="33"/>
  <c r="K2038" i="33"/>
  <c r="M2037" i="33"/>
  <c r="M2003" i="33"/>
  <c r="K2004" i="33"/>
  <c r="K2106" i="33"/>
  <c r="M2105" i="33"/>
  <c r="K1935" i="33"/>
  <c r="M1934" i="33"/>
  <c r="K1968" i="33"/>
  <c r="M1967" i="33"/>
  <c r="M1901" i="33"/>
  <c r="K1902" i="33"/>
  <c r="S24" i="40"/>
  <c r="T23" i="40"/>
  <c r="P1439" i="33"/>
  <c r="P1460" i="33"/>
  <c r="P963" i="33"/>
  <c r="P953" i="33"/>
  <c r="P961" i="33"/>
  <c r="P959" i="33"/>
  <c r="P949" i="33"/>
  <c r="P976" i="33"/>
  <c r="P955" i="33"/>
  <c r="P951" i="33"/>
  <c r="P968" i="33"/>
  <c r="P945" i="33"/>
  <c r="P947" i="33"/>
  <c r="M974" i="33"/>
  <c r="L985" i="33"/>
  <c r="M964" i="33"/>
  <c r="L975" i="33"/>
  <c r="M972" i="33"/>
  <c r="L983" i="33"/>
  <c r="M979" i="33"/>
  <c r="L990" i="33"/>
  <c r="M966" i="33"/>
  <c r="L977" i="33"/>
  <c r="M962" i="33"/>
  <c r="L973" i="33"/>
  <c r="M970" i="33"/>
  <c r="L981" i="33"/>
  <c r="M960" i="33"/>
  <c r="L971" i="33"/>
  <c r="M956" i="33"/>
  <c r="L967" i="33"/>
  <c r="M958" i="33"/>
  <c r="L969" i="33"/>
  <c r="M987" i="33"/>
  <c r="L998" i="33"/>
  <c r="I12" i="40"/>
  <c r="B13" i="40"/>
  <c r="N11" i="40"/>
  <c r="O10" i="40"/>
  <c r="M11" i="40"/>
  <c r="Y11" i="40" s="1"/>
  <c r="T10" i="40"/>
  <c r="Y10" i="40"/>
  <c r="AC12" i="40"/>
  <c r="X12" i="40"/>
  <c r="M118" i="40"/>
  <c r="M48" i="40"/>
  <c r="G771" i="1"/>
  <c r="G770" i="1"/>
  <c r="G768" i="1"/>
  <c r="D34" i="7"/>
  <c r="D33" i="7"/>
  <c r="D32" i="7"/>
  <c r="D31" i="7"/>
  <c r="D30" i="7"/>
  <c r="U104" i="4"/>
  <c r="T104" i="4"/>
  <c r="S104" i="4"/>
  <c r="R104" i="4"/>
  <c r="Q104" i="4"/>
  <c r="P104" i="4"/>
  <c r="O104" i="4"/>
  <c r="U103" i="4"/>
  <c r="T103" i="4"/>
  <c r="S103" i="4"/>
  <c r="R103" i="4"/>
  <c r="Q103" i="4"/>
  <c r="P103" i="4"/>
  <c r="O103" i="4"/>
  <c r="U102" i="4"/>
  <c r="T102" i="4"/>
  <c r="S102" i="4"/>
  <c r="R102" i="4"/>
  <c r="Q102" i="4"/>
  <c r="P102" i="4"/>
  <c r="O102" i="4"/>
  <c r="U101" i="4"/>
  <c r="T101" i="4"/>
  <c r="S101" i="4"/>
  <c r="R101" i="4"/>
  <c r="Q101" i="4"/>
  <c r="P101" i="4"/>
  <c r="O101" i="4"/>
  <c r="U100" i="4"/>
  <c r="T100" i="4"/>
  <c r="S100" i="4"/>
  <c r="R100" i="4"/>
  <c r="Q100" i="4"/>
  <c r="P100" i="4"/>
  <c r="U95" i="4"/>
  <c r="T95" i="4"/>
  <c r="S95" i="4"/>
  <c r="R95" i="4"/>
  <c r="Q95" i="4"/>
  <c r="P95" i="4"/>
  <c r="O95" i="4"/>
  <c r="U94" i="4"/>
  <c r="T94" i="4"/>
  <c r="S94" i="4"/>
  <c r="R94" i="4"/>
  <c r="Q94" i="4"/>
  <c r="P94" i="4"/>
  <c r="O94" i="4"/>
  <c r="U93" i="4"/>
  <c r="T93" i="4"/>
  <c r="S93" i="4"/>
  <c r="R93" i="4"/>
  <c r="Q93" i="4"/>
  <c r="P93" i="4"/>
  <c r="O93" i="4"/>
  <c r="U92" i="4"/>
  <c r="T92" i="4"/>
  <c r="S92" i="4"/>
  <c r="R92" i="4"/>
  <c r="Q92" i="4"/>
  <c r="P92" i="4"/>
  <c r="O92" i="4"/>
  <c r="U91" i="4"/>
  <c r="T91" i="4"/>
  <c r="S91" i="4"/>
  <c r="R91" i="4"/>
  <c r="Q91" i="4"/>
  <c r="P91" i="4"/>
  <c r="O100" i="4"/>
  <c r="O91" i="4"/>
  <c r="U86" i="4"/>
  <c r="T86" i="4"/>
  <c r="S86" i="4"/>
  <c r="R86" i="4"/>
  <c r="Q86" i="4"/>
  <c r="P86" i="4"/>
  <c r="O86" i="4"/>
  <c r="U85" i="4"/>
  <c r="T85" i="4"/>
  <c r="S85" i="4"/>
  <c r="R85" i="4"/>
  <c r="Q85" i="4"/>
  <c r="P85" i="4"/>
  <c r="O85" i="4"/>
  <c r="U84" i="4"/>
  <c r="T84" i="4"/>
  <c r="S84" i="4"/>
  <c r="R84" i="4"/>
  <c r="Q84" i="4"/>
  <c r="P84" i="4"/>
  <c r="O84" i="4"/>
  <c r="U83" i="4"/>
  <c r="T83" i="4"/>
  <c r="S83" i="4"/>
  <c r="R83" i="4"/>
  <c r="Q83" i="4"/>
  <c r="P83" i="4"/>
  <c r="O83" i="4"/>
  <c r="U82" i="4"/>
  <c r="T82" i="4"/>
  <c r="S82" i="4"/>
  <c r="R82" i="4"/>
  <c r="Q82" i="4"/>
  <c r="P82" i="4"/>
  <c r="O82" i="4"/>
  <c r="U77" i="4"/>
  <c r="T77" i="4"/>
  <c r="S77" i="4"/>
  <c r="R77" i="4"/>
  <c r="Q77" i="4"/>
  <c r="P77" i="4"/>
  <c r="O77" i="4"/>
  <c r="U76" i="4"/>
  <c r="T76" i="4"/>
  <c r="S76" i="4"/>
  <c r="R76" i="4"/>
  <c r="Q76" i="4"/>
  <c r="P76" i="4"/>
  <c r="O76" i="4"/>
  <c r="U75" i="4"/>
  <c r="T75" i="4"/>
  <c r="S75" i="4"/>
  <c r="R75" i="4"/>
  <c r="Q75" i="4"/>
  <c r="P75" i="4"/>
  <c r="O75" i="4"/>
  <c r="U74" i="4"/>
  <c r="T74" i="4"/>
  <c r="S74" i="4"/>
  <c r="R74" i="4"/>
  <c r="Q74" i="4"/>
  <c r="P74" i="4"/>
  <c r="O74" i="4"/>
  <c r="U73" i="4"/>
  <c r="T73" i="4"/>
  <c r="S73" i="4"/>
  <c r="R73" i="4"/>
  <c r="Q73" i="4"/>
  <c r="P73" i="4"/>
  <c r="O73" i="4"/>
  <c r="I417" i="1"/>
  <c r="I416" i="1"/>
  <c r="I415" i="1"/>
  <c r="I414" i="1"/>
  <c r="I413" i="1"/>
  <c r="I412" i="1"/>
  <c r="I411" i="1"/>
  <c r="I410" i="1"/>
  <c r="G184" i="26"/>
  <c r="I800" i="1"/>
  <c r="I799" i="1"/>
  <c r="I798" i="1"/>
  <c r="I795" i="1"/>
  <c r="I794" i="1"/>
  <c r="I792" i="1"/>
  <c r="I791" i="1"/>
  <c r="I789" i="1"/>
  <c r="I788" i="1"/>
  <c r="I787" i="1"/>
  <c r="I785" i="1"/>
  <c r="I783" i="1"/>
  <c r="I782" i="1"/>
  <c r="D114" i="26"/>
  <c r="D112" i="26"/>
  <c r="I406" i="1"/>
  <c r="I405" i="1"/>
  <c r="I404" i="1"/>
  <c r="I403" i="1"/>
  <c r="I402" i="1"/>
  <c r="I401" i="1"/>
  <c r="I400" i="1"/>
  <c r="I399" i="1"/>
  <c r="E199" i="1"/>
  <c r="H199" i="1"/>
  <c r="E229" i="1"/>
  <c r="H229" i="1"/>
  <c r="E259" i="1"/>
  <c r="H259" i="1"/>
  <c r="P1901" i="33" a="1"/>
  <c r="P2105" i="33" a="1"/>
  <c r="P1934" i="33" a="1"/>
  <c r="P2071" i="33" a="1"/>
  <c r="P966" i="33" a="1"/>
  <c r="P2003" i="33" a="1"/>
  <c r="P987" i="33" a="1"/>
  <c r="P979" i="33" a="1"/>
  <c r="P972" i="33" a="1"/>
  <c r="P964" i="33" a="1"/>
  <c r="P2037" i="33" a="1"/>
  <c r="P1440" i="33" a="1"/>
  <c r="P970" i="33" a="1"/>
  <c r="P958" i="33" a="1"/>
  <c r="P974" i="33" a="1"/>
  <c r="P956" i="33" a="1"/>
  <c r="P1461" i="33" a="1"/>
  <c r="P1967" i="33" a="1"/>
  <c r="P962" i="33" a="1"/>
  <c r="P960" i="33" a="1"/>
  <c r="P2071" i="33" l="1"/>
  <c r="P2105" i="33"/>
  <c r="P1901" i="33"/>
  <c r="P2003" i="33"/>
  <c r="P1967" i="33"/>
  <c r="P2037" i="33"/>
  <c r="P1934" i="33"/>
  <c r="M1935" i="33"/>
  <c r="K1936" i="33"/>
  <c r="K2107" i="33"/>
  <c r="M2106" i="33"/>
  <c r="K1903" i="33"/>
  <c r="M1902" i="33"/>
  <c r="M2004" i="33"/>
  <c r="K2005" i="33"/>
  <c r="K1969" i="33"/>
  <c r="M1968" i="33"/>
  <c r="M2038" i="33"/>
  <c r="K2039" i="33"/>
  <c r="K2073" i="33"/>
  <c r="M2072" i="33"/>
  <c r="S25" i="40"/>
  <c r="S26" i="40" s="1"/>
  <c r="T24" i="40"/>
  <c r="G118" i="26"/>
  <c r="F118" i="26"/>
  <c r="E118" i="26"/>
  <c r="D118" i="26"/>
  <c r="G116" i="26"/>
  <c r="F116" i="26"/>
  <c r="E116" i="26"/>
  <c r="D116" i="26"/>
  <c r="P1461" i="33"/>
  <c r="P1440" i="33"/>
  <c r="Q701" i="1"/>
  <c r="P958" i="33"/>
  <c r="P962" i="33"/>
  <c r="P964" i="33"/>
  <c r="P956" i="33"/>
  <c r="P966" i="33"/>
  <c r="P974" i="33"/>
  <c r="P987" i="33"/>
  <c r="P960" i="33"/>
  <c r="P979" i="33"/>
  <c r="P970" i="33"/>
  <c r="P972" i="33"/>
  <c r="M969" i="33"/>
  <c r="L980" i="33"/>
  <c r="M973" i="33"/>
  <c r="L984" i="33"/>
  <c r="M975" i="33"/>
  <c r="L986" i="33"/>
  <c r="M985" i="33"/>
  <c r="L996" i="33"/>
  <c r="M998" i="33"/>
  <c r="L1009" i="33"/>
  <c r="M971" i="33"/>
  <c r="L982" i="33"/>
  <c r="M990" i="33"/>
  <c r="L1001" i="33"/>
  <c r="M977" i="33"/>
  <c r="L988" i="33"/>
  <c r="M981" i="33"/>
  <c r="L992" i="33"/>
  <c r="M983" i="33"/>
  <c r="L994" i="33"/>
  <c r="M967" i="33"/>
  <c r="L978" i="33"/>
  <c r="I26" i="40"/>
  <c r="R26" i="40"/>
  <c r="B27" i="40"/>
  <c r="W26" i="40"/>
  <c r="AB26" i="40"/>
  <c r="B14" i="40"/>
  <c r="B15" i="40" s="1"/>
  <c r="I15" i="40" s="1"/>
  <c r="I13" i="40"/>
  <c r="AD11" i="40"/>
  <c r="M12" i="40"/>
  <c r="AD12" i="40" s="1"/>
  <c r="T11" i="40"/>
  <c r="N12" i="40"/>
  <c r="O11" i="40"/>
  <c r="AC13" i="40"/>
  <c r="X13" i="40"/>
  <c r="M49" i="40"/>
  <c r="B177" i="4"/>
  <c r="B180" i="4"/>
  <c r="B175" i="4"/>
  <c r="B176" i="4"/>
  <c r="B178" i="4"/>
  <c r="B179" i="4"/>
  <c r="B181" i="4"/>
  <c r="B182" i="4"/>
  <c r="P2038" i="33" a="1"/>
  <c r="P975" i="33" a="1"/>
  <c r="P1462" i="33" a="1"/>
  <c r="P977" i="33" a="1"/>
  <c r="P967" i="33" a="1"/>
  <c r="P990" i="33" a="1"/>
  <c r="P2072" i="33" a="1"/>
  <c r="P981" i="33" a="1"/>
  <c r="P969" i="33" a="1"/>
  <c r="P1935" i="33" a="1"/>
  <c r="P2004" i="33" a="1"/>
  <c r="P983" i="33" a="1"/>
  <c r="P1441" i="33" a="1"/>
  <c r="P973" i="33" a="1"/>
  <c r="P2106" i="33" a="1"/>
  <c r="P998" i="33" a="1"/>
  <c r="P971" i="33" a="1"/>
  <c r="P1902" i="33" a="1"/>
  <c r="P985" i="33" a="1"/>
  <c r="P1968" i="33" a="1"/>
  <c r="P1935" i="33" l="1"/>
  <c r="P2004" i="33"/>
  <c r="P2072" i="33"/>
  <c r="P1902" i="33"/>
  <c r="P2106" i="33"/>
  <c r="P2038" i="33"/>
  <c r="P1968" i="33"/>
  <c r="K1970" i="33"/>
  <c r="M1969" i="33"/>
  <c r="K2006" i="33"/>
  <c r="M2005" i="33"/>
  <c r="K2074" i="33"/>
  <c r="M2073" i="33"/>
  <c r="K1904" i="33"/>
  <c r="M1903" i="33"/>
  <c r="K2040" i="33"/>
  <c r="M2039" i="33"/>
  <c r="K2108" i="33"/>
  <c r="M2107" i="33"/>
  <c r="K1937" i="33"/>
  <c r="M1936" i="33"/>
  <c r="T25" i="40"/>
  <c r="P1441" i="33"/>
  <c r="P1462" i="33"/>
  <c r="Y12" i="40"/>
  <c r="P981" i="33"/>
  <c r="P971" i="33"/>
  <c r="P973" i="33"/>
  <c r="P969" i="33"/>
  <c r="P967" i="33"/>
  <c r="P977" i="33"/>
  <c r="P985" i="33"/>
  <c r="P998" i="33"/>
  <c r="P983" i="33"/>
  <c r="P990" i="33"/>
  <c r="P975" i="33"/>
  <c r="M982" i="33"/>
  <c r="L993" i="33"/>
  <c r="M984" i="33"/>
  <c r="L995" i="33"/>
  <c r="M1009" i="33"/>
  <c r="L1020" i="33"/>
  <c r="M978" i="33"/>
  <c r="L989" i="33"/>
  <c r="M988" i="33"/>
  <c r="L999" i="33"/>
  <c r="M996" i="33"/>
  <c r="L1007" i="33"/>
  <c r="M980" i="33"/>
  <c r="L991" i="33"/>
  <c r="M992" i="33"/>
  <c r="L1003" i="33"/>
  <c r="M994" i="33"/>
  <c r="L1005" i="33"/>
  <c r="M1001" i="33"/>
  <c r="L1012" i="33"/>
  <c r="M986" i="33"/>
  <c r="L997" i="33"/>
  <c r="B28" i="40"/>
  <c r="I27" i="40"/>
  <c r="AB27" i="40"/>
  <c r="R27" i="40"/>
  <c r="W27" i="40"/>
  <c r="B16" i="40"/>
  <c r="I14" i="40"/>
  <c r="M13" i="40"/>
  <c r="Y13" i="40" s="1"/>
  <c r="T12" i="40"/>
  <c r="N13" i="40"/>
  <c r="O12" i="40"/>
  <c r="AC14" i="40"/>
  <c r="AC15" i="40" s="1"/>
  <c r="AC16" i="40" s="1"/>
  <c r="X14" i="40"/>
  <c r="X15" i="40" s="1"/>
  <c r="X16" i="40" s="1"/>
  <c r="M120" i="40"/>
  <c r="M50" i="40"/>
  <c r="P986" i="33" a="1"/>
  <c r="P988" i="33" a="1"/>
  <c r="P996" i="33" a="1"/>
  <c r="P1442" i="33" a="1"/>
  <c r="P2107" i="33" a="1"/>
  <c r="P994" i="33" a="1"/>
  <c r="P992" i="33" a="1"/>
  <c r="P2005" i="33" a="1"/>
  <c r="P2039" i="33" a="1"/>
  <c r="P1463" i="33" a="1"/>
  <c r="P1936" i="33" a="1"/>
  <c r="P978" i="33" a="1"/>
  <c r="P1001" i="33" a="1"/>
  <c r="P1969" i="33" a="1"/>
  <c r="P51" i="33" a="1"/>
  <c r="P1009" i="33" a="1"/>
  <c r="P1903" i="33" a="1"/>
  <c r="P980" i="33" a="1"/>
  <c r="P2073" i="33" a="1"/>
  <c r="P982" i="33" a="1"/>
  <c r="P984" i="33" a="1"/>
  <c r="P1903" i="33" l="1"/>
  <c r="P2073" i="33"/>
  <c r="P1936" i="33"/>
  <c r="P2005" i="33"/>
  <c r="P2107" i="33"/>
  <c r="P2039" i="33"/>
  <c r="P1969" i="33"/>
  <c r="K2041" i="33"/>
  <c r="M2040" i="33"/>
  <c r="K1971" i="33"/>
  <c r="M1970" i="33"/>
  <c r="K1905" i="33"/>
  <c r="M1904" i="33"/>
  <c r="K1938" i="33"/>
  <c r="M1937" i="33"/>
  <c r="K2075" i="33"/>
  <c r="M2074" i="33"/>
  <c r="K2109" i="33"/>
  <c r="M2108" i="33"/>
  <c r="K2007" i="33"/>
  <c r="M2006" i="33"/>
  <c r="S27" i="40"/>
  <c r="S28" i="40" s="1"/>
  <c r="S29" i="40" s="1"/>
  <c r="S30" i="40" s="1"/>
  <c r="S31" i="40" s="1"/>
  <c r="S32" i="40" s="1"/>
  <c r="S33" i="40" s="1"/>
  <c r="S34" i="40" s="1"/>
  <c r="S35" i="40" s="1"/>
  <c r="S36" i="40" s="1"/>
  <c r="S37" i="40" s="1"/>
  <c r="S38" i="40" s="1"/>
  <c r="S39" i="40" s="1"/>
  <c r="S40" i="40" s="1"/>
  <c r="P51" i="33"/>
  <c r="P1442" i="33"/>
  <c r="P1463" i="33"/>
  <c r="P1001" i="33"/>
  <c r="P996" i="33"/>
  <c r="P984" i="33"/>
  <c r="P988" i="33"/>
  <c r="P982" i="33"/>
  <c r="P994" i="33"/>
  <c r="P992" i="33"/>
  <c r="P978" i="33"/>
  <c r="P986" i="33"/>
  <c r="P980" i="33"/>
  <c r="P1009" i="33"/>
  <c r="M999" i="33"/>
  <c r="L1010" i="33"/>
  <c r="M1012" i="33"/>
  <c r="L1023" i="33"/>
  <c r="M1007" i="33"/>
  <c r="L1018" i="33"/>
  <c r="M995" i="33"/>
  <c r="L1006" i="33"/>
  <c r="M1003" i="33"/>
  <c r="L1014" i="33"/>
  <c r="M989" i="33"/>
  <c r="L1000" i="33"/>
  <c r="M993" i="33"/>
  <c r="L1004" i="33"/>
  <c r="M997" i="33"/>
  <c r="L1008" i="33"/>
  <c r="M991" i="33"/>
  <c r="L1002" i="33"/>
  <c r="M1020" i="33"/>
  <c r="L1031" i="33"/>
  <c r="M1005" i="33"/>
  <c r="L1016" i="33"/>
  <c r="W28" i="40"/>
  <c r="B29" i="40"/>
  <c r="R28" i="40"/>
  <c r="I28" i="40"/>
  <c r="AB28" i="40"/>
  <c r="B17" i="40"/>
  <c r="I17" i="40" s="1"/>
  <c r="I16" i="40"/>
  <c r="AD13" i="40"/>
  <c r="M14" i="40"/>
  <c r="T13" i="40"/>
  <c r="N14" i="40"/>
  <c r="O13" i="40"/>
  <c r="M51" i="40"/>
  <c r="M27" i="40"/>
  <c r="C174" i="10"/>
  <c r="C173" i="10"/>
  <c r="J862" i="1"/>
  <c r="P1464" i="33" a="1"/>
  <c r="P1443" i="33" a="1"/>
  <c r="P991" i="33" a="1"/>
  <c r="P995" i="33" a="1"/>
  <c r="P1970" i="33" a="1"/>
  <c r="P993" i="33" a="1"/>
  <c r="P1007" i="33" a="1"/>
  <c r="P997" i="33" a="1"/>
  <c r="P2006" i="33" a="1"/>
  <c r="P2108" i="33" a="1"/>
  <c r="P2040" i="33" a="1"/>
  <c r="P1003" i="33" a="1"/>
  <c r="P1012" i="33" a="1"/>
  <c r="P1005" i="33" a="1"/>
  <c r="P989" i="33" a="1"/>
  <c r="P1020" i="33" a="1"/>
  <c r="P999" i="33" a="1"/>
  <c r="P1937" i="33" a="1"/>
  <c r="P1904" i="33" a="1"/>
  <c r="P2074" i="33" a="1"/>
  <c r="T27" i="40" l="1"/>
  <c r="P1937" i="33"/>
  <c r="P1904" i="33"/>
  <c r="P2006" i="33"/>
  <c r="P1970" i="33"/>
  <c r="P2108" i="33"/>
  <c r="P2074" i="33"/>
  <c r="P2040" i="33"/>
  <c r="K2076" i="33"/>
  <c r="M2075" i="33"/>
  <c r="M2041" i="33"/>
  <c r="K2042" i="33"/>
  <c r="K1939" i="33"/>
  <c r="M1938" i="33"/>
  <c r="M2007" i="33"/>
  <c r="K2008" i="33"/>
  <c r="K1906" i="33"/>
  <c r="M1905" i="33"/>
  <c r="M2109" i="33"/>
  <c r="K2110" i="33"/>
  <c r="M1971" i="33"/>
  <c r="K1972" i="33"/>
  <c r="S41" i="40"/>
  <c r="T40" i="40"/>
  <c r="T26" i="40"/>
  <c r="Y14" i="40"/>
  <c r="M15" i="40"/>
  <c r="P1464" i="33"/>
  <c r="P1443" i="33"/>
  <c r="AD14" i="40"/>
  <c r="P997" i="33"/>
  <c r="P991" i="33"/>
  <c r="P1003" i="33"/>
  <c r="P1012" i="33"/>
  <c r="P1005" i="33"/>
  <c r="P993" i="33"/>
  <c r="P995" i="33"/>
  <c r="P999" i="33"/>
  <c r="P1020" i="33"/>
  <c r="P989" i="33"/>
  <c r="P1007" i="33"/>
  <c r="M1002" i="33"/>
  <c r="L1013" i="33"/>
  <c r="M1014" i="33"/>
  <c r="L1025" i="33"/>
  <c r="M1023" i="33"/>
  <c r="L1034" i="33"/>
  <c r="M1008" i="33"/>
  <c r="L1019" i="33"/>
  <c r="M1016" i="33"/>
  <c r="L1027" i="33"/>
  <c r="M1004" i="33"/>
  <c r="L1015" i="33"/>
  <c r="M1006" i="33"/>
  <c r="L1017" i="33"/>
  <c r="M1010" i="33"/>
  <c r="L1021" i="33"/>
  <c r="M1031" i="33"/>
  <c r="L1042" i="33"/>
  <c r="M1000" i="33"/>
  <c r="L1011" i="33"/>
  <c r="M1018" i="33"/>
  <c r="L1029" i="33"/>
  <c r="B30" i="40"/>
  <c r="R29" i="40"/>
  <c r="AB29" i="40"/>
  <c r="I29" i="40"/>
  <c r="W29" i="40"/>
  <c r="T14" i="40"/>
  <c r="N16" i="40"/>
  <c r="O14" i="40"/>
  <c r="AC17" i="40"/>
  <c r="X17" i="40"/>
  <c r="M52" i="40"/>
  <c r="M28" i="40"/>
  <c r="T28" i="40" s="1"/>
  <c r="P2075" i="33" a="1"/>
  <c r="P1000" i="33" a="1"/>
  <c r="P2041" i="33" a="1"/>
  <c r="P1010" i="33" a="1"/>
  <c r="P1008" i="33" a="1"/>
  <c r="P1465" i="33" a="1"/>
  <c r="P2007" i="33" a="1"/>
  <c r="P1905" i="33" a="1"/>
  <c r="P1006" i="33" a="1"/>
  <c r="P1444" i="33" a="1"/>
  <c r="P1002" i="33" a="1"/>
  <c r="P1016" i="33" a="1"/>
  <c r="P1971" i="33" a="1"/>
  <c r="P1014" i="33" a="1"/>
  <c r="P1004" i="33" a="1"/>
  <c r="P1031" i="33" a="1"/>
  <c r="P2109" i="33" a="1"/>
  <c r="P1018" i="33" a="1"/>
  <c r="P1938" i="33" a="1"/>
  <c r="P1023" i="33" a="1"/>
  <c r="P2007" i="33" l="1"/>
  <c r="P1938" i="33"/>
  <c r="P1971" i="33"/>
  <c r="P2109" i="33"/>
  <c r="P2041" i="33"/>
  <c r="P1905" i="33"/>
  <c r="P2075" i="33"/>
  <c r="M1906" i="33"/>
  <c r="K1907" i="33"/>
  <c r="M1907" i="33" s="1"/>
  <c r="K2077" i="33"/>
  <c r="M2076" i="33"/>
  <c r="K2009" i="33"/>
  <c r="M2008" i="33"/>
  <c r="K1973" i="33"/>
  <c r="M1972" i="33"/>
  <c r="M1939" i="33"/>
  <c r="K1940" i="33"/>
  <c r="K2111" i="33"/>
  <c r="M2110" i="33"/>
  <c r="M2042" i="33"/>
  <c r="K2043" i="33"/>
  <c r="S42" i="40"/>
  <c r="T41" i="40"/>
  <c r="AD15" i="40"/>
  <c r="T15" i="40"/>
  <c r="M16" i="40"/>
  <c r="M17" i="40" s="1"/>
  <c r="T17" i="40" s="1"/>
  <c r="Y15" i="40"/>
  <c r="O15" i="40"/>
  <c r="M1034" i="33"/>
  <c r="L1045" i="33"/>
  <c r="M1042" i="33"/>
  <c r="L1053" i="33"/>
  <c r="P1444" i="33"/>
  <c r="P1465" i="33"/>
  <c r="P1014" i="33"/>
  <c r="P1002" i="33"/>
  <c r="P1031" i="33"/>
  <c r="P1010" i="33"/>
  <c r="P1006" i="33"/>
  <c r="P1008" i="33"/>
  <c r="P1016" i="33"/>
  <c r="P1018" i="33"/>
  <c r="P1000" i="33"/>
  <c r="P1004" i="33"/>
  <c r="P1023" i="33"/>
  <c r="M1021" i="33"/>
  <c r="L1032" i="33"/>
  <c r="M1013" i="33"/>
  <c r="L1024" i="33"/>
  <c r="M1029" i="33"/>
  <c r="L1040" i="33"/>
  <c r="M1017" i="33"/>
  <c r="L1028" i="33"/>
  <c r="M1019" i="33"/>
  <c r="L1030" i="33"/>
  <c r="M1025" i="33"/>
  <c r="L1036" i="33"/>
  <c r="M1011" i="33"/>
  <c r="L1022" i="33"/>
  <c r="M1015" i="33"/>
  <c r="L1026" i="33"/>
  <c r="M1027" i="33"/>
  <c r="L1038" i="33"/>
  <c r="B31" i="40"/>
  <c r="R30" i="40"/>
  <c r="W30" i="40"/>
  <c r="I30" i="40"/>
  <c r="AB30" i="40"/>
  <c r="N17" i="40"/>
  <c r="AC18" i="40"/>
  <c r="X18" i="40"/>
  <c r="Y18" i="40" s="1"/>
  <c r="M53" i="40"/>
  <c r="M29" i="40"/>
  <c r="T29" i="40" s="1"/>
  <c r="P1034" i="33" a="1"/>
  <c r="Z15" i="40" a="1"/>
  <c r="P1446" i="33" a="1"/>
  <c r="P1029" i="33" a="1"/>
  <c r="P1019" i="33" a="1"/>
  <c r="P1013" i="33" a="1"/>
  <c r="P1907" i="33" a="1"/>
  <c r="AE15" i="40" a="1"/>
  <c r="U15" i="40" a="1"/>
  <c r="P1466" i="33" a="1"/>
  <c r="P2042" i="33" a="1"/>
  <c r="P1027" i="33" a="1"/>
  <c r="P1972" i="33" a="1"/>
  <c r="P2110" i="33" a="1"/>
  <c r="P1939" i="33" a="1"/>
  <c r="P1025" i="33" a="1"/>
  <c r="P2076" i="33" a="1"/>
  <c r="P2008" i="33" a="1"/>
  <c r="P1011" i="33" a="1"/>
  <c r="P1021" i="33" a="1"/>
  <c r="P1906" i="33" a="1"/>
  <c r="P15" i="40" a="1"/>
  <c r="P1015" i="33" a="1"/>
  <c r="P1042" i="33" a="1"/>
  <c r="P1017" i="33" a="1"/>
  <c r="P1939" i="33" l="1"/>
  <c r="P1906" i="33"/>
  <c r="P2008" i="33"/>
  <c r="P1972" i="33"/>
  <c r="P2042" i="33"/>
  <c r="P2076" i="33"/>
  <c r="P2110" i="33"/>
  <c r="P1907" i="33"/>
  <c r="K1974" i="33"/>
  <c r="M1973" i="33"/>
  <c r="K2010" i="33"/>
  <c r="M2010" i="33" s="1"/>
  <c r="M2009" i="33"/>
  <c r="K2112" i="33"/>
  <c r="M2111" i="33"/>
  <c r="K2078" i="33"/>
  <c r="M2077" i="33"/>
  <c r="K2044" i="33"/>
  <c r="M2043" i="33"/>
  <c r="M1940" i="33"/>
  <c r="K1941" i="33"/>
  <c r="M1941" i="33" s="1"/>
  <c r="AD16" i="40"/>
  <c r="T16" i="40"/>
  <c r="O16" i="40"/>
  <c r="S43" i="40"/>
  <c r="T42" i="40"/>
  <c r="Y16" i="40"/>
  <c r="P15" i="40"/>
  <c r="Z15" i="40"/>
  <c r="U15" i="40"/>
  <c r="AE15" i="40"/>
  <c r="P1042" i="33"/>
  <c r="P1034" i="33"/>
  <c r="M1032" i="33"/>
  <c r="L1043" i="33"/>
  <c r="M1053" i="33"/>
  <c r="L1064" i="33"/>
  <c r="M1036" i="33"/>
  <c r="L1047" i="33"/>
  <c r="M1045" i="33"/>
  <c r="L1056" i="33"/>
  <c r="M1038" i="33"/>
  <c r="L1049" i="33"/>
  <c r="M1040" i="33"/>
  <c r="L1051" i="33"/>
  <c r="P1446" i="33"/>
  <c r="P1466" i="33"/>
  <c r="P1021" i="33"/>
  <c r="P1017" i="33"/>
  <c r="P1015" i="33"/>
  <c r="P1029" i="33"/>
  <c r="P1027" i="33"/>
  <c r="P1019" i="33"/>
  <c r="P1011" i="33"/>
  <c r="P1025" i="33"/>
  <c r="P1013" i="33"/>
  <c r="M1022" i="33"/>
  <c r="L1033" i="33"/>
  <c r="M1026" i="33"/>
  <c r="L1037" i="33"/>
  <c r="M1028" i="33"/>
  <c r="L1039" i="33"/>
  <c r="M1030" i="33"/>
  <c r="L1041" i="33"/>
  <c r="M1024" i="33"/>
  <c r="L1035" i="33"/>
  <c r="Y17" i="40"/>
  <c r="B32" i="40"/>
  <c r="R31" i="40"/>
  <c r="AB31" i="40"/>
  <c r="W31" i="40"/>
  <c r="I31" i="40"/>
  <c r="AD17" i="40"/>
  <c r="N18" i="40"/>
  <c r="O17" i="40"/>
  <c r="AC19" i="40"/>
  <c r="AD18" i="40"/>
  <c r="X19" i="40"/>
  <c r="Y19" i="40" s="1"/>
  <c r="M54" i="40"/>
  <c r="M30" i="40"/>
  <c r="T30" i="40" s="1"/>
  <c r="P1045" i="33" a="1"/>
  <c r="P2043" i="33" a="1"/>
  <c r="P1038" i="33" a="1"/>
  <c r="P1040" i="33" a="1"/>
  <c r="P2009" i="33" a="1"/>
  <c r="P1036" i="33" a="1"/>
  <c r="P1941" i="33" a="1"/>
  <c r="P1028" i="33" a="1"/>
  <c r="P1030" i="33" a="1"/>
  <c r="P2077" i="33" a="1"/>
  <c r="P2111" i="33" a="1"/>
  <c r="P1053" i="33" a="1"/>
  <c r="P1032" i="33" a="1"/>
  <c r="P2010" i="33" a="1"/>
  <c r="P1973" i="33" a="1"/>
  <c r="P1468" i="33" a="1"/>
  <c r="P1447" i="33" a="1"/>
  <c r="P1026" i="33" a="1"/>
  <c r="P1022" i="33" a="1"/>
  <c r="P1940" i="33" a="1"/>
  <c r="P1024" i="33" a="1"/>
  <c r="P2077" i="33" l="1"/>
  <c r="P2111" i="33"/>
  <c r="P1941" i="33"/>
  <c r="P2009" i="33"/>
  <c r="P1940" i="33"/>
  <c r="P2010" i="33"/>
  <c r="P2043" i="33"/>
  <c r="P1973" i="33"/>
  <c r="M2078" i="33"/>
  <c r="K2079" i="33"/>
  <c r="K2113" i="33"/>
  <c r="M2112" i="33"/>
  <c r="K2045" i="33"/>
  <c r="M2045" i="33" s="1"/>
  <c r="M2044" i="33"/>
  <c r="K1975" i="33"/>
  <c r="M1975" i="33" s="1"/>
  <c r="M1974" i="33"/>
  <c r="S44" i="40"/>
  <c r="T43" i="40"/>
  <c r="P1036" i="33"/>
  <c r="P1053" i="33"/>
  <c r="P1040" i="33"/>
  <c r="P1038" i="33"/>
  <c r="P1032" i="33"/>
  <c r="P1045" i="33"/>
  <c r="L1058" i="33"/>
  <c r="M1047" i="33"/>
  <c r="L1075" i="33"/>
  <c r="M1064" i="33"/>
  <c r="L1054" i="33"/>
  <c r="M1043" i="33"/>
  <c r="M1033" i="33"/>
  <c r="L1044" i="33"/>
  <c r="M1039" i="33"/>
  <c r="L1050" i="33"/>
  <c r="L1062" i="33"/>
  <c r="M1051" i="33"/>
  <c r="M1041" i="33"/>
  <c r="L1052" i="33"/>
  <c r="L1067" i="33"/>
  <c r="M1056" i="33"/>
  <c r="M1035" i="33"/>
  <c r="L1046" i="33"/>
  <c r="L1060" i="33"/>
  <c r="M1049" i="33"/>
  <c r="M1037" i="33"/>
  <c r="L1048" i="33"/>
  <c r="P1468" i="33"/>
  <c r="P1447" i="33"/>
  <c r="P1028" i="33"/>
  <c r="P1026" i="33"/>
  <c r="P1030" i="33"/>
  <c r="P1022" i="33"/>
  <c r="P1024" i="33"/>
  <c r="R32" i="40"/>
  <c r="I32" i="40"/>
  <c r="AB32" i="40"/>
  <c r="B33" i="40"/>
  <c r="W32" i="40"/>
  <c r="N19" i="40"/>
  <c r="O18" i="40"/>
  <c r="AC20" i="40"/>
  <c r="AD19" i="40"/>
  <c r="X20" i="40"/>
  <c r="Y20" i="40" s="1"/>
  <c r="M55" i="40"/>
  <c r="M31" i="40"/>
  <c r="P1041" i="33" a="1"/>
  <c r="P1037" i="33" a="1"/>
  <c r="P2044" i="33" a="1"/>
  <c r="P1449" i="33" a="1"/>
  <c r="P1039" i="33" a="1"/>
  <c r="P1974" i="33" a="1"/>
  <c r="P2045" i="33" a="1"/>
  <c r="P1056" i="33" a="1"/>
  <c r="P1064" i="33" a="1"/>
  <c r="P2112" i="33" a="1"/>
  <c r="P1047" i="33" a="1"/>
  <c r="P1033" i="33" a="1"/>
  <c r="P1049" i="33" a="1"/>
  <c r="P1035" i="33" a="1"/>
  <c r="P2078" i="33" a="1"/>
  <c r="P1043" i="33" a="1"/>
  <c r="P1469" i="33" a="1"/>
  <c r="P1975" i="33" a="1"/>
  <c r="P1051" i="33" a="1"/>
  <c r="P1974" i="33" l="1"/>
  <c r="P1975" i="33"/>
  <c r="P2045" i="33"/>
  <c r="P2112" i="33"/>
  <c r="P2044" i="33"/>
  <c r="P2078" i="33"/>
  <c r="K2114" i="33"/>
  <c r="M2113" i="33"/>
  <c r="M2079" i="33"/>
  <c r="K2080" i="33"/>
  <c r="M2080" i="33" s="1"/>
  <c r="S45" i="40"/>
  <c r="T44" i="40"/>
  <c r="P1047" i="33"/>
  <c r="P1035" i="33"/>
  <c r="P1033" i="33"/>
  <c r="P1043" i="33"/>
  <c r="P1041" i="33"/>
  <c r="P1039" i="33"/>
  <c r="P1049" i="33"/>
  <c r="P1064" i="33"/>
  <c r="P1056" i="33"/>
  <c r="P1037" i="33"/>
  <c r="P1051" i="33"/>
  <c r="L1055" i="33"/>
  <c r="M1044" i="33"/>
  <c r="L1061" i="33"/>
  <c r="M1050" i="33"/>
  <c r="L1069" i="33"/>
  <c r="M1058" i="33"/>
  <c r="L1078" i="33"/>
  <c r="M1067" i="33"/>
  <c r="L1065" i="33"/>
  <c r="M1054" i="33"/>
  <c r="L1059" i="33"/>
  <c r="M1048" i="33"/>
  <c r="L1057" i="33"/>
  <c r="M1046" i="33"/>
  <c r="M1052" i="33"/>
  <c r="L1063" i="33"/>
  <c r="M1060" i="33"/>
  <c r="L1071" i="33"/>
  <c r="L1073" i="33"/>
  <c r="M1062" i="33"/>
  <c r="L1086" i="33"/>
  <c r="M1075" i="33"/>
  <c r="P1469" i="33"/>
  <c r="P1449" i="33"/>
  <c r="AB33" i="40"/>
  <c r="B34" i="40"/>
  <c r="W33" i="40"/>
  <c r="R33" i="40"/>
  <c r="I33" i="40"/>
  <c r="M32" i="40"/>
  <c r="T31" i="40"/>
  <c r="N20" i="40"/>
  <c r="O19" i="40"/>
  <c r="AD20" i="40"/>
  <c r="AC21" i="40"/>
  <c r="X21" i="40"/>
  <c r="Y21" i="40" s="1"/>
  <c r="M56" i="40"/>
  <c r="P1060" i="33" a="1"/>
  <c r="P1054" i="33" a="1"/>
  <c r="P1471" i="33" a="1"/>
  <c r="P1067" i="33" a="1"/>
  <c r="P2080" i="33" a="1"/>
  <c r="P1052" i="33" a="1"/>
  <c r="P1044" i="33" a="1"/>
  <c r="P1450" i="33" a="1"/>
  <c r="P1075" i="33" a="1"/>
  <c r="P2113" i="33" a="1"/>
  <c r="P2079" i="33" a="1"/>
  <c r="P1050" i="33" a="1"/>
  <c r="P1062" i="33" a="1"/>
  <c r="P1046" i="33" a="1"/>
  <c r="P1058" i="33" a="1"/>
  <c r="P1048" i="33" a="1"/>
  <c r="P2113" i="33" l="1"/>
  <c r="P2080" i="33"/>
  <c r="P2079" i="33"/>
  <c r="K2115" i="33"/>
  <c r="M2115" i="33" s="1"/>
  <c r="M2114" i="33"/>
  <c r="S46" i="40"/>
  <c r="T45" i="40"/>
  <c r="P1044" i="33"/>
  <c r="P1060" i="33"/>
  <c r="P1050" i="33"/>
  <c r="P1067" i="33"/>
  <c r="P1062" i="33"/>
  <c r="P1054" i="33"/>
  <c r="P1052" i="33"/>
  <c r="P1048" i="33"/>
  <c r="P1075" i="33"/>
  <c r="P1046" i="33"/>
  <c r="P1058" i="33"/>
  <c r="L1097" i="33"/>
  <c r="M1086" i="33"/>
  <c r="M1069" i="33"/>
  <c r="L1080" i="33"/>
  <c r="M1061" i="33"/>
  <c r="L1072" i="33"/>
  <c r="L1068" i="33"/>
  <c r="M1057" i="33"/>
  <c r="L1076" i="33"/>
  <c r="M1065" i="33"/>
  <c r="L1066" i="33"/>
  <c r="M1055" i="33"/>
  <c r="L1074" i="33"/>
  <c r="M1063" i="33"/>
  <c r="L1089" i="33"/>
  <c r="M1078" i="33"/>
  <c r="L1084" i="33"/>
  <c r="M1073" i="33"/>
  <c r="L1070" i="33"/>
  <c r="M1059" i="33"/>
  <c r="L1082" i="33"/>
  <c r="M1071" i="33"/>
  <c r="P1450" i="33"/>
  <c r="P1471" i="33"/>
  <c r="AB34" i="40"/>
  <c r="I34" i="40"/>
  <c r="W34" i="40"/>
  <c r="B35" i="40"/>
  <c r="R34" i="40"/>
  <c r="N21" i="40"/>
  <c r="O20" i="40"/>
  <c r="M33" i="40"/>
  <c r="T32" i="40"/>
  <c r="AC22" i="40"/>
  <c r="AD21" i="40"/>
  <c r="X22" i="40"/>
  <c r="Y22" i="40" s="1"/>
  <c r="M57" i="40"/>
  <c r="P1078" i="33" a="1"/>
  <c r="P1071" i="33" a="1"/>
  <c r="P1063" i="33" a="1"/>
  <c r="P1451" i="33" a="1"/>
  <c r="P1061" i="33" a="1"/>
  <c r="P1472" i="33" a="1"/>
  <c r="P1086" i="33" a="1"/>
  <c r="P1057" i="33" a="1"/>
  <c r="P1069" i="33" a="1"/>
  <c r="P1065" i="33" a="1"/>
  <c r="P1059" i="33" a="1"/>
  <c r="P1055" i="33" a="1"/>
  <c r="P2114" i="33" a="1"/>
  <c r="P2115" i="33" a="1"/>
  <c r="P1073" i="33" a="1"/>
  <c r="P2114" i="33" l="1"/>
  <c r="P2115" i="33"/>
  <c r="S47" i="40"/>
  <c r="T46" i="40"/>
  <c r="M1097" i="33"/>
  <c r="L1108" i="33"/>
  <c r="M1089" i="33"/>
  <c r="L1100" i="33"/>
  <c r="P1061" i="33"/>
  <c r="P1069" i="33"/>
  <c r="P1086" i="33"/>
  <c r="P1057" i="33"/>
  <c r="P1059" i="33"/>
  <c r="P1073" i="33"/>
  <c r="P1055" i="33"/>
  <c r="P1065" i="33"/>
  <c r="P1078" i="33"/>
  <c r="P1071" i="33"/>
  <c r="P1063" i="33"/>
  <c r="L1093" i="33"/>
  <c r="M1082" i="33"/>
  <c r="L1085" i="33"/>
  <c r="M1074" i="33"/>
  <c r="L1091" i="33"/>
  <c r="M1080" i="33"/>
  <c r="L1081" i="33"/>
  <c r="M1070" i="33"/>
  <c r="L1077" i="33"/>
  <c r="M1066" i="33"/>
  <c r="M1084" i="33"/>
  <c r="L1095" i="33"/>
  <c r="M1076" i="33"/>
  <c r="L1087" i="33"/>
  <c r="M1068" i="33"/>
  <c r="L1079" i="33"/>
  <c r="L1083" i="33"/>
  <c r="M1072" i="33"/>
  <c r="P1472" i="33"/>
  <c r="P1451" i="33"/>
  <c r="AB35" i="40"/>
  <c r="B36" i="40"/>
  <c r="I35" i="40"/>
  <c r="R35" i="40"/>
  <c r="W35" i="40"/>
  <c r="M34" i="40"/>
  <c r="T33" i="40"/>
  <c r="N22" i="40"/>
  <c r="O21" i="40"/>
  <c r="AD22" i="40"/>
  <c r="AC23" i="40"/>
  <c r="X23" i="40"/>
  <c r="Y23" i="40" s="1"/>
  <c r="M58" i="40"/>
  <c r="M59" i="40" s="1"/>
  <c r="M60" i="40" s="1"/>
  <c r="M61" i="40" s="1"/>
  <c r="P1072" i="33" a="1"/>
  <c r="P1084" i="33" a="1"/>
  <c r="P1066" i="33" a="1"/>
  <c r="P1076" i="33" a="1"/>
  <c r="P1082" i="33" a="1"/>
  <c r="P1074" i="33" a="1"/>
  <c r="P1080" i="33" a="1"/>
  <c r="P1452" i="33" a="1"/>
  <c r="P1070" i="33" a="1"/>
  <c r="P1068" i="33" a="1"/>
  <c r="P1089" i="33" a="1"/>
  <c r="P1097" i="33" a="1"/>
  <c r="P1473" i="33" a="1"/>
  <c r="S48" i="40" l="1"/>
  <c r="T47" i="40"/>
  <c r="P1089" i="33"/>
  <c r="P1097" i="33"/>
  <c r="M1087" i="33"/>
  <c r="L1098" i="33"/>
  <c r="M1100" i="33"/>
  <c r="L1111" i="33"/>
  <c r="M1095" i="33"/>
  <c r="L1106" i="33"/>
  <c r="M1093" i="33"/>
  <c r="L1104" i="33"/>
  <c r="M1108" i="33"/>
  <c r="L1119" i="33"/>
  <c r="M1091" i="33"/>
  <c r="L1102" i="33"/>
  <c r="P1084" i="33"/>
  <c r="P1070" i="33"/>
  <c r="P1082" i="33"/>
  <c r="P1066" i="33"/>
  <c r="P1080" i="33"/>
  <c r="P1072" i="33"/>
  <c r="P1068" i="33"/>
  <c r="P1076" i="33"/>
  <c r="P1074" i="33"/>
  <c r="M1085" i="33"/>
  <c r="L1096" i="33"/>
  <c r="L1094" i="33"/>
  <c r="M1083" i="33"/>
  <c r="L1092" i="33"/>
  <c r="M1081" i="33"/>
  <c r="L1090" i="33"/>
  <c r="M1079" i="33"/>
  <c r="M1077" i="33"/>
  <c r="L1088" i="33"/>
  <c r="P1452" i="33"/>
  <c r="P1473" i="33"/>
  <c r="W36" i="40"/>
  <c r="B37" i="40"/>
  <c r="R36" i="40"/>
  <c r="I36" i="40"/>
  <c r="AB36" i="40"/>
  <c r="N23" i="40"/>
  <c r="O22" i="40"/>
  <c r="M35" i="40"/>
  <c r="T34" i="40"/>
  <c r="AC24" i="40"/>
  <c r="AD23" i="40"/>
  <c r="X24" i="40"/>
  <c r="Y24" i="40" s="1"/>
  <c r="P1079" i="33" a="1"/>
  <c r="P1093" i="33" a="1"/>
  <c r="P1081" i="33" a="1"/>
  <c r="P1083" i="33" a="1"/>
  <c r="P1091" i="33" a="1"/>
  <c r="P1474" i="33" a="1"/>
  <c r="P1087" i="33" a="1"/>
  <c r="P1085" i="33" a="1"/>
  <c r="P1100" i="33" a="1"/>
  <c r="P1077" i="33" a="1"/>
  <c r="P1095" i="33" a="1"/>
  <c r="P1108" i="33" a="1"/>
  <c r="S49" i="40" l="1"/>
  <c r="T48" i="40"/>
  <c r="P1100" i="33"/>
  <c r="P1108" i="33"/>
  <c r="P1087" i="33"/>
  <c r="P1095" i="33"/>
  <c r="P1091" i="33"/>
  <c r="P1093" i="33"/>
  <c r="M1092" i="33"/>
  <c r="L1103" i="33"/>
  <c r="L1117" i="33"/>
  <c r="M1106" i="33"/>
  <c r="L1122" i="33"/>
  <c r="M1111" i="33"/>
  <c r="M1094" i="33"/>
  <c r="L1105" i="33"/>
  <c r="M1088" i="33"/>
  <c r="L1099" i="33"/>
  <c r="L1109" i="33"/>
  <c r="M1098" i="33"/>
  <c r="L1130" i="33"/>
  <c r="M1119" i="33"/>
  <c r="M1090" i="33"/>
  <c r="L1101" i="33"/>
  <c r="L1115" i="33"/>
  <c r="M1104" i="33"/>
  <c r="L1113" i="33"/>
  <c r="M1102" i="33"/>
  <c r="M1096" i="33"/>
  <c r="L1107" i="33"/>
  <c r="P1085" i="33"/>
  <c r="P1079" i="33"/>
  <c r="P1081" i="33"/>
  <c r="P1077" i="33"/>
  <c r="P1083" i="33"/>
  <c r="P1474" i="33"/>
  <c r="B38" i="40"/>
  <c r="R37" i="40"/>
  <c r="AB37" i="40"/>
  <c r="I37" i="40"/>
  <c r="W37" i="40"/>
  <c r="M36" i="40"/>
  <c r="T35" i="40"/>
  <c r="N24" i="40"/>
  <c r="O23" i="40"/>
  <c r="M62" i="40"/>
  <c r="AD24" i="40"/>
  <c r="AC25" i="40"/>
  <c r="AC26" i="40" s="1"/>
  <c r="AD26" i="40" s="1"/>
  <c r="X25" i="40"/>
  <c r="P1111" i="33" a="1"/>
  <c r="P1475" i="33" a="1"/>
  <c r="P1094" i="33" a="1"/>
  <c r="P1098" i="33" a="1"/>
  <c r="P1092" i="33" a="1"/>
  <c r="P1088" i="33" a="1"/>
  <c r="P1104" i="33" a="1"/>
  <c r="P1106" i="33" a="1"/>
  <c r="P1090" i="33" a="1"/>
  <c r="P1119" i="33" a="1"/>
  <c r="P1096" i="33" a="1"/>
  <c r="P1102" i="33" a="1"/>
  <c r="Y25" i="40" l="1"/>
  <c r="X26" i="40"/>
  <c r="Y26" i="40" s="1"/>
  <c r="S50" i="40"/>
  <c r="T49" i="40"/>
  <c r="P1104" i="33"/>
  <c r="P1088" i="33"/>
  <c r="P1092" i="33"/>
  <c r="P1090" i="33"/>
  <c r="P1094" i="33"/>
  <c r="P1111" i="33"/>
  <c r="P1096" i="33"/>
  <c r="P1102" i="33"/>
  <c r="P1106" i="33"/>
  <c r="P1119" i="33"/>
  <c r="P1098" i="33"/>
  <c r="M1099" i="33"/>
  <c r="L1110" i="33"/>
  <c r="L1114" i="33"/>
  <c r="M1103" i="33"/>
  <c r="L1112" i="33"/>
  <c r="M1101" i="33"/>
  <c r="L1116" i="33"/>
  <c r="M1105" i="33"/>
  <c r="L1141" i="33"/>
  <c r="M1130" i="33"/>
  <c r="L1133" i="33"/>
  <c r="M1122" i="33"/>
  <c r="M1107" i="33"/>
  <c r="L1118" i="33"/>
  <c r="M1115" i="33"/>
  <c r="L1126" i="33"/>
  <c r="L1124" i="33"/>
  <c r="M1113" i="33"/>
  <c r="L1120" i="33"/>
  <c r="M1109" i="33"/>
  <c r="L1128" i="33"/>
  <c r="M1117" i="33"/>
  <c r="P1475" i="33"/>
  <c r="B39" i="40"/>
  <c r="R38" i="40"/>
  <c r="W38" i="40"/>
  <c r="AB38" i="40"/>
  <c r="I38" i="40"/>
  <c r="M63" i="40"/>
  <c r="M64" i="40" s="1"/>
  <c r="M65" i="40" s="1"/>
  <c r="M66" i="40" s="1"/>
  <c r="N25" i="40"/>
  <c r="N26" i="40" s="1"/>
  <c r="O24" i="40"/>
  <c r="M37" i="40"/>
  <c r="T36" i="40"/>
  <c r="AD25" i="40"/>
  <c r="P1101" i="33" a="1"/>
  <c r="P1107" i="33" a="1"/>
  <c r="P1099" i="33" a="1"/>
  <c r="P1476" i="33" a="1"/>
  <c r="P1496" i="33" a="1"/>
  <c r="P1117" i="33" a="1"/>
  <c r="P1103" i="33" a="1"/>
  <c r="P1130" i="33" a="1"/>
  <c r="P1122" i="33" a="1"/>
  <c r="P1115" i="33" a="1"/>
  <c r="P1109" i="33" a="1"/>
  <c r="P1105" i="33" a="1"/>
  <c r="P1113" i="33" a="1"/>
  <c r="S51" i="40" l="1"/>
  <c r="T50" i="40"/>
  <c r="P1103" i="33"/>
  <c r="P1099" i="33"/>
  <c r="P1107" i="33"/>
  <c r="P1130" i="33"/>
  <c r="P1105" i="33"/>
  <c r="P1109" i="33"/>
  <c r="P1113" i="33"/>
  <c r="P1115" i="33"/>
  <c r="P1122" i="33"/>
  <c r="P1117" i="33"/>
  <c r="P1101" i="33"/>
  <c r="L1123" i="33"/>
  <c r="M1112" i="33"/>
  <c r="L1139" i="33"/>
  <c r="M1128" i="33"/>
  <c r="L1144" i="33"/>
  <c r="M1144" i="33" s="1"/>
  <c r="M1133" i="33"/>
  <c r="L1131" i="33"/>
  <c r="M1120" i="33"/>
  <c r="L1121" i="33"/>
  <c r="M1110" i="33"/>
  <c r="L1152" i="33"/>
  <c r="M1152" i="33" s="1"/>
  <c r="M1141" i="33"/>
  <c r="M1116" i="33"/>
  <c r="L1127" i="33"/>
  <c r="L1125" i="33"/>
  <c r="M1114" i="33"/>
  <c r="M1124" i="33"/>
  <c r="L1135" i="33"/>
  <c r="L1137" i="33"/>
  <c r="M1126" i="33"/>
  <c r="L1129" i="33"/>
  <c r="M1118" i="33"/>
  <c r="P1476" i="33"/>
  <c r="P1496" i="33"/>
  <c r="B40" i="40"/>
  <c r="R39" i="40"/>
  <c r="AB39" i="40"/>
  <c r="W39" i="40"/>
  <c r="I39" i="40"/>
  <c r="M38" i="40"/>
  <c r="T37" i="40"/>
  <c r="O25" i="40"/>
  <c r="P1477" i="33" a="1"/>
  <c r="P1120" i="33" a="1"/>
  <c r="P1144" i="33" a="1"/>
  <c r="P1118" i="33" a="1"/>
  <c r="P1126" i="33" a="1"/>
  <c r="P1124" i="33" a="1"/>
  <c r="P1497" i="33" a="1"/>
  <c r="P1141" i="33" a="1"/>
  <c r="P1479" i="33" a="1"/>
  <c r="P1152" i="33" a="1"/>
  <c r="P1114" i="33" a="1"/>
  <c r="P1128" i="33" a="1"/>
  <c r="P1112" i="33" a="1"/>
  <c r="P1110" i="33" a="1"/>
  <c r="P1116" i="33" a="1"/>
  <c r="P1133" i="33" a="1"/>
  <c r="S52" i="40" l="1"/>
  <c r="T51" i="40"/>
  <c r="P1144" i="33"/>
  <c r="P1116" i="33"/>
  <c r="P1112" i="33"/>
  <c r="P1128" i="33"/>
  <c r="P1126" i="33"/>
  <c r="P1110" i="33"/>
  <c r="P1120" i="33"/>
  <c r="P1141" i="33"/>
  <c r="P1124" i="33"/>
  <c r="P1114" i="33"/>
  <c r="P1152" i="33"/>
  <c r="P1118" i="33"/>
  <c r="P1133" i="33"/>
  <c r="M1139" i="33"/>
  <c r="L1150" i="33"/>
  <c r="M1150" i="33" s="1"/>
  <c r="L1140" i="33"/>
  <c r="M1129" i="33"/>
  <c r="M1123" i="33"/>
  <c r="L1134" i="33"/>
  <c r="L1148" i="33"/>
  <c r="M1148" i="33" s="1"/>
  <c r="M1137" i="33"/>
  <c r="L1136" i="33"/>
  <c r="M1125" i="33"/>
  <c r="M1131" i="33"/>
  <c r="L1142" i="33"/>
  <c r="M1142" i="33" s="1"/>
  <c r="L1146" i="33"/>
  <c r="M1146" i="33" s="1"/>
  <c r="M1135" i="33"/>
  <c r="L1132" i="33"/>
  <c r="M1121" i="33"/>
  <c r="L1138" i="33"/>
  <c r="M1127" i="33"/>
  <c r="P1497" i="33"/>
  <c r="P1477" i="33"/>
  <c r="P1479" i="33"/>
  <c r="R40" i="40"/>
  <c r="I40" i="40"/>
  <c r="AB40" i="40"/>
  <c r="W40" i="40"/>
  <c r="B41" i="40"/>
  <c r="M67" i="40"/>
  <c r="M39" i="40"/>
  <c r="T39" i="40" s="1"/>
  <c r="T38" i="40"/>
  <c r="P1129" i="33" a="1"/>
  <c r="P1131" i="33" a="1"/>
  <c r="P1142" i="33" a="1"/>
  <c r="P1135" i="33" a="1"/>
  <c r="P1125" i="33" a="1"/>
  <c r="P1139" i="33" a="1"/>
  <c r="P1137" i="33" a="1"/>
  <c r="P1150" i="33" a="1"/>
  <c r="P1121" i="33" a="1"/>
  <c r="P1480" i="33" a="1"/>
  <c r="P1148" i="33" a="1"/>
  <c r="P1127" i="33" a="1"/>
  <c r="P1123" i="33" a="1"/>
  <c r="P1146" i="33" a="1"/>
  <c r="S53" i="40" l="1"/>
  <c r="T52" i="40"/>
  <c r="P1131" i="33"/>
  <c r="P1137" i="33"/>
  <c r="P1150" i="33"/>
  <c r="P1127" i="33"/>
  <c r="P1135" i="33"/>
  <c r="P1125" i="33"/>
  <c r="P1121" i="33"/>
  <c r="P1146" i="33"/>
  <c r="P1123" i="33"/>
  <c r="P1139" i="33"/>
  <c r="P1148" i="33"/>
  <c r="P1142" i="33"/>
  <c r="P1129" i="33"/>
  <c r="M1140" i="33"/>
  <c r="L1151" i="33"/>
  <c r="M1151" i="33" s="1"/>
  <c r="L1147" i="33"/>
  <c r="M1147" i="33" s="1"/>
  <c r="M1136" i="33"/>
  <c r="M1132" i="33"/>
  <c r="L1143" i="33"/>
  <c r="M1143" i="33" s="1"/>
  <c r="L1149" i="33"/>
  <c r="M1149" i="33" s="1"/>
  <c r="M1138" i="33"/>
  <c r="L1145" i="33"/>
  <c r="M1145" i="33" s="1"/>
  <c r="M1134" i="33"/>
  <c r="P1480" i="33"/>
  <c r="L2364" i="33"/>
  <c r="M2363" i="33"/>
  <c r="AB41" i="40"/>
  <c r="B42" i="40"/>
  <c r="W41" i="40"/>
  <c r="I41" i="40"/>
  <c r="R41" i="40"/>
  <c r="M68" i="40"/>
  <c r="AC27" i="40"/>
  <c r="X27" i="40"/>
  <c r="Y27" i="40" s="1"/>
  <c r="P1149" i="33" a="1"/>
  <c r="P1136" i="33" a="1"/>
  <c r="P1151" i="33" a="1"/>
  <c r="P1147" i="33" a="1"/>
  <c r="P1143" i="33" a="1"/>
  <c r="P2363" i="33" a="1"/>
  <c r="P1132" i="33" a="1"/>
  <c r="P1134" i="33" a="1"/>
  <c r="P1145" i="33" a="1"/>
  <c r="P1140" i="33" a="1"/>
  <c r="P1481" i="33" a="1"/>
  <c r="P1138" i="33" a="1"/>
  <c r="S54" i="40" l="1"/>
  <c r="T53" i="40"/>
  <c r="P1147" i="33"/>
  <c r="P1134" i="33"/>
  <c r="P1140" i="33"/>
  <c r="P1145" i="33"/>
  <c r="P1143" i="33"/>
  <c r="P1151" i="33"/>
  <c r="P1149" i="33"/>
  <c r="P1132" i="33"/>
  <c r="P1138" i="33"/>
  <c r="P1136" i="33"/>
  <c r="P1481" i="33"/>
  <c r="P2363" i="33"/>
  <c r="L2365" i="33"/>
  <c r="M2364" i="33"/>
  <c r="AB42" i="40"/>
  <c r="I42" i="40"/>
  <c r="B43" i="40"/>
  <c r="R42" i="40"/>
  <c r="W42" i="40"/>
  <c r="M69" i="40"/>
  <c r="N27" i="40"/>
  <c r="O26" i="40"/>
  <c r="AC28" i="40"/>
  <c r="AD27" i="40"/>
  <c r="X28" i="40"/>
  <c r="Y28" i="40" s="1"/>
  <c r="P2364" i="33" a="1"/>
  <c r="P1482" i="33" a="1"/>
  <c r="S55" i="40" l="1"/>
  <c r="T54" i="40"/>
  <c r="P1482" i="33"/>
  <c r="P2364" i="33"/>
  <c r="L2366" i="33"/>
  <c r="M2365" i="33"/>
  <c r="B44" i="40"/>
  <c r="I43" i="40"/>
  <c r="R43" i="40"/>
  <c r="AB43" i="40"/>
  <c r="W43" i="40"/>
  <c r="N28" i="40"/>
  <c r="O27" i="40"/>
  <c r="M70" i="40"/>
  <c r="AD28" i="40"/>
  <c r="AC29" i="40"/>
  <c r="X29" i="40"/>
  <c r="Y29" i="40" s="1"/>
  <c r="P1483" i="33" a="1"/>
  <c r="P2365" i="33" a="1"/>
  <c r="S56" i="40" l="1"/>
  <c r="T55" i="40"/>
  <c r="P1483" i="33"/>
  <c r="P2365" i="33"/>
  <c r="L2367" i="33"/>
  <c r="M2366" i="33"/>
  <c r="W44" i="40"/>
  <c r="B45" i="40"/>
  <c r="R44" i="40"/>
  <c r="I44" i="40"/>
  <c r="AB44" i="40"/>
  <c r="M71" i="40"/>
  <c r="N29" i="40"/>
  <c r="O28" i="40"/>
  <c r="AC30" i="40"/>
  <c r="AD29" i="40"/>
  <c r="X30" i="40"/>
  <c r="Y30" i="40" s="1"/>
  <c r="P1485" i="33" a="1"/>
  <c r="P2366" i="33" a="1"/>
  <c r="S57" i="40" l="1"/>
  <c r="T56" i="40"/>
  <c r="P1485" i="33"/>
  <c r="P2366" i="33"/>
  <c r="L2368" i="33"/>
  <c r="M2367" i="33"/>
  <c r="B46" i="40"/>
  <c r="R45" i="40"/>
  <c r="AB45" i="40"/>
  <c r="I45" i="40"/>
  <c r="W45" i="40"/>
  <c r="N30" i="40"/>
  <c r="O29" i="40"/>
  <c r="M72" i="40"/>
  <c r="AD30" i="40"/>
  <c r="AC31" i="40"/>
  <c r="X31" i="40"/>
  <c r="Y31" i="40" s="1"/>
  <c r="P2367" i="33" a="1"/>
  <c r="P1486" i="33" a="1"/>
  <c r="S58" i="40" l="1"/>
  <c r="S59" i="40" s="1"/>
  <c r="T57" i="40"/>
  <c r="P1486" i="33"/>
  <c r="P2367" i="33"/>
  <c r="M2368" i="33"/>
  <c r="L2369" i="33"/>
  <c r="B47" i="40"/>
  <c r="R46" i="40"/>
  <c r="W46" i="40"/>
  <c r="I46" i="40"/>
  <c r="AB46" i="40"/>
  <c r="M73" i="40"/>
  <c r="N31" i="40"/>
  <c r="O30" i="40"/>
  <c r="AC32" i="40"/>
  <c r="AD31" i="40"/>
  <c r="X32" i="40"/>
  <c r="Y32" i="40" s="1"/>
  <c r="P1487" i="33" a="1"/>
  <c r="P2368" i="33" a="1"/>
  <c r="T59" i="40" l="1"/>
  <c r="S60" i="40"/>
  <c r="T58" i="40"/>
  <c r="P1487" i="33"/>
  <c r="P2368" i="33"/>
  <c r="M2369" i="33"/>
  <c r="L2370" i="33"/>
  <c r="B48" i="40"/>
  <c r="R47" i="40"/>
  <c r="AB47" i="40"/>
  <c r="W47" i="40"/>
  <c r="I47" i="40"/>
  <c r="M74" i="40"/>
  <c r="N32" i="40"/>
  <c r="O31" i="40"/>
  <c r="AD32" i="40"/>
  <c r="AC33" i="40"/>
  <c r="X33" i="40"/>
  <c r="Y33" i="40" s="1"/>
  <c r="P2369" i="33" a="1"/>
  <c r="P1488" i="33" a="1"/>
  <c r="T60" i="40" l="1"/>
  <c r="S61" i="40"/>
  <c r="S62" i="40" s="1"/>
  <c r="P1488" i="33"/>
  <c r="P2369" i="33"/>
  <c r="L2371" i="33"/>
  <c r="M2370" i="33"/>
  <c r="R48" i="40"/>
  <c r="I48" i="40"/>
  <c r="AB48" i="40"/>
  <c r="W48" i="40"/>
  <c r="B49" i="40"/>
  <c r="N33" i="40"/>
  <c r="O32" i="40"/>
  <c r="M75" i="40"/>
  <c r="AC34" i="40"/>
  <c r="AD33" i="40"/>
  <c r="X34" i="40"/>
  <c r="Y34" i="40" s="1"/>
  <c r="P2370" i="33" a="1"/>
  <c r="P1489" i="33" a="1"/>
  <c r="T61" i="40" l="1"/>
  <c r="S63" i="40"/>
  <c r="S64" i="40" s="1"/>
  <c r="T62" i="40"/>
  <c r="P1489" i="33"/>
  <c r="P2370" i="33"/>
  <c r="L2372" i="33"/>
  <c r="M2371" i="33"/>
  <c r="AB49" i="40"/>
  <c r="B50" i="40"/>
  <c r="W49" i="40"/>
  <c r="R49" i="40"/>
  <c r="I49" i="40"/>
  <c r="M76" i="40"/>
  <c r="N34" i="40"/>
  <c r="O33" i="40"/>
  <c r="AD34" i="40"/>
  <c r="AC35" i="40"/>
  <c r="X35" i="40"/>
  <c r="Y35" i="40" s="1"/>
  <c r="P2371" i="33" a="1"/>
  <c r="P1490" i="33" a="1"/>
  <c r="T64" i="40" l="1"/>
  <c r="S65" i="40"/>
  <c r="T63" i="40"/>
  <c r="P1490" i="33"/>
  <c r="P2371" i="33"/>
  <c r="M2372" i="33"/>
  <c r="L2373" i="33"/>
  <c r="AB50" i="40"/>
  <c r="I50" i="40"/>
  <c r="W50" i="40"/>
  <c r="R50" i="40"/>
  <c r="B51" i="40"/>
  <c r="N35" i="40"/>
  <c r="O34" i="40"/>
  <c r="M77" i="40"/>
  <c r="AC36" i="40"/>
  <c r="AD35" i="40"/>
  <c r="X36" i="40"/>
  <c r="Y36" i="40" s="1"/>
  <c r="P2372" i="33" a="1"/>
  <c r="P1491" i="33" a="1"/>
  <c r="T65" i="40" l="1"/>
  <c r="S66" i="40"/>
  <c r="S67" i="40" s="1"/>
  <c r="P1491" i="33"/>
  <c r="P2372" i="33"/>
  <c r="M2373" i="33"/>
  <c r="L2374" i="33"/>
  <c r="B52" i="40"/>
  <c r="I51" i="40"/>
  <c r="AB51" i="40"/>
  <c r="R51" i="40"/>
  <c r="W51" i="40"/>
  <c r="M78" i="40"/>
  <c r="N36" i="40"/>
  <c r="O35" i="40"/>
  <c r="AD36" i="40"/>
  <c r="AC37" i="40"/>
  <c r="X37" i="40"/>
  <c r="Y37" i="40" s="1"/>
  <c r="P1492" i="33" a="1"/>
  <c r="P2373" i="33" a="1"/>
  <c r="T66" i="40" l="1"/>
  <c r="S68" i="40"/>
  <c r="T67" i="40"/>
  <c r="P1492" i="33"/>
  <c r="P2373" i="33"/>
  <c r="L2375" i="33"/>
  <c r="M2374" i="33"/>
  <c r="W52" i="40"/>
  <c r="B53" i="40"/>
  <c r="R52" i="40"/>
  <c r="I52" i="40"/>
  <c r="AB52" i="40"/>
  <c r="N37" i="40"/>
  <c r="O36" i="40"/>
  <c r="M79" i="40"/>
  <c r="AC38" i="40"/>
  <c r="AD37" i="40"/>
  <c r="X38" i="40"/>
  <c r="Y38" i="40" s="1"/>
  <c r="P2374" i="33" a="1"/>
  <c r="P1494" i="33" a="1"/>
  <c r="S69" i="40" l="1"/>
  <c r="T68" i="40"/>
  <c r="P1494" i="33"/>
  <c r="P2374" i="33"/>
  <c r="L2376" i="33"/>
  <c r="M2375" i="33"/>
  <c r="B54" i="40"/>
  <c r="R53" i="40"/>
  <c r="AB53" i="40"/>
  <c r="I53" i="40"/>
  <c r="W53" i="40"/>
  <c r="M80" i="40"/>
  <c r="N38" i="40"/>
  <c r="O37" i="40"/>
  <c r="AD38" i="40"/>
  <c r="AC39" i="40"/>
  <c r="X39" i="40"/>
  <c r="Y39" i="40" s="1"/>
  <c r="P2375" i="33" a="1"/>
  <c r="P1495" i="33" a="1"/>
  <c r="S70" i="40" l="1"/>
  <c r="T69" i="40"/>
  <c r="P1495" i="33"/>
  <c r="P2375" i="33"/>
  <c r="M2376" i="33"/>
  <c r="L2377" i="33"/>
  <c r="B55" i="40"/>
  <c r="R54" i="40"/>
  <c r="W54" i="40"/>
  <c r="AB54" i="40"/>
  <c r="I54" i="40"/>
  <c r="N39" i="40"/>
  <c r="O38" i="40"/>
  <c r="M81" i="40"/>
  <c r="AC40" i="40"/>
  <c r="AD39" i="40"/>
  <c r="X40" i="40"/>
  <c r="Y40" i="40" s="1"/>
  <c r="P2376" i="33" a="1"/>
  <c r="S71" i="40" l="1"/>
  <c r="T70" i="40"/>
  <c r="P2376" i="33"/>
  <c r="M2377" i="33"/>
  <c r="L2378" i="33"/>
  <c r="B56" i="40"/>
  <c r="R55" i="40"/>
  <c r="AB55" i="40"/>
  <c r="W55" i="40"/>
  <c r="I55" i="40"/>
  <c r="M82" i="40"/>
  <c r="N40" i="40"/>
  <c r="O39" i="40"/>
  <c r="AD40" i="40"/>
  <c r="AC41" i="40"/>
  <c r="X41" i="40"/>
  <c r="Y41" i="40" s="1"/>
  <c r="P1517" i="33" a="1"/>
  <c r="P2377" i="33" a="1"/>
  <c r="S72" i="40" l="1"/>
  <c r="T71" i="40"/>
  <c r="P1517" i="33"/>
  <c r="P2377" i="33"/>
  <c r="L2379" i="33"/>
  <c r="M2378" i="33"/>
  <c r="R56" i="40"/>
  <c r="I56" i="40"/>
  <c r="AB56" i="40"/>
  <c r="W56" i="40"/>
  <c r="B57" i="40"/>
  <c r="N41" i="40"/>
  <c r="O40" i="40"/>
  <c r="M83" i="40"/>
  <c r="AC42" i="40"/>
  <c r="AD41" i="40"/>
  <c r="X42" i="40"/>
  <c r="Y42" i="40" s="1"/>
  <c r="P1536" i="33" a="1"/>
  <c r="P2378" i="33" a="1"/>
  <c r="P1518" i="33" a="1"/>
  <c r="S73" i="40" l="1"/>
  <c r="T72" i="40"/>
  <c r="P1536" i="33"/>
  <c r="P1518" i="33"/>
  <c r="P2378" i="33"/>
  <c r="L2380" i="33"/>
  <c r="M2379" i="33"/>
  <c r="AB57" i="40"/>
  <c r="B58" i="40"/>
  <c r="B59" i="40" s="1"/>
  <c r="B60" i="40" s="1"/>
  <c r="B61" i="40" s="1"/>
  <c r="W57" i="40"/>
  <c r="R57" i="40"/>
  <c r="I57" i="40"/>
  <c r="M84" i="40"/>
  <c r="N42" i="40"/>
  <c r="O41" i="40"/>
  <c r="AD42" i="40"/>
  <c r="AC43" i="40"/>
  <c r="X43" i="40"/>
  <c r="Y43" i="40" s="1"/>
  <c r="P2379" i="33" a="1"/>
  <c r="P1519" i="33" a="1"/>
  <c r="P1537" i="33" a="1"/>
  <c r="W60" i="40" l="1"/>
  <c r="AB60" i="40"/>
  <c r="I60" i="40"/>
  <c r="R60" i="40"/>
  <c r="W59" i="40"/>
  <c r="AB59" i="40"/>
  <c r="I59" i="40"/>
  <c r="R59" i="40"/>
  <c r="S74" i="40"/>
  <c r="T73" i="40"/>
  <c r="P1519" i="33"/>
  <c r="P1537" i="33"/>
  <c r="P2379" i="33"/>
  <c r="M2380" i="33"/>
  <c r="L2381" i="33"/>
  <c r="AB58" i="40"/>
  <c r="I58" i="40"/>
  <c r="R58" i="40"/>
  <c r="W58" i="40"/>
  <c r="N43" i="40"/>
  <c r="O42" i="40"/>
  <c r="M85" i="40"/>
  <c r="AC44" i="40"/>
  <c r="AD43" i="40"/>
  <c r="X44" i="40"/>
  <c r="Y44" i="40" s="1"/>
  <c r="P1538" i="33" a="1"/>
  <c r="P2380" i="33" a="1"/>
  <c r="P1520" i="33" a="1"/>
  <c r="S75" i="40" l="1"/>
  <c r="T74" i="40"/>
  <c r="P1538" i="33"/>
  <c r="P1520" i="33"/>
  <c r="P2380" i="33"/>
  <c r="M2381" i="33"/>
  <c r="L2382" i="33"/>
  <c r="B62" i="40"/>
  <c r="I61" i="40"/>
  <c r="AB61" i="40"/>
  <c r="R61" i="40"/>
  <c r="W61" i="40"/>
  <c r="M86" i="40"/>
  <c r="N44" i="40"/>
  <c r="O43" i="40"/>
  <c r="AD44" i="40"/>
  <c r="AC45" i="40"/>
  <c r="X45" i="40"/>
  <c r="Y45" i="40" s="1"/>
  <c r="P1539" i="33" a="1"/>
  <c r="P1521" i="33" a="1"/>
  <c r="P2381" i="33" a="1"/>
  <c r="S76" i="40" l="1"/>
  <c r="T75" i="40"/>
  <c r="P1539" i="33"/>
  <c r="P1521" i="33"/>
  <c r="P2381" i="33"/>
  <c r="L2383" i="33"/>
  <c r="M2382" i="33"/>
  <c r="W62" i="40"/>
  <c r="B63" i="40"/>
  <c r="B64" i="40" s="1"/>
  <c r="B65" i="40" s="1"/>
  <c r="B66" i="40" s="1"/>
  <c r="R62" i="40"/>
  <c r="I62" i="40"/>
  <c r="AB62" i="40"/>
  <c r="N45" i="40"/>
  <c r="O44" i="40"/>
  <c r="M87" i="40"/>
  <c r="AC46" i="40"/>
  <c r="AD45" i="40"/>
  <c r="X46" i="40"/>
  <c r="Y46" i="40" s="1"/>
  <c r="P1522" i="33" a="1"/>
  <c r="P2382" i="33" a="1"/>
  <c r="P1540" i="33" a="1"/>
  <c r="W65" i="40" l="1"/>
  <c r="AB65" i="40"/>
  <c r="I65" i="40"/>
  <c r="R65" i="40"/>
  <c r="W64" i="40"/>
  <c r="AB64" i="40"/>
  <c r="I64" i="40"/>
  <c r="R64" i="40"/>
  <c r="S77" i="40"/>
  <c r="T76" i="40"/>
  <c r="P1540" i="33"/>
  <c r="P1522" i="33"/>
  <c r="P2382" i="33"/>
  <c r="L2384" i="33"/>
  <c r="M2383" i="33"/>
  <c r="R63" i="40"/>
  <c r="AB63" i="40"/>
  <c r="I63" i="40"/>
  <c r="W63" i="40"/>
  <c r="M88" i="40"/>
  <c r="N46" i="40"/>
  <c r="O45" i="40"/>
  <c r="AD46" i="40"/>
  <c r="AC47" i="40"/>
  <c r="X47" i="40"/>
  <c r="Y47" i="40" s="1"/>
  <c r="P1524" i="33" a="1"/>
  <c r="P2383" i="33" a="1"/>
  <c r="P1541" i="33" a="1"/>
  <c r="S78" i="40" l="1"/>
  <c r="T77" i="40"/>
  <c r="P1541" i="33"/>
  <c r="P1524" i="33"/>
  <c r="P2383" i="33"/>
  <c r="M2384" i="33"/>
  <c r="L2385" i="33"/>
  <c r="B67" i="40"/>
  <c r="R66" i="40"/>
  <c r="W66" i="40"/>
  <c r="I66" i="40"/>
  <c r="AB66" i="40"/>
  <c r="M89" i="40"/>
  <c r="N47" i="40"/>
  <c r="O46" i="40"/>
  <c r="AC48" i="40"/>
  <c r="AD47" i="40"/>
  <c r="X48" i="40"/>
  <c r="Y48" i="40" s="1"/>
  <c r="P2384" i="33" a="1"/>
  <c r="P1543" i="33" a="1"/>
  <c r="P1525" i="33" a="1"/>
  <c r="S79" i="40" l="1"/>
  <c r="T78" i="40"/>
  <c r="P1543" i="33"/>
  <c r="P1525" i="33"/>
  <c r="P2384" i="33"/>
  <c r="L2386" i="33"/>
  <c r="M2385" i="33"/>
  <c r="B68" i="40"/>
  <c r="R67" i="40"/>
  <c r="AB67" i="40"/>
  <c r="W67" i="40"/>
  <c r="I67" i="40"/>
  <c r="N48" i="40"/>
  <c r="O47" i="40"/>
  <c r="M90" i="40"/>
  <c r="AD48" i="40"/>
  <c r="AC49" i="40"/>
  <c r="X49" i="40"/>
  <c r="Y49" i="40" s="1"/>
  <c r="P1544" i="33" a="1"/>
  <c r="P2385" i="33" a="1"/>
  <c r="P1526" i="33" a="1"/>
  <c r="S80" i="40" l="1"/>
  <c r="T79" i="40"/>
  <c r="P1526" i="33"/>
  <c r="P1544" i="33"/>
  <c r="P2385" i="33"/>
  <c r="M2386" i="33"/>
  <c r="L2387" i="33"/>
  <c r="R68" i="40"/>
  <c r="I68" i="40"/>
  <c r="AB68" i="40"/>
  <c r="W68" i="40"/>
  <c r="B69" i="40"/>
  <c r="M91" i="40"/>
  <c r="N49" i="40"/>
  <c r="O48" i="40"/>
  <c r="AC50" i="40"/>
  <c r="AD49" i="40"/>
  <c r="X50" i="40"/>
  <c r="Y50" i="40" s="1"/>
  <c r="P1527" i="33" a="1"/>
  <c r="P2386" i="33" a="1"/>
  <c r="P1545" i="33" a="1"/>
  <c r="S81" i="40" l="1"/>
  <c r="T80" i="40"/>
  <c r="P1545" i="33"/>
  <c r="P1527" i="33"/>
  <c r="P2386" i="33"/>
  <c r="L2388" i="33"/>
  <c r="M2387" i="33"/>
  <c r="AB69" i="40"/>
  <c r="B70" i="40"/>
  <c r="W69" i="40"/>
  <c r="I69" i="40"/>
  <c r="R69" i="40"/>
  <c r="M92" i="40"/>
  <c r="N50" i="40"/>
  <c r="O49" i="40"/>
  <c r="AD50" i="40"/>
  <c r="AC51" i="40"/>
  <c r="X51" i="40"/>
  <c r="Y51" i="40" s="1"/>
  <c r="P2387" i="33" a="1"/>
  <c r="P1546" i="33" a="1"/>
  <c r="P1528" i="33" a="1"/>
  <c r="S82" i="40" l="1"/>
  <c r="T81" i="40"/>
  <c r="P1546" i="33"/>
  <c r="P1528" i="33"/>
  <c r="P2387" i="33"/>
  <c r="L2389" i="33"/>
  <c r="M2388" i="33"/>
  <c r="I70" i="40"/>
  <c r="W70" i="40"/>
  <c r="B71" i="40"/>
  <c r="R70" i="40"/>
  <c r="AB70" i="40"/>
  <c r="N51" i="40"/>
  <c r="O50" i="40"/>
  <c r="M93" i="40"/>
  <c r="M94" i="40" s="1"/>
  <c r="M95" i="40" s="1"/>
  <c r="M96" i="40" s="1"/>
  <c r="AC52" i="40"/>
  <c r="AD51" i="40"/>
  <c r="X52" i="40"/>
  <c r="Y52" i="40" s="1"/>
  <c r="P2388" i="33" a="1"/>
  <c r="P1529" i="33" a="1"/>
  <c r="P1547" i="33" a="1"/>
  <c r="S83" i="40" l="1"/>
  <c r="T82" i="40"/>
  <c r="P1547" i="33"/>
  <c r="P1529" i="33"/>
  <c r="P2388" i="33"/>
  <c r="L2390" i="33"/>
  <c r="M2389" i="33"/>
  <c r="AB71" i="40"/>
  <c r="B72" i="40"/>
  <c r="I71" i="40"/>
  <c r="R71" i="40"/>
  <c r="W71" i="40"/>
  <c r="N52" i="40"/>
  <c r="O51" i="40"/>
  <c r="AD52" i="40"/>
  <c r="AC53" i="40"/>
  <c r="X53" i="40"/>
  <c r="Y53" i="40" s="1"/>
  <c r="P1548" i="33" a="1"/>
  <c r="P1530" i="33" a="1"/>
  <c r="P2389" i="33" a="1"/>
  <c r="S84" i="40" l="1"/>
  <c r="T83" i="40"/>
  <c r="P1548" i="33"/>
  <c r="P1530" i="33"/>
  <c r="P2389" i="33"/>
  <c r="M2390" i="33"/>
  <c r="L2391" i="33"/>
  <c r="L2392" i="33" s="1"/>
  <c r="W72" i="40"/>
  <c r="B73" i="40"/>
  <c r="R72" i="40"/>
  <c r="I72" i="40"/>
  <c r="AB72" i="40"/>
  <c r="M97" i="40"/>
  <c r="N53" i="40"/>
  <c r="O52" i="40"/>
  <c r="AC54" i="40"/>
  <c r="AD53" i="40"/>
  <c r="X54" i="40"/>
  <c r="Y54" i="40" s="1"/>
  <c r="P1531" i="33" a="1"/>
  <c r="P1549" i="33" a="1"/>
  <c r="P2390" i="33" a="1"/>
  <c r="S85" i="40" l="1"/>
  <c r="T84" i="40"/>
  <c r="P1549" i="33"/>
  <c r="P1531" i="33"/>
  <c r="P2390" i="33"/>
  <c r="M2391" i="33"/>
  <c r="B74" i="40"/>
  <c r="R73" i="40"/>
  <c r="AB73" i="40"/>
  <c r="I73" i="40"/>
  <c r="W73" i="40"/>
  <c r="M98" i="40"/>
  <c r="N54" i="40"/>
  <c r="O53" i="40"/>
  <c r="AD54" i="40"/>
  <c r="AC55" i="40"/>
  <c r="X55" i="40"/>
  <c r="Y55" i="40" s="1"/>
  <c r="P2391" i="33" a="1"/>
  <c r="P1550" i="33" a="1"/>
  <c r="S86" i="40" l="1"/>
  <c r="T85" i="40"/>
  <c r="P1550" i="33"/>
  <c r="P2391" i="33"/>
  <c r="B75" i="40"/>
  <c r="R74" i="40"/>
  <c r="W74" i="40"/>
  <c r="AB74" i="40"/>
  <c r="I74" i="40"/>
  <c r="N55" i="40"/>
  <c r="O54" i="40"/>
  <c r="M99" i="40"/>
  <c r="AC56" i="40"/>
  <c r="AD55" i="40"/>
  <c r="X56" i="40"/>
  <c r="Y56" i="40" s="1"/>
  <c r="S87" i="40" l="1"/>
  <c r="T86" i="40"/>
  <c r="B76" i="40"/>
  <c r="R75" i="40"/>
  <c r="AB75" i="40"/>
  <c r="W75" i="40"/>
  <c r="I75" i="40"/>
  <c r="M100" i="40"/>
  <c r="N56" i="40"/>
  <c r="O55" i="40"/>
  <c r="AD56" i="40"/>
  <c r="AC57" i="40"/>
  <c r="X57" i="40"/>
  <c r="Y57" i="40" s="1"/>
  <c r="S88" i="40" l="1"/>
  <c r="T87" i="40"/>
  <c r="R76" i="40"/>
  <c r="I76" i="40"/>
  <c r="AB76" i="40"/>
  <c r="W76" i="40"/>
  <c r="B77" i="40"/>
  <c r="N57" i="40"/>
  <c r="O56" i="40"/>
  <c r="M101" i="40"/>
  <c r="M102" i="40" s="1"/>
  <c r="M103" i="40" s="1"/>
  <c r="M104" i="40" s="1"/>
  <c r="AC58" i="40"/>
  <c r="AC59" i="40" s="1"/>
  <c r="AD57" i="40"/>
  <c r="X58" i="40"/>
  <c r="AD59" i="40" l="1"/>
  <c r="AC60" i="40"/>
  <c r="Y58" i="40"/>
  <c r="X59" i="40"/>
  <c r="S89" i="40"/>
  <c r="T88" i="40"/>
  <c r="AB77" i="40"/>
  <c r="B78" i="40"/>
  <c r="W77" i="40"/>
  <c r="I77" i="40"/>
  <c r="R77" i="40"/>
  <c r="N58" i="40"/>
  <c r="N59" i="40" s="1"/>
  <c r="O57" i="40"/>
  <c r="AD58" i="40"/>
  <c r="AD60" i="40" l="1"/>
  <c r="AC61" i="40"/>
  <c r="AC62" i="40" s="1"/>
  <c r="Y59" i="40"/>
  <c r="X60" i="40"/>
  <c r="O59" i="40"/>
  <c r="N60" i="40"/>
  <c r="S90" i="40"/>
  <c r="T89" i="40"/>
  <c r="I78" i="40"/>
  <c r="AB78" i="40"/>
  <c r="B79" i="40"/>
  <c r="R78" i="40"/>
  <c r="W78" i="40"/>
  <c r="M106" i="40"/>
  <c r="O58" i="40"/>
  <c r="AD61" i="40"/>
  <c r="O60" i="40" l="1"/>
  <c r="N61" i="40"/>
  <c r="N62" i="40" s="1"/>
  <c r="Y60" i="40"/>
  <c r="X61" i="40"/>
  <c r="S91" i="40"/>
  <c r="T90" i="40"/>
  <c r="B80" i="40"/>
  <c r="I79" i="40"/>
  <c r="R79" i="40"/>
  <c r="AB79" i="40"/>
  <c r="W79" i="40"/>
  <c r="M107" i="40"/>
  <c r="AD62" i="40"/>
  <c r="AC63" i="40"/>
  <c r="AC64" i="40" s="1"/>
  <c r="O61" i="40" l="1"/>
  <c r="AD64" i="40"/>
  <c r="AC65" i="40"/>
  <c r="Y61" i="40"/>
  <c r="X62" i="40"/>
  <c r="S92" i="40"/>
  <c r="T91" i="40"/>
  <c r="L2393" i="33"/>
  <c r="M2392" i="33"/>
  <c r="W80" i="40"/>
  <c r="B81" i="40"/>
  <c r="R80" i="40"/>
  <c r="I80" i="40"/>
  <c r="AB80" i="40"/>
  <c r="N63" i="40"/>
  <c r="N64" i="40" s="1"/>
  <c r="O62" i="40"/>
  <c r="M108" i="40"/>
  <c r="AD63" i="40"/>
  <c r="P2392" i="33" a="1"/>
  <c r="AD65" i="40" l="1"/>
  <c r="AC66" i="40"/>
  <c r="AD66" i="40" s="1"/>
  <c r="O64" i="40"/>
  <c r="N65" i="40"/>
  <c r="Y62" i="40"/>
  <c r="X63" i="40"/>
  <c r="S93" i="40"/>
  <c r="S94" i="40" s="1"/>
  <c r="T92" i="40"/>
  <c r="P2392" i="33"/>
  <c r="M2393" i="33"/>
  <c r="L2394" i="33"/>
  <c r="B82" i="40"/>
  <c r="R81" i="40"/>
  <c r="AB81" i="40"/>
  <c r="I81" i="40"/>
  <c r="W81" i="40"/>
  <c r="M109" i="40"/>
  <c r="O63" i="40"/>
  <c r="P2393" i="33" a="1"/>
  <c r="AC67" i="40" l="1"/>
  <c r="AC68" i="40" s="1"/>
  <c r="T94" i="40"/>
  <c r="S95" i="40"/>
  <c r="O65" i="40"/>
  <c r="N66" i="40"/>
  <c r="N67" i="40" s="1"/>
  <c r="Y63" i="40"/>
  <c r="X64" i="40"/>
  <c r="X66" i="40"/>
  <c r="T93" i="40"/>
  <c r="P2393" i="33"/>
  <c r="M2394" i="33"/>
  <c r="L2395" i="33"/>
  <c r="B83" i="40"/>
  <c r="R82" i="40"/>
  <c r="W82" i="40"/>
  <c r="I82" i="40"/>
  <c r="AB82" i="40"/>
  <c r="M110" i="40"/>
  <c r="P2394" i="33" a="1"/>
  <c r="AD67" i="40" l="1"/>
  <c r="O66" i="40"/>
  <c r="T95" i="40"/>
  <c r="S96" i="40"/>
  <c r="T96" i="40" s="1"/>
  <c r="Y64" i="40"/>
  <c r="X65" i="40"/>
  <c r="Y65" i="40" s="1"/>
  <c r="Y66" i="40"/>
  <c r="X67" i="40"/>
  <c r="P2394" i="33"/>
  <c r="M2395" i="33"/>
  <c r="L2396" i="33"/>
  <c r="B84" i="40"/>
  <c r="R83" i="40"/>
  <c r="AB83" i="40"/>
  <c r="W83" i="40"/>
  <c r="I83" i="40"/>
  <c r="M111" i="40"/>
  <c r="N68" i="40"/>
  <c r="O67" i="40"/>
  <c r="AD68" i="40"/>
  <c r="AC69" i="40"/>
  <c r="P2395" i="33" a="1"/>
  <c r="S97" i="40" l="1"/>
  <c r="S98" i="40" s="1"/>
  <c r="Y67" i="40"/>
  <c r="X68" i="40"/>
  <c r="P2395" i="33"/>
  <c r="L2397" i="33"/>
  <c r="M2396" i="33"/>
  <c r="R84" i="40"/>
  <c r="I84" i="40"/>
  <c r="AB84" i="40"/>
  <c r="B85" i="40"/>
  <c r="W84" i="40"/>
  <c r="N69" i="40"/>
  <c r="O68" i="40"/>
  <c r="M112" i="40"/>
  <c r="AC70" i="40"/>
  <c r="AD69" i="40"/>
  <c r="P2396" i="33" a="1"/>
  <c r="T97" i="40" l="1"/>
  <c r="Y68" i="40"/>
  <c r="X69" i="40"/>
  <c r="S99" i="40"/>
  <c r="T98" i="40"/>
  <c r="P2396" i="33"/>
  <c r="L2398" i="33"/>
  <c r="M2397" i="33"/>
  <c r="AB85" i="40"/>
  <c r="B86" i="40"/>
  <c r="W85" i="40"/>
  <c r="I85" i="40"/>
  <c r="R85" i="40"/>
  <c r="M113" i="40"/>
  <c r="N70" i="40"/>
  <c r="O69" i="40"/>
  <c r="AD70" i="40"/>
  <c r="AC71" i="40"/>
  <c r="P2397" i="33" a="1"/>
  <c r="Y69" i="40" l="1"/>
  <c r="X70" i="40"/>
  <c r="S100" i="40"/>
  <c r="T99" i="40"/>
  <c r="P2397" i="33"/>
  <c r="M2398" i="33"/>
  <c r="L2399" i="33"/>
  <c r="AB86" i="40"/>
  <c r="I86" i="40"/>
  <c r="W86" i="40"/>
  <c r="R86" i="40"/>
  <c r="B87" i="40"/>
  <c r="N71" i="40"/>
  <c r="O70" i="40"/>
  <c r="AC72" i="40"/>
  <c r="AD71" i="40"/>
  <c r="P2398" i="33" a="1"/>
  <c r="Y70" i="40" l="1"/>
  <c r="X71" i="40"/>
  <c r="S101" i="40"/>
  <c r="S102" i="40" s="1"/>
  <c r="T100" i="40"/>
  <c r="P2398" i="33"/>
  <c r="L2400" i="33"/>
  <c r="M2399" i="33"/>
  <c r="B88" i="40"/>
  <c r="I87" i="40"/>
  <c r="AB87" i="40"/>
  <c r="R87" i="40"/>
  <c r="W87" i="40"/>
  <c r="N72" i="40"/>
  <c r="O71" i="40"/>
  <c r="AD72" i="40"/>
  <c r="AC73" i="40"/>
  <c r="P2399" i="33" a="1"/>
  <c r="T102" i="40" l="1"/>
  <c r="S103" i="40"/>
  <c r="Y71" i="40"/>
  <c r="X72" i="40"/>
  <c r="T101" i="40"/>
  <c r="P2399" i="33"/>
  <c r="L2401" i="33"/>
  <c r="M2400" i="33"/>
  <c r="W88" i="40"/>
  <c r="B89" i="40"/>
  <c r="R88" i="40"/>
  <c r="I88" i="40"/>
  <c r="AB88" i="40"/>
  <c r="N73" i="40"/>
  <c r="O72" i="40"/>
  <c r="AC74" i="40"/>
  <c r="AD73" i="40"/>
  <c r="P2400" i="33" a="1"/>
  <c r="T103" i="40" l="1"/>
  <c r="S104" i="40"/>
  <c r="Y72" i="40"/>
  <c r="X73" i="40"/>
  <c r="S105" i="40"/>
  <c r="T104" i="40"/>
  <c r="P2400" i="33"/>
  <c r="M2401" i="33"/>
  <c r="L2402" i="33"/>
  <c r="B90" i="40"/>
  <c r="R89" i="40"/>
  <c r="AB89" i="40"/>
  <c r="I89" i="40"/>
  <c r="W89" i="40"/>
  <c r="N74" i="40"/>
  <c r="O73" i="40"/>
  <c r="AD74" i="40"/>
  <c r="AC75" i="40"/>
  <c r="P2401" i="33" a="1"/>
  <c r="Y73" i="40" l="1"/>
  <c r="X74" i="40"/>
  <c r="S106" i="40"/>
  <c r="T105" i="40"/>
  <c r="P2401" i="33"/>
  <c r="M2402" i="33"/>
  <c r="L2403" i="33"/>
  <c r="B91" i="40"/>
  <c r="R90" i="40"/>
  <c r="W90" i="40"/>
  <c r="AB90" i="40"/>
  <c r="I90" i="40"/>
  <c r="N75" i="40"/>
  <c r="O74" i="40"/>
  <c r="AC76" i="40"/>
  <c r="AD75" i="40"/>
  <c r="P2402" i="33" a="1"/>
  <c r="Y74" i="40" l="1"/>
  <c r="X75" i="40"/>
  <c r="S107" i="40"/>
  <c r="T106" i="40"/>
  <c r="P2402" i="33"/>
  <c r="L2404" i="33"/>
  <c r="M2403" i="33"/>
  <c r="B92" i="40"/>
  <c r="R91" i="40"/>
  <c r="AB91" i="40"/>
  <c r="W91" i="40"/>
  <c r="I91" i="40"/>
  <c r="N76" i="40"/>
  <c r="O75" i="40"/>
  <c r="AD76" i="40"/>
  <c r="AC77" i="40"/>
  <c r="P2403" i="33" a="1"/>
  <c r="Y75" i="40" l="1"/>
  <c r="X76" i="40"/>
  <c r="S108" i="40"/>
  <c r="T107" i="40"/>
  <c r="P2403" i="33"/>
  <c r="M2404" i="33"/>
  <c r="L2405" i="33"/>
  <c r="R92" i="40"/>
  <c r="I92" i="40"/>
  <c r="AB92" i="40"/>
  <c r="W92" i="40"/>
  <c r="B93" i="40"/>
  <c r="B94" i="40" s="1"/>
  <c r="B95" i="40" s="1"/>
  <c r="B96" i="40" s="1"/>
  <c r="N77" i="40"/>
  <c r="O76" i="40"/>
  <c r="AC78" i="40"/>
  <c r="AD77" i="40"/>
  <c r="P2404" i="33" a="1"/>
  <c r="W95" i="40" l="1"/>
  <c r="AB95" i="40"/>
  <c r="I95" i="40"/>
  <c r="R95" i="40"/>
  <c r="W94" i="40"/>
  <c r="AB94" i="40"/>
  <c r="I94" i="40"/>
  <c r="R94" i="40"/>
  <c r="Y76" i="40"/>
  <c r="X77" i="40"/>
  <c r="S109" i="40"/>
  <c r="T108" i="40"/>
  <c r="P2404" i="33"/>
  <c r="L2406" i="33"/>
  <c r="M2405" i="33"/>
  <c r="AB93" i="40"/>
  <c r="W93" i="40"/>
  <c r="R93" i="40"/>
  <c r="I93" i="40"/>
  <c r="N78" i="40"/>
  <c r="O77" i="40"/>
  <c r="AD78" i="40"/>
  <c r="AC79" i="40"/>
  <c r="P2405" i="33" a="1"/>
  <c r="Y77" i="40" l="1"/>
  <c r="X78" i="40"/>
  <c r="S110" i="40"/>
  <c r="T109" i="40"/>
  <c r="P2405" i="33"/>
  <c r="L2407" i="33"/>
  <c r="M2406" i="33"/>
  <c r="AB96" i="40"/>
  <c r="I96" i="40"/>
  <c r="B97" i="40"/>
  <c r="R96" i="40"/>
  <c r="W96" i="40"/>
  <c r="N79" i="40"/>
  <c r="O78" i="40"/>
  <c r="AC80" i="40"/>
  <c r="AD79" i="40"/>
  <c r="P2406" i="33" a="1"/>
  <c r="Y78" i="40" l="1"/>
  <c r="X79" i="40"/>
  <c r="S111" i="40"/>
  <c r="T110" i="40"/>
  <c r="P2406" i="33"/>
  <c r="L2408" i="33"/>
  <c r="M2407" i="33"/>
  <c r="B98" i="40"/>
  <c r="I97" i="40"/>
  <c r="AB97" i="40"/>
  <c r="R97" i="40"/>
  <c r="W97" i="40"/>
  <c r="N80" i="40"/>
  <c r="O79" i="40"/>
  <c r="AC81" i="40"/>
  <c r="AD80" i="40"/>
  <c r="P2407" i="33" a="1"/>
  <c r="Y79" i="40" l="1"/>
  <c r="X80" i="40"/>
  <c r="S112" i="40"/>
  <c r="T111" i="40"/>
  <c r="P2407" i="33"/>
  <c r="M2408" i="33"/>
  <c r="L2409" i="33"/>
  <c r="W98" i="40"/>
  <c r="B99" i="40"/>
  <c r="R98" i="40"/>
  <c r="I98" i="40"/>
  <c r="AB98" i="40"/>
  <c r="N81" i="40"/>
  <c r="O80" i="40"/>
  <c r="AC82" i="40"/>
  <c r="AD81" i="40"/>
  <c r="P2408" i="33" a="1"/>
  <c r="Y80" i="40" l="1"/>
  <c r="X81" i="40"/>
  <c r="S113" i="40"/>
  <c r="T112" i="40"/>
  <c r="P2408" i="33"/>
  <c r="M2409" i="33"/>
  <c r="L2410" i="33"/>
  <c r="B100" i="40"/>
  <c r="R99" i="40"/>
  <c r="AB99" i="40"/>
  <c r="I99" i="40"/>
  <c r="W99" i="40"/>
  <c r="N82" i="40"/>
  <c r="O81" i="40"/>
  <c r="AD82" i="40"/>
  <c r="AC83" i="40"/>
  <c r="P2409" i="33" a="1"/>
  <c r="Y81" i="40" l="1"/>
  <c r="X82" i="40"/>
  <c r="S114" i="40"/>
  <c r="T113" i="40"/>
  <c r="P2409" i="33"/>
  <c r="M2410" i="33"/>
  <c r="L2411" i="33"/>
  <c r="B101" i="40"/>
  <c r="B102" i="40" s="1"/>
  <c r="B103" i="40" s="1"/>
  <c r="B104" i="40" s="1"/>
  <c r="R100" i="40"/>
  <c r="W100" i="40"/>
  <c r="I100" i="40"/>
  <c r="AB100" i="40"/>
  <c r="N83" i="40"/>
  <c r="O82" i="40"/>
  <c r="AC84" i="40"/>
  <c r="AD83" i="40"/>
  <c r="P2410" i="33" a="1"/>
  <c r="W103" i="40" l="1"/>
  <c r="AB103" i="40"/>
  <c r="I103" i="40"/>
  <c r="R103" i="40"/>
  <c r="W102" i="40"/>
  <c r="AB102" i="40"/>
  <c r="I102" i="40"/>
  <c r="R102" i="40"/>
  <c r="Y82" i="40"/>
  <c r="X83" i="40"/>
  <c r="S115" i="40"/>
  <c r="T114" i="40"/>
  <c r="P2410" i="33"/>
  <c r="L2412" i="33"/>
  <c r="M2411" i="33"/>
  <c r="R101" i="40"/>
  <c r="AB101" i="40"/>
  <c r="W101" i="40"/>
  <c r="I101" i="40"/>
  <c r="N84" i="40"/>
  <c r="O83" i="40"/>
  <c r="AD84" i="40"/>
  <c r="AC85" i="40"/>
  <c r="P2411" i="33" a="1"/>
  <c r="Y83" i="40" l="1"/>
  <c r="X84" i="40"/>
  <c r="S116" i="40"/>
  <c r="T115" i="40"/>
  <c r="P2411" i="33"/>
  <c r="M2412" i="33"/>
  <c r="L2413" i="33"/>
  <c r="R104" i="40"/>
  <c r="I104" i="40"/>
  <c r="AB104" i="40"/>
  <c r="W104" i="40"/>
  <c r="B105" i="40"/>
  <c r="N85" i="40"/>
  <c r="O84" i="40"/>
  <c r="AC86" i="40"/>
  <c r="AD85" i="40"/>
  <c r="P2412" i="33" a="1"/>
  <c r="Y84" i="40" l="1"/>
  <c r="X85" i="40"/>
  <c r="S117" i="40"/>
  <c r="T116" i="40"/>
  <c r="P2412" i="33"/>
  <c r="M2413" i="33"/>
  <c r="L2414" i="33"/>
  <c r="AB105" i="40"/>
  <c r="B106" i="40"/>
  <c r="W105" i="40"/>
  <c r="R105" i="40"/>
  <c r="I105" i="40"/>
  <c r="N86" i="40"/>
  <c r="O85" i="40"/>
  <c r="AD86" i="40"/>
  <c r="AC87" i="40"/>
  <c r="P2413" i="33" a="1"/>
  <c r="Y85" i="40" l="1"/>
  <c r="X86" i="40"/>
  <c r="S118" i="40"/>
  <c r="T117" i="40"/>
  <c r="P2413" i="33"/>
  <c r="L2415" i="33"/>
  <c r="M2414" i="33"/>
  <c r="AB106" i="40"/>
  <c r="I106" i="40"/>
  <c r="R106" i="40"/>
  <c r="W106" i="40"/>
  <c r="B107" i="40"/>
  <c r="N87" i="40"/>
  <c r="O86" i="40"/>
  <c r="AC88" i="40"/>
  <c r="AD87" i="40"/>
  <c r="P2414" i="33" a="1"/>
  <c r="Y86" i="40" l="1"/>
  <c r="X87" i="40"/>
  <c r="S119" i="40"/>
  <c r="T118" i="40"/>
  <c r="P2414" i="33"/>
  <c r="L2416" i="33"/>
  <c r="M2415" i="33"/>
  <c r="AB107" i="40"/>
  <c r="B108" i="40"/>
  <c r="I107" i="40"/>
  <c r="R107" i="40"/>
  <c r="W107" i="40"/>
  <c r="N88" i="40"/>
  <c r="O87" i="40"/>
  <c r="AD88" i="40"/>
  <c r="AC89" i="40"/>
  <c r="P2415" i="33" a="1"/>
  <c r="Y87" i="40" l="1"/>
  <c r="X88" i="40"/>
  <c r="S120" i="40"/>
  <c r="T120" i="40" s="1"/>
  <c r="T119" i="40"/>
  <c r="P2415" i="33"/>
  <c r="M2416" i="33"/>
  <c r="L2417" i="33"/>
  <c r="W108" i="40"/>
  <c r="B109" i="40"/>
  <c r="R108" i="40"/>
  <c r="I108" i="40"/>
  <c r="AB108" i="40"/>
  <c r="N89" i="40"/>
  <c r="O88" i="40"/>
  <c r="AC90" i="40"/>
  <c r="AD89" i="40"/>
  <c r="P2416" i="33" a="1"/>
  <c r="Y88" i="40" l="1"/>
  <c r="X89" i="40"/>
  <c r="P2416" i="33"/>
  <c r="M2417" i="33"/>
  <c r="L2418" i="33"/>
  <c r="B110" i="40"/>
  <c r="R109" i="40"/>
  <c r="AB109" i="40"/>
  <c r="I109" i="40"/>
  <c r="W109" i="40"/>
  <c r="N90" i="40"/>
  <c r="O89" i="40"/>
  <c r="AD90" i="40"/>
  <c r="AC91" i="40"/>
  <c r="P2417" i="33" a="1"/>
  <c r="Y89" i="40" l="1"/>
  <c r="X90" i="40"/>
  <c r="P2417" i="33"/>
  <c r="M2418" i="33"/>
  <c r="L2419" i="33"/>
  <c r="B111" i="40"/>
  <c r="R110" i="40"/>
  <c r="W110" i="40"/>
  <c r="AB110" i="40"/>
  <c r="I110" i="40"/>
  <c r="N91" i="40"/>
  <c r="O90" i="40"/>
  <c r="AC92" i="40"/>
  <c r="AD91" i="40"/>
  <c r="P2418" i="33" a="1"/>
  <c r="Y90" i="40" l="1"/>
  <c r="X91" i="40"/>
  <c r="P2418" i="33"/>
  <c r="M2419" i="33"/>
  <c r="L2420" i="33"/>
  <c r="B112" i="40"/>
  <c r="R111" i="40"/>
  <c r="AB111" i="40"/>
  <c r="W111" i="40"/>
  <c r="I111" i="40"/>
  <c r="N92" i="40"/>
  <c r="O91" i="40"/>
  <c r="AD92" i="40"/>
  <c r="AC93" i="40"/>
  <c r="AC94" i="40" s="1"/>
  <c r="P2419" i="33" a="1"/>
  <c r="AD94" i="40" l="1"/>
  <c r="AC95" i="40"/>
  <c r="Y91" i="40"/>
  <c r="X92" i="40"/>
  <c r="P2419" i="33"/>
  <c r="L2421" i="33"/>
  <c r="M2420" i="33"/>
  <c r="R112" i="40"/>
  <c r="I112" i="40"/>
  <c r="AB112" i="40"/>
  <c r="B113" i="40"/>
  <c r="W112" i="40"/>
  <c r="N93" i="40"/>
  <c r="N94" i="40" s="1"/>
  <c r="O92" i="40"/>
  <c r="AD93" i="40"/>
  <c r="P2420" i="33" a="1"/>
  <c r="AD95" i="40" l="1"/>
  <c r="AC96" i="40"/>
  <c r="AC97" i="40" s="1"/>
  <c r="O94" i="40"/>
  <c r="N95" i="40"/>
  <c r="Y92" i="40"/>
  <c r="X93" i="40"/>
  <c r="X94" i="40" s="1"/>
  <c r="P2420" i="33"/>
  <c r="L2422" i="33"/>
  <c r="M2421" i="33"/>
  <c r="R113" i="40"/>
  <c r="AB113" i="40"/>
  <c r="B114" i="40"/>
  <c r="W113" i="40"/>
  <c r="I113" i="40"/>
  <c r="O93" i="40"/>
  <c r="AD96" i="40"/>
  <c r="P2421" i="33" a="1"/>
  <c r="O95" i="40" l="1"/>
  <c r="N96" i="40"/>
  <c r="N97" i="40" s="1"/>
  <c r="Y94" i="40"/>
  <c r="X95" i="40"/>
  <c r="Y93" i="40"/>
  <c r="P2421" i="33"/>
  <c r="L2423" i="33"/>
  <c r="M2422" i="33"/>
  <c r="AB114" i="40"/>
  <c r="I114" i="40"/>
  <c r="B115" i="40"/>
  <c r="R114" i="40"/>
  <c r="W114" i="40"/>
  <c r="AC98" i="40"/>
  <c r="AD97" i="40"/>
  <c r="P2422" i="33" a="1"/>
  <c r="Y95" i="40" l="1"/>
  <c r="X96" i="40"/>
  <c r="Y96" i="40" s="1"/>
  <c r="O96" i="40"/>
  <c r="P2422" i="33"/>
  <c r="L2424" i="33"/>
  <c r="M2423" i="33"/>
  <c r="B116" i="40"/>
  <c r="I115" i="40"/>
  <c r="R115" i="40"/>
  <c r="AB115" i="40"/>
  <c r="W115" i="40"/>
  <c r="N98" i="40"/>
  <c r="O97" i="40"/>
  <c r="AD98" i="40"/>
  <c r="AC99" i="40"/>
  <c r="P2423" i="33" a="1"/>
  <c r="X97" i="40" l="1"/>
  <c r="Y97" i="40" s="1"/>
  <c r="P2423" i="33"/>
  <c r="M2424" i="33"/>
  <c r="L2425" i="33"/>
  <c r="W116" i="40"/>
  <c r="B117" i="40"/>
  <c r="R116" i="40"/>
  <c r="I116" i="40"/>
  <c r="AB116" i="40"/>
  <c r="N99" i="40"/>
  <c r="O98" i="40"/>
  <c r="AC100" i="40"/>
  <c r="AD99" i="40"/>
  <c r="P2424" i="33" a="1"/>
  <c r="X98" i="40" l="1"/>
  <c r="Y98" i="40" s="1"/>
  <c r="P2424" i="33"/>
  <c r="M2425" i="33"/>
  <c r="L2426" i="33"/>
  <c r="B118" i="40"/>
  <c r="R117" i="40"/>
  <c r="AB117" i="40"/>
  <c r="I117" i="40"/>
  <c r="W117" i="40"/>
  <c r="N100" i="40"/>
  <c r="O99" i="40"/>
  <c r="AD100" i="40"/>
  <c r="AC101" i="40"/>
  <c r="AC102" i="40" s="1"/>
  <c r="P2425" i="33" a="1"/>
  <c r="X99" i="40" l="1"/>
  <c r="Y99" i="40" s="1"/>
  <c r="AD102" i="40"/>
  <c r="AC103" i="40"/>
  <c r="P2425" i="33"/>
  <c r="M2426" i="33"/>
  <c r="L2427" i="33"/>
  <c r="B119" i="40"/>
  <c r="R118" i="40"/>
  <c r="W118" i="40"/>
  <c r="I118" i="40"/>
  <c r="AB118" i="40"/>
  <c r="N101" i="40"/>
  <c r="N102" i="40" s="1"/>
  <c r="O100" i="40"/>
  <c r="AD101" i="40"/>
  <c r="P2426" i="33" a="1"/>
  <c r="X100" i="40" l="1"/>
  <c r="AD103" i="40"/>
  <c r="AC104" i="40"/>
  <c r="AC105" i="40" s="1"/>
  <c r="O102" i="40"/>
  <c r="N103" i="40"/>
  <c r="Y100" i="40"/>
  <c r="X101" i="40"/>
  <c r="X102" i="40" s="1"/>
  <c r="P2426" i="33"/>
  <c r="M2427" i="33"/>
  <c r="L2428" i="33"/>
  <c r="B120" i="40"/>
  <c r="R119" i="40"/>
  <c r="AB119" i="40"/>
  <c r="W119" i="40"/>
  <c r="I119" i="40"/>
  <c r="O101" i="40"/>
  <c r="P2427" i="33" a="1"/>
  <c r="AD104" i="40" l="1"/>
  <c r="O103" i="40"/>
  <c r="N104" i="40"/>
  <c r="Y102" i="40"/>
  <c r="X103" i="40"/>
  <c r="Y101" i="40"/>
  <c r="P2427" i="33"/>
  <c r="L2429" i="33"/>
  <c r="M2428" i="33"/>
  <c r="R120" i="40"/>
  <c r="I120" i="40"/>
  <c r="AB120" i="40"/>
  <c r="W120" i="40"/>
  <c r="N105" i="40"/>
  <c r="O104" i="40"/>
  <c r="AC106" i="40"/>
  <c r="AD105" i="40"/>
  <c r="P2428" i="33" a="1"/>
  <c r="Y103" i="40" l="1"/>
  <c r="X104" i="40"/>
  <c r="Y104" i="40" s="1"/>
  <c r="P2428" i="33"/>
  <c r="M2429" i="33"/>
  <c r="L2430" i="33"/>
  <c r="N106" i="40"/>
  <c r="O105" i="40"/>
  <c r="AD106" i="40"/>
  <c r="AC107" i="40"/>
  <c r="P2429" i="33" a="1"/>
  <c r="X105" i="40" l="1"/>
  <c r="Y105" i="40" s="1"/>
  <c r="P2429" i="33"/>
  <c r="M2430" i="33"/>
  <c r="L2431" i="33"/>
  <c r="N107" i="40"/>
  <c r="O106" i="40"/>
  <c r="AC108" i="40"/>
  <c r="AD107" i="40"/>
  <c r="P2430" i="33" a="1"/>
  <c r="X106" i="40" l="1"/>
  <c r="Y106" i="40" s="1"/>
  <c r="P2430" i="33"/>
  <c r="M2431" i="33"/>
  <c r="L2432" i="33"/>
  <c r="N108" i="40"/>
  <c r="O107" i="40"/>
  <c r="AD108" i="40"/>
  <c r="AC109" i="40"/>
  <c r="P2431" i="33" a="1"/>
  <c r="X107" i="40" l="1"/>
  <c r="Y107" i="40" s="1"/>
  <c r="P2431" i="33"/>
  <c r="L2433" i="33"/>
  <c r="M2432" i="33"/>
  <c r="N109" i="40"/>
  <c r="O108" i="40"/>
  <c r="AC110" i="40"/>
  <c r="AD109" i="40"/>
  <c r="P2432" i="33" a="1"/>
  <c r="X108" i="40" l="1"/>
  <c r="Y108" i="40" s="1"/>
  <c r="P2432" i="33"/>
  <c r="M2433" i="33"/>
  <c r="L2434" i="33"/>
  <c r="N110" i="40"/>
  <c r="O109" i="40"/>
  <c r="AD110" i="40"/>
  <c r="AC111" i="40"/>
  <c r="P2433" i="33" a="1"/>
  <c r="X109" i="40" l="1"/>
  <c r="Y109" i="40" s="1"/>
  <c r="P2433" i="33"/>
  <c r="M2434" i="33"/>
  <c r="L2435" i="33"/>
  <c r="N111" i="40"/>
  <c r="O110" i="40"/>
  <c r="AC112" i="40"/>
  <c r="AD111" i="40"/>
  <c r="P2434" i="33" a="1"/>
  <c r="X110" i="40" l="1"/>
  <c r="Y110" i="40" s="1"/>
  <c r="P2434" i="33"/>
  <c r="M2435" i="33"/>
  <c r="L2436" i="33"/>
  <c r="N112" i="40"/>
  <c r="O111" i="40"/>
  <c r="AD112" i="40"/>
  <c r="AC113" i="40"/>
  <c r="P2435" i="33" a="1"/>
  <c r="X111" i="40" l="1"/>
  <c r="Y111" i="40" s="1"/>
  <c r="P2435" i="33"/>
  <c r="L2437" i="33"/>
  <c r="M2436" i="33"/>
  <c r="N113" i="40"/>
  <c r="O112" i="40"/>
  <c r="AC114" i="40"/>
  <c r="AD113" i="40"/>
  <c r="P2436" i="33" a="1"/>
  <c r="X112" i="40" l="1"/>
  <c r="Y112" i="40" s="1"/>
  <c r="P2436" i="33"/>
  <c r="M2437" i="33"/>
  <c r="L2438" i="33"/>
  <c r="N114" i="40"/>
  <c r="O113" i="40"/>
  <c r="AD114" i="40"/>
  <c r="AC115" i="40"/>
  <c r="P2437" i="33" a="1"/>
  <c r="X113" i="40" l="1"/>
  <c r="Y113" i="40" s="1"/>
  <c r="P2437" i="33"/>
  <c r="M2438" i="33"/>
  <c r="L2439" i="33"/>
  <c r="N115" i="40"/>
  <c r="O114" i="40"/>
  <c r="AC116" i="40"/>
  <c r="AD115" i="40"/>
  <c r="P2438" i="33" a="1"/>
  <c r="X114" i="40" l="1"/>
  <c r="Y114" i="40" s="1"/>
  <c r="P2438" i="33"/>
  <c r="M2439" i="33"/>
  <c r="L2440" i="33"/>
  <c r="N116" i="40"/>
  <c r="O115" i="40"/>
  <c r="AD116" i="40"/>
  <c r="AC117" i="40"/>
  <c r="P2439" i="33" a="1"/>
  <c r="X115" i="40" l="1"/>
  <c r="Y115" i="40" s="1"/>
  <c r="P2439" i="33"/>
  <c r="L2441" i="33"/>
  <c r="M2440" i="33"/>
  <c r="N117" i="40"/>
  <c r="O116" i="40"/>
  <c r="AC118" i="40"/>
  <c r="AD117" i="40"/>
  <c r="P2440" i="33" a="1"/>
  <c r="X116" i="40" l="1"/>
  <c r="Y116" i="40"/>
  <c r="X117" i="40"/>
  <c r="P2440" i="33"/>
  <c r="M2441" i="33"/>
  <c r="L2442" i="33"/>
  <c r="N118" i="40"/>
  <c r="O117" i="40"/>
  <c r="AD118" i="40"/>
  <c r="AC119" i="40"/>
  <c r="P2441" i="33" a="1"/>
  <c r="Y117" i="40" l="1"/>
  <c r="X118" i="40"/>
  <c r="P2441" i="33"/>
  <c r="M2442" i="33"/>
  <c r="L2443" i="33"/>
  <c r="N119" i="40"/>
  <c r="O118" i="40"/>
  <c r="AC120" i="40"/>
  <c r="AD120" i="40" s="1"/>
  <c r="AD119" i="40"/>
  <c r="P2442" i="33" a="1"/>
  <c r="Y118" i="40" l="1"/>
  <c r="X119" i="40"/>
  <c r="P2442" i="33"/>
  <c r="M2443" i="33"/>
  <c r="L2444" i="33"/>
  <c r="N120" i="40"/>
  <c r="O120" i="40" s="1"/>
  <c r="O119" i="40"/>
  <c r="P2443" i="33" a="1"/>
  <c r="Y119" i="40" l="1"/>
  <c r="X120" i="40"/>
  <c r="Y120" i="40" s="1"/>
  <c r="P2443" i="33"/>
  <c r="L2445" i="33"/>
  <c r="M2444" i="33"/>
  <c r="P2444" i="33" a="1"/>
  <c r="P2444" i="33" l="1"/>
  <c r="M2445" i="33"/>
  <c r="L2446" i="33"/>
  <c r="P2445" i="33" a="1"/>
  <c r="P2445" i="33" l="1"/>
  <c r="L2447" i="33"/>
  <c r="L2448" i="33" s="1"/>
  <c r="M2446" i="33"/>
  <c r="P2446" i="33" a="1"/>
  <c r="P2446" i="33" l="1"/>
  <c r="M2447" i="33"/>
  <c r="P2447" i="33" a="1"/>
  <c r="P2447" i="33" l="1"/>
  <c r="M2448" i="33" l="1"/>
  <c r="L2449" i="33"/>
  <c r="P2448" i="33" a="1"/>
  <c r="P2448" i="33" l="1"/>
  <c r="M2449" i="33"/>
  <c r="L2450" i="33"/>
  <c r="P2449" i="33" a="1"/>
  <c r="P2449" i="33" l="1"/>
  <c r="M2450" i="33"/>
  <c r="L2451" i="33"/>
  <c r="P2450" i="33" a="1"/>
  <c r="P2450" i="33" l="1"/>
  <c r="L2452" i="33"/>
  <c r="M2451" i="33"/>
  <c r="P2451" i="33" a="1"/>
  <c r="P2451" i="33" l="1"/>
  <c r="M2452" i="33"/>
  <c r="L2453" i="33"/>
  <c r="P2452" i="33" a="1"/>
  <c r="P2452" i="33" l="1"/>
  <c r="M2453" i="33"/>
  <c r="L2454" i="33"/>
  <c r="P2453" i="33" a="1"/>
  <c r="P2453" i="33" l="1"/>
  <c r="M2454" i="33"/>
  <c r="L2455" i="33"/>
  <c r="P2454" i="33" a="1"/>
  <c r="P2454" i="33" l="1"/>
  <c r="L2456" i="33"/>
  <c r="M2455" i="33"/>
  <c r="P2455" i="33" a="1"/>
  <c r="P2455" i="33" l="1"/>
  <c r="M2456" i="33"/>
  <c r="L2457" i="33"/>
  <c r="P2456" i="33" a="1"/>
  <c r="P2456" i="33" l="1"/>
  <c r="M2457" i="33"/>
  <c r="L2458" i="33"/>
  <c r="P2457" i="33" a="1"/>
  <c r="P2457" i="33" l="1"/>
  <c r="M2458" i="33"/>
  <c r="L2459" i="33"/>
  <c r="P2458" i="33" a="1"/>
  <c r="P2458" i="33" l="1"/>
  <c r="L2460" i="33"/>
  <c r="M2459" i="33"/>
  <c r="P2459" i="33" a="1"/>
  <c r="P2459" i="33" l="1"/>
  <c r="M2460" i="33"/>
  <c r="L2461" i="33"/>
  <c r="P2460" i="33" a="1"/>
  <c r="P2460" i="33" l="1"/>
  <c r="M2461" i="33"/>
  <c r="L2462" i="33"/>
  <c r="P2461" i="33" a="1"/>
  <c r="P2461" i="33" l="1"/>
  <c r="L2463" i="33"/>
  <c r="M2462" i="33"/>
  <c r="P2462" i="33" a="1"/>
  <c r="P2462" i="33" l="1"/>
  <c r="L2464" i="33"/>
  <c r="L2465" i="33" s="1"/>
  <c r="M2463" i="33"/>
  <c r="P2463" i="33" a="1"/>
  <c r="P2463" i="33" l="1"/>
  <c r="M2464" i="33"/>
  <c r="P2464" i="33" a="1"/>
  <c r="P2464" i="33" l="1"/>
  <c r="L2466" i="33" l="1"/>
  <c r="M2465" i="33"/>
  <c r="P2465" i="33" a="1"/>
  <c r="P2465" i="33" l="1"/>
  <c r="L2467" i="33"/>
  <c r="M2466" i="33"/>
  <c r="P2466" i="33" a="1"/>
  <c r="P2466" i="33" l="1"/>
  <c r="L2468" i="33"/>
  <c r="M2467" i="33"/>
  <c r="P2467" i="33" a="1"/>
  <c r="P2467" i="33" l="1"/>
  <c r="L2469" i="33"/>
  <c r="M2468" i="33"/>
  <c r="P2468" i="33" a="1"/>
  <c r="P2468" i="33" l="1"/>
  <c r="L2470" i="33"/>
  <c r="M2469" i="33"/>
  <c r="P2469" i="33" a="1"/>
  <c r="P2469" i="33" l="1"/>
  <c r="L2471" i="33"/>
  <c r="M2470" i="33"/>
  <c r="P2470" i="33" a="1"/>
  <c r="P2470" i="33" l="1"/>
  <c r="L2472" i="33"/>
  <c r="L2473" i="33" s="1"/>
  <c r="M2471" i="33"/>
  <c r="P2471" i="33" a="1"/>
  <c r="P2471" i="33" l="1"/>
  <c r="M2472" i="33"/>
  <c r="P2472" i="33" a="1"/>
  <c r="P2472" i="33" l="1"/>
  <c r="L2474" i="33" l="1"/>
  <c r="M2473" i="33"/>
  <c r="P2473" i="33" a="1"/>
  <c r="P2473" i="33" l="1"/>
  <c r="L2475" i="33"/>
  <c r="M2474" i="33"/>
  <c r="P2474" i="33" a="1"/>
  <c r="P2474" i="33" l="1"/>
  <c r="L2476" i="33"/>
  <c r="M2475" i="33"/>
  <c r="P2475" i="33" a="1"/>
  <c r="P2475" i="33" l="1"/>
  <c r="L2477" i="33"/>
  <c r="M2476" i="33"/>
  <c r="P2476" i="33" a="1"/>
  <c r="P2476" i="33" l="1"/>
  <c r="L2478" i="33"/>
  <c r="M2477" i="33"/>
  <c r="P2477" i="33" a="1"/>
  <c r="P2477" i="33" l="1"/>
  <c r="L2479" i="33"/>
  <c r="L2480" i="33" s="1"/>
  <c r="M2478" i="33"/>
  <c r="P2478" i="33" a="1"/>
  <c r="P2478" i="33" l="1"/>
  <c r="M2479" i="33"/>
  <c r="P2479" i="33" a="1"/>
  <c r="P2479" i="33" l="1"/>
  <c r="L2481" i="33" l="1"/>
  <c r="M2480" i="33"/>
  <c r="P2480" i="33" a="1"/>
  <c r="P2480" i="33" l="1"/>
  <c r="L2482" i="33"/>
  <c r="M2481" i="33"/>
  <c r="P2481" i="33" a="1"/>
  <c r="P2481" i="33" l="1"/>
  <c r="L2483" i="33"/>
  <c r="M2482" i="33"/>
  <c r="P2482" i="33" a="1"/>
  <c r="P2482" i="33" l="1"/>
  <c r="L2484" i="33"/>
  <c r="M2483" i="33"/>
  <c r="P2483" i="33" a="1"/>
  <c r="P2483" i="33" l="1"/>
  <c r="L2485" i="33"/>
  <c r="M2484" i="33"/>
  <c r="P2484" i="33" a="1"/>
  <c r="P2484" i="33" l="1"/>
  <c r="L2486" i="33"/>
  <c r="M2485" i="33"/>
  <c r="P2485" i="33" a="1"/>
  <c r="P2485" i="33" l="1"/>
  <c r="L2487" i="33"/>
  <c r="L2488" i="33" s="1"/>
  <c r="M2486" i="33"/>
  <c r="P2486" i="33" a="1"/>
  <c r="P2486" i="33" l="1"/>
  <c r="M2487" i="33"/>
  <c r="P2487" i="33" a="1"/>
  <c r="P2487" i="33" l="1"/>
  <c r="L2489" i="33" l="1"/>
  <c r="M2488" i="33"/>
  <c r="P2488" i="33" a="1"/>
  <c r="P2488" i="33" l="1"/>
  <c r="L2490" i="33"/>
  <c r="M2489" i="33"/>
  <c r="P2489" i="33" a="1"/>
  <c r="P2489" i="33" l="1"/>
  <c r="L2491" i="33"/>
  <c r="M2490" i="33"/>
  <c r="P2490" i="33" a="1"/>
  <c r="P2490" i="33" l="1"/>
  <c r="L2492" i="33"/>
  <c r="M2491" i="33"/>
  <c r="P2491" i="33" a="1"/>
  <c r="P2491" i="33" l="1"/>
  <c r="L2493" i="33"/>
  <c r="M2492" i="33"/>
  <c r="P2492" i="33" a="1"/>
  <c r="P2492" i="33" l="1"/>
  <c r="L2494" i="33"/>
  <c r="M2493" i="33"/>
  <c r="P2493" i="33" a="1"/>
  <c r="P2493" i="33" l="1"/>
  <c r="L2495" i="33"/>
  <c r="L2496" i="33" s="1"/>
  <c r="M2494" i="33"/>
  <c r="P2494" i="33" a="1"/>
  <c r="P2494" i="33" l="1"/>
  <c r="M2495" i="33"/>
  <c r="P2495" i="33" a="1"/>
  <c r="P2495" i="33" l="1"/>
  <c r="L2497" i="33" l="1"/>
  <c r="M2496" i="33"/>
  <c r="P2496" i="33" a="1"/>
  <c r="P2496" i="33" l="1"/>
  <c r="L2498" i="33"/>
  <c r="M2497" i="33"/>
  <c r="P2497" i="33" a="1"/>
  <c r="P2497" i="33" l="1"/>
  <c r="L2499" i="33"/>
  <c r="M2498" i="33"/>
  <c r="P2498" i="33" a="1"/>
  <c r="P2498" i="33" l="1"/>
  <c r="L2500" i="33"/>
  <c r="M2499" i="33"/>
  <c r="C18" i="10"/>
  <c r="C161" i="10" s="1"/>
  <c r="C28" i="10"/>
  <c r="C171" i="10" s="1"/>
  <c r="C27" i="10"/>
  <c r="C170" i="10" s="1"/>
  <c r="C26" i="10"/>
  <c r="C169" i="10" s="1"/>
  <c r="C25" i="10"/>
  <c r="C168" i="10" s="1"/>
  <c r="C24" i="10"/>
  <c r="C167" i="10" s="1"/>
  <c r="C23" i="10"/>
  <c r="C22" i="10"/>
  <c r="C165" i="10" s="1"/>
  <c r="C21" i="10"/>
  <c r="C164" i="10" s="1"/>
  <c r="C20" i="10"/>
  <c r="C163" i="10" s="1"/>
  <c r="C19" i="10"/>
  <c r="C162" i="10" s="1"/>
  <c r="C17" i="10"/>
  <c r="C160" i="10" s="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F20" i="34"/>
  <c r="H20" i="34" s="1"/>
  <c r="P2499" i="33" a="1"/>
  <c r="C166" i="10" l="1"/>
  <c r="P2499" i="33"/>
  <c r="L2501" i="33"/>
  <c r="M2500" i="33"/>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54" i="7"/>
  <c r="P2500" i="33" a="1"/>
  <c r="P2500" i="33" l="1"/>
  <c r="L2502" i="33"/>
  <c r="M2501" i="33"/>
  <c r="G132" i="5"/>
  <c r="G133" i="5"/>
  <c r="G134" i="5"/>
  <c r="G135" i="5"/>
  <c r="G136" i="5"/>
  <c r="AD268" i="20" s="1"/>
  <c r="Q268" i="20" s="1"/>
  <c r="G137" i="5"/>
  <c r="G138" i="5"/>
  <c r="G139" i="5"/>
  <c r="G140" i="5"/>
  <c r="AD253" i="20" s="1"/>
  <c r="Q253" i="20" s="1"/>
  <c r="G141" i="5"/>
  <c r="AD140" i="20" s="1"/>
  <c r="Q140" i="20" s="1"/>
  <c r="G142" i="5"/>
  <c r="G143" i="5"/>
  <c r="P49" i="5"/>
  <c r="P2501" i="33" a="1"/>
  <c r="AD296" i="20" l="1"/>
  <c r="Q296" i="20" s="1"/>
  <c r="AD204" i="20"/>
  <c r="Q204" i="20" s="1"/>
  <c r="AD231" i="20"/>
  <c r="Q231" i="20" s="1"/>
  <c r="AD160" i="20"/>
  <c r="Q160" i="20" s="1"/>
  <c r="AD276" i="20"/>
  <c r="Q276" i="20" s="1"/>
  <c r="AD56" i="20"/>
  <c r="Q56" i="20" s="1"/>
  <c r="AD117" i="20"/>
  <c r="Q117" i="20" s="1"/>
  <c r="AD114" i="20"/>
  <c r="Q114" i="20" s="1"/>
  <c r="AD250" i="20"/>
  <c r="Q250" i="20" s="1"/>
  <c r="AD95" i="20"/>
  <c r="Q95" i="20" s="1"/>
  <c r="AD132" i="20"/>
  <c r="Q132" i="20" s="1"/>
  <c r="P2501" i="33"/>
  <c r="L2503" i="33"/>
  <c r="L2504" i="33" s="1"/>
  <c r="M2502" i="33"/>
  <c r="M279" i="20"/>
  <c r="D279" i="20"/>
  <c r="P2502" i="33" a="1"/>
  <c r="P2502" i="33" l="1"/>
  <c r="M2503" i="33"/>
  <c r="AD299" i="20"/>
  <c r="Q299" i="20" s="1"/>
  <c r="AD298" i="20"/>
  <c r="Q298" i="20" s="1"/>
  <c r="AD297" i="20"/>
  <c r="Q297" i="20" s="1"/>
  <c r="AD295" i="20"/>
  <c r="Q295" i="20" s="1"/>
  <c r="AD294" i="20"/>
  <c r="Q294" i="20" s="1"/>
  <c r="AD293" i="20"/>
  <c r="Q293" i="20" s="1"/>
  <c r="AD292" i="20"/>
  <c r="Q292" i="20" s="1"/>
  <c r="AD291" i="20"/>
  <c r="Q291" i="20" s="1"/>
  <c r="AD290" i="20"/>
  <c r="Q290" i="20" s="1"/>
  <c r="AD289" i="20"/>
  <c r="Q289" i="20" s="1"/>
  <c r="AD288" i="20"/>
  <c r="Q288" i="20" s="1"/>
  <c r="AD287" i="20"/>
  <c r="Q287" i="20" s="1"/>
  <c r="AD286" i="20"/>
  <c r="Q286" i="20" s="1"/>
  <c r="AD285" i="20"/>
  <c r="Q285" i="20" s="1"/>
  <c r="AD284" i="20"/>
  <c r="Q284" i="20" s="1"/>
  <c r="AD283" i="20"/>
  <c r="Q283" i="20" s="1"/>
  <c r="AD282" i="20"/>
  <c r="Q282" i="20" s="1"/>
  <c r="AD281" i="20"/>
  <c r="Q281" i="20" s="1"/>
  <c r="AD279" i="20"/>
  <c r="Q279" i="20" s="1"/>
  <c r="AD278" i="20"/>
  <c r="Q278" i="20" s="1"/>
  <c r="AD277" i="20"/>
  <c r="Q277" i="20" s="1"/>
  <c r="AD275" i="20"/>
  <c r="Q275" i="20" s="1"/>
  <c r="AD274" i="20"/>
  <c r="Q274" i="20" s="1"/>
  <c r="AD273" i="20"/>
  <c r="Q273" i="20" s="1"/>
  <c r="AD272" i="20"/>
  <c r="Q272" i="20" s="1"/>
  <c r="AD271" i="20"/>
  <c r="Q271" i="20" s="1"/>
  <c r="AD270" i="20"/>
  <c r="Q270" i="20" s="1"/>
  <c r="AD269" i="20"/>
  <c r="Q269" i="20" s="1"/>
  <c r="AD267" i="20"/>
  <c r="Q267" i="20" s="1"/>
  <c r="AD266" i="20"/>
  <c r="Q266" i="20" s="1"/>
  <c r="AD265" i="20"/>
  <c r="Q265" i="20" s="1"/>
  <c r="AD264" i="20"/>
  <c r="Q264" i="20" s="1"/>
  <c r="AD263" i="20"/>
  <c r="Q263" i="20" s="1"/>
  <c r="AD262" i="20"/>
  <c r="Q262" i="20" s="1"/>
  <c r="AD261" i="20"/>
  <c r="Q261" i="20" s="1"/>
  <c r="AD260" i="20"/>
  <c r="Q260" i="20" s="1"/>
  <c r="AD259" i="20"/>
  <c r="Q259" i="20" s="1"/>
  <c r="AD257" i="20"/>
  <c r="Q257" i="20" s="1"/>
  <c r="AD256" i="20"/>
  <c r="Q256" i="20" s="1"/>
  <c r="AD255" i="20"/>
  <c r="Q255" i="20" s="1"/>
  <c r="AD254" i="20"/>
  <c r="Q254" i="20" s="1"/>
  <c r="AD252" i="20"/>
  <c r="Q252" i="20" s="1"/>
  <c r="AD251" i="20"/>
  <c r="Q251" i="20" s="1"/>
  <c r="AD249" i="20"/>
  <c r="Q249" i="20" s="1"/>
  <c r="AD248" i="20"/>
  <c r="Q248" i="20" s="1"/>
  <c r="AD247" i="20"/>
  <c r="Q247" i="20" s="1"/>
  <c r="AD246" i="20"/>
  <c r="Q246" i="20" s="1"/>
  <c r="AD245" i="20"/>
  <c r="Q245" i="20" s="1"/>
  <c r="AD244" i="20"/>
  <c r="Q244" i="20" s="1"/>
  <c r="AD243" i="20"/>
  <c r="Q243" i="20" s="1"/>
  <c r="AD242" i="20"/>
  <c r="Q242" i="20" s="1"/>
  <c r="AD241" i="20"/>
  <c r="Q241" i="20" s="1"/>
  <c r="AD240" i="20"/>
  <c r="Q240" i="20" s="1"/>
  <c r="AD239" i="20"/>
  <c r="Q239" i="20" s="1"/>
  <c r="AD238" i="20"/>
  <c r="Q238" i="20" s="1"/>
  <c r="AD237" i="20"/>
  <c r="Q237" i="20" s="1"/>
  <c r="AD236" i="20"/>
  <c r="Q236" i="20" s="1"/>
  <c r="AD234" i="20"/>
  <c r="Q234" i="20" s="1"/>
  <c r="AD233" i="20"/>
  <c r="Q233" i="20" s="1"/>
  <c r="AD232" i="20"/>
  <c r="Q232" i="20" s="1"/>
  <c r="AD230" i="20"/>
  <c r="Q230" i="20" s="1"/>
  <c r="AD229" i="20"/>
  <c r="Q229" i="20" s="1"/>
  <c r="AD228" i="20"/>
  <c r="Q228" i="20" s="1"/>
  <c r="AD227" i="20"/>
  <c r="Q227" i="20" s="1"/>
  <c r="AD226" i="20"/>
  <c r="Q226" i="20" s="1"/>
  <c r="AD225" i="20"/>
  <c r="Q225" i="20" s="1"/>
  <c r="AD224" i="20"/>
  <c r="Q224" i="20" s="1"/>
  <c r="AD223" i="20"/>
  <c r="Q223" i="20" s="1"/>
  <c r="AD222" i="20"/>
  <c r="Q222" i="20" s="1"/>
  <c r="AD221" i="20"/>
  <c r="Q221" i="20" s="1"/>
  <c r="AD220" i="20"/>
  <c r="Q220" i="20" s="1"/>
  <c r="AD219" i="20"/>
  <c r="Q219" i="20" s="1"/>
  <c r="AD218" i="20"/>
  <c r="Q218" i="20" s="1"/>
  <c r="AD217" i="20"/>
  <c r="Q217" i="20" s="1"/>
  <c r="AD216" i="20"/>
  <c r="Q216" i="20" s="1"/>
  <c r="AD215" i="20"/>
  <c r="Q215" i="20" s="1"/>
  <c r="AD214" i="20"/>
  <c r="Q214" i="20" s="1"/>
  <c r="AD213" i="20"/>
  <c r="Q213" i="20" s="1"/>
  <c r="AD212" i="20"/>
  <c r="Q212" i="20" s="1"/>
  <c r="AD211" i="20"/>
  <c r="Q211" i="20" s="1"/>
  <c r="AD210" i="20"/>
  <c r="Q210" i="20" s="1"/>
  <c r="AD208" i="20"/>
  <c r="Q208" i="20" s="1"/>
  <c r="AD207" i="20"/>
  <c r="Q207" i="20" s="1"/>
  <c r="AD206" i="20"/>
  <c r="Q206" i="20" s="1"/>
  <c r="AD205" i="20"/>
  <c r="Q205" i="20" s="1"/>
  <c r="AD203" i="20"/>
  <c r="Q203" i="20" s="1"/>
  <c r="AD202" i="20"/>
  <c r="Q202" i="20" s="1"/>
  <c r="AD201" i="20"/>
  <c r="Q201" i="20" s="1"/>
  <c r="AD200" i="20"/>
  <c r="Q200" i="20" s="1"/>
  <c r="AD199" i="20"/>
  <c r="Q199" i="20" s="1"/>
  <c r="AD198" i="20"/>
  <c r="Q198" i="20" s="1"/>
  <c r="AD197" i="20"/>
  <c r="Q197" i="20" s="1"/>
  <c r="AD196" i="20"/>
  <c r="Q196" i="20" s="1"/>
  <c r="AD195" i="20"/>
  <c r="Q195" i="20" s="1"/>
  <c r="AD163" i="20"/>
  <c r="Q163" i="20" s="1"/>
  <c r="AD162" i="20"/>
  <c r="Q162" i="20" s="1"/>
  <c r="AD161" i="20"/>
  <c r="Q161" i="20" s="1"/>
  <c r="AD159" i="20"/>
  <c r="Q159" i="20" s="1"/>
  <c r="AD158" i="20"/>
  <c r="Q158" i="20" s="1"/>
  <c r="AD157" i="20"/>
  <c r="Q157" i="20" s="1"/>
  <c r="AD156" i="20"/>
  <c r="Q156" i="20" s="1"/>
  <c r="AD155" i="20"/>
  <c r="Q155" i="20" s="1"/>
  <c r="AD154" i="20"/>
  <c r="Q154" i="20" s="1"/>
  <c r="AD153" i="20"/>
  <c r="Q153" i="20" s="1"/>
  <c r="AD152" i="20"/>
  <c r="Q152" i="20" s="1"/>
  <c r="AD151" i="20"/>
  <c r="Q151" i="20" s="1"/>
  <c r="AD150" i="20"/>
  <c r="Q150" i="20" s="1"/>
  <c r="AD149" i="20"/>
  <c r="Q149" i="20" s="1"/>
  <c r="AD148" i="20"/>
  <c r="Q148" i="20" s="1"/>
  <c r="AD147" i="20"/>
  <c r="Q147" i="20" s="1"/>
  <c r="AD146" i="20"/>
  <c r="Q146" i="20" s="1"/>
  <c r="AD145" i="20"/>
  <c r="Q145" i="20" s="1"/>
  <c r="AD143" i="20"/>
  <c r="Q143" i="20" s="1"/>
  <c r="AD142" i="20"/>
  <c r="Q142" i="20" s="1"/>
  <c r="AD141" i="20"/>
  <c r="Q141" i="20" s="1"/>
  <c r="AD139" i="20"/>
  <c r="Q139" i="20" s="1"/>
  <c r="AD138" i="20"/>
  <c r="Q138" i="20" s="1"/>
  <c r="AD137" i="20"/>
  <c r="Q137" i="20" s="1"/>
  <c r="AD136" i="20"/>
  <c r="Q136" i="20" s="1"/>
  <c r="AD135" i="20"/>
  <c r="Q135" i="20" s="1"/>
  <c r="AD134" i="20"/>
  <c r="Q134" i="20" s="1"/>
  <c r="AD133" i="20"/>
  <c r="Q133" i="20" s="1"/>
  <c r="AD131" i="20"/>
  <c r="Q131" i="20" s="1"/>
  <c r="AD130" i="20"/>
  <c r="Q130" i="20" s="1"/>
  <c r="AD129" i="20"/>
  <c r="Q129" i="20" s="1"/>
  <c r="AD128" i="20"/>
  <c r="Q128" i="20" s="1"/>
  <c r="AD127" i="20"/>
  <c r="Q127" i="20" s="1"/>
  <c r="AD126" i="20"/>
  <c r="Q126" i="20" s="1"/>
  <c r="AD125" i="20"/>
  <c r="Q125" i="20" s="1"/>
  <c r="AD124" i="20"/>
  <c r="Q124" i="20" s="1"/>
  <c r="AD123" i="20"/>
  <c r="Q123" i="20" s="1"/>
  <c r="AD121" i="20"/>
  <c r="Q121" i="20" s="1"/>
  <c r="AD120" i="20"/>
  <c r="Q120" i="20" s="1"/>
  <c r="AD119" i="20"/>
  <c r="Q119" i="20" s="1"/>
  <c r="AD118" i="20"/>
  <c r="Q118" i="20" s="1"/>
  <c r="AD116" i="20"/>
  <c r="Q116" i="20" s="1"/>
  <c r="AD115" i="20"/>
  <c r="Q115" i="20" s="1"/>
  <c r="AD113" i="20"/>
  <c r="Q113" i="20" s="1"/>
  <c r="AD112" i="20"/>
  <c r="Q112" i="20" s="1"/>
  <c r="AD111" i="20"/>
  <c r="Q111" i="20" s="1"/>
  <c r="AD110" i="20"/>
  <c r="Q110" i="20" s="1"/>
  <c r="AD109" i="20"/>
  <c r="Q109" i="20" s="1"/>
  <c r="AD108" i="20"/>
  <c r="Q108" i="20" s="1"/>
  <c r="AD107" i="20"/>
  <c r="Q107" i="20" s="1"/>
  <c r="AD106" i="20"/>
  <c r="Q106" i="20" s="1"/>
  <c r="AD105" i="20"/>
  <c r="Q105" i="20" s="1"/>
  <c r="AD104" i="20"/>
  <c r="Q104" i="20" s="1"/>
  <c r="AD103" i="20"/>
  <c r="Q103" i="20" s="1"/>
  <c r="AD102" i="20"/>
  <c r="Q102" i="20" s="1"/>
  <c r="AD101" i="20"/>
  <c r="Q101" i="20" s="1"/>
  <c r="AD100" i="20"/>
  <c r="Q100" i="20" s="1"/>
  <c r="AD98" i="20"/>
  <c r="Q98" i="20" s="1"/>
  <c r="AD97" i="20"/>
  <c r="Q97" i="20" s="1"/>
  <c r="AD96" i="20"/>
  <c r="Q96" i="20" s="1"/>
  <c r="AD94" i="20"/>
  <c r="Q94" i="20" s="1"/>
  <c r="AD93" i="20"/>
  <c r="Q93" i="20" s="1"/>
  <c r="AD92" i="20"/>
  <c r="Q92" i="20" s="1"/>
  <c r="AD91" i="20"/>
  <c r="Q91" i="20" s="1"/>
  <c r="AD90" i="20"/>
  <c r="Q90" i="20" s="1"/>
  <c r="AD89" i="20"/>
  <c r="Q89" i="20" s="1"/>
  <c r="AD88" i="20"/>
  <c r="Q88" i="20" s="1"/>
  <c r="AD87" i="20"/>
  <c r="Q87" i="20" s="1"/>
  <c r="AD86" i="20"/>
  <c r="Q86" i="20" s="1"/>
  <c r="AD85" i="20"/>
  <c r="Q85" i="20" s="1"/>
  <c r="AD84" i="20"/>
  <c r="Q84" i="20" s="1"/>
  <c r="AD83" i="20"/>
  <c r="Q83" i="20" s="1"/>
  <c r="AD82" i="20"/>
  <c r="Q82" i="20" s="1"/>
  <c r="AD81" i="20"/>
  <c r="Q81" i="20" s="1"/>
  <c r="AD80" i="20"/>
  <c r="Q80" i="20" s="1"/>
  <c r="AD79" i="20"/>
  <c r="Q79" i="20" s="1"/>
  <c r="AD78" i="20"/>
  <c r="Q78" i="20" s="1"/>
  <c r="AD77" i="20"/>
  <c r="Q77" i="20" s="1"/>
  <c r="AD76" i="20"/>
  <c r="Q76" i="20" s="1"/>
  <c r="AD75" i="20"/>
  <c r="Q75" i="20" s="1"/>
  <c r="AD74" i="20"/>
  <c r="Q74" i="20" s="1"/>
  <c r="AD73" i="20"/>
  <c r="Q73" i="20" s="1"/>
  <c r="AD72" i="20"/>
  <c r="Q72" i="20" s="1"/>
  <c r="AD71" i="20"/>
  <c r="Q71" i="20" s="1"/>
  <c r="AD70" i="20"/>
  <c r="Q70" i="20" s="1"/>
  <c r="AD69" i="20"/>
  <c r="Q69" i="20" s="1"/>
  <c r="AD68" i="20"/>
  <c r="Q68" i="20" s="1"/>
  <c r="AD67" i="20"/>
  <c r="Q67" i="20" s="1"/>
  <c r="AD66" i="20"/>
  <c r="Q66" i="20" s="1"/>
  <c r="AD65" i="20"/>
  <c r="Q65" i="20" s="1"/>
  <c r="AD64" i="20"/>
  <c r="Q64" i="20" s="1"/>
  <c r="AD63" i="20"/>
  <c r="Q63" i="20" s="1"/>
  <c r="AD62" i="20"/>
  <c r="Q62" i="20" s="1"/>
  <c r="AD60" i="20"/>
  <c r="Q60" i="20" s="1"/>
  <c r="AD59" i="20"/>
  <c r="Q59" i="20" s="1"/>
  <c r="AD58" i="20"/>
  <c r="Q58" i="20" s="1"/>
  <c r="AD57" i="20"/>
  <c r="Q57" i="20" s="1"/>
  <c r="AD55" i="20"/>
  <c r="Q55" i="20" s="1"/>
  <c r="AD54" i="20"/>
  <c r="Q54" i="20" s="1"/>
  <c r="AD53" i="20"/>
  <c r="Q53" i="20" s="1"/>
  <c r="AD52" i="20"/>
  <c r="Q52" i="20" s="1"/>
  <c r="AD51" i="20"/>
  <c r="Q51" i="20" s="1"/>
  <c r="AD50" i="20"/>
  <c r="Q50" i="20" s="1"/>
  <c r="AD49" i="20"/>
  <c r="Q49" i="20" s="1"/>
  <c r="AD48" i="20"/>
  <c r="Q48" i="20" s="1"/>
  <c r="AD47" i="20"/>
  <c r="Q47" i="20" s="1"/>
  <c r="Z299" i="20"/>
  <c r="H299" i="20" s="1"/>
  <c r="Z298" i="20"/>
  <c r="H298" i="20" s="1"/>
  <c r="Z297" i="20"/>
  <c r="H297" i="20" s="1"/>
  <c r="Z295" i="20"/>
  <c r="H295" i="20" s="1"/>
  <c r="Z294" i="20"/>
  <c r="H294" i="20" s="1"/>
  <c r="Z293" i="20"/>
  <c r="H293" i="20" s="1"/>
  <c r="Z292" i="20"/>
  <c r="H292" i="20" s="1"/>
  <c r="Z291" i="20"/>
  <c r="H291" i="20" s="1"/>
  <c r="Z290" i="20"/>
  <c r="H290" i="20" s="1"/>
  <c r="Z289" i="20"/>
  <c r="H289" i="20" s="1"/>
  <c r="Z288" i="20"/>
  <c r="H288" i="20" s="1"/>
  <c r="Z287" i="20"/>
  <c r="H287" i="20" s="1"/>
  <c r="Z286" i="20"/>
  <c r="H286" i="20" s="1"/>
  <c r="Z285" i="20"/>
  <c r="H285" i="20" s="1"/>
  <c r="Z284" i="20"/>
  <c r="H284" i="20" s="1"/>
  <c r="Z283" i="20"/>
  <c r="H283" i="20" s="1"/>
  <c r="Z282" i="20"/>
  <c r="H282" i="20" s="1"/>
  <c r="Z281" i="20"/>
  <c r="H281" i="20" s="1"/>
  <c r="Z279" i="20"/>
  <c r="H279" i="20" s="1"/>
  <c r="Z278" i="20"/>
  <c r="H278" i="20" s="1"/>
  <c r="Z277" i="20"/>
  <c r="H277" i="20" s="1"/>
  <c r="Z275" i="20"/>
  <c r="H275" i="20" s="1"/>
  <c r="Z274" i="20"/>
  <c r="H274" i="20" s="1"/>
  <c r="Z273" i="20"/>
  <c r="H273" i="20" s="1"/>
  <c r="Z272" i="20"/>
  <c r="H272" i="20" s="1"/>
  <c r="Z271" i="20"/>
  <c r="H271" i="20" s="1"/>
  <c r="Z270" i="20"/>
  <c r="H270" i="20" s="1"/>
  <c r="Z269" i="20"/>
  <c r="H269" i="20" s="1"/>
  <c r="Z267" i="20"/>
  <c r="H267" i="20" s="1"/>
  <c r="Z266" i="20"/>
  <c r="H266" i="20" s="1"/>
  <c r="Z265" i="20"/>
  <c r="H265" i="20" s="1"/>
  <c r="Z264" i="20"/>
  <c r="H264" i="20" s="1"/>
  <c r="Z263" i="20"/>
  <c r="H263" i="20" s="1"/>
  <c r="Z262" i="20"/>
  <c r="H262" i="20" s="1"/>
  <c r="Z261" i="20"/>
  <c r="H261" i="20" s="1"/>
  <c r="Z260" i="20"/>
  <c r="H260" i="20" s="1"/>
  <c r="Z259" i="20"/>
  <c r="H259" i="20" s="1"/>
  <c r="Z257" i="20"/>
  <c r="H257" i="20" s="1"/>
  <c r="Z256" i="20"/>
  <c r="H256" i="20" s="1"/>
  <c r="Z255" i="20"/>
  <c r="H255" i="20" s="1"/>
  <c r="Z254" i="20"/>
  <c r="H254" i="20" s="1"/>
  <c r="Z252" i="20"/>
  <c r="H252" i="20" s="1"/>
  <c r="Z251" i="20"/>
  <c r="H251" i="20" s="1"/>
  <c r="Z249" i="20"/>
  <c r="H249" i="20" s="1"/>
  <c r="Z248" i="20"/>
  <c r="H248" i="20" s="1"/>
  <c r="Z247" i="20"/>
  <c r="H247" i="20" s="1"/>
  <c r="Z246" i="20"/>
  <c r="H246" i="20" s="1"/>
  <c r="Z245" i="20"/>
  <c r="H245" i="20" s="1"/>
  <c r="Z244" i="20"/>
  <c r="H244" i="20" s="1"/>
  <c r="Z243" i="20"/>
  <c r="H243" i="20" s="1"/>
  <c r="Z242" i="20"/>
  <c r="H242" i="20" s="1"/>
  <c r="Z241" i="20"/>
  <c r="H241" i="20" s="1"/>
  <c r="Z240" i="20"/>
  <c r="H240" i="20" s="1"/>
  <c r="Z239" i="20"/>
  <c r="H239" i="20" s="1"/>
  <c r="Z238" i="20"/>
  <c r="H238" i="20" s="1"/>
  <c r="Z237" i="20"/>
  <c r="H237" i="20" s="1"/>
  <c r="Z236" i="20"/>
  <c r="H236" i="20" s="1"/>
  <c r="Z234" i="20"/>
  <c r="H234" i="20" s="1"/>
  <c r="Z233" i="20"/>
  <c r="H233" i="20" s="1"/>
  <c r="Z232" i="20"/>
  <c r="H232" i="20" s="1"/>
  <c r="Z230" i="20"/>
  <c r="H230" i="20" s="1"/>
  <c r="Z229" i="20"/>
  <c r="H229" i="20" s="1"/>
  <c r="Z228" i="20"/>
  <c r="H228" i="20" s="1"/>
  <c r="Z227" i="20"/>
  <c r="H227" i="20" s="1"/>
  <c r="Z226" i="20"/>
  <c r="H226" i="20" s="1"/>
  <c r="Z225" i="20"/>
  <c r="H225" i="20" s="1"/>
  <c r="Z224" i="20"/>
  <c r="H224" i="20" s="1"/>
  <c r="Z223" i="20"/>
  <c r="H223" i="20" s="1"/>
  <c r="Z222" i="20"/>
  <c r="H222" i="20" s="1"/>
  <c r="Z221" i="20"/>
  <c r="H221" i="20" s="1"/>
  <c r="Z220" i="20"/>
  <c r="H220" i="20" s="1"/>
  <c r="Z219" i="20"/>
  <c r="H219" i="20" s="1"/>
  <c r="Z218" i="20"/>
  <c r="H218" i="20" s="1"/>
  <c r="Z217" i="20"/>
  <c r="H217" i="20" s="1"/>
  <c r="Z216" i="20"/>
  <c r="H216" i="20" s="1"/>
  <c r="Z215" i="20"/>
  <c r="H215" i="20" s="1"/>
  <c r="Z214" i="20"/>
  <c r="H214" i="20" s="1"/>
  <c r="Z213" i="20"/>
  <c r="H213" i="20" s="1"/>
  <c r="Z212" i="20"/>
  <c r="H212" i="20" s="1"/>
  <c r="Z211" i="20"/>
  <c r="H211" i="20" s="1"/>
  <c r="Z210" i="20"/>
  <c r="H210" i="20" s="1"/>
  <c r="Z208" i="20"/>
  <c r="H208" i="20" s="1"/>
  <c r="Z207" i="20"/>
  <c r="H207" i="20" s="1"/>
  <c r="Z206" i="20"/>
  <c r="H206" i="20" s="1"/>
  <c r="Z205" i="20"/>
  <c r="H205" i="20" s="1"/>
  <c r="Z203" i="20"/>
  <c r="H203" i="20" s="1"/>
  <c r="Z202" i="20"/>
  <c r="H202" i="20" s="1"/>
  <c r="Z201" i="20"/>
  <c r="H201" i="20" s="1"/>
  <c r="Z200" i="20"/>
  <c r="H200" i="20" s="1"/>
  <c r="Z199" i="20"/>
  <c r="H199" i="20" s="1"/>
  <c r="Z198" i="20"/>
  <c r="H198" i="20" s="1"/>
  <c r="Z197" i="20"/>
  <c r="H197" i="20" s="1"/>
  <c r="Z196" i="20"/>
  <c r="H196" i="20" s="1"/>
  <c r="Z195" i="20"/>
  <c r="H195" i="20" s="1"/>
  <c r="Z163" i="20"/>
  <c r="H163" i="20" s="1"/>
  <c r="Z162" i="20"/>
  <c r="H162" i="20" s="1"/>
  <c r="Z161" i="20"/>
  <c r="H161" i="20" s="1"/>
  <c r="Z159" i="20"/>
  <c r="H159" i="20" s="1"/>
  <c r="Z158" i="20"/>
  <c r="H158" i="20" s="1"/>
  <c r="Z157" i="20"/>
  <c r="H157" i="20" s="1"/>
  <c r="Z156" i="20"/>
  <c r="H156" i="20" s="1"/>
  <c r="Z155" i="20"/>
  <c r="H155" i="20" s="1"/>
  <c r="Z154" i="20"/>
  <c r="H154" i="20" s="1"/>
  <c r="Z153" i="20"/>
  <c r="H153" i="20" s="1"/>
  <c r="Z152" i="20"/>
  <c r="H152" i="20" s="1"/>
  <c r="Z151" i="20"/>
  <c r="H151" i="20" s="1"/>
  <c r="Z150" i="20"/>
  <c r="H150" i="20" s="1"/>
  <c r="Z149" i="20"/>
  <c r="H149" i="20" s="1"/>
  <c r="Z148" i="20"/>
  <c r="H148" i="20" s="1"/>
  <c r="Z147" i="20"/>
  <c r="H147" i="20" s="1"/>
  <c r="Z146" i="20"/>
  <c r="H146" i="20" s="1"/>
  <c r="Z145" i="20"/>
  <c r="H145" i="20" s="1"/>
  <c r="Z143" i="20"/>
  <c r="H143" i="20" s="1"/>
  <c r="Z142" i="20"/>
  <c r="H142" i="20" s="1"/>
  <c r="Z141" i="20"/>
  <c r="H141" i="20" s="1"/>
  <c r="Z139" i="20"/>
  <c r="H139" i="20" s="1"/>
  <c r="Z138" i="20"/>
  <c r="H138" i="20" s="1"/>
  <c r="Z137" i="20"/>
  <c r="H137" i="20" s="1"/>
  <c r="Z136" i="20"/>
  <c r="H136" i="20" s="1"/>
  <c r="Z135" i="20"/>
  <c r="H135" i="20" s="1"/>
  <c r="Z134" i="20"/>
  <c r="H134" i="20" s="1"/>
  <c r="Z133" i="20"/>
  <c r="H133" i="20" s="1"/>
  <c r="Z131" i="20"/>
  <c r="H131" i="20" s="1"/>
  <c r="Z130" i="20"/>
  <c r="H130" i="20" s="1"/>
  <c r="Z129" i="20"/>
  <c r="H129" i="20" s="1"/>
  <c r="Z128" i="20"/>
  <c r="H128" i="20" s="1"/>
  <c r="Z127" i="20"/>
  <c r="H127" i="20" s="1"/>
  <c r="Z126" i="20"/>
  <c r="H126" i="20" s="1"/>
  <c r="Z125" i="20"/>
  <c r="H125" i="20" s="1"/>
  <c r="Z124" i="20"/>
  <c r="H124" i="20" s="1"/>
  <c r="Z123" i="20"/>
  <c r="H123" i="20" s="1"/>
  <c r="Z121" i="20"/>
  <c r="H121" i="20" s="1"/>
  <c r="Z120" i="20"/>
  <c r="H120" i="20" s="1"/>
  <c r="Z119" i="20"/>
  <c r="H119" i="20" s="1"/>
  <c r="Z118" i="20"/>
  <c r="H118" i="20" s="1"/>
  <c r="Z116" i="20"/>
  <c r="H116" i="20" s="1"/>
  <c r="Z115" i="20"/>
  <c r="H115" i="20" s="1"/>
  <c r="Z113" i="20"/>
  <c r="H113" i="20" s="1"/>
  <c r="Z112" i="20"/>
  <c r="H112" i="20" s="1"/>
  <c r="Z111" i="20"/>
  <c r="H111" i="20" s="1"/>
  <c r="Z110" i="20"/>
  <c r="H110" i="20" s="1"/>
  <c r="Z109" i="20"/>
  <c r="H109" i="20" s="1"/>
  <c r="Z108" i="20"/>
  <c r="H108" i="20" s="1"/>
  <c r="Z107" i="20"/>
  <c r="H107" i="20" s="1"/>
  <c r="Z106" i="20"/>
  <c r="H106" i="20" s="1"/>
  <c r="Z105" i="20"/>
  <c r="H105" i="20" s="1"/>
  <c r="Z104" i="20"/>
  <c r="H104" i="20" s="1"/>
  <c r="Z103" i="20"/>
  <c r="H103" i="20" s="1"/>
  <c r="Z102" i="20"/>
  <c r="H102" i="20" s="1"/>
  <c r="Z101" i="20"/>
  <c r="H101" i="20" s="1"/>
  <c r="Z100" i="20"/>
  <c r="H100" i="20" s="1"/>
  <c r="Z98" i="20"/>
  <c r="H98" i="20" s="1"/>
  <c r="Z97" i="20"/>
  <c r="H97" i="20" s="1"/>
  <c r="Z96" i="20"/>
  <c r="H96" i="20" s="1"/>
  <c r="Z94" i="20"/>
  <c r="H94" i="20" s="1"/>
  <c r="Z93" i="20"/>
  <c r="H93" i="20" s="1"/>
  <c r="Z92" i="20"/>
  <c r="H92" i="20" s="1"/>
  <c r="Z91" i="20"/>
  <c r="H91" i="20" s="1"/>
  <c r="Z90" i="20"/>
  <c r="H90" i="20" s="1"/>
  <c r="Z89" i="20"/>
  <c r="H89" i="20" s="1"/>
  <c r="Z88" i="20"/>
  <c r="H88" i="20" s="1"/>
  <c r="Z87" i="20"/>
  <c r="H87" i="20" s="1"/>
  <c r="Z86" i="20"/>
  <c r="H86" i="20" s="1"/>
  <c r="Z85" i="20"/>
  <c r="H85" i="20" s="1"/>
  <c r="Z84" i="20"/>
  <c r="H84" i="20" s="1"/>
  <c r="Z83" i="20"/>
  <c r="H83" i="20" s="1"/>
  <c r="Z82" i="20"/>
  <c r="H82" i="20" s="1"/>
  <c r="Z81" i="20"/>
  <c r="H81" i="20" s="1"/>
  <c r="Z80" i="20"/>
  <c r="H80" i="20" s="1"/>
  <c r="Z79" i="20"/>
  <c r="H79" i="20" s="1"/>
  <c r="Z78" i="20"/>
  <c r="H78" i="20" s="1"/>
  <c r="Z77" i="20"/>
  <c r="H77" i="20" s="1"/>
  <c r="Z76" i="20"/>
  <c r="H76" i="20" s="1"/>
  <c r="Z75" i="20"/>
  <c r="H75" i="20" s="1"/>
  <c r="Z74" i="20"/>
  <c r="H74" i="20" s="1"/>
  <c r="Z73" i="20"/>
  <c r="H73" i="20" s="1"/>
  <c r="Z72" i="20"/>
  <c r="H72" i="20" s="1"/>
  <c r="Z71" i="20"/>
  <c r="H71" i="20" s="1"/>
  <c r="Z70" i="20"/>
  <c r="H70" i="20" s="1"/>
  <c r="Z69" i="20"/>
  <c r="H69" i="20" s="1"/>
  <c r="Z68" i="20"/>
  <c r="H68" i="20" s="1"/>
  <c r="Z67" i="20"/>
  <c r="H67" i="20" s="1"/>
  <c r="Z66" i="20"/>
  <c r="H66" i="20" s="1"/>
  <c r="Z65" i="20"/>
  <c r="H65" i="20" s="1"/>
  <c r="Z64" i="20"/>
  <c r="H64" i="20" s="1"/>
  <c r="Z63" i="20"/>
  <c r="H63" i="20" s="1"/>
  <c r="Z62" i="20"/>
  <c r="H62" i="20" s="1"/>
  <c r="Z60" i="20"/>
  <c r="H60" i="20" s="1"/>
  <c r="Z59" i="20"/>
  <c r="H59" i="20" s="1"/>
  <c r="Z58" i="20"/>
  <c r="H58" i="20" s="1"/>
  <c r="Z57" i="20"/>
  <c r="H57" i="20" s="1"/>
  <c r="Z55" i="20"/>
  <c r="H55" i="20" s="1"/>
  <c r="Z54" i="20"/>
  <c r="H54" i="20" s="1"/>
  <c r="Z53" i="20"/>
  <c r="H53" i="20" s="1"/>
  <c r="Z52" i="20"/>
  <c r="H52" i="20" s="1"/>
  <c r="Z51" i="20"/>
  <c r="H51" i="20" s="1"/>
  <c r="Z50" i="20"/>
  <c r="H50" i="20" s="1"/>
  <c r="Z49" i="20"/>
  <c r="H49" i="20" s="1"/>
  <c r="Z48" i="20"/>
  <c r="H48" i="20" s="1"/>
  <c r="Z47" i="20"/>
  <c r="H47" i="20" s="1"/>
  <c r="F137" i="27"/>
  <c r="E136" i="27"/>
  <c r="F114" i="27"/>
  <c r="F113" i="27"/>
  <c r="E113" i="27"/>
  <c r="S131" i="27"/>
  <c r="S130" i="27"/>
  <c r="R130" i="27"/>
  <c r="S114" i="27"/>
  <c r="S113" i="27"/>
  <c r="R113" i="27"/>
  <c r="P2503" i="33" a="1"/>
  <c r="P2503" i="33" l="1"/>
  <c r="E83" i="7"/>
  <c r="D83" i="7"/>
  <c r="B83" i="7"/>
  <c r="E82" i="7"/>
  <c r="D82" i="7"/>
  <c r="B82" i="7"/>
  <c r="E81" i="7"/>
  <c r="D81" i="7"/>
  <c r="B81" i="7"/>
  <c r="E80" i="7"/>
  <c r="D80" i="7"/>
  <c r="B80" i="7"/>
  <c r="E79" i="7"/>
  <c r="D79" i="7"/>
  <c r="B79" i="7"/>
  <c r="L887" i="1"/>
  <c r="S887" i="1" s="1"/>
  <c r="H79" i="7"/>
  <c r="L888" i="1"/>
  <c r="S888" i="1" s="1"/>
  <c r="H80" i="7"/>
  <c r="L889" i="1"/>
  <c r="S889" i="1" s="1"/>
  <c r="H81" i="7"/>
  <c r="L890" i="1"/>
  <c r="S890" i="1" s="1"/>
  <c r="H82" i="7"/>
  <c r="L891" i="1"/>
  <c r="S891" i="1" s="1"/>
  <c r="H83" i="7"/>
  <c r="F40" i="19"/>
  <c r="F46" i="19"/>
  <c r="F49" i="19"/>
  <c r="F50" i="19"/>
  <c r="F41" i="19"/>
  <c r="F39" i="19"/>
  <c r="F37" i="19"/>
  <c r="F33" i="19"/>
  <c r="H19" i="10" s="1"/>
  <c r="H456" i="1"/>
  <c r="P5" i="40" a="1"/>
  <c r="Q83" i="7" l="1"/>
  <c r="T83" i="7"/>
  <c r="S83" i="7"/>
  <c r="Q80" i="7"/>
  <c r="T80" i="7"/>
  <c r="S80" i="7"/>
  <c r="Q81" i="7"/>
  <c r="T81" i="7"/>
  <c r="S81" i="7"/>
  <c r="Q79" i="7"/>
  <c r="T79" i="7"/>
  <c r="S79" i="7"/>
  <c r="Q82" i="7"/>
  <c r="T82" i="7"/>
  <c r="S82" i="7"/>
  <c r="L2505" i="33"/>
  <c r="M2504" i="33"/>
  <c r="P5" i="40"/>
  <c r="G80" i="7"/>
  <c r="G83" i="7"/>
  <c r="G79" i="7"/>
  <c r="G82" i="7"/>
  <c r="G81" i="7"/>
  <c r="J19" i="10"/>
  <c r="F79" i="7"/>
  <c r="F80" i="7"/>
  <c r="R80" i="7" s="1"/>
  <c r="F81" i="7"/>
  <c r="F83" i="7"/>
  <c r="R83" i="7" s="1"/>
  <c r="F82" i="7"/>
  <c r="F38" i="19"/>
  <c r="H22" i="10" s="1"/>
  <c r="F35" i="19"/>
  <c r="H21" i="10" s="1"/>
  <c r="P2504" i="33" a="1"/>
  <c r="P7" i="40" a="1"/>
  <c r="P8" i="40" a="1"/>
  <c r="U5" i="40" a="1"/>
  <c r="R79" i="7" l="1"/>
  <c r="R81" i="7"/>
  <c r="R82" i="7"/>
  <c r="P2504" i="33"/>
  <c r="L2506" i="33"/>
  <c r="M2505" i="33"/>
  <c r="P8" i="40"/>
  <c r="U5" i="40"/>
  <c r="P7" i="40"/>
  <c r="L19" i="10"/>
  <c r="J22" i="10"/>
  <c r="J21" i="10"/>
  <c r="N887" i="1"/>
  <c r="N889" i="1"/>
  <c r="N888" i="1"/>
  <c r="N891" i="1"/>
  <c r="N890" i="1"/>
  <c r="F149" i="26"/>
  <c r="E149" i="26"/>
  <c r="F148" i="26"/>
  <c r="E148" i="26"/>
  <c r="F147" i="26"/>
  <c r="E147" i="26"/>
  <c r="F144" i="26"/>
  <c r="E144" i="26"/>
  <c r="F143" i="26"/>
  <c r="E143" i="26"/>
  <c r="F141" i="26"/>
  <c r="E141" i="26"/>
  <c r="F140" i="26"/>
  <c r="E140" i="26"/>
  <c r="F138" i="26"/>
  <c r="E138" i="26"/>
  <c r="F137" i="26"/>
  <c r="E137" i="26"/>
  <c r="F136" i="26"/>
  <c r="E136" i="26"/>
  <c r="F134" i="26"/>
  <c r="E134" i="26"/>
  <c r="F132" i="26"/>
  <c r="E132" i="26"/>
  <c r="F131" i="26"/>
  <c r="E131" i="26"/>
  <c r="U7" i="40" a="1"/>
  <c r="U8" i="40" a="1"/>
  <c r="Z5" i="40" a="1"/>
  <c r="P2505" i="33" a="1"/>
  <c r="D153" i="26" l="1"/>
  <c r="G158" i="26" s="1"/>
  <c r="D152" i="26"/>
  <c r="D154" i="26"/>
  <c r="P2505" i="33"/>
  <c r="L2507" i="33"/>
  <c r="M2506" i="33"/>
  <c r="U8" i="40"/>
  <c r="U7" i="40"/>
  <c r="Z5" i="40"/>
  <c r="L22" i="10"/>
  <c r="L21" i="10"/>
  <c r="N19" i="10"/>
  <c r="Z8" i="40" a="1"/>
  <c r="Z7" i="40" a="1"/>
  <c r="AE5" i="40" a="1"/>
  <c r="P2506" i="33" a="1"/>
  <c r="F158" i="26" l="1"/>
  <c r="E158" i="26"/>
  <c r="D158" i="26"/>
  <c r="G159" i="26"/>
  <c r="F159" i="26"/>
  <c r="D159" i="26"/>
  <c r="E159" i="26"/>
  <c r="F157" i="26"/>
  <c r="D157" i="26"/>
  <c r="G157" i="26"/>
  <c r="E157" i="26"/>
  <c r="P2506" i="33"/>
  <c r="L2508" i="33"/>
  <c r="M2507" i="33"/>
  <c r="AE5" i="40"/>
  <c r="Z7" i="40"/>
  <c r="Z8" i="40"/>
  <c r="N21" i="10"/>
  <c r="N22" i="10"/>
  <c r="AE8" i="40" a="1"/>
  <c r="P2507" i="33" a="1"/>
  <c r="AE7" i="40" a="1"/>
  <c r="F160" i="26" l="1"/>
  <c r="G160" i="26"/>
  <c r="D160" i="26"/>
  <c r="E160" i="26"/>
  <c r="P2507" i="33"/>
  <c r="L2509" i="33"/>
  <c r="M2508" i="33"/>
  <c r="AE8" i="40"/>
  <c r="AE7" i="40"/>
  <c r="P2508" i="33" a="1"/>
  <c r="P2508" i="33" l="1"/>
  <c r="L2510" i="33"/>
  <c r="M2509" i="33"/>
  <c r="P2509" i="33" a="1"/>
  <c r="P2509" i="33" l="1"/>
  <c r="L2511" i="33"/>
  <c r="L2512" i="33" s="1"/>
  <c r="M2510" i="33"/>
  <c r="P2510" i="33" a="1"/>
  <c r="P2510" i="33" l="1"/>
  <c r="M2511" i="33"/>
  <c r="P2511" i="33" a="1"/>
  <c r="P2511" i="33" l="1"/>
  <c r="L2513" i="33" l="1"/>
  <c r="M2512" i="33"/>
  <c r="P2512" i="33" a="1"/>
  <c r="P2512" i="33" l="1"/>
  <c r="L2514" i="33"/>
  <c r="M2513" i="33"/>
  <c r="P2513" i="33" a="1"/>
  <c r="P2513" i="33" l="1"/>
  <c r="L2515" i="33"/>
  <c r="M2514" i="33"/>
  <c r="P2514" i="33" a="1"/>
  <c r="P2514" i="33" l="1"/>
  <c r="L2516" i="33"/>
  <c r="M2515" i="33"/>
  <c r="P2515" i="33" a="1"/>
  <c r="P2515" i="33" l="1"/>
  <c r="L2517" i="33"/>
  <c r="M2516" i="33"/>
  <c r="P2516" i="33" a="1"/>
  <c r="P2516" i="33" l="1"/>
  <c r="L2518" i="33"/>
  <c r="M2517" i="33"/>
  <c r="I5" i="32"/>
  <c r="I6" i="32"/>
  <c r="I7" i="32"/>
  <c r="I8" i="32"/>
  <c r="I9" i="32"/>
  <c r="I10" i="32"/>
  <c r="I11" i="32"/>
  <c r="I12" i="32"/>
  <c r="I13" i="32"/>
  <c r="I14" i="32"/>
  <c r="I15" i="32"/>
  <c r="I16" i="32"/>
  <c r="I17" i="32"/>
  <c r="I18" i="32"/>
  <c r="I19" i="32"/>
  <c r="I20" i="32"/>
  <c r="I21" i="32"/>
  <c r="I22" i="32"/>
  <c r="I23" i="32"/>
  <c r="I24" i="32"/>
  <c r="I25" i="32"/>
  <c r="I26" i="32"/>
  <c r="I27" i="32"/>
  <c r="I28" i="32"/>
  <c r="I29" i="32"/>
  <c r="I30" i="32"/>
  <c r="I31" i="32"/>
  <c r="I32" i="32"/>
  <c r="I33" i="32"/>
  <c r="I34" i="32"/>
  <c r="I35" i="32"/>
  <c r="I36" i="32"/>
  <c r="I37" i="32"/>
  <c r="I38" i="32"/>
  <c r="I39" i="32"/>
  <c r="I40" i="32"/>
  <c r="I41" i="32"/>
  <c r="I42" i="32"/>
  <c r="I43" i="32"/>
  <c r="I44" i="32"/>
  <c r="I45" i="32"/>
  <c r="I46" i="32"/>
  <c r="I47" i="32"/>
  <c r="I48" i="32"/>
  <c r="I49" i="32"/>
  <c r="I50" i="32"/>
  <c r="I51" i="32"/>
  <c r="I52" i="32"/>
  <c r="I53" i="32"/>
  <c r="I54" i="32"/>
  <c r="I55" i="32"/>
  <c r="I56" i="32"/>
  <c r="I57" i="32"/>
  <c r="I58" i="32"/>
  <c r="I59" i="32"/>
  <c r="I60" i="32"/>
  <c r="I61" i="32"/>
  <c r="I62" i="32"/>
  <c r="I63" i="32"/>
  <c r="I64" i="32"/>
  <c r="I65" i="32"/>
  <c r="I66" i="32"/>
  <c r="I67" i="32"/>
  <c r="I68" i="32"/>
  <c r="I69" i="32"/>
  <c r="I70" i="32"/>
  <c r="I71" i="32"/>
  <c r="I72" i="32"/>
  <c r="I73" i="32"/>
  <c r="I74" i="32"/>
  <c r="I75" i="32"/>
  <c r="I76" i="32"/>
  <c r="I77" i="32"/>
  <c r="I78" i="32"/>
  <c r="I79" i="32"/>
  <c r="I80" i="32"/>
  <c r="I81" i="32"/>
  <c r="I82" i="32"/>
  <c r="I83" i="32"/>
  <c r="I84" i="32"/>
  <c r="I85" i="32"/>
  <c r="I86" i="32"/>
  <c r="I87" i="32"/>
  <c r="I88" i="32"/>
  <c r="I89" i="32"/>
  <c r="I90" i="32"/>
  <c r="I91" i="32"/>
  <c r="I92" i="32"/>
  <c r="I93" i="32"/>
  <c r="I94" i="32"/>
  <c r="I95" i="32"/>
  <c r="I96" i="32"/>
  <c r="I97" i="32"/>
  <c r="I98" i="32"/>
  <c r="I99" i="32"/>
  <c r="I100" i="32"/>
  <c r="I101" i="32"/>
  <c r="I102" i="32"/>
  <c r="I103" i="32"/>
  <c r="I104" i="32"/>
  <c r="I105" i="32"/>
  <c r="I106" i="32"/>
  <c r="I107" i="32"/>
  <c r="I108" i="32"/>
  <c r="I109" i="32"/>
  <c r="I110" i="32"/>
  <c r="I111" i="32"/>
  <c r="I112" i="32"/>
  <c r="I113" i="32"/>
  <c r="I114" i="32"/>
  <c r="I115" i="32"/>
  <c r="I116" i="32"/>
  <c r="I117" i="32"/>
  <c r="I118" i="32"/>
  <c r="I119" i="32"/>
  <c r="I120" i="32"/>
  <c r="I121" i="32"/>
  <c r="I122" i="32"/>
  <c r="I123" i="32"/>
  <c r="I124" i="32"/>
  <c r="I125" i="32"/>
  <c r="I126" i="32"/>
  <c r="I127" i="32"/>
  <c r="I128" i="32"/>
  <c r="I129" i="32"/>
  <c r="I130" i="32"/>
  <c r="I131" i="32"/>
  <c r="I132" i="32"/>
  <c r="I133" i="32"/>
  <c r="I134" i="32"/>
  <c r="I135" i="32"/>
  <c r="I136" i="32"/>
  <c r="I137" i="32"/>
  <c r="I138" i="32"/>
  <c r="I139" i="32"/>
  <c r="I140" i="32"/>
  <c r="I141" i="32"/>
  <c r="I142" i="32"/>
  <c r="I143" i="32"/>
  <c r="I144" i="32"/>
  <c r="I145" i="32"/>
  <c r="I146" i="32"/>
  <c r="I147" i="32"/>
  <c r="I148" i="32"/>
  <c r="I149" i="32"/>
  <c r="I150" i="32"/>
  <c r="I151" i="32"/>
  <c r="I152" i="32"/>
  <c r="I153" i="32"/>
  <c r="I154" i="32"/>
  <c r="I155" i="32"/>
  <c r="I156" i="32"/>
  <c r="I157" i="32"/>
  <c r="I158" i="32"/>
  <c r="I159" i="32"/>
  <c r="I160" i="32"/>
  <c r="I161" i="32"/>
  <c r="I162" i="32"/>
  <c r="I163" i="32"/>
  <c r="I164" i="32"/>
  <c r="I165" i="32"/>
  <c r="I166" i="32"/>
  <c r="I167" i="32"/>
  <c r="I168" i="32"/>
  <c r="I169" i="32"/>
  <c r="I170" i="32"/>
  <c r="I171" i="32"/>
  <c r="I172" i="32"/>
  <c r="I173" i="32"/>
  <c r="I174" i="32"/>
  <c r="I175" i="32"/>
  <c r="I176" i="32"/>
  <c r="I177" i="32"/>
  <c r="I178" i="32"/>
  <c r="I179" i="32"/>
  <c r="I180" i="32"/>
  <c r="I181" i="32"/>
  <c r="I182" i="32"/>
  <c r="I183" i="32"/>
  <c r="I184" i="32"/>
  <c r="I185" i="32"/>
  <c r="I186" i="32"/>
  <c r="I187" i="32"/>
  <c r="I188" i="32"/>
  <c r="I189" i="32"/>
  <c r="I190" i="32"/>
  <c r="I191" i="32"/>
  <c r="I192" i="32"/>
  <c r="I193" i="32"/>
  <c r="I194" i="32"/>
  <c r="I195" i="32"/>
  <c r="I196" i="32"/>
  <c r="I197" i="32"/>
  <c r="I198" i="32"/>
  <c r="I199" i="32"/>
  <c r="I200" i="32"/>
  <c r="I201" i="32"/>
  <c r="I202" i="32"/>
  <c r="I203" i="32"/>
  <c r="I204" i="32"/>
  <c r="I205" i="32"/>
  <c r="I206" i="32"/>
  <c r="I207" i="32"/>
  <c r="I208" i="32"/>
  <c r="I209" i="32"/>
  <c r="I210" i="32"/>
  <c r="I211" i="32"/>
  <c r="I212" i="32"/>
  <c r="I213" i="32"/>
  <c r="I214" i="32"/>
  <c r="I215" i="32"/>
  <c r="I216" i="32"/>
  <c r="I217" i="32"/>
  <c r="I218" i="32"/>
  <c r="I219" i="32"/>
  <c r="I220" i="32"/>
  <c r="I221" i="32"/>
  <c r="I222" i="32"/>
  <c r="I223" i="32"/>
  <c r="I224" i="32"/>
  <c r="I225" i="32"/>
  <c r="I226" i="32"/>
  <c r="I227" i="32"/>
  <c r="I228" i="32"/>
  <c r="I229" i="32"/>
  <c r="I230" i="32"/>
  <c r="I231" i="32"/>
  <c r="I232" i="32"/>
  <c r="I233" i="32"/>
  <c r="I234" i="32"/>
  <c r="I235" i="32"/>
  <c r="I236" i="32"/>
  <c r="I237" i="32"/>
  <c r="I238" i="32"/>
  <c r="I239" i="32"/>
  <c r="I240" i="32"/>
  <c r="I241" i="32"/>
  <c r="I242" i="32"/>
  <c r="I243" i="32"/>
  <c r="I244" i="32"/>
  <c r="I245" i="32"/>
  <c r="I246" i="32"/>
  <c r="I247" i="32"/>
  <c r="I248" i="32"/>
  <c r="I249" i="32"/>
  <c r="I250" i="32"/>
  <c r="I251" i="32"/>
  <c r="I252" i="32"/>
  <c r="I253" i="32"/>
  <c r="I254" i="32"/>
  <c r="I255" i="32"/>
  <c r="I256" i="32"/>
  <c r="I257" i="32"/>
  <c r="I258" i="32"/>
  <c r="I259" i="32"/>
  <c r="I260" i="32"/>
  <c r="I261" i="32"/>
  <c r="I262" i="32"/>
  <c r="I263" i="32"/>
  <c r="I264" i="32"/>
  <c r="I265" i="32"/>
  <c r="I266" i="32"/>
  <c r="I267" i="32"/>
  <c r="I268" i="32"/>
  <c r="I269" i="32"/>
  <c r="I270" i="32"/>
  <c r="I271" i="32"/>
  <c r="I272" i="32"/>
  <c r="I273" i="32"/>
  <c r="I274" i="32"/>
  <c r="I275" i="32"/>
  <c r="I276" i="32"/>
  <c r="I277" i="32"/>
  <c r="I278" i="32"/>
  <c r="I279" i="32"/>
  <c r="I280" i="32"/>
  <c r="I281" i="32"/>
  <c r="I282" i="32"/>
  <c r="I283" i="32"/>
  <c r="I284" i="32"/>
  <c r="I285" i="32"/>
  <c r="I286" i="32"/>
  <c r="I287" i="32"/>
  <c r="I288" i="32"/>
  <c r="I289" i="32"/>
  <c r="I290" i="32"/>
  <c r="I291" i="32"/>
  <c r="I292" i="32"/>
  <c r="I293" i="32"/>
  <c r="I294" i="32"/>
  <c r="I295" i="32"/>
  <c r="I296" i="32"/>
  <c r="I297" i="32"/>
  <c r="I298" i="32"/>
  <c r="I299" i="32"/>
  <c r="I300" i="32"/>
  <c r="I301" i="32"/>
  <c r="I302" i="32"/>
  <c r="I303" i="32"/>
  <c r="I304" i="32"/>
  <c r="I305" i="32"/>
  <c r="I306" i="32"/>
  <c r="I307" i="32"/>
  <c r="I308" i="32"/>
  <c r="I309" i="32"/>
  <c r="I310" i="32"/>
  <c r="I311" i="32"/>
  <c r="I312" i="32"/>
  <c r="I313" i="32"/>
  <c r="I314" i="32"/>
  <c r="I315" i="32"/>
  <c r="I316" i="32"/>
  <c r="I317" i="32"/>
  <c r="I318" i="32"/>
  <c r="I319" i="32"/>
  <c r="I320" i="32"/>
  <c r="I321" i="32"/>
  <c r="I322" i="32"/>
  <c r="I323" i="32"/>
  <c r="I324" i="32"/>
  <c r="I325" i="32"/>
  <c r="I326" i="32"/>
  <c r="I327" i="32"/>
  <c r="I328" i="32"/>
  <c r="I329" i="32"/>
  <c r="I330" i="32"/>
  <c r="I331" i="32"/>
  <c r="I332" i="32"/>
  <c r="I333" i="32"/>
  <c r="I334" i="32"/>
  <c r="I335" i="32"/>
  <c r="I336" i="32"/>
  <c r="I337" i="32"/>
  <c r="I338" i="32"/>
  <c r="I339" i="32"/>
  <c r="I340" i="32"/>
  <c r="I341" i="32"/>
  <c r="I342" i="32"/>
  <c r="I343" i="32"/>
  <c r="I344" i="32"/>
  <c r="I345" i="32"/>
  <c r="I346" i="32"/>
  <c r="I347" i="32"/>
  <c r="I348" i="32"/>
  <c r="I349" i="32"/>
  <c r="I350" i="32"/>
  <c r="I351" i="32"/>
  <c r="I352" i="32"/>
  <c r="I353" i="32"/>
  <c r="I354" i="32"/>
  <c r="I355" i="32"/>
  <c r="I356" i="32"/>
  <c r="I357" i="32"/>
  <c r="I358" i="32"/>
  <c r="I359" i="32"/>
  <c r="I360" i="32"/>
  <c r="I361" i="32"/>
  <c r="I362" i="32"/>
  <c r="I363" i="32"/>
  <c r="I364" i="32"/>
  <c r="I365" i="32"/>
  <c r="I366" i="32"/>
  <c r="I367" i="32"/>
  <c r="I368" i="32"/>
  <c r="I369" i="32"/>
  <c r="I370" i="32"/>
  <c r="I371" i="32"/>
  <c r="I372" i="32"/>
  <c r="I373" i="32"/>
  <c r="I374" i="32"/>
  <c r="I375" i="32"/>
  <c r="I376" i="32"/>
  <c r="I377" i="32"/>
  <c r="I378" i="32"/>
  <c r="I379" i="32"/>
  <c r="I380" i="32"/>
  <c r="I381" i="32"/>
  <c r="I382" i="32"/>
  <c r="I383" i="32"/>
  <c r="I384" i="32"/>
  <c r="I385" i="32"/>
  <c r="I386" i="32"/>
  <c r="I387" i="32"/>
  <c r="I388" i="32"/>
  <c r="I389" i="32"/>
  <c r="I390" i="32"/>
  <c r="I391" i="32"/>
  <c r="I392" i="32"/>
  <c r="I393" i="32"/>
  <c r="I394" i="32"/>
  <c r="I395" i="32"/>
  <c r="I396" i="32"/>
  <c r="I397" i="32"/>
  <c r="I398" i="32"/>
  <c r="I399" i="32"/>
  <c r="I400" i="32"/>
  <c r="I401" i="32"/>
  <c r="I402" i="32"/>
  <c r="I403" i="32"/>
  <c r="I404" i="32"/>
  <c r="I405" i="32"/>
  <c r="I406" i="32"/>
  <c r="I407" i="32"/>
  <c r="I408" i="32"/>
  <c r="I409" i="32"/>
  <c r="I410" i="32"/>
  <c r="I411" i="32"/>
  <c r="I412" i="32"/>
  <c r="I413" i="32"/>
  <c r="I414" i="32"/>
  <c r="I415" i="32"/>
  <c r="I416" i="32"/>
  <c r="I417" i="32"/>
  <c r="I418" i="32"/>
  <c r="I419" i="32"/>
  <c r="I420" i="32"/>
  <c r="I421" i="32"/>
  <c r="I422" i="32"/>
  <c r="I423" i="32"/>
  <c r="I424" i="32"/>
  <c r="I425" i="32"/>
  <c r="I426" i="32"/>
  <c r="I427" i="32"/>
  <c r="I428" i="32"/>
  <c r="I429" i="32"/>
  <c r="I430" i="32"/>
  <c r="I431" i="32"/>
  <c r="I432" i="32"/>
  <c r="I433" i="32"/>
  <c r="I434" i="32"/>
  <c r="I435" i="32"/>
  <c r="I436" i="32"/>
  <c r="I437" i="32"/>
  <c r="I438" i="32"/>
  <c r="I439" i="32"/>
  <c r="I440" i="32"/>
  <c r="I441" i="32"/>
  <c r="I442" i="32"/>
  <c r="I443" i="32"/>
  <c r="I444" i="32"/>
  <c r="I445" i="32"/>
  <c r="I446" i="32"/>
  <c r="I447" i="32"/>
  <c r="I448" i="32"/>
  <c r="I449" i="32"/>
  <c r="I450" i="32"/>
  <c r="I451" i="32"/>
  <c r="I452" i="32"/>
  <c r="I453" i="32"/>
  <c r="I454" i="32"/>
  <c r="I455" i="32"/>
  <c r="I456" i="32"/>
  <c r="I457" i="32"/>
  <c r="I458" i="32"/>
  <c r="I459" i="32"/>
  <c r="I460" i="32"/>
  <c r="I461" i="32"/>
  <c r="I462" i="32"/>
  <c r="I463" i="32"/>
  <c r="I464" i="32"/>
  <c r="I465" i="32"/>
  <c r="I466" i="32"/>
  <c r="I467" i="32"/>
  <c r="I468" i="32"/>
  <c r="I469" i="32"/>
  <c r="I470" i="32"/>
  <c r="I471" i="32"/>
  <c r="I472" i="32"/>
  <c r="I473" i="32"/>
  <c r="I474" i="32"/>
  <c r="I475" i="32"/>
  <c r="I476" i="32"/>
  <c r="I477" i="32"/>
  <c r="I478" i="32"/>
  <c r="I479" i="32"/>
  <c r="I480" i="32"/>
  <c r="I481" i="32"/>
  <c r="I482" i="32"/>
  <c r="I483" i="32"/>
  <c r="I484" i="32"/>
  <c r="I485" i="32"/>
  <c r="I486" i="32"/>
  <c r="I487" i="32"/>
  <c r="I488" i="32"/>
  <c r="I489" i="32"/>
  <c r="I490" i="32"/>
  <c r="I491" i="32"/>
  <c r="I492" i="32"/>
  <c r="I493" i="32"/>
  <c r="I494" i="32"/>
  <c r="I495" i="32"/>
  <c r="I496" i="32"/>
  <c r="I497" i="32"/>
  <c r="I498" i="32"/>
  <c r="I499" i="32"/>
  <c r="I500" i="32"/>
  <c r="I501" i="32"/>
  <c r="I502" i="32"/>
  <c r="I503" i="32"/>
  <c r="I504" i="32"/>
  <c r="I505" i="32"/>
  <c r="I506" i="32"/>
  <c r="I507" i="32"/>
  <c r="I508" i="32"/>
  <c r="I509" i="32"/>
  <c r="I510" i="32"/>
  <c r="I511" i="32"/>
  <c r="I512" i="32"/>
  <c r="I513" i="32"/>
  <c r="I514" i="32"/>
  <c r="I515" i="32"/>
  <c r="I516" i="32"/>
  <c r="I517" i="32"/>
  <c r="I518" i="32"/>
  <c r="I519" i="32"/>
  <c r="I520" i="32"/>
  <c r="I521" i="32"/>
  <c r="I522" i="32"/>
  <c r="I523" i="32"/>
  <c r="I524" i="32"/>
  <c r="I525" i="32"/>
  <c r="I526" i="32"/>
  <c r="I527" i="32"/>
  <c r="I528" i="32"/>
  <c r="I529" i="32"/>
  <c r="I530" i="32"/>
  <c r="I531" i="32"/>
  <c r="I532" i="32"/>
  <c r="I533" i="32"/>
  <c r="I534" i="32"/>
  <c r="I535" i="32"/>
  <c r="I536" i="32"/>
  <c r="I537" i="32"/>
  <c r="I538" i="32"/>
  <c r="I539" i="32"/>
  <c r="I540" i="32"/>
  <c r="I541" i="32"/>
  <c r="I542" i="32"/>
  <c r="I543" i="32"/>
  <c r="I544" i="32"/>
  <c r="I545" i="32"/>
  <c r="I546" i="32"/>
  <c r="I547" i="32"/>
  <c r="I548" i="32"/>
  <c r="I549" i="32"/>
  <c r="I550" i="32"/>
  <c r="I551" i="32"/>
  <c r="I552" i="32"/>
  <c r="I553" i="32"/>
  <c r="I554" i="32"/>
  <c r="I555" i="32"/>
  <c r="I556" i="32"/>
  <c r="I557" i="32"/>
  <c r="I558" i="32"/>
  <c r="I559" i="32"/>
  <c r="I560" i="32"/>
  <c r="I561" i="32"/>
  <c r="I562" i="32"/>
  <c r="I563" i="32"/>
  <c r="I564" i="32"/>
  <c r="I565" i="32"/>
  <c r="I566" i="32"/>
  <c r="I567" i="32"/>
  <c r="I568" i="32"/>
  <c r="I569" i="32"/>
  <c r="I570" i="32"/>
  <c r="I571" i="32"/>
  <c r="I572" i="32"/>
  <c r="I573" i="32"/>
  <c r="I574" i="32"/>
  <c r="I575" i="32"/>
  <c r="I576" i="32"/>
  <c r="I577" i="32"/>
  <c r="I578" i="32"/>
  <c r="I579" i="32"/>
  <c r="I580" i="32"/>
  <c r="I581" i="32"/>
  <c r="I582" i="32"/>
  <c r="I583" i="32"/>
  <c r="I584" i="32"/>
  <c r="I585" i="32"/>
  <c r="I586" i="32"/>
  <c r="I587" i="32"/>
  <c r="I588" i="32"/>
  <c r="I589" i="32"/>
  <c r="I590" i="32"/>
  <c r="I591" i="32"/>
  <c r="I592" i="32"/>
  <c r="I593" i="32"/>
  <c r="I594" i="32"/>
  <c r="I595" i="32"/>
  <c r="I596" i="32"/>
  <c r="I597" i="32"/>
  <c r="I598" i="32"/>
  <c r="I599" i="32"/>
  <c r="I600" i="32"/>
  <c r="I601" i="32"/>
  <c r="I602" i="32"/>
  <c r="I603" i="32"/>
  <c r="I604" i="32"/>
  <c r="I605" i="32"/>
  <c r="I606" i="32"/>
  <c r="I607" i="32"/>
  <c r="I608" i="32"/>
  <c r="I609" i="32"/>
  <c r="I610" i="32"/>
  <c r="I611" i="32"/>
  <c r="I612" i="32"/>
  <c r="I613" i="32"/>
  <c r="I614" i="32"/>
  <c r="I615" i="32"/>
  <c r="I616" i="32"/>
  <c r="I617" i="32"/>
  <c r="I618" i="32"/>
  <c r="I619" i="32"/>
  <c r="I620" i="32"/>
  <c r="I621" i="32"/>
  <c r="I622" i="32"/>
  <c r="I623" i="32"/>
  <c r="I624" i="32"/>
  <c r="I625" i="32"/>
  <c r="I626" i="32"/>
  <c r="I627" i="32"/>
  <c r="I628" i="32"/>
  <c r="I629" i="32"/>
  <c r="I630" i="32"/>
  <c r="I631" i="32"/>
  <c r="I632" i="32"/>
  <c r="I633" i="32"/>
  <c r="I634" i="32"/>
  <c r="I635" i="32"/>
  <c r="I636" i="32"/>
  <c r="I637" i="32"/>
  <c r="I638" i="32"/>
  <c r="I639" i="32"/>
  <c r="I640" i="32"/>
  <c r="I641" i="32"/>
  <c r="I642" i="32"/>
  <c r="I643" i="32"/>
  <c r="I644" i="32"/>
  <c r="I645" i="32"/>
  <c r="I646" i="32"/>
  <c r="I647" i="32"/>
  <c r="I648" i="32"/>
  <c r="I649" i="32"/>
  <c r="I650" i="32"/>
  <c r="I651" i="32"/>
  <c r="I652" i="32"/>
  <c r="I653" i="32"/>
  <c r="I654" i="32"/>
  <c r="I655" i="32"/>
  <c r="I656" i="32"/>
  <c r="I657" i="32"/>
  <c r="I658" i="32"/>
  <c r="I659" i="32"/>
  <c r="I660" i="32"/>
  <c r="I661" i="32"/>
  <c r="I662" i="32"/>
  <c r="I663" i="32"/>
  <c r="I664" i="32"/>
  <c r="I665" i="32"/>
  <c r="I666" i="32"/>
  <c r="I667" i="32"/>
  <c r="I668" i="32"/>
  <c r="I669" i="32"/>
  <c r="I670" i="32"/>
  <c r="I671" i="32"/>
  <c r="I672" i="32"/>
  <c r="I673" i="32"/>
  <c r="I674" i="32"/>
  <c r="I675" i="32"/>
  <c r="I676" i="32"/>
  <c r="I677" i="32"/>
  <c r="I678" i="32"/>
  <c r="I679" i="32"/>
  <c r="I680" i="32"/>
  <c r="I681" i="32"/>
  <c r="I682" i="32"/>
  <c r="I683" i="32"/>
  <c r="I684" i="32"/>
  <c r="I685" i="32"/>
  <c r="I686" i="32"/>
  <c r="I687" i="32"/>
  <c r="I688" i="32"/>
  <c r="I689" i="32"/>
  <c r="I690" i="32"/>
  <c r="I691" i="32"/>
  <c r="I692" i="32"/>
  <c r="I693" i="32"/>
  <c r="I694" i="32"/>
  <c r="I695" i="32"/>
  <c r="I696" i="32"/>
  <c r="I697" i="32"/>
  <c r="I698" i="32"/>
  <c r="I699" i="32"/>
  <c r="I700" i="32"/>
  <c r="I701" i="32"/>
  <c r="I702" i="32"/>
  <c r="I703" i="32"/>
  <c r="I704" i="32"/>
  <c r="I705" i="32"/>
  <c r="I706" i="32"/>
  <c r="I707" i="32"/>
  <c r="I708" i="32"/>
  <c r="I709" i="32"/>
  <c r="I710" i="32"/>
  <c r="I711" i="32"/>
  <c r="I712" i="32"/>
  <c r="I713" i="32"/>
  <c r="I714" i="32"/>
  <c r="I715" i="32"/>
  <c r="I716" i="32"/>
  <c r="I717" i="32"/>
  <c r="I718" i="32"/>
  <c r="I719" i="32"/>
  <c r="I720" i="32"/>
  <c r="I721" i="32"/>
  <c r="I722" i="32"/>
  <c r="I723" i="32"/>
  <c r="I724" i="32"/>
  <c r="I725" i="32"/>
  <c r="I726" i="32"/>
  <c r="I727" i="32"/>
  <c r="I728" i="32"/>
  <c r="I729" i="32"/>
  <c r="I730" i="32"/>
  <c r="I731" i="32"/>
  <c r="I732" i="32"/>
  <c r="I733" i="32"/>
  <c r="I734" i="32"/>
  <c r="I735" i="32"/>
  <c r="I736" i="32"/>
  <c r="I737" i="32"/>
  <c r="I738" i="32"/>
  <c r="I739" i="32"/>
  <c r="I740" i="32"/>
  <c r="I741" i="32"/>
  <c r="I742" i="32"/>
  <c r="I743" i="32"/>
  <c r="I744" i="32"/>
  <c r="I745" i="32"/>
  <c r="I746" i="32"/>
  <c r="I747" i="32"/>
  <c r="I748" i="32"/>
  <c r="I749" i="32"/>
  <c r="I750" i="32"/>
  <c r="I751" i="32"/>
  <c r="I752" i="32"/>
  <c r="I753" i="32"/>
  <c r="I754" i="32"/>
  <c r="I755" i="32"/>
  <c r="I756" i="32"/>
  <c r="I757" i="32"/>
  <c r="I758" i="32"/>
  <c r="I759" i="32"/>
  <c r="I760" i="32"/>
  <c r="I761" i="32"/>
  <c r="I762" i="32"/>
  <c r="I763" i="32"/>
  <c r="I764" i="32"/>
  <c r="I765" i="32"/>
  <c r="I766" i="32"/>
  <c r="I767" i="32"/>
  <c r="I768" i="32"/>
  <c r="I769" i="32"/>
  <c r="I770" i="32"/>
  <c r="I771" i="32"/>
  <c r="I772" i="32"/>
  <c r="I773" i="32"/>
  <c r="I774" i="32"/>
  <c r="I775" i="32"/>
  <c r="I776" i="32"/>
  <c r="I777" i="32"/>
  <c r="I778" i="32"/>
  <c r="I779" i="32"/>
  <c r="I780" i="32"/>
  <c r="I781" i="32"/>
  <c r="I782" i="32"/>
  <c r="I783" i="32"/>
  <c r="I784" i="32"/>
  <c r="I785" i="32"/>
  <c r="I786" i="32"/>
  <c r="I787" i="32"/>
  <c r="I788" i="32"/>
  <c r="I789" i="32"/>
  <c r="I790" i="32"/>
  <c r="I791" i="32"/>
  <c r="I792" i="32"/>
  <c r="I793" i="32"/>
  <c r="I794" i="32"/>
  <c r="I795" i="32"/>
  <c r="I796" i="32"/>
  <c r="I797" i="32"/>
  <c r="I798" i="32"/>
  <c r="I799" i="32"/>
  <c r="I800" i="32"/>
  <c r="I801" i="32"/>
  <c r="I802" i="32"/>
  <c r="I803" i="32"/>
  <c r="I804" i="32"/>
  <c r="I805" i="32"/>
  <c r="I806" i="32"/>
  <c r="I807" i="32"/>
  <c r="I808" i="32"/>
  <c r="I809" i="32"/>
  <c r="I810" i="32"/>
  <c r="I811" i="32"/>
  <c r="I812" i="32"/>
  <c r="I813" i="32"/>
  <c r="I814" i="32"/>
  <c r="I815" i="32"/>
  <c r="I816" i="32"/>
  <c r="I817" i="32"/>
  <c r="I818" i="32"/>
  <c r="I819" i="32"/>
  <c r="I820" i="32"/>
  <c r="I821" i="32"/>
  <c r="I822" i="32"/>
  <c r="I823" i="32"/>
  <c r="I824" i="32"/>
  <c r="I825" i="32"/>
  <c r="I826" i="32"/>
  <c r="I827" i="32"/>
  <c r="I828" i="32"/>
  <c r="I829" i="32"/>
  <c r="I830" i="32"/>
  <c r="I831" i="32"/>
  <c r="I832" i="32"/>
  <c r="I833" i="32"/>
  <c r="I834" i="32"/>
  <c r="I835" i="32"/>
  <c r="I836" i="32"/>
  <c r="I837" i="32"/>
  <c r="I838" i="32"/>
  <c r="I839" i="32"/>
  <c r="I840" i="32"/>
  <c r="I841" i="32"/>
  <c r="I842" i="32"/>
  <c r="I843" i="32"/>
  <c r="I844" i="32"/>
  <c r="I845" i="32"/>
  <c r="I846" i="32"/>
  <c r="I847" i="32"/>
  <c r="I848" i="32"/>
  <c r="I849" i="32"/>
  <c r="I850" i="32"/>
  <c r="I851" i="32"/>
  <c r="I852" i="32"/>
  <c r="I853" i="32"/>
  <c r="I854" i="32"/>
  <c r="I855" i="32"/>
  <c r="I856" i="32"/>
  <c r="I857" i="32"/>
  <c r="I858" i="32"/>
  <c r="I859" i="32"/>
  <c r="I860" i="32"/>
  <c r="I861" i="32"/>
  <c r="I862" i="32"/>
  <c r="I863" i="32"/>
  <c r="I864" i="32"/>
  <c r="I865" i="32"/>
  <c r="I866" i="32"/>
  <c r="I867" i="32"/>
  <c r="I868" i="32"/>
  <c r="I869" i="32"/>
  <c r="I870" i="32"/>
  <c r="I871" i="32"/>
  <c r="I872" i="32"/>
  <c r="I873" i="32"/>
  <c r="I874" i="32"/>
  <c r="I875" i="32"/>
  <c r="I876" i="32"/>
  <c r="I877" i="32"/>
  <c r="I878" i="32"/>
  <c r="I879" i="32"/>
  <c r="I880" i="32"/>
  <c r="I881" i="32"/>
  <c r="I882" i="32"/>
  <c r="I883" i="32"/>
  <c r="I884" i="32"/>
  <c r="I885" i="32"/>
  <c r="I886" i="32"/>
  <c r="I887" i="32"/>
  <c r="I888" i="32"/>
  <c r="I889" i="32"/>
  <c r="I890" i="32"/>
  <c r="I891" i="32"/>
  <c r="I892" i="32"/>
  <c r="I893" i="32"/>
  <c r="I894" i="32"/>
  <c r="I895" i="32"/>
  <c r="I896" i="32"/>
  <c r="I897" i="32"/>
  <c r="I898" i="32"/>
  <c r="I899" i="32"/>
  <c r="I900" i="32"/>
  <c r="I901" i="32"/>
  <c r="I902" i="32"/>
  <c r="I903" i="32"/>
  <c r="I904" i="32"/>
  <c r="I905" i="32"/>
  <c r="I906" i="32"/>
  <c r="I907" i="32"/>
  <c r="I908" i="32"/>
  <c r="I909" i="32"/>
  <c r="I910" i="32"/>
  <c r="I911" i="32"/>
  <c r="I912" i="32"/>
  <c r="I913" i="32"/>
  <c r="I914" i="32"/>
  <c r="I915" i="32"/>
  <c r="I916" i="32"/>
  <c r="I917" i="32"/>
  <c r="I918" i="32"/>
  <c r="I919" i="32"/>
  <c r="I920" i="32"/>
  <c r="I921" i="32"/>
  <c r="I922" i="32"/>
  <c r="I923" i="32"/>
  <c r="I924" i="32"/>
  <c r="I925" i="32"/>
  <c r="I926" i="32"/>
  <c r="I927" i="32"/>
  <c r="I928" i="32"/>
  <c r="I929" i="32"/>
  <c r="I930" i="32"/>
  <c r="I931" i="32"/>
  <c r="I932" i="32"/>
  <c r="I933" i="32"/>
  <c r="I934" i="32"/>
  <c r="I935" i="32"/>
  <c r="I936" i="32"/>
  <c r="I937" i="32"/>
  <c r="I938" i="32"/>
  <c r="I939" i="32"/>
  <c r="I940" i="32"/>
  <c r="I941" i="32"/>
  <c r="I942" i="32"/>
  <c r="I943" i="32"/>
  <c r="I944" i="32"/>
  <c r="I945" i="32"/>
  <c r="I946" i="32"/>
  <c r="I947" i="32"/>
  <c r="I948" i="32"/>
  <c r="I949" i="32"/>
  <c r="I950" i="32"/>
  <c r="I951" i="32"/>
  <c r="I952" i="32"/>
  <c r="I953" i="32"/>
  <c r="I954" i="32"/>
  <c r="I955" i="32"/>
  <c r="I956" i="32"/>
  <c r="I957" i="32"/>
  <c r="I958" i="32"/>
  <c r="I959" i="32"/>
  <c r="I960" i="32"/>
  <c r="I961" i="32"/>
  <c r="I962" i="32"/>
  <c r="I963" i="32"/>
  <c r="I964" i="32"/>
  <c r="I965" i="32"/>
  <c r="I966" i="32"/>
  <c r="I967" i="32"/>
  <c r="I968" i="32"/>
  <c r="I969" i="32"/>
  <c r="I970" i="32"/>
  <c r="I971" i="32"/>
  <c r="I972" i="32"/>
  <c r="I973" i="32"/>
  <c r="I974" i="32"/>
  <c r="I975" i="32"/>
  <c r="I976" i="32"/>
  <c r="I977" i="32"/>
  <c r="I978" i="32"/>
  <c r="I979" i="32"/>
  <c r="I980" i="32"/>
  <c r="I981" i="32"/>
  <c r="I982" i="32"/>
  <c r="I983" i="32"/>
  <c r="I984" i="32"/>
  <c r="I985" i="32"/>
  <c r="I986" i="32"/>
  <c r="I987" i="32"/>
  <c r="I988" i="32"/>
  <c r="I989" i="32"/>
  <c r="I990" i="32"/>
  <c r="I991" i="32"/>
  <c r="I992" i="32"/>
  <c r="I993" i="32"/>
  <c r="I994" i="32"/>
  <c r="I995" i="32"/>
  <c r="I996" i="32"/>
  <c r="I997" i="32"/>
  <c r="I998" i="32"/>
  <c r="I999" i="32"/>
  <c r="I1000" i="32"/>
  <c r="I1001" i="32"/>
  <c r="I1002" i="32"/>
  <c r="I1003" i="32"/>
  <c r="I1004" i="32"/>
  <c r="I1005" i="32"/>
  <c r="I1006" i="32"/>
  <c r="I1007" i="32"/>
  <c r="I1008" i="32"/>
  <c r="I1009" i="32"/>
  <c r="I1010" i="32"/>
  <c r="I1011" i="32"/>
  <c r="I1012" i="32"/>
  <c r="I1013" i="32"/>
  <c r="I1014" i="32"/>
  <c r="I1015" i="32"/>
  <c r="I1016" i="32"/>
  <c r="I1017" i="32"/>
  <c r="I1018" i="32"/>
  <c r="I1019" i="32"/>
  <c r="I1020" i="32"/>
  <c r="I1021" i="32"/>
  <c r="I1022" i="32"/>
  <c r="I1023" i="32"/>
  <c r="I1024" i="32"/>
  <c r="I1025" i="32"/>
  <c r="I1026" i="32"/>
  <c r="I1027" i="32"/>
  <c r="I1028" i="32"/>
  <c r="I1029" i="32"/>
  <c r="I1030" i="32"/>
  <c r="I1031" i="32"/>
  <c r="I1032" i="32"/>
  <c r="I1033" i="32"/>
  <c r="I1034" i="32"/>
  <c r="I1035" i="32"/>
  <c r="I1036" i="32"/>
  <c r="I1037" i="32"/>
  <c r="I1038" i="32"/>
  <c r="I1039" i="32"/>
  <c r="I1040" i="32"/>
  <c r="I1041" i="32"/>
  <c r="I1042" i="32"/>
  <c r="I1043" i="32"/>
  <c r="I1044" i="32"/>
  <c r="I1045" i="32"/>
  <c r="I1046" i="32"/>
  <c r="I1047" i="32"/>
  <c r="I1048" i="32"/>
  <c r="I1049" i="32"/>
  <c r="I1050" i="32"/>
  <c r="I1051" i="32"/>
  <c r="I1052" i="32"/>
  <c r="I1053" i="32"/>
  <c r="I1054" i="32"/>
  <c r="I1055" i="32"/>
  <c r="I1056" i="32"/>
  <c r="I1057" i="32"/>
  <c r="I1058" i="32"/>
  <c r="I1059" i="32"/>
  <c r="I1060" i="32"/>
  <c r="I1061" i="32"/>
  <c r="I1062" i="32"/>
  <c r="I1063" i="32"/>
  <c r="I1064" i="32"/>
  <c r="I1065" i="32"/>
  <c r="I1066" i="32"/>
  <c r="I1067" i="32"/>
  <c r="I1068" i="32"/>
  <c r="I1069" i="32"/>
  <c r="I1070" i="32"/>
  <c r="I1071" i="32"/>
  <c r="I1072" i="32"/>
  <c r="I1073" i="32"/>
  <c r="I1074" i="32"/>
  <c r="I1075" i="32"/>
  <c r="I1076" i="32"/>
  <c r="I1077" i="32"/>
  <c r="I1078" i="32"/>
  <c r="I1079" i="32"/>
  <c r="I1080" i="32"/>
  <c r="I1081" i="32"/>
  <c r="I1082" i="32"/>
  <c r="I1083" i="32"/>
  <c r="I1084" i="32"/>
  <c r="I1085" i="32"/>
  <c r="I1086" i="32"/>
  <c r="I1087" i="32"/>
  <c r="I1088" i="32"/>
  <c r="I1089" i="32"/>
  <c r="I1090" i="32"/>
  <c r="I1091" i="32"/>
  <c r="I1092" i="32"/>
  <c r="I1093" i="32"/>
  <c r="I1094" i="32"/>
  <c r="I1095" i="32"/>
  <c r="I1096" i="32"/>
  <c r="I1097" i="32"/>
  <c r="I1098" i="32"/>
  <c r="I1099" i="32"/>
  <c r="I1100" i="32"/>
  <c r="I1101" i="32"/>
  <c r="I1102" i="32"/>
  <c r="I1103" i="32"/>
  <c r="I1104" i="32"/>
  <c r="I1105" i="32"/>
  <c r="I1106" i="32"/>
  <c r="I1107" i="32"/>
  <c r="I1108" i="32"/>
  <c r="I1109" i="32"/>
  <c r="I1110" i="32"/>
  <c r="I1111" i="32"/>
  <c r="I1112" i="32"/>
  <c r="I1113" i="32"/>
  <c r="I1114" i="32"/>
  <c r="I1115" i="32"/>
  <c r="I1116" i="32"/>
  <c r="I1117" i="32"/>
  <c r="I1118" i="32"/>
  <c r="I1119" i="32"/>
  <c r="I1120" i="32"/>
  <c r="I1121" i="32"/>
  <c r="I1122" i="32"/>
  <c r="I1123" i="32"/>
  <c r="I1124" i="32"/>
  <c r="I1125" i="32"/>
  <c r="I1126" i="32"/>
  <c r="I1127" i="32"/>
  <c r="I1128" i="32"/>
  <c r="I1129" i="32"/>
  <c r="I1130" i="32"/>
  <c r="I1131" i="32"/>
  <c r="I1132" i="32"/>
  <c r="I1133" i="32"/>
  <c r="I1134" i="32"/>
  <c r="I1135" i="32"/>
  <c r="I1136" i="32"/>
  <c r="I1137" i="32"/>
  <c r="I1138" i="32"/>
  <c r="I1139" i="32"/>
  <c r="I1140" i="32"/>
  <c r="I1141" i="32"/>
  <c r="I1142" i="32"/>
  <c r="I1143" i="32"/>
  <c r="I1144" i="32"/>
  <c r="I1145" i="32"/>
  <c r="I1146" i="32"/>
  <c r="I1147" i="32"/>
  <c r="I1148" i="32"/>
  <c r="I1149" i="32"/>
  <c r="I1150" i="32"/>
  <c r="I1151" i="32"/>
  <c r="I1152" i="32"/>
  <c r="I1153" i="32"/>
  <c r="I1154" i="32"/>
  <c r="I1155" i="32"/>
  <c r="I1156" i="32"/>
  <c r="I1157" i="32"/>
  <c r="I1158" i="32"/>
  <c r="I1159" i="32"/>
  <c r="I1160" i="32"/>
  <c r="I1161" i="32"/>
  <c r="I1162" i="32"/>
  <c r="I1163" i="32"/>
  <c r="I1164" i="32"/>
  <c r="I1165" i="32"/>
  <c r="I1166" i="32"/>
  <c r="I1167" i="32"/>
  <c r="I1168" i="32"/>
  <c r="I1169" i="32"/>
  <c r="I1170" i="32"/>
  <c r="I1171" i="32"/>
  <c r="I1172" i="32"/>
  <c r="I1173" i="32"/>
  <c r="I1174" i="32"/>
  <c r="I1175" i="32"/>
  <c r="I1176" i="32"/>
  <c r="I1177" i="32"/>
  <c r="I1178" i="32"/>
  <c r="I1179" i="32"/>
  <c r="I1180" i="32"/>
  <c r="I1181" i="32"/>
  <c r="I1182" i="32"/>
  <c r="I1183" i="32"/>
  <c r="I1184" i="32"/>
  <c r="I1185" i="32"/>
  <c r="I1186" i="32"/>
  <c r="I1187" i="32"/>
  <c r="I1188" i="32"/>
  <c r="I1189" i="32"/>
  <c r="I1190" i="32"/>
  <c r="I1191" i="32"/>
  <c r="I1192" i="32"/>
  <c r="I1193" i="32"/>
  <c r="I1194" i="32"/>
  <c r="I1195" i="32"/>
  <c r="I1196" i="32"/>
  <c r="I1197" i="32"/>
  <c r="I1198" i="32"/>
  <c r="I1199" i="32"/>
  <c r="I1200" i="32"/>
  <c r="I1201" i="32"/>
  <c r="I1202" i="32"/>
  <c r="I1203" i="32"/>
  <c r="I1204" i="32"/>
  <c r="I1205" i="32"/>
  <c r="I1206" i="32"/>
  <c r="I1207" i="32"/>
  <c r="I1208" i="32"/>
  <c r="I1209" i="32"/>
  <c r="I1210" i="32"/>
  <c r="I1211" i="32"/>
  <c r="I1212" i="32"/>
  <c r="I1213" i="32"/>
  <c r="I1214" i="32"/>
  <c r="I1215" i="32"/>
  <c r="I1216" i="32"/>
  <c r="I1217" i="32"/>
  <c r="I1218" i="32"/>
  <c r="I1219" i="32"/>
  <c r="I1220" i="32"/>
  <c r="I1221" i="32"/>
  <c r="I1222" i="32"/>
  <c r="I1223" i="32"/>
  <c r="I1224" i="32"/>
  <c r="I1225" i="32"/>
  <c r="I1226" i="32"/>
  <c r="I1227" i="32"/>
  <c r="I1228" i="32"/>
  <c r="I1229" i="32"/>
  <c r="I1230" i="32"/>
  <c r="I1231" i="32"/>
  <c r="I1232" i="32"/>
  <c r="I1233" i="32"/>
  <c r="I1234" i="32"/>
  <c r="I1235" i="32"/>
  <c r="I1236" i="32"/>
  <c r="I1237" i="32"/>
  <c r="I1238" i="32"/>
  <c r="I1239" i="32"/>
  <c r="I1240" i="32"/>
  <c r="I1241" i="32"/>
  <c r="I1242" i="32"/>
  <c r="I1243" i="32"/>
  <c r="I1244" i="32"/>
  <c r="I1245" i="32"/>
  <c r="I1246" i="32"/>
  <c r="I1247" i="32"/>
  <c r="I1248" i="32"/>
  <c r="I1249" i="32"/>
  <c r="I1250" i="32"/>
  <c r="I1251" i="32"/>
  <c r="I1252" i="32"/>
  <c r="I1253" i="32"/>
  <c r="I1254" i="32"/>
  <c r="I1255" i="32"/>
  <c r="I1256" i="32"/>
  <c r="I1257" i="32"/>
  <c r="I1258" i="32"/>
  <c r="I1259" i="32"/>
  <c r="I1260" i="32"/>
  <c r="I1261" i="32"/>
  <c r="I1262" i="32"/>
  <c r="I1263" i="32"/>
  <c r="I1264" i="32"/>
  <c r="I1265" i="32"/>
  <c r="I1266" i="32"/>
  <c r="I1267" i="32"/>
  <c r="I1268" i="32"/>
  <c r="I1269" i="32"/>
  <c r="I1270" i="32"/>
  <c r="I1271" i="32"/>
  <c r="I1272" i="32"/>
  <c r="I1273" i="32"/>
  <c r="I1274" i="32"/>
  <c r="I1275" i="32"/>
  <c r="I1276" i="32"/>
  <c r="I1277" i="32"/>
  <c r="I1278" i="32"/>
  <c r="I1279" i="32"/>
  <c r="I1280" i="32"/>
  <c r="I1281" i="32"/>
  <c r="I1282" i="32"/>
  <c r="I1283" i="32"/>
  <c r="I1284" i="32"/>
  <c r="I1285" i="32"/>
  <c r="I1286" i="32"/>
  <c r="I1287" i="32"/>
  <c r="I1288" i="32"/>
  <c r="I1289" i="32"/>
  <c r="I1290" i="32"/>
  <c r="I1291" i="32"/>
  <c r="I1292" i="32"/>
  <c r="I1293" i="32"/>
  <c r="I1294" i="32"/>
  <c r="I1295" i="32"/>
  <c r="I1296" i="32"/>
  <c r="I1297" i="32"/>
  <c r="I1298" i="32"/>
  <c r="I1299" i="32"/>
  <c r="I1300" i="32"/>
  <c r="I1301" i="32"/>
  <c r="I1302" i="32"/>
  <c r="I1303" i="32"/>
  <c r="I1304" i="32"/>
  <c r="I1305" i="32"/>
  <c r="I1306" i="32"/>
  <c r="I1307" i="32"/>
  <c r="I1308" i="32"/>
  <c r="I1309" i="32"/>
  <c r="I1310" i="32"/>
  <c r="I1311" i="32"/>
  <c r="I1312" i="32"/>
  <c r="I1313" i="32"/>
  <c r="I1314" i="32"/>
  <c r="I1315" i="32"/>
  <c r="I1316" i="32"/>
  <c r="I1317" i="32"/>
  <c r="I1318" i="32"/>
  <c r="I1319" i="32"/>
  <c r="I1320" i="32"/>
  <c r="I1321" i="32"/>
  <c r="I1322" i="32"/>
  <c r="I1323" i="32"/>
  <c r="I1324" i="32"/>
  <c r="I1325" i="32"/>
  <c r="I1326" i="32"/>
  <c r="I1327" i="32"/>
  <c r="I1328" i="32"/>
  <c r="I1329" i="32"/>
  <c r="I1330" i="32"/>
  <c r="I1331" i="32"/>
  <c r="I1332" i="32"/>
  <c r="I1333" i="32"/>
  <c r="I1334" i="32"/>
  <c r="I1335" i="32"/>
  <c r="I1336" i="32"/>
  <c r="I1337" i="32"/>
  <c r="I1338" i="32"/>
  <c r="I1339" i="32"/>
  <c r="I1340" i="32"/>
  <c r="I1341" i="32"/>
  <c r="I1342" i="32"/>
  <c r="I1343" i="32"/>
  <c r="I1344" i="32"/>
  <c r="I1345" i="32"/>
  <c r="I1346" i="32"/>
  <c r="I1347" i="32"/>
  <c r="I1348" i="32"/>
  <c r="I1349" i="32"/>
  <c r="I1350" i="32"/>
  <c r="I1351" i="32"/>
  <c r="I1352" i="32"/>
  <c r="I1353" i="32"/>
  <c r="I1354" i="32"/>
  <c r="I1355" i="32"/>
  <c r="I1356" i="32"/>
  <c r="I1357" i="32"/>
  <c r="I1358" i="32"/>
  <c r="I1359" i="32"/>
  <c r="I1360" i="32"/>
  <c r="I1361" i="32"/>
  <c r="I1362" i="32"/>
  <c r="I1363" i="32"/>
  <c r="I1364" i="32"/>
  <c r="I1365" i="32"/>
  <c r="I1366" i="32"/>
  <c r="I1367" i="32"/>
  <c r="I1368" i="32"/>
  <c r="I1369" i="32"/>
  <c r="I1370" i="32"/>
  <c r="I1371" i="32"/>
  <c r="I1372" i="32"/>
  <c r="I1373" i="32"/>
  <c r="I1374" i="32"/>
  <c r="I1375" i="32"/>
  <c r="I1376" i="32"/>
  <c r="I1377" i="32"/>
  <c r="I1378" i="32"/>
  <c r="I1379" i="32"/>
  <c r="I1380" i="32"/>
  <c r="I1381" i="32"/>
  <c r="I1382" i="32"/>
  <c r="I1383" i="32"/>
  <c r="I1384" i="32"/>
  <c r="I1385" i="32"/>
  <c r="I1386" i="32"/>
  <c r="I1387" i="32"/>
  <c r="I1388" i="32"/>
  <c r="I1389" i="32"/>
  <c r="I1390" i="32"/>
  <c r="I1391" i="32"/>
  <c r="I1392" i="32"/>
  <c r="I1393" i="32"/>
  <c r="I1394" i="32"/>
  <c r="I1395" i="32"/>
  <c r="I1396" i="32"/>
  <c r="I1397" i="32"/>
  <c r="I1398" i="32"/>
  <c r="I1399" i="32"/>
  <c r="I1400" i="32"/>
  <c r="I1401" i="32"/>
  <c r="I1402" i="32"/>
  <c r="I1403" i="32"/>
  <c r="I1404" i="32"/>
  <c r="I1405" i="32"/>
  <c r="I1406" i="32"/>
  <c r="I1407" i="32"/>
  <c r="I1408" i="32"/>
  <c r="I1409" i="32"/>
  <c r="I1410" i="32"/>
  <c r="I1411" i="32"/>
  <c r="I1412" i="32"/>
  <c r="I1413" i="32"/>
  <c r="I1414" i="32"/>
  <c r="I1415" i="32"/>
  <c r="I1416" i="32"/>
  <c r="I1417" i="32"/>
  <c r="I1418" i="32"/>
  <c r="I1419" i="32"/>
  <c r="I1420" i="32"/>
  <c r="I1421" i="32"/>
  <c r="I1422" i="32"/>
  <c r="I1423" i="32"/>
  <c r="I1424" i="32"/>
  <c r="I1425" i="32"/>
  <c r="I1426" i="32"/>
  <c r="I1427" i="32"/>
  <c r="I1428" i="32"/>
  <c r="I1429" i="32"/>
  <c r="I1430" i="32"/>
  <c r="I1431" i="32"/>
  <c r="I1432" i="32"/>
  <c r="I1433" i="32"/>
  <c r="I1434" i="32"/>
  <c r="I1435" i="32"/>
  <c r="I1436" i="32"/>
  <c r="I1437" i="32"/>
  <c r="I1438" i="32"/>
  <c r="I1439" i="32"/>
  <c r="I1440" i="32"/>
  <c r="I1441" i="32"/>
  <c r="I1442" i="32"/>
  <c r="I1443" i="32"/>
  <c r="I1444" i="32"/>
  <c r="I1445" i="32"/>
  <c r="I1446" i="32"/>
  <c r="I1447" i="32"/>
  <c r="I1448" i="32"/>
  <c r="I1449" i="32"/>
  <c r="I1450" i="32"/>
  <c r="I1451" i="32"/>
  <c r="I1452" i="32"/>
  <c r="I1453" i="32"/>
  <c r="I1454" i="32"/>
  <c r="I1455" i="32"/>
  <c r="I1456" i="32"/>
  <c r="I1457" i="32"/>
  <c r="I1458" i="32"/>
  <c r="I1459" i="32"/>
  <c r="I1460" i="32"/>
  <c r="I1461" i="32"/>
  <c r="I1462" i="32"/>
  <c r="I1463" i="32"/>
  <c r="I1464" i="32"/>
  <c r="I1465" i="32"/>
  <c r="I1466" i="32"/>
  <c r="I1467" i="32"/>
  <c r="I1468" i="32"/>
  <c r="I1469" i="32"/>
  <c r="I1470" i="32"/>
  <c r="I1471" i="32"/>
  <c r="I1472" i="32"/>
  <c r="I1473" i="32"/>
  <c r="I1474" i="32"/>
  <c r="I1475" i="32"/>
  <c r="I1476" i="32"/>
  <c r="I1477" i="32"/>
  <c r="I1478" i="32"/>
  <c r="I1479" i="32"/>
  <c r="I1480" i="32"/>
  <c r="I1481" i="32"/>
  <c r="I1482" i="32"/>
  <c r="I1483" i="32"/>
  <c r="I1484" i="32"/>
  <c r="I1485" i="32"/>
  <c r="I1486" i="32"/>
  <c r="I1487" i="32"/>
  <c r="I1488" i="32"/>
  <c r="I1489" i="32"/>
  <c r="I1490" i="32"/>
  <c r="I1491" i="32"/>
  <c r="I1492" i="32"/>
  <c r="I1493" i="32"/>
  <c r="I1494" i="32"/>
  <c r="I1495" i="32"/>
  <c r="I1496" i="32"/>
  <c r="I1497" i="32"/>
  <c r="I1498" i="32"/>
  <c r="I1499" i="32"/>
  <c r="I1500" i="32"/>
  <c r="I1501" i="32"/>
  <c r="I1502" i="32"/>
  <c r="I1503" i="32"/>
  <c r="I1504" i="32"/>
  <c r="I1505" i="32"/>
  <c r="I1506" i="32"/>
  <c r="I1507" i="32"/>
  <c r="I1508" i="32"/>
  <c r="I1509" i="32"/>
  <c r="I1510" i="32"/>
  <c r="I1511" i="32"/>
  <c r="I1512" i="32"/>
  <c r="I1513" i="32"/>
  <c r="I1514" i="32"/>
  <c r="I1515" i="32"/>
  <c r="I1516" i="32"/>
  <c r="I1517" i="32"/>
  <c r="I1518" i="32"/>
  <c r="I1519" i="32"/>
  <c r="I1520" i="32"/>
  <c r="I1521" i="32"/>
  <c r="I1522" i="32"/>
  <c r="I1523" i="32"/>
  <c r="I1524" i="32"/>
  <c r="I1525" i="32"/>
  <c r="I1526" i="32"/>
  <c r="I1527" i="32"/>
  <c r="I1528" i="32"/>
  <c r="I1529" i="32"/>
  <c r="I1530" i="32"/>
  <c r="I1531" i="32"/>
  <c r="I1532" i="32"/>
  <c r="I1533" i="32"/>
  <c r="I1534" i="32"/>
  <c r="I1535" i="32"/>
  <c r="I1536" i="32"/>
  <c r="I1537" i="32"/>
  <c r="I1538" i="32"/>
  <c r="I1539" i="32"/>
  <c r="I1540" i="32"/>
  <c r="I1541" i="32"/>
  <c r="I1542" i="32"/>
  <c r="I1543" i="32"/>
  <c r="I1544" i="32"/>
  <c r="I1545" i="32"/>
  <c r="I1546" i="32"/>
  <c r="I1547" i="32"/>
  <c r="I1548" i="32"/>
  <c r="I1549" i="32"/>
  <c r="I1550" i="32"/>
  <c r="I1551" i="32"/>
  <c r="I1552" i="32"/>
  <c r="I1553" i="32"/>
  <c r="I1554" i="32"/>
  <c r="I1555" i="32"/>
  <c r="I1556" i="32"/>
  <c r="I1557" i="32"/>
  <c r="I1558" i="32"/>
  <c r="I1559" i="32"/>
  <c r="I1560" i="32"/>
  <c r="I1561" i="32"/>
  <c r="I1562" i="32"/>
  <c r="I1563" i="32"/>
  <c r="I1564" i="32"/>
  <c r="I1565" i="32"/>
  <c r="I1566" i="32"/>
  <c r="I1567" i="32"/>
  <c r="I1568" i="32"/>
  <c r="I1569" i="32"/>
  <c r="I1570" i="32"/>
  <c r="I1571" i="32"/>
  <c r="I1572" i="32"/>
  <c r="I1573" i="32"/>
  <c r="I1574" i="32"/>
  <c r="I1575" i="32"/>
  <c r="I1576" i="32"/>
  <c r="I1577" i="32"/>
  <c r="I1578" i="32"/>
  <c r="I1579" i="32"/>
  <c r="I1580" i="32"/>
  <c r="I1581" i="32"/>
  <c r="I1582" i="32"/>
  <c r="I1583" i="32"/>
  <c r="I1584" i="32"/>
  <c r="I1585" i="32"/>
  <c r="I1586" i="32"/>
  <c r="I1587" i="32"/>
  <c r="I1588" i="32"/>
  <c r="I1589" i="32"/>
  <c r="I1590" i="32"/>
  <c r="I1591" i="32"/>
  <c r="I1592" i="32"/>
  <c r="I1593" i="32"/>
  <c r="I1594" i="32"/>
  <c r="I1595" i="32"/>
  <c r="I1596" i="32"/>
  <c r="I1597" i="32"/>
  <c r="I1598" i="32"/>
  <c r="I1599" i="32"/>
  <c r="I1600" i="32"/>
  <c r="I1601" i="32"/>
  <c r="I1602" i="32"/>
  <c r="I1603" i="32"/>
  <c r="I1604" i="32"/>
  <c r="I1605" i="32"/>
  <c r="I1606" i="32"/>
  <c r="I1607" i="32"/>
  <c r="I1608" i="32"/>
  <c r="I1609" i="32"/>
  <c r="I1610" i="32"/>
  <c r="I1611" i="32"/>
  <c r="I1612" i="32"/>
  <c r="I1613" i="32"/>
  <c r="I1614" i="32"/>
  <c r="I1615" i="32"/>
  <c r="I1616" i="32"/>
  <c r="I1617" i="32"/>
  <c r="I1618" i="32"/>
  <c r="I1619" i="32"/>
  <c r="I1620" i="32"/>
  <c r="I1621" i="32"/>
  <c r="I1622" i="32"/>
  <c r="I1623" i="32"/>
  <c r="I1624" i="32"/>
  <c r="I1625" i="32"/>
  <c r="I1626" i="32"/>
  <c r="I1627" i="32"/>
  <c r="I1628" i="32"/>
  <c r="I1629" i="32"/>
  <c r="I1630" i="32"/>
  <c r="I1631" i="32"/>
  <c r="I1632" i="32"/>
  <c r="I1633" i="32"/>
  <c r="I1634" i="32"/>
  <c r="I1635" i="32"/>
  <c r="I1636" i="32"/>
  <c r="I1637" i="32"/>
  <c r="I1638" i="32"/>
  <c r="I1639" i="32"/>
  <c r="I1640" i="32"/>
  <c r="I1641" i="32"/>
  <c r="I1642" i="32"/>
  <c r="I1643" i="32"/>
  <c r="I1644" i="32"/>
  <c r="I1645" i="32"/>
  <c r="I1646" i="32"/>
  <c r="I1647" i="32"/>
  <c r="I1648" i="32"/>
  <c r="I1649" i="32"/>
  <c r="I1650" i="32"/>
  <c r="I1651" i="32"/>
  <c r="I1652" i="32"/>
  <c r="I1653" i="32"/>
  <c r="I1654" i="32"/>
  <c r="I1655" i="32"/>
  <c r="I1656" i="32"/>
  <c r="I1657" i="32"/>
  <c r="I1658" i="32"/>
  <c r="I1659" i="32"/>
  <c r="I1660" i="32"/>
  <c r="I1661" i="32"/>
  <c r="I1662" i="32"/>
  <c r="I1663" i="32"/>
  <c r="I1664" i="32"/>
  <c r="I1665" i="32"/>
  <c r="I1666" i="32"/>
  <c r="I1667" i="32"/>
  <c r="I1668" i="32"/>
  <c r="I1669" i="32"/>
  <c r="I1670" i="32"/>
  <c r="I1671" i="32"/>
  <c r="I1672" i="32"/>
  <c r="I1673" i="32"/>
  <c r="I1674" i="32"/>
  <c r="I1675" i="32"/>
  <c r="I1676" i="32"/>
  <c r="I1677" i="32"/>
  <c r="I1678" i="32"/>
  <c r="I1679" i="32"/>
  <c r="I1680" i="32"/>
  <c r="I1681" i="32"/>
  <c r="I1682" i="32"/>
  <c r="I1683" i="32"/>
  <c r="I1684" i="32"/>
  <c r="I1685" i="32"/>
  <c r="I1686" i="32"/>
  <c r="I1687" i="32"/>
  <c r="I1688" i="32"/>
  <c r="I1689" i="32"/>
  <c r="I1690" i="32"/>
  <c r="I1691" i="32"/>
  <c r="I1692" i="32"/>
  <c r="I1693" i="32"/>
  <c r="I1694" i="32"/>
  <c r="I1695" i="32"/>
  <c r="I1696" i="32"/>
  <c r="I1697" i="32"/>
  <c r="I1698" i="32"/>
  <c r="I1699" i="32"/>
  <c r="I1700" i="32"/>
  <c r="I1701" i="32"/>
  <c r="I1702" i="32"/>
  <c r="I1703" i="32"/>
  <c r="I1704" i="32"/>
  <c r="I1705" i="32"/>
  <c r="I1706" i="32"/>
  <c r="I1707" i="32"/>
  <c r="I1708" i="32"/>
  <c r="I1709" i="32"/>
  <c r="I1710" i="32"/>
  <c r="I1711" i="32"/>
  <c r="I1712" i="32"/>
  <c r="I1713" i="32"/>
  <c r="I1714" i="32"/>
  <c r="I1715" i="32"/>
  <c r="I1716" i="32"/>
  <c r="I1717" i="32"/>
  <c r="I1718" i="32"/>
  <c r="I1719" i="32"/>
  <c r="I1720" i="32"/>
  <c r="I1721" i="32"/>
  <c r="I1722" i="32"/>
  <c r="I1723" i="32"/>
  <c r="I1724" i="32"/>
  <c r="I1725" i="32"/>
  <c r="I1726" i="32"/>
  <c r="I1727" i="32"/>
  <c r="I1728" i="32"/>
  <c r="I1729" i="32"/>
  <c r="I1730" i="32"/>
  <c r="I1731" i="32"/>
  <c r="I1732" i="32"/>
  <c r="I1733" i="32"/>
  <c r="I1734" i="32"/>
  <c r="I1735" i="32"/>
  <c r="I1736" i="32"/>
  <c r="I1737" i="32"/>
  <c r="I1738" i="32"/>
  <c r="I1739" i="32"/>
  <c r="I1740" i="32"/>
  <c r="I1741" i="32"/>
  <c r="I1742" i="32"/>
  <c r="I1743" i="32"/>
  <c r="I1744" i="32"/>
  <c r="I1745" i="32"/>
  <c r="I1746" i="32"/>
  <c r="I1747" i="32"/>
  <c r="I1748" i="32"/>
  <c r="I1749" i="32"/>
  <c r="I1750" i="32"/>
  <c r="I1751" i="32"/>
  <c r="I1752" i="32"/>
  <c r="I1753" i="32"/>
  <c r="I1754" i="32"/>
  <c r="I1755" i="32"/>
  <c r="I1756" i="32"/>
  <c r="I1757" i="32"/>
  <c r="I1758" i="32"/>
  <c r="I1759" i="32"/>
  <c r="I1760" i="32"/>
  <c r="I1761" i="32"/>
  <c r="I1762" i="32"/>
  <c r="I1763" i="32"/>
  <c r="I1764" i="32"/>
  <c r="I1765" i="32"/>
  <c r="I1766" i="32"/>
  <c r="I1767" i="32"/>
  <c r="I1768" i="32"/>
  <c r="I1769" i="32"/>
  <c r="I1770" i="32"/>
  <c r="I1771" i="32"/>
  <c r="I1772" i="32"/>
  <c r="I1773" i="32"/>
  <c r="I1774" i="32"/>
  <c r="I1775" i="32"/>
  <c r="I1776" i="32"/>
  <c r="I1777" i="32"/>
  <c r="I1778" i="32"/>
  <c r="I1779" i="32"/>
  <c r="I1780" i="32"/>
  <c r="I1781" i="32"/>
  <c r="I1782" i="32"/>
  <c r="I1783" i="32"/>
  <c r="I1784" i="32"/>
  <c r="I1785" i="32"/>
  <c r="I1786" i="32"/>
  <c r="I1787" i="32"/>
  <c r="I1788" i="32"/>
  <c r="I1789" i="32"/>
  <c r="I1790" i="32"/>
  <c r="I1791" i="32"/>
  <c r="I1792" i="32"/>
  <c r="I1793" i="32"/>
  <c r="I1794" i="32"/>
  <c r="I1795" i="32"/>
  <c r="I1796" i="32"/>
  <c r="I1797" i="32"/>
  <c r="I1798" i="32"/>
  <c r="I1799" i="32"/>
  <c r="I1800" i="32"/>
  <c r="I1801" i="32"/>
  <c r="I1802" i="32"/>
  <c r="I1803" i="32"/>
  <c r="I1804" i="32"/>
  <c r="I1805" i="32"/>
  <c r="I1806" i="32"/>
  <c r="I1807" i="32"/>
  <c r="I1808" i="32"/>
  <c r="I1809" i="32"/>
  <c r="I1810" i="32"/>
  <c r="I1811" i="32"/>
  <c r="I1812" i="32"/>
  <c r="I1813" i="32"/>
  <c r="I1814" i="32"/>
  <c r="I1815" i="32"/>
  <c r="I1816" i="32"/>
  <c r="I1817" i="32"/>
  <c r="I1818" i="32"/>
  <c r="I1819" i="32"/>
  <c r="I1820" i="32"/>
  <c r="I1821" i="32"/>
  <c r="I1822" i="32"/>
  <c r="I1823" i="32"/>
  <c r="I1824" i="32"/>
  <c r="I1825" i="32"/>
  <c r="I1826" i="32"/>
  <c r="I1827" i="32"/>
  <c r="I1828" i="32"/>
  <c r="I1829" i="32"/>
  <c r="I1830" i="32"/>
  <c r="I1831" i="32"/>
  <c r="I1832" i="32"/>
  <c r="I1833" i="32"/>
  <c r="I1834" i="32"/>
  <c r="I1835" i="32"/>
  <c r="I1836" i="32"/>
  <c r="I1837" i="32"/>
  <c r="I1838" i="32"/>
  <c r="I1839" i="32"/>
  <c r="I1840" i="32"/>
  <c r="I1841" i="32"/>
  <c r="I1842" i="32"/>
  <c r="I1843" i="32"/>
  <c r="I1844" i="32"/>
  <c r="I1845" i="32"/>
  <c r="I1846" i="32"/>
  <c r="I1847" i="32"/>
  <c r="I1848" i="32"/>
  <c r="I1849" i="32"/>
  <c r="I1850" i="32"/>
  <c r="I1851" i="32"/>
  <c r="I1852" i="32"/>
  <c r="I1853" i="32"/>
  <c r="I1854" i="32"/>
  <c r="I1855" i="32"/>
  <c r="I1856" i="32"/>
  <c r="I1857" i="32"/>
  <c r="I1858" i="32"/>
  <c r="I1859" i="32"/>
  <c r="I1860" i="32"/>
  <c r="I1861" i="32"/>
  <c r="I1862" i="32"/>
  <c r="I1863" i="32"/>
  <c r="I1864" i="32"/>
  <c r="I1865" i="32"/>
  <c r="I1866" i="32"/>
  <c r="I1867" i="32"/>
  <c r="I1868" i="32"/>
  <c r="I1869" i="32"/>
  <c r="I1870" i="32"/>
  <c r="I1871" i="32"/>
  <c r="I1872" i="32"/>
  <c r="I1873" i="32"/>
  <c r="I1874" i="32"/>
  <c r="I1875" i="32"/>
  <c r="I1876" i="32"/>
  <c r="I1877" i="32"/>
  <c r="I1878" i="32"/>
  <c r="I1879" i="32"/>
  <c r="I1880" i="32"/>
  <c r="I1881" i="32"/>
  <c r="I1882" i="32"/>
  <c r="I1883" i="32"/>
  <c r="I1884" i="32"/>
  <c r="I1885" i="32"/>
  <c r="I1886" i="32"/>
  <c r="I1887" i="32"/>
  <c r="I1888" i="32"/>
  <c r="I1889" i="32"/>
  <c r="I1890" i="32"/>
  <c r="I1891" i="32"/>
  <c r="I1892" i="32"/>
  <c r="I1893" i="32"/>
  <c r="I1894" i="32"/>
  <c r="I1895" i="32"/>
  <c r="I1896" i="32"/>
  <c r="I1897" i="32"/>
  <c r="I1898" i="32"/>
  <c r="I1899" i="32"/>
  <c r="I1900" i="32"/>
  <c r="I1901" i="32"/>
  <c r="I1902" i="32"/>
  <c r="I1903" i="32"/>
  <c r="I1904" i="32"/>
  <c r="I1905" i="32"/>
  <c r="I1906" i="32"/>
  <c r="I1907" i="32"/>
  <c r="I1908" i="32"/>
  <c r="I1909" i="32"/>
  <c r="I1910" i="32"/>
  <c r="I1911" i="32"/>
  <c r="I1912" i="32"/>
  <c r="I1913" i="32"/>
  <c r="I1914" i="32"/>
  <c r="I1915" i="32"/>
  <c r="I1916" i="32"/>
  <c r="I1917" i="32"/>
  <c r="I1918" i="32"/>
  <c r="I1919" i="32"/>
  <c r="I1920" i="32"/>
  <c r="I1921" i="32"/>
  <c r="I1922" i="32"/>
  <c r="I1923" i="32"/>
  <c r="I1924" i="32"/>
  <c r="I1925" i="32"/>
  <c r="I1926" i="32"/>
  <c r="I1927" i="32"/>
  <c r="I1928" i="32"/>
  <c r="I1929" i="32"/>
  <c r="I1930" i="32"/>
  <c r="I1931" i="32"/>
  <c r="I1932" i="32"/>
  <c r="I1933" i="32"/>
  <c r="I1934" i="32"/>
  <c r="I1935" i="32"/>
  <c r="I1936" i="32"/>
  <c r="I1937" i="32"/>
  <c r="I1938" i="32"/>
  <c r="I1939" i="32"/>
  <c r="I1940" i="32"/>
  <c r="I1941" i="32"/>
  <c r="I1942" i="32"/>
  <c r="I1943" i="32"/>
  <c r="I1944" i="32"/>
  <c r="I1945" i="32"/>
  <c r="I1946" i="32"/>
  <c r="I1947" i="32"/>
  <c r="I1948" i="32"/>
  <c r="I1949" i="32"/>
  <c r="I1950" i="32"/>
  <c r="I1951" i="32"/>
  <c r="I1952" i="32"/>
  <c r="I1953" i="32"/>
  <c r="I1954" i="32"/>
  <c r="I1955" i="32"/>
  <c r="I1956" i="32"/>
  <c r="I1957" i="32"/>
  <c r="I1958" i="32"/>
  <c r="I1959" i="32"/>
  <c r="I1960" i="32"/>
  <c r="I1961" i="32"/>
  <c r="I1962" i="32"/>
  <c r="I1963" i="32"/>
  <c r="I1964" i="32"/>
  <c r="I1965" i="32"/>
  <c r="I1966" i="32"/>
  <c r="I1967" i="32"/>
  <c r="I1968" i="32"/>
  <c r="I1969" i="32"/>
  <c r="I1970" i="32"/>
  <c r="I1971" i="32"/>
  <c r="I1972" i="32"/>
  <c r="I1973" i="32"/>
  <c r="I1974" i="32"/>
  <c r="I1975" i="32"/>
  <c r="I1976" i="32"/>
  <c r="I1977" i="32"/>
  <c r="I1978" i="32"/>
  <c r="I1979" i="32"/>
  <c r="I1980" i="32"/>
  <c r="I1981" i="32"/>
  <c r="I1982" i="32"/>
  <c r="I1983" i="32"/>
  <c r="I1984" i="32"/>
  <c r="I1985" i="32"/>
  <c r="I1986" i="32"/>
  <c r="I1987" i="32"/>
  <c r="I1988" i="32"/>
  <c r="I1989" i="32"/>
  <c r="I1990" i="32"/>
  <c r="I1991" i="32"/>
  <c r="I1992" i="32"/>
  <c r="I1993" i="32"/>
  <c r="I1994" i="32"/>
  <c r="I1995" i="32"/>
  <c r="I1996" i="32"/>
  <c r="I1997" i="32"/>
  <c r="I1998" i="32"/>
  <c r="I1999" i="32"/>
  <c r="I2000" i="32"/>
  <c r="I2001" i="32"/>
  <c r="I2002" i="32"/>
  <c r="I2003" i="32"/>
  <c r="I2004" i="32"/>
  <c r="I2005" i="32"/>
  <c r="I2006" i="32"/>
  <c r="I2007" i="32"/>
  <c r="I2008" i="32"/>
  <c r="I2009" i="32"/>
  <c r="I2010" i="32"/>
  <c r="I2011" i="32"/>
  <c r="I2012" i="32"/>
  <c r="I2013" i="32"/>
  <c r="I2014" i="32"/>
  <c r="I2015" i="32"/>
  <c r="I2016" i="32"/>
  <c r="I2017" i="32"/>
  <c r="I2018" i="32"/>
  <c r="I2019" i="32"/>
  <c r="I2020" i="32"/>
  <c r="I2021" i="32"/>
  <c r="I2022" i="32"/>
  <c r="I2023" i="32"/>
  <c r="I2024" i="32"/>
  <c r="I2025" i="32"/>
  <c r="I2026" i="32"/>
  <c r="I2027" i="32"/>
  <c r="I2028" i="32"/>
  <c r="I2029" i="32"/>
  <c r="I2030" i="32"/>
  <c r="I2031" i="32"/>
  <c r="I2032" i="32"/>
  <c r="I2033" i="32"/>
  <c r="I2034" i="32"/>
  <c r="I2035" i="32"/>
  <c r="I2036" i="32"/>
  <c r="I2037" i="32"/>
  <c r="I2038" i="32"/>
  <c r="I2039" i="32"/>
  <c r="I2040" i="32"/>
  <c r="I2041" i="32"/>
  <c r="I2042" i="32"/>
  <c r="I2043" i="32"/>
  <c r="I2044" i="32"/>
  <c r="I2045" i="32"/>
  <c r="I2046" i="32"/>
  <c r="I2047" i="32"/>
  <c r="I2048" i="32"/>
  <c r="I2049" i="32"/>
  <c r="I2050" i="32"/>
  <c r="I2051" i="32"/>
  <c r="I2052" i="32"/>
  <c r="I2053" i="32"/>
  <c r="I2054" i="32"/>
  <c r="I2055" i="32"/>
  <c r="I2056" i="32"/>
  <c r="I2057" i="32"/>
  <c r="I2058" i="32"/>
  <c r="I2059" i="32"/>
  <c r="I2060" i="32"/>
  <c r="I2061" i="32"/>
  <c r="I2062" i="32"/>
  <c r="I2063" i="32"/>
  <c r="I2064" i="32"/>
  <c r="I2065" i="32"/>
  <c r="I2066" i="32"/>
  <c r="I2067" i="32"/>
  <c r="I2068" i="32"/>
  <c r="I2069" i="32"/>
  <c r="I2070" i="32"/>
  <c r="I2071" i="32"/>
  <c r="I2072" i="32"/>
  <c r="I2073" i="32"/>
  <c r="I2074" i="32"/>
  <c r="I2075" i="32"/>
  <c r="I2076" i="32"/>
  <c r="I2077" i="32"/>
  <c r="I2078" i="32"/>
  <c r="I2079" i="32"/>
  <c r="I2080" i="32"/>
  <c r="I2081" i="32"/>
  <c r="I2082" i="32"/>
  <c r="I2083" i="32"/>
  <c r="I2084" i="32"/>
  <c r="I2085" i="32"/>
  <c r="I2086" i="32"/>
  <c r="I2087" i="32"/>
  <c r="I2088" i="32"/>
  <c r="I2089" i="32"/>
  <c r="I2090" i="32"/>
  <c r="I2091" i="32"/>
  <c r="I2092" i="32"/>
  <c r="I2093" i="32"/>
  <c r="I2094" i="32"/>
  <c r="I2095" i="32"/>
  <c r="I2096" i="32"/>
  <c r="I2097" i="32"/>
  <c r="I2098" i="32"/>
  <c r="I2099" i="32"/>
  <c r="I2100" i="32"/>
  <c r="I2101" i="32"/>
  <c r="I2102" i="32"/>
  <c r="I2103" i="32"/>
  <c r="I2104" i="32"/>
  <c r="I2105" i="32"/>
  <c r="I2106" i="32"/>
  <c r="I2107" i="32"/>
  <c r="I2108" i="32"/>
  <c r="I2109" i="32"/>
  <c r="I2110" i="32"/>
  <c r="I2111" i="32"/>
  <c r="I2112" i="32"/>
  <c r="I2113" i="32"/>
  <c r="I2114" i="32"/>
  <c r="I2115" i="32"/>
  <c r="I2116" i="32"/>
  <c r="I2117" i="32"/>
  <c r="I2118" i="32"/>
  <c r="I2119" i="32"/>
  <c r="I2120" i="32"/>
  <c r="I2121" i="32"/>
  <c r="I2122" i="32"/>
  <c r="I2123" i="32"/>
  <c r="I2124" i="32"/>
  <c r="I2125" i="32"/>
  <c r="I2126" i="32"/>
  <c r="I2127" i="32"/>
  <c r="I2128" i="32"/>
  <c r="I2129" i="32"/>
  <c r="I2130" i="32"/>
  <c r="I2131" i="32"/>
  <c r="I2132" i="32"/>
  <c r="I2133" i="32"/>
  <c r="I2134" i="32"/>
  <c r="I2135" i="32"/>
  <c r="I2136" i="32"/>
  <c r="I2137" i="32"/>
  <c r="I2138" i="32"/>
  <c r="I2139" i="32"/>
  <c r="I2140" i="32"/>
  <c r="I2141" i="32"/>
  <c r="I2142" i="32"/>
  <c r="I2143" i="32"/>
  <c r="I2144" i="32"/>
  <c r="I2145" i="32"/>
  <c r="I2146" i="32"/>
  <c r="I2147" i="32"/>
  <c r="I2148" i="32"/>
  <c r="I2149" i="32"/>
  <c r="I2150" i="32"/>
  <c r="I2151" i="32"/>
  <c r="I2152" i="32"/>
  <c r="I2153" i="32"/>
  <c r="I2154" i="32"/>
  <c r="I2155" i="32"/>
  <c r="I2156" i="32"/>
  <c r="I2157" i="32"/>
  <c r="I2158" i="32"/>
  <c r="I2159" i="32"/>
  <c r="I2160" i="32"/>
  <c r="I2161" i="32"/>
  <c r="I2162" i="32"/>
  <c r="I2163" i="32"/>
  <c r="I2164" i="32"/>
  <c r="I2165" i="32"/>
  <c r="I2166" i="32"/>
  <c r="I2167" i="32"/>
  <c r="I2168" i="32"/>
  <c r="I2169" i="32"/>
  <c r="I2170" i="32"/>
  <c r="I2171" i="32"/>
  <c r="I2172" i="32"/>
  <c r="I2173" i="32"/>
  <c r="I2174" i="32"/>
  <c r="I2175" i="32"/>
  <c r="I2176" i="32"/>
  <c r="I2177" i="32"/>
  <c r="I2178" i="32"/>
  <c r="I2179" i="32"/>
  <c r="I2180" i="32"/>
  <c r="I2181" i="32"/>
  <c r="I2182" i="32"/>
  <c r="I2183" i="32"/>
  <c r="I2184" i="32"/>
  <c r="I2185" i="32"/>
  <c r="I2186" i="32"/>
  <c r="I2187" i="32"/>
  <c r="I2188" i="32"/>
  <c r="I2189" i="32"/>
  <c r="I2190" i="32"/>
  <c r="I2191" i="32"/>
  <c r="I2192" i="32"/>
  <c r="I2193" i="32"/>
  <c r="I2194" i="32"/>
  <c r="I2195" i="32"/>
  <c r="I2196" i="32"/>
  <c r="I2197" i="32"/>
  <c r="I2198" i="32"/>
  <c r="I2199" i="32"/>
  <c r="I2200" i="32"/>
  <c r="I2201" i="32"/>
  <c r="I2202" i="32"/>
  <c r="I2203" i="32"/>
  <c r="I2204" i="32"/>
  <c r="I2205" i="32"/>
  <c r="I2206" i="32"/>
  <c r="I2207" i="32"/>
  <c r="I2208" i="32"/>
  <c r="I2209" i="32"/>
  <c r="I2210" i="32"/>
  <c r="I2211" i="32"/>
  <c r="I2212" i="32"/>
  <c r="I2213" i="32"/>
  <c r="I2214" i="32"/>
  <c r="I2215" i="32"/>
  <c r="I2216" i="32"/>
  <c r="I2217" i="32"/>
  <c r="I2218" i="32"/>
  <c r="I2219" i="32"/>
  <c r="I2220" i="32"/>
  <c r="I2221" i="32"/>
  <c r="I2222" i="32"/>
  <c r="I2223" i="32"/>
  <c r="I2224" i="32"/>
  <c r="I2225" i="32"/>
  <c r="I2226" i="32"/>
  <c r="I2227" i="32"/>
  <c r="I2228" i="32"/>
  <c r="I2229" i="32"/>
  <c r="I2230" i="32"/>
  <c r="I2231" i="32"/>
  <c r="I2232" i="32"/>
  <c r="I2233" i="32"/>
  <c r="I2234" i="32"/>
  <c r="I2235" i="32"/>
  <c r="I2236" i="32"/>
  <c r="I2237" i="32"/>
  <c r="I2238" i="32"/>
  <c r="I2239" i="32"/>
  <c r="I2240" i="32"/>
  <c r="I2241" i="32"/>
  <c r="I2242" i="32"/>
  <c r="I2243" i="32"/>
  <c r="I2244" i="32"/>
  <c r="I2245" i="32"/>
  <c r="I2246" i="32"/>
  <c r="I2247" i="32"/>
  <c r="I2248" i="32"/>
  <c r="I2249" i="32"/>
  <c r="I2250" i="32"/>
  <c r="I2251" i="32"/>
  <c r="I2252" i="32"/>
  <c r="I2253" i="32"/>
  <c r="I2254" i="32"/>
  <c r="I2255" i="32"/>
  <c r="I2256" i="32"/>
  <c r="I2257" i="32"/>
  <c r="I2258" i="32"/>
  <c r="I2259" i="32"/>
  <c r="I2260" i="32"/>
  <c r="I2261" i="32"/>
  <c r="I2262" i="32"/>
  <c r="I2263" i="32"/>
  <c r="I2264" i="32"/>
  <c r="I2265" i="32"/>
  <c r="I2266" i="32"/>
  <c r="I2267" i="32"/>
  <c r="I2268" i="32"/>
  <c r="I2269" i="32"/>
  <c r="I2270" i="32"/>
  <c r="I2271" i="32"/>
  <c r="I2272" i="32"/>
  <c r="I2273" i="32"/>
  <c r="I2274" i="32"/>
  <c r="I2275" i="32"/>
  <c r="I2276" i="32"/>
  <c r="I2277" i="32"/>
  <c r="I2278" i="32"/>
  <c r="I2279" i="32"/>
  <c r="I2280" i="32"/>
  <c r="I2281" i="32"/>
  <c r="I2282" i="32"/>
  <c r="I2283" i="32"/>
  <c r="I2284" i="32"/>
  <c r="I2285" i="32"/>
  <c r="I2286" i="32"/>
  <c r="I2287" i="32"/>
  <c r="I2288" i="32"/>
  <c r="I2289" i="32"/>
  <c r="I2290" i="32"/>
  <c r="I2291" i="32"/>
  <c r="I2292" i="32"/>
  <c r="I2293" i="32"/>
  <c r="I2294" i="32"/>
  <c r="I2295" i="32"/>
  <c r="I2296" i="32"/>
  <c r="I2297" i="32"/>
  <c r="I2298" i="32"/>
  <c r="I2299" i="32"/>
  <c r="I2300" i="32"/>
  <c r="I2301" i="32"/>
  <c r="I2302" i="32"/>
  <c r="I2303" i="32"/>
  <c r="I2304" i="32"/>
  <c r="I2305" i="32"/>
  <c r="I2306" i="32"/>
  <c r="I2307" i="32"/>
  <c r="I2308" i="32"/>
  <c r="I2309" i="32"/>
  <c r="I2310" i="32"/>
  <c r="I2311" i="32"/>
  <c r="I2312" i="32"/>
  <c r="I2313" i="32"/>
  <c r="I2314" i="32"/>
  <c r="I2315" i="32"/>
  <c r="I2316" i="32"/>
  <c r="I2317" i="32"/>
  <c r="I2318" i="32"/>
  <c r="I2319" i="32"/>
  <c r="I2320" i="32"/>
  <c r="I2321" i="32"/>
  <c r="I2322" i="32"/>
  <c r="I2323" i="32"/>
  <c r="I2324" i="32"/>
  <c r="I2325" i="32"/>
  <c r="I2326" i="32"/>
  <c r="I2327" i="32"/>
  <c r="I2328" i="32"/>
  <c r="I2329" i="32"/>
  <c r="I2330" i="32"/>
  <c r="I2331" i="32"/>
  <c r="I2332" i="32"/>
  <c r="I2333" i="32"/>
  <c r="I2334" i="32"/>
  <c r="I2335" i="32"/>
  <c r="I2336" i="32"/>
  <c r="I2337" i="32"/>
  <c r="I2338" i="32"/>
  <c r="I2339" i="32"/>
  <c r="I2340" i="32"/>
  <c r="I2341" i="32"/>
  <c r="I2342" i="32"/>
  <c r="I2343" i="32"/>
  <c r="I2344" i="32"/>
  <c r="I2345" i="32"/>
  <c r="I2346" i="32"/>
  <c r="I2347" i="32"/>
  <c r="I2348" i="32"/>
  <c r="I2349" i="32"/>
  <c r="I2350" i="32"/>
  <c r="I2351" i="32"/>
  <c r="I2352" i="32"/>
  <c r="I2353" i="32"/>
  <c r="I2354" i="32"/>
  <c r="I2355" i="32"/>
  <c r="I2356" i="32"/>
  <c r="I2357" i="32"/>
  <c r="I2358" i="32"/>
  <c r="I2359" i="32"/>
  <c r="I2360" i="32"/>
  <c r="I2361" i="32"/>
  <c r="I2362" i="32"/>
  <c r="I2363" i="32"/>
  <c r="I2364" i="32"/>
  <c r="I2365" i="32"/>
  <c r="I2366" i="32"/>
  <c r="I2367" i="32"/>
  <c r="I2368" i="32"/>
  <c r="I2369" i="32"/>
  <c r="I2370" i="32"/>
  <c r="I2371" i="32"/>
  <c r="I2372" i="32"/>
  <c r="I2373" i="32"/>
  <c r="I2374" i="32"/>
  <c r="I2375" i="32"/>
  <c r="I2376" i="32"/>
  <c r="I2377" i="32"/>
  <c r="I2378" i="32"/>
  <c r="I2379" i="32"/>
  <c r="I2380" i="32"/>
  <c r="I2381" i="32"/>
  <c r="I2382" i="32"/>
  <c r="I2383" i="32"/>
  <c r="I2384" i="32"/>
  <c r="I2385" i="32"/>
  <c r="I2386" i="32"/>
  <c r="I2387" i="32"/>
  <c r="I2388" i="32"/>
  <c r="I2389" i="32"/>
  <c r="I2390" i="32"/>
  <c r="I2391" i="32"/>
  <c r="I2392" i="32"/>
  <c r="I2393" i="32"/>
  <c r="I2394" i="32"/>
  <c r="I2395" i="32"/>
  <c r="I2396" i="32"/>
  <c r="I2397" i="32"/>
  <c r="I2398" i="32"/>
  <c r="I2399" i="32"/>
  <c r="I2400" i="32"/>
  <c r="I2401" i="32"/>
  <c r="I2402" i="32"/>
  <c r="I2403" i="32"/>
  <c r="I2404" i="32"/>
  <c r="I2405" i="32"/>
  <c r="I2406" i="32"/>
  <c r="I2407" i="32"/>
  <c r="I2408" i="32"/>
  <c r="I2409" i="32"/>
  <c r="I2410" i="32"/>
  <c r="I2411" i="32"/>
  <c r="I2412" i="32"/>
  <c r="I2413" i="32"/>
  <c r="I2414" i="32"/>
  <c r="I2415" i="32"/>
  <c r="I2416" i="32"/>
  <c r="I2417" i="32"/>
  <c r="I2418" i="32"/>
  <c r="I2419" i="32"/>
  <c r="I2420" i="32"/>
  <c r="I2421" i="32"/>
  <c r="I2422" i="32"/>
  <c r="I2423" i="32"/>
  <c r="I2424" i="32"/>
  <c r="I2425" i="32"/>
  <c r="I2426" i="32"/>
  <c r="I2427" i="32"/>
  <c r="I2428" i="32"/>
  <c r="I2429" i="32"/>
  <c r="I2430" i="32"/>
  <c r="I2431" i="32"/>
  <c r="I2432" i="32"/>
  <c r="I2433" i="32"/>
  <c r="I2434" i="32"/>
  <c r="I2435" i="32"/>
  <c r="I2436" i="32"/>
  <c r="I2437" i="32"/>
  <c r="I2438" i="32"/>
  <c r="I2439" i="32"/>
  <c r="I2440" i="32"/>
  <c r="I2441" i="32"/>
  <c r="I2442" i="32"/>
  <c r="I2443" i="32"/>
  <c r="I2444" i="32"/>
  <c r="I2445" i="32"/>
  <c r="I2446" i="32"/>
  <c r="I2447" i="32"/>
  <c r="I2448" i="32"/>
  <c r="I2449" i="32"/>
  <c r="I2450" i="32"/>
  <c r="I2451" i="32"/>
  <c r="I2452" i="32"/>
  <c r="I2453" i="32"/>
  <c r="I2454" i="32"/>
  <c r="I2455" i="32"/>
  <c r="I2456" i="32"/>
  <c r="I2457" i="32"/>
  <c r="I2458" i="32"/>
  <c r="I2459" i="32"/>
  <c r="I2460" i="32"/>
  <c r="I2461" i="32"/>
  <c r="I2462" i="32"/>
  <c r="I2463" i="32"/>
  <c r="I2464" i="32"/>
  <c r="I2465" i="32"/>
  <c r="I2466" i="32"/>
  <c r="I2467" i="32"/>
  <c r="I2468" i="32"/>
  <c r="I2469" i="32"/>
  <c r="I2470" i="32"/>
  <c r="I2471" i="32"/>
  <c r="I2472" i="32"/>
  <c r="I2473" i="32"/>
  <c r="I2474" i="32"/>
  <c r="I2475" i="32"/>
  <c r="I2476" i="32"/>
  <c r="I2477" i="32"/>
  <c r="I2478" i="32"/>
  <c r="I2479" i="32"/>
  <c r="I2480" i="32"/>
  <c r="I2481" i="32"/>
  <c r="I2482" i="32"/>
  <c r="I2483" i="32"/>
  <c r="I2484" i="32"/>
  <c r="I2485" i="32"/>
  <c r="I2486" i="32"/>
  <c r="I2487" i="32"/>
  <c r="I2488" i="32"/>
  <c r="I2489" i="32"/>
  <c r="I2490" i="32"/>
  <c r="I2491" i="32"/>
  <c r="I2492" i="32"/>
  <c r="I2493" i="32"/>
  <c r="I2494" i="32"/>
  <c r="I2495" i="32"/>
  <c r="I2496" i="32"/>
  <c r="I2497" i="32"/>
  <c r="I2498" i="32"/>
  <c r="I2499" i="32"/>
  <c r="I2500" i="32"/>
  <c r="I2501" i="32"/>
  <c r="I2502" i="32"/>
  <c r="I2503" i="32"/>
  <c r="I2504" i="32"/>
  <c r="I2505" i="32"/>
  <c r="I2506" i="32"/>
  <c r="I2507" i="32"/>
  <c r="I2508" i="32"/>
  <c r="I2509" i="32"/>
  <c r="I2510" i="32"/>
  <c r="I2511" i="32"/>
  <c r="I2512" i="32"/>
  <c r="I2513" i="32"/>
  <c r="I2514" i="32"/>
  <c r="I2515" i="32"/>
  <c r="I2516" i="32"/>
  <c r="I2517" i="32"/>
  <c r="I2518" i="32"/>
  <c r="I2519" i="32"/>
  <c r="I2520" i="32"/>
  <c r="I2521" i="32"/>
  <c r="I2522" i="32"/>
  <c r="I2523" i="32"/>
  <c r="I2524" i="32"/>
  <c r="I2525" i="32"/>
  <c r="I2526" i="32"/>
  <c r="I2527" i="32"/>
  <c r="I2528" i="32"/>
  <c r="I2529" i="32"/>
  <c r="I2530" i="32"/>
  <c r="I2531" i="32"/>
  <c r="I2532" i="32"/>
  <c r="I2533" i="32"/>
  <c r="I2534" i="32"/>
  <c r="I2535" i="32"/>
  <c r="I2536" i="32"/>
  <c r="I2537" i="32"/>
  <c r="I2538" i="32"/>
  <c r="I2539" i="32"/>
  <c r="I2540" i="32"/>
  <c r="I2541" i="32"/>
  <c r="I2542" i="32"/>
  <c r="I2543" i="32"/>
  <c r="I2544" i="32"/>
  <c r="I2545" i="32"/>
  <c r="I2546" i="32"/>
  <c r="I2547" i="32"/>
  <c r="I2548" i="32"/>
  <c r="I2549" i="32"/>
  <c r="I2550" i="32"/>
  <c r="I2551" i="32"/>
  <c r="I2552" i="32"/>
  <c r="I2553" i="32"/>
  <c r="I2554" i="32"/>
  <c r="I2555" i="32"/>
  <c r="I2556" i="32"/>
  <c r="I2557" i="32"/>
  <c r="I2558" i="32"/>
  <c r="I2559" i="32"/>
  <c r="I2560" i="32"/>
  <c r="I2561" i="32"/>
  <c r="I2562" i="32"/>
  <c r="I2563" i="32"/>
  <c r="I2564" i="32"/>
  <c r="I2565" i="32"/>
  <c r="I2566" i="32"/>
  <c r="I2567" i="32"/>
  <c r="I2568" i="32"/>
  <c r="I2569" i="32"/>
  <c r="I2570" i="32"/>
  <c r="I2571" i="32"/>
  <c r="I2572" i="32"/>
  <c r="I2573" i="32"/>
  <c r="I2574" i="32"/>
  <c r="I2575" i="32"/>
  <c r="I2576" i="32"/>
  <c r="I2577" i="32"/>
  <c r="I2578" i="32"/>
  <c r="I2579" i="32"/>
  <c r="I2580" i="32"/>
  <c r="I2581" i="32"/>
  <c r="I2582" i="32"/>
  <c r="I2583" i="32"/>
  <c r="I2584" i="32"/>
  <c r="I2585" i="32"/>
  <c r="I2586" i="32"/>
  <c r="I2587" i="32"/>
  <c r="I2588" i="32"/>
  <c r="I2589" i="32"/>
  <c r="I2590" i="32"/>
  <c r="I2591" i="32"/>
  <c r="I2592" i="32"/>
  <c r="I2593" i="32"/>
  <c r="I2594" i="32"/>
  <c r="I2595" i="32"/>
  <c r="I2596" i="32"/>
  <c r="I2597" i="32"/>
  <c r="I2598" i="32"/>
  <c r="I2599" i="32"/>
  <c r="I2600" i="32"/>
  <c r="I2601" i="32"/>
  <c r="I2602" i="32"/>
  <c r="I2603" i="32"/>
  <c r="I2604" i="32"/>
  <c r="I2605" i="32"/>
  <c r="I2606" i="32"/>
  <c r="I2607" i="32"/>
  <c r="I2608" i="32"/>
  <c r="I2609" i="32"/>
  <c r="I2610" i="32"/>
  <c r="I2611" i="32"/>
  <c r="I2612" i="32"/>
  <c r="I2613" i="32"/>
  <c r="I2614" i="32"/>
  <c r="I2615" i="32"/>
  <c r="I2616" i="32"/>
  <c r="I2617" i="32"/>
  <c r="I2618" i="32"/>
  <c r="I2619" i="32"/>
  <c r="I2620" i="32"/>
  <c r="I2621" i="32"/>
  <c r="I2622" i="32"/>
  <c r="I2623" i="32"/>
  <c r="I2624" i="32"/>
  <c r="I2625" i="32"/>
  <c r="I2626" i="32"/>
  <c r="I2627" i="32"/>
  <c r="I2628" i="32"/>
  <c r="I2629" i="32"/>
  <c r="I2630" i="32"/>
  <c r="I2631" i="32"/>
  <c r="I2632" i="32"/>
  <c r="I2633" i="32"/>
  <c r="I2634" i="32"/>
  <c r="I2635" i="32"/>
  <c r="I2636" i="32"/>
  <c r="I2637" i="32"/>
  <c r="I2638" i="32"/>
  <c r="I2639" i="32"/>
  <c r="I2640" i="32"/>
  <c r="I2641" i="32"/>
  <c r="I2642" i="32"/>
  <c r="I2643" i="32"/>
  <c r="I2644" i="32"/>
  <c r="I2645" i="32"/>
  <c r="I2646" i="32"/>
  <c r="I2647" i="32"/>
  <c r="I2648" i="32"/>
  <c r="I2649" i="32"/>
  <c r="I2650" i="32"/>
  <c r="I2651" i="32"/>
  <c r="I2652" i="32"/>
  <c r="I2653" i="32"/>
  <c r="I2654" i="32"/>
  <c r="I2655" i="32"/>
  <c r="I2656" i="32"/>
  <c r="I2657" i="32"/>
  <c r="I2658" i="32"/>
  <c r="I2659" i="32"/>
  <c r="I2660" i="32"/>
  <c r="I2661" i="32"/>
  <c r="I2662" i="32"/>
  <c r="I2663" i="32"/>
  <c r="I2664" i="32"/>
  <c r="I2665" i="32"/>
  <c r="I2666" i="32"/>
  <c r="I2667" i="32"/>
  <c r="I2668" i="32"/>
  <c r="I2669" i="32"/>
  <c r="I2670" i="32"/>
  <c r="I2671" i="32"/>
  <c r="I2672" i="32"/>
  <c r="I2673" i="32"/>
  <c r="I2674" i="32"/>
  <c r="I2675" i="32"/>
  <c r="I2676" i="32"/>
  <c r="I2677" i="32"/>
  <c r="I2678" i="32"/>
  <c r="I2679" i="32"/>
  <c r="I2680" i="32"/>
  <c r="I2681" i="32"/>
  <c r="I2682" i="32"/>
  <c r="I2683" i="32"/>
  <c r="I2684" i="32"/>
  <c r="I2685" i="32"/>
  <c r="I2686" i="32"/>
  <c r="I2687" i="32"/>
  <c r="I2688" i="32"/>
  <c r="I2689" i="32"/>
  <c r="I2690" i="32"/>
  <c r="I2691" i="32"/>
  <c r="I2692" i="32"/>
  <c r="I2693" i="32"/>
  <c r="I2694" i="32"/>
  <c r="I2695" i="32"/>
  <c r="I2696" i="32"/>
  <c r="I2697" i="32"/>
  <c r="I2698" i="32"/>
  <c r="I2699" i="32"/>
  <c r="I2700" i="32"/>
  <c r="I2701" i="32"/>
  <c r="I2702" i="32"/>
  <c r="I2703" i="32"/>
  <c r="I2704" i="32"/>
  <c r="I2705" i="32"/>
  <c r="I2706" i="32"/>
  <c r="I2707" i="32"/>
  <c r="I2708" i="32"/>
  <c r="I2709" i="32"/>
  <c r="I2710" i="32"/>
  <c r="I2711" i="32"/>
  <c r="I2712" i="32"/>
  <c r="I2713" i="32"/>
  <c r="I2714" i="32"/>
  <c r="I2715" i="32"/>
  <c r="I2716" i="32"/>
  <c r="I2717" i="32"/>
  <c r="I2718" i="32"/>
  <c r="I2719" i="32"/>
  <c r="I2720" i="32"/>
  <c r="I2721" i="32"/>
  <c r="I2722" i="32"/>
  <c r="I2723" i="32"/>
  <c r="I2724" i="32"/>
  <c r="I2725" i="32"/>
  <c r="I2726" i="32"/>
  <c r="I2727" i="32"/>
  <c r="I2728" i="32"/>
  <c r="I2729" i="32"/>
  <c r="I2730" i="32"/>
  <c r="I2731" i="32"/>
  <c r="I2732" i="32"/>
  <c r="I2733" i="32"/>
  <c r="I2734" i="32"/>
  <c r="I2735" i="32"/>
  <c r="I2736" i="32"/>
  <c r="I2737" i="32"/>
  <c r="I2738" i="32"/>
  <c r="I2739" i="32"/>
  <c r="I2740" i="32"/>
  <c r="I2741" i="32"/>
  <c r="I2742" i="32"/>
  <c r="I2743" i="32"/>
  <c r="I2744" i="32"/>
  <c r="I2745" i="32"/>
  <c r="I2746" i="32"/>
  <c r="I2747" i="32"/>
  <c r="I2748" i="32"/>
  <c r="I2749" i="32"/>
  <c r="I2750" i="32"/>
  <c r="I2751" i="32"/>
  <c r="I2752" i="32"/>
  <c r="I2753" i="32"/>
  <c r="I2754" i="32"/>
  <c r="I2755" i="32"/>
  <c r="I2756" i="32"/>
  <c r="I2757" i="32"/>
  <c r="I2758" i="32"/>
  <c r="I2759" i="32"/>
  <c r="I2760" i="32"/>
  <c r="I2761" i="32"/>
  <c r="I2762" i="32"/>
  <c r="I2763" i="32"/>
  <c r="I2764" i="32"/>
  <c r="I2765" i="32"/>
  <c r="I2766" i="32"/>
  <c r="I2767" i="32"/>
  <c r="I2768" i="32"/>
  <c r="I2769" i="32"/>
  <c r="I2770" i="32"/>
  <c r="I2771" i="32"/>
  <c r="I2772" i="32"/>
  <c r="I2773" i="32"/>
  <c r="I2774" i="32"/>
  <c r="I2775" i="32"/>
  <c r="I2776" i="32"/>
  <c r="I2777" i="32"/>
  <c r="I2778" i="32"/>
  <c r="I2779" i="32"/>
  <c r="I2780" i="32"/>
  <c r="I2781" i="32"/>
  <c r="I2782" i="32"/>
  <c r="I2783" i="32"/>
  <c r="I2784" i="32"/>
  <c r="I2785" i="32"/>
  <c r="I2786" i="32"/>
  <c r="I2787" i="32"/>
  <c r="I2788" i="32"/>
  <c r="I2789" i="32"/>
  <c r="I2790" i="32"/>
  <c r="I2791" i="32"/>
  <c r="I2792" i="32"/>
  <c r="I2793" i="32"/>
  <c r="I2794" i="32"/>
  <c r="I2795" i="32"/>
  <c r="I2796" i="32"/>
  <c r="I2797" i="32"/>
  <c r="I2798" i="32"/>
  <c r="I2799" i="32"/>
  <c r="I2800" i="32"/>
  <c r="I2801" i="32"/>
  <c r="I2802" i="32"/>
  <c r="I2803" i="32"/>
  <c r="I2804" i="32"/>
  <c r="I2805" i="32"/>
  <c r="I2806" i="32"/>
  <c r="I2807" i="32"/>
  <c r="I2808" i="32"/>
  <c r="I2809" i="32"/>
  <c r="I2810" i="32"/>
  <c r="I2811" i="32"/>
  <c r="I2812" i="32"/>
  <c r="I2813" i="32"/>
  <c r="I2814" i="32"/>
  <c r="I2815" i="32"/>
  <c r="I2816" i="32"/>
  <c r="I2817" i="32"/>
  <c r="I2818" i="32"/>
  <c r="I2819" i="32"/>
  <c r="I2820" i="32"/>
  <c r="I2821" i="32"/>
  <c r="I2822" i="32"/>
  <c r="I2823" i="32"/>
  <c r="I2824" i="32"/>
  <c r="I2825" i="32"/>
  <c r="I2826" i="32"/>
  <c r="I2827" i="32"/>
  <c r="I2828" i="32"/>
  <c r="I2829" i="32"/>
  <c r="I2830" i="32"/>
  <c r="I2831" i="32"/>
  <c r="I2832" i="32"/>
  <c r="I2833" i="32"/>
  <c r="I2834" i="32"/>
  <c r="I2835" i="32"/>
  <c r="I2836" i="32"/>
  <c r="I2837" i="32"/>
  <c r="I2838" i="32"/>
  <c r="I2839" i="32"/>
  <c r="I2840" i="32"/>
  <c r="I2841" i="32"/>
  <c r="I2842" i="32"/>
  <c r="I2843" i="32"/>
  <c r="I2844" i="32"/>
  <c r="I2845" i="32"/>
  <c r="I2846" i="32"/>
  <c r="I2847" i="32"/>
  <c r="I2848" i="32"/>
  <c r="I2849" i="32"/>
  <c r="I2850" i="32"/>
  <c r="I2851" i="32"/>
  <c r="I2852" i="32"/>
  <c r="I2853" i="32"/>
  <c r="I2854" i="32"/>
  <c r="I2855" i="32"/>
  <c r="I2856" i="32"/>
  <c r="I2857" i="32"/>
  <c r="I2858" i="32"/>
  <c r="I2859" i="32"/>
  <c r="I2860" i="32"/>
  <c r="I2861" i="32"/>
  <c r="I2862" i="32"/>
  <c r="I2863" i="32"/>
  <c r="I2864" i="32"/>
  <c r="I2865" i="32"/>
  <c r="I2866" i="32"/>
  <c r="I2867" i="32"/>
  <c r="I2868" i="32"/>
  <c r="I2869" i="32"/>
  <c r="I2870" i="32"/>
  <c r="I2871" i="32"/>
  <c r="I2872" i="32"/>
  <c r="I2873" i="32"/>
  <c r="I2874" i="32"/>
  <c r="I2875" i="32"/>
  <c r="I2876" i="32"/>
  <c r="I2877" i="32"/>
  <c r="I2878" i="32"/>
  <c r="I2879" i="32"/>
  <c r="I2880" i="32"/>
  <c r="I2881" i="32"/>
  <c r="I2882" i="32"/>
  <c r="I2883" i="32"/>
  <c r="I2884" i="32"/>
  <c r="I2885" i="32"/>
  <c r="I2886" i="32"/>
  <c r="I2887" i="32"/>
  <c r="I2888" i="32"/>
  <c r="I2889" i="32"/>
  <c r="I2890" i="32"/>
  <c r="I2891" i="32"/>
  <c r="I2892" i="32"/>
  <c r="I2893" i="32"/>
  <c r="I2894" i="32"/>
  <c r="I2895" i="32"/>
  <c r="I2896" i="32"/>
  <c r="I2897" i="32"/>
  <c r="I2898" i="32"/>
  <c r="I2899" i="32"/>
  <c r="I2900" i="32"/>
  <c r="I2901" i="32"/>
  <c r="I2902" i="32"/>
  <c r="I2903" i="32"/>
  <c r="I2904" i="32"/>
  <c r="I2905" i="32"/>
  <c r="I2906" i="32"/>
  <c r="I2907" i="32"/>
  <c r="I2908" i="32"/>
  <c r="I2909" i="32"/>
  <c r="I2910" i="32"/>
  <c r="I2911" i="32"/>
  <c r="I2912" i="32"/>
  <c r="I2913" i="32"/>
  <c r="I2914" i="32"/>
  <c r="I2915" i="32"/>
  <c r="I2916" i="32"/>
  <c r="I2917" i="32"/>
  <c r="I2918" i="32"/>
  <c r="I2919" i="32"/>
  <c r="I2920" i="32"/>
  <c r="I2921" i="32"/>
  <c r="I2922" i="32"/>
  <c r="I2923" i="32"/>
  <c r="I2924" i="32"/>
  <c r="I2925" i="32"/>
  <c r="I2926" i="32"/>
  <c r="I2927" i="32"/>
  <c r="I2928" i="32"/>
  <c r="I2929" i="32"/>
  <c r="I2930" i="32"/>
  <c r="I2931" i="32"/>
  <c r="I2932" i="32"/>
  <c r="I2933" i="32"/>
  <c r="I2934" i="32"/>
  <c r="I2935" i="32"/>
  <c r="I2936" i="32"/>
  <c r="I2937" i="32"/>
  <c r="I2938" i="32"/>
  <c r="I2939" i="32"/>
  <c r="I2940" i="32"/>
  <c r="I2941" i="32"/>
  <c r="I2942" i="32"/>
  <c r="I2943" i="32"/>
  <c r="I2944" i="32"/>
  <c r="I2945" i="32"/>
  <c r="I2946" i="32"/>
  <c r="I2947" i="32"/>
  <c r="I2948" i="32"/>
  <c r="I2949" i="32"/>
  <c r="I2950" i="32"/>
  <c r="I2951" i="32"/>
  <c r="I2952" i="32"/>
  <c r="I2953" i="32"/>
  <c r="I2954" i="32"/>
  <c r="I2955" i="32"/>
  <c r="I2956" i="32"/>
  <c r="I2957" i="32"/>
  <c r="I2958" i="32"/>
  <c r="I2959" i="32"/>
  <c r="I2960" i="32"/>
  <c r="I2961" i="32"/>
  <c r="I2962" i="32"/>
  <c r="I2963" i="32"/>
  <c r="I2964" i="32"/>
  <c r="I2965" i="32"/>
  <c r="I2966" i="32"/>
  <c r="I2967" i="32"/>
  <c r="I2968" i="32"/>
  <c r="I2969" i="32"/>
  <c r="I2970" i="32"/>
  <c r="I2971" i="32"/>
  <c r="I2972" i="32"/>
  <c r="I2973" i="32"/>
  <c r="I2974" i="32"/>
  <c r="I2975" i="32"/>
  <c r="I2976" i="32"/>
  <c r="I2977" i="32"/>
  <c r="I2978" i="32"/>
  <c r="I2979" i="32"/>
  <c r="I2980" i="32"/>
  <c r="I2981" i="32"/>
  <c r="I2982" i="32"/>
  <c r="I2983" i="32"/>
  <c r="I2984" i="32"/>
  <c r="I2985" i="32"/>
  <c r="I2986" i="32"/>
  <c r="I2987" i="32"/>
  <c r="I2988" i="32"/>
  <c r="I2989" i="32"/>
  <c r="I2990" i="32"/>
  <c r="I2991" i="32"/>
  <c r="I2992" i="32"/>
  <c r="I2993" i="32"/>
  <c r="I2994" i="32"/>
  <c r="I2995" i="32"/>
  <c r="I2996" i="32"/>
  <c r="I2997" i="32"/>
  <c r="I2998" i="32"/>
  <c r="I2999" i="32"/>
  <c r="I3000" i="32"/>
  <c r="I3001" i="32"/>
  <c r="I3002" i="32"/>
  <c r="I3003" i="32"/>
  <c r="I3004" i="32"/>
  <c r="I3005" i="32"/>
  <c r="I3006" i="32"/>
  <c r="I3007" i="32"/>
  <c r="I3008" i="32"/>
  <c r="I3009" i="32"/>
  <c r="I3010" i="32"/>
  <c r="I3011" i="32"/>
  <c r="I3012" i="32"/>
  <c r="I3013" i="32"/>
  <c r="I3014" i="32"/>
  <c r="I3015" i="32"/>
  <c r="I3016" i="32"/>
  <c r="I3017" i="32"/>
  <c r="I3018" i="32"/>
  <c r="I3019" i="32"/>
  <c r="I3020" i="32"/>
  <c r="I3021" i="32"/>
  <c r="I3022" i="32"/>
  <c r="I3023" i="32"/>
  <c r="I3024" i="32"/>
  <c r="I3025" i="32"/>
  <c r="I3026" i="32"/>
  <c r="I3027" i="32"/>
  <c r="I3028" i="32"/>
  <c r="I3029" i="32"/>
  <c r="I3030" i="32"/>
  <c r="I3031" i="32"/>
  <c r="I3032" i="32"/>
  <c r="I3033" i="32"/>
  <c r="I3034" i="32"/>
  <c r="I3035" i="32"/>
  <c r="I3036" i="32"/>
  <c r="I3037" i="32"/>
  <c r="I3038" i="32"/>
  <c r="I3039" i="32"/>
  <c r="I3040" i="32"/>
  <c r="I3041" i="32"/>
  <c r="I3042" i="32"/>
  <c r="I3043" i="32"/>
  <c r="I3044" i="32"/>
  <c r="I3045" i="32"/>
  <c r="I3046" i="32"/>
  <c r="I3047" i="32"/>
  <c r="I3048" i="32"/>
  <c r="I3049" i="32"/>
  <c r="I3050" i="32"/>
  <c r="I3051" i="32"/>
  <c r="I3052" i="32"/>
  <c r="I3053" i="32"/>
  <c r="I3054" i="32"/>
  <c r="I3055" i="32"/>
  <c r="I3056" i="32"/>
  <c r="I3057" i="32"/>
  <c r="I3058" i="32"/>
  <c r="I3059" i="32"/>
  <c r="I3060" i="32"/>
  <c r="I3061" i="32"/>
  <c r="I3062" i="32"/>
  <c r="I3063" i="32"/>
  <c r="I3064" i="32"/>
  <c r="I3065" i="32"/>
  <c r="I3066" i="32"/>
  <c r="I3067" i="32"/>
  <c r="I3068" i="32"/>
  <c r="I3069" i="32"/>
  <c r="I3070" i="32"/>
  <c r="I3071" i="32"/>
  <c r="I3072" i="32"/>
  <c r="I3073" i="32"/>
  <c r="I3074" i="32"/>
  <c r="I3075" i="32"/>
  <c r="I3076" i="32"/>
  <c r="I3077" i="32"/>
  <c r="I3078" i="32"/>
  <c r="I3079" i="32"/>
  <c r="I3080" i="32"/>
  <c r="I3081" i="32"/>
  <c r="I3082" i="32"/>
  <c r="I3083" i="32"/>
  <c r="I3084" i="32"/>
  <c r="I3085" i="32"/>
  <c r="I3086" i="32"/>
  <c r="I3087" i="32"/>
  <c r="I3088" i="32"/>
  <c r="I3089" i="32"/>
  <c r="I3090" i="32"/>
  <c r="I3091" i="32"/>
  <c r="I3092" i="32"/>
  <c r="I3093" i="32"/>
  <c r="I3094" i="32"/>
  <c r="I3095" i="32"/>
  <c r="I3096" i="32"/>
  <c r="I3097" i="32"/>
  <c r="I3098" i="32"/>
  <c r="I3099" i="32"/>
  <c r="I3100" i="32"/>
  <c r="I3101" i="32"/>
  <c r="I3102" i="32"/>
  <c r="I3103" i="32"/>
  <c r="I3104" i="32"/>
  <c r="I3105" i="32"/>
  <c r="I3106" i="32"/>
  <c r="I3107" i="32"/>
  <c r="I3108" i="32"/>
  <c r="I3109" i="32"/>
  <c r="I3110" i="32"/>
  <c r="I3111" i="32"/>
  <c r="I3112" i="32"/>
  <c r="I3113" i="32"/>
  <c r="I3114" i="32"/>
  <c r="I3115" i="32"/>
  <c r="I3116" i="32"/>
  <c r="I3117" i="32"/>
  <c r="I3118" i="32"/>
  <c r="I3119" i="32"/>
  <c r="I3120" i="32"/>
  <c r="I3121" i="32"/>
  <c r="I3122" i="32"/>
  <c r="I3123" i="32"/>
  <c r="I3124" i="32"/>
  <c r="I3125" i="32"/>
  <c r="I3126" i="32"/>
  <c r="I3127" i="32"/>
  <c r="I3128" i="32"/>
  <c r="I3129" i="32"/>
  <c r="I3130" i="32"/>
  <c r="I3131" i="32"/>
  <c r="I3132" i="32"/>
  <c r="I3133" i="32"/>
  <c r="I3134" i="32"/>
  <c r="I3135" i="32"/>
  <c r="I3136" i="32"/>
  <c r="I3137" i="32"/>
  <c r="I3138" i="32"/>
  <c r="I3139" i="32"/>
  <c r="I3140" i="32"/>
  <c r="I3141" i="32"/>
  <c r="I3142" i="32"/>
  <c r="I3143" i="32"/>
  <c r="I3144" i="32"/>
  <c r="I3145" i="32"/>
  <c r="I3146" i="32"/>
  <c r="I3147" i="32"/>
  <c r="I3148" i="32"/>
  <c r="I3149" i="32"/>
  <c r="I3150" i="32"/>
  <c r="I3151" i="32"/>
  <c r="I3152" i="32"/>
  <c r="I3153" i="32"/>
  <c r="I3154" i="32"/>
  <c r="I3155" i="32"/>
  <c r="I3156" i="32"/>
  <c r="I3157" i="32"/>
  <c r="I3158" i="32"/>
  <c r="I3159" i="32"/>
  <c r="I3160" i="32"/>
  <c r="I3161" i="32"/>
  <c r="I3162" i="32"/>
  <c r="I3163" i="32"/>
  <c r="I3164" i="32"/>
  <c r="I3165" i="32"/>
  <c r="I3166" i="32"/>
  <c r="I3167" i="32"/>
  <c r="I3168" i="32"/>
  <c r="I3169" i="32"/>
  <c r="I3170" i="32"/>
  <c r="I3171" i="32"/>
  <c r="I3172" i="32"/>
  <c r="I3173" i="32"/>
  <c r="I3174" i="32"/>
  <c r="I3175" i="32"/>
  <c r="I3176" i="32"/>
  <c r="I3177" i="32"/>
  <c r="I3178" i="32"/>
  <c r="I3179" i="32"/>
  <c r="I3180" i="32"/>
  <c r="I3181" i="32"/>
  <c r="I3182" i="32"/>
  <c r="I3183" i="32"/>
  <c r="I3184" i="32"/>
  <c r="I3185" i="32"/>
  <c r="I3186" i="32"/>
  <c r="I3187" i="32"/>
  <c r="I3188" i="32"/>
  <c r="I3189" i="32"/>
  <c r="I3190" i="32"/>
  <c r="I3191" i="32"/>
  <c r="I3192" i="32"/>
  <c r="I3193" i="32"/>
  <c r="I3194" i="32"/>
  <c r="I3195" i="32"/>
  <c r="I3196" i="32"/>
  <c r="I3197" i="32"/>
  <c r="I3198" i="32"/>
  <c r="I3199" i="32"/>
  <c r="I3200" i="32"/>
  <c r="I3201" i="32"/>
  <c r="I3202" i="32"/>
  <c r="I3203" i="32"/>
  <c r="I3204" i="32"/>
  <c r="I3205" i="32"/>
  <c r="I3206" i="32"/>
  <c r="I3207" i="32"/>
  <c r="I3208" i="32"/>
  <c r="I3209" i="32"/>
  <c r="I3210" i="32"/>
  <c r="I3211" i="32"/>
  <c r="I3212" i="32"/>
  <c r="I3213" i="32"/>
  <c r="I3214" i="32"/>
  <c r="I3215" i="32"/>
  <c r="I3216" i="32"/>
  <c r="I3217" i="32"/>
  <c r="I3218" i="32"/>
  <c r="I3219" i="32"/>
  <c r="I3220" i="32"/>
  <c r="I3221" i="32"/>
  <c r="I3222" i="32"/>
  <c r="I3223" i="32"/>
  <c r="I3224" i="32"/>
  <c r="I3225" i="32"/>
  <c r="I3226" i="32"/>
  <c r="I3227" i="32"/>
  <c r="I3228" i="32"/>
  <c r="I3229" i="32"/>
  <c r="I3230" i="32"/>
  <c r="I3231" i="32"/>
  <c r="I3232" i="32"/>
  <c r="I3233" i="32"/>
  <c r="I3234" i="32"/>
  <c r="I3235" i="32"/>
  <c r="I3236" i="32"/>
  <c r="I3237" i="32"/>
  <c r="I3238" i="32"/>
  <c r="I3239" i="32"/>
  <c r="I3240" i="32"/>
  <c r="I3241" i="32"/>
  <c r="I3242" i="32"/>
  <c r="I3243" i="32"/>
  <c r="I3244" i="32"/>
  <c r="I3245" i="32"/>
  <c r="I3246" i="32"/>
  <c r="I3247" i="32"/>
  <c r="I3248" i="32"/>
  <c r="I3249" i="32"/>
  <c r="I3250" i="32"/>
  <c r="I3251" i="32"/>
  <c r="I3252" i="32"/>
  <c r="I3253" i="32"/>
  <c r="I3254" i="32"/>
  <c r="I3255" i="32"/>
  <c r="I3256" i="32"/>
  <c r="I3257" i="32"/>
  <c r="I3258" i="32"/>
  <c r="I3259" i="32"/>
  <c r="I3260" i="32"/>
  <c r="I3261" i="32"/>
  <c r="I3262" i="32"/>
  <c r="I3263" i="32"/>
  <c r="I3264" i="32"/>
  <c r="I3265" i="32"/>
  <c r="I3266" i="32"/>
  <c r="I3267" i="32"/>
  <c r="I3268" i="32"/>
  <c r="I3269" i="32"/>
  <c r="I3270" i="32"/>
  <c r="I3271" i="32"/>
  <c r="I3272" i="32"/>
  <c r="I3273" i="32"/>
  <c r="I3274" i="32"/>
  <c r="I3275" i="32"/>
  <c r="I3276" i="32"/>
  <c r="I3277" i="32"/>
  <c r="I3278" i="32"/>
  <c r="I3279" i="32"/>
  <c r="I3280" i="32"/>
  <c r="I3281" i="32"/>
  <c r="I3282" i="32"/>
  <c r="I3283" i="32"/>
  <c r="I3284" i="32"/>
  <c r="I3285" i="32"/>
  <c r="I3286" i="32"/>
  <c r="I3287" i="32"/>
  <c r="I3288" i="32"/>
  <c r="I3289" i="32"/>
  <c r="I3290" i="32"/>
  <c r="I3291" i="32"/>
  <c r="I3292" i="32"/>
  <c r="I3293" i="32"/>
  <c r="I3294" i="32"/>
  <c r="I3295" i="32"/>
  <c r="I3296" i="32"/>
  <c r="I3297" i="32"/>
  <c r="I3298" i="32"/>
  <c r="I3299" i="32"/>
  <c r="I3300" i="32"/>
  <c r="I3301" i="32"/>
  <c r="I3302" i="32"/>
  <c r="I3303" i="32"/>
  <c r="I3304" i="32"/>
  <c r="I3305" i="32"/>
  <c r="I3306" i="32"/>
  <c r="I3307" i="32"/>
  <c r="I3308" i="32"/>
  <c r="I3309" i="32"/>
  <c r="I3310" i="32"/>
  <c r="I3311" i="32"/>
  <c r="I3312" i="32"/>
  <c r="I3313" i="32"/>
  <c r="I3314" i="32"/>
  <c r="I3315" i="32"/>
  <c r="I3316" i="32"/>
  <c r="I3317" i="32"/>
  <c r="I3318" i="32"/>
  <c r="I3319" i="32"/>
  <c r="I3320" i="32"/>
  <c r="I3321" i="32"/>
  <c r="I3322" i="32"/>
  <c r="I3323" i="32"/>
  <c r="I3324" i="32"/>
  <c r="I3325" i="32"/>
  <c r="I3326" i="32"/>
  <c r="I3327" i="32"/>
  <c r="I3328" i="32"/>
  <c r="I3329" i="32"/>
  <c r="I3330" i="32"/>
  <c r="I3331" i="32"/>
  <c r="I3332" i="32"/>
  <c r="I3333" i="32"/>
  <c r="I3334" i="32"/>
  <c r="I3335" i="32"/>
  <c r="I3336" i="32"/>
  <c r="I3337" i="32"/>
  <c r="I3338" i="32"/>
  <c r="I3339" i="32"/>
  <c r="I3340" i="32"/>
  <c r="I3341" i="32"/>
  <c r="I3342" i="32"/>
  <c r="I3343" i="32"/>
  <c r="I3344" i="32"/>
  <c r="I3345" i="32"/>
  <c r="I3346" i="32"/>
  <c r="I3347" i="32"/>
  <c r="I3348" i="32"/>
  <c r="I3349" i="32"/>
  <c r="I3350" i="32"/>
  <c r="I3351" i="32"/>
  <c r="I3352" i="32"/>
  <c r="I3353" i="32"/>
  <c r="I3354" i="32"/>
  <c r="I3355" i="32"/>
  <c r="I3356" i="32"/>
  <c r="I3357" i="32"/>
  <c r="I3358" i="32"/>
  <c r="I3359" i="32"/>
  <c r="I3360" i="32"/>
  <c r="I3361" i="32"/>
  <c r="I3362" i="32"/>
  <c r="I3363" i="32"/>
  <c r="I3364" i="32"/>
  <c r="I3365" i="32"/>
  <c r="I3366" i="32"/>
  <c r="I3367" i="32"/>
  <c r="I3368" i="32"/>
  <c r="I3369" i="32"/>
  <c r="I3370" i="32"/>
  <c r="I3371" i="32"/>
  <c r="I3372" i="32"/>
  <c r="I3373" i="32"/>
  <c r="I3374" i="32"/>
  <c r="I3375" i="32"/>
  <c r="I3376" i="32"/>
  <c r="I3377" i="32"/>
  <c r="I3378" i="32"/>
  <c r="I3379" i="32"/>
  <c r="I3380" i="32"/>
  <c r="I3381" i="32"/>
  <c r="I3382" i="32"/>
  <c r="I3383" i="32"/>
  <c r="I3384" i="32"/>
  <c r="I3385" i="32"/>
  <c r="I3386" i="32"/>
  <c r="I3387" i="32"/>
  <c r="I3388" i="32"/>
  <c r="I3389" i="32"/>
  <c r="I3390" i="32"/>
  <c r="I3391" i="32"/>
  <c r="I3392" i="32"/>
  <c r="I3393" i="32"/>
  <c r="I3394" i="32"/>
  <c r="I3395" i="32"/>
  <c r="I3396" i="32"/>
  <c r="I3397" i="32"/>
  <c r="I3398" i="32"/>
  <c r="I3399" i="32"/>
  <c r="I3400" i="32"/>
  <c r="I3401" i="32"/>
  <c r="I3402" i="32"/>
  <c r="I3403" i="32"/>
  <c r="I3404" i="32"/>
  <c r="I3405" i="32"/>
  <c r="I3406" i="32"/>
  <c r="I3407" i="32"/>
  <c r="I3408" i="32"/>
  <c r="I3409" i="32"/>
  <c r="I3410" i="32"/>
  <c r="I3411" i="32"/>
  <c r="I3412" i="32"/>
  <c r="I3413" i="32"/>
  <c r="I3414" i="32"/>
  <c r="I3415" i="32"/>
  <c r="I3416" i="32"/>
  <c r="I3417" i="32"/>
  <c r="I3418" i="32"/>
  <c r="I3419" i="32"/>
  <c r="I3420" i="32"/>
  <c r="I3421" i="32"/>
  <c r="I3422" i="32"/>
  <c r="I3423" i="32"/>
  <c r="I3424" i="32"/>
  <c r="I3425" i="32"/>
  <c r="I3426" i="32"/>
  <c r="I3427" i="32"/>
  <c r="I3428" i="32"/>
  <c r="I3429" i="32"/>
  <c r="I3430" i="32"/>
  <c r="I3431" i="32"/>
  <c r="I3432" i="32"/>
  <c r="I3433" i="32"/>
  <c r="I3434" i="32"/>
  <c r="I3435" i="32"/>
  <c r="I3436" i="32"/>
  <c r="I3437" i="32"/>
  <c r="I3438" i="32"/>
  <c r="I3439" i="32"/>
  <c r="I3440" i="32"/>
  <c r="I3441" i="32"/>
  <c r="I3442" i="32"/>
  <c r="I3443" i="32"/>
  <c r="I3444" i="32"/>
  <c r="I3445" i="32"/>
  <c r="I3446" i="32"/>
  <c r="I3447" i="32"/>
  <c r="I3448" i="32"/>
  <c r="I3449" i="32"/>
  <c r="I3450" i="32"/>
  <c r="I3451" i="32"/>
  <c r="I3452" i="32"/>
  <c r="I3453" i="32"/>
  <c r="I3454" i="32"/>
  <c r="I3455" i="32"/>
  <c r="I3456" i="32"/>
  <c r="I3457" i="32"/>
  <c r="I3458" i="32"/>
  <c r="I3459" i="32"/>
  <c r="I3460" i="32"/>
  <c r="I3461" i="32"/>
  <c r="I3462" i="32"/>
  <c r="I3463" i="32"/>
  <c r="I3464" i="32"/>
  <c r="I3465" i="32"/>
  <c r="I3466" i="32"/>
  <c r="I3467" i="32"/>
  <c r="I3468" i="32"/>
  <c r="I3469" i="32"/>
  <c r="I3470" i="32"/>
  <c r="I3471" i="32"/>
  <c r="I3472" i="32"/>
  <c r="I3473" i="32"/>
  <c r="I3474" i="32"/>
  <c r="I3475" i="32"/>
  <c r="I3476" i="32"/>
  <c r="I3477" i="32"/>
  <c r="I3478" i="32"/>
  <c r="I3479" i="32"/>
  <c r="I3480" i="32"/>
  <c r="I3481" i="32"/>
  <c r="I3482" i="32"/>
  <c r="I3483" i="32"/>
  <c r="I3484" i="32"/>
  <c r="I3485" i="32"/>
  <c r="I3486" i="32"/>
  <c r="I3487" i="32"/>
  <c r="I3488" i="32"/>
  <c r="I3489" i="32"/>
  <c r="I3490" i="32"/>
  <c r="I3491" i="32"/>
  <c r="I3492" i="32"/>
  <c r="I3493" i="32"/>
  <c r="I3494" i="32"/>
  <c r="I3495" i="32"/>
  <c r="I3496" i="32"/>
  <c r="I3497" i="32"/>
  <c r="I3498" i="32"/>
  <c r="I3499" i="32"/>
  <c r="I3500" i="32"/>
  <c r="I3501" i="32"/>
  <c r="I3502" i="32"/>
  <c r="I3503" i="32"/>
  <c r="I3504" i="32"/>
  <c r="I3505" i="32"/>
  <c r="I3506" i="32"/>
  <c r="I3507" i="32"/>
  <c r="I3508" i="32"/>
  <c r="I3509" i="32"/>
  <c r="I3510" i="32"/>
  <c r="I3511" i="32"/>
  <c r="I3512" i="32"/>
  <c r="I3513" i="32"/>
  <c r="I3514" i="32"/>
  <c r="I3515" i="32"/>
  <c r="I3516" i="32"/>
  <c r="I3517" i="32"/>
  <c r="I3518" i="32"/>
  <c r="I3519" i="32"/>
  <c r="I3520" i="32"/>
  <c r="I3521" i="32"/>
  <c r="I3522" i="32"/>
  <c r="I3523" i="32"/>
  <c r="I3524" i="32"/>
  <c r="I3525" i="32"/>
  <c r="I3526" i="32"/>
  <c r="I3527" i="32"/>
  <c r="I3528" i="32"/>
  <c r="I3529" i="32"/>
  <c r="I3530" i="32"/>
  <c r="I3531" i="32"/>
  <c r="I3532" i="32"/>
  <c r="I3533" i="32"/>
  <c r="I3534" i="32"/>
  <c r="I3535" i="32"/>
  <c r="I3536" i="32"/>
  <c r="I3537" i="32"/>
  <c r="I3538" i="32"/>
  <c r="I3539" i="32"/>
  <c r="I3540" i="32"/>
  <c r="I3541" i="32"/>
  <c r="I3542" i="32"/>
  <c r="I3543" i="32"/>
  <c r="I3544" i="32"/>
  <c r="I3545" i="32"/>
  <c r="I3546" i="32"/>
  <c r="I3547" i="32"/>
  <c r="I3548" i="32"/>
  <c r="I3549" i="32"/>
  <c r="I3550" i="32"/>
  <c r="I3551" i="32"/>
  <c r="I3552" i="32"/>
  <c r="I3553" i="32"/>
  <c r="I3554" i="32"/>
  <c r="I3555" i="32"/>
  <c r="I3556" i="32"/>
  <c r="I3557" i="32"/>
  <c r="I3558" i="32"/>
  <c r="I3559" i="32"/>
  <c r="I3560" i="32"/>
  <c r="I3561" i="32"/>
  <c r="I3562" i="32"/>
  <c r="I3563" i="32"/>
  <c r="I3564" i="32"/>
  <c r="I3565" i="32"/>
  <c r="I3566" i="32"/>
  <c r="I3567" i="32"/>
  <c r="I3568" i="32"/>
  <c r="I3569" i="32"/>
  <c r="I3570" i="32"/>
  <c r="I3571" i="32"/>
  <c r="I3572" i="32"/>
  <c r="I3573" i="32"/>
  <c r="I3574" i="32"/>
  <c r="I3575" i="32"/>
  <c r="I3576" i="32"/>
  <c r="I3577" i="32"/>
  <c r="I3578" i="32"/>
  <c r="I3579" i="32"/>
  <c r="I3580" i="32"/>
  <c r="I3581" i="32"/>
  <c r="I3582" i="32"/>
  <c r="I3583" i="32"/>
  <c r="I3584" i="32"/>
  <c r="I3585" i="32"/>
  <c r="I3586" i="32"/>
  <c r="I3587" i="32"/>
  <c r="I3588" i="32"/>
  <c r="I3589" i="32"/>
  <c r="I3590" i="32"/>
  <c r="I3591" i="32"/>
  <c r="I3592" i="32"/>
  <c r="I3593" i="32"/>
  <c r="I3594" i="32"/>
  <c r="I3595" i="32"/>
  <c r="I3596" i="32"/>
  <c r="I3597" i="32"/>
  <c r="I3598" i="32"/>
  <c r="I3599" i="32"/>
  <c r="I3600" i="32"/>
  <c r="I3601" i="32"/>
  <c r="I3602" i="32"/>
  <c r="I3603" i="32"/>
  <c r="I3604" i="32"/>
  <c r="I3605" i="32"/>
  <c r="I3606" i="32"/>
  <c r="I3607" i="32"/>
  <c r="I3608" i="32"/>
  <c r="I3609" i="32"/>
  <c r="I3610" i="32"/>
  <c r="I3611" i="32"/>
  <c r="I3612" i="32"/>
  <c r="I3613" i="32"/>
  <c r="I3614" i="32"/>
  <c r="I3615" i="32"/>
  <c r="I3616" i="32"/>
  <c r="I3617" i="32"/>
  <c r="I3618" i="32"/>
  <c r="I3619" i="32"/>
  <c r="I3620" i="32"/>
  <c r="I3621" i="32"/>
  <c r="I3622" i="32"/>
  <c r="I3623" i="32"/>
  <c r="I3624" i="32"/>
  <c r="I3625" i="32"/>
  <c r="I3626" i="32"/>
  <c r="I3627" i="32"/>
  <c r="I3628" i="32"/>
  <c r="I3629" i="32"/>
  <c r="I3630" i="32"/>
  <c r="I3631" i="32"/>
  <c r="I3632" i="32"/>
  <c r="I3633" i="32"/>
  <c r="I3634" i="32"/>
  <c r="I3635" i="32"/>
  <c r="I3636" i="32"/>
  <c r="I3637" i="32"/>
  <c r="I3638" i="32"/>
  <c r="I3639" i="32"/>
  <c r="I3640" i="32"/>
  <c r="I3641" i="32"/>
  <c r="I3642" i="32"/>
  <c r="I3643" i="32"/>
  <c r="I3644" i="32"/>
  <c r="I3645" i="32"/>
  <c r="I3646" i="32"/>
  <c r="I3647" i="32"/>
  <c r="I3648" i="32"/>
  <c r="I3649" i="32"/>
  <c r="I3650" i="32"/>
  <c r="I3651" i="32"/>
  <c r="I3652" i="32"/>
  <c r="I3653" i="32"/>
  <c r="I3654" i="32"/>
  <c r="I3655" i="32"/>
  <c r="I3656" i="32"/>
  <c r="I3657" i="32"/>
  <c r="I3658" i="32"/>
  <c r="I3659" i="32"/>
  <c r="I3660" i="32"/>
  <c r="I3661" i="32"/>
  <c r="I3662" i="32"/>
  <c r="I3663" i="32"/>
  <c r="I3664" i="32"/>
  <c r="I3665" i="32"/>
  <c r="I3666" i="32"/>
  <c r="I3667" i="32"/>
  <c r="I3668" i="32"/>
  <c r="I3669" i="32"/>
  <c r="I3670" i="32"/>
  <c r="I3671" i="32"/>
  <c r="I3672" i="32"/>
  <c r="I3673" i="32"/>
  <c r="I3674" i="32"/>
  <c r="I3675" i="32"/>
  <c r="I3676" i="32"/>
  <c r="I3677" i="32"/>
  <c r="I3678" i="32"/>
  <c r="I3679" i="32"/>
  <c r="I3680" i="32"/>
  <c r="I3681" i="32"/>
  <c r="I3682" i="32"/>
  <c r="I3683" i="32"/>
  <c r="I3684" i="32"/>
  <c r="I3685" i="32"/>
  <c r="I3686" i="32"/>
  <c r="I3687" i="32"/>
  <c r="I3688" i="32"/>
  <c r="I3689" i="32"/>
  <c r="I3690" i="32"/>
  <c r="I3691" i="32"/>
  <c r="I3692" i="32"/>
  <c r="I3693" i="32"/>
  <c r="I3694" i="32"/>
  <c r="I3695" i="32"/>
  <c r="I3696" i="32"/>
  <c r="I3697" i="32"/>
  <c r="I3698" i="32"/>
  <c r="I3699" i="32"/>
  <c r="I3700" i="32"/>
  <c r="I3701" i="32"/>
  <c r="I3702" i="32"/>
  <c r="I3703" i="32"/>
  <c r="I3704" i="32"/>
  <c r="I3705" i="32"/>
  <c r="I3706" i="32"/>
  <c r="I3707" i="32"/>
  <c r="I3708" i="32"/>
  <c r="I3709" i="32"/>
  <c r="I3710" i="32"/>
  <c r="I3711" i="32"/>
  <c r="I3712" i="32"/>
  <c r="I3713" i="32"/>
  <c r="I3714" i="32"/>
  <c r="I3715" i="32"/>
  <c r="I3716" i="32"/>
  <c r="I3717" i="32"/>
  <c r="I3718" i="32"/>
  <c r="I3719" i="32"/>
  <c r="I3720" i="32"/>
  <c r="I3721" i="32"/>
  <c r="I3722" i="32"/>
  <c r="I3723" i="32"/>
  <c r="I3724" i="32"/>
  <c r="I3725" i="32"/>
  <c r="I3726" i="32"/>
  <c r="I3727" i="32"/>
  <c r="I3728" i="32"/>
  <c r="I3729" i="32"/>
  <c r="I3730" i="32"/>
  <c r="I3731" i="32"/>
  <c r="I3732" i="32"/>
  <c r="I3733" i="32"/>
  <c r="I3734" i="32"/>
  <c r="I3735" i="32"/>
  <c r="I3736" i="32"/>
  <c r="I3737" i="32"/>
  <c r="I3738" i="32"/>
  <c r="I3739" i="32"/>
  <c r="I3740" i="32"/>
  <c r="I3741" i="32"/>
  <c r="I3742" i="32"/>
  <c r="I3743" i="32"/>
  <c r="I3744" i="32"/>
  <c r="I3745" i="32"/>
  <c r="I3746" i="32"/>
  <c r="I3747" i="32"/>
  <c r="I3748" i="32"/>
  <c r="I3749" i="32"/>
  <c r="I3750" i="32"/>
  <c r="I3751" i="32"/>
  <c r="I3752" i="32"/>
  <c r="I3753" i="32"/>
  <c r="I3754" i="32"/>
  <c r="I3755" i="32"/>
  <c r="I3756" i="32"/>
  <c r="I3757" i="32"/>
  <c r="I3758" i="32"/>
  <c r="I3759" i="32"/>
  <c r="I3760" i="32"/>
  <c r="I3761" i="32"/>
  <c r="I3762" i="32"/>
  <c r="I3763" i="32"/>
  <c r="I3764" i="32"/>
  <c r="I3765" i="32"/>
  <c r="I3766" i="32"/>
  <c r="I3767" i="32"/>
  <c r="I3768" i="32"/>
  <c r="I3769" i="32"/>
  <c r="I3770" i="32"/>
  <c r="I3771" i="32"/>
  <c r="I3772" i="32"/>
  <c r="I3773" i="32"/>
  <c r="I3774" i="32"/>
  <c r="I3775" i="32"/>
  <c r="I3776" i="32"/>
  <c r="I3777" i="32"/>
  <c r="I3778" i="32"/>
  <c r="I3779" i="32"/>
  <c r="I3780" i="32"/>
  <c r="I3781" i="32"/>
  <c r="I3782" i="32"/>
  <c r="I3783" i="32"/>
  <c r="I3784" i="32"/>
  <c r="I3785" i="32"/>
  <c r="I3786" i="32"/>
  <c r="I3787" i="32"/>
  <c r="I3788" i="32"/>
  <c r="I3789" i="32"/>
  <c r="I3790" i="32"/>
  <c r="I3791" i="32"/>
  <c r="I3792" i="32"/>
  <c r="I3793" i="32"/>
  <c r="I3794" i="32"/>
  <c r="I3795" i="32"/>
  <c r="I3796" i="32"/>
  <c r="I3797" i="32"/>
  <c r="I3798" i="32"/>
  <c r="I3799" i="32"/>
  <c r="I3800" i="32"/>
  <c r="I3801" i="32"/>
  <c r="I3802" i="32"/>
  <c r="I3803" i="32"/>
  <c r="I3804" i="32"/>
  <c r="I3805" i="32"/>
  <c r="I3806" i="32"/>
  <c r="I3807" i="32"/>
  <c r="I3808" i="32"/>
  <c r="I3809" i="32"/>
  <c r="I3810" i="32"/>
  <c r="I3811" i="32"/>
  <c r="I3812" i="32"/>
  <c r="I3813" i="32"/>
  <c r="I3814" i="32"/>
  <c r="I3815" i="32"/>
  <c r="I3816" i="32"/>
  <c r="I3817" i="32"/>
  <c r="I3818" i="32"/>
  <c r="I3819" i="32"/>
  <c r="I3820" i="32"/>
  <c r="I3821" i="32"/>
  <c r="I3822" i="32"/>
  <c r="I3823" i="32"/>
  <c r="I3824" i="32"/>
  <c r="I3825" i="32"/>
  <c r="I3826" i="32"/>
  <c r="I3827" i="32"/>
  <c r="I3828" i="32"/>
  <c r="I3829" i="32"/>
  <c r="I3830" i="32"/>
  <c r="I3831" i="32"/>
  <c r="I3832" i="32"/>
  <c r="I3833" i="32"/>
  <c r="I3834" i="32"/>
  <c r="I3835" i="32"/>
  <c r="I3836" i="32"/>
  <c r="I3837" i="32"/>
  <c r="I3838" i="32"/>
  <c r="I3839" i="32"/>
  <c r="I3840" i="32"/>
  <c r="I3841" i="32"/>
  <c r="I3842" i="32"/>
  <c r="I3843" i="32"/>
  <c r="I3844" i="32"/>
  <c r="I3845" i="32"/>
  <c r="I3846" i="32"/>
  <c r="I3847" i="32"/>
  <c r="I3848" i="32"/>
  <c r="I3849" i="32"/>
  <c r="I3850" i="32"/>
  <c r="I3851" i="32"/>
  <c r="I3852" i="32"/>
  <c r="I3853" i="32"/>
  <c r="I3854" i="32"/>
  <c r="I3855" i="32"/>
  <c r="I3856" i="32"/>
  <c r="I3857" i="32"/>
  <c r="I3858" i="32"/>
  <c r="I3859" i="32"/>
  <c r="I3860" i="32"/>
  <c r="I3861" i="32"/>
  <c r="I3862" i="32"/>
  <c r="I3863" i="32"/>
  <c r="I3864" i="32"/>
  <c r="I3865" i="32"/>
  <c r="I3866" i="32"/>
  <c r="I3867" i="32"/>
  <c r="I3868" i="32"/>
  <c r="I3869" i="32"/>
  <c r="I3870" i="32"/>
  <c r="I3871" i="32"/>
  <c r="I3872" i="32"/>
  <c r="I3873" i="32"/>
  <c r="I3874" i="32"/>
  <c r="I3875" i="32"/>
  <c r="I3876" i="32"/>
  <c r="I3877" i="32"/>
  <c r="I3878" i="32"/>
  <c r="I3879" i="32"/>
  <c r="I3880" i="32"/>
  <c r="I3881" i="32"/>
  <c r="I3882" i="32"/>
  <c r="I3883" i="32"/>
  <c r="I3884" i="32"/>
  <c r="I3885" i="32"/>
  <c r="I3886" i="32"/>
  <c r="I3887" i="32"/>
  <c r="I3888" i="32"/>
  <c r="I3889" i="32"/>
  <c r="I3890" i="32"/>
  <c r="I3891" i="32"/>
  <c r="I3892" i="32"/>
  <c r="I3893" i="32"/>
  <c r="I3894" i="32"/>
  <c r="I3895" i="32"/>
  <c r="I3896" i="32"/>
  <c r="I3897" i="32"/>
  <c r="I3898" i="32"/>
  <c r="I3899" i="32"/>
  <c r="I3900" i="32"/>
  <c r="I3901" i="32"/>
  <c r="I3902" i="32"/>
  <c r="I3903" i="32"/>
  <c r="I3904" i="32"/>
  <c r="I3905" i="32"/>
  <c r="I3906" i="32"/>
  <c r="I3907" i="32"/>
  <c r="I3908" i="32"/>
  <c r="I3909" i="32"/>
  <c r="I3910" i="32"/>
  <c r="I3911" i="32"/>
  <c r="I3912" i="32"/>
  <c r="I3913" i="32"/>
  <c r="I3914" i="32"/>
  <c r="I3915" i="32"/>
  <c r="I3916" i="32"/>
  <c r="I3917" i="32"/>
  <c r="I3918" i="32"/>
  <c r="I3919" i="32"/>
  <c r="I3920" i="32"/>
  <c r="I3921" i="32"/>
  <c r="I3922" i="32"/>
  <c r="I3923" i="32"/>
  <c r="I3924" i="32"/>
  <c r="I3925" i="32"/>
  <c r="I3926" i="32"/>
  <c r="I3927" i="32"/>
  <c r="I3928" i="32"/>
  <c r="I3929" i="32"/>
  <c r="I3930" i="32"/>
  <c r="I3931" i="32"/>
  <c r="I3932" i="32"/>
  <c r="I3933" i="32"/>
  <c r="I3934" i="32"/>
  <c r="I3935" i="32"/>
  <c r="I3936" i="32"/>
  <c r="I3937" i="32"/>
  <c r="I3938" i="32"/>
  <c r="I3939" i="32"/>
  <c r="I3940" i="32"/>
  <c r="I3941" i="32"/>
  <c r="I3942" i="32"/>
  <c r="I3943" i="32"/>
  <c r="I3944" i="32"/>
  <c r="I3945" i="32"/>
  <c r="I3946" i="32"/>
  <c r="I3947" i="32"/>
  <c r="I3948" i="32"/>
  <c r="I3949" i="32"/>
  <c r="I3950" i="32"/>
  <c r="I3951" i="32"/>
  <c r="I3952" i="32"/>
  <c r="I3953" i="32"/>
  <c r="I3954" i="32"/>
  <c r="I3955" i="32"/>
  <c r="I3956" i="32"/>
  <c r="I3957" i="32"/>
  <c r="I3958" i="32"/>
  <c r="I3959" i="32"/>
  <c r="I3960" i="32"/>
  <c r="I3961" i="32"/>
  <c r="I3962" i="32"/>
  <c r="I3963" i="32"/>
  <c r="I3964" i="32"/>
  <c r="I3965" i="32"/>
  <c r="I3966" i="32"/>
  <c r="I3967" i="32"/>
  <c r="I3968" i="32"/>
  <c r="I3969" i="32"/>
  <c r="I3970" i="32"/>
  <c r="I3971" i="32"/>
  <c r="I3972" i="32"/>
  <c r="I3973" i="32"/>
  <c r="I3974" i="32"/>
  <c r="I3975" i="32"/>
  <c r="I3976" i="32"/>
  <c r="I3977" i="32"/>
  <c r="I3978" i="32"/>
  <c r="I3979" i="32"/>
  <c r="I3980" i="32"/>
  <c r="I3981" i="32"/>
  <c r="I3982" i="32"/>
  <c r="I3983" i="32"/>
  <c r="I3984" i="32"/>
  <c r="I3985" i="32"/>
  <c r="I3986" i="32"/>
  <c r="I3987" i="32"/>
  <c r="I3988" i="32"/>
  <c r="I3989" i="32"/>
  <c r="I3990" i="32"/>
  <c r="I3991" i="32"/>
  <c r="I3992" i="32"/>
  <c r="I3993" i="32"/>
  <c r="I3994" i="32"/>
  <c r="I3995" i="32"/>
  <c r="I3996" i="32"/>
  <c r="I3997" i="32"/>
  <c r="I3998" i="32"/>
  <c r="I3999" i="32"/>
  <c r="I4000" i="32"/>
  <c r="I4001" i="32"/>
  <c r="I4002" i="32"/>
  <c r="I4003" i="32"/>
  <c r="I4004" i="32"/>
  <c r="I4005" i="32"/>
  <c r="I4006" i="32"/>
  <c r="I4007" i="32"/>
  <c r="I4008" i="32"/>
  <c r="I4009" i="32"/>
  <c r="I4010" i="32"/>
  <c r="I4011" i="32"/>
  <c r="I4012" i="32"/>
  <c r="I4013" i="32"/>
  <c r="I4014" i="32"/>
  <c r="I4015" i="32"/>
  <c r="I4016" i="32"/>
  <c r="I4017" i="32"/>
  <c r="I4018" i="32"/>
  <c r="I4019" i="32"/>
  <c r="I4020" i="32"/>
  <c r="I4021" i="32"/>
  <c r="I4022" i="32"/>
  <c r="I4023" i="32"/>
  <c r="I4024" i="32"/>
  <c r="I4025" i="32"/>
  <c r="I4026" i="32"/>
  <c r="I4027" i="32"/>
  <c r="I4028" i="32"/>
  <c r="I4029" i="32"/>
  <c r="I4030" i="32"/>
  <c r="I4031" i="32"/>
  <c r="I4032" i="32"/>
  <c r="I4033" i="32"/>
  <c r="I4034" i="32"/>
  <c r="I4035" i="32"/>
  <c r="I4036" i="32"/>
  <c r="I4037" i="32"/>
  <c r="I4038" i="32"/>
  <c r="I4039" i="32"/>
  <c r="I4040" i="32"/>
  <c r="I4041" i="32"/>
  <c r="I4042" i="32"/>
  <c r="I4043" i="32"/>
  <c r="I4044" i="32"/>
  <c r="I4045" i="32"/>
  <c r="I4046" i="32"/>
  <c r="I4047" i="32"/>
  <c r="I4048" i="32"/>
  <c r="I4049" i="32"/>
  <c r="I4050" i="32"/>
  <c r="I4051" i="32"/>
  <c r="I4052" i="32"/>
  <c r="I4053" i="32"/>
  <c r="I4054" i="32"/>
  <c r="I4055" i="32"/>
  <c r="I4056" i="32"/>
  <c r="I4057" i="32"/>
  <c r="I4058" i="32"/>
  <c r="I4059" i="32"/>
  <c r="I4060" i="32"/>
  <c r="I4061" i="32"/>
  <c r="I4062" i="32"/>
  <c r="I4063" i="32"/>
  <c r="I4064" i="32"/>
  <c r="I4065" i="32"/>
  <c r="I4066" i="32"/>
  <c r="I4067" i="32"/>
  <c r="I4068" i="32"/>
  <c r="I4069" i="32"/>
  <c r="I4070" i="32"/>
  <c r="I4071" i="32"/>
  <c r="I4072" i="32"/>
  <c r="I4073" i="32"/>
  <c r="I4074" i="32"/>
  <c r="I4075" i="32"/>
  <c r="I4076" i="32"/>
  <c r="I4077" i="32"/>
  <c r="I4078" i="32"/>
  <c r="I4079" i="32"/>
  <c r="I4080" i="32"/>
  <c r="I4081" i="32"/>
  <c r="I4082" i="32"/>
  <c r="I4083" i="32"/>
  <c r="I4084" i="32"/>
  <c r="I4085" i="32"/>
  <c r="I4086" i="32"/>
  <c r="I4087" i="32"/>
  <c r="I4088" i="32"/>
  <c r="I4089" i="32"/>
  <c r="I4090" i="32"/>
  <c r="I4091" i="32"/>
  <c r="I4092" i="32"/>
  <c r="I4093" i="32"/>
  <c r="I4094" i="32"/>
  <c r="I4095" i="32"/>
  <c r="I4096" i="32"/>
  <c r="I4097" i="32"/>
  <c r="I4098" i="32"/>
  <c r="I4099" i="32"/>
  <c r="I4100" i="32"/>
  <c r="I4101" i="32"/>
  <c r="I4102" i="32"/>
  <c r="I4103" i="32"/>
  <c r="I4104" i="32"/>
  <c r="I4105" i="32"/>
  <c r="I4106" i="32"/>
  <c r="I4107" i="32"/>
  <c r="I4108" i="32"/>
  <c r="I4109" i="32"/>
  <c r="I4110" i="32"/>
  <c r="I4111" i="32"/>
  <c r="I4112" i="32"/>
  <c r="I4113" i="32"/>
  <c r="I4114" i="32"/>
  <c r="I4115" i="32"/>
  <c r="I4116" i="32"/>
  <c r="I4117" i="32"/>
  <c r="I4118" i="32"/>
  <c r="I4119" i="32"/>
  <c r="I4120" i="32"/>
  <c r="I4121" i="32"/>
  <c r="I4122" i="32"/>
  <c r="I4123" i="32"/>
  <c r="I4124" i="32"/>
  <c r="I4125" i="32"/>
  <c r="I4126" i="32"/>
  <c r="I4127" i="32"/>
  <c r="I4128" i="32"/>
  <c r="I4129" i="32"/>
  <c r="I4130" i="32"/>
  <c r="I4131" i="32"/>
  <c r="I4132" i="32"/>
  <c r="I4133" i="32"/>
  <c r="I4134" i="32"/>
  <c r="I4135" i="32"/>
  <c r="I4136" i="32"/>
  <c r="I4137" i="32"/>
  <c r="I4138" i="32"/>
  <c r="I4139" i="32"/>
  <c r="I4140" i="32"/>
  <c r="I4141" i="32"/>
  <c r="I4142" i="32"/>
  <c r="I4143" i="32"/>
  <c r="I4144" i="32"/>
  <c r="I4145" i="32"/>
  <c r="I4146" i="32"/>
  <c r="I4147" i="32"/>
  <c r="I4148" i="32"/>
  <c r="I4149" i="32"/>
  <c r="I4150" i="32"/>
  <c r="I4151" i="32"/>
  <c r="I4152" i="32"/>
  <c r="I4153" i="32"/>
  <c r="I4154" i="32"/>
  <c r="I4155" i="32"/>
  <c r="I4156" i="32"/>
  <c r="I4157" i="32"/>
  <c r="I4158" i="32"/>
  <c r="I4159" i="32"/>
  <c r="I4160" i="32"/>
  <c r="I4161" i="32"/>
  <c r="I4162" i="32"/>
  <c r="I4163" i="32"/>
  <c r="I4164" i="32"/>
  <c r="I4165" i="32"/>
  <c r="I4166" i="32"/>
  <c r="I4167" i="32"/>
  <c r="I4168" i="32"/>
  <c r="I4169" i="32"/>
  <c r="I4170" i="32"/>
  <c r="I4171" i="32"/>
  <c r="I4172" i="32"/>
  <c r="I4173" i="32"/>
  <c r="I4174" i="32"/>
  <c r="I4175" i="32"/>
  <c r="I4176" i="32"/>
  <c r="I4177" i="32"/>
  <c r="I4178" i="32"/>
  <c r="I4179" i="32"/>
  <c r="I4180" i="32"/>
  <c r="I4181" i="32"/>
  <c r="I4182" i="32"/>
  <c r="I4183" i="32"/>
  <c r="I4184" i="32"/>
  <c r="I4185" i="32"/>
  <c r="I4186" i="32"/>
  <c r="I4187" i="32"/>
  <c r="I4188" i="32"/>
  <c r="I4189" i="32"/>
  <c r="I4190" i="32"/>
  <c r="I4191" i="32"/>
  <c r="I4192" i="32"/>
  <c r="I4193" i="32"/>
  <c r="I4194" i="32"/>
  <c r="I4195" i="32"/>
  <c r="I4196" i="32"/>
  <c r="I4197" i="32"/>
  <c r="I4198" i="32"/>
  <c r="I4199" i="32"/>
  <c r="I4200" i="32"/>
  <c r="I4201" i="32"/>
  <c r="I4202" i="32"/>
  <c r="I4203" i="32"/>
  <c r="I4204" i="32"/>
  <c r="I4205" i="32"/>
  <c r="I4206" i="32"/>
  <c r="I4207" i="32"/>
  <c r="I4208" i="32"/>
  <c r="I4209" i="32"/>
  <c r="I4210" i="32"/>
  <c r="I4211" i="32"/>
  <c r="I4212" i="32"/>
  <c r="I4213" i="32"/>
  <c r="I4214" i="32"/>
  <c r="I4215" i="32"/>
  <c r="I4216" i="32"/>
  <c r="I4217" i="32"/>
  <c r="I4218" i="32"/>
  <c r="I4219" i="32"/>
  <c r="I4220" i="32"/>
  <c r="I4221" i="32"/>
  <c r="I4222" i="32"/>
  <c r="I4223" i="32"/>
  <c r="I4224" i="32"/>
  <c r="I4225" i="32"/>
  <c r="I4226" i="32"/>
  <c r="I4227" i="32"/>
  <c r="I4228" i="32"/>
  <c r="I4229" i="32"/>
  <c r="I4230" i="32"/>
  <c r="I4231" i="32"/>
  <c r="I4232" i="32"/>
  <c r="I4233" i="32"/>
  <c r="I4234" i="32"/>
  <c r="I4235" i="32"/>
  <c r="I4236" i="32"/>
  <c r="I4237" i="32"/>
  <c r="I4238" i="32"/>
  <c r="I4239" i="32"/>
  <c r="I4240" i="32"/>
  <c r="I4241" i="32"/>
  <c r="I4242" i="32"/>
  <c r="I4243" i="32"/>
  <c r="I4244" i="32"/>
  <c r="I4245" i="32"/>
  <c r="I4246" i="32"/>
  <c r="I4247" i="32"/>
  <c r="I4248" i="32"/>
  <c r="I4249" i="32"/>
  <c r="I4250" i="32"/>
  <c r="I4251" i="32"/>
  <c r="I4252" i="32"/>
  <c r="I4253" i="32"/>
  <c r="I4254" i="32"/>
  <c r="I4255" i="32"/>
  <c r="I4256" i="32"/>
  <c r="I4257" i="32"/>
  <c r="I4258" i="32"/>
  <c r="I4259" i="32"/>
  <c r="I4260" i="32"/>
  <c r="I4261" i="32"/>
  <c r="I4262" i="32"/>
  <c r="I4263" i="32"/>
  <c r="I4264" i="32"/>
  <c r="I4265" i="32"/>
  <c r="I4266" i="32"/>
  <c r="I4267" i="32"/>
  <c r="I4268" i="32"/>
  <c r="I4269" i="32"/>
  <c r="I4270" i="32"/>
  <c r="I4271" i="32"/>
  <c r="I4272" i="32"/>
  <c r="I4273" i="32"/>
  <c r="I4274" i="32"/>
  <c r="I4275" i="32"/>
  <c r="I4276" i="32"/>
  <c r="I4277" i="32"/>
  <c r="I4278" i="32"/>
  <c r="I4279" i="32"/>
  <c r="I4280" i="32"/>
  <c r="I4281" i="32"/>
  <c r="I4282" i="32"/>
  <c r="I4283" i="32"/>
  <c r="I4284" i="32"/>
  <c r="I4285" i="32"/>
  <c r="I4286" i="32"/>
  <c r="I4287" i="32"/>
  <c r="I4288" i="32"/>
  <c r="I4289" i="32"/>
  <c r="I4290" i="32"/>
  <c r="I4291" i="32"/>
  <c r="I4292" i="32"/>
  <c r="I4293" i="32"/>
  <c r="I4294" i="32"/>
  <c r="I4295" i="32"/>
  <c r="I4296" i="32"/>
  <c r="I4297" i="32"/>
  <c r="I4298" i="32"/>
  <c r="I4299" i="32"/>
  <c r="I4300" i="32"/>
  <c r="I4301" i="32"/>
  <c r="I4302" i="32"/>
  <c r="I4303" i="32"/>
  <c r="I4304" i="32"/>
  <c r="I4305" i="32"/>
  <c r="I4306" i="32"/>
  <c r="I4307" i="32"/>
  <c r="I4308" i="32"/>
  <c r="I4309" i="32"/>
  <c r="I4310" i="32"/>
  <c r="I4311" i="32"/>
  <c r="I4312" i="32"/>
  <c r="I4313" i="32"/>
  <c r="I4314" i="32"/>
  <c r="I4315" i="32"/>
  <c r="I4316" i="32"/>
  <c r="I4317" i="32"/>
  <c r="I4318" i="32"/>
  <c r="I4319" i="32"/>
  <c r="I4320" i="32"/>
  <c r="I4321" i="32"/>
  <c r="I4322" i="32"/>
  <c r="I4323" i="32"/>
  <c r="I4324" i="32"/>
  <c r="I4325" i="32"/>
  <c r="I4326" i="32"/>
  <c r="I4327" i="32"/>
  <c r="I4328" i="32"/>
  <c r="I4329" i="32"/>
  <c r="I4330" i="32"/>
  <c r="I4331" i="32"/>
  <c r="I4332" i="32"/>
  <c r="I4333" i="32"/>
  <c r="I4334" i="32"/>
  <c r="I4335" i="32"/>
  <c r="I4336" i="32"/>
  <c r="I4337" i="32"/>
  <c r="I4338" i="32"/>
  <c r="I4339" i="32"/>
  <c r="I4340" i="32"/>
  <c r="I4341" i="32"/>
  <c r="I4342" i="32"/>
  <c r="I4343" i="32"/>
  <c r="I4344" i="32"/>
  <c r="I4345" i="32"/>
  <c r="I4346" i="32"/>
  <c r="I4347" i="32"/>
  <c r="I4348" i="32"/>
  <c r="I4349" i="32"/>
  <c r="I4350" i="32"/>
  <c r="I4351" i="32"/>
  <c r="I4352" i="32"/>
  <c r="I4353" i="32"/>
  <c r="I4354" i="32"/>
  <c r="I4355" i="32"/>
  <c r="I4356" i="32"/>
  <c r="I4357" i="32"/>
  <c r="I4358" i="32"/>
  <c r="I4359" i="32"/>
  <c r="I4360" i="32"/>
  <c r="I4361" i="32"/>
  <c r="I4362" i="32"/>
  <c r="I4363" i="32"/>
  <c r="I4364" i="32"/>
  <c r="I4365" i="32"/>
  <c r="I4366" i="32"/>
  <c r="I4367" i="32"/>
  <c r="I4368" i="32"/>
  <c r="I4369" i="32"/>
  <c r="I4370" i="32"/>
  <c r="I4371" i="32"/>
  <c r="I4372" i="32"/>
  <c r="I4373" i="32"/>
  <c r="I4374" i="32"/>
  <c r="I4375" i="32"/>
  <c r="I4376" i="32"/>
  <c r="I4377" i="32"/>
  <c r="I4378" i="32"/>
  <c r="I4379" i="32"/>
  <c r="I4380" i="32"/>
  <c r="I4381" i="32"/>
  <c r="I4382" i="32"/>
  <c r="I4383" i="32"/>
  <c r="I4384" i="32"/>
  <c r="I4385" i="32"/>
  <c r="I4386" i="32"/>
  <c r="I4387" i="32"/>
  <c r="I4388" i="32"/>
  <c r="I4389" i="32"/>
  <c r="I4390" i="32"/>
  <c r="I4391" i="32"/>
  <c r="I4392" i="32"/>
  <c r="I4393" i="32"/>
  <c r="I4394" i="32"/>
  <c r="I4395" i="32"/>
  <c r="I4396" i="32"/>
  <c r="I4397" i="32"/>
  <c r="I4398" i="32"/>
  <c r="I4399" i="32"/>
  <c r="I4400" i="32"/>
  <c r="I4401" i="32"/>
  <c r="I4402" i="32"/>
  <c r="I4403" i="32"/>
  <c r="I4404" i="32"/>
  <c r="I4405" i="32"/>
  <c r="I4406" i="32"/>
  <c r="I4407" i="32"/>
  <c r="I4408" i="32"/>
  <c r="I4409" i="32"/>
  <c r="I4410" i="32"/>
  <c r="I4411" i="32"/>
  <c r="I4412" i="32"/>
  <c r="I4413" i="32"/>
  <c r="I4414" i="32"/>
  <c r="I4415" i="32"/>
  <c r="I4416" i="32"/>
  <c r="I4417" i="32"/>
  <c r="I4418" i="32"/>
  <c r="I4419" i="32"/>
  <c r="I4420" i="32"/>
  <c r="I4421" i="32"/>
  <c r="I4422" i="32"/>
  <c r="I4423" i="32"/>
  <c r="I4424" i="32"/>
  <c r="I4425" i="32"/>
  <c r="I4426" i="32"/>
  <c r="I4427" i="32"/>
  <c r="I4428" i="32"/>
  <c r="I4429" i="32"/>
  <c r="I4430" i="32"/>
  <c r="I4431" i="32"/>
  <c r="I4432" i="32"/>
  <c r="I4433" i="32"/>
  <c r="I4434" i="32"/>
  <c r="I4435" i="32"/>
  <c r="I4436" i="32"/>
  <c r="I4437" i="32"/>
  <c r="I4438" i="32"/>
  <c r="I4439" i="32"/>
  <c r="I4440" i="32"/>
  <c r="I4441" i="32"/>
  <c r="I4442" i="32"/>
  <c r="I4443" i="32"/>
  <c r="I4444" i="32"/>
  <c r="I4445" i="32"/>
  <c r="I4446" i="32"/>
  <c r="I4447" i="32"/>
  <c r="I4448" i="32"/>
  <c r="I4449" i="32"/>
  <c r="I4450" i="32"/>
  <c r="I4451" i="32"/>
  <c r="I4452" i="32"/>
  <c r="I4453" i="32"/>
  <c r="I4454" i="32"/>
  <c r="I4455" i="32"/>
  <c r="I4456" i="32"/>
  <c r="I4457" i="32"/>
  <c r="I4458" i="32"/>
  <c r="I4459" i="32"/>
  <c r="I4460" i="32"/>
  <c r="I4461" i="32"/>
  <c r="I4462" i="32"/>
  <c r="I4463" i="32"/>
  <c r="I4464" i="32"/>
  <c r="I4465" i="32"/>
  <c r="I4466" i="32"/>
  <c r="I4467" i="32"/>
  <c r="I4468" i="32"/>
  <c r="I4469" i="32"/>
  <c r="I4470" i="32"/>
  <c r="I4471" i="32"/>
  <c r="I4472" i="32"/>
  <c r="I4473" i="32"/>
  <c r="I4474" i="32"/>
  <c r="I4475" i="32"/>
  <c r="I4476" i="32"/>
  <c r="I4477" i="32"/>
  <c r="I4478" i="32"/>
  <c r="I4479" i="32"/>
  <c r="I4480" i="32"/>
  <c r="I4481" i="32"/>
  <c r="I4482" i="32"/>
  <c r="I4483" i="32"/>
  <c r="I4484" i="32"/>
  <c r="I4485" i="32"/>
  <c r="I4486" i="32"/>
  <c r="I4487" i="32"/>
  <c r="I4488" i="32"/>
  <c r="I4489" i="32"/>
  <c r="I4490" i="32"/>
  <c r="I4491" i="32"/>
  <c r="I4492" i="32"/>
  <c r="I4493" i="32"/>
  <c r="I4494" i="32"/>
  <c r="I4495" i="32"/>
  <c r="I4496" i="32"/>
  <c r="I4497" i="32"/>
  <c r="I4498" i="32"/>
  <c r="I4499" i="32"/>
  <c r="I4500" i="32"/>
  <c r="I4501" i="32"/>
  <c r="I4502" i="32"/>
  <c r="I4503" i="32"/>
  <c r="I4504" i="32"/>
  <c r="I4505" i="32"/>
  <c r="I4506" i="32"/>
  <c r="I4507" i="32"/>
  <c r="I4508" i="32"/>
  <c r="I4509" i="32"/>
  <c r="I4510" i="32"/>
  <c r="I4511" i="32"/>
  <c r="I4512" i="32"/>
  <c r="I4513" i="32"/>
  <c r="I4514" i="32"/>
  <c r="I4515" i="32"/>
  <c r="I4516" i="32"/>
  <c r="I4517" i="32"/>
  <c r="I4518" i="32"/>
  <c r="I4519" i="32"/>
  <c r="I4520" i="32"/>
  <c r="I4521" i="32"/>
  <c r="I4522" i="32"/>
  <c r="I4523" i="32"/>
  <c r="I4524" i="32"/>
  <c r="I4525" i="32"/>
  <c r="I4526" i="32"/>
  <c r="I4527" i="32"/>
  <c r="I4528" i="32"/>
  <c r="I4529" i="32"/>
  <c r="I4530" i="32"/>
  <c r="I4531" i="32"/>
  <c r="I4532" i="32"/>
  <c r="I4533" i="32"/>
  <c r="I4534" i="32"/>
  <c r="I4535" i="32"/>
  <c r="I4536" i="32"/>
  <c r="I4537" i="32"/>
  <c r="I4538" i="32"/>
  <c r="I4539" i="32"/>
  <c r="I4540" i="32"/>
  <c r="I4541" i="32"/>
  <c r="I4542" i="32"/>
  <c r="I4543" i="32"/>
  <c r="I4544" i="32"/>
  <c r="I4545" i="32"/>
  <c r="I4546" i="32"/>
  <c r="I4547" i="32"/>
  <c r="I4548" i="32"/>
  <c r="I4549" i="32"/>
  <c r="I4550" i="32"/>
  <c r="I4551" i="32"/>
  <c r="I4552" i="32"/>
  <c r="I4553" i="32"/>
  <c r="I4554" i="32"/>
  <c r="I4555" i="32"/>
  <c r="I4556" i="32"/>
  <c r="I4557" i="32"/>
  <c r="I4558" i="32"/>
  <c r="I4559" i="32"/>
  <c r="I4560" i="32"/>
  <c r="I4561" i="32"/>
  <c r="I4562" i="32"/>
  <c r="I4563" i="32"/>
  <c r="I4564" i="32"/>
  <c r="I4565" i="32"/>
  <c r="I4566" i="32"/>
  <c r="I4567" i="32"/>
  <c r="I4568" i="32"/>
  <c r="I4569" i="32"/>
  <c r="I4570" i="32"/>
  <c r="I4571" i="32"/>
  <c r="I4572" i="32"/>
  <c r="I4573" i="32"/>
  <c r="I4574" i="32"/>
  <c r="I4575" i="32"/>
  <c r="I4576" i="32"/>
  <c r="I4577" i="32"/>
  <c r="I4578" i="32"/>
  <c r="I4579" i="32"/>
  <c r="I4580" i="32"/>
  <c r="I4581" i="32"/>
  <c r="I4582" i="32"/>
  <c r="I4583" i="32"/>
  <c r="I4584" i="32"/>
  <c r="I4585" i="32"/>
  <c r="I4586" i="32"/>
  <c r="I4587" i="32"/>
  <c r="I4588" i="32"/>
  <c r="I4589" i="32"/>
  <c r="I4590" i="32"/>
  <c r="I4591" i="32"/>
  <c r="I4592" i="32"/>
  <c r="I4593" i="32"/>
  <c r="I4594" i="32"/>
  <c r="I4595" i="32"/>
  <c r="I4596" i="32"/>
  <c r="I4597" i="32"/>
  <c r="I4598" i="32"/>
  <c r="I4599" i="32"/>
  <c r="I4600" i="32"/>
  <c r="I4601" i="32"/>
  <c r="I4602" i="32"/>
  <c r="I4603" i="32"/>
  <c r="I4604" i="32"/>
  <c r="I4605" i="32"/>
  <c r="I4606" i="32"/>
  <c r="I4607" i="32"/>
  <c r="I4608" i="32"/>
  <c r="I4609" i="32"/>
  <c r="I4610" i="32"/>
  <c r="I4611" i="32"/>
  <c r="I4612" i="32"/>
  <c r="I4613" i="32"/>
  <c r="I4614" i="32"/>
  <c r="I4615" i="32"/>
  <c r="I4616" i="32"/>
  <c r="I4617" i="32"/>
  <c r="I4618" i="32"/>
  <c r="I4619" i="32"/>
  <c r="I4620" i="32"/>
  <c r="I4621" i="32"/>
  <c r="I4622" i="32"/>
  <c r="I4623" i="32"/>
  <c r="I4624" i="32"/>
  <c r="I4625" i="32"/>
  <c r="I4626" i="32"/>
  <c r="I4627" i="32"/>
  <c r="I4628" i="32"/>
  <c r="I4629" i="32"/>
  <c r="I4630" i="32"/>
  <c r="I4631" i="32"/>
  <c r="I4632" i="32"/>
  <c r="I4633" i="32"/>
  <c r="I4634" i="32"/>
  <c r="I4635" i="32"/>
  <c r="I4636" i="32"/>
  <c r="I4637" i="32"/>
  <c r="I4638" i="32"/>
  <c r="I4639" i="32"/>
  <c r="I4640" i="32"/>
  <c r="I4641" i="32"/>
  <c r="I4642" i="32"/>
  <c r="I4643" i="32"/>
  <c r="I4644" i="32"/>
  <c r="I4645" i="32"/>
  <c r="I4646" i="32"/>
  <c r="I4647" i="32"/>
  <c r="I4648" i="32"/>
  <c r="I4649" i="32"/>
  <c r="I4650" i="32"/>
  <c r="I4651" i="32"/>
  <c r="I4652" i="32"/>
  <c r="I4653" i="32"/>
  <c r="I4654" i="32"/>
  <c r="I4655" i="32"/>
  <c r="I4656" i="32"/>
  <c r="I4657" i="32"/>
  <c r="I4658" i="32"/>
  <c r="I4659" i="32"/>
  <c r="I4660" i="32"/>
  <c r="I4661" i="32"/>
  <c r="I4662" i="32"/>
  <c r="I4663" i="32"/>
  <c r="I4664" i="32"/>
  <c r="I4665" i="32"/>
  <c r="I4666" i="32"/>
  <c r="I4667" i="32"/>
  <c r="I4668" i="32"/>
  <c r="I4669" i="32"/>
  <c r="I4670" i="32"/>
  <c r="I4671" i="32"/>
  <c r="I4672" i="32"/>
  <c r="I4673" i="32"/>
  <c r="I4674" i="32"/>
  <c r="I4675" i="32"/>
  <c r="I4676" i="32"/>
  <c r="I4677" i="32"/>
  <c r="I4678" i="32"/>
  <c r="I4679" i="32"/>
  <c r="I4680" i="32"/>
  <c r="I4681" i="32"/>
  <c r="I4682" i="32"/>
  <c r="I4683" i="32"/>
  <c r="I4684" i="32"/>
  <c r="I4685" i="32"/>
  <c r="I4686" i="32"/>
  <c r="I4687" i="32"/>
  <c r="I4688" i="32"/>
  <c r="I4689" i="32"/>
  <c r="I4690" i="32"/>
  <c r="I4691" i="32"/>
  <c r="I4692" i="32"/>
  <c r="I4693" i="32"/>
  <c r="I4694" i="32"/>
  <c r="I4695" i="32"/>
  <c r="I4696" i="32"/>
  <c r="I4697" i="32"/>
  <c r="I4698" i="32"/>
  <c r="I4699" i="32"/>
  <c r="I4700" i="32"/>
  <c r="I4701" i="32"/>
  <c r="I4702" i="32"/>
  <c r="I4703" i="32"/>
  <c r="I4704" i="32"/>
  <c r="I4705" i="32"/>
  <c r="I4706" i="32"/>
  <c r="I4707" i="32"/>
  <c r="I4708" i="32"/>
  <c r="I4709" i="32"/>
  <c r="I4710" i="32"/>
  <c r="I4711" i="32"/>
  <c r="I4712" i="32"/>
  <c r="I4713" i="32"/>
  <c r="I4714" i="32"/>
  <c r="I4715" i="32"/>
  <c r="I4716" i="32"/>
  <c r="I4717" i="32"/>
  <c r="I4718" i="32"/>
  <c r="I4719" i="32"/>
  <c r="I4720" i="32"/>
  <c r="I4721" i="32"/>
  <c r="I4722" i="32"/>
  <c r="I4723" i="32"/>
  <c r="I4724" i="32"/>
  <c r="I4725" i="32"/>
  <c r="I4726" i="32"/>
  <c r="I4727" i="32"/>
  <c r="I4728" i="32"/>
  <c r="I4729" i="32"/>
  <c r="I4730" i="32"/>
  <c r="I4731" i="32"/>
  <c r="I4732" i="32"/>
  <c r="I4733" i="32"/>
  <c r="I4734" i="32"/>
  <c r="I4735" i="32"/>
  <c r="I4736" i="32"/>
  <c r="I4737" i="32"/>
  <c r="I4738" i="32"/>
  <c r="I4739" i="32"/>
  <c r="I4740" i="32"/>
  <c r="I4741" i="32"/>
  <c r="I4742" i="32"/>
  <c r="I4743" i="32"/>
  <c r="I4744" i="32"/>
  <c r="I4745" i="32"/>
  <c r="I4746" i="32"/>
  <c r="I4747" i="32"/>
  <c r="I4748" i="32"/>
  <c r="I4749" i="32"/>
  <c r="I4750" i="32"/>
  <c r="I4751" i="32"/>
  <c r="I4752" i="32"/>
  <c r="I4753" i="32"/>
  <c r="I4754" i="32"/>
  <c r="I4755" i="32"/>
  <c r="I4756" i="32"/>
  <c r="I4757" i="32"/>
  <c r="I4758" i="32"/>
  <c r="I4759" i="32"/>
  <c r="I4760" i="32"/>
  <c r="I4761" i="32"/>
  <c r="I4762" i="32"/>
  <c r="I4763" i="32"/>
  <c r="I4764" i="32"/>
  <c r="I4765" i="32"/>
  <c r="I4766" i="32"/>
  <c r="I4767" i="32"/>
  <c r="I4768" i="32"/>
  <c r="I4769" i="32"/>
  <c r="I4770" i="32"/>
  <c r="I4771" i="32"/>
  <c r="I4772" i="32"/>
  <c r="I4773" i="32"/>
  <c r="I4774" i="32"/>
  <c r="I4775" i="32"/>
  <c r="I4776" i="32"/>
  <c r="I4777" i="32"/>
  <c r="I4778" i="32"/>
  <c r="I4779" i="32"/>
  <c r="I4780" i="32"/>
  <c r="I4781" i="32"/>
  <c r="I4782" i="32"/>
  <c r="I4783" i="32"/>
  <c r="I4784" i="32"/>
  <c r="I4785" i="32"/>
  <c r="I4786" i="32"/>
  <c r="I4787" i="32"/>
  <c r="I4788" i="32"/>
  <c r="I4789" i="32"/>
  <c r="I4790" i="32"/>
  <c r="I4791" i="32"/>
  <c r="I4792" i="32"/>
  <c r="I4793" i="32"/>
  <c r="I4794" i="32"/>
  <c r="I4795" i="32"/>
  <c r="I4796" i="32"/>
  <c r="I4797" i="32"/>
  <c r="I4798" i="32"/>
  <c r="I4799" i="32"/>
  <c r="I4800" i="32"/>
  <c r="I4801" i="32"/>
  <c r="I4802" i="32"/>
  <c r="I4803" i="32"/>
  <c r="I4804" i="32"/>
  <c r="I4805" i="32"/>
  <c r="I4806" i="32"/>
  <c r="I4807" i="32"/>
  <c r="I4808" i="32"/>
  <c r="I4809" i="32"/>
  <c r="I4810" i="32"/>
  <c r="I4811" i="32"/>
  <c r="I4812" i="32"/>
  <c r="I4813" i="32"/>
  <c r="I4814" i="32"/>
  <c r="I4815" i="32"/>
  <c r="I4816" i="32"/>
  <c r="I4817" i="32"/>
  <c r="I4818" i="32"/>
  <c r="I4819" i="32"/>
  <c r="I4820" i="32"/>
  <c r="I4821" i="32"/>
  <c r="I4822" i="32"/>
  <c r="I4823" i="32"/>
  <c r="I4824" i="32"/>
  <c r="I4825" i="32"/>
  <c r="I4826" i="32"/>
  <c r="I4827" i="32"/>
  <c r="I4828" i="32"/>
  <c r="I4829" i="32"/>
  <c r="I4830" i="32"/>
  <c r="I4831" i="32"/>
  <c r="I4832" i="32"/>
  <c r="I4833" i="32"/>
  <c r="I4834" i="32"/>
  <c r="I4835" i="32"/>
  <c r="I4836" i="32"/>
  <c r="I4837" i="32"/>
  <c r="I4838" i="32"/>
  <c r="I4839" i="32"/>
  <c r="I4840" i="32"/>
  <c r="I4841" i="32"/>
  <c r="I4842" i="32"/>
  <c r="I4843" i="32"/>
  <c r="I4844" i="32"/>
  <c r="I4845" i="32"/>
  <c r="I4846" i="32"/>
  <c r="I4847" i="32"/>
  <c r="I4848" i="32"/>
  <c r="I4849" i="32"/>
  <c r="I4850" i="32"/>
  <c r="I4851" i="32"/>
  <c r="I4852" i="32"/>
  <c r="I4853" i="32"/>
  <c r="I4854" i="32"/>
  <c r="I4855" i="32"/>
  <c r="I4856" i="32"/>
  <c r="I4857" i="32"/>
  <c r="I4858" i="32"/>
  <c r="I4859" i="32"/>
  <c r="I4860" i="32"/>
  <c r="I4861" i="32"/>
  <c r="I4862" i="32"/>
  <c r="I4863" i="32"/>
  <c r="I4864" i="32"/>
  <c r="I4865" i="32"/>
  <c r="I4866" i="32"/>
  <c r="I4867" i="32"/>
  <c r="I4868" i="32"/>
  <c r="I4869" i="32"/>
  <c r="I4870" i="32"/>
  <c r="I4871" i="32"/>
  <c r="I4872" i="32"/>
  <c r="I4873" i="32"/>
  <c r="I4874" i="32"/>
  <c r="I4875" i="32"/>
  <c r="I4876" i="32"/>
  <c r="I4877" i="32"/>
  <c r="I4878" i="32"/>
  <c r="I4879" i="32"/>
  <c r="I4880" i="32"/>
  <c r="I4881" i="32"/>
  <c r="I4882" i="32"/>
  <c r="I4883" i="32"/>
  <c r="I4884" i="32"/>
  <c r="I4885" i="32"/>
  <c r="I4886" i="32"/>
  <c r="I4887" i="32"/>
  <c r="I4888" i="32"/>
  <c r="I4889" i="32"/>
  <c r="I4890" i="32"/>
  <c r="I4891" i="32"/>
  <c r="I4892" i="32"/>
  <c r="I4893" i="32"/>
  <c r="I4894" i="32"/>
  <c r="I4895" i="32"/>
  <c r="I4896" i="32"/>
  <c r="I4897" i="32"/>
  <c r="I4898" i="32"/>
  <c r="I4899" i="32"/>
  <c r="I4900" i="32"/>
  <c r="I4901" i="32"/>
  <c r="I4902" i="32"/>
  <c r="I4903" i="32"/>
  <c r="I4904" i="32"/>
  <c r="I4905" i="32"/>
  <c r="I4906" i="32"/>
  <c r="I4907" i="32"/>
  <c r="I4908" i="32"/>
  <c r="I4909" i="32"/>
  <c r="I4910" i="32"/>
  <c r="I4911" i="32"/>
  <c r="I4912" i="32"/>
  <c r="I4913" i="32"/>
  <c r="I4914" i="32"/>
  <c r="I4915" i="32"/>
  <c r="I4916" i="32"/>
  <c r="I4917" i="32"/>
  <c r="I4918" i="32"/>
  <c r="I4919" i="32"/>
  <c r="I4920" i="32"/>
  <c r="I4921" i="32"/>
  <c r="I4922" i="32"/>
  <c r="I4923" i="32"/>
  <c r="I4924" i="32"/>
  <c r="I4925" i="32"/>
  <c r="I4926" i="32"/>
  <c r="I4927" i="32"/>
  <c r="I4928" i="32"/>
  <c r="I4929" i="32"/>
  <c r="I4930" i="32"/>
  <c r="I4931" i="32"/>
  <c r="I4932" i="32"/>
  <c r="I4933" i="32"/>
  <c r="I4934" i="32"/>
  <c r="I4935" i="32"/>
  <c r="I4936" i="32"/>
  <c r="I4937" i="32"/>
  <c r="I4938" i="32"/>
  <c r="I4939" i="32"/>
  <c r="I4940" i="32"/>
  <c r="I4941" i="32"/>
  <c r="I4942" i="32"/>
  <c r="I4943" i="32"/>
  <c r="I4944" i="32"/>
  <c r="I4945" i="32"/>
  <c r="I4946" i="32"/>
  <c r="I4947" i="32"/>
  <c r="I4948" i="32"/>
  <c r="I4949" i="32"/>
  <c r="I4950" i="32"/>
  <c r="I4951" i="32"/>
  <c r="I4952" i="32"/>
  <c r="I4953" i="32"/>
  <c r="I4954" i="32"/>
  <c r="I4955" i="32"/>
  <c r="I4956" i="32"/>
  <c r="I4957" i="32"/>
  <c r="I4958" i="32"/>
  <c r="I4959" i="32"/>
  <c r="I4960" i="32"/>
  <c r="I4961" i="32"/>
  <c r="I4962" i="32"/>
  <c r="I4963" i="32"/>
  <c r="I4964" i="32"/>
  <c r="I4965" i="32"/>
  <c r="I4966" i="32"/>
  <c r="I4967" i="32"/>
  <c r="I4968" i="32"/>
  <c r="I4969" i="32"/>
  <c r="I4970" i="32"/>
  <c r="I4971" i="32"/>
  <c r="I4972" i="32"/>
  <c r="I4973" i="32"/>
  <c r="I4974" i="32"/>
  <c r="I4975" i="32"/>
  <c r="I4976" i="32"/>
  <c r="I4977" i="32"/>
  <c r="I4978" i="32"/>
  <c r="I4979" i="32"/>
  <c r="I4980" i="32"/>
  <c r="I4981" i="32"/>
  <c r="I4982" i="32"/>
  <c r="I4983" i="32"/>
  <c r="I4984" i="32"/>
  <c r="I4985" i="32"/>
  <c r="I4986" i="32"/>
  <c r="I4987" i="32"/>
  <c r="I4988" i="32"/>
  <c r="I4989" i="32"/>
  <c r="I4990" i="32"/>
  <c r="I4991" i="32"/>
  <c r="I4992" i="32"/>
  <c r="I4993" i="32"/>
  <c r="I4994" i="32"/>
  <c r="I4995" i="32"/>
  <c r="I4996" i="32"/>
  <c r="I4997" i="32"/>
  <c r="I4998" i="32"/>
  <c r="I4999" i="32"/>
  <c r="I5000" i="32"/>
  <c r="P2517" i="33" a="1"/>
  <c r="N1766" i="33" l="1"/>
  <c r="O1766" i="33" s="1"/>
  <c r="E1766" i="33"/>
  <c r="N2356" i="33"/>
  <c r="O2356" i="33" s="1"/>
  <c r="E46" i="33"/>
  <c r="E2356" i="33"/>
  <c r="N46" i="33"/>
  <c r="O46" i="33" s="1"/>
  <c r="E1231" i="33"/>
  <c r="N1231" i="33"/>
  <c r="O1231" i="33" s="1"/>
  <c r="N1230" i="33"/>
  <c r="O1230" i="33" s="1"/>
  <c r="E1230" i="33"/>
  <c r="N2915" i="33"/>
  <c r="O2915" i="33" s="1"/>
  <c r="E2915" i="33"/>
  <c r="E1794" i="33"/>
  <c r="N1794" i="33"/>
  <c r="O1794" i="33" s="1"/>
  <c r="E1862" i="33"/>
  <c r="N1863" i="33"/>
  <c r="O1863" i="33" s="1"/>
  <c r="N1862" i="33"/>
  <c r="O1862" i="33" s="1"/>
  <c r="E1863" i="33"/>
  <c r="E1864" i="33"/>
  <c r="E1865" i="33"/>
  <c r="N1864" i="33"/>
  <c r="O1864" i="33" s="1"/>
  <c r="N1865" i="33"/>
  <c r="O1865" i="33" s="1"/>
  <c r="E2935" i="33"/>
  <c r="E2606" i="33"/>
  <c r="E2542" i="33"/>
  <c r="E2478" i="33"/>
  <c r="E2414" i="33"/>
  <c r="E2874" i="33"/>
  <c r="E2583" i="33"/>
  <c r="E2519" i="33"/>
  <c r="E2650" i="33"/>
  <c r="E2598" i="33"/>
  <c r="E2534" i="33"/>
  <c r="E2470" i="33"/>
  <c r="E2406" i="33"/>
  <c r="E2642" i="33"/>
  <c r="E2591" i="33"/>
  <c r="E2527" i="33"/>
  <c r="E2682" i="33"/>
  <c r="E2402" i="33"/>
  <c r="E2337" i="33"/>
  <c r="E2289" i="33"/>
  <c r="E2257" i="33"/>
  <c r="E2225" i="33"/>
  <c r="E2193" i="33"/>
  <c r="E2161" i="33"/>
  <c r="E2056" i="33"/>
  <c r="E2426" i="33"/>
  <c r="E2346" i="33"/>
  <c r="E2296" i="33"/>
  <c r="E2264" i="33"/>
  <c r="E2232" i="33"/>
  <c r="E2200" i="33"/>
  <c r="E2168" i="33"/>
  <c r="E2132" i="33"/>
  <c r="E2100" i="33"/>
  <c r="E2044" i="33"/>
  <c r="E2055" i="33"/>
  <c r="E2431" i="33"/>
  <c r="E2350" i="33"/>
  <c r="E2295" i="33"/>
  <c r="E2263" i="33"/>
  <c r="E2231" i="33"/>
  <c r="E2199" i="33"/>
  <c r="E2167" i="33"/>
  <c r="E2131" i="33"/>
  <c r="E2099" i="33"/>
  <c r="E2035" i="33"/>
  <c r="E2487" i="33"/>
  <c r="E2382" i="33"/>
  <c r="E2317" i="33"/>
  <c r="E2278" i="33"/>
  <c r="E2246" i="33"/>
  <c r="E2214" i="33"/>
  <c r="E2182" i="33"/>
  <c r="E2150" i="33"/>
  <c r="E2114" i="33"/>
  <c r="E2082" i="33"/>
  <c r="E2101" i="33"/>
  <c r="E1866" i="33"/>
  <c r="E2022" i="33"/>
  <c r="E1990" i="33"/>
  <c r="E1958" i="33"/>
  <c r="E1922" i="33"/>
  <c r="E1878" i="33"/>
  <c r="E1715" i="33"/>
  <c r="E2041" i="33"/>
  <c r="E2001" i="33"/>
  <c r="E1969" i="33"/>
  <c r="E1937" i="33"/>
  <c r="E1905" i="33"/>
  <c r="E1873" i="33"/>
  <c r="E1837" i="33"/>
  <c r="E1805" i="33"/>
  <c r="E1772" i="33"/>
  <c r="E1735" i="33"/>
  <c r="E1691" i="33"/>
  <c r="E2004" i="33"/>
  <c r="E1944" i="33"/>
  <c r="E1876" i="33"/>
  <c r="E1812" i="33"/>
  <c r="E2024" i="33"/>
  <c r="E1964" i="33"/>
  <c r="E1904" i="33"/>
  <c r="E1832" i="33"/>
  <c r="E2109" i="33"/>
  <c r="E2019" i="33"/>
  <c r="E1987" i="33"/>
  <c r="E2902" i="33"/>
  <c r="E2595" i="33"/>
  <c r="E2531" i="33"/>
  <c r="E2467" i="33"/>
  <c r="E2403" i="33"/>
  <c r="E2838" i="33"/>
  <c r="E2578" i="33"/>
  <c r="E2514" i="33"/>
  <c r="E2951" i="33"/>
  <c r="E2587" i="33"/>
  <c r="E2523" i="33"/>
  <c r="E2459" i="33"/>
  <c r="E2931" i="33"/>
  <c r="E2943" i="33"/>
  <c r="E2586" i="33"/>
  <c r="E2522" i="33"/>
  <c r="E2618" i="33"/>
  <c r="E2391" i="33"/>
  <c r="E2326" i="33"/>
  <c r="E2285" i="33"/>
  <c r="E2253" i="33"/>
  <c r="E2221" i="33"/>
  <c r="E2189" i="33"/>
  <c r="E2157" i="33"/>
  <c r="E2048" i="33"/>
  <c r="E2407" i="33"/>
  <c r="E2341" i="33"/>
  <c r="E2292" i="33"/>
  <c r="E2260" i="33"/>
  <c r="E2228" i="33"/>
  <c r="E2196" i="33"/>
  <c r="E2164" i="33"/>
  <c r="E2128" i="33"/>
  <c r="E2096" i="33"/>
  <c r="E2036" i="33"/>
  <c r="E2047" i="33"/>
  <c r="E2418" i="33"/>
  <c r="E2345" i="33"/>
  <c r="E2291" i="33"/>
  <c r="E2259" i="33"/>
  <c r="E2227" i="33"/>
  <c r="E2195" i="33"/>
  <c r="E2163" i="33"/>
  <c r="E2127" i="33"/>
  <c r="E2091" i="33"/>
  <c r="E2134" i="33"/>
  <c r="E2474" i="33"/>
  <c r="E2371" i="33"/>
  <c r="E2306" i="33"/>
  <c r="E2274" i="33"/>
  <c r="E2242" i="33"/>
  <c r="E2210" i="33"/>
  <c r="E2178" i="33"/>
  <c r="E2146" i="33"/>
  <c r="E2110" i="33"/>
  <c r="E2074" i="33"/>
  <c r="E2069" i="33"/>
  <c r="E1854" i="33"/>
  <c r="E2018" i="33"/>
  <c r="E1986" i="33"/>
  <c r="E1954" i="33"/>
  <c r="E1918" i="33"/>
  <c r="E1870" i="33"/>
  <c r="E1703" i="33"/>
  <c r="E2029" i="33"/>
  <c r="E1997" i="33"/>
  <c r="E1965" i="33"/>
  <c r="E1933" i="33"/>
  <c r="E1901" i="33"/>
  <c r="E1869" i="33"/>
  <c r="E1833" i="33"/>
  <c r="E1801" i="33"/>
  <c r="E1768" i="33"/>
  <c r="E1731" i="33"/>
  <c r="E1683" i="33"/>
  <c r="E1996" i="33"/>
  <c r="E1936" i="33"/>
  <c r="E1868" i="33"/>
  <c r="E1800" i="33"/>
  <c r="E2020" i="33"/>
  <c r="E1956" i="33"/>
  <c r="E1896" i="33"/>
  <c r="E2846" i="33"/>
  <c r="E2590" i="33"/>
  <c r="E2526" i="33"/>
  <c r="E2462" i="33"/>
  <c r="E2947" i="33"/>
  <c r="E2750" i="33"/>
  <c r="E2567" i="33"/>
  <c r="E2503" i="33"/>
  <c r="E2919" i="33"/>
  <c r="E2582" i="33"/>
  <c r="E2518" i="33"/>
  <c r="E2454" i="33"/>
  <c r="E2898" i="33"/>
  <c r="E2910" i="33"/>
  <c r="E2575" i="33"/>
  <c r="E2511" i="33"/>
  <c r="E2498" i="33"/>
  <c r="E2386" i="33"/>
  <c r="E2321" i="33"/>
  <c r="E2281" i="33"/>
  <c r="E2249" i="33"/>
  <c r="E2217" i="33"/>
  <c r="E2185" i="33"/>
  <c r="E2153" i="33"/>
  <c r="E2040" i="33"/>
  <c r="E2395" i="33"/>
  <c r="E2330" i="33"/>
  <c r="E2288" i="33"/>
  <c r="E2256" i="33"/>
  <c r="E2224" i="33"/>
  <c r="E2192" i="33"/>
  <c r="E2160" i="33"/>
  <c r="E2124" i="33"/>
  <c r="E2088" i="33"/>
  <c r="E2139" i="33"/>
  <c r="E2039" i="33"/>
  <c r="E2399" i="33"/>
  <c r="E2334" i="33"/>
  <c r="E2287" i="33"/>
  <c r="E2255" i="33"/>
  <c r="E2223" i="33"/>
  <c r="E2191" i="33"/>
  <c r="E2159" i="33"/>
  <c r="E2123" i="33"/>
  <c r="E2083" i="33"/>
  <c r="E2078" i="33"/>
  <c r="E2455" i="33"/>
  <c r="E2366" i="33"/>
  <c r="E2302" i="33"/>
  <c r="E2270" i="33"/>
  <c r="E2238" i="33"/>
  <c r="E2206" i="33"/>
  <c r="E2174" i="33"/>
  <c r="E2142" i="33"/>
  <c r="E2106" i="33"/>
  <c r="E2070" i="33"/>
  <c r="E2037" i="33"/>
  <c r="E2145" i="33"/>
  <c r="E2014" i="33"/>
  <c r="E1982" i="33"/>
  <c r="E1950" i="33"/>
  <c r="E1914" i="33"/>
  <c r="E1858" i="33"/>
  <c r="E1695" i="33"/>
  <c r="E2025" i="33"/>
  <c r="E1993" i="33"/>
  <c r="E1961" i="33"/>
  <c r="E1929" i="33"/>
  <c r="E1897" i="33"/>
  <c r="E1861" i="33"/>
  <c r="E1829" i="33"/>
  <c r="E1797" i="33"/>
  <c r="E1763" i="33"/>
  <c r="E1727" i="33"/>
  <c r="E2149" i="33"/>
  <c r="E1988" i="33"/>
  <c r="E1928" i="33"/>
  <c r="E1856" i="33"/>
  <c r="E1791" i="33"/>
  <c r="E2012" i="33"/>
  <c r="E1948" i="33"/>
  <c r="E1888" i="33"/>
  <c r="E1816" i="33"/>
  <c r="E2045" i="33"/>
  <c r="E2011" i="33"/>
  <c r="E2810" i="33"/>
  <c r="E2579" i="33"/>
  <c r="E2515" i="33"/>
  <c r="E2451" i="33"/>
  <c r="E2914" i="33"/>
  <c r="E2686" i="33"/>
  <c r="E2562" i="33"/>
  <c r="E2939" i="33"/>
  <c r="E2886" i="33"/>
  <c r="E2571" i="33"/>
  <c r="E2507" i="33"/>
  <c r="E2443" i="33"/>
  <c r="E2878" i="33"/>
  <c r="E2782" i="33"/>
  <c r="E2570" i="33"/>
  <c r="E2506" i="33"/>
  <c r="E2479" i="33"/>
  <c r="E2375" i="33"/>
  <c r="E2310" i="33"/>
  <c r="E2277" i="33"/>
  <c r="E2245" i="33"/>
  <c r="E2213" i="33"/>
  <c r="E2181" i="33"/>
  <c r="E2140" i="33"/>
  <c r="E2032" i="33"/>
  <c r="E2390" i="33"/>
  <c r="E2325" i="33"/>
  <c r="E2284" i="33"/>
  <c r="E2252" i="33"/>
  <c r="E2220" i="33"/>
  <c r="E2188" i="33"/>
  <c r="E2156" i="33"/>
  <c r="E2120" i="33"/>
  <c r="E2084" i="33"/>
  <c r="E2095" i="33"/>
  <c r="E2031" i="33"/>
  <c r="E2394" i="33"/>
  <c r="E2329" i="33"/>
  <c r="E2283" i="33"/>
  <c r="E2251" i="33"/>
  <c r="E2219" i="33"/>
  <c r="E2187" i="33"/>
  <c r="E2155" i="33"/>
  <c r="E2119" i="33"/>
  <c r="E2075" i="33"/>
  <c r="E2066" i="33"/>
  <c r="E2442" i="33"/>
  <c r="E2354" i="33"/>
  <c r="E2298" i="33"/>
  <c r="E2266" i="33"/>
  <c r="E2234" i="33"/>
  <c r="E2202" i="33"/>
  <c r="E2170" i="33"/>
  <c r="E2138" i="33"/>
  <c r="E2102" i="33"/>
  <c r="E2062" i="33"/>
  <c r="E1946" i="33"/>
  <c r="E2113" i="33"/>
  <c r="E2010" i="33"/>
  <c r="E1978" i="33"/>
  <c r="E1942" i="33"/>
  <c r="E1910" i="33"/>
  <c r="E1850" i="33"/>
  <c r="E1687" i="33"/>
  <c r="E2021" i="33"/>
  <c r="E1989" i="33"/>
  <c r="E1957" i="33"/>
  <c r="E1925" i="33"/>
  <c r="E1893" i="33"/>
  <c r="E1857" i="33"/>
  <c r="E1825" i="33"/>
  <c r="E1792" i="33"/>
  <c r="E1759" i="33"/>
  <c r="E1723" i="33"/>
  <c r="E2117" i="33"/>
  <c r="E1980" i="33"/>
  <c r="E1916" i="33"/>
  <c r="E1852" i="33"/>
  <c r="E1787" i="33"/>
  <c r="E2008" i="33"/>
  <c r="E1940" i="33"/>
  <c r="E1880" i="33"/>
  <c r="E1808" i="33"/>
  <c r="E2121" i="33"/>
  <c r="E2007" i="33"/>
  <c r="E2774" i="33"/>
  <c r="E2574" i="33"/>
  <c r="E2510" i="33"/>
  <c r="E2446" i="33"/>
  <c r="E2738" i="33"/>
  <c r="E2622" i="33"/>
  <c r="E2551" i="33"/>
  <c r="E2906" i="33"/>
  <c r="E2742" i="33"/>
  <c r="E2566" i="33"/>
  <c r="E2502" i="33"/>
  <c r="E2438" i="33"/>
  <c r="E2842" i="33"/>
  <c r="E2718" i="33"/>
  <c r="E2559" i="33"/>
  <c r="E2923" i="33"/>
  <c r="E2466" i="33"/>
  <c r="E2370" i="33"/>
  <c r="E2305" i="33"/>
  <c r="E2273" i="33"/>
  <c r="E2241" i="33"/>
  <c r="E2209" i="33"/>
  <c r="E2177" i="33"/>
  <c r="E2092" i="33"/>
  <c r="E2490" i="33"/>
  <c r="E2379" i="33"/>
  <c r="E2314" i="33"/>
  <c r="E2280" i="33"/>
  <c r="E2248" i="33"/>
  <c r="E2216" i="33"/>
  <c r="E2184" i="33"/>
  <c r="E2152" i="33"/>
  <c r="E2116" i="33"/>
  <c r="E2076" i="33"/>
  <c r="E2087" i="33"/>
  <c r="E2495" i="33"/>
  <c r="E2383" i="33"/>
  <c r="E2318" i="33"/>
  <c r="E2279" i="33"/>
  <c r="E2247" i="33"/>
  <c r="E2215" i="33"/>
  <c r="E2183" i="33"/>
  <c r="E2151" i="33"/>
  <c r="E2115" i="33"/>
  <c r="E2067" i="33"/>
  <c r="E2058" i="33"/>
  <c r="E2423" i="33"/>
  <c r="E2349" i="33"/>
  <c r="E2294" i="33"/>
  <c r="E2262" i="33"/>
  <c r="E2230" i="33"/>
  <c r="E2198" i="33"/>
  <c r="E2166" i="33"/>
  <c r="E2130" i="33"/>
  <c r="E2098" i="33"/>
  <c r="E2054" i="33"/>
  <c r="E1902" i="33"/>
  <c r="E2081" i="33"/>
  <c r="E2006" i="33"/>
  <c r="E1974" i="33"/>
  <c r="E1938" i="33"/>
  <c r="E1906" i="33"/>
  <c r="E2125" i="33"/>
  <c r="E1679" i="33"/>
  <c r="E2017" i="33"/>
  <c r="E1985" i="33"/>
  <c r="E1953" i="33"/>
  <c r="E1921" i="33"/>
  <c r="E1889" i="33"/>
  <c r="E1853" i="33"/>
  <c r="E1821" i="33"/>
  <c r="E1788" i="33"/>
  <c r="E1751" i="33"/>
  <c r="E1719" i="33"/>
  <c r="E2085" i="33"/>
  <c r="E1976" i="33"/>
  <c r="E1908" i="33"/>
  <c r="E1844" i="33"/>
  <c r="E2129" i="33"/>
  <c r="E2000" i="33"/>
  <c r="E1932" i="33"/>
  <c r="E1872" i="33"/>
  <c r="E1804" i="33"/>
  <c r="E2089" i="33"/>
  <c r="E2003" i="33"/>
  <c r="E2710" i="33"/>
  <c r="E2563" i="33"/>
  <c r="E2499" i="33"/>
  <c r="E2435" i="33"/>
  <c r="E2674" i="33"/>
  <c r="E2610" i="33"/>
  <c r="E2546" i="33"/>
  <c r="E2814" i="33"/>
  <c r="E2678" i="33"/>
  <c r="E2555" i="33"/>
  <c r="E2491" i="33"/>
  <c r="E2427" i="33"/>
  <c r="E2806" i="33"/>
  <c r="E2654" i="33"/>
  <c r="E2554" i="33"/>
  <c r="E2890" i="33"/>
  <c r="E2447" i="33"/>
  <c r="E2359" i="33"/>
  <c r="E2301" i="33"/>
  <c r="E2269" i="33"/>
  <c r="E2237" i="33"/>
  <c r="E2205" i="33"/>
  <c r="E2173" i="33"/>
  <c r="E2080" i="33"/>
  <c r="E2471" i="33"/>
  <c r="E2374" i="33"/>
  <c r="E2309" i="33"/>
  <c r="E2276" i="33"/>
  <c r="E2244" i="33"/>
  <c r="E2212" i="33"/>
  <c r="E2180" i="33"/>
  <c r="E2148" i="33"/>
  <c r="E2112" i="33"/>
  <c r="E2068" i="33"/>
  <c r="E2079" i="33"/>
  <c r="E2482" i="33"/>
  <c r="E2378" i="33"/>
  <c r="E2313" i="33"/>
  <c r="E2275" i="33"/>
  <c r="E2243" i="33"/>
  <c r="E2211" i="33"/>
  <c r="E2179" i="33"/>
  <c r="E2147" i="33"/>
  <c r="E2111" i="33"/>
  <c r="E2059" i="33"/>
  <c r="E2050" i="33"/>
  <c r="E2410" i="33"/>
  <c r="E2338" i="33"/>
  <c r="E2290" i="33"/>
  <c r="E2258" i="33"/>
  <c r="E2226" i="33"/>
  <c r="E2194" i="33"/>
  <c r="E2162" i="33"/>
  <c r="E2126" i="33"/>
  <c r="E2094" i="33"/>
  <c r="E2046" i="33"/>
  <c r="E1890" i="33"/>
  <c r="E2049" i="33"/>
  <c r="E2002" i="33"/>
  <c r="E1970" i="33"/>
  <c r="E1934" i="33"/>
  <c r="E1898" i="33"/>
  <c r="E2093" i="33"/>
  <c r="E2137" i="33"/>
  <c r="E2013" i="33"/>
  <c r="E1981" i="33"/>
  <c r="E1949" i="33"/>
  <c r="E1917" i="33"/>
  <c r="E1885" i="33"/>
  <c r="E1849" i="33"/>
  <c r="E1817" i="33"/>
  <c r="E1784" i="33"/>
  <c r="E1747" i="33"/>
  <c r="E1711" i="33"/>
  <c r="E2053" i="33"/>
  <c r="E1968" i="33"/>
  <c r="E1900" i="33"/>
  <c r="E1836" i="33"/>
  <c r="E2097" i="33"/>
  <c r="E1992" i="33"/>
  <c r="E1924" i="33"/>
  <c r="E1860" i="33"/>
  <c r="E1796" i="33"/>
  <c r="E2057" i="33"/>
  <c r="E1999" i="33"/>
  <c r="E2646" i="33"/>
  <c r="E2558" i="33"/>
  <c r="E2494" i="33"/>
  <c r="E2430" i="33"/>
  <c r="E2927" i="33"/>
  <c r="E2599" i="33"/>
  <c r="E2535" i="33"/>
  <c r="E2778" i="33"/>
  <c r="E2614" i="33"/>
  <c r="E2550" i="33"/>
  <c r="E2486" i="33"/>
  <c r="E2422" i="33"/>
  <c r="E2770" i="33"/>
  <c r="E2607" i="33"/>
  <c r="E2543" i="33"/>
  <c r="E2870" i="33"/>
  <c r="E2434" i="33"/>
  <c r="E2353" i="33"/>
  <c r="E2297" i="33"/>
  <c r="E2265" i="33"/>
  <c r="E2233" i="33"/>
  <c r="E2201" i="33"/>
  <c r="E2169" i="33"/>
  <c r="E2072" i="33"/>
  <c r="E2458" i="33"/>
  <c r="E2363" i="33"/>
  <c r="E2304" i="33"/>
  <c r="E2272" i="33"/>
  <c r="E2240" i="33"/>
  <c r="E2208" i="33"/>
  <c r="E2176" i="33"/>
  <c r="E2144" i="33"/>
  <c r="E2108" i="33"/>
  <c r="E2060" i="33"/>
  <c r="E2071" i="33"/>
  <c r="E2463" i="33"/>
  <c r="E2367" i="33"/>
  <c r="E2303" i="33"/>
  <c r="E2271" i="33"/>
  <c r="E2239" i="33"/>
  <c r="E2207" i="33"/>
  <c r="E2175" i="33"/>
  <c r="E2143" i="33"/>
  <c r="E2107" i="33"/>
  <c r="E2051" i="33"/>
  <c r="E2042" i="33"/>
  <c r="E2398" i="33"/>
  <c r="E2333" i="33"/>
  <c r="E2286" i="33"/>
  <c r="E2254" i="33"/>
  <c r="E2222" i="33"/>
  <c r="E2190" i="33"/>
  <c r="E2158" i="33"/>
  <c r="E2122" i="33"/>
  <c r="E2090" i="33"/>
  <c r="E2038" i="33"/>
  <c r="E1882" i="33"/>
  <c r="E2030" i="33"/>
  <c r="E1998" i="33"/>
  <c r="E1966" i="33"/>
  <c r="E1930" i="33"/>
  <c r="E1894" i="33"/>
  <c r="E2061" i="33"/>
  <c r="E2105" i="33"/>
  <c r="E2009" i="33"/>
  <c r="E1977" i="33"/>
  <c r="E1945" i="33"/>
  <c r="E1913" i="33"/>
  <c r="E1881" i="33"/>
  <c r="E1845" i="33"/>
  <c r="E1813" i="33"/>
  <c r="E1780" i="33"/>
  <c r="E1743" i="33"/>
  <c r="E1707" i="33"/>
  <c r="E2028" i="33"/>
  <c r="E1960" i="33"/>
  <c r="E1892" i="33"/>
  <c r="E1828" i="33"/>
  <c r="E2065" i="33"/>
  <c r="E1984" i="33"/>
  <c r="E1920" i="33"/>
  <c r="E1848" i="33"/>
  <c r="E1783" i="33"/>
  <c r="E2027" i="33"/>
  <c r="E1995" i="33"/>
  <c r="E2611" i="33"/>
  <c r="E2603" i="33"/>
  <c r="E2415" i="33"/>
  <c r="E2439" i="33"/>
  <c r="E2104" i="33"/>
  <c r="E2203" i="33"/>
  <c r="E2282" i="33"/>
  <c r="E1874" i="33"/>
  <c r="E2005" i="33"/>
  <c r="E1739" i="33"/>
  <c r="E1912" i="33"/>
  <c r="E1983" i="33"/>
  <c r="E1951" i="33"/>
  <c r="E1919" i="33"/>
  <c r="E1887" i="33"/>
  <c r="E1842" i="33"/>
  <c r="E1773" i="33"/>
  <c r="E1685" i="33"/>
  <c r="E1648" i="33"/>
  <c r="E1616" i="33"/>
  <c r="E1584" i="33"/>
  <c r="E1552" i="33"/>
  <c r="E1730" i="33"/>
  <c r="E1757" i="33"/>
  <c r="E1647" i="33"/>
  <c r="E1579" i="33"/>
  <c r="E1519" i="33"/>
  <c r="E1455" i="33"/>
  <c r="E1395" i="33"/>
  <c r="E1798" i="33"/>
  <c r="E1659" i="33"/>
  <c r="E1599" i="33"/>
  <c r="E1531" i="33"/>
  <c r="E1467" i="33"/>
  <c r="E1399" i="33"/>
  <c r="E1729" i="33"/>
  <c r="E1566" i="33"/>
  <c r="E1498" i="33"/>
  <c r="E1434" i="33"/>
  <c r="E1370" i="33"/>
  <c r="E1306" i="33"/>
  <c r="E1242" i="33"/>
  <c r="E1802" i="33"/>
  <c r="E1724" i="33"/>
  <c r="E1662" i="33"/>
  <c r="E1626" i="33"/>
  <c r="E1594" i="33"/>
  <c r="E1538" i="33"/>
  <c r="E1478" i="33"/>
  <c r="E1414" i="33"/>
  <c r="E1350" i="33"/>
  <c r="E1286" i="33"/>
  <c r="E1779" i="33"/>
  <c r="E1696" i="33"/>
  <c r="E1569" i="33"/>
  <c r="E1505" i="33"/>
  <c r="E1437" i="33"/>
  <c r="E1373" i="33"/>
  <c r="E1313" i="33"/>
  <c r="E1249" i="33"/>
  <c r="E1822" i="33"/>
  <c r="E1741" i="33"/>
  <c r="E1669" i="33"/>
  <c r="E1633" i="33"/>
  <c r="E1589" i="33"/>
  <c r="E1529" i="33"/>
  <c r="E1465" i="33"/>
  <c r="E1401" i="33"/>
  <c r="E1337" i="33"/>
  <c r="E1269" i="33"/>
  <c r="E1508" i="33"/>
  <c r="E1206" i="33"/>
  <c r="E1174" i="33"/>
  <c r="E1142" i="33"/>
  <c r="E1110" i="33"/>
  <c r="E1078" i="33"/>
  <c r="E1046" i="33"/>
  <c r="E1014" i="33"/>
  <c r="E982" i="33"/>
  <c r="E950" i="33"/>
  <c r="E1690" i="33"/>
  <c r="E1352" i="33"/>
  <c r="E1288" i="33"/>
  <c r="E1222" i="33"/>
  <c r="E1001" i="33"/>
  <c r="E933" i="33"/>
  <c r="E869" i="33"/>
  <c r="E805" i="33"/>
  <c r="E1778" i="33"/>
  <c r="E1213" i="33"/>
  <c r="E1181" i="33"/>
  <c r="E1149" i="33"/>
  <c r="E1117" i="33"/>
  <c r="E1085" i="33"/>
  <c r="E1045" i="33"/>
  <c r="E981" i="33"/>
  <c r="E921" i="33"/>
  <c r="E857" i="33"/>
  <c r="E793" i="33"/>
  <c r="E1480" i="33"/>
  <c r="E1340" i="33"/>
  <c r="E1276" i="33"/>
  <c r="E1116" i="33"/>
  <c r="E1028" i="33"/>
  <c r="E960" i="33"/>
  <c r="E900" i="33"/>
  <c r="E836" i="33"/>
  <c r="E772" i="33"/>
  <c r="E708" i="33"/>
  <c r="E648" i="33"/>
  <c r="E588" i="33"/>
  <c r="E524" i="33"/>
  <c r="E1524" i="33"/>
  <c r="E1204" i="33"/>
  <c r="E1172" i="33"/>
  <c r="E1140" i="33"/>
  <c r="E1104" i="33"/>
  <c r="E1060" i="33"/>
  <c r="E996" i="33"/>
  <c r="E928" i="33"/>
  <c r="E864" i="33"/>
  <c r="E800" i="33"/>
  <c r="E732" i="33"/>
  <c r="E668" i="33"/>
  <c r="E600" i="33"/>
  <c r="E536" i="33"/>
  <c r="E1745" i="33"/>
  <c r="E1360" i="33"/>
  <c r="E1296" i="33"/>
  <c r="E1232" i="33"/>
  <c r="E815" i="33"/>
  <c r="E751" i="33"/>
  <c r="E687" i="33"/>
  <c r="E623" i="33"/>
  <c r="E1722" i="33"/>
  <c r="E1207" i="33"/>
  <c r="E1175" i="33"/>
  <c r="E1143" i="33"/>
  <c r="E1111" i="33"/>
  <c r="E1079" i="33"/>
  <c r="E1047" i="33"/>
  <c r="E1015" i="33"/>
  <c r="E983" i="33"/>
  <c r="E951" i="33"/>
  <c r="E919" i="33"/>
  <c r="E887" i="33"/>
  <c r="E847" i="33"/>
  <c r="E787" i="33"/>
  <c r="E723" i="33"/>
  <c r="E659" i="33"/>
  <c r="E595" i="33"/>
  <c r="E1263" i="33"/>
  <c r="E733" i="33"/>
  <c r="E669" i="33"/>
  <c r="E605" i="33"/>
  <c r="E526" i="33"/>
  <c r="E818" i="33"/>
  <c r="E507" i="33"/>
  <c r="E455" i="33"/>
  <c r="E423" i="33"/>
  <c r="E391" i="33"/>
  <c r="E359" i="33"/>
  <c r="E327" i="33"/>
  <c r="E295" i="33"/>
  <c r="E263" i="33"/>
  <c r="E231" i="33"/>
  <c r="E199" i="33"/>
  <c r="E862" i="33"/>
  <c r="E710" i="33"/>
  <c r="E646" i="33"/>
  <c r="E2547" i="33"/>
  <c r="E2539" i="33"/>
  <c r="E2342" i="33"/>
  <c r="E2358" i="33"/>
  <c r="E2052" i="33"/>
  <c r="E2171" i="33"/>
  <c r="E2250" i="33"/>
  <c r="E2026" i="33"/>
  <c r="E1973" i="33"/>
  <c r="E1699" i="33"/>
  <c r="E1840" i="33"/>
  <c r="E1979" i="33"/>
  <c r="E1947" i="33"/>
  <c r="E1915" i="33"/>
  <c r="E1883" i="33"/>
  <c r="E1831" i="33"/>
  <c r="E1758" i="33"/>
  <c r="E1676" i="33"/>
  <c r="E1644" i="33"/>
  <c r="E1612" i="33"/>
  <c r="E1580" i="33"/>
  <c r="E1548" i="33"/>
  <c r="E1721" i="33"/>
  <c r="E1734" i="33"/>
  <c r="E1635" i="33"/>
  <c r="E1571" i="33"/>
  <c r="E1511" i="33"/>
  <c r="E1447" i="33"/>
  <c r="E1387" i="33"/>
  <c r="E1781" i="33"/>
  <c r="E1651" i="33"/>
  <c r="E1591" i="33"/>
  <c r="E1523" i="33"/>
  <c r="E1459" i="33"/>
  <c r="E1391" i="33"/>
  <c r="E1720" i="33"/>
  <c r="E1558" i="33"/>
  <c r="E1490" i="33"/>
  <c r="E1426" i="33"/>
  <c r="E1362" i="33"/>
  <c r="E1298" i="33"/>
  <c r="E1234" i="33"/>
  <c r="E1790" i="33"/>
  <c r="E1710" i="33"/>
  <c r="E1658" i="33"/>
  <c r="E1622" i="33"/>
  <c r="E1590" i="33"/>
  <c r="E1530" i="33"/>
  <c r="E1470" i="33"/>
  <c r="E1406" i="33"/>
  <c r="E1342" i="33"/>
  <c r="E1278" i="33"/>
  <c r="E1770" i="33"/>
  <c r="E1682" i="33"/>
  <c r="E1557" i="33"/>
  <c r="E1497" i="33"/>
  <c r="E1429" i="33"/>
  <c r="E1365" i="33"/>
  <c r="E1305" i="33"/>
  <c r="E1241" i="33"/>
  <c r="E1811" i="33"/>
  <c r="E1732" i="33"/>
  <c r="E1665" i="33"/>
  <c r="E1629" i="33"/>
  <c r="E1585" i="33"/>
  <c r="E1517" i="33"/>
  <c r="E1457" i="33"/>
  <c r="E1393" i="33"/>
  <c r="E1329" i="33"/>
  <c r="E1261" i="33"/>
  <c r="E1476" i="33"/>
  <c r="E1202" i="33"/>
  <c r="E1170" i="33"/>
  <c r="E1138" i="33"/>
  <c r="E1106" i="33"/>
  <c r="E1074" i="33"/>
  <c r="E1042" i="33"/>
  <c r="E1010" i="33"/>
  <c r="E978" i="33"/>
  <c r="E946" i="33"/>
  <c r="E1520" i="33"/>
  <c r="E1347" i="33"/>
  <c r="E1283" i="33"/>
  <c r="E1081" i="33"/>
  <c r="E993" i="33"/>
  <c r="E925" i="33"/>
  <c r="E861" i="33"/>
  <c r="E797" i="33"/>
  <c r="E1704" i="33"/>
  <c r="E1209" i="33"/>
  <c r="E1177" i="33"/>
  <c r="E1145" i="33"/>
  <c r="E1113" i="33"/>
  <c r="E1077" i="33"/>
  <c r="E1037" i="33"/>
  <c r="E973" i="33"/>
  <c r="E913" i="33"/>
  <c r="E849" i="33"/>
  <c r="E785" i="33"/>
  <c r="E1448" i="33"/>
  <c r="E1335" i="33"/>
  <c r="E1271" i="33"/>
  <c r="E1080" i="33"/>
  <c r="E1020" i="33"/>
  <c r="E952" i="33"/>
  <c r="E892" i="33"/>
  <c r="E828" i="33"/>
  <c r="E764" i="33"/>
  <c r="E700" i="33"/>
  <c r="E640" i="33"/>
  <c r="E580" i="33"/>
  <c r="E516" i="33"/>
  <c r="E1492" i="33"/>
  <c r="E1200" i="33"/>
  <c r="E1168" i="33"/>
  <c r="E1136" i="33"/>
  <c r="E1100" i="33"/>
  <c r="E1052" i="33"/>
  <c r="E988" i="33"/>
  <c r="E920" i="33"/>
  <c r="E856" i="33"/>
  <c r="E792" i="33"/>
  <c r="E724" i="33"/>
  <c r="E660" i="33"/>
  <c r="E592" i="33"/>
  <c r="E528" i="33"/>
  <c r="E1536" i="33"/>
  <c r="E1355" i="33"/>
  <c r="E1291" i="33"/>
  <c r="E1225" i="33"/>
  <c r="E807" i="33"/>
  <c r="E743" i="33"/>
  <c r="E679" i="33"/>
  <c r="E615" i="33"/>
  <c r="E1516" i="33"/>
  <c r="E1203" i="33"/>
  <c r="E1171" i="33"/>
  <c r="E1139" i="33"/>
  <c r="E1107" i="33"/>
  <c r="E1075" i="33"/>
  <c r="E1043" i="33"/>
  <c r="E1011" i="33"/>
  <c r="E979" i="33"/>
  <c r="E947" i="33"/>
  <c r="E915" i="33"/>
  <c r="E883" i="33"/>
  <c r="E843" i="33"/>
  <c r="E779" i="33"/>
  <c r="E715" i="33"/>
  <c r="E651" i="33"/>
  <c r="E587" i="33"/>
  <c r="E902" i="33"/>
  <c r="E722" i="33"/>
  <c r="E658" i="33"/>
  <c r="E594" i="33"/>
  <c r="E517" i="33"/>
  <c r="E786" i="33"/>
  <c r="E498" i="33"/>
  <c r="E451" i="33"/>
  <c r="E419" i="33"/>
  <c r="E387" i="33"/>
  <c r="E355" i="33"/>
  <c r="E323" i="33"/>
  <c r="E291" i="33"/>
  <c r="E259" i="33"/>
  <c r="E227" i="33"/>
  <c r="E195" i="33"/>
  <c r="E830" i="33"/>
  <c r="E705" i="33"/>
  <c r="E641" i="33"/>
  <c r="E2483" i="33"/>
  <c r="E2475" i="33"/>
  <c r="E2293" i="33"/>
  <c r="E2300" i="33"/>
  <c r="E2063" i="33"/>
  <c r="E2135" i="33"/>
  <c r="E2218" i="33"/>
  <c r="E1994" i="33"/>
  <c r="E1941" i="33"/>
  <c r="E2016" i="33"/>
  <c r="E1824" i="33"/>
  <c r="E1975" i="33"/>
  <c r="E1943" i="33"/>
  <c r="E1911" i="33"/>
  <c r="E1879" i="33"/>
  <c r="E1826" i="33"/>
  <c r="E1749" i="33"/>
  <c r="E1672" i="33"/>
  <c r="E1640" i="33"/>
  <c r="E1608" i="33"/>
  <c r="E1576" i="33"/>
  <c r="E1544" i="33"/>
  <c r="E1712" i="33"/>
  <c r="E1716" i="33"/>
  <c r="E1627" i="33"/>
  <c r="E1567" i="33"/>
  <c r="E1503" i="33"/>
  <c r="E1439" i="33"/>
  <c r="E1379" i="33"/>
  <c r="E1767" i="33"/>
  <c r="E1643" i="33"/>
  <c r="E1583" i="33"/>
  <c r="E1515" i="33"/>
  <c r="E1451" i="33"/>
  <c r="E1383" i="33"/>
  <c r="E1706" i="33"/>
  <c r="E1550" i="33"/>
  <c r="E1482" i="33"/>
  <c r="E1418" i="33"/>
  <c r="E1354" i="33"/>
  <c r="E1290" i="33"/>
  <c r="E1224" i="33"/>
  <c r="E1785" i="33"/>
  <c r="E1701" i="33"/>
  <c r="E1654" i="33"/>
  <c r="E1618" i="33"/>
  <c r="E1586" i="33"/>
  <c r="E1522" i="33"/>
  <c r="E1462" i="33"/>
  <c r="E1398" i="33"/>
  <c r="E1334" i="33"/>
  <c r="E1270" i="33"/>
  <c r="E1760" i="33"/>
  <c r="E1649" i="33"/>
  <c r="E1549" i="33"/>
  <c r="E1485" i="33"/>
  <c r="E1421" i="33"/>
  <c r="E1357" i="33"/>
  <c r="E1297" i="33"/>
  <c r="E1233" i="33"/>
  <c r="E1806" i="33"/>
  <c r="E1718" i="33"/>
  <c r="E1661" i="33"/>
  <c r="E1625" i="33"/>
  <c r="E1577" i="33"/>
  <c r="E1509" i="33"/>
  <c r="E1449" i="33"/>
  <c r="E1385" i="33"/>
  <c r="E1321" i="33"/>
  <c r="E1253" i="33"/>
  <c r="E1444" i="33"/>
  <c r="E1198" i="33"/>
  <c r="E1166" i="33"/>
  <c r="E1134" i="33"/>
  <c r="E1102" i="33"/>
  <c r="E1070" i="33"/>
  <c r="E1038" i="33"/>
  <c r="E1006" i="33"/>
  <c r="E974" i="33"/>
  <c r="E942" i="33"/>
  <c r="E1488" i="33"/>
  <c r="E1336" i="33"/>
  <c r="E1272" i="33"/>
  <c r="E1049" i="33"/>
  <c r="E985" i="33"/>
  <c r="E917" i="33"/>
  <c r="E853" i="33"/>
  <c r="E789" i="33"/>
  <c r="E1532" i="33"/>
  <c r="E1205" i="33"/>
  <c r="E1173" i="33"/>
  <c r="E1141" i="33"/>
  <c r="E1109" i="33"/>
  <c r="E1073" i="33"/>
  <c r="E1029" i="33"/>
  <c r="E965" i="33"/>
  <c r="E905" i="33"/>
  <c r="E841" i="33"/>
  <c r="E777" i="33"/>
  <c r="E1416" i="33"/>
  <c r="E1324" i="33"/>
  <c r="E1260" i="33"/>
  <c r="E1072" i="33"/>
  <c r="E1012" i="33"/>
  <c r="E944" i="33"/>
  <c r="E884" i="33"/>
  <c r="E820" i="33"/>
  <c r="E756" i="33"/>
  <c r="E692" i="33"/>
  <c r="E632" i="33"/>
  <c r="E572" i="33"/>
  <c r="E508" i="33"/>
  <c r="E1460" i="33"/>
  <c r="E1196" i="33"/>
  <c r="E1164" i="33"/>
  <c r="E1132" i="33"/>
  <c r="E1096" i="33"/>
  <c r="E1044" i="33"/>
  <c r="E980" i="33"/>
  <c r="E912" i="33"/>
  <c r="E848" i="33"/>
  <c r="E784" i="33"/>
  <c r="E720" i="33"/>
  <c r="E652" i="33"/>
  <c r="E584" i="33"/>
  <c r="E520" i="33"/>
  <c r="E1504" i="33"/>
  <c r="E1344" i="33"/>
  <c r="E1280" i="33"/>
  <c r="E1220" i="33"/>
  <c r="E799" i="33"/>
  <c r="E735" i="33"/>
  <c r="E671" i="33"/>
  <c r="E607" i="33"/>
  <c r="E1484" i="33"/>
  <c r="E1199" i="33"/>
  <c r="E1167" i="33"/>
  <c r="E1135" i="33"/>
  <c r="E1103" i="33"/>
  <c r="E1071" i="33"/>
  <c r="E1039" i="33"/>
  <c r="E1007" i="33"/>
  <c r="E975" i="33"/>
  <c r="E943" i="33"/>
  <c r="E911" i="33"/>
  <c r="E879" i="33"/>
  <c r="E835" i="33"/>
  <c r="E771" i="33"/>
  <c r="E707" i="33"/>
  <c r="E643" i="33"/>
  <c r="E579" i="33"/>
  <c r="E870" i="33"/>
  <c r="E717" i="33"/>
  <c r="E653" i="33"/>
  <c r="E589" i="33"/>
  <c r="E503" i="33"/>
  <c r="E754" i="33"/>
  <c r="E489" i="33"/>
  <c r="E447" i="33"/>
  <c r="E415" i="33"/>
  <c r="E383" i="33"/>
  <c r="E351" i="33"/>
  <c r="E319" i="33"/>
  <c r="E287" i="33"/>
  <c r="E255" i="33"/>
  <c r="E223" i="33"/>
  <c r="E1375" i="33"/>
  <c r="E798" i="33"/>
  <c r="E694" i="33"/>
  <c r="E630" i="33"/>
  <c r="E2419" i="33"/>
  <c r="E2411" i="33"/>
  <c r="E2261" i="33"/>
  <c r="E2268" i="33"/>
  <c r="E2450" i="33"/>
  <c r="E2103" i="33"/>
  <c r="E2186" i="33"/>
  <c r="E1962" i="33"/>
  <c r="E1909" i="33"/>
  <c r="E1952" i="33"/>
  <c r="E2141" i="33"/>
  <c r="E1971" i="33"/>
  <c r="E1939" i="33"/>
  <c r="E1907" i="33"/>
  <c r="E1875" i="33"/>
  <c r="E1815" i="33"/>
  <c r="E1740" i="33"/>
  <c r="E1668" i="33"/>
  <c r="E1636" i="33"/>
  <c r="E1604" i="33"/>
  <c r="E1572" i="33"/>
  <c r="E1540" i="33"/>
  <c r="E1698" i="33"/>
  <c r="E1693" i="33"/>
  <c r="E1619" i="33"/>
  <c r="E1559" i="33"/>
  <c r="E1495" i="33"/>
  <c r="E1431" i="33"/>
  <c r="E1846" i="33"/>
  <c r="E1748" i="33"/>
  <c r="E1639" i="33"/>
  <c r="E1575" i="33"/>
  <c r="E1507" i="33"/>
  <c r="E1443" i="33"/>
  <c r="E1851" i="33"/>
  <c r="E1697" i="33"/>
  <c r="E1542" i="33"/>
  <c r="E1474" i="33"/>
  <c r="E1410" i="33"/>
  <c r="E1346" i="33"/>
  <c r="E1282" i="33"/>
  <c r="E1839" i="33"/>
  <c r="E1775" i="33"/>
  <c r="E1692" i="33"/>
  <c r="E1650" i="33"/>
  <c r="E1614" i="33"/>
  <c r="E1578" i="33"/>
  <c r="E1514" i="33"/>
  <c r="E1454" i="33"/>
  <c r="E1390" i="33"/>
  <c r="E1326" i="33"/>
  <c r="E1262" i="33"/>
  <c r="E1746" i="33"/>
  <c r="E1609" i="33"/>
  <c r="E1541" i="33"/>
  <c r="E1477" i="33"/>
  <c r="E1413" i="33"/>
  <c r="E1349" i="33"/>
  <c r="E1289" i="33"/>
  <c r="E1223" i="33"/>
  <c r="E1795" i="33"/>
  <c r="E1709" i="33"/>
  <c r="E1657" i="33"/>
  <c r="E1621" i="33"/>
  <c r="E1565" i="33"/>
  <c r="E1501" i="33"/>
  <c r="E1441" i="33"/>
  <c r="E1377" i="33"/>
  <c r="E1309" i="33"/>
  <c r="E1245" i="33"/>
  <c r="E1412" i="33"/>
  <c r="E1194" i="33"/>
  <c r="E1162" i="33"/>
  <c r="E1130" i="33"/>
  <c r="E1098" i="33"/>
  <c r="E1066" i="33"/>
  <c r="E1034" i="33"/>
  <c r="E1002" i="33"/>
  <c r="E970" i="33"/>
  <c r="E938" i="33"/>
  <c r="E1456" i="33"/>
  <c r="E1331" i="33"/>
  <c r="E1267" i="33"/>
  <c r="E1041" i="33"/>
  <c r="E977" i="33"/>
  <c r="E909" i="33"/>
  <c r="E845" i="33"/>
  <c r="E781" i="33"/>
  <c r="E1500" i="33"/>
  <c r="E1201" i="33"/>
  <c r="E1169" i="33"/>
  <c r="E1137" i="33"/>
  <c r="E1105" i="33"/>
  <c r="E1069" i="33"/>
  <c r="E1021" i="33"/>
  <c r="E957" i="33"/>
  <c r="E897" i="33"/>
  <c r="E833" i="33"/>
  <c r="E765" i="33"/>
  <c r="E1384" i="33"/>
  <c r="E1319" i="33"/>
  <c r="E1255" i="33"/>
  <c r="E1064" i="33"/>
  <c r="E1000" i="33"/>
  <c r="E940" i="33"/>
  <c r="E876" i="33"/>
  <c r="E812" i="33"/>
  <c r="E748" i="33"/>
  <c r="E688" i="33"/>
  <c r="E624" i="33"/>
  <c r="E564" i="33"/>
  <c r="E500" i="33"/>
  <c r="E1428" i="33"/>
  <c r="E1192" i="33"/>
  <c r="E1160" i="33"/>
  <c r="E1128" i="33"/>
  <c r="E1092" i="33"/>
  <c r="E1036" i="33"/>
  <c r="E972" i="33"/>
  <c r="E904" i="33"/>
  <c r="E840" i="33"/>
  <c r="E776" i="33"/>
  <c r="E712" i="33"/>
  <c r="E644" i="33"/>
  <c r="E576" i="33"/>
  <c r="E512" i="33"/>
  <c r="E1472" i="33"/>
  <c r="E1339" i="33"/>
  <c r="E1275" i="33"/>
  <c r="E875" i="33"/>
  <c r="E791" i="33"/>
  <c r="E727" i="33"/>
  <c r="E663" i="33"/>
  <c r="E599" i="33"/>
  <c r="E1452" i="33"/>
  <c r="E1195" i="33"/>
  <c r="E1163" i="33"/>
  <c r="E1131" i="33"/>
  <c r="E1099" i="33"/>
  <c r="E1067" i="33"/>
  <c r="E1035" i="33"/>
  <c r="E1003" i="33"/>
  <c r="E971" i="33"/>
  <c r="E939" i="33"/>
  <c r="E907" i="33"/>
  <c r="E871" i="33"/>
  <c r="E827" i="33"/>
  <c r="E763" i="33"/>
  <c r="E699" i="33"/>
  <c r="E635" i="33"/>
  <c r="E571" i="33"/>
  <c r="E838" i="33"/>
  <c r="E706" i="33"/>
  <c r="E642" i="33"/>
  <c r="E578" i="33"/>
  <c r="E494" i="33"/>
  <c r="E562" i="33"/>
  <c r="E475" i="33"/>
  <c r="E443" i="33"/>
  <c r="E411" i="33"/>
  <c r="E379" i="33"/>
  <c r="E347" i="33"/>
  <c r="E315" i="33"/>
  <c r="E283" i="33"/>
  <c r="E251" i="33"/>
  <c r="E219" i="33"/>
  <c r="E1332" i="33"/>
  <c r="E766" i="33"/>
  <c r="E2894" i="33"/>
  <c r="E2706" i="33"/>
  <c r="E2229" i="33"/>
  <c r="E2236" i="33"/>
  <c r="E2362" i="33"/>
  <c r="E2043" i="33"/>
  <c r="E2154" i="33"/>
  <c r="E1926" i="33"/>
  <c r="E1877" i="33"/>
  <c r="E1884" i="33"/>
  <c r="E2077" i="33"/>
  <c r="E1967" i="33"/>
  <c r="E1935" i="33"/>
  <c r="E1903" i="33"/>
  <c r="E1871" i="33"/>
  <c r="E1810" i="33"/>
  <c r="E1726" i="33"/>
  <c r="E1664" i="33"/>
  <c r="E1632" i="33"/>
  <c r="E1600" i="33"/>
  <c r="E1568" i="33"/>
  <c r="E1777" i="33"/>
  <c r="E1689" i="33"/>
  <c r="E1684" i="33"/>
  <c r="E1611" i="33"/>
  <c r="E1551" i="33"/>
  <c r="E1487" i="33"/>
  <c r="E1423" i="33"/>
  <c r="E1835" i="33"/>
  <c r="E1725" i="33"/>
  <c r="E1631" i="33"/>
  <c r="E1563" i="33"/>
  <c r="E1499" i="33"/>
  <c r="E1435" i="33"/>
  <c r="E1771" i="33"/>
  <c r="E1688" i="33"/>
  <c r="E1534" i="33"/>
  <c r="E1466" i="33"/>
  <c r="E1402" i="33"/>
  <c r="E1338" i="33"/>
  <c r="E1274" i="33"/>
  <c r="E1834" i="33"/>
  <c r="E1765" i="33"/>
  <c r="E1678" i="33"/>
  <c r="E1646" i="33"/>
  <c r="E1610" i="33"/>
  <c r="E1570" i="33"/>
  <c r="E1506" i="33"/>
  <c r="E1446" i="33"/>
  <c r="E1382" i="33"/>
  <c r="E1318" i="33"/>
  <c r="E1254" i="33"/>
  <c r="E1737" i="33"/>
  <c r="E1601" i="33"/>
  <c r="E1533" i="33"/>
  <c r="E1469" i="33"/>
  <c r="E1405" i="33"/>
  <c r="E1341" i="33"/>
  <c r="E1281" i="33"/>
  <c r="E1855" i="33"/>
  <c r="E1789" i="33"/>
  <c r="E1700" i="33"/>
  <c r="E1653" i="33"/>
  <c r="E1617" i="33"/>
  <c r="E1561" i="33"/>
  <c r="E1493" i="33"/>
  <c r="E1433" i="33"/>
  <c r="E1369" i="33"/>
  <c r="E1301" i="33"/>
  <c r="E1237" i="33"/>
  <c r="E1380" i="33"/>
  <c r="E1190" i="33"/>
  <c r="E1158" i="33"/>
  <c r="E1126" i="33"/>
  <c r="E1094" i="33"/>
  <c r="E1062" i="33"/>
  <c r="E1030" i="33"/>
  <c r="E998" i="33"/>
  <c r="E966" i="33"/>
  <c r="E934" i="33"/>
  <c r="E1424" i="33"/>
  <c r="E1320" i="33"/>
  <c r="E1256" i="33"/>
  <c r="E1033" i="33"/>
  <c r="E969" i="33"/>
  <c r="E901" i="33"/>
  <c r="E837" i="33"/>
  <c r="E773" i="33"/>
  <c r="E1468" i="33"/>
  <c r="E1197" i="33"/>
  <c r="E1165" i="33"/>
  <c r="E1133" i="33"/>
  <c r="E1101" i="33"/>
  <c r="E1065" i="33"/>
  <c r="E1013" i="33"/>
  <c r="E949" i="33"/>
  <c r="E889" i="33"/>
  <c r="E825" i="33"/>
  <c r="E757" i="33"/>
  <c r="E1372" i="33"/>
  <c r="E1308" i="33"/>
  <c r="E1244" i="33"/>
  <c r="E1056" i="33"/>
  <c r="E992" i="33"/>
  <c r="E932" i="33"/>
  <c r="E868" i="33"/>
  <c r="E804" i="33"/>
  <c r="E740" i="33"/>
  <c r="E680" i="33"/>
  <c r="E616" i="33"/>
  <c r="E556" i="33"/>
  <c r="E492" i="33"/>
  <c r="E1396" i="33"/>
  <c r="E1188" i="33"/>
  <c r="E1156" i="33"/>
  <c r="E1124" i="33"/>
  <c r="E1088" i="33"/>
  <c r="E1024" i="33"/>
  <c r="E964" i="33"/>
  <c r="E896" i="33"/>
  <c r="E832" i="33"/>
  <c r="E768" i="33"/>
  <c r="E704" i="33"/>
  <c r="E636" i="33"/>
  <c r="E568" i="33"/>
  <c r="E504" i="33"/>
  <c r="E1440" i="33"/>
  <c r="E1328" i="33"/>
  <c r="E1264" i="33"/>
  <c r="E851" i="33"/>
  <c r="E783" i="33"/>
  <c r="E719" i="33"/>
  <c r="E655" i="33"/>
  <c r="E591" i="33"/>
  <c r="E1420" i="33"/>
  <c r="E1191" i="33"/>
  <c r="E1159" i="33"/>
  <c r="E1127" i="33"/>
  <c r="E1095" i="33"/>
  <c r="E1063" i="33"/>
  <c r="E1031" i="33"/>
  <c r="E999" i="33"/>
  <c r="E967" i="33"/>
  <c r="E935" i="33"/>
  <c r="E903" i="33"/>
  <c r="E867" i="33"/>
  <c r="E819" i="33"/>
  <c r="E755" i="33"/>
  <c r="E691" i="33"/>
  <c r="E627" i="33"/>
  <c r="E1400" i="33"/>
  <c r="E806" i="33"/>
  <c r="E701" i="33"/>
  <c r="E637" i="33"/>
  <c r="E573" i="33"/>
  <c r="E485" i="33"/>
  <c r="E553" i="33"/>
  <c r="E471" i="33"/>
  <c r="E439" i="33"/>
  <c r="E407" i="33"/>
  <c r="E375" i="33"/>
  <c r="E343" i="33"/>
  <c r="E311" i="33"/>
  <c r="E279" i="33"/>
  <c r="E247" i="33"/>
  <c r="E215" i="33"/>
  <c r="E1311" i="33"/>
  <c r="E742" i="33"/>
  <c r="E678" i="33"/>
  <c r="E614" i="33"/>
  <c r="E2594" i="33"/>
  <c r="E2602" i="33"/>
  <c r="E2197" i="33"/>
  <c r="E2204" i="33"/>
  <c r="E2299" i="33"/>
  <c r="E2034" i="33"/>
  <c r="E2118" i="33"/>
  <c r="E1886" i="33"/>
  <c r="E1841" i="33"/>
  <c r="E1820" i="33"/>
  <c r="E2023" i="33"/>
  <c r="E1963" i="33"/>
  <c r="E1931" i="33"/>
  <c r="E1899" i="33"/>
  <c r="E1867" i="33"/>
  <c r="E1799" i="33"/>
  <c r="E1717" i="33"/>
  <c r="E1660" i="33"/>
  <c r="E1628" i="33"/>
  <c r="E1596" i="33"/>
  <c r="E1564" i="33"/>
  <c r="E1762" i="33"/>
  <c r="E1680" i="33"/>
  <c r="E1671" i="33"/>
  <c r="E1603" i="33"/>
  <c r="E1543" i="33"/>
  <c r="E1479" i="33"/>
  <c r="E1415" i="33"/>
  <c r="E1830" i="33"/>
  <c r="E1702" i="33"/>
  <c r="E1623" i="33"/>
  <c r="E1555" i="33"/>
  <c r="E1491" i="33"/>
  <c r="E1427" i="33"/>
  <c r="E1761" i="33"/>
  <c r="E1630" i="33"/>
  <c r="E1526" i="33"/>
  <c r="E1458" i="33"/>
  <c r="E1394" i="33"/>
  <c r="E1330" i="33"/>
  <c r="E1266" i="33"/>
  <c r="E1823" i="33"/>
  <c r="E1756" i="33"/>
  <c r="E1674" i="33"/>
  <c r="E1642" i="33"/>
  <c r="E1606" i="33"/>
  <c r="E1562" i="33"/>
  <c r="E1502" i="33"/>
  <c r="E1438" i="33"/>
  <c r="E1374" i="33"/>
  <c r="E1310" i="33"/>
  <c r="E1246" i="33"/>
  <c r="E1728" i="33"/>
  <c r="E1593" i="33"/>
  <c r="E1525" i="33"/>
  <c r="E1461" i="33"/>
  <c r="E1397" i="33"/>
  <c r="E1333" i="33"/>
  <c r="E1273" i="33"/>
  <c r="E1843" i="33"/>
  <c r="E1774" i="33"/>
  <c r="E1686" i="33"/>
  <c r="E1645" i="33"/>
  <c r="E1613" i="33"/>
  <c r="E1553" i="33"/>
  <c r="E1489" i="33"/>
  <c r="E1425" i="33"/>
  <c r="E1361" i="33"/>
  <c r="E1293" i="33"/>
  <c r="E1227" i="33"/>
  <c r="E1218" i="33"/>
  <c r="E1186" i="33"/>
  <c r="E1154" i="33"/>
  <c r="E1122" i="33"/>
  <c r="E1090" i="33"/>
  <c r="E1058" i="33"/>
  <c r="E1026" i="33"/>
  <c r="E994" i="33"/>
  <c r="E962" i="33"/>
  <c r="E930" i="33"/>
  <c r="E1392" i="33"/>
  <c r="E1315" i="33"/>
  <c r="E1251" i="33"/>
  <c r="E1025" i="33"/>
  <c r="E961" i="33"/>
  <c r="E893" i="33"/>
  <c r="E829" i="33"/>
  <c r="E769" i="33"/>
  <c r="E1436" i="33"/>
  <c r="E1193" i="33"/>
  <c r="E1161" i="33"/>
  <c r="E1129" i="33"/>
  <c r="E1097" i="33"/>
  <c r="E1061" i="33"/>
  <c r="E1005" i="33"/>
  <c r="E945" i="33"/>
  <c r="E881" i="33"/>
  <c r="E817" i="33"/>
  <c r="E1754" i="33"/>
  <c r="E1367" i="33"/>
  <c r="E1303" i="33"/>
  <c r="E1239" i="33"/>
  <c r="E1048" i="33"/>
  <c r="E984" i="33"/>
  <c r="E924" i="33"/>
  <c r="E860" i="33"/>
  <c r="E796" i="33"/>
  <c r="E736" i="33"/>
  <c r="E672" i="33"/>
  <c r="E612" i="33"/>
  <c r="E548" i="33"/>
  <c r="E484" i="33"/>
  <c r="E1216" i="33"/>
  <c r="E1184" i="33"/>
  <c r="E1152" i="33"/>
  <c r="E1120" i="33"/>
  <c r="E1084" i="33"/>
  <c r="E1016" i="33"/>
  <c r="E956" i="33"/>
  <c r="E888" i="33"/>
  <c r="E824" i="33"/>
  <c r="E760" i="33"/>
  <c r="E696" i="33"/>
  <c r="E628" i="33"/>
  <c r="E560" i="33"/>
  <c r="E496" i="33"/>
  <c r="E1408" i="33"/>
  <c r="E1323" i="33"/>
  <c r="E1259" i="33"/>
  <c r="E839" i="33"/>
  <c r="E775" i="33"/>
  <c r="E711" i="33"/>
  <c r="E647" i="33"/>
  <c r="E583" i="33"/>
  <c r="E1388" i="33"/>
  <c r="E1187" i="33"/>
  <c r="E1155" i="33"/>
  <c r="E1123" i="33"/>
  <c r="E1091" i="33"/>
  <c r="E1059" i="33"/>
  <c r="E1027" i="33"/>
  <c r="E995" i="33"/>
  <c r="E963" i="33"/>
  <c r="E931" i="33"/>
  <c r="E899" i="33"/>
  <c r="E863" i="33"/>
  <c r="E811" i="33"/>
  <c r="E747" i="33"/>
  <c r="E683" i="33"/>
  <c r="E619" i="33"/>
  <c r="E1348" i="33"/>
  <c r="E774" i="33"/>
  <c r="E690" i="33"/>
  <c r="E626" i="33"/>
  <c r="E558" i="33"/>
  <c r="E914" i="33"/>
  <c r="E539" i="33"/>
  <c r="E467" i="33"/>
  <c r="E435" i="33"/>
  <c r="E403" i="33"/>
  <c r="E371" i="33"/>
  <c r="E339" i="33"/>
  <c r="E307" i="33"/>
  <c r="E275" i="33"/>
  <c r="E243" i="33"/>
  <c r="E211" i="33"/>
  <c r="E1268" i="33"/>
  <c r="E737" i="33"/>
  <c r="E673" i="33"/>
  <c r="E609" i="33"/>
  <c r="E2530" i="33"/>
  <c r="E2538" i="33"/>
  <c r="E2165" i="33"/>
  <c r="E2172" i="33"/>
  <c r="E2267" i="33"/>
  <c r="E2387" i="33"/>
  <c r="E2086" i="33"/>
  <c r="E1755" i="33"/>
  <c r="E1809" i="33"/>
  <c r="E2033" i="33"/>
  <c r="E2015" i="33"/>
  <c r="E1959" i="33"/>
  <c r="E1927" i="33"/>
  <c r="E1895" i="33"/>
  <c r="E1859" i="33"/>
  <c r="E1793" i="33"/>
  <c r="E1708" i="33"/>
  <c r="E1656" i="33"/>
  <c r="E1624" i="33"/>
  <c r="E1592" i="33"/>
  <c r="E1560" i="33"/>
  <c r="E1753" i="33"/>
  <c r="E1803" i="33"/>
  <c r="E1663" i="33"/>
  <c r="E1595" i="33"/>
  <c r="E1535" i="33"/>
  <c r="E1471" i="33"/>
  <c r="E1407" i="33"/>
  <c r="E1819" i="33"/>
  <c r="E1675" i="33"/>
  <c r="E1615" i="33"/>
  <c r="E1547" i="33"/>
  <c r="E1483" i="33"/>
  <c r="E1419" i="33"/>
  <c r="E1752" i="33"/>
  <c r="E1582" i="33"/>
  <c r="E1518" i="33"/>
  <c r="E1450" i="33"/>
  <c r="E1386" i="33"/>
  <c r="E1322" i="33"/>
  <c r="E1258" i="33"/>
  <c r="E1818" i="33"/>
  <c r="E1742" i="33"/>
  <c r="E1670" i="33"/>
  <c r="E1638" i="33"/>
  <c r="E1602" i="33"/>
  <c r="E1554" i="33"/>
  <c r="E1494" i="33"/>
  <c r="E1430" i="33"/>
  <c r="E1366" i="33"/>
  <c r="E1302" i="33"/>
  <c r="E1238" i="33"/>
  <c r="E1714" i="33"/>
  <c r="E1581" i="33"/>
  <c r="E1521" i="33"/>
  <c r="E1453" i="33"/>
  <c r="E1389" i="33"/>
  <c r="E1325" i="33"/>
  <c r="E2714" i="33"/>
  <c r="E1776" i="33"/>
  <c r="E1694" i="33"/>
  <c r="E1587" i="33"/>
  <c r="E1475" i="33"/>
  <c r="E1250" i="33"/>
  <c r="E1422" i="33"/>
  <c r="E1381" i="33"/>
  <c r="E1677" i="33"/>
  <c r="E1481" i="33"/>
  <c r="E1219" i="33"/>
  <c r="E1118" i="33"/>
  <c r="E990" i="33"/>
  <c r="E1304" i="33"/>
  <c r="E885" i="33"/>
  <c r="E1189" i="33"/>
  <c r="E1057" i="33"/>
  <c r="E809" i="33"/>
  <c r="E1226" i="33"/>
  <c r="E852" i="33"/>
  <c r="E604" i="33"/>
  <c r="E1180" i="33"/>
  <c r="E1008" i="33"/>
  <c r="E752" i="33"/>
  <c r="E488" i="33"/>
  <c r="E831" i="33"/>
  <c r="E575" i="33"/>
  <c r="E1119" i="33"/>
  <c r="E991" i="33"/>
  <c r="E859" i="33"/>
  <c r="E611" i="33"/>
  <c r="E621" i="33"/>
  <c r="E463" i="33"/>
  <c r="E335" i="33"/>
  <c r="E207" i="33"/>
  <c r="E657" i="33"/>
  <c r="E543" i="33"/>
  <c r="E326" i="33"/>
  <c r="E262" i="33"/>
  <c r="E206" i="33"/>
  <c r="E138" i="33"/>
  <c r="E778" i="33"/>
  <c r="E483" i="33"/>
  <c r="E446" i="33"/>
  <c r="E414" i="33"/>
  <c r="E382" i="33"/>
  <c r="E350" i="33"/>
  <c r="E298" i="33"/>
  <c r="E230" i="33"/>
  <c r="E166" i="33"/>
  <c r="E1316" i="33"/>
  <c r="E790" i="33"/>
  <c r="E698" i="33"/>
  <c r="E634" i="33"/>
  <c r="E570" i="33"/>
  <c r="E487" i="33"/>
  <c r="E546" i="33"/>
  <c r="E469" i="33"/>
  <c r="E437" i="33"/>
  <c r="E405" i="33"/>
  <c r="E373" i="33"/>
  <c r="E341" i="33"/>
  <c r="E309" i="33"/>
  <c r="E277" i="33"/>
  <c r="E245" i="33"/>
  <c r="E213" i="33"/>
  <c r="E878" i="33"/>
  <c r="E718" i="33"/>
  <c r="E654" i="33"/>
  <c r="E590" i="33"/>
  <c r="E518" i="33"/>
  <c r="E826" i="33"/>
  <c r="E440" i="33"/>
  <c r="E189" i="33"/>
  <c r="E102" i="33"/>
  <c r="E420" i="33"/>
  <c r="E204" i="33"/>
  <c r="E120" i="33"/>
  <c r="E88" i="33"/>
  <c r="E56" i="33"/>
  <c r="E23" i="33"/>
  <c r="E177" i="33"/>
  <c r="E513" i="33"/>
  <c r="E240" i="33"/>
  <c r="E169" i="33"/>
  <c r="E107" i="33"/>
  <c r="E71" i="33"/>
  <c r="E18" i="33"/>
  <c r="E98" i="33"/>
  <c r="E380" i="33"/>
  <c r="E192" i="33"/>
  <c r="E10" i="33"/>
  <c r="E424" i="33"/>
  <c r="E173" i="33"/>
  <c r="E436" i="33"/>
  <c r="E70" i="33"/>
  <c r="E352" i="33"/>
  <c r="E149" i="33"/>
  <c r="E176" i="33"/>
  <c r="E81" i="33"/>
  <c r="E20" i="33"/>
  <c r="E185" i="33"/>
  <c r="E77" i="33"/>
  <c r="E8" i="33"/>
  <c r="E2457" i="33"/>
  <c r="E2733" i="33"/>
  <c r="E2819" i="33"/>
  <c r="E2336" i="33"/>
  <c r="E2637" i="33"/>
  <c r="E2344" i="33"/>
  <c r="E2669" i="33"/>
  <c r="E2747" i="33"/>
  <c r="E2892" i="33"/>
  <c r="E2540" i="33"/>
  <c r="E2658" i="33"/>
  <c r="E2780" i="33"/>
  <c r="E2671" i="33"/>
  <c r="E2880" i="33"/>
  <c r="E2786" i="33"/>
  <c r="E2335" i="33"/>
  <c r="E2929" i="33"/>
  <c r="E2918" i="33"/>
  <c r="E2801" i="33"/>
  <c r="E2934" i="33"/>
  <c r="E2347" i="33"/>
  <c r="E2612" i="33"/>
  <c r="E2690" i="33"/>
  <c r="E2828" i="33"/>
  <c r="E2912" i="33"/>
  <c r="E2605" i="33"/>
  <c r="E2723" i="33"/>
  <c r="E2360" i="33"/>
  <c r="E2577" i="33"/>
  <c r="E2311" i="33"/>
  <c r="E2717" i="33"/>
  <c r="E2903" i="33"/>
  <c r="E2496" i="33"/>
  <c r="E2636" i="33"/>
  <c r="E2822" i="33"/>
  <c r="E2901" i="33"/>
  <c r="E2855" i="33"/>
  <c r="E2488" i="33"/>
  <c r="E2409" i="33"/>
  <c r="E2705" i="33"/>
  <c r="E2790" i="33"/>
  <c r="E2938" i="33"/>
  <c r="E2604" i="33"/>
  <c r="E2702" i="33"/>
  <c r="E2816" i="33"/>
  <c r="E2664" i="33"/>
  <c r="E2343" i="33"/>
  <c r="E2732" i="33"/>
  <c r="E2930" i="33"/>
  <c r="E2528" i="33"/>
  <c r="E2656" i="33"/>
  <c r="E2844" i="33"/>
  <c r="E2921" i="33"/>
  <c r="E2569" i="33"/>
  <c r="E2629" i="33"/>
  <c r="E1314" i="33"/>
  <c r="E1750" i="33"/>
  <c r="E1363" i="33"/>
  <c r="E1089" i="33"/>
  <c r="E1068" i="33"/>
  <c r="E1243" i="33"/>
  <c r="E667" i="33"/>
  <c r="E557" i="33"/>
  <c r="E146" i="33"/>
  <c r="E386" i="33"/>
  <c r="E1359" i="33"/>
  <c r="E501" i="33"/>
  <c r="E2746" i="33"/>
  <c r="E1972" i="33"/>
  <c r="E1652" i="33"/>
  <c r="E1527" i="33"/>
  <c r="E1411" i="33"/>
  <c r="E1807" i="33"/>
  <c r="E1358" i="33"/>
  <c r="E1317" i="33"/>
  <c r="E1673" i="33"/>
  <c r="E1473" i="33"/>
  <c r="E1713" i="33"/>
  <c r="E1114" i="33"/>
  <c r="E986" i="33"/>
  <c r="E1299" i="33"/>
  <c r="E877" i="33"/>
  <c r="E1185" i="33"/>
  <c r="E1053" i="33"/>
  <c r="E801" i="33"/>
  <c r="E1221" i="33"/>
  <c r="E844" i="33"/>
  <c r="E596" i="33"/>
  <c r="E1176" i="33"/>
  <c r="E1004" i="33"/>
  <c r="E744" i="33"/>
  <c r="E480" i="33"/>
  <c r="E823" i="33"/>
  <c r="E567" i="33"/>
  <c r="E1115" i="33"/>
  <c r="E987" i="33"/>
  <c r="E855" i="33"/>
  <c r="E603" i="33"/>
  <c r="E610" i="33"/>
  <c r="E459" i="33"/>
  <c r="E331" i="33"/>
  <c r="E203" i="33"/>
  <c r="E625" i="33"/>
  <c r="E534" i="33"/>
  <c r="E318" i="33"/>
  <c r="E258" i="33"/>
  <c r="E198" i="33"/>
  <c r="E134" i="33"/>
  <c r="E561" i="33"/>
  <c r="E474" i="33"/>
  <c r="E442" i="33"/>
  <c r="E410" i="33"/>
  <c r="E378" i="33"/>
  <c r="E346" i="33"/>
  <c r="E290" i="33"/>
  <c r="E222" i="33"/>
  <c r="E158" i="33"/>
  <c r="E1295" i="33"/>
  <c r="E758" i="33"/>
  <c r="E693" i="33"/>
  <c r="E629" i="33"/>
  <c r="E565" i="33"/>
  <c r="E1496" i="33"/>
  <c r="E537" i="33"/>
  <c r="E465" i="33"/>
  <c r="E433" i="33"/>
  <c r="E401" i="33"/>
  <c r="E369" i="33"/>
  <c r="E337" i="33"/>
  <c r="E305" i="33"/>
  <c r="E273" i="33"/>
  <c r="E241" i="33"/>
  <c r="E1464" i="33"/>
  <c r="E846" i="33"/>
  <c r="E713" i="33"/>
  <c r="E649" i="33"/>
  <c r="E585" i="33"/>
  <c r="E509" i="33"/>
  <c r="E794" i="33"/>
  <c r="E408" i="33"/>
  <c r="E180" i="33"/>
  <c r="E78" i="33"/>
  <c r="E388" i="33"/>
  <c r="E193" i="33"/>
  <c r="E116" i="33"/>
  <c r="E84" i="33"/>
  <c r="E52" i="33"/>
  <c r="E19" i="33"/>
  <c r="E159" i="33"/>
  <c r="E464" i="33"/>
  <c r="E188" i="33"/>
  <c r="E160" i="33"/>
  <c r="E103" i="33"/>
  <c r="E67" i="33"/>
  <c r="E14" i="33"/>
  <c r="E82" i="33"/>
  <c r="E348" i="33"/>
  <c r="E183" i="33"/>
  <c r="E191" i="33"/>
  <c r="E392" i="33"/>
  <c r="E164" i="33"/>
  <c r="E404" i="33"/>
  <c r="E50" i="33"/>
  <c r="E320" i="33"/>
  <c r="E140" i="33"/>
  <c r="E167" i="33"/>
  <c r="E73" i="33"/>
  <c r="E12" i="33"/>
  <c r="E153" i="33"/>
  <c r="E69" i="33"/>
  <c r="E13" i="33"/>
  <c r="E2585" i="33"/>
  <c r="E2805" i="33"/>
  <c r="E2891" i="33"/>
  <c r="E2465" i="33"/>
  <c r="E2651" i="33"/>
  <c r="E2473" i="33"/>
  <c r="E2740" i="33"/>
  <c r="E2827" i="33"/>
  <c r="E2352" i="33"/>
  <c r="E2644" i="33"/>
  <c r="E2730" i="33"/>
  <c r="E2853" i="33"/>
  <c r="E2748" i="33"/>
  <c r="E2461" i="33"/>
  <c r="E2759" i="33"/>
  <c r="E2331" i="33"/>
  <c r="E2596" i="33"/>
  <c r="E2592" i="33"/>
  <c r="E2332" i="33"/>
  <c r="E2895" i="33"/>
  <c r="E2377" i="33"/>
  <c r="E2689" i="33"/>
  <c r="E2762" i="33"/>
  <c r="E2911" i="33"/>
  <c r="E2572" i="33"/>
  <c r="E2680" i="33"/>
  <c r="E2795" i="33"/>
  <c r="E2312" i="33"/>
  <c r="E2873" i="33"/>
  <c r="E2468" i="33"/>
  <c r="E2788" i="33"/>
  <c r="E2389" i="33"/>
  <c r="E2620" i="33"/>
  <c r="E2707" i="33"/>
  <c r="E2900" i="33"/>
  <c r="E2568" i="33"/>
  <c r="E2565" i="33"/>
  <c r="E2859" i="33"/>
  <c r="E2537" i="33"/>
  <c r="E2775" i="33"/>
  <c r="E2864" i="33"/>
  <c r="E2417" i="33"/>
  <c r="E2679" i="33"/>
  <c r="E2773" i="33"/>
  <c r="E2444" i="33"/>
  <c r="E2508" i="33"/>
  <c r="E2307" i="33"/>
  <c r="E2804" i="33"/>
  <c r="E2421" i="33"/>
  <c r="E2635" i="33"/>
  <c r="E2728" i="33"/>
  <c r="E2920" i="33"/>
  <c r="E2472" i="33"/>
  <c r="E2896" i="33"/>
  <c r="E2933" i="33"/>
  <c r="E1655" i="33"/>
  <c r="E1277" i="33"/>
  <c r="E941" i="33"/>
  <c r="E1287" i="33"/>
  <c r="E808" i="33"/>
  <c r="E1019" i="33"/>
  <c r="E521" i="33"/>
  <c r="E270" i="33"/>
  <c r="E450" i="33"/>
  <c r="E238" i="33"/>
  <c r="E645" i="33"/>
  <c r="E2064" i="33"/>
  <c r="E1991" i="33"/>
  <c r="E1620" i="33"/>
  <c r="E1463" i="33"/>
  <c r="E1738" i="33"/>
  <c r="E1733" i="33"/>
  <c r="E1294" i="33"/>
  <c r="E1265" i="33"/>
  <c r="E1641" i="33"/>
  <c r="E1417" i="33"/>
  <c r="E1214" i="33"/>
  <c r="E1086" i="33"/>
  <c r="E958" i="33"/>
  <c r="E1240" i="33"/>
  <c r="E821" i="33"/>
  <c r="E1157" i="33"/>
  <c r="E997" i="33"/>
  <c r="E1681" i="33"/>
  <c r="E1040" i="33"/>
  <c r="E788" i="33"/>
  <c r="E540" i="33"/>
  <c r="E1148" i="33"/>
  <c r="E948" i="33"/>
  <c r="E684" i="33"/>
  <c r="E1376" i="33"/>
  <c r="E767" i="33"/>
  <c r="E1215" i="33"/>
  <c r="E1087" i="33"/>
  <c r="E959" i="33"/>
  <c r="E803" i="33"/>
  <c r="E1327" i="33"/>
  <c r="E549" i="33"/>
  <c r="E431" i="33"/>
  <c r="E303" i="33"/>
  <c r="E1247" i="33"/>
  <c r="E598" i="33"/>
  <c r="E525" i="33"/>
  <c r="E310" i="33"/>
  <c r="E250" i="33"/>
  <c r="E190" i="33"/>
  <c r="E126" i="33"/>
  <c r="E547" i="33"/>
  <c r="E470" i="33"/>
  <c r="E438" i="33"/>
  <c r="E406" i="33"/>
  <c r="E374" i="33"/>
  <c r="E338" i="33"/>
  <c r="E282" i="33"/>
  <c r="E210" i="33"/>
  <c r="E150" i="33"/>
  <c r="E1252" i="33"/>
  <c r="E746" i="33"/>
  <c r="E682" i="33"/>
  <c r="E618" i="33"/>
  <c r="E551" i="33"/>
  <c r="E898" i="33"/>
  <c r="E523" i="33"/>
  <c r="E461" i="33"/>
  <c r="E429" i="33"/>
  <c r="E397" i="33"/>
  <c r="E365" i="33"/>
  <c r="E333" i="33"/>
  <c r="E301" i="33"/>
  <c r="E269" i="33"/>
  <c r="E237" i="33"/>
  <c r="E1364" i="33"/>
  <c r="E814" i="33"/>
  <c r="E702" i="33"/>
  <c r="E638" i="33"/>
  <c r="E574" i="33"/>
  <c r="E495" i="33"/>
  <c r="E762" i="33"/>
  <c r="E376" i="33"/>
  <c r="E171" i="33"/>
  <c r="E58" i="33"/>
  <c r="E356" i="33"/>
  <c r="E184" i="33"/>
  <c r="E112" i="33"/>
  <c r="E80" i="33"/>
  <c r="E48" i="33"/>
  <c r="E15" i="33"/>
  <c r="E106" i="33"/>
  <c r="E432" i="33"/>
  <c r="E179" i="33"/>
  <c r="E151" i="33"/>
  <c r="E99" i="33"/>
  <c r="E63" i="33"/>
  <c r="E6" i="33"/>
  <c r="E62" i="33"/>
  <c r="E316" i="33"/>
  <c r="E87" i="33"/>
  <c r="E127" i="33"/>
  <c r="E360" i="33"/>
  <c r="E155" i="33"/>
  <c r="E340" i="33"/>
  <c r="E29" i="33"/>
  <c r="E288" i="33"/>
  <c r="E131" i="33"/>
  <c r="E144" i="33"/>
  <c r="E65" i="33"/>
  <c r="E4" i="33"/>
  <c r="E135" i="33"/>
  <c r="E57" i="33"/>
  <c r="E2428" i="33"/>
  <c r="E2675" i="33"/>
  <c r="E2863" i="33"/>
  <c r="E2432" i="33"/>
  <c r="E2593" i="33"/>
  <c r="E2695" i="33"/>
  <c r="E2601" i="33"/>
  <c r="E2811" i="33"/>
  <c r="E2904" i="33"/>
  <c r="E2481" i="33"/>
  <c r="E2721" i="33"/>
  <c r="E2802" i="33"/>
  <c r="E2922" i="33"/>
  <c r="E2905" i="33"/>
  <c r="E2666" i="33"/>
  <c r="E2946" i="33"/>
  <c r="E2361" i="33"/>
  <c r="E2676" i="33"/>
  <c r="E2820" i="33"/>
  <c r="E2589" i="33"/>
  <c r="E2557" i="33"/>
  <c r="E2505" i="33"/>
  <c r="E2761" i="33"/>
  <c r="E2848" i="33"/>
  <c r="E2385" i="33"/>
  <c r="E2665" i="33"/>
  <c r="E2758" i="33"/>
  <c r="E2869" i="33"/>
  <c r="E2668" i="33"/>
  <c r="E2772" i="33"/>
  <c r="E2308" i="33"/>
  <c r="E2862" i="33"/>
  <c r="E2517" i="33"/>
  <c r="E2691" i="33"/>
  <c r="E2784" i="33"/>
  <c r="E2365" i="33"/>
  <c r="E2731" i="33"/>
  <c r="E2885" i="33"/>
  <c r="E2860" i="33"/>
  <c r="E2653" i="33"/>
  <c r="E2841" i="33"/>
  <c r="E2950" i="33"/>
  <c r="E2545" i="33"/>
  <c r="E2757" i="33"/>
  <c r="E2831" i="33"/>
  <c r="E2441" i="33"/>
  <c r="E2851" i="33"/>
  <c r="E2412" i="33"/>
  <c r="E2883" i="33"/>
  <c r="E2549" i="33"/>
  <c r="E2713" i="33"/>
  <c r="E2800" i="33"/>
  <c r="E2397" i="33"/>
  <c r="E2600" i="33"/>
  <c r="E2797" i="33"/>
  <c r="E2715" i="33"/>
  <c r="E1539" i="33"/>
  <c r="E1537" i="33"/>
  <c r="E1217" i="33"/>
  <c r="E908" i="33"/>
  <c r="E544" i="33"/>
  <c r="E891" i="33"/>
  <c r="E363" i="33"/>
  <c r="E342" i="33"/>
  <c r="E497" i="33"/>
  <c r="E306" i="33"/>
  <c r="E709" i="33"/>
  <c r="E2136" i="33"/>
  <c r="E1955" i="33"/>
  <c r="E1588" i="33"/>
  <c r="E1403" i="33"/>
  <c r="E1574" i="33"/>
  <c r="E1666" i="33"/>
  <c r="E1228" i="33"/>
  <c r="E1257" i="33"/>
  <c r="E1637" i="33"/>
  <c r="E1409" i="33"/>
  <c r="E1210" i="33"/>
  <c r="E1082" i="33"/>
  <c r="E954" i="33"/>
  <c r="E1235" i="33"/>
  <c r="E813" i="33"/>
  <c r="E1153" i="33"/>
  <c r="E989" i="33"/>
  <c r="E1512" i="33"/>
  <c r="E1032" i="33"/>
  <c r="E780" i="33"/>
  <c r="E532" i="33"/>
  <c r="E1144" i="33"/>
  <c r="E936" i="33"/>
  <c r="E676" i="33"/>
  <c r="E1371" i="33"/>
  <c r="E759" i="33"/>
  <c r="E1211" i="33"/>
  <c r="E1083" i="33"/>
  <c r="E955" i="33"/>
  <c r="E795" i="33"/>
  <c r="E1284" i="33"/>
  <c r="E535" i="33"/>
  <c r="E427" i="33"/>
  <c r="E299" i="33"/>
  <c r="E894" i="33"/>
  <c r="E593" i="33"/>
  <c r="E511" i="33"/>
  <c r="E302" i="33"/>
  <c r="E242" i="33"/>
  <c r="E182" i="33"/>
  <c r="E1736" i="33"/>
  <c r="E538" i="33"/>
  <c r="E466" i="33"/>
  <c r="E434" i="33"/>
  <c r="E402" i="33"/>
  <c r="E370" i="33"/>
  <c r="E334" i="33"/>
  <c r="E274" i="33"/>
  <c r="E202" i="33"/>
  <c r="E142" i="33"/>
  <c r="E1229" i="33"/>
  <c r="E741" i="33"/>
  <c r="E677" i="33"/>
  <c r="E613" i="33"/>
  <c r="E542" i="33"/>
  <c r="E866" i="33"/>
  <c r="E514" i="33"/>
  <c r="E457" i="33"/>
  <c r="E425" i="33"/>
  <c r="E393" i="33"/>
  <c r="E361" i="33"/>
  <c r="E329" i="33"/>
  <c r="E297" i="33"/>
  <c r="E265" i="33"/>
  <c r="E233" i="33"/>
  <c r="E1343" i="33"/>
  <c r="E782" i="33"/>
  <c r="E697" i="33"/>
  <c r="E633" i="33"/>
  <c r="E569" i="33"/>
  <c r="E486" i="33"/>
  <c r="E563" i="33"/>
  <c r="E344" i="33"/>
  <c r="E157" i="33"/>
  <c r="E37" i="33"/>
  <c r="E324" i="33"/>
  <c r="E175" i="33"/>
  <c r="E108" i="33"/>
  <c r="E76" i="33"/>
  <c r="E43" i="33"/>
  <c r="E11" i="33"/>
  <c r="E90" i="33"/>
  <c r="E400" i="33"/>
  <c r="E165" i="33"/>
  <c r="E137" i="33"/>
  <c r="E95" i="33"/>
  <c r="E55" i="33"/>
  <c r="E276" i="33"/>
  <c r="E41" i="33"/>
  <c r="E284" i="33"/>
  <c r="E59" i="33"/>
  <c r="E86" i="33"/>
  <c r="E328" i="33"/>
  <c r="E141" i="33"/>
  <c r="E244" i="33"/>
  <c r="E5" i="33"/>
  <c r="E256" i="33"/>
  <c r="E428" i="33"/>
  <c r="E121" i="33"/>
  <c r="E61" i="33"/>
  <c r="E460" i="33"/>
  <c r="E117" i="33"/>
  <c r="E49" i="33"/>
  <c r="E2376" i="33"/>
  <c r="E2752" i="33"/>
  <c r="E2949" i="33"/>
  <c r="E2560" i="33"/>
  <c r="E2672" i="33"/>
  <c r="E2460" i="33"/>
  <c r="E2688" i="33"/>
  <c r="E2877" i="33"/>
  <c r="E2448" i="33"/>
  <c r="E2609" i="33"/>
  <c r="E2793" i="33"/>
  <c r="E2868" i="33"/>
  <c r="E2753" i="33"/>
  <c r="E2497" i="33"/>
  <c r="E2809" i="33"/>
  <c r="E2504" i="33"/>
  <c r="E2489" i="33"/>
  <c r="E2818" i="33"/>
  <c r="E2369" i="33"/>
  <c r="E2744" i="33"/>
  <c r="E2623" i="33"/>
  <c r="E2632" i="33"/>
  <c r="E2826" i="33"/>
  <c r="E2924" i="33"/>
  <c r="E2513" i="33"/>
  <c r="E2737" i="33"/>
  <c r="E2815" i="33"/>
  <c r="E2941" i="33"/>
  <c r="E2548" i="33"/>
  <c r="E2541" i="33"/>
  <c r="E2368" i="33"/>
  <c r="E2948" i="33"/>
  <c r="E2626" i="33"/>
  <c r="E2763" i="33"/>
  <c r="E2850" i="33"/>
  <c r="E2493" i="33"/>
  <c r="E2875" i="33"/>
  <c r="E2719" i="33"/>
  <c r="E2327" i="33"/>
  <c r="E2724" i="33"/>
  <c r="E2917" i="33"/>
  <c r="E2512" i="33"/>
  <c r="E2643" i="33"/>
  <c r="E2830" i="33"/>
  <c r="E2907" i="33"/>
  <c r="E2817" i="33"/>
  <c r="E2645" i="33"/>
  <c r="E2420" i="33"/>
  <c r="E2532" i="33"/>
  <c r="E2648" i="33"/>
  <c r="E2783" i="33"/>
  <c r="E2866" i="33"/>
  <c r="E2525" i="33"/>
  <c r="E2681" i="33"/>
  <c r="E2437" i="33"/>
  <c r="E2687" i="33"/>
  <c r="E1486" i="33"/>
  <c r="E656" i="33"/>
  <c r="E1147" i="33"/>
  <c r="E235" i="33"/>
  <c r="E214" i="33"/>
  <c r="E418" i="33"/>
  <c r="E170" i="33"/>
  <c r="E581" i="33"/>
  <c r="E2235" i="33"/>
  <c r="E1923" i="33"/>
  <c r="E1556" i="33"/>
  <c r="E1814" i="33"/>
  <c r="E1510" i="33"/>
  <c r="E1634" i="33"/>
  <c r="E1705" i="33"/>
  <c r="E1838" i="33"/>
  <c r="E1605" i="33"/>
  <c r="E1353" i="33"/>
  <c r="E1182" i="33"/>
  <c r="E1054" i="33"/>
  <c r="E926" i="33"/>
  <c r="E1017" i="33"/>
  <c r="E761" i="33"/>
  <c r="E1125" i="33"/>
  <c r="E937" i="33"/>
  <c r="E1356" i="33"/>
  <c r="E976" i="33"/>
  <c r="E728" i="33"/>
  <c r="E476" i="33"/>
  <c r="E1112" i="33"/>
  <c r="E880" i="33"/>
  <c r="E620" i="33"/>
  <c r="E1312" i="33"/>
  <c r="E703" i="33"/>
  <c r="E1183" i="33"/>
  <c r="E1055" i="33"/>
  <c r="E927" i="33"/>
  <c r="E739" i="33"/>
  <c r="E749" i="33"/>
  <c r="E882" i="33"/>
  <c r="E399" i="33"/>
  <c r="E271" i="33"/>
  <c r="E726" i="33"/>
  <c r="E582" i="33"/>
  <c r="E502" i="33"/>
  <c r="E294" i="33"/>
  <c r="E234" i="33"/>
  <c r="E174" i="33"/>
  <c r="E906" i="33"/>
  <c r="E529" i="33"/>
  <c r="E462" i="33"/>
  <c r="E430" i="33"/>
  <c r="E398" i="33"/>
  <c r="E366" i="33"/>
  <c r="E330" i="33"/>
  <c r="E266" i="33"/>
  <c r="E194" i="33"/>
  <c r="E130" i="33"/>
  <c r="E918" i="33"/>
  <c r="E730" i="33"/>
  <c r="E666" i="33"/>
  <c r="E602" i="33"/>
  <c r="E533" i="33"/>
  <c r="E834" i="33"/>
  <c r="E505" i="33"/>
  <c r="E453" i="33"/>
  <c r="E421" i="33"/>
  <c r="E389" i="33"/>
  <c r="E357" i="33"/>
  <c r="E325" i="33"/>
  <c r="E293" i="33"/>
  <c r="E261" i="33"/>
  <c r="E229" i="33"/>
  <c r="E1300" i="33"/>
  <c r="E750" i="33"/>
  <c r="E686" i="33"/>
  <c r="E622" i="33"/>
  <c r="E559" i="33"/>
  <c r="E477" i="33"/>
  <c r="E554" i="33"/>
  <c r="E312" i="33"/>
  <c r="E148" i="33"/>
  <c r="E17" i="33"/>
  <c r="E292" i="33"/>
  <c r="E161" i="33"/>
  <c r="E104" i="33"/>
  <c r="E72" i="33"/>
  <c r="E39" i="33"/>
  <c r="E7" i="33"/>
  <c r="E74" i="33"/>
  <c r="E368" i="33"/>
  <c r="E156" i="33"/>
  <c r="E128" i="33"/>
  <c r="E91" i="33"/>
  <c r="E47" i="33"/>
  <c r="E201" i="33"/>
  <c r="E25" i="33"/>
  <c r="E252" i="33"/>
  <c r="E51" i="33"/>
  <c r="E66" i="33"/>
  <c r="E296" i="33"/>
  <c r="E132" i="33"/>
  <c r="E196" i="33"/>
  <c r="E531" i="33"/>
  <c r="E224" i="33"/>
  <c r="E364" i="33"/>
  <c r="E113" i="33"/>
  <c r="E53" i="33"/>
  <c r="E396" i="33"/>
  <c r="E109" i="33"/>
  <c r="E40" i="33"/>
  <c r="E2339" i="33"/>
  <c r="E2825" i="33"/>
  <c r="E2453" i="33"/>
  <c r="E2655" i="33"/>
  <c r="E2749" i="33"/>
  <c r="E2392" i="33"/>
  <c r="E2760" i="33"/>
  <c r="E2340" i="33"/>
  <c r="E2576" i="33"/>
  <c r="E2685" i="33"/>
  <c r="E2867" i="33"/>
  <c r="E2953" i="33"/>
  <c r="E2485" i="33"/>
  <c r="E2692" i="33"/>
  <c r="E2408" i="33"/>
  <c r="E2908" i="33"/>
  <c r="E2624" i="33"/>
  <c r="E2884" i="33"/>
  <c r="E2621" i="33"/>
  <c r="E2881" i="33"/>
  <c r="E2316" i="33"/>
  <c r="E2704" i="33"/>
  <c r="E2897" i="33"/>
  <c r="E2480" i="33"/>
  <c r="E2628" i="33"/>
  <c r="E2808" i="33"/>
  <c r="E2888" i="33"/>
  <c r="E2440" i="33"/>
  <c r="E2936" i="33"/>
  <c r="E2852" i="33"/>
  <c r="E2364" i="33"/>
  <c r="E2625" i="33"/>
  <c r="E2698" i="33"/>
  <c r="E2836" i="33"/>
  <c r="E2926" i="33"/>
  <c r="E2616" i="33"/>
  <c r="E2954" i="33"/>
  <c r="E2449" i="33"/>
  <c r="E2500" i="33"/>
  <c r="E2796" i="33"/>
  <c r="E2405" i="33"/>
  <c r="E2627" i="33"/>
  <c r="E2720" i="33"/>
  <c r="E2913" i="33"/>
  <c r="E2456" i="33"/>
  <c r="E2647" i="33"/>
  <c r="E2617" i="33"/>
  <c r="E2396" i="33"/>
  <c r="E2641" i="33"/>
  <c r="E2726" i="33"/>
  <c r="E2857" i="33"/>
  <c r="E2945" i="33"/>
  <c r="E2638" i="33"/>
  <c r="E2751" i="33"/>
  <c r="E2734" i="33"/>
  <c r="E2708" i="33"/>
  <c r="E2322" i="33"/>
  <c r="E1891" i="33"/>
  <c r="E1744" i="33"/>
  <c r="E1667" i="33"/>
  <c r="E1442" i="33"/>
  <c r="E1598" i="33"/>
  <c r="E1573" i="33"/>
  <c r="E1827" i="33"/>
  <c r="E1597" i="33"/>
  <c r="E1345" i="33"/>
  <c r="E1178" i="33"/>
  <c r="E1050" i="33"/>
  <c r="E922" i="33"/>
  <c r="E1009" i="33"/>
  <c r="E753" i="33"/>
  <c r="E1121" i="33"/>
  <c r="E929" i="33"/>
  <c r="E1351" i="33"/>
  <c r="E968" i="33"/>
  <c r="E716" i="33"/>
  <c r="E1769" i="33"/>
  <c r="E1108" i="33"/>
  <c r="E872" i="33"/>
  <c r="E608" i="33"/>
  <c r="E1307" i="33"/>
  <c r="E695" i="33"/>
  <c r="E1179" i="33"/>
  <c r="E1051" i="33"/>
  <c r="E923" i="33"/>
  <c r="E731" i="33"/>
  <c r="E738" i="33"/>
  <c r="E850" i="33"/>
  <c r="E395" i="33"/>
  <c r="E267" i="33"/>
  <c r="E721" i="33"/>
  <c r="E577" i="33"/>
  <c r="E493" i="33"/>
  <c r="E286" i="33"/>
  <c r="E226" i="33"/>
  <c r="E162" i="33"/>
  <c r="E874" i="33"/>
  <c r="E515" i="33"/>
  <c r="E458" i="33"/>
  <c r="E426" i="33"/>
  <c r="E394" i="33"/>
  <c r="E362" i="33"/>
  <c r="E322" i="33"/>
  <c r="E254" i="33"/>
  <c r="E186" i="33"/>
  <c r="E122" i="33"/>
  <c r="E886" i="33"/>
  <c r="E725" i="33"/>
  <c r="E661" i="33"/>
  <c r="E597" i="33"/>
  <c r="E519" i="33"/>
  <c r="E802" i="33"/>
  <c r="E491" i="33"/>
  <c r="E449" i="33"/>
  <c r="E417" i="33"/>
  <c r="E385" i="33"/>
  <c r="E353" i="33"/>
  <c r="E321" i="33"/>
  <c r="E289" i="33"/>
  <c r="E257" i="33"/>
  <c r="E225" i="33"/>
  <c r="E1279" i="33"/>
  <c r="E745" i="33"/>
  <c r="E681" i="33"/>
  <c r="E617" i="33"/>
  <c r="E550" i="33"/>
  <c r="E1432" i="33"/>
  <c r="E545" i="33"/>
  <c r="E280" i="33"/>
  <c r="E139" i="33"/>
  <c r="E499" i="33"/>
  <c r="E260" i="33"/>
  <c r="E152" i="33"/>
  <c r="E100" i="33"/>
  <c r="E68" i="33"/>
  <c r="E35" i="33"/>
  <c r="E372" i="33"/>
  <c r="E54" i="33"/>
  <c r="E336" i="33"/>
  <c r="E147" i="33"/>
  <c r="E119" i="33"/>
  <c r="E83" i="33"/>
  <c r="E42" i="33"/>
  <c r="E168" i="33"/>
  <c r="E490" i="33"/>
  <c r="E220" i="33"/>
  <c r="E38" i="33"/>
  <c r="E45" i="33"/>
  <c r="E264" i="33"/>
  <c r="E123" i="33"/>
  <c r="E136" i="33"/>
  <c r="E448" i="33"/>
  <c r="E181" i="33"/>
  <c r="E300" i="33"/>
  <c r="E105" i="33"/>
  <c r="E44" i="33"/>
  <c r="E332" i="33"/>
  <c r="E101" i="33"/>
  <c r="E32" i="33"/>
  <c r="E2476" i="33"/>
  <c r="E2909" i="33"/>
  <c r="E2581" i="33"/>
  <c r="E2727" i="33"/>
  <c r="E2821" i="33"/>
  <c r="E2355" i="33"/>
  <c r="E2833" i="33"/>
  <c r="E2469" i="33"/>
  <c r="E2663" i="33"/>
  <c r="E2756" i="33"/>
  <c r="E2952" i="33"/>
  <c r="E2520" i="33"/>
  <c r="E2683" i="33"/>
  <c r="E2837" i="33"/>
  <c r="E2639" i="33"/>
  <c r="E2492" i="33"/>
  <c r="E2696" i="33"/>
  <c r="E2357" i="33"/>
  <c r="E2764" i="33"/>
  <c r="E2536" i="33"/>
  <c r="E2436" i="33"/>
  <c r="E2781" i="33"/>
  <c r="E2373" i="33"/>
  <c r="E2608" i="33"/>
  <c r="E2700" i="33"/>
  <c r="E2887" i="33"/>
  <c r="E2424" i="33"/>
  <c r="E2659" i="33"/>
  <c r="E2812" i="33"/>
  <c r="E2832" i="33"/>
  <c r="E2393" i="33"/>
  <c r="E2697" i="33"/>
  <c r="E2776" i="33"/>
  <c r="E2925" i="33"/>
  <c r="E2588" i="33"/>
  <c r="E2694" i="33"/>
  <c r="E2323" i="33"/>
  <c r="E2807" i="33"/>
  <c r="E2324" i="33"/>
  <c r="E2876" i="33"/>
  <c r="E2533" i="33"/>
  <c r="E2699" i="33"/>
  <c r="E2792" i="33"/>
  <c r="E2381" i="33"/>
  <c r="E2584" i="33"/>
  <c r="E2662" i="33"/>
  <c r="E2785" i="33"/>
  <c r="E2425" i="33"/>
  <c r="E2711" i="33"/>
  <c r="E2798" i="33"/>
  <c r="E2944" i="33"/>
  <c r="E2615" i="33"/>
  <c r="E2709" i="33"/>
  <c r="E2824" i="33"/>
  <c r="E2544" i="33"/>
  <c r="E2794" i="33"/>
  <c r="E2073" i="33"/>
  <c r="E1445" i="33"/>
  <c r="E1018" i="33"/>
  <c r="E865" i="33"/>
  <c r="E1208" i="33"/>
  <c r="E631" i="33"/>
  <c r="E674" i="33"/>
  <c r="E662" i="33"/>
  <c r="E810" i="33"/>
  <c r="E354" i="33"/>
  <c r="E822" i="33"/>
  <c r="E2133" i="33"/>
  <c r="E1847" i="33"/>
  <c r="E1786" i="33"/>
  <c r="E1607" i="33"/>
  <c r="E1378" i="33"/>
  <c r="E1546" i="33"/>
  <c r="E1513" i="33"/>
  <c r="E1764" i="33"/>
  <c r="E1545" i="33"/>
  <c r="E1285" i="33"/>
  <c r="E1150" i="33"/>
  <c r="E1022" i="33"/>
  <c r="E1368" i="33"/>
  <c r="E953" i="33"/>
  <c r="E1404" i="33"/>
  <c r="E1093" i="33"/>
  <c r="E873" i="33"/>
  <c r="E1292" i="33"/>
  <c r="E916" i="33"/>
  <c r="E664" i="33"/>
  <c r="E1212" i="33"/>
  <c r="E1076" i="33"/>
  <c r="E816" i="33"/>
  <c r="E552" i="33"/>
  <c r="E1248" i="33"/>
  <c r="E639" i="33"/>
  <c r="E1151" i="33"/>
  <c r="E1023" i="33"/>
  <c r="E895" i="33"/>
  <c r="E675" i="33"/>
  <c r="E685" i="33"/>
  <c r="E530" i="33"/>
  <c r="E367" i="33"/>
  <c r="E239" i="33"/>
  <c r="E689" i="33"/>
  <c r="E566" i="33"/>
  <c r="E479" i="33"/>
  <c r="E278" i="33"/>
  <c r="E218" i="33"/>
  <c r="E154" i="33"/>
  <c r="E842" i="33"/>
  <c r="E506" i="33"/>
  <c r="E454" i="33"/>
  <c r="E422" i="33"/>
  <c r="E390" i="33"/>
  <c r="E358" i="33"/>
  <c r="E314" i="33"/>
  <c r="E246" i="33"/>
  <c r="E178" i="33"/>
  <c r="E1528" i="33"/>
  <c r="E854" i="33"/>
  <c r="E714" i="33"/>
  <c r="E650" i="33"/>
  <c r="E586" i="33"/>
  <c r="E510" i="33"/>
  <c r="E770" i="33"/>
  <c r="E482" i="33"/>
  <c r="E445" i="33"/>
  <c r="E413" i="33"/>
  <c r="E381" i="33"/>
  <c r="E349" i="33"/>
  <c r="E317" i="33"/>
  <c r="E285" i="33"/>
  <c r="E253" i="33"/>
  <c r="E221" i="33"/>
  <c r="E1236" i="33"/>
  <c r="E734" i="33"/>
  <c r="E670" i="33"/>
  <c r="E606" i="33"/>
  <c r="E541" i="33"/>
  <c r="E890" i="33"/>
  <c r="E522" i="33"/>
  <c r="E248" i="33"/>
  <c r="E125" i="33"/>
  <c r="E478" i="33"/>
  <c r="E228" i="33"/>
  <c r="E143" i="33"/>
  <c r="E96" i="33"/>
  <c r="E64" i="33"/>
  <c r="E31" i="33"/>
  <c r="E308" i="33"/>
  <c r="E33" i="33"/>
  <c r="E304" i="33"/>
  <c r="E133" i="33"/>
  <c r="E115" i="33"/>
  <c r="E79" i="33"/>
  <c r="E34" i="33"/>
  <c r="E145" i="33"/>
  <c r="E444" i="33"/>
  <c r="E208" i="33"/>
  <c r="E30" i="33"/>
  <c r="E21" i="33"/>
  <c r="E232" i="33"/>
  <c r="E481" i="33"/>
  <c r="E110" i="33"/>
  <c r="E416" i="33"/>
  <c r="E172" i="33"/>
  <c r="E236" i="33"/>
  <c r="E97" i="33"/>
  <c r="E36" i="33"/>
  <c r="E268" i="33"/>
  <c r="E93" i="33"/>
  <c r="E24" i="33"/>
  <c r="E2484" i="33"/>
  <c r="E2564" i="33"/>
  <c r="E2670" i="33"/>
  <c r="E2799" i="33"/>
  <c r="E2879" i="33"/>
  <c r="E2319" i="33"/>
  <c r="E2916" i="33"/>
  <c r="E2597" i="33"/>
  <c r="E2735" i="33"/>
  <c r="E2829" i="33"/>
  <c r="E2445" i="33"/>
  <c r="E2631" i="33"/>
  <c r="E2835" i="33"/>
  <c r="E2556" i="33"/>
  <c r="E2787" i="33"/>
  <c r="E2404" i="33"/>
  <c r="E2768" i="33"/>
  <c r="E2613" i="33"/>
  <c r="E2899" i="33"/>
  <c r="E2716" i="33"/>
  <c r="E2388" i="33"/>
  <c r="E2854" i="33"/>
  <c r="E2501" i="33"/>
  <c r="E2684" i="33"/>
  <c r="E2771" i="33"/>
  <c r="E2348" i="33"/>
  <c r="E2552" i="33"/>
  <c r="E2803" i="33"/>
  <c r="E2649" i="33"/>
  <c r="E2429" i="33"/>
  <c r="E2521" i="33"/>
  <c r="E2769" i="33"/>
  <c r="E2856" i="33"/>
  <c r="E2401" i="33"/>
  <c r="E2673" i="33"/>
  <c r="E2766" i="33"/>
  <c r="E2739" i="33"/>
  <c r="E2701" i="33"/>
  <c r="E2384" i="33"/>
  <c r="E2516" i="33"/>
  <c r="E2634" i="33"/>
  <c r="E2777" i="33"/>
  <c r="E2858" i="33"/>
  <c r="E2509" i="33"/>
  <c r="E2667" i="33"/>
  <c r="E2416" i="33"/>
  <c r="E2722" i="33"/>
  <c r="E2553" i="33"/>
  <c r="E2789" i="33"/>
  <c r="E2871" i="33"/>
  <c r="E2433" i="33"/>
  <c r="E2693" i="33"/>
  <c r="E2779" i="33"/>
  <c r="E2889" i="33"/>
  <c r="E2320" i="33"/>
  <c r="E2767" i="33"/>
  <c r="E1782" i="33"/>
  <c r="E1146" i="33"/>
  <c r="E555" i="33"/>
  <c r="E249" i="33"/>
  <c r="E472" i="33"/>
  <c r="E27" i="33"/>
  <c r="E114" i="33"/>
  <c r="E384" i="33"/>
  <c r="E2328" i="33"/>
  <c r="E2813" i="33"/>
  <c r="E2840" i="33"/>
  <c r="E2843" i="33"/>
  <c r="E2937" i="33"/>
  <c r="E2712" i="33"/>
  <c r="E2847" i="33"/>
  <c r="E2372" i="33"/>
  <c r="E473" i="33"/>
  <c r="E217" i="33"/>
  <c r="E216" i="33"/>
  <c r="E212" i="33"/>
  <c r="E412" i="33"/>
  <c r="E163" i="33"/>
  <c r="E2661" i="33"/>
  <c r="E2893" i="33"/>
  <c r="E2754" i="33"/>
  <c r="E2477" i="33"/>
  <c r="E2529" i="33"/>
  <c r="E2849" i="33"/>
  <c r="E2400" i="33"/>
  <c r="E129" i="33"/>
  <c r="E2315" i="33"/>
  <c r="E2942" i="33"/>
  <c r="E2452" i="33"/>
  <c r="E2834" i="33"/>
  <c r="E441" i="33"/>
  <c r="E910" i="33"/>
  <c r="E118" i="33"/>
  <c r="E9" i="33"/>
  <c r="E197" i="33"/>
  <c r="E200" i="33"/>
  <c r="E2741" i="33"/>
  <c r="E2573" i="33"/>
  <c r="E2657" i="33"/>
  <c r="E2652" i="33"/>
  <c r="E2743" i="33"/>
  <c r="E2932" i="33"/>
  <c r="E2561" i="33"/>
  <c r="E111" i="33"/>
  <c r="E2413" i="33"/>
  <c r="E2677" i="33"/>
  <c r="E409" i="33"/>
  <c r="E729" i="33"/>
  <c r="E452" i="33"/>
  <c r="E272" i="33"/>
  <c r="E22" i="33"/>
  <c r="E89" i="33"/>
  <c r="E2872" i="33"/>
  <c r="E2703" i="33"/>
  <c r="E2861" i="33"/>
  <c r="E2882" i="33"/>
  <c r="E2823" i="33"/>
  <c r="E2630" i="33"/>
  <c r="E2765" i="33"/>
  <c r="E601" i="33"/>
  <c r="E205" i="33"/>
  <c r="E2940" i="33"/>
  <c r="E16" i="33"/>
  <c r="E2660" i="33"/>
  <c r="E377" i="33"/>
  <c r="E665" i="33"/>
  <c r="E209" i="33"/>
  <c r="E124" i="33"/>
  <c r="E456" i="33"/>
  <c r="E28" i="33"/>
  <c r="E2524" i="33"/>
  <c r="E2464" i="33"/>
  <c r="E2351" i="33"/>
  <c r="E2791" i="33"/>
  <c r="E2725" i="33"/>
  <c r="E2745" i="33"/>
  <c r="E2845" i="33"/>
  <c r="E345" i="33"/>
  <c r="E187" i="33"/>
  <c r="E2729" i="33"/>
  <c r="E2865" i="33"/>
  <c r="E2755" i="33"/>
  <c r="E313" i="33"/>
  <c r="E527" i="33"/>
  <c r="E92" i="33"/>
  <c r="E75" i="33"/>
  <c r="E468" i="33"/>
  <c r="E85" i="33"/>
  <c r="E2580" i="33"/>
  <c r="E2928" i="33"/>
  <c r="E2619" i="33"/>
  <c r="E2640" i="33"/>
  <c r="E2380" i="33"/>
  <c r="E2839" i="33"/>
  <c r="E2736" i="33"/>
  <c r="E281" i="33"/>
  <c r="E858" i="33"/>
  <c r="E60" i="33"/>
  <c r="E26" i="33"/>
  <c r="E94" i="33"/>
  <c r="E2633" i="33"/>
  <c r="N2837" i="33"/>
  <c r="O2837" i="33" s="1"/>
  <c r="N2776" i="33"/>
  <c r="O2776" i="33" s="1"/>
  <c r="N2711" i="33"/>
  <c r="O2711" i="33" s="1"/>
  <c r="N2651" i="33"/>
  <c r="O2651" i="33" s="1"/>
  <c r="N2836" i="33"/>
  <c r="O2836" i="33" s="1"/>
  <c r="N2768" i="33"/>
  <c r="O2768" i="33" s="1"/>
  <c r="N2689" i="33"/>
  <c r="O2689" i="33" s="1"/>
  <c r="N2620" i="33"/>
  <c r="O2620" i="33" s="1"/>
  <c r="N2791" i="33"/>
  <c r="O2791" i="33" s="1"/>
  <c r="N2819" i="33"/>
  <c r="O2819" i="33" s="1"/>
  <c r="N2759" i="33"/>
  <c r="O2759" i="33" s="1"/>
  <c r="N2703" i="33"/>
  <c r="O2703" i="33" s="1"/>
  <c r="N2641" i="33"/>
  <c r="O2641" i="33" s="1"/>
  <c r="N2621" i="33"/>
  <c r="O2621" i="33" s="1"/>
  <c r="N2773" i="33"/>
  <c r="O2773" i="33" s="1"/>
  <c r="N2702" i="33"/>
  <c r="O2702" i="33" s="1"/>
  <c r="N2640" i="33"/>
  <c r="O2640" i="33" s="1"/>
  <c r="N2794" i="33"/>
  <c r="O2794" i="33" s="1"/>
  <c r="N2736" i="33"/>
  <c r="O2736" i="33" s="1"/>
  <c r="N2678" i="33"/>
  <c r="O2678" i="33" s="1"/>
  <c r="N2617" i="33"/>
  <c r="O2617" i="33" s="1"/>
  <c r="N2806" i="33"/>
  <c r="O2806" i="33" s="1"/>
  <c r="N2816" i="33"/>
  <c r="O2816" i="33" s="1"/>
  <c r="N2756" i="33"/>
  <c r="O2756" i="33" s="1"/>
  <c r="N2693" i="33"/>
  <c r="O2693" i="33" s="1"/>
  <c r="N2631" i="33"/>
  <c r="O2631" i="33" s="1"/>
  <c r="N2778" i="33"/>
  <c r="O2778" i="33" s="1"/>
  <c r="N2713" i="33"/>
  <c r="O2713" i="33" s="1"/>
  <c r="N2645" i="33"/>
  <c r="O2645" i="33" s="1"/>
  <c r="N2562" i="33"/>
  <c r="O2562" i="33" s="1"/>
  <c r="N2563" i="33"/>
  <c r="O2563" i="33" s="1"/>
  <c r="N2534" i="33"/>
  <c r="O2534" i="33" s="1"/>
  <c r="N2537" i="33"/>
  <c r="O2537" i="33" s="1"/>
  <c r="N2533" i="33"/>
  <c r="O2533" i="33" s="1"/>
  <c r="N1776" i="33"/>
  <c r="O1776" i="33" s="1"/>
  <c r="N1684" i="33"/>
  <c r="O1684" i="33" s="1"/>
  <c r="N1781" i="33"/>
  <c r="O1781" i="33" s="1"/>
  <c r="N1785" i="33"/>
  <c r="O1785" i="33" s="1"/>
  <c r="N1690" i="33"/>
  <c r="O1690" i="33" s="1"/>
  <c r="N1682" i="33"/>
  <c r="O1682" i="33" s="1"/>
  <c r="N1686" i="33"/>
  <c r="O1686" i="33" s="1"/>
  <c r="N1570" i="33"/>
  <c r="O1570" i="33" s="1"/>
  <c r="N2829" i="33"/>
  <c r="O2829" i="33" s="1"/>
  <c r="N2761" i="33"/>
  <c r="O2761" i="33" s="1"/>
  <c r="N2705" i="33"/>
  <c r="O2705" i="33" s="1"/>
  <c r="N2643" i="33"/>
  <c r="O2643" i="33" s="1"/>
  <c r="N2828" i="33"/>
  <c r="O2828" i="33" s="1"/>
  <c r="N2760" i="33"/>
  <c r="O2760" i="33" s="1"/>
  <c r="N2681" i="33"/>
  <c r="O2681" i="33" s="1"/>
  <c r="N2784" i="33"/>
  <c r="O2784" i="33" s="1"/>
  <c r="N2811" i="33"/>
  <c r="O2811" i="33" s="1"/>
  <c r="N2752" i="33"/>
  <c r="O2752" i="33" s="1"/>
  <c r="N2696" i="33"/>
  <c r="O2696" i="33" s="1"/>
  <c r="N2626" i="33"/>
  <c r="O2626" i="33" s="1"/>
  <c r="N2834" i="33"/>
  <c r="O2834" i="33" s="1"/>
  <c r="N2766" i="33"/>
  <c r="O2766" i="33" s="1"/>
  <c r="N2695" i="33"/>
  <c r="O2695" i="33" s="1"/>
  <c r="N2633" i="33"/>
  <c r="O2633" i="33" s="1"/>
  <c r="N2786" i="33"/>
  <c r="O2786" i="33" s="1"/>
  <c r="N2728" i="33"/>
  <c r="O2728" i="33" s="1"/>
  <c r="N2670" i="33"/>
  <c r="O2670" i="33" s="1"/>
  <c r="N2754" i="33"/>
  <c r="O2754" i="33" s="1"/>
  <c r="N2808" i="33"/>
  <c r="O2808" i="33" s="1"/>
  <c r="N2749" i="33"/>
  <c r="O2749" i="33" s="1"/>
  <c r="N2685" i="33"/>
  <c r="O2685" i="33" s="1"/>
  <c r="N2623" i="33"/>
  <c r="O2623" i="33" s="1"/>
  <c r="N2839" i="33"/>
  <c r="O2839" i="33" s="1"/>
  <c r="N2770" i="33"/>
  <c r="O2770" i="33" s="1"/>
  <c r="N2706" i="33"/>
  <c r="O2706" i="33" s="1"/>
  <c r="N2637" i="33"/>
  <c r="O2637" i="33" s="1"/>
  <c r="N2558" i="33"/>
  <c r="O2558" i="33" s="1"/>
  <c r="N2561" i="33"/>
  <c r="O2561" i="33" s="1"/>
  <c r="N2556" i="33"/>
  <c r="O2556" i="33" s="1"/>
  <c r="N2528" i="33"/>
  <c r="O2528" i="33" s="1"/>
  <c r="N1713" i="33"/>
  <c r="O1713" i="33" s="1"/>
  <c r="N1694" i="33"/>
  <c r="O1694" i="33" s="1"/>
  <c r="N1696" i="33"/>
  <c r="O1696" i="33" s="1"/>
  <c r="N1708" i="33"/>
  <c r="O1708" i="33" s="1"/>
  <c r="N1692" i="33"/>
  <c r="O1692" i="33" s="1"/>
  <c r="N1737" i="33"/>
  <c r="O1737" i="33" s="1"/>
  <c r="N1505" i="33"/>
  <c r="O1505" i="33" s="1"/>
  <c r="N2343" i="33"/>
  <c r="O2343" i="33" s="1"/>
  <c r="N1683" i="33"/>
  <c r="O1683" i="33" s="1"/>
  <c r="N2821" i="33"/>
  <c r="O2821" i="33" s="1"/>
  <c r="N2753" i="33"/>
  <c r="O2753" i="33" s="1"/>
  <c r="N2698" i="33"/>
  <c r="O2698" i="33" s="1"/>
  <c r="N2635" i="33"/>
  <c r="O2635" i="33" s="1"/>
  <c r="N2820" i="33"/>
  <c r="O2820" i="33" s="1"/>
  <c r="N2746" i="33"/>
  <c r="O2746" i="33" s="1"/>
  <c r="N2673" i="33"/>
  <c r="O2673" i="33" s="1"/>
  <c r="N2740" i="33"/>
  <c r="O2740" i="33" s="1"/>
  <c r="N2804" i="33"/>
  <c r="O2804" i="33" s="1"/>
  <c r="N2745" i="33"/>
  <c r="O2745" i="33" s="1"/>
  <c r="N2688" i="33"/>
  <c r="O2688" i="33" s="1"/>
  <c r="N2619" i="33"/>
  <c r="O2619" i="33" s="1"/>
  <c r="N2826" i="33"/>
  <c r="O2826" i="33" s="1"/>
  <c r="N2758" i="33"/>
  <c r="O2758" i="33" s="1"/>
  <c r="N2687" i="33"/>
  <c r="O2687" i="33" s="1"/>
  <c r="N2625" i="33"/>
  <c r="O2625" i="33" s="1"/>
  <c r="N2780" i="33"/>
  <c r="O2780" i="33" s="1"/>
  <c r="N2721" i="33"/>
  <c r="O2721" i="33" s="1"/>
  <c r="N2663" i="33"/>
  <c r="O2663" i="33" s="1"/>
  <c r="N2691" i="33"/>
  <c r="O2691" i="33" s="1"/>
  <c r="N2801" i="33"/>
  <c r="O2801" i="33" s="1"/>
  <c r="N2742" i="33"/>
  <c r="O2742" i="33" s="1"/>
  <c r="N2677" i="33"/>
  <c r="O2677" i="33" s="1"/>
  <c r="N2616" i="33"/>
  <c r="O2616" i="33" s="1"/>
  <c r="N2831" i="33"/>
  <c r="O2831" i="33" s="1"/>
  <c r="N2763" i="33"/>
  <c r="O2763" i="33" s="1"/>
  <c r="N2692" i="33"/>
  <c r="O2692" i="33" s="1"/>
  <c r="N2630" i="33"/>
  <c r="O2630" i="33" s="1"/>
  <c r="N2557" i="33"/>
  <c r="O2557" i="33" s="1"/>
  <c r="N2535" i="33"/>
  <c r="O2535" i="33" s="1"/>
  <c r="N1695" i="33"/>
  <c r="O1695" i="33" s="1"/>
  <c r="N1698" i="33"/>
  <c r="O1698" i="33" s="1"/>
  <c r="N1688" i="33"/>
  <c r="O1688" i="33" s="1"/>
  <c r="N1689" i="33"/>
  <c r="O1689" i="33" s="1"/>
  <c r="N1710" i="33"/>
  <c r="O1710" i="33" s="1"/>
  <c r="N1783" i="33"/>
  <c r="O1783" i="33" s="1"/>
  <c r="N1818" i="33"/>
  <c r="O1818" i="33" s="1"/>
  <c r="N1514" i="33"/>
  <c r="O1514" i="33" s="1"/>
  <c r="N1649" i="33"/>
  <c r="O1649" i="33" s="1"/>
  <c r="N1672" i="33"/>
  <c r="O1672" i="33" s="1"/>
  <c r="N1677" i="33"/>
  <c r="O1677" i="33" s="1"/>
  <c r="N1653" i="33"/>
  <c r="O1653" i="33" s="1"/>
  <c r="N2813" i="33"/>
  <c r="O2813" i="33" s="1"/>
  <c r="N2747" i="33"/>
  <c r="O2747" i="33" s="1"/>
  <c r="N2690" i="33"/>
  <c r="O2690" i="33" s="1"/>
  <c r="N2628" i="33"/>
  <c r="O2628" i="33" s="1"/>
  <c r="N2812" i="33"/>
  <c r="O2812" i="33" s="1"/>
  <c r="N2738" i="33"/>
  <c r="O2738" i="33" s="1"/>
  <c r="N2658" i="33"/>
  <c r="O2658" i="33" s="1"/>
  <c r="N2683" i="33"/>
  <c r="O2683" i="33" s="1"/>
  <c r="N2796" i="33"/>
  <c r="O2796" i="33" s="1"/>
  <c r="N2737" i="33"/>
  <c r="O2737" i="33" s="1"/>
  <c r="N2680" i="33"/>
  <c r="O2680" i="33" s="1"/>
  <c r="N2612" i="33"/>
  <c r="O2612" i="33" s="1"/>
  <c r="N2818" i="33"/>
  <c r="O2818" i="33" s="1"/>
  <c r="N2751" i="33"/>
  <c r="O2751" i="33" s="1"/>
  <c r="N2679" i="33"/>
  <c r="O2679" i="33" s="1"/>
  <c r="N2618" i="33"/>
  <c r="O2618" i="33" s="1"/>
  <c r="N2833" i="33"/>
  <c r="O2833" i="33" s="1"/>
  <c r="N2772" i="33"/>
  <c r="O2772" i="33" s="1"/>
  <c r="N2714" i="33"/>
  <c r="O2714" i="33" s="1"/>
  <c r="N2655" i="33"/>
  <c r="O2655" i="33" s="1"/>
  <c r="N2636" i="33"/>
  <c r="O2636" i="33" s="1"/>
  <c r="N2793" i="33"/>
  <c r="O2793" i="33" s="1"/>
  <c r="N2735" i="33"/>
  <c r="O2735" i="33" s="1"/>
  <c r="N2669" i="33"/>
  <c r="O2669" i="33" s="1"/>
  <c r="N2610" i="33"/>
  <c r="O2610" i="33" s="1"/>
  <c r="N2830" i="33"/>
  <c r="O2830" i="33" s="1"/>
  <c r="N2823" i="33"/>
  <c r="O2823" i="33" s="1"/>
  <c r="N2755" i="33"/>
  <c r="O2755" i="33" s="1"/>
  <c r="N2684" i="33"/>
  <c r="O2684" i="33" s="1"/>
  <c r="N2622" i="33"/>
  <c r="O2622" i="33" s="1"/>
  <c r="N2564" i="33"/>
  <c r="O2564" i="33" s="1"/>
  <c r="N2349" i="33"/>
  <c r="O2349" i="33" s="1"/>
  <c r="N1778" i="33"/>
  <c r="O1778" i="33" s="1"/>
  <c r="N1687" i="33"/>
  <c r="O1687" i="33" s="1"/>
  <c r="N1712" i="33"/>
  <c r="O1712" i="33" s="1"/>
  <c r="N1720" i="33"/>
  <c r="O1720" i="33" s="1"/>
  <c r="N1706" i="33"/>
  <c r="O1706" i="33" s="1"/>
  <c r="N1777" i="33"/>
  <c r="O1777" i="33" s="1"/>
  <c r="N1583" i="33"/>
  <c r="O1583" i="33" s="1"/>
  <c r="N1655" i="33"/>
  <c r="O1655" i="33" s="1"/>
  <c r="N2805" i="33"/>
  <c r="O2805" i="33" s="1"/>
  <c r="N2739" i="33"/>
  <c r="O2739" i="33" s="1"/>
  <c r="N2682" i="33"/>
  <c r="O2682" i="33" s="1"/>
  <c r="N2613" i="33"/>
  <c r="O2613" i="33" s="1"/>
  <c r="N2814" i="33"/>
  <c r="O2814" i="33" s="1"/>
  <c r="N2797" i="33"/>
  <c r="O2797" i="33" s="1"/>
  <c r="N2731" i="33"/>
  <c r="O2731" i="33" s="1"/>
  <c r="N2650" i="33"/>
  <c r="O2650" i="33" s="1"/>
  <c r="N2629" i="33"/>
  <c r="O2629" i="33" s="1"/>
  <c r="N2788" i="33"/>
  <c r="O2788" i="33" s="1"/>
  <c r="N2730" i="33"/>
  <c r="O2730" i="33" s="1"/>
  <c r="N2672" i="33"/>
  <c r="O2672" i="33" s="1"/>
  <c r="N2822" i="33"/>
  <c r="O2822" i="33" s="1"/>
  <c r="N2810" i="33"/>
  <c r="O2810" i="33" s="1"/>
  <c r="N2744" i="33"/>
  <c r="O2744" i="33" s="1"/>
  <c r="N2671" i="33"/>
  <c r="O2671" i="33" s="1"/>
  <c r="N2611" i="33"/>
  <c r="O2611" i="33" s="1"/>
  <c r="N2799" i="33"/>
  <c r="O2799" i="33" s="1"/>
  <c r="N2825" i="33"/>
  <c r="O2825" i="33" s="1"/>
  <c r="N2765" i="33"/>
  <c r="O2765" i="33" s="1"/>
  <c r="N2708" i="33"/>
  <c r="O2708" i="33" s="1"/>
  <c r="N2647" i="33"/>
  <c r="O2647" i="33" s="1"/>
  <c r="N2785" i="33"/>
  <c r="O2785" i="33" s="1"/>
  <c r="N2727" i="33"/>
  <c r="O2727" i="33" s="1"/>
  <c r="N2662" i="33"/>
  <c r="O2662" i="33" s="1"/>
  <c r="N2762" i="33"/>
  <c r="O2762" i="33" s="1"/>
  <c r="N2815" i="33"/>
  <c r="O2815" i="33" s="1"/>
  <c r="N2741" i="33"/>
  <c r="O2741" i="33" s="1"/>
  <c r="N2676" i="33"/>
  <c r="O2676" i="33" s="1"/>
  <c r="N2615" i="33"/>
  <c r="O2615" i="33" s="1"/>
  <c r="N2838" i="33"/>
  <c r="O2838" i="33" s="1"/>
  <c r="N2560" i="33"/>
  <c r="O2560" i="33" s="1"/>
  <c r="N2542" i="33"/>
  <c r="O2542" i="33" s="1"/>
  <c r="N2530" i="33"/>
  <c r="O2530" i="33" s="1"/>
  <c r="N2529" i="33"/>
  <c r="O2529" i="33" s="1"/>
  <c r="N1681" i="33"/>
  <c r="O1681" i="33" s="1"/>
  <c r="N1736" i="33"/>
  <c r="O1736" i="33" s="1"/>
  <c r="N1756" i="33"/>
  <c r="O1756" i="33" s="1"/>
  <c r="N1685" i="33"/>
  <c r="O1685" i="33" s="1"/>
  <c r="N1697" i="33"/>
  <c r="O1697" i="33" s="1"/>
  <c r="N1709" i="33"/>
  <c r="O1709" i="33" s="1"/>
  <c r="N1738" i="33"/>
  <c r="O1738" i="33" s="1"/>
  <c r="N1757" i="33"/>
  <c r="O1757" i="33" s="1"/>
  <c r="N1676" i="33"/>
  <c r="O1676" i="33" s="1"/>
  <c r="N1581" i="33"/>
  <c r="O1581" i="33" s="1"/>
  <c r="N1633" i="33"/>
  <c r="O1633" i="33" s="1"/>
  <c r="N2798" i="33"/>
  <c r="O2798" i="33" s="1"/>
  <c r="N2732" i="33"/>
  <c r="O2732" i="33" s="1"/>
  <c r="N2674" i="33"/>
  <c r="O2674" i="33" s="1"/>
  <c r="N2769" i="33"/>
  <c r="O2769" i="33" s="1"/>
  <c r="N2789" i="33"/>
  <c r="O2789" i="33" s="1"/>
  <c r="N2710" i="33"/>
  <c r="O2710" i="33" s="1"/>
  <c r="N2642" i="33"/>
  <c r="O2642" i="33" s="1"/>
  <c r="N2781" i="33"/>
  <c r="O2781" i="33" s="1"/>
  <c r="N2723" i="33"/>
  <c r="O2723" i="33" s="1"/>
  <c r="N2665" i="33"/>
  <c r="O2665" i="33" s="1"/>
  <c r="N2777" i="33"/>
  <c r="O2777" i="33" s="1"/>
  <c r="N2803" i="33"/>
  <c r="O2803" i="33" s="1"/>
  <c r="N2729" i="33"/>
  <c r="O2729" i="33" s="1"/>
  <c r="N2664" i="33"/>
  <c r="O2664" i="33" s="1"/>
  <c r="N2733" i="33"/>
  <c r="O2733" i="33" s="1"/>
  <c r="N2817" i="33"/>
  <c r="O2817" i="33" s="1"/>
  <c r="N2757" i="33"/>
  <c r="O2757" i="33" s="1"/>
  <c r="N2701" i="33"/>
  <c r="O2701" i="33" s="1"/>
  <c r="N2639" i="33"/>
  <c r="O2639" i="33" s="1"/>
  <c r="N2840" i="33"/>
  <c r="O2840" i="33" s="1"/>
  <c r="N2779" i="33"/>
  <c r="O2779" i="33" s="1"/>
  <c r="N2720" i="33"/>
  <c r="O2720" i="33" s="1"/>
  <c r="N2654" i="33"/>
  <c r="O2654" i="33" s="1"/>
  <c r="N2712" i="33"/>
  <c r="O2712" i="33" s="1"/>
  <c r="N2807" i="33"/>
  <c r="O2807" i="33" s="1"/>
  <c r="N2734" i="33"/>
  <c r="O2734" i="33" s="1"/>
  <c r="N2668" i="33"/>
  <c r="O2668" i="33" s="1"/>
  <c r="N2748" i="33"/>
  <c r="O2748" i="33" s="1"/>
  <c r="N2604" i="33"/>
  <c r="O2604" i="33" s="1"/>
  <c r="N2531" i="33"/>
  <c r="O2531" i="33" s="1"/>
  <c r="N2358" i="33"/>
  <c r="O2358" i="33" s="1"/>
  <c r="N2532" i="33"/>
  <c r="O2532" i="33" s="1"/>
  <c r="N1782" i="33"/>
  <c r="O1782" i="33" s="1"/>
  <c r="N1758" i="33"/>
  <c r="O1758" i="33" s="1"/>
  <c r="N1784" i="33"/>
  <c r="O1784" i="33" s="1"/>
  <c r="N1780" i="33"/>
  <c r="O1780" i="33" s="1"/>
  <c r="N1719" i="33"/>
  <c r="O1719" i="33" s="1"/>
  <c r="N1699" i="33"/>
  <c r="O1699" i="33" s="1"/>
  <c r="N1715" i="33"/>
  <c r="O1715" i="33" s="1"/>
  <c r="N1717" i="33"/>
  <c r="O1717" i="33" s="1"/>
  <c r="N1739" i="33"/>
  <c r="O1739" i="33" s="1"/>
  <c r="N1691" i="33"/>
  <c r="O1691" i="33" s="1"/>
  <c r="N1650" i="33"/>
  <c r="O1650" i="33" s="1"/>
  <c r="N1584" i="33"/>
  <c r="O1584" i="33" s="1"/>
  <c r="N2790" i="33"/>
  <c r="O2790" i="33" s="1"/>
  <c r="N2724" i="33"/>
  <c r="O2724" i="33" s="1"/>
  <c r="N2666" i="33"/>
  <c r="O2666" i="33" s="1"/>
  <c r="N2718" i="33"/>
  <c r="O2718" i="33" s="1"/>
  <c r="N2782" i="33"/>
  <c r="O2782" i="33" s="1"/>
  <c r="N2704" i="33"/>
  <c r="O2704" i="33" s="1"/>
  <c r="N2634" i="33"/>
  <c r="O2634" i="33" s="1"/>
  <c r="N2835" i="33"/>
  <c r="O2835" i="33" s="1"/>
  <c r="N2774" i="33"/>
  <c r="O2774" i="33" s="1"/>
  <c r="N2716" i="33"/>
  <c r="O2716" i="33" s="1"/>
  <c r="N2657" i="33"/>
  <c r="O2657" i="33" s="1"/>
  <c r="N2725" i="33"/>
  <c r="O2725" i="33" s="1"/>
  <c r="N2795" i="33"/>
  <c r="O2795" i="33" s="1"/>
  <c r="N2722" i="33"/>
  <c r="O2722" i="33" s="1"/>
  <c r="N2656" i="33"/>
  <c r="O2656" i="33" s="1"/>
  <c r="N2667" i="33"/>
  <c r="O2667" i="33" s="1"/>
  <c r="N2809" i="33"/>
  <c r="O2809" i="33" s="1"/>
  <c r="N2750" i="33"/>
  <c r="O2750" i="33" s="1"/>
  <c r="N2694" i="33"/>
  <c r="O2694" i="33" s="1"/>
  <c r="N2632" i="33"/>
  <c r="O2632" i="33" s="1"/>
  <c r="N2832" i="33"/>
  <c r="O2832" i="33" s="1"/>
  <c r="N2771" i="33"/>
  <c r="O2771" i="33" s="1"/>
  <c r="N2707" i="33"/>
  <c r="O2707" i="33" s="1"/>
  <c r="N2646" i="33"/>
  <c r="O2646" i="33" s="1"/>
  <c r="N2652" i="33"/>
  <c r="O2652" i="33" s="1"/>
  <c r="N2800" i="33"/>
  <c r="O2800" i="33" s="1"/>
  <c r="N2726" i="33"/>
  <c r="O2726" i="33" s="1"/>
  <c r="N2661" i="33"/>
  <c r="O2661" i="33" s="1"/>
  <c r="N2699" i="33"/>
  <c r="O2699" i="33" s="1"/>
  <c r="N2536" i="33"/>
  <c r="O2536" i="33" s="1"/>
  <c r="N2539" i="33"/>
  <c r="O2539" i="33" s="1"/>
  <c r="N2540" i="33"/>
  <c r="O2540" i="33" s="1"/>
  <c r="N2543" i="33"/>
  <c r="O2543" i="33" s="1"/>
  <c r="N1711" i="33"/>
  <c r="O1711" i="33" s="1"/>
  <c r="N1714" i="33"/>
  <c r="O1714" i="33" s="1"/>
  <c r="N1703" i="33"/>
  <c r="O1703" i="33" s="1"/>
  <c r="N1774" i="33"/>
  <c r="O1774" i="33" s="1"/>
  <c r="N1813" i="33"/>
  <c r="O1813" i="33" s="1"/>
  <c r="N1755" i="33"/>
  <c r="O1755" i="33" s="1"/>
  <c r="N1716" i="33"/>
  <c r="O1716" i="33" s="1"/>
  <c r="N1718" i="33"/>
  <c r="O1718" i="33" s="1"/>
  <c r="N1702" i="33"/>
  <c r="O1702" i="33" s="1"/>
  <c r="N1675" i="33"/>
  <c r="O1675" i="33" s="1"/>
  <c r="N1553" i="33"/>
  <c r="O1553" i="33" s="1"/>
  <c r="N2783" i="33"/>
  <c r="O2783" i="33" s="1"/>
  <c r="N2715" i="33"/>
  <c r="O2715" i="33" s="1"/>
  <c r="N2719" i="33"/>
  <c r="O2719" i="33" s="1"/>
  <c r="N1775" i="33"/>
  <c r="O1775" i="33" s="1"/>
  <c r="N1582" i="33"/>
  <c r="O1582" i="33" s="1"/>
  <c r="N1670" i="33"/>
  <c r="O1670" i="33" s="1"/>
  <c r="N1634" i="33"/>
  <c r="O1634" i="33" s="1"/>
  <c r="N1551" i="33"/>
  <c r="O1551" i="33" s="1"/>
  <c r="N1674" i="33"/>
  <c r="O1674" i="33" s="1"/>
  <c r="N1535" i="33"/>
  <c r="O1535" i="33" s="1"/>
  <c r="N1426" i="33"/>
  <c r="O1426" i="33" s="1"/>
  <c r="N1515" i="33"/>
  <c r="O1515" i="33" s="1"/>
  <c r="N1501" i="33"/>
  <c r="O1501" i="33" s="1"/>
  <c r="N1121" i="33"/>
  <c r="O1121" i="33" s="1"/>
  <c r="N1058" i="33"/>
  <c r="O1058" i="33" s="1"/>
  <c r="N1111" i="33"/>
  <c r="O1111" i="33" s="1"/>
  <c r="N1048" i="33"/>
  <c r="O1048" i="33" s="1"/>
  <c r="N1100" i="33"/>
  <c r="O1100" i="33" s="1"/>
  <c r="N1115" i="33"/>
  <c r="O1115" i="33" s="1"/>
  <c r="N1052" i="33"/>
  <c r="O1052" i="33" s="1"/>
  <c r="N1203" i="33"/>
  <c r="O1203" i="33" s="1"/>
  <c r="N1152" i="33"/>
  <c r="O1152" i="33" s="1"/>
  <c r="N1089" i="33"/>
  <c r="O1089" i="33" s="1"/>
  <c r="N1201" i="33"/>
  <c r="O1201" i="33" s="1"/>
  <c r="N1081" i="33"/>
  <c r="O1081" i="33" s="1"/>
  <c r="N1051" i="33"/>
  <c r="O1051" i="33" s="1"/>
  <c r="N1072" i="33"/>
  <c r="O1072" i="33" s="1"/>
  <c r="N1142" i="33"/>
  <c r="O1142" i="33" s="1"/>
  <c r="N1109" i="33"/>
  <c r="O1109" i="33" s="1"/>
  <c r="N1136" i="33"/>
  <c r="O1136" i="33" s="1"/>
  <c r="N1125" i="33"/>
  <c r="O1125" i="33" s="1"/>
  <c r="N1554" i="33"/>
  <c r="O1554" i="33" s="1"/>
  <c r="N1390" i="33"/>
  <c r="O1390" i="33" s="1"/>
  <c r="N1119" i="33"/>
  <c r="O1119" i="33" s="1"/>
  <c r="N1120" i="33"/>
  <c r="O1120" i="33" s="1"/>
  <c r="N2717" i="33"/>
  <c r="O2717" i="33" s="1"/>
  <c r="N2827" i="33"/>
  <c r="O2827" i="33" s="1"/>
  <c r="N2648" i="33"/>
  <c r="O2648" i="33" s="1"/>
  <c r="N2824" i="33"/>
  <c r="O2824" i="33" s="1"/>
  <c r="N2653" i="33"/>
  <c r="O2653" i="33" s="1"/>
  <c r="N1654" i="33"/>
  <c r="O1654" i="33" s="1"/>
  <c r="N1648" i="33"/>
  <c r="O1648" i="33" s="1"/>
  <c r="N1631" i="33"/>
  <c r="O1631" i="33" s="1"/>
  <c r="N1652" i="33"/>
  <c r="O1652" i="33" s="1"/>
  <c r="N1509" i="33"/>
  <c r="O1509" i="33" s="1"/>
  <c r="N1503" i="33"/>
  <c r="O1503" i="33" s="1"/>
  <c r="N1467" i="33"/>
  <c r="O1467" i="33" s="1"/>
  <c r="N1391" i="33"/>
  <c r="O1391" i="33" s="1"/>
  <c r="N1113" i="33"/>
  <c r="O1113" i="33" s="1"/>
  <c r="N1103" i="33"/>
  <c r="O1103" i="33" s="1"/>
  <c r="N1205" i="33"/>
  <c r="O1205" i="33" s="1"/>
  <c r="N12" i="33"/>
  <c r="O12" i="33" s="1"/>
  <c r="N1196" i="33"/>
  <c r="O1196" i="33" s="1"/>
  <c r="N1093" i="33"/>
  <c r="O1093" i="33" s="1"/>
  <c r="N1107" i="33"/>
  <c r="O1107" i="33" s="1"/>
  <c r="N1044" i="33"/>
  <c r="O1044" i="33" s="1"/>
  <c r="N1066" i="33"/>
  <c r="O1066" i="33" s="1"/>
  <c r="N1207" i="33"/>
  <c r="O1207" i="33" s="1"/>
  <c r="N1046" i="33"/>
  <c r="O1046" i="33" s="1"/>
  <c r="N1210" i="33"/>
  <c r="O1210" i="33" s="1"/>
  <c r="N1104" i="33"/>
  <c r="O1104" i="33" s="1"/>
  <c r="N6" i="33"/>
  <c r="O6" i="33" s="1"/>
  <c r="N1059" i="33"/>
  <c r="O1059" i="33" s="1"/>
  <c r="N1094" i="33"/>
  <c r="O1094" i="33" s="1"/>
  <c r="N1102" i="33"/>
  <c r="O1102" i="33" s="1"/>
  <c r="N1096" i="33"/>
  <c r="O1096" i="33" s="1"/>
  <c r="N1204" i="33"/>
  <c r="O1204" i="33" s="1"/>
  <c r="N1091" i="33"/>
  <c r="O1091" i="33" s="1"/>
  <c r="N2792" i="33"/>
  <c r="O2792" i="33" s="1"/>
  <c r="N1533" i="33"/>
  <c r="O1533" i="33" s="1"/>
  <c r="N1508" i="33"/>
  <c r="O1508" i="33" s="1"/>
  <c r="N1060" i="33"/>
  <c r="O1060" i="33" s="1"/>
  <c r="N1149" i="33"/>
  <c r="O1149" i="33" s="1"/>
  <c r="N1078" i="33"/>
  <c r="O1078" i="33" s="1"/>
  <c r="N2659" i="33"/>
  <c r="O2659" i="33" s="1"/>
  <c r="N2767" i="33"/>
  <c r="O2767" i="33" s="1"/>
  <c r="N2764" i="33"/>
  <c r="O2764" i="33" s="1"/>
  <c r="N1779" i="33"/>
  <c r="O1779" i="33" s="1"/>
  <c r="N1606" i="33"/>
  <c r="O1606" i="33" s="1"/>
  <c r="N1608" i="33"/>
  <c r="O1608" i="33" s="1"/>
  <c r="N1609" i="33"/>
  <c r="O1609" i="33" s="1"/>
  <c r="N1607" i="33"/>
  <c r="O1607" i="33" s="1"/>
  <c r="N1566" i="33"/>
  <c r="O1566" i="33" s="1"/>
  <c r="N1507" i="33"/>
  <c r="O1507" i="33" s="1"/>
  <c r="N1470" i="33"/>
  <c r="O1470" i="33" s="1"/>
  <c r="N1502" i="33"/>
  <c r="O1502" i="33" s="1"/>
  <c r="N1105" i="33"/>
  <c r="O1105" i="33" s="1"/>
  <c r="N1197" i="33"/>
  <c r="O1197" i="33" s="1"/>
  <c r="N1148" i="33"/>
  <c r="O1148" i="33" s="1"/>
  <c r="N1085" i="33"/>
  <c r="O1085" i="33" s="1"/>
  <c r="N1099" i="33"/>
  <c r="O1099" i="33" s="1"/>
  <c r="N1193" i="33"/>
  <c r="O1193" i="33" s="1"/>
  <c r="N1056" i="33"/>
  <c r="O1056" i="33" s="1"/>
  <c r="N1110" i="33"/>
  <c r="O1110" i="33" s="1"/>
  <c r="N1045" i="33"/>
  <c r="O1045" i="33" s="1"/>
  <c r="N1090" i="33"/>
  <c r="O1090" i="33" s="1"/>
  <c r="N1062" i="33"/>
  <c r="O1062" i="33" s="1"/>
  <c r="N1067" i="33"/>
  <c r="O1067" i="33" s="1"/>
  <c r="N1324" i="33"/>
  <c r="O1324" i="33" s="1"/>
  <c r="N1134" i="33"/>
  <c r="O1134" i="33" s="1"/>
  <c r="N49" i="33"/>
  <c r="O49" i="33" s="1"/>
  <c r="N1199" i="33"/>
  <c r="O1199" i="33" s="1"/>
  <c r="N2709" i="33"/>
  <c r="O2709" i="33" s="1"/>
  <c r="N2614" i="33"/>
  <c r="O2614" i="33" s="1"/>
  <c r="N2700" i="33"/>
  <c r="O2700" i="33" s="1"/>
  <c r="N2644" i="33"/>
  <c r="O2644" i="33" s="1"/>
  <c r="N2559" i="33"/>
  <c r="O2559" i="33" s="1"/>
  <c r="N1705" i="33"/>
  <c r="O1705" i="33" s="1"/>
  <c r="N1580" i="33"/>
  <c r="O1580" i="33" s="1"/>
  <c r="N1678" i="33"/>
  <c r="O1678" i="33" s="1"/>
  <c r="N1569" i="33"/>
  <c r="O1569" i="33" s="1"/>
  <c r="N1493" i="33"/>
  <c r="O1493" i="33" s="1"/>
  <c r="N1448" i="33"/>
  <c r="O1448" i="33" s="1"/>
  <c r="N1130" i="33"/>
  <c r="O1130" i="33" s="1"/>
  <c r="N1151" i="33"/>
  <c r="O1151" i="33" s="1"/>
  <c r="N1088" i="33"/>
  <c r="O1088" i="33" s="1"/>
  <c r="N1140" i="33"/>
  <c r="O1140" i="33" s="1"/>
  <c r="N1077" i="33"/>
  <c r="O1077" i="33" s="1"/>
  <c r="N1195" i="33"/>
  <c r="O1195" i="33" s="1"/>
  <c r="N1092" i="33"/>
  <c r="O1092" i="33" s="1"/>
  <c r="N1143" i="33"/>
  <c r="O1143" i="33" s="1"/>
  <c r="N1043" i="33"/>
  <c r="O1043" i="33" s="1"/>
  <c r="N1141" i="33"/>
  <c r="O1141" i="33" s="1"/>
  <c r="N1202" i="33"/>
  <c r="O1202" i="33" s="1"/>
  <c r="N5" i="33"/>
  <c r="O5" i="33" s="1"/>
  <c r="N1070" i="33"/>
  <c r="O1070" i="33" s="1"/>
  <c r="N1198" i="33"/>
  <c r="O1198" i="33" s="1"/>
  <c r="N1128" i="33"/>
  <c r="O1128" i="33" s="1"/>
  <c r="N48" i="33"/>
  <c r="O48" i="33" s="1"/>
  <c r="N1194" i="33"/>
  <c r="O1194" i="33" s="1"/>
  <c r="N1083" i="33"/>
  <c r="O1083" i="33" s="1"/>
  <c r="N1568" i="33"/>
  <c r="O1568" i="33" s="1"/>
  <c r="N1108" i="33"/>
  <c r="O1108" i="33" s="1"/>
  <c r="N1209" i="33"/>
  <c r="O1209" i="33" s="1"/>
  <c r="N2660" i="33"/>
  <c r="O2660" i="33" s="1"/>
  <c r="N2649" i="33"/>
  <c r="O2649" i="33" s="1"/>
  <c r="N2802" i="33"/>
  <c r="O2802" i="33" s="1"/>
  <c r="N2638" i="33"/>
  <c r="O2638" i="33" s="1"/>
  <c r="N2538" i="33"/>
  <c r="O2538" i="33" s="1"/>
  <c r="N1673" i="33"/>
  <c r="O1673" i="33" s="1"/>
  <c r="N1534" i="33"/>
  <c r="O1534" i="33" s="1"/>
  <c r="N1656" i="33"/>
  <c r="O1656" i="33" s="1"/>
  <c r="N1516" i="33"/>
  <c r="O1516" i="33" s="1"/>
  <c r="N1500" i="33"/>
  <c r="O1500" i="33" s="1"/>
  <c r="N1512" i="33"/>
  <c r="O1512" i="33" s="1"/>
  <c r="N1513" i="33"/>
  <c r="O1513" i="33" s="1"/>
  <c r="N1080" i="33"/>
  <c r="O1080" i="33" s="1"/>
  <c r="N1047" i="33"/>
  <c r="O1047" i="33" s="1"/>
  <c r="N1122" i="33"/>
  <c r="O1122" i="33" s="1"/>
  <c r="N1132" i="33"/>
  <c r="O1132" i="33" s="1"/>
  <c r="N1069" i="33"/>
  <c r="O1069" i="33" s="1"/>
  <c r="N1147" i="33"/>
  <c r="O1147" i="33" s="1"/>
  <c r="N1084" i="33"/>
  <c r="O1084" i="33" s="1"/>
  <c r="N1114" i="33"/>
  <c r="O1114" i="33" s="1"/>
  <c r="N1352" i="33"/>
  <c r="O1352" i="33" s="1"/>
  <c r="N1118" i="33"/>
  <c r="O1118" i="33" s="1"/>
  <c r="N1073" i="33"/>
  <c r="O1073" i="33" s="1"/>
  <c r="N1200" i="33"/>
  <c r="O1200" i="33" s="1"/>
  <c r="N1101" i="33"/>
  <c r="O1101" i="33" s="1"/>
  <c r="N1063" i="33"/>
  <c r="O1063" i="33" s="1"/>
  <c r="N1074" i="33"/>
  <c r="O1074" i="33" s="1"/>
  <c r="N1086" i="33"/>
  <c r="O1086" i="33" s="1"/>
  <c r="N2624" i="33"/>
  <c r="O2624" i="33" s="1"/>
  <c r="N1671" i="33"/>
  <c r="O1671" i="33" s="1"/>
  <c r="N1427" i="33"/>
  <c r="O1427" i="33" s="1"/>
  <c r="N1208" i="33"/>
  <c r="O1208" i="33" s="1"/>
  <c r="N1087" i="33"/>
  <c r="O1087" i="33" s="1"/>
  <c r="N2775" i="33"/>
  <c r="O2775" i="33" s="1"/>
  <c r="N2743" i="33"/>
  <c r="O2743" i="33" s="1"/>
  <c r="N2541" i="33"/>
  <c r="O2541" i="33" s="1"/>
  <c r="N1693" i="33"/>
  <c r="O1693" i="33" s="1"/>
  <c r="N1651" i="33"/>
  <c r="O1651" i="33" s="1"/>
  <c r="N1504" i="33"/>
  <c r="O1504" i="33" s="1"/>
  <c r="N1498" i="33"/>
  <c r="O1498" i="33" s="1"/>
  <c r="N1484" i="33"/>
  <c r="O1484" i="33" s="1"/>
  <c r="N1445" i="33"/>
  <c r="O1445" i="33" s="1"/>
  <c r="N1511" i="33"/>
  <c r="O1511" i="33" s="1"/>
  <c r="N1145" i="33"/>
  <c r="O1145" i="33" s="1"/>
  <c r="N1082" i="33"/>
  <c r="O1082" i="33" s="1"/>
  <c r="N1135" i="33"/>
  <c r="O1135" i="33" s="1"/>
  <c r="N1206" i="33"/>
  <c r="O1206" i="33" s="1"/>
  <c r="N1124" i="33"/>
  <c r="O1124" i="33" s="1"/>
  <c r="N1061" i="33"/>
  <c r="O1061" i="33" s="1"/>
  <c r="N1139" i="33"/>
  <c r="O1139" i="33" s="1"/>
  <c r="N1076" i="33"/>
  <c r="O1076" i="33" s="1"/>
  <c r="N1133" i="33"/>
  <c r="O1133" i="33" s="1"/>
  <c r="N1079" i="33"/>
  <c r="O1079" i="33" s="1"/>
  <c r="N1150" i="33"/>
  <c r="O1150" i="33" s="1"/>
  <c r="N11" i="33"/>
  <c r="O11" i="33" s="1"/>
  <c r="N1054" i="33"/>
  <c r="O1054" i="33" s="1"/>
  <c r="N1338" i="33"/>
  <c r="O1338" i="33" s="1"/>
  <c r="N1126" i="33"/>
  <c r="O1126" i="33" s="1"/>
  <c r="N1050" i="33"/>
  <c r="O1050" i="33" s="1"/>
  <c r="N1095" i="33"/>
  <c r="O1095" i="33" s="1"/>
  <c r="N1144" i="33"/>
  <c r="O1144" i="33" s="1"/>
  <c r="N1117" i="33"/>
  <c r="O1117" i="33" s="1"/>
  <c r="N1071" i="33"/>
  <c r="O1071" i="33" s="1"/>
  <c r="N2627" i="33"/>
  <c r="O2627" i="33" s="1"/>
  <c r="N1506" i="33"/>
  <c r="O1506" i="33" s="1"/>
  <c r="N1106" i="33"/>
  <c r="O1106" i="33" s="1"/>
  <c r="N2697" i="33"/>
  <c r="O2697" i="33" s="1"/>
  <c r="N2675" i="33"/>
  <c r="O2675" i="33" s="1"/>
  <c r="N2686" i="33"/>
  <c r="O2686" i="33" s="1"/>
  <c r="N2877" i="33"/>
  <c r="O2877" i="33" s="1"/>
  <c r="N2359" i="33"/>
  <c r="O2359" i="33" s="1"/>
  <c r="N1707" i="33"/>
  <c r="O1707" i="33" s="1"/>
  <c r="N1632" i="33"/>
  <c r="O1632" i="33" s="1"/>
  <c r="N1552" i="33"/>
  <c r="O1552" i="33" s="1"/>
  <c r="N1567" i="33"/>
  <c r="O1567" i="33" s="1"/>
  <c r="N1532" i="33"/>
  <c r="O1532" i="33" s="1"/>
  <c r="N1510" i="33"/>
  <c r="O1510" i="33" s="1"/>
  <c r="N1499" i="33"/>
  <c r="O1499" i="33" s="1"/>
  <c r="N1389" i="33"/>
  <c r="O1389" i="33" s="1"/>
  <c r="N1137" i="33"/>
  <c r="O1137" i="33" s="1"/>
  <c r="N1127" i="33"/>
  <c r="O1127" i="33" s="1"/>
  <c r="N1064" i="33"/>
  <c r="O1064" i="33" s="1"/>
  <c r="N1116" i="33"/>
  <c r="O1116" i="33" s="1"/>
  <c r="N1053" i="33"/>
  <c r="O1053" i="33" s="1"/>
  <c r="N1131" i="33"/>
  <c r="O1131" i="33" s="1"/>
  <c r="N1068" i="33"/>
  <c r="O1068" i="33" s="1"/>
  <c r="N1138" i="33"/>
  <c r="O1138" i="33" s="1"/>
  <c r="N1065" i="33"/>
  <c r="O1065" i="33" s="1"/>
  <c r="N1211" i="33"/>
  <c r="O1211" i="33" s="1"/>
  <c r="N1098" i="33"/>
  <c r="O1098" i="33" s="1"/>
  <c r="N1055" i="33"/>
  <c r="O1055" i="33" s="1"/>
  <c r="N1112" i="33"/>
  <c r="O1112" i="33" s="1"/>
  <c r="N1097" i="33"/>
  <c r="O1097" i="33" s="1"/>
  <c r="N1146" i="33"/>
  <c r="O1146" i="33" s="1"/>
  <c r="N1075" i="33"/>
  <c r="O1075" i="33" s="1"/>
  <c r="N1057" i="33"/>
  <c r="O1057" i="33" s="1"/>
  <c r="N1049" i="33"/>
  <c r="O1049" i="33" s="1"/>
  <c r="N2787" i="33"/>
  <c r="O2787" i="33" s="1"/>
  <c r="N1704" i="33"/>
  <c r="O1704" i="33" s="1"/>
  <c r="N1129" i="33"/>
  <c r="O1129" i="33" s="1"/>
  <c r="N1123" i="33"/>
  <c r="O1123" i="33" s="1"/>
  <c r="N39" i="33"/>
  <c r="O39" i="33" s="1"/>
  <c r="N1212" i="33"/>
  <c r="O1212" i="33" s="1"/>
  <c r="E3" i="33"/>
  <c r="N1872" i="33"/>
  <c r="O1872" i="33" s="1"/>
  <c r="N17" i="33"/>
  <c r="O17" i="33" s="1"/>
  <c r="N9" i="33"/>
  <c r="O9" i="33" s="1"/>
  <c r="N36" i="33"/>
  <c r="O36" i="33" s="1"/>
  <c r="N33" i="33"/>
  <c r="O33" i="33" s="1"/>
  <c r="N2117" i="33"/>
  <c r="O2117" i="33" s="1"/>
  <c r="N2119" i="33"/>
  <c r="O2119" i="33" s="1"/>
  <c r="N2116" i="33"/>
  <c r="O2116" i="33" s="1"/>
  <c r="N2118" i="33"/>
  <c r="O2118" i="33" s="1"/>
  <c r="N2089" i="33"/>
  <c r="O2089" i="33" s="1"/>
  <c r="N2083" i="33"/>
  <c r="O2083" i="33" s="1"/>
  <c r="N2085" i="33"/>
  <c r="O2085" i="33" s="1"/>
  <c r="N2115" i="33"/>
  <c r="O2115" i="33" s="1"/>
  <c r="N2084" i="33"/>
  <c r="O2084" i="33" s="1"/>
  <c r="N2070" i="33"/>
  <c r="O2070" i="33" s="1"/>
  <c r="N2069" i="33"/>
  <c r="O2069" i="33" s="1"/>
  <c r="N2048" i="33"/>
  <c r="O2048" i="33" s="1"/>
  <c r="N2072" i="33"/>
  <c r="O2072" i="33" s="1"/>
  <c r="N2074" i="33"/>
  <c r="O2074" i="33" s="1"/>
  <c r="N2114" i="33"/>
  <c r="O2114" i="33" s="1"/>
  <c r="N2100" i="33"/>
  <c r="O2100" i="33" s="1"/>
  <c r="N2112" i="33"/>
  <c r="O2112" i="33" s="1"/>
  <c r="N2101" i="33"/>
  <c r="O2101" i="33" s="1"/>
  <c r="N2103" i="33"/>
  <c r="O2103" i="33" s="1"/>
  <c r="N2063" i="33"/>
  <c r="O2063" i="33" s="1"/>
  <c r="N2059" i="33"/>
  <c r="O2059" i="33" s="1"/>
  <c r="N2065" i="33"/>
  <c r="O2065" i="33" s="1"/>
  <c r="N2047" i="33"/>
  <c r="O2047" i="33" s="1"/>
  <c r="N2106" i="33"/>
  <c r="O2106" i="33" s="1"/>
  <c r="N2075" i="33"/>
  <c r="O2075" i="33" s="1"/>
  <c r="N2092" i="33"/>
  <c r="O2092" i="33" s="1"/>
  <c r="N2094" i="33"/>
  <c r="O2094" i="33" s="1"/>
  <c r="N2096" i="33"/>
  <c r="O2096" i="33" s="1"/>
  <c r="N2087" i="33"/>
  <c r="O2087" i="33" s="1"/>
  <c r="N2054" i="33"/>
  <c r="O2054" i="33" s="1"/>
  <c r="N2049" i="33"/>
  <c r="O2049" i="33" s="1"/>
  <c r="N2064" i="33"/>
  <c r="O2064" i="33" s="1"/>
  <c r="N2058" i="33"/>
  <c r="O2058" i="33" s="1"/>
  <c r="N2060" i="33"/>
  <c r="O2060" i="33" s="1"/>
  <c r="N2066" i="33"/>
  <c r="O2066" i="33" s="1"/>
  <c r="N2086" i="33"/>
  <c r="O2086" i="33" s="1"/>
  <c r="N2105" i="33"/>
  <c r="O2105" i="33" s="1"/>
  <c r="N2082" i="33"/>
  <c r="O2082" i="33" s="1"/>
  <c r="N2098" i="33"/>
  <c r="O2098" i="33" s="1"/>
  <c r="N2078" i="33"/>
  <c r="O2078" i="33" s="1"/>
  <c r="N2050" i="33"/>
  <c r="O2050" i="33" s="1"/>
  <c r="N2046" i="33"/>
  <c r="O2046" i="33" s="1"/>
  <c r="N2081" i="33"/>
  <c r="O2081" i="33" s="1"/>
  <c r="N2052" i="33"/>
  <c r="O2052" i="33" s="1"/>
  <c r="N2097" i="33"/>
  <c r="O2097" i="33" s="1"/>
  <c r="N2111" i="33"/>
  <c r="O2111" i="33" s="1"/>
  <c r="N2091" i="33"/>
  <c r="O2091" i="33" s="1"/>
  <c r="N2107" i="33"/>
  <c r="O2107" i="33" s="1"/>
  <c r="N2104" i="33"/>
  <c r="O2104" i="33" s="1"/>
  <c r="N2071" i="33"/>
  <c r="O2071" i="33" s="1"/>
  <c r="N2062" i="33"/>
  <c r="O2062" i="33" s="1"/>
  <c r="N2079" i="33"/>
  <c r="O2079" i="33" s="1"/>
  <c r="N2056" i="33"/>
  <c r="O2056" i="33" s="1"/>
  <c r="N2080" i="33"/>
  <c r="O2080" i="33" s="1"/>
  <c r="N2113" i="33"/>
  <c r="O2113" i="33" s="1"/>
  <c r="N2099" i="33"/>
  <c r="O2099" i="33" s="1"/>
  <c r="N2108" i="33"/>
  <c r="O2108" i="33" s="1"/>
  <c r="N2093" i="33"/>
  <c r="O2093" i="33" s="1"/>
  <c r="N2109" i="33"/>
  <c r="O2109" i="33" s="1"/>
  <c r="N2076" i="33"/>
  <c r="O2076" i="33" s="1"/>
  <c r="N2061" i="33"/>
  <c r="O2061" i="33" s="1"/>
  <c r="N2055" i="33"/>
  <c r="O2055" i="33" s="1"/>
  <c r="N2073" i="33"/>
  <c r="O2073" i="33" s="1"/>
  <c r="N2068" i="33"/>
  <c r="O2068" i="33" s="1"/>
  <c r="N2090" i="33"/>
  <c r="O2090" i="33" s="1"/>
  <c r="N2051" i="33"/>
  <c r="O2051" i="33" s="1"/>
  <c r="N2110" i="33"/>
  <c r="O2110" i="33" s="1"/>
  <c r="N2102" i="33"/>
  <c r="O2102" i="33" s="1"/>
  <c r="N2088" i="33"/>
  <c r="O2088" i="33" s="1"/>
  <c r="N2095" i="33"/>
  <c r="O2095" i="33" s="1"/>
  <c r="N2053" i="33"/>
  <c r="O2053" i="33" s="1"/>
  <c r="N2057" i="33"/>
  <c r="O2057" i="33" s="1"/>
  <c r="N2077" i="33"/>
  <c r="O2077" i="33" s="1"/>
  <c r="N2067" i="33"/>
  <c r="O2067" i="33" s="1"/>
  <c r="N2904" i="33"/>
  <c r="O2904" i="33" s="1"/>
  <c r="N2587" i="33"/>
  <c r="O2587" i="33" s="1"/>
  <c r="N2865" i="33"/>
  <c r="O2865" i="33" s="1"/>
  <c r="N2598" i="33"/>
  <c r="O2598" i="33" s="1"/>
  <c r="N2850" i="33"/>
  <c r="O2850" i="33" s="1"/>
  <c r="N2574" i="33"/>
  <c r="O2574" i="33" s="1"/>
  <c r="N2589" i="33"/>
  <c r="O2589" i="33" s="1"/>
  <c r="N2849" i="33"/>
  <c r="O2849" i="33" s="1"/>
  <c r="N2571" i="33"/>
  <c r="O2571" i="33" s="1"/>
  <c r="N2502" i="33"/>
  <c r="O2502" i="33" s="1"/>
  <c r="N2520" i="33"/>
  <c r="O2520" i="33" s="1"/>
  <c r="N2422" i="33"/>
  <c r="O2422" i="33" s="1"/>
  <c r="N2360" i="33"/>
  <c r="O2360" i="33" s="1"/>
  <c r="N2249" i="33"/>
  <c r="O2249" i="33" s="1"/>
  <c r="N2440" i="33"/>
  <c r="O2440" i="33" s="1"/>
  <c r="N2381" i="33"/>
  <c r="O2381" i="33" s="1"/>
  <c r="N2282" i="33"/>
  <c r="O2282" i="33" s="1"/>
  <c r="N2189" i="33"/>
  <c r="O2189" i="33" s="1"/>
  <c r="N2478" i="33"/>
  <c r="O2478" i="33" s="1"/>
  <c r="N2337" i="33"/>
  <c r="O2337" i="33" s="1"/>
  <c r="N2186" i="33"/>
  <c r="O2186" i="33" s="1"/>
  <c r="N2270" i="33"/>
  <c r="O2270" i="33" s="1"/>
  <c r="N2202" i="33"/>
  <c r="O2202" i="33" s="1"/>
  <c r="N2477" i="33"/>
  <c r="O2477" i="33" s="1"/>
  <c r="N2206" i="33"/>
  <c r="O2206" i="33" s="1"/>
  <c r="N2485" i="33"/>
  <c r="O2485" i="33" s="1"/>
  <c r="N2401" i="33"/>
  <c r="O2401" i="33" s="1"/>
  <c r="N2325" i="33"/>
  <c r="O2325" i="33" s="1"/>
  <c r="N2193" i="33"/>
  <c r="O2193" i="33" s="1"/>
  <c r="N2205" i="33"/>
  <c r="O2205" i="33" s="1"/>
  <c r="N1743" i="33"/>
  <c r="O1743" i="33" s="1"/>
  <c r="N2480" i="33"/>
  <c r="O2480" i="33" s="1"/>
  <c r="N1849" i="33"/>
  <c r="O1849" i="33" s="1"/>
  <c r="N1628" i="33"/>
  <c r="O1628" i="33" s="1"/>
  <c r="N2209" i="33"/>
  <c r="O2209" i="33" s="1"/>
  <c r="N1789" i="33"/>
  <c r="O1789" i="33" s="1"/>
  <c r="N2516" i="33"/>
  <c r="O2516" i="33" s="1"/>
  <c r="N1752" i="33"/>
  <c r="O1752" i="33" s="1"/>
  <c r="N2346" i="33"/>
  <c r="O2346" i="33" s="1"/>
  <c r="N2145" i="33"/>
  <c r="O2145" i="33" s="1"/>
  <c r="N1620" i="33"/>
  <c r="O1620" i="33" s="1"/>
  <c r="N1963" i="33"/>
  <c r="O1963" i="33" s="1"/>
  <c r="N1734" i="33"/>
  <c r="O1734" i="33" s="1"/>
  <c r="N1524" i="33"/>
  <c r="O1524" i="33" s="1"/>
  <c r="N1305" i="33"/>
  <c r="O1305" i="33" s="1"/>
  <c r="N1183" i="33"/>
  <c r="O1183" i="33" s="1"/>
  <c r="N1541" i="33"/>
  <c r="O1541" i="33" s="1"/>
  <c r="N1248" i="33"/>
  <c r="O1248" i="33" s="1"/>
  <c r="N1025" i="33"/>
  <c r="O1025" i="33" s="1"/>
  <c r="N1455" i="33"/>
  <c r="O1455" i="33" s="1"/>
  <c r="N1235" i="33"/>
  <c r="O1235" i="33" s="1"/>
  <c r="N1016" i="33"/>
  <c r="O1016" i="33" s="1"/>
  <c r="N1540" i="33"/>
  <c r="O1540" i="33" s="1"/>
  <c r="N1301" i="33"/>
  <c r="O1301" i="33" s="1"/>
  <c r="N1175" i="33"/>
  <c r="O1175" i="33" s="1"/>
  <c r="N1536" i="33"/>
  <c r="O1536" i="33" s="1"/>
  <c r="N1313" i="33"/>
  <c r="O1313" i="33" s="1"/>
  <c r="N1228" i="33"/>
  <c r="O1228" i="33" s="1"/>
  <c r="N1010" i="33"/>
  <c r="O1010" i="33" s="1"/>
  <c r="N1295" i="33"/>
  <c r="O1295" i="33" s="1"/>
  <c r="N1009" i="33"/>
  <c r="O1009" i="33" s="1"/>
  <c r="N1284" i="33"/>
  <c r="O1284" i="33" s="1"/>
  <c r="N1026" i="33"/>
  <c r="O1026" i="33" s="1"/>
  <c r="N908" i="33"/>
  <c r="O908" i="33" s="1"/>
  <c r="N708" i="33"/>
  <c r="O708" i="33" s="1"/>
  <c r="N676" i="33"/>
  <c r="O676" i="33" s="1"/>
  <c r="N596" i="33"/>
  <c r="O596" i="33" s="1"/>
  <c r="N946" i="33"/>
  <c r="O946" i="33" s="1"/>
  <c r="N729" i="33"/>
  <c r="O729" i="33" s="1"/>
  <c r="N613" i="33"/>
  <c r="O613" i="33" s="1"/>
  <c r="N958" i="33"/>
  <c r="O958" i="33" s="1"/>
  <c r="N754" i="33"/>
  <c r="O754" i="33" s="1"/>
  <c r="N699" i="33"/>
  <c r="O699" i="33" s="1"/>
  <c r="N667" i="33"/>
  <c r="O667" i="33" s="1"/>
  <c r="N938" i="33"/>
  <c r="O938" i="33" s="1"/>
  <c r="N622" i="33"/>
  <c r="O622" i="33" s="1"/>
  <c r="N527" i="33"/>
  <c r="O527" i="33" s="1"/>
  <c r="N921" i="33"/>
  <c r="O921" i="33" s="1"/>
  <c r="N710" i="33"/>
  <c r="O710" i="33" s="1"/>
  <c r="N678" i="33"/>
  <c r="O678" i="33" s="1"/>
  <c r="N581" i="33"/>
  <c r="O581" i="33" s="1"/>
  <c r="N942" i="33"/>
  <c r="O942" i="33" s="1"/>
  <c r="N762" i="33"/>
  <c r="O762" i="33" s="1"/>
  <c r="N705" i="33"/>
  <c r="O705" i="33" s="1"/>
  <c r="N673" i="33"/>
  <c r="O673" i="33" s="1"/>
  <c r="N534" i="33"/>
  <c r="O534" i="33" s="1"/>
  <c r="N994" i="33"/>
  <c r="O994" i="33" s="1"/>
  <c r="N733" i="33"/>
  <c r="O733" i="33" s="1"/>
  <c r="N648" i="33"/>
  <c r="O648" i="33" s="1"/>
  <c r="N280" i="33"/>
  <c r="O280" i="33" s="1"/>
  <c r="N135" i="33"/>
  <c r="O135" i="33" s="1"/>
  <c r="N65" i="33"/>
  <c r="O65" i="33" s="1"/>
  <c r="N605" i="33"/>
  <c r="O605" i="33" s="1"/>
  <c r="N406" i="33"/>
  <c r="O406" i="33" s="1"/>
  <c r="N324" i="33"/>
  <c r="O324" i="33" s="1"/>
  <c r="N219" i="33"/>
  <c r="O219" i="33" s="1"/>
  <c r="N124" i="33"/>
  <c r="O124" i="33" s="1"/>
  <c r="N653" i="33"/>
  <c r="O653" i="33" s="1"/>
  <c r="N427" i="33"/>
  <c r="O427" i="33" s="1"/>
  <c r="N300" i="33"/>
  <c r="O300" i="33" s="1"/>
  <c r="N213" i="33"/>
  <c r="O213" i="33" s="1"/>
  <c r="N73" i="33"/>
  <c r="O73" i="33" s="1"/>
  <c r="N433" i="33"/>
  <c r="O433" i="33" s="1"/>
  <c r="N282" i="33"/>
  <c r="O282" i="33" s="1"/>
  <c r="N166" i="33"/>
  <c r="O166" i="33" s="1"/>
  <c r="N47" i="33"/>
  <c r="O47" i="33" s="1"/>
  <c r="N474" i="33"/>
  <c r="O474" i="33" s="1"/>
  <c r="N242" i="33"/>
  <c r="O242" i="33" s="1"/>
  <c r="N122" i="33"/>
  <c r="O122" i="33" s="1"/>
  <c r="N621" i="33"/>
  <c r="O621" i="33" s="1"/>
  <c r="N434" i="33"/>
  <c r="O434" i="33" s="1"/>
  <c r="N360" i="33"/>
  <c r="O360" i="33" s="1"/>
  <c r="N283" i="33"/>
  <c r="O283" i="33" s="1"/>
  <c r="N164" i="33"/>
  <c r="O164" i="33" s="1"/>
  <c r="N172" i="33"/>
  <c r="O172" i="33" s="1"/>
  <c r="N465" i="33"/>
  <c r="O465" i="33" s="1"/>
  <c r="N368" i="33"/>
  <c r="O368" i="33" s="1"/>
  <c r="N4" i="33"/>
  <c r="O4" i="33" s="1"/>
  <c r="N469" i="33"/>
  <c r="O469" i="33" s="1"/>
  <c r="N248" i="33"/>
  <c r="O248" i="33" s="1"/>
  <c r="N2898" i="33"/>
  <c r="O2898" i="33" s="1"/>
  <c r="N2580" i="33"/>
  <c r="O2580" i="33" s="1"/>
  <c r="N2855" i="33"/>
  <c r="O2855" i="33" s="1"/>
  <c r="N2584" i="33"/>
  <c r="O2584" i="33" s="1"/>
  <c r="N2594" i="33"/>
  <c r="O2594" i="33" s="1"/>
  <c r="N2841" i="33"/>
  <c r="O2841" i="33" s="1"/>
  <c r="N2609" i="33"/>
  <c r="O2609" i="33" s="1"/>
  <c r="N2550" i="33"/>
  <c r="O2550" i="33" s="1"/>
  <c r="N2585" i="33"/>
  <c r="O2585" i="33" s="1"/>
  <c r="N2553" i="33"/>
  <c r="O2553" i="33" s="1"/>
  <c r="N2607" i="33"/>
  <c r="O2607" i="33" s="1"/>
  <c r="N2510" i="33"/>
  <c r="O2510" i="33" s="1"/>
  <c r="N2416" i="33"/>
  <c r="O2416" i="33" s="1"/>
  <c r="N2339" i="33"/>
  <c r="O2339" i="33" s="1"/>
  <c r="N2212" i="33"/>
  <c r="O2212" i="33" s="1"/>
  <c r="N2572" i="33"/>
  <c r="O2572" i="33" s="1"/>
  <c r="N2431" i="33"/>
  <c r="O2431" i="33" s="1"/>
  <c r="N2375" i="33"/>
  <c r="O2375" i="33" s="1"/>
  <c r="N2279" i="33"/>
  <c r="O2279" i="33" s="1"/>
  <c r="N2181" i="33"/>
  <c r="O2181" i="33" s="1"/>
  <c r="N2444" i="33"/>
  <c r="O2444" i="33" s="1"/>
  <c r="N2267" i="33"/>
  <c r="O2267" i="33" s="1"/>
  <c r="N2150" i="33"/>
  <c r="O2150" i="33" s="1"/>
  <c r="N2374" i="33"/>
  <c r="O2374" i="33" s="1"/>
  <c r="N2255" i="33"/>
  <c r="O2255" i="33" s="1"/>
  <c r="N2199" i="33"/>
  <c r="O2199" i="33" s="1"/>
  <c r="N2443" i="33"/>
  <c r="O2443" i="33" s="1"/>
  <c r="N2362" i="33"/>
  <c r="O2362" i="33" s="1"/>
  <c r="N2196" i="33"/>
  <c r="O2196" i="33" s="1"/>
  <c r="N2472" i="33"/>
  <c r="O2472" i="33" s="1"/>
  <c r="N2254" i="33"/>
  <c r="O2254" i="33" s="1"/>
  <c r="N2185" i="33"/>
  <c r="O2185" i="33" s="1"/>
  <c r="N1978" i="33"/>
  <c r="O1978" i="33" s="1"/>
  <c r="N1740" i="33"/>
  <c r="O1740" i="33" s="1"/>
  <c r="N2436" i="33"/>
  <c r="O2436" i="33" s="1"/>
  <c r="N1612" i="33"/>
  <c r="O1612" i="33" s="1"/>
  <c r="N2198" i="33"/>
  <c r="O2198" i="33" s="1"/>
  <c r="N1747" i="33"/>
  <c r="O1747" i="33" s="1"/>
  <c r="N2215" i="33"/>
  <c r="O2215" i="33" s="1"/>
  <c r="N1735" i="33"/>
  <c r="O1735" i="33" s="1"/>
  <c r="N2297" i="33"/>
  <c r="O2297" i="33" s="1"/>
  <c r="N1722" i="33"/>
  <c r="O1722" i="33" s="1"/>
  <c r="N1979" i="33"/>
  <c r="O1979" i="33" s="1"/>
  <c r="N1610" i="33"/>
  <c r="O1610" i="33" s="1"/>
  <c r="N1870" i="33"/>
  <c r="O1870" i="33" s="1"/>
  <c r="N1731" i="33"/>
  <c r="O1731" i="33" s="1"/>
  <c r="N1520" i="33"/>
  <c r="O1520" i="33" s="1"/>
  <c r="N1302" i="33"/>
  <c r="O1302" i="33" s="1"/>
  <c r="N1022" i="33"/>
  <c r="O1022" i="33" s="1"/>
  <c r="N1528" i="33"/>
  <c r="O1528" i="33" s="1"/>
  <c r="N1229" i="33"/>
  <c r="O1229" i="33" s="1"/>
  <c r="N1943" i="33"/>
  <c r="O1943" i="33" s="1"/>
  <c r="N1328" i="33"/>
  <c r="O1328" i="33" s="1"/>
  <c r="N1217" i="33"/>
  <c r="O1217" i="33" s="1"/>
  <c r="N1007" i="33"/>
  <c r="O1007" i="33" s="1"/>
  <c r="N1527" i="33"/>
  <c r="O1527" i="33" s="1"/>
  <c r="N1296" i="33"/>
  <c r="O1296" i="33" s="1"/>
  <c r="N1042" i="33"/>
  <c r="O1042" i="33" s="1"/>
  <c r="N1531" i="33"/>
  <c r="O1531" i="33" s="1"/>
  <c r="N1310" i="33"/>
  <c r="O1310" i="33" s="1"/>
  <c r="N1224" i="33"/>
  <c r="O1224" i="33" s="1"/>
  <c r="N1001" i="33"/>
  <c r="O1001" i="33" s="1"/>
  <c r="N1466" i="33"/>
  <c r="O1466" i="33" s="1"/>
  <c r="N1292" i="33"/>
  <c r="O1292" i="33" s="1"/>
  <c r="N1000" i="33"/>
  <c r="O1000" i="33" s="1"/>
  <c r="N1278" i="33"/>
  <c r="O1278" i="33" s="1"/>
  <c r="N1006" i="33"/>
  <c r="O1006" i="33" s="1"/>
  <c r="N898" i="33"/>
  <c r="O898" i="33" s="1"/>
  <c r="N704" i="33"/>
  <c r="O704" i="33" s="1"/>
  <c r="N672" i="33"/>
  <c r="O672" i="33" s="1"/>
  <c r="N592" i="33"/>
  <c r="O592" i="33" s="1"/>
  <c r="N764" i="33"/>
  <c r="O764" i="33" s="1"/>
  <c r="N726" i="33"/>
  <c r="O726" i="33" s="1"/>
  <c r="N562" i="33"/>
  <c r="O562" i="33" s="1"/>
  <c r="N928" i="33"/>
  <c r="O928" i="33" s="1"/>
  <c r="N751" i="33"/>
  <c r="O751" i="33" s="1"/>
  <c r="N695" i="33"/>
  <c r="O695" i="33" s="1"/>
  <c r="N663" i="33"/>
  <c r="O663" i="33" s="1"/>
  <c r="N896" i="33"/>
  <c r="O896" i="33" s="1"/>
  <c r="N617" i="33"/>
  <c r="O617" i="33" s="1"/>
  <c r="N1726" i="33"/>
  <c r="O1726" i="33" s="1"/>
  <c r="N916" i="33"/>
  <c r="O916" i="33" s="1"/>
  <c r="N706" i="33"/>
  <c r="O706" i="33" s="1"/>
  <c r="N674" i="33"/>
  <c r="O674" i="33" s="1"/>
  <c r="N577" i="33"/>
  <c r="O577" i="33" s="1"/>
  <c r="N925" i="33"/>
  <c r="O925" i="33" s="1"/>
  <c r="N759" i="33"/>
  <c r="O759" i="33" s="1"/>
  <c r="N701" i="33"/>
  <c r="O701" i="33" s="1"/>
  <c r="N669" i="33"/>
  <c r="O669" i="33" s="1"/>
  <c r="N529" i="33"/>
  <c r="O529" i="33" s="1"/>
  <c r="N985" i="33"/>
  <c r="O985" i="33" s="1"/>
  <c r="N625" i="33"/>
  <c r="O625" i="33" s="1"/>
  <c r="N601" i="33"/>
  <c r="O601" i="33" s="1"/>
  <c r="N260" i="33"/>
  <c r="O260" i="33" s="1"/>
  <c r="N130" i="33"/>
  <c r="O130" i="33" s="1"/>
  <c r="N63" i="33"/>
  <c r="O63" i="33" s="1"/>
  <c r="N553" i="33"/>
  <c r="O553" i="33" s="1"/>
  <c r="N387" i="33"/>
  <c r="O387" i="33" s="1"/>
  <c r="N315" i="33"/>
  <c r="O315" i="33" s="1"/>
  <c r="N183" i="33"/>
  <c r="O183" i="33" s="1"/>
  <c r="N81" i="33"/>
  <c r="O81" i="33" s="1"/>
  <c r="N632" i="33"/>
  <c r="O632" i="33" s="1"/>
  <c r="N413" i="33"/>
  <c r="O413" i="33" s="1"/>
  <c r="N297" i="33"/>
  <c r="O297" i="33" s="1"/>
  <c r="N186" i="33"/>
  <c r="O186" i="33" s="1"/>
  <c r="N70" i="33"/>
  <c r="O70" i="33" s="1"/>
  <c r="N423" i="33"/>
  <c r="O423" i="33" s="1"/>
  <c r="N279" i="33"/>
  <c r="O279" i="33" s="1"/>
  <c r="N140" i="33"/>
  <c r="O140" i="33" s="1"/>
  <c r="N35" i="33"/>
  <c r="O35" i="33" s="1"/>
  <c r="N363" i="33"/>
  <c r="O363" i="33" s="1"/>
  <c r="N234" i="33"/>
  <c r="O234" i="33" s="1"/>
  <c r="N113" i="33"/>
  <c r="O113" i="33" s="1"/>
  <c r="N589" i="33"/>
  <c r="O589" i="33" s="1"/>
  <c r="N431" i="33"/>
  <c r="O431" i="33" s="1"/>
  <c r="N357" i="33"/>
  <c r="O357" i="33" s="1"/>
  <c r="N229" i="33"/>
  <c r="O229" i="33" s="1"/>
  <c r="N597" i="33"/>
  <c r="O597" i="33" s="1"/>
  <c r="N119" i="33"/>
  <c r="O119" i="33" s="1"/>
  <c r="N373" i="33"/>
  <c r="O373" i="33" s="1"/>
  <c r="N306" i="33"/>
  <c r="O306" i="33" s="1"/>
  <c r="N432" i="33"/>
  <c r="O432" i="33" s="1"/>
  <c r="N165" i="33"/>
  <c r="O165" i="33" s="1"/>
  <c r="N2893" i="33"/>
  <c r="O2893" i="33" s="1"/>
  <c r="N2847" i="33"/>
  <c r="O2847" i="33" s="1"/>
  <c r="N2590" i="33"/>
  <c r="O2590" i="33" s="1"/>
  <c r="N2513" i="33"/>
  <c r="O2513" i="33" s="1"/>
  <c r="N2545" i="33"/>
  <c r="O2545" i="33" s="1"/>
  <c r="N2894" i="33"/>
  <c r="O2894" i="33" s="1"/>
  <c r="N2596" i="33"/>
  <c r="O2596" i="33" s="1"/>
  <c r="N2491" i="33"/>
  <c r="O2491" i="33" s="1"/>
  <c r="N2294" i="33"/>
  <c r="O2294" i="33" s="1"/>
  <c r="N2195" i="33"/>
  <c r="O2195" i="33" s="1"/>
  <c r="N2547" i="33"/>
  <c r="O2547" i="33" s="1"/>
  <c r="N2421" i="33"/>
  <c r="O2421" i="33" s="1"/>
  <c r="N2275" i="33"/>
  <c r="O2275" i="33" s="1"/>
  <c r="N2169" i="33"/>
  <c r="O2169" i="33" s="1"/>
  <c r="N2435" i="33"/>
  <c r="O2435" i="33" s="1"/>
  <c r="N2263" i="33"/>
  <c r="O2263" i="33" s="1"/>
  <c r="N2845" i="33"/>
  <c r="O2845" i="33" s="1"/>
  <c r="N2523" i="33"/>
  <c r="O2523" i="33" s="1"/>
  <c r="N2251" i="33"/>
  <c r="O2251" i="33" s="1"/>
  <c r="N2191" i="33"/>
  <c r="O2191" i="33" s="1"/>
  <c r="N2429" i="33"/>
  <c r="O2429" i="33" s="1"/>
  <c r="N2341" i="33"/>
  <c r="O2341" i="33" s="1"/>
  <c r="N2188" i="33"/>
  <c r="O2188" i="33" s="1"/>
  <c r="N2467" i="33"/>
  <c r="O2467" i="33" s="1"/>
  <c r="N2250" i="33"/>
  <c r="O2250" i="33" s="1"/>
  <c r="N2166" i="33"/>
  <c r="O2166" i="33" s="1"/>
  <c r="N1955" i="33"/>
  <c r="O1955" i="33" s="1"/>
  <c r="N1721" i="33"/>
  <c r="O1721" i="33" s="1"/>
  <c r="N2406" i="33"/>
  <c r="O2406" i="33" s="1"/>
  <c r="N1733" i="33"/>
  <c r="O1733" i="33" s="1"/>
  <c r="N2182" i="33"/>
  <c r="O2182" i="33" s="1"/>
  <c r="N1742" i="33"/>
  <c r="O1742" i="33" s="1"/>
  <c r="N2192" i="33"/>
  <c r="O2192" i="33" s="1"/>
  <c r="N1732" i="33"/>
  <c r="O1732" i="33" s="1"/>
  <c r="N2245" i="33"/>
  <c r="O2245" i="33" s="1"/>
  <c r="N1951" i="33"/>
  <c r="O1951" i="33" s="1"/>
  <c r="N2495" i="33"/>
  <c r="O2495" i="33" s="1"/>
  <c r="N1854" i="33"/>
  <c r="O1854" i="33" s="1"/>
  <c r="N1497" i="33"/>
  <c r="O1497" i="33" s="1"/>
  <c r="N1281" i="33"/>
  <c r="O1281" i="33" s="1"/>
  <c r="N1017" i="33"/>
  <c r="O1017" i="33" s="1"/>
  <c r="N1222" i="33"/>
  <c r="O1222" i="33" s="1"/>
  <c r="N1866" i="33"/>
  <c r="O1866" i="33" s="1"/>
  <c r="N1319" i="33"/>
  <c r="O1319" i="33" s="1"/>
  <c r="N1190" i="33"/>
  <c r="O1190" i="33" s="1"/>
  <c r="N1002" i="33"/>
  <c r="O1002" i="33" s="1"/>
  <c r="N1519" i="33"/>
  <c r="O1519" i="33" s="1"/>
  <c r="N1293" i="33"/>
  <c r="O1293" i="33" s="1"/>
  <c r="N1033" i="33"/>
  <c r="O1033" i="33" s="1"/>
  <c r="N1304" i="33"/>
  <c r="O1304" i="33" s="1"/>
  <c r="N1184" i="33"/>
  <c r="O1184" i="33" s="1"/>
  <c r="N986" i="33"/>
  <c r="O986" i="33" s="1"/>
  <c r="N1463" i="33"/>
  <c r="O1463" i="33" s="1"/>
  <c r="N1290" i="33"/>
  <c r="O1290" i="33" s="1"/>
  <c r="N1759" i="33"/>
  <c r="O1759" i="33" s="1"/>
  <c r="N1242" i="33"/>
  <c r="O1242" i="33" s="1"/>
  <c r="N999" i="33"/>
  <c r="O999" i="33" s="1"/>
  <c r="N888" i="33"/>
  <c r="O888" i="33" s="1"/>
  <c r="N700" i="33"/>
  <c r="O700" i="33" s="1"/>
  <c r="N668" i="33"/>
  <c r="O668" i="33" s="1"/>
  <c r="N588" i="33"/>
  <c r="O588" i="33" s="1"/>
  <c r="N761" i="33"/>
  <c r="O761" i="33" s="1"/>
  <c r="N715" i="33"/>
  <c r="O715" i="33" s="1"/>
  <c r="N536" i="33"/>
  <c r="O536" i="33" s="1"/>
  <c r="N917" i="33"/>
  <c r="O917" i="33" s="1"/>
  <c r="N738" i="33"/>
  <c r="O738" i="33" s="1"/>
  <c r="N691" i="33"/>
  <c r="O691" i="33" s="1"/>
  <c r="N659" i="33"/>
  <c r="O659" i="33" s="1"/>
  <c r="N891" i="33"/>
  <c r="O891" i="33" s="1"/>
  <c r="N606" i="33"/>
  <c r="O606" i="33" s="1"/>
  <c r="N1162" i="33"/>
  <c r="O1162" i="33" s="1"/>
  <c r="N905" i="33"/>
  <c r="O905" i="33" s="1"/>
  <c r="N702" i="33"/>
  <c r="O702" i="33" s="1"/>
  <c r="N670" i="33"/>
  <c r="O670" i="33" s="1"/>
  <c r="N573" i="33"/>
  <c r="O573" i="33" s="1"/>
  <c r="N920" i="33"/>
  <c r="O920" i="33" s="1"/>
  <c r="N746" i="33"/>
  <c r="O746" i="33" s="1"/>
  <c r="N697" i="33"/>
  <c r="O697" i="33" s="1"/>
  <c r="N665" i="33"/>
  <c r="O665" i="33" s="1"/>
  <c r="N954" i="33"/>
  <c r="O954" i="33" s="1"/>
  <c r="N614" i="33"/>
  <c r="O614" i="33" s="1"/>
  <c r="N500" i="33"/>
  <c r="O500" i="33" s="1"/>
  <c r="N245" i="33"/>
  <c r="O245" i="33" s="1"/>
  <c r="N121" i="33"/>
  <c r="O121" i="33" s="1"/>
  <c r="N50" i="33"/>
  <c r="O50" i="33" s="1"/>
  <c r="N544" i="33"/>
  <c r="O544" i="33" s="1"/>
  <c r="N374" i="33"/>
  <c r="O374" i="33" s="1"/>
  <c r="N303" i="33"/>
  <c r="O303" i="33" s="1"/>
  <c r="N173" i="33"/>
  <c r="O173" i="33" s="1"/>
  <c r="N37" i="33"/>
  <c r="O37" i="33" s="1"/>
  <c r="N593" i="33"/>
  <c r="O593" i="33" s="1"/>
  <c r="N383" i="33"/>
  <c r="O383" i="33" s="1"/>
  <c r="N294" i="33"/>
  <c r="O294" i="33" s="1"/>
  <c r="N179" i="33"/>
  <c r="O179" i="33" s="1"/>
  <c r="N58" i="33"/>
  <c r="O58" i="33" s="1"/>
  <c r="N420" i="33"/>
  <c r="O420" i="33" s="1"/>
  <c r="N274" i="33"/>
  <c r="O274" i="33" s="1"/>
  <c r="N137" i="33"/>
  <c r="O137" i="33" s="1"/>
  <c r="N24" i="33"/>
  <c r="O24" i="33" s="1"/>
  <c r="N351" i="33"/>
  <c r="O351" i="33" s="1"/>
  <c r="N190" i="33"/>
  <c r="O190" i="33" s="1"/>
  <c r="N75" i="33"/>
  <c r="O75" i="33" s="1"/>
  <c r="N545" i="33"/>
  <c r="O545" i="33" s="1"/>
  <c r="N422" i="33"/>
  <c r="O422" i="33" s="1"/>
  <c r="N343" i="33"/>
  <c r="O343" i="33" s="1"/>
  <c r="N220" i="33"/>
  <c r="O220" i="33" s="1"/>
  <c r="N542" i="33"/>
  <c r="O542" i="33" s="1"/>
  <c r="N79" i="33"/>
  <c r="O79" i="33" s="1"/>
  <c r="N352" i="33"/>
  <c r="O352" i="33" s="1"/>
  <c r="N235" i="33"/>
  <c r="O235" i="33" s="1"/>
  <c r="N361" i="33"/>
  <c r="O361" i="33" s="1"/>
  <c r="N128" i="33"/>
  <c r="O128" i="33" s="1"/>
  <c r="N2608" i="33"/>
  <c r="O2608" i="33" s="1"/>
  <c r="N2551" i="33"/>
  <c r="O2551" i="33" s="1"/>
  <c r="N2844" i="33"/>
  <c r="O2844" i="33" s="1"/>
  <c r="N2897" i="33"/>
  <c r="O2897" i="33" s="1"/>
  <c r="N2586" i="33"/>
  <c r="O2586" i="33" s="1"/>
  <c r="N2509" i="33"/>
  <c r="O2509" i="33" s="1"/>
  <c r="N2499" i="33"/>
  <c r="O2499" i="33" s="1"/>
  <c r="N2568" i="33"/>
  <c r="O2568" i="33" s="1"/>
  <c r="N2891" i="33"/>
  <c r="O2891" i="33" s="1"/>
  <c r="N2592" i="33"/>
  <c r="O2592" i="33" s="1"/>
  <c r="N2484" i="33"/>
  <c r="O2484" i="33" s="1"/>
  <c r="N2387" i="33"/>
  <c r="O2387" i="33" s="1"/>
  <c r="N2283" i="33"/>
  <c r="O2283" i="33" s="1"/>
  <c r="N2187" i="33"/>
  <c r="O2187" i="33" s="1"/>
  <c r="N2415" i="33"/>
  <c r="O2415" i="33" s="1"/>
  <c r="N2271" i="33"/>
  <c r="O2271" i="33" s="1"/>
  <c r="N2398" i="33"/>
  <c r="O2398" i="33" s="1"/>
  <c r="N2248" i="33"/>
  <c r="O2248" i="33" s="1"/>
  <c r="N2493" i="33"/>
  <c r="O2493" i="33" s="1"/>
  <c r="N2348" i="33"/>
  <c r="O2348" i="33" s="1"/>
  <c r="N2237" i="33"/>
  <c r="O2237" i="33" s="1"/>
  <c r="N2183" i="33"/>
  <c r="O2183" i="33" s="1"/>
  <c r="N2407" i="33"/>
  <c r="O2407" i="33" s="1"/>
  <c r="N2299" i="33"/>
  <c r="O2299" i="33" s="1"/>
  <c r="N2887" i="33"/>
  <c r="O2887" i="33" s="1"/>
  <c r="N2463" i="33"/>
  <c r="O2463" i="33" s="1"/>
  <c r="N2383" i="33"/>
  <c r="O2383" i="33" s="1"/>
  <c r="N2241" i="33"/>
  <c r="O2241" i="33" s="1"/>
  <c r="N1869" i="33"/>
  <c r="O1869" i="33" s="1"/>
  <c r="N2399" i="33"/>
  <c r="O2399" i="33" s="1"/>
  <c r="N1729" i="33"/>
  <c r="O1729" i="33" s="1"/>
  <c r="N1980" i="33"/>
  <c r="O1980" i="33" s="1"/>
  <c r="N2142" i="33"/>
  <c r="O2142" i="33" s="1"/>
  <c r="N1728" i="33"/>
  <c r="O1728" i="33" s="1"/>
  <c r="N2208" i="33"/>
  <c r="O2208" i="33" s="1"/>
  <c r="N1867" i="33"/>
  <c r="O1867" i="33" s="1"/>
  <c r="N2470" i="33"/>
  <c r="O2470" i="33" s="1"/>
  <c r="N1850" i="33"/>
  <c r="O1850" i="33" s="1"/>
  <c r="N1462" i="33"/>
  <c r="O1462" i="33" s="1"/>
  <c r="N1266" i="33"/>
  <c r="O1266" i="33" s="1"/>
  <c r="N1008" i="33"/>
  <c r="O1008" i="33" s="1"/>
  <c r="N1469" i="33"/>
  <c r="O1469" i="33" s="1"/>
  <c r="N1214" i="33"/>
  <c r="O1214" i="33" s="1"/>
  <c r="N1545" i="33"/>
  <c r="O1545" i="33" s="1"/>
  <c r="N1307" i="33"/>
  <c r="O1307" i="33" s="1"/>
  <c r="N1185" i="33"/>
  <c r="O1185" i="33" s="1"/>
  <c r="N990" i="33"/>
  <c r="O990" i="33" s="1"/>
  <c r="N1271" i="33"/>
  <c r="O1271" i="33" s="1"/>
  <c r="N1024" i="33"/>
  <c r="O1024" i="33" s="1"/>
  <c r="N1288" i="33"/>
  <c r="O1288" i="33" s="1"/>
  <c r="N1171" i="33"/>
  <c r="O1171" i="33" s="1"/>
  <c r="N1326" i="33"/>
  <c r="O1326" i="33" s="1"/>
  <c r="N1249" i="33"/>
  <c r="O1249" i="33" s="1"/>
  <c r="N1624" i="33"/>
  <c r="O1624" i="33" s="1"/>
  <c r="N1236" i="33"/>
  <c r="O1236" i="33" s="1"/>
  <c r="N966" i="33"/>
  <c r="O966" i="33" s="1"/>
  <c r="N883" i="33"/>
  <c r="O883" i="33" s="1"/>
  <c r="N696" i="33"/>
  <c r="O696" i="33" s="1"/>
  <c r="N664" i="33"/>
  <c r="O664" i="33" s="1"/>
  <c r="N555" i="33"/>
  <c r="O555" i="33" s="1"/>
  <c r="N758" i="33"/>
  <c r="O758" i="33" s="1"/>
  <c r="N656" i="33"/>
  <c r="O656" i="33" s="1"/>
  <c r="N528" i="33"/>
  <c r="O528" i="33" s="1"/>
  <c r="N912" i="33"/>
  <c r="O912" i="33" s="1"/>
  <c r="N735" i="33"/>
  <c r="O735" i="33" s="1"/>
  <c r="N687" i="33"/>
  <c r="O687" i="33" s="1"/>
  <c r="N650" i="33"/>
  <c r="O650" i="33" s="1"/>
  <c r="N760" i="33"/>
  <c r="O760" i="33" s="1"/>
  <c r="N569" i="33"/>
  <c r="O569" i="33" s="1"/>
  <c r="N1023" i="33"/>
  <c r="O1023" i="33" s="1"/>
  <c r="N885" i="33"/>
  <c r="O885" i="33" s="1"/>
  <c r="N698" i="33"/>
  <c r="O698" i="33" s="1"/>
  <c r="N666" i="33"/>
  <c r="O666" i="33" s="1"/>
  <c r="N564" i="33"/>
  <c r="O564" i="33" s="1"/>
  <c r="N909" i="33"/>
  <c r="O909" i="33" s="1"/>
  <c r="N743" i="33"/>
  <c r="O743" i="33" s="1"/>
  <c r="N693" i="33"/>
  <c r="O693" i="33" s="1"/>
  <c r="N661" i="33"/>
  <c r="O661" i="33" s="1"/>
  <c r="N1306" i="33"/>
  <c r="O1306" i="33" s="1"/>
  <c r="N893" i="33"/>
  <c r="O893" i="33" s="1"/>
  <c r="N609" i="33"/>
  <c r="O609" i="33" s="1"/>
  <c r="N480" i="33"/>
  <c r="O480" i="33" s="1"/>
  <c r="N241" i="33"/>
  <c r="O241" i="33" s="1"/>
  <c r="N118" i="33"/>
  <c r="O118" i="33" s="1"/>
  <c r="N26" i="33"/>
  <c r="O26" i="33" s="1"/>
  <c r="N477" i="33"/>
  <c r="O477" i="33" s="1"/>
  <c r="N365" i="33"/>
  <c r="O365" i="33" s="1"/>
  <c r="N290" i="33"/>
  <c r="O290" i="33" s="1"/>
  <c r="N170" i="33"/>
  <c r="O170" i="33" s="1"/>
  <c r="N766" i="33"/>
  <c r="O766" i="33" s="1"/>
  <c r="N499" i="33"/>
  <c r="O499" i="33" s="1"/>
  <c r="N371" i="33"/>
  <c r="O371" i="33" s="1"/>
  <c r="N259" i="33"/>
  <c r="O259" i="33" s="1"/>
  <c r="N176" i="33"/>
  <c r="O176" i="33" s="1"/>
  <c r="N19" i="33"/>
  <c r="O19" i="33" s="1"/>
  <c r="N416" i="33"/>
  <c r="O416" i="33" s="1"/>
  <c r="N266" i="33"/>
  <c r="O266" i="33" s="1"/>
  <c r="N123" i="33"/>
  <c r="O123" i="33" s="1"/>
  <c r="N1177" i="33"/>
  <c r="O1177" i="33" s="1"/>
  <c r="N281" i="33"/>
  <c r="O281" i="33" s="1"/>
  <c r="N181" i="33"/>
  <c r="O181" i="33" s="1"/>
  <c r="N72" i="33"/>
  <c r="O72" i="33" s="1"/>
  <c r="N497" i="33"/>
  <c r="O497" i="33" s="1"/>
  <c r="N411" i="33"/>
  <c r="O411" i="33" s="1"/>
  <c r="N313" i="33"/>
  <c r="O313" i="33" s="1"/>
  <c r="N217" i="33"/>
  <c r="O217" i="33" s="1"/>
  <c r="N498" i="33"/>
  <c r="O498" i="33" s="1"/>
  <c r="N45" i="33"/>
  <c r="O45" i="33" s="1"/>
  <c r="N215" i="33"/>
  <c r="O215" i="33" s="1"/>
  <c r="N185" i="33"/>
  <c r="O185" i="33" s="1"/>
  <c r="N355" i="33"/>
  <c r="O355" i="33" s="1"/>
  <c r="N34" i="33"/>
  <c r="O34" i="33" s="1"/>
  <c r="N2890" i="33"/>
  <c r="O2890" i="33" s="1"/>
  <c r="N2892" i="33"/>
  <c r="O2892" i="33" s="1"/>
  <c r="N2601" i="33"/>
  <c r="O2601" i="33" s="1"/>
  <c r="N2888" i="33"/>
  <c r="O2888" i="33" s="1"/>
  <c r="N2600" i="33"/>
  <c r="O2600" i="33" s="1"/>
  <c r="N2884" i="33"/>
  <c r="O2884" i="33" s="1"/>
  <c r="N2588" i="33"/>
  <c r="O2588" i="33" s="1"/>
  <c r="N2466" i="33"/>
  <c r="O2466" i="33" s="1"/>
  <c r="N2382" i="33"/>
  <c r="O2382" i="33" s="1"/>
  <c r="N2280" i="33"/>
  <c r="O2280" i="33" s="1"/>
  <c r="N2177" i="33"/>
  <c r="O2177" i="33" s="1"/>
  <c r="N2404" i="33"/>
  <c r="O2404" i="33" s="1"/>
  <c r="N2344" i="33"/>
  <c r="O2344" i="33" s="1"/>
  <c r="N2252" i="33"/>
  <c r="O2252" i="33" s="1"/>
  <c r="N2389" i="33"/>
  <c r="O2389" i="33" s="1"/>
  <c r="N2233" i="33"/>
  <c r="O2233" i="33" s="1"/>
  <c r="N2331" i="33"/>
  <c r="O2331" i="33" s="1"/>
  <c r="N2229" i="33"/>
  <c r="O2229" i="33" s="1"/>
  <c r="N2174" i="33"/>
  <c r="O2174" i="33" s="1"/>
  <c r="N2397" i="33"/>
  <c r="O2397" i="33" s="1"/>
  <c r="N2281" i="33"/>
  <c r="O2281" i="33" s="1"/>
  <c r="N2603" i="33"/>
  <c r="O2603" i="33" s="1"/>
  <c r="N2447" i="33"/>
  <c r="O2447" i="33" s="1"/>
  <c r="N2373" i="33"/>
  <c r="O2373" i="33" s="1"/>
  <c r="N2232" i="33"/>
  <c r="O2232" i="33" s="1"/>
  <c r="N2505" i="33"/>
  <c r="O2505" i="33" s="1"/>
  <c r="N1856" i="33"/>
  <c r="O1856" i="33" s="1"/>
  <c r="N1700" i="33"/>
  <c r="O1700" i="33" s="1"/>
  <c r="N2333" i="33"/>
  <c r="O2333" i="33" s="1"/>
  <c r="N2428" i="33"/>
  <c r="O2428" i="33" s="1"/>
  <c r="N1947" i="33"/>
  <c r="O1947" i="33" s="1"/>
  <c r="N1977" i="33"/>
  <c r="O1977" i="33" s="1"/>
  <c r="N2153" i="33"/>
  <c r="O2153" i="33" s="1"/>
  <c r="N2329" i="33"/>
  <c r="O2329" i="33" s="1"/>
  <c r="N1787" i="33"/>
  <c r="O1787" i="33" s="1"/>
  <c r="N1630" i="33"/>
  <c r="O1630" i="33" s="1"/>
  <c r="N1459" i="33"/>
  <c r="O1459" i="33" s="1"/>
  <c r="N1256" i="33"/>
  <c r="O1256" i="33" s="1"/>
  <c r="N2200" i="33"/>
  <c r="O2200" i="33" s="1"/>
  <c r="N1465" i="33"/>
  <c r="O1465" i="33" s="1"/>
  <c r="N1179" i="33"/>
  <c r="O1179" i="33" s="1"/>
  <c r="N1298" i="33"/>
  <c r="O1298" i="33" s="1"/>
  <c r="N1169" i="33"/>
  <c r="O1169" i="33" s="1"/>
  <c r="N987" i="33"/>
  <c r="O987" i="33" s="1"/>
  <c r="N1255" i="33"/>
  <c r="O1255" i="33" s="1"/>
  <c r="N998" i="33"/>
  <c r="O998" i="33" s="1"/>
  <c r="N1468" i="33"/>
  <c r="O1468" i="33" s="1"/>
  <c r="N1280" i="33"/>
  <c r="O1280" i="33" s="1"/>
  <c r="N1159" i="33"/>
  <c r="O1159" i="33" s="1"/>
  <c r="N2437" i="33"/>
  <c r="O2437" i="33" s="1"/>
  <c r="N1317" i="33"/>
  <c r="O1317" i="33" s="1"/>
  <c r="N1215" i="33"/>
  <c r="O1215" i="33" s="1"/>
  <c r="N1456" i="33"/>
  <c r="O1456" i="33" s="1"/>
  <c r="N1227" i="33"/>
  <c r="O1227" i="33" s="1"/>
  <c r="N934" i="33"/>
  <c r="O934" i="33" s="1"/>
  <c r="N879" i="33"/>
  <c r="O879" i="33" s="1"/>
  <c r="N692" i="33"/>
  <c r="O692" i="33" s="1"/>
  <c r="N660" i="33"/>
  <c r="O660" i="33" s="1"/>
  <c r="N1300" i="33"/>
  <c r="O1300" i="33" s="1"/>
  <c r="N748" i="33"/>
  <c r="O748" i="33" s="1"/>
  <c r="N645" i="33"/>
  <c r="O645" i="33" s="1"/>
  <c r="N1457" i="33"/>
  <c r="O1457" i="33" s="1"/>
  <c r="N901" i="33"/>
  <c r="O901" i="33" s="1"/>
  <c r="N720" i="33"/>
  <c r="O720" i="33" s="1"/>
  <c r="N683" i="33"/>
  <c r="O683" i="33" s="1"/>
  <c r="N634" i="33"/>
  <c r="O634" i="33" s="1"/>
  <c r="N757" i="33"/>
  <c r="O757" i="33" s="1"/>
  <c r="N561" i="33"/>
  <c r="O561" i="33" s="1"/>
  <c r="N991" i="33"/>
  <c r="O991" i="33" s="1"/>
  <c r="N881" i="33"/>
  <c r="O881" i="33" s="1"/>
  <c r="N694" i="33"/>
  <c r="O694" i="33" s="1"/>
  <c r="N662" i="33"/>
  <c r="O662" i="33" s="1"/>
  <c r="N535" i="33"/>
  <c r="O535" i="33" s="1"/>
  <c r="N904" i="33"/>
  <c r="O904" i="33" s="1"/>
  <c r="N730" i="33"/>
  <c r="O730" i="33" s="1"/>
  <c r="N689" i="33"/>
  <c r="O689" i="33" s="1"/>
  <c r="N642" i="33"/>
  <c r="O642" i="33" s="1"/>
  <c r="N1246" i="33"/>
  <c r="O1246" i="33" s="1"/>
  <c r="N765" i="33"/>
  <c r="O765" i="33" s="1"/>
  <c r="N584" i="33"/>
  <c r="O584" i="33" s="1"/>
  <c r="N437" i="33"/>
  <c r="O437" i="33" s="1"/>
  <c r="N189" i="33"/>
  <c r="O189" i="33" s="1"/>
  <c r="N115" i="33"/>
  <c r="O115" i="33" s="1"/>
  <c r="N20" i="33"/>
  <c r="O20" i="33" s="1"/>
  <c r="N468" i="33"/>
  <c r="O468" i="33" s="1"/>
  <c r="N362" i="33"/>
  <c r="O362" i="33" s="1"/>
  <c r="N275" i="33"/>
  <c r="O275" i="33" s="1"/>
  <c r="N167" i="33"/>
  <c r="O167" i="33" s="1"/>
  <c r="N753" i="33"/>
  <c r="O753" i="33" s="1"/>
  <c r="N482" i="33"/>
  <c r="O482" i="33" s="1"/>
  <c r="N359" i="33"/>
  <c r="O359" i="33" s="1"/>
  <c r="N240" i="33"/>
  <c r="O240" i="33" s="1"/>
  <c r="N163" i="33"/>
  <c r="O163" i="33" s="1"/>
  <c r="N1041" i="33"/>
  <c r="O1041" i="33" s="1"/>
  <c r="N409" i="33"/>
  <c r="O409" i="33" s="1"/>
  <c r="N247" i="33"/>
  <c r="O247" i="33" s="1"/>
  <c r="N120" i="33"/>
  <c r="O120" i="33" s="1"/>
  <c r="N756" i="33"/>
  <c r="O756" i="33" s="1"/>
  <c r="N273" i="33"/>
  <c r="O273" i="33" s="1"/>
  <c r="N174" i="33"/>
  <c r="O174" i="33" s="1"/>
  <c r="N38" i="33"/>
  <c r="O38" i="33" s="1"/>
  <c r="N483" i="33"/>
  <c r="O483" i="33" s="1"/>
  <c r="N407" i="33"/>
  <c r="O407" i="33" s="1"/>
  <c r="N308" i="33"/>
  <c r="O308" i="33" s="1"/>
  <c r="N214" i="33"/>
  <c r="O214" i="33" s="1"/>
  <c r="N481" i="33"/>
  <c r="O481" i="33" s="1"/>
  <c r="N15" i="33"/>
  <c r="O15" i="33" s="1"/>
  <c r="N136" i="33"/>
  <c r="O136" i="33" s="1"/>
  <c r="N175" i="33"/>
  <c r="O175" i="33" s="1"/>
  <c r="N2883" i="33"/>
  <c r="O2883" i="33" s="1"/>
  <c r="N2599" i="33"/>
  <c r="O2599" i="33" s="1"/>
  <c r="N2606" i="33"/>
  <c r="O2606" i="33" s="1"/>
  <c r="N2882" i="33"/>
  <c r="O2882" i="33" s="1"/>
  <c r="N2605" i="33"/>
  <c r="O2605" i="33" s="1"/>
  <c r="N2881" i="33"/>
  <c r="O2881" i="33" s="1"/>
  <c r="N2874" i="33"/>
  <c r="O2874" i="33" s="1"/>
  <c r="N2567" i="33"/>
  <c r="O2567" i="33" s="1"/>
  <c r="N2446" i="33"/>
  <c r="O2446" i="33" s="1"/>
  <c r="N2372" i="33"/>
  <c r="O2372" i="33" s="1"/>
  <c r="N2276" i="33"/>
  <c r="O2276" i="33" s="1"/>
  <c r="N2473" i="33"/>
  <c r="O2473" i="33" s="1"/>
  <c r="N2393" i="33"/>
  <c r="O2393" i="33" s="1"/>
  <c r="N2327" i="33"/>
  <c r="O2327" i="33" s="1"/>
  <c r="N2244" i="33"/>
  <c r="O2244" i="33" s="1"/>
  <c r="N2364" i="33"/>
  <c r="O2364" i="33" s="1"/>
  <c r="N2225" i="33"/>
  <c r="O2225" i="33" s="1"/>
  <c r="N2439" i="33"/>
  <c r="O2439" i="33" s="1"/>
  <c r="N2296" i="33"/>
  <c r="O2296" i="33" s="1"/>
  <c r="N2220" i="33"/>
  <c r="O2220" i="33" s="1"/>
  <c r="N2161" i="33"/>
  <c r="O2161" i="33" s="1"/>
  <c r="N2506" i="33"/>
  <c r="O2506" i="33" s="1"/>
  <c r="N2388" i="33"/>
  <c r="O2388" i="33" s="1"/>
  <c r="N2262" i="33"/>
  <c r="O2262" i="33" s="1"/>
  <c r="N2575" i="33"/>
  <c r="O2575" i="33" s="1"/>
  <c r="N2433" i="33"/>
  <c r="O2433" i="33" s="1"/>
  <c r="N2216" i="33"/>
  <c r="O2216" i="33" s="1"/>
  <c r="N1765" i="33"/>
  <c r="O1765" i="33" s="1"/>
  <c r="N1618" i="33"/>
  <c r="O1618" i="33" s="1"/>
  <c r="N2272" i="33"/>
  <c r="O2272" i="33" s="1"/>
  <c r="N1942" i="33"/>
  <c r="O1942" i="33" s="1"/>
  <c r="N1959" i="33"/>
  <c r="O1959" i="33" s="1"/>
  <c r="N1646" i="33"/>
  <c r="O1646" i="33" s="1"/>
  <c r="N1971" i="33"/>
  <c r="O1971" i="33" s="1"/>
  <c r="N1626" i="33"/>
  <c r="O1626" i="33" s="1"/>
  <c r="N2258" i="33"/>
  <c r="O2258" i="33" s="1"/>
  <c r="N1762" i="33"/>
  <c r="O1762" i="33" s="1"/>
  <c r="N1614" i="33"/>
  <c r="O1614" i="33" s="1"/>
  <c r="N1453" i="33"/>
  <c r="O1453" i="33" s="1"/>
  <c r="N1245" i="33"/>
  <c r="O1245" i="33" s="1"/>
  <c r="N1975" i="33"/>
  <c r="O1975" i="33" s="1"/>
  <c r="N1311" i="33"/>
  <c r="O1311" i="33" s="1"/>
  <c r="N1167" i="33"/>
  <c r="O1167" i="33" s="1"/>
  <c r="N1523" i="33"/>
  <c r="O1523" i="33" s="1"/>
  <c r="N1291" i="33"/>
  <c r="O1291" i="33" s="1"/>
  <c r="N1163" i="33"/>
  <c r="O1163" i="33" s="1"/>
  <c r="N2268" i="33"/>
  <c r="O2268" i="33" s="1"/>
  <c r="N1496" i="33"/>
  <c r="O1496" i="33" s="1"/>
  <c r="N1247" i="33"/>
  <c r="O1247" i="33" s="1"/>
  <c r="N993" i="33"/>
  <c r="O993" i="33" s="1"/>
  <c r="N1454" i="33"/>
  <c r="O1454" i="33" s="1"/>
  <c r="N1274" i="33"/>
  <c r="O1274" i="33" s="1"/>
  <c r="N1154" i="33"/>
  <c r="O1154" i="33" s="1"/>
  <c r="N2351" i="33"/>
  <c r="O2351" i="33" s="1"/>
  <c r="N1309" i="33"/>
  <c r="O1309" i="33" s="1"/>
  <c r="N1192" i="33"/>
  <c r="O1192" i="33" s="1"/>
  <c r="N1312" i="33"/>
  <c r="O1312" i="33" s="1"/>
  <c r="N1176" i="33"/>
  <c r="O1176" i="33" s="1"/>
  <c r="N929" i="33"/>
  <c r="O929" i="33" s="1"/>
  <c r="N755" i="33"/>
  <c r="O755" i="33" s="1"/>
  <c r="N688" i="33"/>
  <c r="O688" i="33" s="1"/>
  <c r="N651" i="33"/>
  <c r="O651" i="33" s="1"/>
  <c r="N1282" i="33"/>
  <c r="O1282" i="33" s="1"/>
  <c r="N745" i="33"/>
  <c r="O745" i="33" s="1"/>
  <c r="N640" i="33"/>
  <c r="O640" i="33" s="1"/>
  <c r="N1031" i="33"/>
  <c r="O1031" i="33" s="1"/>
  <c r="N882" i="33"/>
  <c r="O882" i="33" s="1"/>
  <c r="N711" i="33"/>
  <c r="O711" i="33" s="1"/>
  <c r="N679" i="33"/>
  <c r="O679" i="33" s="1"/>
  <c r="N1548" i="33"/>
  <c r="O1548" i="33" s="1"/>
  <c r="N744" i="33"/>
  <c r="O744" i="33" s="1"/>
  <c r="N554" i="33"/>
  <c r="O554" i="33" s="1"/>
  <c r="N982" i="33"/>
  <c r="O982" i="33" s="1"/>
  <c r="N763" i="33"/>
  <c r="O763" i="33" s="1"/>
  <c r="N690" i="33"/>
  <c r="O690" i="33" s="1"/>
  <c r="N658" i="33"/>
  <c r="O658" i="33" s="1"/>
  <c r="N1460" i="33"/>
  <c r="O1460" i="33" s="1"/>
  <c r="N899" i="33"/>
  <c r="O899" i="33" s="1"/>
  <c r="N727" i="33"/>
  <c r="O727" i="33" s="1"/>
  <c r="N685" i="33"/>
  <c r="O685" i="33" s="1"/>
  <c r="N568" i="33"/>
  <c r="O568" i="33" s="1"/>
  <c r="N1168" i="33"/>
  <c r="O1168" i="33" s="1"/>
  <c r="N752" i="33"/>
  <c r="O752" i="33" s="1"/>
  <c r="N580" i="33"/>
  <c r="O580" i="33" s="1"/>
  <c r="N369" i="33"/>
  <c r="O369" i="33" s="1"/>
  <c r="N180" i="33"/>
  <c r="O180" i="33" s="1"/>
  <c r="N74" i="33"/>
  <c r="O74" i="33" s="1"/>
  <c r="N7" i="33"/>
  <c r="O7" i="33" s="1"/>
  <c r="N445" i="33"/>
  <c r="O445" i="33" s="1"/>
  <c r="N356" i="33"/>
  <c r="O356" i="33" s="1"/>
  <c r="N267" i="33"/>
  <c r="O267" i="33" s="1"/>
  <c r="N141" i="33"/>
  <c r="O141" i="33" s="1"/>
  <c r="N740" i="33"/>
  <c r="O740" i="33" s="1"/>
  <c r="N473" i="33"/>
  <c r="O473" i="33" s="1"/>
  <c r="N349" i="33"/>
  <c r="O349" i="33" s="1"/>
  <c r="N236" i="33"/>
  <c r="O236" i="33" s="1"/>
  <c r="N134" i="33"/>
  <c r="O134" i="33" s="1"/>
  <c r="N610" i="33"/>
  <c r="O610" i="33" s="1"/>
  <c r="N395" i="33"/>
  <c r="O395" i="33" s="1"/>
  <c r="N191" i="33"/>
  <c r="O191" i="33" s="1"/>
  <c r="N117" i="33"/>
  <c r="O117" i="33" s="1"/>
  <c r="N750" i="33"/>
  <c r="O750" i="33" s="1"/>
  <c r="N253" i="33"/>
  <c r="O253" i="33" s="1"/>
  <c r="N168" i="33"/>
  <c r="O168" i="33" s="1"/>
  <c r="N27" i="33"/>
  <c r="O27" i="33" s="1"/>
  <c r="N471" i="33"/>
  <c r="O471" i="33" s="1"/>
  <c r="N403" i="33"/>
  <c r="O403" i="33" s="1"/>
  <c r="N301" i="33"/>
  <c r="O301" i="33" s="1"/>
  <c r="N187" i="33"/>
  <c r="O187" i="33" s="1"/>
  <c r="N429" i="33"/>
  <c r="O429" i="33" s="1"/>
  <c r="N69" i="33"/>
  <c r="O69" i="33" s="1"/>
  <c r="N78" i="33"/>
  <c r="O78" i="33" s="1"/>
  <c r="N323" i="33"/>
  <c r="O323" i="33" s="1"/>
  <c r="N2880" i="33"/>
  <c r="O2880" i="33" s="1"/>
  <c r="N2595" i="33"/>
  <c r="O2595" i="33" s="1"/>
  <c r="N2886" i="33"/>
  <c r="O2886" i="33" s="1"/>
  <c r="N2602" i="33"/>
  <c r="O2602" i="33" s="1"/>
  <c r="N2889" i="33"/>
  <c r="O2889" i="33" s="1"/>
  <c r="N2569" i="33"/>
  <c r="O2569" i="33" s="1"/>
  <c r="N2583" i="33"/>
  <c r="O2583" i="33" s="1"/>
  <c r="N2885" i="33"/>
  <c r="O2885" i="33" s="1"/>
  <c r="N2597" i="33"/>
  <c r="O2597" i="33" s="1"/>
  <c r="N2525" i="33"/>
  <c r="O2525" i="33" s="1"/>
  <c r="N2853" i="33"/>
  <c r="O2853" i="33" s="1"/>
  <c r="N2527" i="33"/>
  <c r="O2527" i="33" s="1"/>
  <c r="N2544" i="33"/>
  <c r="O2544" i="33" s="1"/>
  <c r="N2441" i="33"/>
  <c r="O2441" i="33" s="1"/>
  <c r="N2366" i="33"/>
  <c r="O2366" i="33" s="1"/>
  <c r="N2264" i="33"/>
  <c r="O2264" i="33" s="1"/>
  <c r="N2323" i="33"/>
  <c r="O2323" i="33" s="1"/>
  <c r="N2218" i="33"/>
  <c r="O2218" i="33" s="1"/>
  <c r="N2211" i="33"/>
  <c r="O2211" i="33" s="1"/>
  <c r="N2576" i="33"/>
  <c r="O2576" i="33" s="1"/>
  <c r="N2424" i="33"/>
  <c r="O2424" i="33" s="1"/>
  <c r="N2291" i="33"/>
  <c r="O2291" i="33" s="1"/>
  <c r="N2217" i="33"/>
  <c r="O2217" i="33" s="1"/>
  <c r="N2140" i="33"/>
  <c r="O2140" i="33" s="1"/>
  <c r="N2488" i="33"/>
  <c r="O2488" i="33" s="1"/>
  <c r="N2379" i="33"/>
  <c r="O2379" i="33" s="1"/>
  <c r="N2259" i="33"/>
  <c r="O2259" i="33" s="1"/>
  <c r="N2500" i="33"/>
  <c r="O2500" i="33" s="1"/>
  <c r="N2423" i="33"/>
  <c r="O2423" i="33" s="1"/>
  <c r="N2353" i="33"/>
  <c r="O2353" i="33" s="1"/>
  <c r="N2213" i="33"/>
  <c r="O2213" i="33" s="1"/>
  <c r="N1761" i="33"/>
  <c r="O1761" i="33" s="1"/>
  <c r="N2872" i="33"/>
  <c r="O2872" i="33" s="1"/>
  <c r="N1967" i="33"/>
  <c r="O1967" i="33" s="1"/>
  <c r="N1647" i="33"/>
  <c r="O1647" i="33" s="1"/>
  <c r="N2298" i="33"/>
  <c r="O2298" i="33" s="1"/>
  <c r="N1873" i="33"/>
  <c r="O1873" i="33" s="1"/>
  <c r="N1622" i="33"/>
  <c r="O1622" i="33" s="1"/>
  <c r="N1858" i="33"/>
  <c r="O1858" i="33" s="1"/>
  <c r="N1616" i="33"/>
  <c r="O1616" i="33" s="1"/>
  <c r="N1788" i="33"/>
  <c r="O1788" i="33" s="1"/>
  <c r="N2190" i="33"/>
  <c r="O2190" i="33" s="1"/>
  <c r="N1754" i="33"/>
  <c r="O1754" i="33" s="1"/>
  <c r="N1320" i="33"/>
  <c r="O1320" i="33" s="1"/>
  <c r="N1233" i="33"/>
  <c r="O1233" i="33" s="1"/>
  <c r="N1294" i="33"/>
  <c r="O1294" i="33" s="1"/>
  <c r="N1039" i="33"/>
  <c r="O1039" i="33" s="1"/>
  <c r="N1286" i="33"/>
  <c r="O1286" i="33" s="1"/>
  <c r="N1160" i="33"/>
  <c r="O1160" i="33" s="1"/>
  <c r="N2184" i="33"/>
  <c r="O2184" i="33" s="1"/>
  <c r="N1464" i="33"/>
  <c r="O1464" i="33" s="1"/>
  <c r="N1243" i="33"/>
  <c r="O1243" i="33" s="1"/>
  <c r="N1327" i="33"/>
  <c r="O1327" i="33" s="1"/>
  <c r="N1265" i="33"/>
  <c r="O1265" i="33" s="1"/>
  <c r="N1038" i="33"/>
  <c r="O1038" i="33" s="1"/>
  <c r="N2223" i="33"/>
  <c r="O2223" i="33" s="1"/>
  <c r="N1303" i="33"/>
  <c r="O1303" i="33" s="1"/>
  <c r="N1187" i="33"/>
  <c r="O1187" i="33" s="1"/>
  <c r="N1299" i="33"/>
  <c r="O1299" i="33" s="1"/>
  <c r="N1170" i="33"/>
  <c r="O1170" i="33" s="1"/>
  <c r="N924" i="33"/>
  <c r="O924" i="33" s="1"/>
  <c r="N739" i="33"/>
  <c r="O739" i="33" s="1"/>
  <c r="N684" i="33"/>
  <c r="O684" i="33" s="1"/>
  <c r="N635" i="33"/>
  <c r="O635" i="33" s="1"/>
  <c r="N984" i="33"/>
  <c r="O984" i="33" s="1"/>
  <c r="N742" i="33"/>
  <c r="O742" i="33" s="1"/>
  <c r="N629" i="33"/>
  <c r="O629" i="33" s="1"/>
  <c r="N992" i="33"/>
  <c r="O992" i="33" s="1"/>
  <c r="N878" i="33"/>
  <c r="O878" i="33" s="1"/>
  <c r="N707" i="33"/>
  <c r="O707" i="33" s="1"/>
  <c r="N675" i="33"/>
  <c r="O675" i="33" s="1"/>
  <c r="N1232" i="33"/>
  <c r="O1232" i="33" s="1"/>
  <c r="N741" i="33"/>
  <c r="O741" i="33" s="1"/>
  <c r="N543" i="33"/>
  <c r="O543" i="33" s="1"/>
  <c r="N950" i="33"/>
  <c r="O950" i="33" s="1"/>
  <c r="N747" i="33"/>
  <c r="O747" i="33" s="1"/>
  <c r="N686" i="33"/>
  <c r="O686" i="33" s="1"/>
  <c r="N643" i="33"/>
  <c r="O643" i="33" s="1"/>
  <c r="N1161" i="33"/>
  <c r="O1161" i="33" s="1"/>
  <c r="N884" i="33"/>
  <c r="O884" i="33" s="1"/>
  <c r="N723" i="33"/>
  <c r="O723" i="33" s="1"/>
  <c r="N681" i="33"/>
  <c r="O681" i="33" s="1"/>
  <c r="N563" i="33"/>
  <c r="O563" i="33" s="1"/>
  <c r="N1040" i="33"/>
  <c r="O1040" i="33" s="1"/>
  <c r="N749" i="33"/>
  <c r="O749" i="33" s="1"/>
  <c r="N576" i="33"/>
  <c r="O576" i="33" s="1"/>
  <c r="N350" i="33"/>
  <c r="O350" i="33" s="1"/>
  <c r="N177" i="33"/>
  <c r="O177" i="33" s="1"/>
  <c r="N71" i="33"/>
  <c r="O71" i="33" s="1"/>
  <c r="N1285" i="33"/>
  <c r="O1285" i="33" s="1"/>
  <c r="N421" i="33"/>
  <c r="O421" i="33" s="1"/>
  <c r="N353" i="33"/>
  <c r="O353" i="33" s="1"/>
  <c r="N252" i="33"/>
  <c r="O252" i="33" s="1"/>
  <c r="N132" i="33"/>
  <c r="O132" i="33" s="1"/>
  <c r="N734" i="33"/>
  <c r="O734" i="33" s="1"/>
  <c r="N470" i="33"/>
  <c r="O470" i="33" s="1"/>
  <c r="N337" i="33"/>
  <c r="O337" i="33" s="1"/>
  <c r="N228" i="33"/>
  <c r="O228" i="33" s="1"/>
  <c r="N129" i="33"/>
  <c r="O129" i="33" s="1"/>
  <c r="N526" i="33"/>
  <c r="O526" i="33" s="1"/>
  <c r="N386" i="33"/>
  <c r="O386" i="33" s="1"/>
  <c r="N188" i="33"/>
  <c r="O188" i="33" s="1"/>
  <c r="N114" i="33"/>
  <c r="O114" i="33" s="1"/>
  <c r="N737" i="33"/>
  <c r="O737" i="33" s="1"/>
  <c r="N250" i="33"/>
  <c r="O250" i="33" s="1"/>
  <c r="N139" i="33"/>
  <c r="O139" i="33" s="1"/>
  <c r="N1234" i="33"/>
  <c r="O1234" i="33" s="1"/>
  <c r="N464" i="33"/>
  <c r="O464" i="33" s="1"/>
  <c r="N375" i="33"/>
  <c r="O375" i="33" s="1"/>
  <c r="N295" i="33"/>
  <c r="O295" i="33" s="1"/>
  <c r="N184" i="33"/>
  <c r="O184" i="33" s="1"/>
  <c r="N419" i="33"/>
  <c r="O419" i="33" s="1"/>
  <c r="N44" i="33"/>
  <c r="O44" i="33" s="1"/>
  <c r="N296" i="33"/>
  <c r="O296" i="33" s="1"/>
  <c r="N2879" i="33"/>
  <c r="O2879" i="33" s="1"/>
  <c r="N2526" i="33"/>
  <c r="O2526" i="33" s="1"/>
  <c r="N2197" i="33"/>
  <c r="O2197" i="33" s="1"/>
  <c r="N2866" i="33"/>
  <c r="O2866" i="33" s="1"/>
  <c r="N2236" i="33"/>
  <c r="O2236" i="33" s="1"/>
  <c r="N1760" i="33"/>
  <c r="O1760" i="33" s="1"/>
  <c r="N1308" i="33"/>
  <c r="O1308" i="33" s="1"/>
  <c r="N1549" i="33"/>
  <c r="O1549" i="33" s="1"/>
  <c r="N1297" i="33"/>
  <c r="O1297" i="33" s="1"/>
  <c r="N978" i="33"/>
  <c r="O978" i="33" s="1"/>
  <c r="N728" i="33"/>
  <c r="O728" i="33" s="1"/>
  <c r="N709" i="33"/>
  <c r="O709" i="33" s="1"/>
  <c r="N68" i="33"/>
  <c r="O68" i="33" s="1"/>
  <c r="N307" i="33"/>
  <c r="O307" i="33" s="1"/>
  <c r="N246" i="33"/>
  <c r="O246" i="33" s="1"/>
  <c r="N546" i="33"/>
  <c r="O546" i="33" s="1"/>
  <c r="N472" i="33"/>
  <c r="O472" i="33" s="1"/>
  <c r="N457" i="33"/>
  <c r="O457" i="33" s="1"/>
  <c r="N66" i="33"/>
  <c r="O66" i="33" s="1"/>
  <c r="N18" i="33"/>
  <c r="O18" i="33" s="1"/>
  <c r="N2578" i="33"/>
  <c r="O2578" i="33" s="1"/>
  <c r="N2432" i="33"/>
  <c r="O2432" i="33" s="1"/>
  <c r="N2486" i="33"/>
  <c r="O2486" i="33" s="1"/>
  <c r="N2481" i="33"/>
  <c r="O2481" i="33" s="1"/>
  <c r="N1748" i="33"/>
  <c r="O1748" i="33" s="1"/>
  <c r="N1186" i="33"/>
  <c r="O1186" i="33" s="1"/>
  <c r="N1461" i="33"/>
  <c r="O1461" i="33" s="1"/>
  <c r="N1018" i="33"/>
  <c r="O1018" i="33" s="1"/>
  <c r="N732" i="33"/>
  <c r="O732" i="33" s="1"/>
  <c r="N538" i="33"/>
  <c r="O538" i="33" s="1"/>
  <c r="N677" i="33"/>
  <c r="O677" i="33" s="1"/>
  <c r="N626" i="33"/>
  <c r="O626" i="33" s="1"/>
  <c r="N216" i="33"/>
  <c r="O216" i="33" s="1"/>
  <c r="N125" i="33"/>
  <c r="O125" i="33" s="1"/>
  <c r="N344" i="33"/>
  <c r="O344" i="33" s="1"/>
  <c r="N453" i="33"/>
  <c r="O453" i="33" s="1"/>
  <c r="N336" i="33"/>
  <c r="O336" i="33" s="1"/>
  <c r="N2591" i="33"/>
  <c r="O2591" i="33" s="1"/>
  <c r="N2355" i="33"/>
  <c r="O2355" i="33" s="1"/>
  <c r="N2368" i="33"/>
  <c r="O2368" i="33" s="1"/>
  <c r="N2498" i="33"/>
  <c r="O2498" i="33" s="1"/>
  <c r="N1763" i="33"/>
  <c r="O1763" i="33" s="1"/>
  <c r="N1178" i="33"/>
  <c r="O1178" i="33" s="1"/>
  <c r="N1287" i="33"/>
  <c r="O1287" i="33" s="1"/>
  <c r="N618" i="33"/>
  <c r="O618" i="33" s="1"/>
  <c r="N932" i="33"/>
  <c r="O932" i="33" s="1"/>
  <c r="N537" i="33"/>
  <c r="O537" i="33" s="1"/>
  <c r="N410" i="33"/>
  <c r="O410" i="33" s="1"/>
  <c r="N77" i="33"/>
  <c r="O77" i="33" s="1"/>
  <c r="N890" i="33"/>
  <c r="O890" i="33" s="1"/>
  <c r="N258" i="33"/>
  <c r="O258" i="33" s="1"/>
  <c r="N370" i="33"/>
  <c r="O370" i="33" s="1"/>
  <c r="N314" i="33"/>
  <c r="O314" i="33" s="1"/>
  <c r="N299" i="33"/>
  <c r="O299" i="33" s="1"/>
  <c r="N131" i="33"/>
  <c r="O131" i="33" s="1"/>
  <c r="N2582" i="33"/>
  <c r="O2582" i="33" s="1"/>
  <c r="N2253" i="33"/>
  <c r="O2253" i="33" s="1"/>
  <c r="N2194" i="33"/>
  <c r="O2194" i="33" s="1"/>
  <c r="N2210" i="33"/>
  <c r="O2210" i="33" s="1"/>
  <c r="N1861" i="33"/>
  <c r="O1861" i="33" s="1"/>
  <c r="N2219" i="33"/>
  <c r="O2219" i="33" s="1"/>
  <c r="N1289" i="33"/>
  <c r="O1289" i="33" s="1"/>
  <c r="N1544" i="33"/>
  <c r="O1544" i="33" s="1"/>
  <c r="N1032" i="33"/>
  <c r="O1032" i="33" s="1"/>
  <c r="N988" i="33"/>
  <c r="O988" i="33" s="1"/>
  <c r="N731" i="33"/>
  <c r="O731" i="33" s="1"/>
  <c r="N1014" i="33"/>
  <c r="O1014" i="33" s="1"/>
  <c r="N345" i="33"/>
  <c r="O345" i="33" s="1"/>
  <c r="N479" i="33"/>
  <c r="O479" i="33" s="1"/>
  <c r="N456" i="33"/>
  <c r="O456" i="33" s="1"/>
  <c r="N261" i="33"/>
  <c r="O261" i="33" s="1"/>
  <c r="N243" i="33"/>
  <c r="O243" i="33" s="1"/>
  <c r="N218" i="33"/>
  <c r="O218" i="33" s="1"/>
  <c r="N556" i="33"/>
  <c r="O556" i="33" s="1"/>
  <c r="N64" i="33"/>
  <c r="O64" i="33" s="1"/>
  <c r="N2546" i="33"/>
  <c r="O2546" i="33" s="1"/>
  <c r="N2492" i="33"/>
  <c r="O2492" i="33" s="1"/>
  <c r="N1641" i="33"/>
  <c r="O1641" i="33" s="1"/>
  <c r="N1701" i="33"/>
  <c r="O1701" i="33" s="1"/>
  <c r="N1034" i="33"/>
  <c r="O1034" i="33" s="1"/>
  <c r="N1318" i="33"/>
  <c r="O1318" i="33" s="1"/>
  <c r="N913" i="33"/>
  <c r="O913" i="33" s="1"/>
  <c r="N767" i="33"/>
  <c r="O767" i="33" s="1"/>
  <c r="N682" i="33"/>
  <c r="O682" i="33" s="1"/>
  <c r="N736" i="33"/>
  <c r="O736" i="33" s="1"/>
  <c r="N249" i="33"/>
  <c r="O249" i="33" s="1"/>
  <c r="N364" i="33"/>
  <c r="O364" i="33" s="1"/>
  <c r="N372" i="33"/>
  <c r="O372" i="33" s="1"/>
  <c r="N251" i="33"/>
  <c r="O251" i="33" s="1"/>
  <c r="N227" i="33"/>
  <c r="O227" i="33" s="1"/>
  <c r="N412" i="33"/>
  <c r="O412" i="33" s="1"/>
  <c r="N289" i="33"/>
  <c r="O289" i="33" s="1"/>
  <c r="N2854" i="33"/>
  <c r="O2854" i="33" s="1"/>
  <c r="N2593" i="33"/>
  <c r="O2593" i="33" s="1"/>
  <c r="N2414" i="33"/>
  <c r="O2414" i="33" s="1"/>
  <c r="N2413" i="33"/>
  <c r="O2413" i="33" s="1"/>
  <c r="N2227" i="33"/>
  <c r="O2227" i="33" s="1"/>
  <c r="N2158" i="33"/>
  <c r="O2158" i="33" s="1"/>
  <c r="N1458" i="33"/>
  <c r="O1458" i="33" s="1"/>
  <c r="N1237" i="33"/>
  <c r="O1237" i="33" s="1"/>
  <c r="N712" i="33"/>
  <c r="O712" i="33" s="1"/>
  <c r="N703" i="33"/>
  <c r="O703" i="33" s="1"/>
  <c r="N585" i="33"/>
  <c r="O585" i="33" s="1"/>
  <c r="N572" i="33"/>
  <c r="O572" i="33" s="1"/>
  <c r="N127" i="33"/>
  <c r="O127" i="33" s="1"/>
  <c r="N169" i="33"/>
  <c r="O169" i="33" s="1"/>
  <c r="N288" i="33"/>
  <c r="O288" i="33" s="1"/>
  <c r="N116" i="33"/>
  <c r="O116" i="33" s="1"/>
  <c r="N182" i="33"/>
  <c r="O182" i="33" s="1"/>
  <c r="N178" i="33"/>
  <c r="O178" i="33" s="1"/>
  <c r="N239" i="33"/>
  <c r="O239" i="33" s="1"/>
  <c r="N2524" i="33"/>
  <c r="O2524" i="33" s="1"/>
  <c r="N600" i="33"/>
  <c r="O600" i="33" s="1"/>
  <c r="N430" i="33"/>
  <c r="O430" i="33" s="1"/>
  <c r="N28" i="33"/>
  <c r="O28" i="33" s="1"/>
  <c r="N530" i="33"/>
  <c r="O530" i="33" s="1"/>
  <c r="N962" i="33"/>
  <c r="O962" i="33" s="1"/>
  <c r="N616" i="33"/>
  <c r="O616" i="33" s="1"/>
  <c r="N90" i="33"/>
  <c r="O90" i="33" s="1"/>
  <c r="N2386" i="33"/>
  <c r="O2386" i="33" s="1"/>
  <c r="N1744" i="33"/>
  <c r="O1744" i="33" s="1"/>
  <c r="N671" i="33"/>
  <c r="O671" i="33" s="1"/>
  <c r="N67" i="33"/>
  <c r="O67" i="33" s="1"/>
  <c r="N76" i="33"/>
  <c r="O76" i="33" s="1"/>
  <c r="N133" i="33"/>
  <c r="O133" i="33" s="1"/>
  <c r="N381" i="33"/>
  <c r="O381" i="33" s="1"/>
  <c r="N382" i="33"/>
  <c r="O382" i="33" s="1"/>
  <c r="N2287" i="33"/>
  <c r="O2287" i="33" s="1"/>
  <c r="N1537" i="33"/>
  <c r="O1537" i="33" s="1"/>
  <c r="N970" i="33"/>
  <c r="O970" i="33" s="1"/>
  <c r="N478" i="33"/>
  <c r="O478" i="33" s="1"/>
  <c r="N3" i="33"/>
  <c r="O3" i="33" s="1"/>
  <c r="N126" i="33"/>
  <c r="O126" i="33" s="1"/>
  <c r="N32" i="33"/>
  <c r="O32" i="33" s="1"/>
  <c r="N637" i="33"/>
  <c r="O637" i="33" s="1"/>
  <c r="N327" i="33"/>
  <c r="O327" i="33" s="1"/>
  <c r="N51" i="33"/>
  <c r="O51" i="33" s="1"/>
  <c r="N97" i="33"/>
  <c r="O97" i="33" s="1"/>
  <c r="N254" i="33"/>
  <c r="O254" i="33" s="1"/>
  <c r="N83" i="33"/>
  <c r="O83" i="33" s="1"/>
  <c r="N2278" i="33"/>
  <c r="O2278" i="33" s="1"/>
  <c r="N1283" i="33"/>
  <c r="O1283" i="33" s="1"/>
  <c r="N974" i="33"/>
  <c r="O974" i="33" s="1"/>
  <c r="N171" i="33"/>
  <c r="O171" i="33" s="1"/>
  <c r="N60" i="33"/>
  <c r="O60" i="33" s="1"/>
  <c r="N142" i="33"/>
  <c r="O142" i="33" s="1"/>
  <c r="N2214" i="33"/>
  <c r="O2214" i="33" s="1"/>
  <c r="N1030" i="33"/>
  <c r="O1030" i="33" s="1"/>
  <c r="N880" i="33"/>
  <c r="O880" i="33" s="1"/>
  <c r="N302" i="33"/>
  <c r="O302" i="33" s="1"/>
  <c r="N309" i="33"/>
  <c r="O309" i="33" s="1"/>
  <c r="N222" i="33"/>
  <c r="O222" i="33" s="1"/>
  <c r="N449" i="33"/>
  <c r="O449" i="33" s="1"/>
  <c r="N101" i="33"/>
  <c r="O101" i="33" s="1"/>
  <c r="N40" i="33"/>
  <c r="O40" i="33" s="1"/>
  <c r="N13" i="33"/>
  <c r="O13" i="33" s="1"/>
  <c r="N2512" i="33"/>
  <c r="O2512" i="33" s="1"/>
  <c r="N2335" i="33"/>
  <c r="O2335" i="33" s="1"/>
  <c r="N1015" i="33"/>
  <c r="O1015" i="33" s="1"/>
  <c r="N338" i="33"/>
  <c r="O338" i="33" s="1"/>
  <c r="N57" i="33"/>
  <c r="O57" i="33" s="1"/>
  <c r="N53" i="33"/>
  <c r="O53" i="33" s="1"/>
  <c r="N377" i="33"/>
  <c r="O377" i="33" s="1"/>
  <c r="N426" i="33"/>
  <c r="O426" i="33" s="1"/>
  <c r="N2862" i="33"/>
  <c r="O2862" i="33" s="1"/>
  <c r="N2201" i="33"/>
  <c r="O2201" i="33" s="1"/>
  <c r="N138" i="33"/>
  <c r="O138" i="33" s="1"/>
  <c r="N551" i="33"/>
  <c r="O551" i="33" s="1"/>
  <c r="N348" i="33"/>
  <c r="O348" i="33" s="1"/>
  <c r="N332" i="33"/>
  <c r="O332" i="33" s="1"/>
  <c r="N108" i="33"/>
  <c r="O108" i="33" s="1"/>
  <c r="N328" i="33"/>
  <c r="O328" i="33" s="1"/>
  <c r="N109" i="33"/>
  <c r="O109" i="33" s="1"/>
  <c r="N340" i="33"/>
  <c r="O340" i="33" s="1"/>
  <c r="N439" i="33"/>
  <c r="O439" i="33" s="1"/>
  <c r="N389" i="33"/>
  <c r="O389" i="33" s="1"/>
  <c r="N111" i="33"/>
  <c r="O111" i="33" s="1"/>
  <c r="N509" i="33"/>
  <c r="O509" i="33" s="1"/>
  <c r="N875" i="33"/>
  <c r="O875" i="33" s="1"/>
  <c r="N812" i="33"/>
  <c r="O812" i="33" s="1"/>
  <c r="N587" i="33"/>
  <c r="O587" i="33" s="1"/>
  <c r="N918" i="33"/>
  <c r="O918" i="33" s="1"/>
  <c r="N1443" i="33"/>
  <c r="O1443" i="33" s="1"/>
  <c r="N1447" i="33"/>
  <c r="O1447" i="33" s="1"/>
  <c r="N1335" i="33"/>
  <c r="O1335" i="33" s="1"/>
  <c r="N1605" i="33"/>
  <c r="O1605" i="33" s="1"/>
  <c r="N1902" i="33"/>
  <c r="O1902" i="33" s="1"/>
  <c r="N1910" i="33"/>
  <c r="O1910" i="33" s="1"/>
  <c r="N93" i="33"/>
  <c r="O93" i="33" s="1"/>
  <c r="N329" i="33"/>
  <c r="O329" i="33" s="1"/>
  <c r="N203" i="33"/>
  <c r="O203" i="33" s="1"/>
  <c r="N541" i="33"/>
  <c r="O541" i="33" s="1"/>
  <c r="N915" i="33"/>
  <c r="O915" i="33" s="1"/>
  <c r="N831" i="33"/>
  <c r="O831" i="33" s="1"/>
  <c r="N566" i="33"/>
  <c r="O566" i="33" s="1"/>
  <c r="N1423" i="33"/>
  <c r="O1423" i="33" s="1"/>
  <c r="N1353" i="33"/>
  <c r="O1353" i="33" s="1"/>
  <c r="N1221" i="33"/>
  <c r="O1221" i="33" s="1"/>
  <c r="N1562" i="33"/>
  <c r="O1562" i="33" s="1"/>
  <c r="N1316" i="33"/>
  <c r="O1316" i="33" s="1"/>
  <c r="N1986" i="33"/>
  <c r="O1986" i="33" s="1"/>
  <c r="N1601" i="33"/>
  <c r="O1601" i="33" s="1"/>
  <c r="N806" i="33"/>
  <c r="O806" i="33" s="1"/>
  <c r="N201" i="33"/>
  <c r="O201" i="33" s="1"/>
  <c r="N87" i="33"/>
  <c r="O87" i="33" s="1"/>
  <c r="N540" i="33"/>
  <c r="O540" i="33" s="1"/>
  <c r="N836" i="33"/>
  <c r="O836" i="33" s="1"/>
  <c r="N770" i="33"/>
  <c r="O770" i="33" s="1"/>
  <c r="N1477" i="33"/>
  <c r="O1477" i="33" s="1"/>
  <c r="N941" i="33"/>
  <c r="O941" i="33" s="1"/>
  <c r="N1240" i="33"/>
  <c r="O1240" i="33" s="1"/>
  <c r="N1599" i="33"/>
  <c r="O1599" i="33" s="1"/>
  <c r="N1425" i="33"/>
  <c r="O1425" i="33" s="1"/>
  <c r="N1035" i="33"/>
  <c r="O1035" i="33" s="1"/>
  <c r="N1931" i="33"/>
  <c r="O1931" i="33" s="1"/>
  <c r="N1945" i="33"/>
  <c r="O1945" i="33" s="1"/>
  <c r="N1576" i="33"/>
  <c r="O1576" i="33" s="1"/>
  <c r="N443" i="33"/>
  <c r="O443" i="33" s="1"/>
  <c r="N390" i="33"/>
  <c r="O390" i="33" s="1"/>
  <c r="N238" i="33"/>
  <c r="O238" i="33" s="1"/>
  <c r="N822" i="33"/>
  <c r="O822" i="33" s="1"/>
  <c r="N286" i="33"/>
  <c r="O286" i="33" s="1"/>
  <c r="N146" i="33"/>
  <c r="O146" i="33" s="1"/>
  <c r="N1340" i="33"/>
  <c r="O1340" i="33" s="1"/>
  <c r="N944" i="33"/>
  <c r="O944" i="33" s="1"/>
  <c r="N803" i="33"/>
  <c r="O803" i="33" s="1"/>
  <c r="N619" i="33"/>
  <c r="O619" i="33" s="1"/>
  <c r="N1558" i="33"/>
  <c r="O1558" i="33" s="1"/>
  <c r="N1182" i="33"/>
  <c r="O1182" i="33" s="1"/>
  <c r="N1950" i="33"/>
  <c r="O1950" i="33" s="1"/>
  <c r="N1442" i="33"/>
  <c r="O1442" i="33" s="1"/>
  <c r="N1644" i="33"/>
  <c r="O1644" i="33" s="1"/>
  <c r="N1751" i="33"/>
  <c r="O1751" i="33" s="1"/>
  <c r="N1995" i="33"/>
  <c r="O1995" i="33" s="1"/>
  <c r="N2265" i="33"/>
  <c r="O2265" i="33" s="1"/>
  <c r="N149" i="33"/>
  <c r="O149" i="33" s="1"/>
  <c r="N339" i="33"/>
  <c r="O339" i="33" s="1"/>
  <c r="N54" i="33"/>
  <c r="O54" i="33" s="1"/>
  <c r="N486" i="33"/>
  <c r="O486" i="33" s="1"/>
  <c r="N843" i="33"/>
  <c r="O843" i="33" s="1"/>
  <c r="N780" i="33"/>
  <c r="O780" i="33" s="1"/>
  <c r="N570" i="33"/>
  <c r="O570" i="33" s="1"/>
  <c r="N865" i="33"/>
  <c r="O865" i="33" s="1"/>
  <c r="N1410" i="33"/>
  <c r="O1410" i="33" s="1"/>
  <c r="N1530" i="33"/>
  <c r="O1530" i="33" s="1"/>
  <c r="N1407" i="33"/>
  <c r="O1407" i="33" s="1"/>
  <c r="N1277" i="33"/>
  <c r="O1277" i="33" s="1"/>
  <c r="N1487" i="33"/>
  <c r="O1487" i="33" s="1"/>
  <c r="N1852" i="33"/>
  <c r="O1852" i="33" s="1"/>
  <c r="N1879" i="33"/>
  <c r="O1879" i="33" s="1"/>
  <c r="N207" i="33"/>
  <c r="O207" i="33" s="1"/>
  <c r="N154" i="33"/>
  <c r="O154" i="33" s="1"/>
  <c r="N436" i="33"/>
  <c r="O436" i="33" s="1"/>
  <c r="N264" i="33"/>
  <c r="O264" i="33" s="1"/>
  <c r="N620" i="33"/>
  <c r="O620" i="33" s="1"/>
  <c r="N955" i="33"/>
  <c r="O955" i="33" s="1"/>
  <c r="N863" i="33"/>
  <c r="O863" i="33" s="1"/>
  <c r="N583" i="33"/>
  <c r="O583" i="33" s="1"/>
  <c r="N1253" i="33"/>
  <c r="O1253" i="33" s="1"/>
  <c r="N1382" i="33"/>
  <c r="O1382" i="33" s="1"/>
  <c r="N1262" i="33"/>
  <c r="O1262" i="33" s="1"/>
  <c r="N1358" i="33"/>
  <c r="O1358" i="33" s="1"/>
  <c r="N2002" i="33"/>
  <c r="O2002" i="33" s="1"/>
  <c r="N1723" i="33"/>
  <c r="O1723" i="33" s="1"/>
  <c r="N506" i="33"/>
  <c r="O506" i="33" s="1"/>
  <c r="N104" i="33"/>
  <c r="O104" i="33" s="1"/>
  <c r="N460" i="33"/>
  <c r="O460" i="33" s="1"/>
  <c r="N800" i="33"/>
  <c r="O800" i="33" s="1"/>
  <c r="N644" i="33"/>
  <c r="O644" i="33" s="1"/>
  <c r="N1019" i="33"/>
  <c r="O1019" i="33" s="1"/>
  <c r="N866" i="33"/>
  <c r="O866" i="33" s="1"/>
  <c r="N1037" i="33"/>
  <c r="O1037" i="33" s="1"/>
  <c r="N1446" i="33"/>
  <c r="O1446" i="33" s="1"/>
  <c r="N1397" i="33"/>
  <c r="O1397" i="33" s="1"/>
  <c r="N1922" i="33"/>
  <c r="O1922" i="33" s="1"/>
  <c r="N1900" i="33"/>
  <c r="O1900" i="33" s="1"/>
  <c r="N1916" i="33"/>
  <c r="O1916" i="33" s="1"/>
  <c r="N2411" i="33"/>
  <c r="O2411" i="33" s="1"/>
  <c r="N396" i="33"/>
  <c r="O396" i="33" s="1"/>
  <c r="N1153" i="33"/>
  <c r="O1153" i="33" s="1"/>
  <c r="N1830" i="33"/>
  <c r="O1830" i="33" s="1"/>
  <c r="N1974" i="33"/>
  <c r="O1974" i="33" s="1"/>
  <c r="N2328" i="33"/>
  <c r="O2328" i="33" s="1"/>
  <c r="N2133" i="33"/>
  <c r="O2133" i="33" s="1"/>
  <c r="N2032" i="33"/>
  <c r="O2032" i="33" s="1"/>
  <c r="N2842" i="33"/>
  <c r="O2842" i="33" s="1"/>
  <c r="N2043" i="33"/>
  <c r="O2043" i="33" s="1"/>
  <c r="N2570" i="33"/>
  <c r="O2570" i="33" s="1"/>
  <c r="N42" i="33"/>
  <c r="O42" i="33" s="1"/>
  <c r="N1393" i="33"/>
  <c r="O1393" i="33" s="1"/>
  <c r="N1724" i="33"/>
  <c r="O1724" i="33" s="1"/>
  <c r="N1905" i="33"/>
  <c r="O1905" i="33" s="1"/>
  <c r="N1997" i="33"/>
  <c r="O1997" i="33" s="1"/>
  <c r="N2464" i="33"/>
  <c r="O2464" i="33" s="1"/>
  <c r="N2459" i="33"/>
  <c r="O2459" i="33" s="1"/>
  <c r="N2471" i="33"/>
  <c r="O2471" i="33" s="1"/>
  <c r="N105" i="33"/>
  <c r="O105" i="33" s="1"/>
  <c r="N2274" i="33"/>
  <c r="O2274" i="33" s="1"/>
  <c r="N967" i="33"/>
  <c r="O967" i="33" s="1"/>
  <c r="N2157" i="33"/>
  <c r="O2157" i="33" s="1"/>
  <c r="N811" i="33"/>
  <c r="O811" i="33" s="1"/>
  <c r="N1908" i="33"/>
  <c r="O1908" i="33" s="1"/>
  <c r="N2008" i="33"/>
  <c r="O2008" i="33" s="1"/>
  <c r="N1598" i="33"/>
  <c r="O1598" i="33" s="1"/>
  <c r="N2330" i="33"/>
  <c r="O2330" i="33" s="1"/>
  <c r="N2408" i="33"/>
  <c r="O2408" i="33" s="1"/>
  <c r="N2371" i="33"/>
  <c r="O2371" i="33" s="1"/>
  <c r="N2906" i="33"/>
  <c r="O2906" i="33" s="1"/>
  <c r="N2340" i="33"/>
  <c r="O2340" i="33" s="1"/>
  <c r="N2908" i="33"/>
  <c r="O2908" i="33" s="1"/>
  <c r="N2122" i="33"/>
  <c r="O2122" i="33" s="1"/>
  <c r="N2914" i="33"/>
  <c r="O2914" i="33" s="1"/>
  <c r="N989" i="33"/>
  <c r="O989" i="33" s="1"/>
  <c r="N1842" i="33"/>
  <c r="O1842" i="33" s="1"/>
  <c r="N1890" i="33"/>
  <c r="O1890" i="33" s="1"/>
  <c r="N2303" i="33"/>
  <c r="O2303" i="33" s="1"/>
  <c r="N2221" i="33"/>
  <c r="O2221" i="33" s="1"/>
  <c r="N2289" i="33"/>
  <c r="O2289" i="33" s="1"/>
  <c r="N2895" i="33"/>
  <c r="O2895" i="33" s="1"/>
  <c r="N2954" i="33"/>
  <c r="O2954" i="33" s="1"/>
  <c r="N1817" i="33"/>
  <c r="O1817" i="33" s="1"/>
  <c r="N2037" i="33"/>
  <c r="O2037" i="33" s="1"/>
  <c r="N287" i="33"/>
  <c r="O287" i="33" s="1"/>
  <c r="N1832" i="33"/>
  <c r="O1832" i="33" s="1"/>
  <c r="N1904" i="33"/>
  <c r="O1904" i="33" s="1"/>
  <c r="N2036" i="33"/>
  <c r="O2036" i="33" s="1"/>
  <c r="N2139" i="33"/>
  <c r="O2139" i="33" s="1"/>
  <c r="N2243" i="33"/>
  <c r="O2243" i="33" s="1"/>
  <c r="N2151" i="33"/>
  <c r="O2151" i="33" s="1"/>
  <c r="N2573" i="33"/>
  <c r="O2573" i="33" s="1"/>
  <c r="N2896" i="33"/>
  <c r="O2896" i="33" s="1"/>
  <c r="N2922" i="33"/>
  <c r="O2922" i="33" s="1"/>
  <c r="N1804" i="33"/>
  <c r="O1804" i="33" s="1"/>
  <c r="N292" i="33"/>
  <c r="O292" i="33" s="1"/>
  <c r="N1488" i="33"/>
  <c r="O1488" i="33" s="1"/>
  <c r="N1667" i="33"/>
  <c r="O1667" i="33" s="1"/>
  <c r="N1874" i="33"/>
  <c r="O1874" i="33" s="1"/>
  <c r="N1981" i="33"/>
  <c r="O1981" i="33" s="1"/>
  <c r="N2419" i="33"/>
  <c r="O2419" i="33" s="1"/>
  <c r="N2370" i="33"/>
  <c r="O2370" i="33" s="1"/>
  <c r="N2400" i="33"/>
  <c r="O2400" i="33" s="1"/>
  <c r="N2554" i="33"/>
  <c r="O2554" i="33" s="1"/>
  <c r="N2933" i="33"/>
  <c r="O2933" i="33" s="1"/>
  <c r="N582" i="33"/>
  <c r="O582" i="33" s="1"/>
  <c r="N2445" i="33"/>
  <c r="O2445" i="33" s="1"/>
  <c r="N2454" i="33"/>
  <c r="O2454" i="33" s="1"/>
  <c r="N1809" i="33"/>
  <c r="O1809" i="33" s="1"/>
  <c r="N2552" i="33"/>
  <c r="O2552" i="33" s="1"/>
  <c r="N2846" i="33"/>
  <c r="O2846" i="33" s="1"/>
  <c r="N1452" i="33"/>
  <c r="O1452" i="33" s="1"/>
  <c r="N2345" i="33"/>
  <c r="O2345" i="33" s="1"/>
  <c r="N828" i="33"/>
  <c r="O828" i="33" s="1"/>
  <c r="N2378" i="33"/>
  <c r="O2378" i="33" s="1"/>
  <c r="N602" i="33"/>
  <c r="O602" i="33" s="1"/>
  <c r="N1885" i="33"/>
  <c r="O1885" i="33" s="1"/>
  <c r="N838" i="33"/>
  <c r="O838" i="33" s="1"/>
  <c r="N1564" i="33"/>
  <c r="O1564" i="33" s="1"/>
  <c r="N798" i="33"/>
  <c r="O798" i="33" s="1"/>
  <c r="N262" i="33"/>
  <c r="O262" i="33" s="1"/>
  <c r="N1261" i="33"/>
  <c r="O1261" i="33" s="1"/>
  <c r="N354" i="33"/>
  <c r="O354" i="33" s="1"/>
  <c r="N897" i="33"/>
  <c r="O897" i="33" s="1"/>
  <c r="N1851" i="33"/>
  <c r="O1851" i="33" s="1"/>
  <c r="N1897" i="33"/>
  <c r="O1897" i="33" s="1"/>
  <c r="N1329" i="33"/>
  <c r="O1329" i="33" s="1"/>
  <c r="N2228" i="33"/>
  <c r="O2228" i="33" s="1"/>
  <c r="N1800" i="33"/>
  <c r="O1800" i="33" s="1"/>
  <c r="N2902" i="33"/>
  <c r="O2902" i="33" s="1"/>
  <c r="N1803" i="33"/>
  <c r="O1803" i="33" s="1"/>
  <c r="N1918" i="33"/>
  <c r="O1918" i="33" s="1"/>
  <c r="N2913" i="33"/>
  <c r="O2913" i="33" s="1"/>
  <c r="N1868" i="33"/>
  <c r="O1868" i="33" s="1"/>
  <c r="N61" i="33"/>
  <c r="O61" i="33" s="1"/>
  <c r="N502" i="33"/>
  <c r="O502" i="33" s="1"/>
  <c r="N204" i="33"/>
  <c r="O204" i="33" s="1"/>
  <c r="N501" i="33"/>
  <c r="O501" i="33" s="1"/>
  <c r="N232" i="33"/>
  <c r="O232" i="33" s="1"/>
  <c r="N95" i="33"/>
  <c r="O95" i="33" s="1"/>
  <c r="N980" i="33"/>
  <c r="O980" i="33" s="1"/>
  <c r="N900" i="33"/>
  <c r="O900" i="33" s="1"/>
  <c r="N776" i="33"/>
  <c r="O776" i="33" s="1"/>
  <c r="N1669" i="33"/>
  <c r="O1669" i="33" s="1"/>
  <c r="N975" i="33"/>
  <c r="O975" i="33" s="1"/>
  <c r="N1643" i="33"/>
  <c r="O1643" i="33" s="1"/>
  <c r="N1420" i="33"/>
  <c r="O1420" i="33" s="1"/>
  <c r="N1969" i="33"/>
  <c r="O1969" i="33" s="1"/>
  <c r="N1983" i="33"/>
  <c r="O1983" i="33" s="1"/>
  <c r="N2018" i="33"/>
  <c r="O2018" i="33" s="1"/>
  <c r="N211" i="33"/>
  <c r="O211" i="33" s="1"/>
  <c r="N490" i="33"/>
  <c r="O490" i="33" s="1"/>
  <c r="N320" i="33"/>
  <c r="O320" i="33" s="1"/>
  <c r="N652" i="33"/>
  <c r="O652" i="33" s="1"/>
  <c r="N1028" i="33"/>
  <c r="O1028" i="33" s="1"/>
  <c r="N922" i="33"/>
  <c r="O922" i="33" s="1"/>
  <c r="N777" i="33"/>
  <c r="O777" i="33" s="1"/>
  <c r="N1273" i="33"/>
  <c r="O1273" i="33" s="1"/>
  <c r="N1429" i="33"/>
  <c r="O1429" i="33" s="1"/>
  <c r="N1322" i="33"/>
  <c r="O1322" i="33" s="1"/>
  <c r="N2172" i="33"/>
  <c r="O2172" i="33" s="1"/>
  <c r="N1388" i="33"/>
  <c r="O1388" i="33" s="1"/>
  <c r="N2023" i="33"/>
  <c r="O2023" i="33" s="1"/>
  <c r="N1666" i="33"/>
  <c r="O1666" i="33" s="1"/>
  <c r="N96" i="33"/>
  <c r="O96" i="33" s="1"/>
  <c r="N378" i="33"/>
  <c r="O378" i="33" s="1"/>
  <c r="N209" i="33"/>
  <c r="O209" i="33" s="1"/>
  <c r="N548" i="33"/>
  <c r="O548" i="33" s="1"/>
  <c r="N931" i="33"/>
  <c r="O931" i="33" s="1"/>
  <c r="N839" i="33"/>
  <c r="O839" i="33" s="1"/>
  <c r="N571" i="33"/>
  <c r="O571" i="33" s="1"/>
  <c r="N1522" i="33"/>
  <c r="O1522" i="33" s="1"/>
  <c r="N1359" i="33"/>
  <c r="O1359" i="33" s="1"/>
  <c r="N1225" i="33"/>
  <c r="O1225" i="33" s="1"/>
  <c r="N1571" i="33"/>
  <c r="O1571" i="33" s="1"/>
  <c r="N1325" i="33"/>
  <c r="O1325" i="33" s="1"/>
  <c r="N1990" i="33"/>
  <c r="O1990" i="33" s="1"/>
  <c r="N1679" i="33"/>
  <c r="O1679" i="33" s="1"/>
  <c r="N325" i="33"/>
  <c r="O325" i="33" s="1"/>
  <c r="N937" i="33"/>
  <c r="O937" i="33" s="1"/>
  <c r="N455" i="33"/>
  <c r="O455" i="33" s="1"/>
  <c r="N298" i="33"/>
  <c r="O298" i="33" s="1"/>
  <c r="N1559" i="33"/>
  <c r="O1559" i="33" s="1"/>
  <c r="N549" i="33"/>
  <c r="O549" i="33" s="1"/>
  <c r="N864" i="33"/>
  <c r="O864" i="33" s="1"/>
  <c r="N783" i="33"/>
  <c r="O783" i="33" s="1"/>
  <c r="N1827" i="33"/>
  <c r="O1827" i="33" s="1"/>
  <c r="N1360" i="33"/>
  <c r="O1360" i="33" s="1"/>
  <c r="N1260" i="33"/>
  <c r="O1260" i="33" s="1"/>
  <c r="N1563" i="33"/>
  <c r="O1563" i="33" s="1"/>
  <c r="N1792" i="33"/>
  <c r="O1792" i="33" s="1"/>
  <c r="N1837" i="33"/>
  <c r="O1837" i="33" s="1"/>
  <c r="N2041" i="33"/>
  <c r="O2041" i="33" s="1"/>
  <c r="N969" i="33"/>
  <c r="O969" i="33" s="1"/>
  <c r="N415" i="33"/>
  <c r="O415" i="33" s="1"/>
  <c r="N192" i="33"/>
  <c r="O192" i="33" s="1"/>
  <c r="N996" i="33"/>
  <c r="O996" i="33" s="1"/>
  <c r="N935" i="33"/>
  <c r="O935" i="33" s="1"/>
  <c r="N846" i="33"/>
  <c r="O846" i="33" s="1"/>
  <c r="N603" i="33"/>
  <c r="O603" i="33" s="1"/>
  <c r="N972" i="33"/>
  <c r="O972" i="33" s="1"/>
  <c r="N2022" i="33"/>
  <c r="O2022" i="33" s="1"/>
  <c r="N1577" i="33"/>
  <c r="O1577" i="33" s="1"/>
  <c r="N1379" i="33"/>
  <c r="O1379" i="33" s="1"/>
  <c r="N1586" i="33"/>
  <c r="O1586" i="33" s="1"/>
  <c r="N1645" i="33"/>
  <c r="O1645" i="33" s="1"/>
  <c r="N1941" i="33"/>
  <c r="O1941" i="33" s="1"/>
  <c r="N1953" i="33"/>
  <c r="O1953" i="33" s="1"/>
  <c r="N278" i="33"/>
  <c r="O278" i="33" s="1"/>
  <c r="N512" i="33"/>
  <c r="O512" i="33" s="1"/>
  <c r="N384" i="33"/>
  <c r="O384" i="33" s="1"/>
  <c r="N789" i="33"/>
  <c r="O789" i="33" s="1"/>
  <c r="N633" i="33"/>
  <c r="O633" i="33" s="1"/>
  <c r="N964" i="33"/>
  <c r="O964" i="33" s="1"/>
  <c r="N809" i="33"/>
  <c r="O809" i="33" s="1"/>
  <c r="N1351" i="33"/>
  <c r="O1351" i="33" s="1"/>
  <c r="N1473" i="33"/>
  <c r="O1473" i="33" s="1"/>
  <c r="N1356" i="33"/>
  <c r="O1356" i="33" s="1"/>
  <c r="N1164" i="33"/>
  <c r="O1164" i="33" s="1"/>
  <c r="N1415" i="33"/>
  <c r="O1415" i="33" s="1"/>
  <c r="N2306" i="33"/>
  <c r="O2306" i="33" s="1"/>
  <c r="N1820" i="33"/>
  <c r="O1820" i="33" s="1"/>
  <c r="N195" i="33"/>
  <c r="O195" i="33" s="1"/>
  <c r="N444" i="33"/>
  <c r="O444" i="33" s="1"/>
  <c r="N52" i="33"/>
  <c r="O52" i="33" s="1"/>
  <c r="N270" i="33"/>
  <c r="O270" i="33" s="1"/>
  <c r="N145" i="33"/>
  <c r="O145" i="33" s="1"/>
  <c r="N511" i="33"/>
  <c r="O511" i="33" s="1"/>
  <c r="N868" i="33"/>
  <c r="O868" i="33" s="1"/>
  <c r="N802" i="33"/>
  <c r="O802" i="33" s="1"/>
  <c r="N539" i="33"/>
  <c r="O539" i="33" s="1"/>
  <c r="N979" i="33"/>
  <c r="O979" i="33" s="1"/>
  <c r="N1279" i="33"/>
  <c r="O1279" i="33" s="1"/>
  <c r="N1011" i="33"/>
  <c r="O1011" i="33" s="1"/>
  <c r="N1485" i="33"/>
  <c r="O1485" i="33" s="1"/>
  <c r="N1223" i="33"/>
  <c r="O1223" i="33" s="1"/>
  <c r="N1970" i="33"/>
  <c r="O1970" i="33" s="1"/>
  <c r="N2024" i="33"/>
  <c r="O2024" i="33" s="1"/>
  <c r="N1640" i="33"/>
  <c r="O1640" i="33" s="1"/>
  <c r="N237" i="33"/>
  <c r="O237" i="33" s="1"/>
  <c r="N1935" i="33"/>
  <c r="O1935" i="33" s="1"/>
  <c r="N2222" i="33"/>
  <c r="O2222" i="33" s="1"/>
  <c r="N2173" i="33"/>
  <c r="O2173" i="33" s="1"/>
  <c r="N2300" i="33"/>
  <c r="O2300" i="33" s="1"/>
  <c r="N2230" i="33"/>
  <c r="O2230" i="33" s="1"/>
  <c r="N2923" i="33"/>
  <c r="O2923" i="33" s="1"/>
  <c r="N2926" i="33"/>
  <c r="O2926" i="33" s="1"/>
  <c r="N2455" i="33"/>
  <c r="O2455" i="33" s="1"/>
  <c r="N198" i="33"/>
  <c r="O198" i="33" s="1"/>
  <c r="N491" i="33"/>
  <c r="O491" i="33" s="1"/>
  <c r="N1343" i="33"/>
  <c r="O1343" i="33" s="1"/>
  <c r="N1880" i="33"/>
  <c r="O1880" i="33" s="1"/>
  <c r="N2013" i="33"/>
  <c r="O2013" i="33" s="1"/>
  <c r="N2361" i="33"/>
  <c r="O2361" i="33" s="1"/>
  <c r="N2144" i="33"/>
  <c r="O2144" i="33" s="1"/>
  <c r="N2040" i="33"/>
  <c r="O2040" i="33" s="1"/>
  <c r="N2548" i="33"/>
  <c r="O2548" i="33" s="1"/>
  <c r="N2870" i="33"/>
  <c r="O2870" i="33" s="1"/>
  <c r="N2851" i="33"/>
  <c r="O2851" i="33" s="1"/>
  <c r="N807" i="33"/>
  <c r="O807" i="33" s="1"/>
  <c r="N2409" i="33"/>
  <c r="O2409" i="33" s="1"/>
  <c r="N1594" i="33"/>
  <c r="O1594" i="33" s="1"/>
  <c r="N2452" i="33"/>
  <c r="O2452" i="33" s="1"/>
  <c r="N655" i="33"/>
  <c r="O655" i="33" s="1"/>
  <c r="N1924" i="33"/>
  <c r="O1924" i="33" s="1"/>
  <c r="N2204" i="33"/>
  <c r="O2204" i="33" s="1"/>
  <c r="N1668" i="33"/>
  <c r="O1668" i="33" s="1"/>
  <c r="N2456" i="33"/>
  <c r="O2456" i="33" s="1"/>
  <c r="N2479" i="33"/>
  <c r="O2479" i="33" s="1"/>
  <c r="N2549" i="33"/>
  <c r="O2549" i="33" s="1"/>
  <c r="N2878" i="33"/>
  <c r="O2878" i="33" s="1"/>
  <c r="N2170" i="33"/>
  <c r="O2170" i="33" s="1"/>
  <c r="N2948" i="33"/>
  <c r="O2948" i="33" s="1"/>
  <c r="N1961" i="33"/>
  <c r="O1961" i="33" s="1"/>
  <c r="N56" i="33"/>
  <c r="O56" i="33" s="1"/>
  <c r="N1330" i="33"/>
  <c r="O1330" i="33" s="1"/>
  <c r="N1617" i="33"/>
  <c r="O1617" i="33" s="1"/>
  <c r="N1843" i="33"/>
  <c r="O1843" i="33" s="1"/>
  <c r="N1962" i="33"/>
  <c r="O1962" i="33" s="1"/>
  <c r="N2392" i="33"/>
  <c r="O2392" i="33" s="1"/>
  <c r="N2350" i="33"/>
  <c r="O2350" i="33" s="1"/>
  <c r="N2917" i="33"/>
  <c r="O2917" i="33" s="1"/>
  <c r="N2418" i="33"/>
  <c r="O2418" i="33" s="1"/>
  <c r="N223" i="33"/>
  <c r="O223" i="33" s="1"/>
  <c r="N2380" i="33"/>
  <c r="O2380" i="33" s="1"/>
  <c r="N636" i="33"/>
  <c r="O636" i="33" s="1"/>
  <c r="N1372" i="33"/>
  <c r="O1372" i="33" s="1"/>
  <c r="N1984" i="33"/>
  <c r="O1984" i="33" s="1"/>
  <c r="N2391" i="33"/>
  <c r="O2391" i="33" s="1"/>
  <c r="N2273" i="33"/>
  <c r="O2273" i="33" s="1"/>
  <c r="N2305" i="33"/>
  <c r="O2305" i="33" s="1"/>
  <c r="N1663" i="33"/>
  <c r="O1663" i="33" s="1"/>
  <c r="N2940" i="33"/>
  <c r="O2940" i="33" s="1"/>
  <c r="N1730" i="33"/>
  <c r="O1730" i="33" s="1"/>
  <c r="N817" i="33"/>
  <c r="O817" i="33" s="1"/>
  <c r="N1369" i="33"/>
  <c r="O1369" i="33" s="1"/>
  <c r="N1936" i="33"/>
  <c r="O1936" i="33" s="1"/>
  <c r="N2257" i="33"/>
  <c r="O2257" i="33" s="1"/>
  <c r="N1600" i="33"/>
  <c r="O1600" i="33" s="1"/>
  <c r="N1816" i="33"/>
  <c r="O1816" i="33" s="1"/>
  <c r="N1218" i="33"/>
  <c r="O1218" i="33" s="1"/>
  <c r="N725" i="33"/>
  <c r="O725" i="33" s="1"/>
  <c r="N1923" i="33"/>
  <c r="O1923" i="33" s="1"/>
  <c r="N1412" i="33"/>
  <c r="O1412" i="33" s="1"/>
  <c r="N930" i="33"/>
  <c r="O930" i="33" s="1"/>
  <c r="N1371" i="33"/>
  <c r="O1371" i="33" s="1"/>
  <c r="N1347" i="33"/>
  <c r="O1347" i="33" s="1"/>
  <c r="N532" i="33"/>
  <c r="O532" i="33" s="1"/>
  <c r="N330" i="33"/>
  <c r="O330" i="33" s="1"/>
  <c r="N1828" i="33"/>
  <c r="O1828" i="33" s="1"/>
  <c r="N1993" i="33"/>
  <c r="O1993" i="33" s="1"/>
  <c r="N2518" i="33"/>
  <c r="O2518" i="33" s="1"/>
  <c r="N2945" i="33"/>
  <c r="O2945" i="33" s="1"/>
  <c r="N1930" i="33"/>
  <c r="O1930" i="33" s="1"/>
  <c r="N2939" i="33"/>
  <c r="O2939" i="33" s="1"/>
  <c r="N2240" i="33"/>
  <c r="O2240" i="33" s="1"/>
  <c r="N1881" i="33"/>
  <c r="O1881" i="33" s="1"/>
  <c r="N1928" i="33"/>
  <c r="O1928" i="33" s="1"/>
  <c r="N1753" i="33"/>
  <c r="O1753" i="33" s="1"/>
  <c r="N680" i="33"/>
  <c r="O680" i="33" s="1"/>
  <c r="N84" i="33"/>
  <c r="O84" i="33" s="1"/>
  <c r="N785" i="33"/>
  <c r="O785" i="33" s="1"/>
  <c r="N291" i="33"/>
  <c r="O291" i="33" s="1"/>
  <c r="N861" i="33"/>
  <c r="O861" i="33" s="1"/>
  <c r="N402" i="33"/>
  <c r="O402" i="33" s="1"/>
  <c r="N256" i="33"/>
  <c r="O256" i="33" s="1"/>
  <c r="N1383" i="33"/>
  <c r="O1383" i="33" s="1"/>
  <c r="N1036" i="33"/>
  <c r="O1036" i="33" s="1"/>
  <c r="N840" i="33"/>
  <c r="O840" i="33" s="1"/>
  <c r="N722" i="33"/>
  <c r="O722" i="33" s="1"/>
  <c r="N1657" i="33"/>
  <c r="O1657" i="33" s="1"/>
  <c r="N1341" i="33"/>
  <c r="O1341" i="33" s="1"/>
  <c r="N1155" i="33"/>
  <c r="O1155" i="33" s="1"/>
  <c r="N1517" i="33"/>
  <c r="O1517" i="33" s="1"/>
  <c r="N1750" i="33"/>
  <c r="O1750" i="33" s="1"/>
  <c r="N1807" i="33"/>
  <c r="O1807" i="33" s="1"/>
  <c r="N2017" i="33"/>
  <c r="O2017" i="33" s="1"/>
  <c r="N8" i="33"/>
  <c r="O8" i="33" s="1"/>
  <c r="N317" i="33"/>
  <c r="O317" i="33" s="1"/>
  <c r="N424" i="33"/>
  <c r="O424" i="33" s="1"/>
  <c r="N821" i="33"/>
  <c r="O821" i="33" s="1"/>
  <c r="N719" i="33"/>
  <c r="O719" i="33" s="1"/>
  <c r="N1482" i="33"/>
  <c r="O1482" i="33" s="1"/>
  <c r="N841" i="33"/>
  <c r="O841" i="33" s="1"/>
  <c r="N1385" i="33"/>
  <c r="O1385" i="33" s="1"/>
  <c r="N1239" i="33"/>
  <c r="O1239" i="33" s="1"/>
  <c r="N1471" i="33"/>
  <c r="O1471" i="33" s="1"/>
  <c r="N1824" i="33"/>
  <c r="O1824" i="33" s="1"/>
  <c r="N221" i="33"/>
  <c r="O221" i="33" s="1"/>
  <c r="N495" i="33"/>
  <c r="O495" i="33" s="1"/>
  <c r="N334" i="33"/>
  <c r="O334" i="33" s="1"/>
  <c r="N716" i="33"/>
  <c r="O716" i="33" s="1"/>
  <c r="N1417" i="33"/>
  <c r="O1417" i="33" s="1"/>
  <c r="N933" i="33"/>
  <c r="O933" i="33" s="1"/>
  <c r="N782" i="33"/>
  <c r="O782" i="33" s="1"/>
  <c r="N1321" i="33"/>
  <c r="O1321" i="33" s="1"/>
  <c r="N1433" i="33"/>
  <c r="O1433" i="33" s="1"/>
  <c r="N1333" i="33"/>
  <c r="O1333" i="33" s="1"/>
  <c r="N2394" i="33"/>
  <c r="O2394" i="33" s="1"/>
  <c r="N1395" i="33"/>
  <c r="O1395" i="33" s="1"/>
  <c r="N2152" i="33"/>
  <c r="O2152" i="33" s="1"/>
  <c r="N1799" i="33"/>
  <c r="O1799" i="33" s="1"/>
  <c r="N425" i="33"/>
  <c r="O425" i="33" s="1"/>
  <c r="N91" i="33"/>
  <c r="O91" i="33" s="1"/>
  <c r="N895" i="33"/>
  <c r="O895" i="33" s="1"/>
  <c r="N428" i="33"/>
  <c r="O428" i="33" s="1"/>
  <c r="N779" i="33"/>
  <c r="O779" i="33" s="1"/>
  <c r="N612" i="33"/>
  <c r="O612" i="33" s="1"/>
  <c r="N965" i="33"/>
  <c r="O965" i="33" s="1"/>
  <c r="N842" i="33"/>
  <c r="O842" i="33" s="1"/>
  <c r="N2951" i="33"/>
  <c r="O2951" i="33" s="1"/>
  <c r="N1418" i="33"/>
  <c r="O1418" i="33" s="1"/>
  <c r="N1370" i="33"/>
  <c r="O1370" i="33" s="1"/>
  <c r="N1899" i="33"/>
  <c r="O1899" i="33" s="1"/>
  <c r="N1876" i="33"/>
  <c r="O1876" i="33" s="1"/>
  <c r="N1893" i="33"/>
  <c r="O1893" i="33" s="1"/>
  <c r="N2284" i="33"/>
  <c r="O2284" i="33" s="1"/>
  <c r="N718" i="33"/>
  <c r="O718" i="33" s="1"/>
  <c r="N257" i="33"/>
  <c r="O257" i="33" s="1"/>
  <c r="N829" i="33"/>
  <c r="O829" i="33" s="1"/>
  <c r="N311" i="33"/>
  <c r="O311" i="33" s="1"/>
  <c r="N153" i="33"/>
  <c r="O153" i="33" s="1"/>
  <c r="N1345" i="33"/>
  <c r="O1345" i="33" s="1"/>
  <c r="N957" i="33"/>
  <c r="O957" i="33" s="1"/>
  <c r="N808" i="33"/>
  <c r="O808" i="33" s="1"/>
  <c r="N630" i="33"/>
  <c r="O630" i="33" s="1"/>
  <c r="N1565" i="33"/>
  <c r="O1565" i="33" s="1"/>
  <c r="N1189" i="33"/>
  <c r="O1189" i="33" s="1"/>
  <c r="N977" i="33"/>
  <c r="O977" i="33" s="1"/>
  <c r="N1449" i="33"/>
  <c r="O1449" i="33" s="1"/>
  <c r="N1665" i="33"/>
  <c r="O1665" i="33" s="1"/>
  <c r="N1772" i="33"/>
  <c r="O1772" i="33" s="1"/>
  <c r="N1999" i="33"/>
  <c r="O1999" i="33" s="1"/>
  <c r="N2405" i="33"/>
  <c r="O2405" i="33" s="1"/>
  <c r="N156" i="33"/>
  <c r="O156" i="33" s="1"/>
  <c r="N347" i="33"/>
  <c r="O347" i="33" s="1"/>
  <c r="N86" i="33"/>
  <c r="O86" i="33" s="1"/>
  <c r="N492" i="33"/>
  <c r="O492" i="33" s="1"/>
  <c r="N851" i="33"/>
  <c r="O851" i="33" s="1"/>
  <c r="N791" i="33"/>
  <c r="O791" i="33" s="1"/>
  <c r="N574" i="33"/>
  <c r="O574" i="33" s="1"/>
  <c r="N873" i="33"/>
  <c r="O873" i="33" s="1"/>
  <c r="N1422" i="33"/>
  <c r="O1422" i="33" s="1"/>
  <c r="N1538" i="33"/>
  <c r="O1538" i="33" s="1"/>
  <c r="N1413" i="33"/>
  <c r="O1413" i="33" s="1"/>
  <c r="N1315" i="33"/>
  <c r="O1315" i="33" s="1"/>
  <c r="N1494" i="33"/>
  <c r="O1494" i="33" s="1"/>
  <c r="N1589" i="33"/>
  <c r="O1589" i="33" s="1"/>
  <c r="N1878" i="33"/>
  <c r="O1878" i="33" s="1"/>
  <c r="N1887" i="33"/>
  <c r="O1887" i="33" s="1"/>
  <c r="N376" i="33"/>
  <c r="O376" i="33" s="1"/>
  <c r="N405" i="33"/>
  <c r="O405" i="33" s="1"/>
  <c r="N161" i="33"/>
  <c r="O161" i="33" s="1"/>
  <c r="N462" i="33"/>
  <c r="O462" i="33" s="1"/>
  <c r="N271" i="33"/>
  <c r="O271" i="33" s="1"/>
  <c r="N631" i="33"/>
  <c r="O631" i="33" s="1"/>
  <c r="N968" i="33"/>
  <c r="O968" i="33" s="1"/>
  <c r="N871" i="33"/>
  <c r="O871" i="33" s="1"/>
  <c r="N608" i="33"/>
  <c r="O608" i="33" s="1"/>
  <c r="N1257" i="33"/>
  <c r="O1257" i="33" s="1"/>
  <c r="N1268" i="33"/>
  <c r="O1268" i="33" s="1"/>
  <c r="N1364" i="33"/>
  <c r="O1364" i="33" s="1"/>
  <c r="N2006" i="33"/>
  <c r="O2006" i="33" s="1"/>
  <c r="N1639" i="33"/>
  <c r="O1639" i="33" s="1"/>
  <c r="N1375" i="33"/>
  <c r="O1375" i="33" s="1"/>
  <c r="N2000" i="33"/>
  <c r="O2000" i="33" s="1"/>
  <c r="N2869" i="33"/>
  <c r="O2869" i="33" s="1"/>
  <c r="N2308" i="33"/>
  <c r="O2308" i="33" s="1"/>
  <c r="N2385" i="33"/>
  <c r="O2385" i="33" s="1"/>
  <c r="N2521" i="33"/>
  <c r="O2521" i="33" s="1"/>
  <c r="N2288" i="33"/>
  <c r="O2288" i="33" s="1"/>
  <c r="N2474" i="33"/>
  <c r="O2474" i="33" s="1"/>
  <c r="N388" i="33"/>
  <c r="O388" i="33" s="1"/>
  <c r="N1791" i="33"/>
  <c r="O1791" i="33" s="1"/>
  <c r="N1954" i="33"/>
  <c r="O1954" i="33" s="1"/>
  <c r="N2261" i="33"/>
  <c r="O2261" i="33" s="1"/>
  <c r="N2179" i="33"/>
  <c r="O2179" i="33" s="1"/>
  <c r="N2315" i="33"/>
  <c r="O2315" i="33" s="1"/>
  <c r="N2234" i="33"/>
  <c r="O2234" i="33" s="1"/>
  <c r="N2931" i="33"/>
  <c r="O2931" i="33" s="1"/>
  <c r="N2934" i="33"/>
  <c r="O2934" i="33" s="1"/>
  <c r="N1435" i="33"/>
  <c r="O1435" i="33" s="1"/>
  <c r="N2137" i="33"/>
  <c r="O2137" i="33" s="1"/>
  <c r="N1661" i="33"/>
  <c r="O1661" i="33" s="1"/>
  <c r="N1216" i="33"/>
  <c r="O1216" i="33" s="1"/>
  <c r="N2160" i="33"/>
  <c r="O2160" i="33" s="1"/>
  <c r="N2487" i="33"/>
  <c r="O2487" i="33" s="1"/>
  <c r="N1796" i="33"/>
  <c r="O1796" i="33" s="1"/>
  <c r="N2132" i="33"/>
  <c r="O2132" i="33" s="1"/>
  <c r="N2031" i="33"/>
  <c r="O2031" i="33" s="1"/>
  <c r="N1985" i="33"/>
  <c r="O1985" i="33" s="1"/>
  <c r="N2852" i="33"/>
  <c r="O2852" i="33" s="1"/>
  <c r="N1921" i="33"/>
  <c r="O1921" i="33" s="1"/>
  <c r="N310" i="33"/>
  <c r="O310" i="33" s="1"/>
  <c r="N1021" i="33"/>
  <c r="O1021" i="33" s="1"/>
  <c r="N1795" i="33"/>
  <c r="O1795" i="33" s="1"/>
  <c r="N1920" i="33"/>
  <c r="O1920" i="33" s="1"/>
  <c r="N2005" i="33"/>
  <c r="O2005" i="33" s="1"/>
  <c r="N2496" i="33"/>
  <c r="O2496" i="33" s="1"/>
  <c r="N2503" i="33"/>
  <c r="O2503" i="33" s="1"/>
  <c r="N380" i="33"/>
  <c r="O380" i="33" s="1"/>
  <c r="N2369" i="33"/>
  <c r="O2369" i="33" s="1"/>
  <c r="N1489" i="33"/>
  <c r="O1489" i="33" s="1"/>
  <c r="N981" i="33"/>
  <c r="O981" i="33" s="1"/>
  <c r="N2010" i="33"/>
  <c r="O2010" i="33" s="1"/>
  <c r="N2027" i="33"/>
  <c r="O2027" i="33" s="1"/>
  <c r="N1629" i="33"/>
  <c r="O1629" i="33" s="1"/>
  <c r="N2430" i="33"/>
  <c r="O2430" i="33" s="1"/>
  <c r="N2410" i="33"/>
  <c r="O2410" i="33" s="1"/>
  <c r="N2921" i="33"/>
  <c r="O2921" i="33" s="1"/>
  <c r="N1642" i="33"/>
  <c r="O1642" i="33" s="1"/>
  <c r="N2910" i="33"/>
  <c r="O2910" i="33" s="1"/>
  <c r="N2154" i="33"/>
  <c r="O2154" i="33" s="1"/>
  <c r="N397" i="33"/>
  <c r="O397" i="33" s="1"/>
  <c r="N1191" i="33"/>
  <c r="O1191" i="33" s="1"/>
  <c r="N1911" i="33"/>
  <c r="O1911" i="33" s="1"/>
  <c r="N2044" i="33"/>
  <c r="O2044" i="33" s="1"/>
  <c r="N2143" i="33"/>
  <c r="O2143" i="33" s="1"/>
  <c r="N2260" i="33"/>
  <c r="O2260" i="33" s="1"/>
  <c r="N2163" i="33"/>
  <c r="O2163" i="33" s="1"/>
  <c r="N2899" i="33"/>
  <c r="O2899" i="33" s="1"/>
  <c r="N2901" i="33"/>
  <c r="O2901" i="33" s="1"/>
  <c r="N1812" i="33"/>
  <c r="O1812" i="33" s="1"/>
  <c r="N1680" i="33"/>
  <c r="O1680" i="33" s="1"/>
  <c r="N2947" i="33"/>
  <c r="O2947" i="33" s="1"/>
  <c r="N305" i="33"/>
  <c r="O305" i="33" s="1"/>
  <c r="N833" i="33"/>
  <c r="O833" i="33" s="1"/>
  <c r="N1811" i="33"/>
  <c r="O1811" i="33" s="1"/>
  <c r="N1430" i="33"/>
  <c r="O1430" i="33" s="1"/>
  <c r="N1940" i="33"/>
  <c r="O1940" i="33" s="1"/>
  <c r="N399" i="33"/>
  <c r="O399" i="33" s="1"/>
  <c r="N952" i="33"/>
  <c r="O952" i="33" s="1"/>
  <c r="N1891" i="33"/>
  <c r="O1891" i="33" s="1"/>
  <c r="N774" i="33"/>
  <c r="O774" i="33" s="1"/>
  <c r="N1491" i="33"/>
  <c r="O1491" i="33" s="1"/>
  <c r="N379" i="33"/>
  <c r="O379" i="33" s="1"/>
  <c r="N1344" i="33"/>
  <c r="O1344" i="33" s="1"/>
  <c r="N2269" i="33"/>
  <c r="O2269" i="33" s="1"/>
  <c r="N269" i="33"/>
  <c r="O269" i="33" s="1"/>
  <c r="N507" i="33"/>
  <c r="O507" i="33" s="1"/>
  <c r="N1478" i="33"/>
  <c r="O1478" i="33" s="1"/>
  <c r="N485" i="33"/>
  <c r="O485" i="33" s="1"/>
  <c r="N1384" i="33"/>
  <c r="O1384" i="33" s="1"/>
  <c r="N853" i="33"/>
  <c r="O853" i="33" s="1"/>
  <c r="N2462" i="33"/>
  <c r="O2462" i="33" s="1"/>
  <c r="N366" i="33"/>
  <c r="O366" i="33" s="1"/>
  <c r="N2310" i="33"/>
  <c r="O2310" i="33" s="1"/>
  <c r="N2125" i="33"/>
  <c r="O2125" i="33" s="1"/>
  <c r="N2320" i="33"/>
  <c r="O2320" i="33" s="1"/>
  <c r="N2026" i="33"/>
  <c r="O2026" i="33" s="1"/>
  <c r="N2149" i="33"/>
  <c r="O2149" i="33" s="1"/>
  <c r="N2009" i="33"/>
  <c r="O2009" i="33" s="1"/>
  <c r="N2857" i="33"/>
  <c r="O2857" i="33" s="1"/>
  <c r="N1906" i="33"/>
  <c r="O1906" i="33" s="1"/>
  <c r="N2292" i="33"/>
  <c r="O2292" i="33" s="1"/>
  <c r="N713" i="33"/>
  <c r="O713" i="33" s="1"/>
  <c r="N1539" i="33"/>
  <c r="O1539" i="33" s="1"/>
  <c r="N206" i="33"/>
  <c r="O206" i="33" s="1"/>
  <c r="N200" i="33"/>
  <c r="O200" i="33" s="1"/>
  <c r="N454" i="33"/>
  <c r="O454" i="33" s="1"/>
  <c r="N385" i="33"/>
  <c r="O385" i="33" s="1"/>
  <c r="N62" i="33"/>
  <c r="O62" i="33" s="1"/>
  <c r="N517" i="33"/>
  <c r="O517" i="33" s="1"/>
  <c r="N398" i="33"/>
  <c r="O398" i="33" s="1"/>
  <c r="N560" i="33"/>
  <c r="O560" i="33" s="1"/>
  <c r="N594" i="33"/>
  <c r="O594" i="33" s="1"/>
  <c r="N923" i="33"/>
  <c r="O923" i="33" s="1"/>
  <c r="N820" i="33"/>
  <c r="O820" i="33" s="1"/>
  <c r="N2928" i="33"/>
  <c r="O2928" i="33" s="1"/>
  <c r="N1396" i="33"/>
  <c r="O1396" i="33" s="1"/>
  <c r="N1348" i="33"/>
  <c r="O1348" i="33" s="1"/>
  <c r="N1875" i="33"/>
  <c r="O1875" i="33" s="1"/>
  <c r="N1840" i="33"/>
  <c r="O1840" i="33" s="1"/>
  <c r="N1871" i="33"/>
  <c r="O1871" i="33" s="1"/>
  <c r="N2226" i="33"/>
  <c r="O2226" i="33" s="1"/>
  <c r="N801" i="33"/>
  <c r="O801" i="33" s="1"/>
  <c r="N461" i="33"/>
  <c r="O461" i="33" s="1"/>
  <c r="N394" i="33"/>
  <c r="O394" i="33" s="1"/>
  <c r="N144" i="33"/>
  <c r="O144" i="33" s="1"/>
  <c r="N513" i="33"/>
  <c r="O513" i="33" s="1"/>
  <c r="N889" i="33"/>
  <c r="O889" i="33" s="1"/>
  <c r="N823" i="33"/>
  <c r="O823" i="33" s="1"/>
  <c r="N591" i="33"/>
  <c r="O591" i="33" s="1"/>
  <c r="N940" i="33"/>
  <c r="O940" i="33" s="1"/>
  <c r="N1472" i="33"/>
  <c r="O1472" i="33" s="1"/>
  <c r="N1592" i="33"/>
  <c r="O1592" i="33" s="1"/>
  <c r="N1475" i="33"/>
  <c r="O1475" i="33" s="1"/>
  <c r="N1349" i="33"/>
  <c r="O1349" i="33" s="1"/>
  <c r="N1546" i="33"/>
  <c r="O1546" i="33" s="1"/>
  <c r="N1615" i="33"/>
  <c r="O1615" i="33" s="1"/>
  <c r="N1917" i="33"/>
  <c r="O1917" i="33" s="1"/>
  <c r="N23" i="33"/>
  <c r="O23" i="33" s="1"/>
  <c r="N326" i="33"/>
  <c r="O326" i="33" s="1"/>
  <c r="N25" i="33"/>
  <c r="O25" i="33" s="1"/>
  <c r="N441" i="33"/>
  <c r="O441" i="33" s="1"/>
  <c r="N827" i="33"/>
  <c r="O827" i="33" s="1"/>
  <c r="N724" i="33"/>
  <c r="O724" i="33" s="1"/>
  <c r="N1526" i="33"/>
  <c r="O1526" i="33" s="1"/>
  <c r="N849" i="33"/>
  <c r="O849" i="33" s="1"/>
  <c r="N1399" i="33"/>
  <c r="O1399" i="33" s="1"/>
  <c r="N1521" i="33"/>
  <c r="O1521" i="33" s="1"/>
  <c r="N1394" i="33"/>
  <c r="O1394" i="33" s="1"/>
  <c r="N1252" i="33"/>
  <c r="O1252" i="33" s="1"/>
  <c r="N1476" i="33"/>
  <c r="O1476" i="33" s="1"/>
  <c r="N2417" i="33"/>
  <c r="O2417" i="33" s="1"/>
  <c r="N1829" i="33"/>
  <c r="O1829" i="33" s="1"/>
  <c r="N1846" i="33"/>
  <c r="O1846" i="33" s="1"/>
  <c r="N10" i="33"/>
  <c r="O10" i="33" s="1"/>
  <c r="N208" i="33"/>
  <c r="O208" i="33" s="1"/>
  <c r="N99" i="33"/>
  <c r="O99" i="33" s="1"/>
  <c r="N790" i="33"/>
  <c r="O790" i="33" s="1"/>
  <c r="N844" i="33"/>
  <c r="O844" i="33" s="1"/>
  <c r="N781" i="33"/>
  <c r="O781" i="33" s="1"/>
  <c r="N1956" i="33"/>
  <c r="O1956" i="33" s="1"/>
  <c r="N947" i="33"/>
  <c r="O947" i="33" s="1"/>
  <c r="N1254" i="33"/>
  <c r="O1254" i="33" s="1"/>
  <c r="N1436" i="33"/>
  <c r="O1436" i="33" s="1"/>
  <c r="N1156" i="33"/>
  <c r="O1156" i="33" s="1"/>
  <c r="N1939" i="33"/>
  <c r="O1939" i="33" s="1"/>
  <c r="N1958" i="33"/>
  <c r="O1958" i="33" s="1"/>
  <c r="N1596" i="33"/>
  <c r="O1596" i="33" s="1"/>
  <c r="N199" i="33"/>
  <c r="O199" i="33" s="1"/>
  <c r="N335" i="33"/>
  <c r="O335" i="33" s="1"/>
  <c r="N1188" i="33"/>
  <c r="O1188" i="33" s="1"/>
  <c r="N459" i="33"/>
  <c r="O459" i="33" s="1"/>
  <c r="N304" i="33"/>
  <c r="O304" i="33" s="1"/>
  <c r="N557" i="33"/>
  <c r="O557" i="33" s="1"/>
  <c r="N872" i="33"/>
  <c r="O872" i="33" s="1"/>
  <c r="N788" i="33"/>
  <c r="O788" i="33" s="1"/>
  <c r="N2476" i="33"/>
  <c r="O2476" i="33" s="1"/>
  <c r="N1368" i="33"/>
  <c r="O1368" i="33" s="1"/>
  <c r="N1272" i="33"/>
  <c r="O1272" i="33" s="1"/>
  <c r="N1579" i="33"/>
  <c r="O1579" i="33" s="1"/>
  <c r="N1797" i="33"/>
  <c r="O1797" i="33" s="1"/>
  <c r="N1845" i="33"/>
  <c r="O1845" i="33" s="1"/>
  <c r="N2121" i="33"/>
  <c r="O2121" i="33" s="1"/>
  <c r="N147" i="33"/>
  <c r="O147" i="33" s="1"/>
  <c r="N438" i="33"/>
  <c r="O438" i="33" s="1"/>
  <c r="N196" i="33"/>
  <c r="O196" i="33" s="1"/>
  <c r="N55" i="33"/>
  <c r="O55" i="33" s="1"/>
  <c r="N948" i="33"/>
  <c r="O948" i="33" s="1"/>
  <c r="N854" i="33"/>
  <c r="O854" i="33" s="1"/>
  <c r="N607" i="33"/>
  <c r="O607" i="33" s="1"/>
  <c r="N1406" i="33"/>
  <c r="O1406" i="33" s="1"/>
  <c r="N2030" i="33"/>
  <c r="O2030" i="33" s="1"/>
  <c r="N1585" i="33"/>
  <c r="O1585" i="33" s="1"/>
  <c r="N1387" i="33"/>
  <c r="O1387" i="33" s="1"/>
  <c r="N1590" i="33"/>
  <c r="O1590" i="33" s="1"/>
  <c r="N1946" i="33"/>
  <c r="O1946" i="33" s="1"/>
  <c r="N1966" i="33"/>
  <c r="O1966" i="33" s="1"/>
  <c r="N284" i="33"/>
  <c r="O284" i="33" s="1"/>
  <c r="N516" i="33"/>
  <c r="O516" i="33" s="1"/>
  <c r="N392" i="33"/>
  <c r="O392" i="33" s="1"/>
  <c r="N794" i="33"/>
  <c r="O794" i="33" s="1"/>
  <c r="N638" i="33"/>
  <c r="O638" i="33" s="1"/>
  <c r="N1004" i="33"/>
  <c r="O1004" i="33" s="1"/>
  <c r="N814" i="33"/>
  <c r="O814" i="33" s="1"/>
  <c r="N1365" i="33"/>
  <c r="O1365" i="33" s="1"/>
  <c r="N1481" i="33"/>
  <c r="O1481" i="33" s="1"/>
  <c r="N1361" i="33"/>
  <c r="O1361" i="33" s="1"/>
  <c r="N1173" i="33"/>
  <c r="O1173" i="33" s="1"/>
  <c r="N1421" i="33"/>
  <c r="O1421" i="33" s="1"/>
  <c r="N2313" i="33"/>
  <c r="O2313" i="33" s="1"/>
  <c r="N1746" i="33"/>
  <c r="O1746" i="33" s="1"/>
  <c r="N1825" i="33"/>
  <c r="O1825" i="33" s="1"/>
  <c r="N997" i="33"/>
  <c r="O997" i="33" s="1"/>
  <c r="N1801" i="33"/>
  <c r="O1801" i="33" s="1"/>
  <c r="N2130" i="33"/>
  <c r="O2130" i="33" s="1"/>
  <c r="N2460" i="33"/>
  <c r="O2460" i="33" s="1"/>
  <c r="N2326" i="33"/>
  <c r="O2326" i="33" s="1"/>
  <c r="N2224" i="33"/>
  <c r="O2224" i="33" s="1"/>
  <c r="N521" i="33"/>
  <c r="O521" i="33" s="1"/>
  <c r="N1833" i="33"/>
  <c r="O1833" i="33" s="1"/>
  <c r="N2004" i="33"/>
  <c r="O2004" i="33" s="1"/>
  <c r="N1593" i="33"/>
  <c r="O1593" i="33" s="1"/>
  <c r="N2314" i="33"/>
  <c r="O2314" i="33" s="1"/>
  <c r="N2403" i="33"/>
  <c r="O2403" i="33" s="1"/>
  <c r="N2365" i="33"/>
  <c r="O2365" i="33" s="1"/>
  <c r="N2903" i="33"/>
  <c r="O2903" i="33" s="1"/>
  <c r="N1996" i="33"/>
  <c r="O1996" i="33" s="1"/>
  <c r="N874" i="33"/>
  <c r="O874" i="33" s="1"/>
  <c r="N1834" i="33"/>
  <c r="O1834" i="33" s="1"/>
  <c r="N1882" i="33"/>
  <c r="O1882" i="33" s="1"/>
  <c r="N2266" i="33"/>
  <c r="O2266" i="33" s="1"/>
  <c r="N2207" i="33"/>
  <c r="O2207" i="33" s="1"/>
  <c r="N2171" i="33"/>
  <c r="O2171" i="33" s="1"/>
  <c r="N2875" i="33"/>
  <c r="O2875" i="33" s="1"/>
  <c r="N2180" i="33"/>
  <c r="O2180" i="33" s="1"/>
  <c r="N2438" i="33"/>
  <c r="O2438" i="33" s="1"/>
  <c r="N152" i="33"/>
  <c r="O152" i="33" s="1"/>
  <c r="N1896" i="33"/>
  <c r="O1896" i="33" s="1"/>
  <c r="N2028" i="33"/>
  <c r="O2028" i="33" s="1"/>
  <c r="N2131" i="33"/>
  <c r="O2131" i="33" s="1"/>
  <c r="N2168" i="33"/>
  <c r="O2168" i="33" s="1"/>
  <c r="N2135" i="33"/>
  <c r="O2135" i="33" s="1"/>
  <c r="N2566" i="33"/>
  <c r="O2566" i="33" s="1"/>
  <c r="N2873" i="33"/>
  <c r="O2873" i="33" s="1"/>
  <c r="N867" i="33"/>
  <c r="O867" i="33" s="1"/>
  <c r="N1844" i="33"/>
  <c r="O1844" i="33" s="1"/>
  <c r="N458" i="33"/>
  <c r="O458" i="33" s="1"/>
  <c r="N886" i="33"/>
  <c r="O886" i="33" s="1"/>
  <c r="N2317" i="33"/>
  <c r="O2317" i="33" s="1"/>
  <c r="N2489" i="33"/>
  <c r="O2489" i="33" s="1"/>
  <c r="N2490" i="33"/>
  <c r="O2490" i="33" s="1"/>
  <c r="N2924" i="33"/>
  <c r="O2924" i="33" s="1"/>
  <c r="N2843" i="33"/>
  <c r="O2843" i="33" s="1"/>
  <c r="N2148" i="33"/>
  <c r="O2148" i="33" s="1"/>
  <c r="N805" i="33"/>
  <c r="O805" i="33" s="1"/>
  <c r="N1437" i="33"/>
  <c r="O1437" i="33" s="1"/>
  <c r="N1988" i="33"/>
  <c r="O1988" i="33" s="1"/>
  <c r="N2285" i="33"/>
  <c r="O2285" i="33" s="1"/>
  <c r="N2316" i="33"/>
  <c r="O2316" i="33" s="1"/>
  <c r="N2953" i="33"/>
  <c r="O2953" i="33" s="1"/>
  <c r="N1769" i="33"/>
  <c r="O1769" i="33" s="1"/>
  <c r="N2579" i="33"/>
  <c r="O2579" i="33" s="1"/>
  <c r="N2918" i="33"/>
  <c r="O2918" i="33" s="1"/>
  <c r="N654" i="33"/>
  <c r="O654" i="33" s="1"/>
  <c r="N1450" i="33"/>
  <c r="O1450" i="33" s="1"/>
  <c r="N518" i="33"/>
  <c r="O518" i="33" s="1"/>
  <c r="N1419" i="33"/>
  <c r="O1419" i="33" s="1"/>
  <c r="N717" i="33"/>
  <c r="O717" i="33" s="1"/>
  <c r="N1860" i="33"/>
  <c r="O1860" i="33" s="1"/>
  <c r="N599" i="33"/>
  <c r="O599" i="33" s="1"/>
  <c r="N1638" i="33"/>
  <c r="O1638" i="33" s="1"/>
  <c r="N951" i="33"/>
  <c r="O951" i="33" s="1"/>
  <c r="N1808" i="33"/>
  <c r="O1808" i="33" s="1"/>
  <c r="N22" i="33"/>
  <c r="O22" i="33" s="1"/>
  <c r="N973" i="33"/>
  <c r="O973" i="33" s="1"/>
  <c r="N2016" i="33"/>
  <c r="O2016" i="33" s="1"/>
  <c r="N804" i="33"/>
  <c r="O804" i="33" s="1"/>
  <c r="N2136" i="33"/>
  <c r="O2136" i="33" s="1"/>
  <c r="N2457" i="33"/>
  <c r="O2457" i="33" s="1"/>
  <c r="N1937" i="33"/>
  <c r="O1937" i="33" s="1"/>
  <c r="N2029" i="33"/>
  <c r="O2029" i="33" s="1"/>
  <c r="N2318" i="33"/>
  <c r="O2318" i="33" s="1"/>
  <c r="N2012" i="33"/>
  <c r="O2012" i="33" s="1"/>
  <c r="N2511" i="33"/>
  <c r="O2511" i="33" s="1"/>
  <c r="N2522" i="33"/>
  <c r="O2522" i="33" s="1"/>
  <c r="N1275" i="33"/>
  <c r="O1275" i="33" s="1"/>
  <c r="N1373" i="33"/>
  <c r="O1373" i="33" s="1"/>
  <c r="N489" i="33"/>
  <c r="O489" i="33" s="1"/>
  <c r="N514" i="33"/>
  <c r="O514" i="33" s="1"/>
  <c r="N150" i="33"/>
  <c r="O150" i="33" s="1"/>
  <c r="N43" i="33"/>
  <c r="O43" i="33" s="1"/>
  <c r="N493" i="33"/>
  <c r="O493" i="33" s="1"/>
  <c r="N816" i="33"/>
  <c r="O816" i="33" s="1"/>
  <c r="N714" i="33"/>
  <c r="O714" i="33" s="1"/>
  <c r="N1250" i="33"/>
  <c r="O1250" i="33" s="1"/>
  <c r="N903" i="33"/>
  <c r="O903" i="33" s="1"/>
  <c r="N1181" i="33"/>
  <c r="O1181" i="33" s="1"/>
  <c r="N1560" i="33"/>
  <c r="O1560" i="33" s="1"/>
  <c r="N1414" i="33"/>
  <c r="O1414" i="33" s="1"/>
  <c r="N1938" i="33"/>
  <c r="O1938" i="33" s="1"/>
  <c r="N1915" i="33"/>
  <c r="O1915" i="33" s="1"/>
  <c r="N1932" i="33"/>
  <c r="O1932" i="33" s="1"/>
  <c r="N2581" i="33"/>
  <c r="O2581" i="33" s="1"/>
  <c r="N103" i="33"/>
  <c r="O103" i="33" s="1"/>
  <c r="N155" i="33"/>
  <c r="O155" i="33" s="1"/>
  <c r="N210" i="33"/>
  <c r="O210" i="33" s="1"/>
  <c r="N525" i="33"/>
  <c r="O525" i="33" s="1"/>
  <c r="N255" i="33"/>
  <c r="O255" i="33" s="1"/>
  <c r="N100" i="33"/>
  <c r="O100" i="33" s="1"/>
  <c r="N1165" i="33"/>
  <c r="O1165" i="33" s="1"/>
  <c r="N911" i="33"/>
  <c r="O911" i="33" s="1"/>
  <c r="N787" i="33"/>
  <c r="O787" i="33" s="1"/>
  <c r="N559" i="33"/>
  <c r="O559" i="33" s="1"/>
  <c r="N1542" i="33"/>
  <c r="O1542" i="33" s="1"/>
  <c r="N1020" i="33"/>
  <c r="O1020" i="33" s="1"/>
  <c r="N1741" i="33"/>
  <c r="O1741" i="33" s="1"/>
  <c r="N1625" i="33"/>
  <c r="O1625" i="33" s="1"/>
  <c r="N1727" i="33"/>
  <c r="O1727" i="33" s="1"/>
  <c r="N1987" i="33"/>
  <c r="O1987" i="33" s="1"/>
  <c r="N466" i="33"/>
  <c r="O466" i="33" s="1"/>
  <c r="N404" i="33"/>
  <c r="O404" i="33" s="1"/>
  <c r="N151" i="33"/>
  <c r="O151" i="33" s="1"/>
  <c r="N523" i="33"/>
  <c r="O523" i="33" s="1"/>
  <c r="N914" i="33"/>
  <c r="O914" i="33" s="1"/>
  <c r="N830" i="33"/>
  <c r="O830" i="33" s="1"/>
  <c r="N595" i="33"/>
  <c r="O595" i="33" s="1"/>
  <c r="N953" i="33"/>
  <c r="O953" i="33" s="1"/>
  <c r="N1480" i="33"/>
  <c r="O1480" i="33" s="1"/>
  <c r="N1483" i="33"/>
  <c r="O1483" i="33" s="1"/>
  <c r="N1363" i="33"/>
  <c r="O1363" i="33" s="1"/>
  <c r="N1925" i="33"/>
  <c r="O1925" i="33" s="1"/>
  <c r="N1926" i="33"/>
  <c r="O1926" i="33" s="1"/>
  <c r="N102" i="33"/>
  <c r="O102" i="33" s="1"/>
  <c r="N391" i="33"/>
  <c r="O391" i="33" s="1"/>
  <c r="N224" i="33"/>
  <c r="O224" i="33" s="1"/>
  <c r="N552" i="33"/>
  <c r="O552" i="33" s="1"/>
  <c r="N936" i="33"/>
  <c r="O936" i="33" s="1"/>
  <c r="N847" i="33"/>
  <c r="O847" i="33" s="1"/>
  <c r="N575" i="33"/>
  <c r="O575" i="33" s="1"/>
  <c r="N1572" i="33"/>
  <c r="O1572" i="33" s="1"/>
  <c r="N1366" i="33"/>
  <c r="O1366" i="33" s="1"/>
  <c r="N1238" i="33"/>
  <c r="O1238" i="33" s="1"/>
  <c r="N1573" i="33"/>
  <c r="O1573" i="33" s="1"/>
  <c r="N1336" i="33"/>
  <c r="O1336" i="33" s="1"/>
  <c r="N1994" i="33"/>
  <c r="O1994" i="33" s="1"/>
  <c r="N1611" i="33"/>
  <c r="O1611" i="33" s="1"/>
  <c r="N442" i="33"/>
  <c r="O442" i="33" s="1"/>
  <c r="N94" i="33"/>
  <c r="O94" i="33" s="1"/>
  <c r="N910" i="33"/>
  <c r="O910" i="33" s="1"/>
  <c r="N446" i="33"/>
  <c r="O446" i="33" s="1"/>
  <c r="N784" i="33"/>
  <c r="O784" i="33" s="1"/>
  <c r="N628" i="33"/>
  <c r="O628" i="33" s="1"/>
  <c r="N971" i="33"/>
  <c r="O971" i="33" s="1"/>
  <c r="N850" i="33"/>
  <c r="O850" i="33" s="1"/>
  <c r="N1431" i="33"/>
  <c r="O1431" i="33" s="1"/>
  <c r="N1378" i="33"/>
  <c r="O1378" i="33" s="1"/>
  <c r="N1907" i="33"/>
  <c r="O1907" i="33" s="1"/>
  <c r="N1884" i="33"/>
  <c r="O1884" i="33" s="1"/>
  <c r="N1901" i="33"/>
  <c r="O1901" i="33" s="1"/>
  <c r="N2321" i="33"/>
  <c r="O2321" i="33" s="1"/>
  <c r="N265" i="33"/>
  <c r="O265" i="33" s="1"/>
  <c r="N837" i="33"/>
  <c r="O837" i="33" s="1"/>
  <c r="N333" i="33"/>
  <c r="O333" i="33" s="1"/>
  <c r="N159" i="33"/>
  <c r="O159" i="33" s="1"/>
  <c r="N1354" i="33"/>
  <c r="O1354" i="33" s="1"/>
  <c r="N963" i="33"/>
  <c r="O963" i="33" s="1"/>
  <c r="N819" i="33"/>
  <c r="O819" i="33" s="1"/>
  <c r="N641" i="33"/>
  <c r="O641" i="33" s="1"/>
  <c r="N1574" i="33"/>
  <c r="O1574" i="33" s="1"/>
  <c r="N1241" i="33"/>
  <c r="O1241" i="33" s="1"/>
  <c r="N983" i="33"/>
  <c r="O983" i="33" s="1"/>
  <c r="N1486" i="33"/>
  <c r="O1486" i="33" s="1"/>
  <c r="N1793" i="33"/>
  <c r="O1793" i="33" s="1"/>
  <c r="N2003" i="33"/>
  <c r="O2003" i="33" s="1"/>
  <c r="N2448" i="33"/>
  <c r="O2448" i="33" s="1"/>
  <c r="N293" i="33"/>
  <c r="O293" i="33" s="1"/>
  <c r="N367" i="33"/>
  <c r="O367" i="33" s="1"/>
  <c r="N92" i="33"/>
  <c r="O92" i="33" s="1"/>
  <c r="N496" i="33"/>
  <c r="O496" i="33" s="1"/>
  <c r="N859" i="33"/>
  <c r="O859" i="33" s="1"/>
  <c r="N796" i="33"/>
  <c r="O796" i="33" s="1"/>
  <c r="N578" i="33"/>
  <c r="O578" i="33" s="1"/>
  <c r="N892" i="33"/>
  <c r="O892" i="33" s="1"/>
  <c r="N1428" i="33"/>
  <c r="O1428" i="33" s="1"/>
  <c r="N1543" i="33"/>
  <c r="O1543" i="33" s="1"/>
  <c r="N1424" i="33"/>
  <c r="O1424" i="33" s="1"/>
  <c r="N1323" i="33"/>
  <c r="O1323" i="33" s="1"/>
  <c r="N1595" i="33"/>
  <c r="O1595" i="33" s="1"/>
  <c r="N1886" i="33"/>
  <c r="O1886" i="33" s="1"/>
  <c r="N1895" i="33"/>
  <c r="O1895" i="33" s="1"/>
  <c r="N832" i="33"/>
  <c r="O832" i="33" s="1"/>
  <c r="N2011" i="33"/>
  <c r="O2011" i="33" s="1"/>
  <c r="N2367" i="33"/>
  <c r="O2367" i="33" s="1"/>
  <c r="N1770" i="33"/>
  <c r="O1770" i="33" s="1"/>
  <c r="N2045" i="33"/>
  <c r="O2045" i="33" s="1"/>
  <c r="N2565" i="33"/>
  <c r="O2565" i="33" s="1"/>
  <c r="N2856" i="33"/>
  <c r="O2856" i="33" s="1"/>
  <c r="N2519" i="33"/>
  <c r="O2519" i="33" s="1"/>
  <c r="N2301" i="33"/>
  <c r="O2301" i="33" s="1"/>
  <c r="N590" i="33"/>
  <c r="O590" i="33" s="1"/>
  <c r="N1855" i="33"/>
  <c r="O1855" i="33" s="1"/>
  <c r="N2138" i="33"/>
  <c r="O2138" i="33" s="1"/>
  <c r="N1664" i="33"/>
  <c r="O1664" i="33" s="1"/>
  <c r="N2449" i="33"/>
  <c r="O2449" i="33" s="1"/>
  <c r="N2469" i="33"/>
  <c r="O2469" i="33" s="1"/>
  <c r="N2465" i="33"/>
  <c r="O2465" i="33" s="1"/>
  <c r="N2864" i="33"/>
  <c r="O2864" i="33" s="1"/>
  <c r="N1992" i="33"/>
  <c r="O1992" i="33" s="1"/>
  <c r="N1889" i="33"/>
  <c r="O1889" i="33" s="1"/>
  <c r="N510" i="33"/>
  <c r="O510" i="33" s="1"/>
  <c r="N1158" i="33"/>
  <c r="O1158" i="33" s="1"/>
  <c r="N1602" i="33"/>
  <c r="O1602" i="33" s="1"/>
  <c r="N1839" i="33"/>
  <c r="O1839" i="33" s="1"/>
  <c r="N1949" i="33"/>
  <c r="O1949" i="33" s="1"/>
  <c r="N2384" i="33"/>
  <c r="O2384" i="33" s="1"/>
  <c r="N2332" i="33"/>
  <c r="O2332" i="33" s="1"/>
  <c r="N2377" i="33"/>
  <c r="O2377" i="33" s="1"/>
  <c r="N2909" i="33"/>
  <c r="O2909" i="33" s="1"/>
  <c r="N2450" i="33"/>
  <c r="O2450" i="33" s="1"/>
  <c r="N488" i="33"/>
  <c r="O488" i="33" s="1"/>
  <c r="N2286" i="33"/>
  <c r="O2286" i="33" s="1"/>
  <c r="N515" i="33"/>
  <c r="O515" i="33" s="1"/>
  <c r="N1264" i="33"/>
  <c r="O1264" i="33" s="1"/>
  <c r="N1973" i="33"/>
  <c r="O1973" i="33" s="1"/>
  <c r="N2376" i="33"/>
  <c r="O2376" i="33" s="1"/>
  <c r="N2246" i="33"/>
  <c r="O2246" i="33" s="1"/>
  <c r="N2342" i="33"/>
  <c r="O2342" i="33" s="1"/>
  <c r="N2293" i="33"/>
  <c r="O2293" i="33" s="1"/>
  <c r="N2946" i="33"/>
  <c r="O2946" i="33" s="1"/>
  <c r="N2949" i="33"/>
  <c r="O2949" i="33" s="1"/>
  <c r="N1438" i="33"/>
  <c r="O1438" i="33" s="1"/>
  <c r="N2312" i="33"/>
  <c r="O2312" i="33" s="1"/>
  <c r="N2867" i="33"/>
  <c r="O2867" i="33" s="1"/>
  <c r="N624" i="33"/>
  <c r="O624" i="33" s="1"/>
  <c r="N2427" i="33"/>
  <c r="O2427" i="33" s="1"/>
  <c r="N1805" i="33"/>
  <c r="O1805" i="33" s="1"/>
  <c r="N2155" i="33"/>
  <c r="O2155" i="33" s="1"/>
  <c r="N2126" i="33"/>
  <c r="O2126" i="33" s="1"/>
  <c r="N2042" i="33"/>
  <c r="O2042" i="33" s="1"/>
  <c r="N2555" i="33"/>
  <c r="O2555" i="33" s="1"/>
  <c r="N870" i="33"/>
  <c r="O870" i="33" s="1"/>
  <c r="N2458" i="33"/>
  <c r="O2458" i="33" s="1"/>
  <c r="N649" i="33"/>
  <c r="O649" i="33" s="1"/>
  <c r="N2324" i="33"/>
  <c r="O2324" i="33" s="1"/>
  <c r="N2035" i="33"/>
  <c r="O2035" i="33" s="1"/>
  <c r="N1636" i="33"/>
  <c r="O1636" i="33" s="1"/>
  <c r="N2363" i="33"/>
  <c r="O2363" i="33" s="1"/>
  <c r="N2426" i="33"/>
  <c r="O2426" i="33" s="1"/>
  <c r="N2929" i="33"/>
  <c r="O2929" i="33" s="1"/>
  <c r="N2311" i="33"/>
  <c r="O2311" i="33" s="1"/>
  <c r="N417" i="33"/>
  <c r="O417" i="33" s="1"/>
  <c r="N59" i="33"/>
  <c r="O59" i="33" s="1"/>
  <c r="N418" i="33"/>
  <c r="O418" i="33" s="1"/>
  <c r="N2943" i="33"/>
  <c r="O2943" i="33" s="1"/>
  <c r="N1635" i="33"/>
  <c r="O1635" i="33" s="1"/>
  <c r="N158" i="33"/>
  <c r="O158" i="33" s="1"/>
  <c r="N1495" i="33"/>
  <c r="O1495" i="33" s="1"/>
  <c r="N508" i="33"/>
  <c r="O508" i="33" s="1"/>
  <c r="N1451" i="33"/>
  <c r="O1451" i="33" s="1"/>
  <c r="N797" i="33"/>
  <c r="O797" i="33" s="1"/>
  <c r="N1957" i="33"/>
  <c r="O1957" i="33" s="1"/>
  <c r="N435" i="33"/>
  <c r="O435" i="33" s="1"/>
  <c r="N503" i="33"/>
  <c r="O503" i="33" s="1"/>
  <c r="N1334" i="33"/>
  <c r="O1334" i="33" s="1"/>
  <c r="N1332" i="33"/>
  <c r="O1332" i="33" s="1"/>
  <c r="N1555" i="33"/>
  <c r="O1555" i="33" s="1"/>
  <c r="N2900" i="33"/>
  <c r="O2900" i="33" s="1"/>
  <c r="N487" i="33"/>
  <c r="O487" i="33" s="1"/>
  <c r="N547" i="33"/>
  <c r="O547" i="33" s="1"/>
  <c r="N2034" i="33"/>
  <c r="O2034" i="33" s="1"/>
  <c r="N2935" i="33"/>
  <c r="O2935" i="33" s="1"/>
  <c r="N2508" i="33"/>
  <c r="O2508" i="33" s="1"/>
  <c r="N2930" i="33"/>
  <c r="O2930" i="33" s="1"/>
  <c r="N2256" i="33"/>
  <c r="O2256" i="33" s="1"/>
  <c r="N531" i="33"/>
  <c r="O531" i="33" s="1"/>
  <c r="N318" i="33"/>
  <c r="O318" i="33" s="1"/>
  <c r="N89" i="33"/>
  <c r="O89" i="33" s="1"/>
  <c r="N319" i="33"/>
  <c r="O319" i="33" s="1"/>
  <c r="N193" i="33"/>
  <c r="O193" i="33" s="1"/>
  <c r="N520" i="33"/>
  <c r="O520" i="33" s="1"/>
  <c r="N894" i="33"/>
  <c r="O894" i="33" s="1"/>
  <c r="N818" i="33"/>
  <c r="O818" i="33" s="1"/>
  <c r="N558" i="33"/>
  <c r="O558" i="33" s="1"/>
  <c r="N1213" i="33"/>
  <c r="O1213" i="33" s="1"/>
  <c r="N1339" i="33"/>
  <c r="O1339" i="33" s="1"/>
  <c r="N1172" i="33"/>
  <c r="O1172" i="33" s="1"/>
  <c r="N1556" i="33"/>
  <c r="O1556" i="33" s="1"/>
  <c r="N1269" i="33"/>
  <c r="O1269" i="33" s="1"/>
  <c r="N1982" i="33"/>
  <c r="O1982" i="33" s="1"/>
  <c r="N2515" i="33"/>
  <c r="O2515" i="33" s="1"/>
  <c r="N1658" i="33"/>
  <c r="O1658" i="33" s="1"/>
  <c r="N316" i="33"/>
  <c r="O316" i="33" s="1"/>
  <c r="N869" i="33"/>
  <c r="O869" i="33" s="1"/>
  <c r="N440" i="33"/>
  <c r="O440" i="33" s="1"/>
  <c r="N272" i="33"/>
  <c r="O272" i="33" s="1"/>
  <c r="N1392" i="33"/>
  <c r="O1392" i="33" s="1"/>
  <c r="N1411" i="33"/>
  <c r="O1411" i="33" s="1"/>
  <c r="N848" i="33"/>
  <c r="O848" i="33" s="1"/>
  <c r="N768" i="33"/>
  <c r="O768" i="33" s="1"/>
  <c r="N1346" i="33"/>
  <c r="O1346" i="33" s="1"/>
  <c r="N1226" i="33"/>
  <c r="O1226" i="33" s="1"/>
  <c r="N1550" i="33"/>
  <c r="O1550" i="33" s="1"/>
  <c r="N1767" i="33"/>
  <c r="O1767" i="33" s="1"/>
  <c r="N1815" i="33"/>
  <c r="O1815" i="33" s="1"/>
  <c r="N285" i="33"/>
  <c r="O285" i="33" s="1"/>
  <c r="N231" i="33"/>
  <c r="O231" i="33" s="1"/>
  <c r="N225" i="33"/>
  <c r="O225" i="33" s="1"/>
  <c r="N769" i="33"/>
  <c r="O769" i="33" s="1"/>
  <c r="N263" i="33"/>
  <c r="O263" i="33" s="1"/>
  <c r="N107" i="33"/>
  <c r="O107" i="33" s="1"/>
  <c r="N1331" i="33"/>
  <c r="O1331" i="33" s="1"/>
  <c r="N927" i="33"/>
  <c r="O927" i="33" s="1"/>
  <c r="N792" i="33"/>
  <c r="O792" i="33" s="1"/>
  <c r="N567" i="33"/>
  <c r="O567" i="33" s="1"/>
  <c r="N1547" i="33"/>
  <c r="O1547" i="33" s="1"/>
  <c r="N1029" i="33"/>
  <c r="O1029" i="33" s="1"/>
  <c r="N1836" i="33"/>
  <c r="O1836" i="33" s="1"/>
  <c r="N1432" i="33"/>
  <c r="O1432" i="33" s="1"/>
  <c r="N1637" i="33"/>
  <c r="O1637" i="33" s="1"/>
  <c r="N1745" i="33"/>
  <c r="O1745" i="33" s="1"/>
  <c r="N1991" i="33"/>
  <c r="O1991" i="33" s="1"/>
  <c r="N2147" i="33"/>
  <c r="O2147" i="33" s="1"/>
  <c r="N226" i="33"/>
  <c r="O226" i="33" s="1"/>
  <c r="N504" i="33"/>
  <c r="O504" i="33" s="1"/>
  <c r="N342" i="33"/>
  <c r="O342" i="33" s="1"/>
  <c r="N773" i="33"/>
  <c r="O773" i="33" s="1"/>
  <c r="N611" i="33"/>
  <c r="O611" i="33" s="1"/>
  <c r="N945" i="33"/>
  <c r="O945" i="33" s="1"/>
  <c r="N793" i="33"/>
  <c r="O793" i="33" s="1"/>
  <c r="N1337" i="33"/>
  <c r="O1337" i="33" s="1"/>
  <c r="N1444" i="33"/>
  <c r="O1444" i="33" s="1"/>
  <c r="N1342" i="33"/>
  <c r="O1342" i="33" s="1"/>
  <c r="N1003" i="33"/>
  <c r="O1003" i="33" s="1"/>
  <c r="N1403" i="33"/>
  <c r="O1403" i="33" s="1"/>
  <c r="N2231" i="33"/>
  <c r="O2231" i="33" s="1"/>
  <c r="N1802" i="33"/>
  <c r="O1802" i="33" s="1"/>
  <c r="N21" i="33"/>
  <c r="O21" i="33" s="1"/>
  <c r="N16" i="33"/>
  <c r="O16" i="33" s="1"/>
  <c r="N244" i="33"/>
  <c r="O244" i="33" s="1"/>
  <c r="N106" i="33"/>
  <c r="O106" i="33" s="1"/>
  <c r="N943" i="33"/>
  <c r="O943" i="33" s="1"/>
  <c r="N852" i="33"/>
  <c r="O852" i="33" s="1"/>
  <c r="N786" i="33"/>
  <c r="O786" i="33" s="1"/>
  <c r="N524" i="33"/>
  <c r="O524" i="33" s="1"/>
  <c r="N960" i="33"/>
  <c r="O960" i="33" s="1"/>
  <c r="N1258" i="33"/>
  <c r="O1258" i="33" s="1"/>
  <c r="N1806" i="33"/>
  <c r="O1806" i="33" s="1"/>
  <c r="N1441" i="33"/>
  <c r="O1441" i="33" s="1"/>
  <c r="N1180" i="33"/>
  <c r="O1180" i="33" s="1"/>
  <c r="N1944" i="33"/>
  <c r="O1944" i="33" s="1"/>
  <c r="N1964" i="33"/>
  <c r="O1964" i="33" s="1"/>
  <c r="N1627" i="33"/>
  <c r="O1627" i="33" s="1"/>
  <c r="N212" i="33"/>
  <c r="O212" i="33" s="1"/>
  <c r="N346" i="33"/>
  <c r="O346" i="33" s="1"/>
  <c r="N14" i="33"/>
  <c r="O14" i="33" s="1"/>
  <c r="N463" i="33"/>
  <c r="O463" i="33" s="1"/>
  <c r="N321" i="33"/>
  <c r="O321" i="33" s="1"/>
  <c r="N1619" i="33"/>
  <c r="O1619" i="33" s="1"/>
  <c r="N565" i="33"/>
  <c r="O565" i="33" s="1"/>
  <c r="N887" i="33"/>
  <c r="O887" i="33" s="1"/>
  <c r="N799" i="33"/>
  <c r="O799" i="33" s="1"/>
  <c r="N2905" i="33"/>
  <c r="O2905" i="33" s="1"/>
  <c r="N1376" i="33"/>
  <c r="O1376" i="33" s="1"/>
  <c r="N1276" i="33"/>
  <c r="O1276" i="33" s="1"/>
  <c r="N1659" i="33"/>
  <c r="O1659" i="33" s="1"/>
  <c r="N1819" i="33"/>
  <c r="O1819" i="33" s="1"/>
  <c r="N1848" i="33"/>
  <c r="O1848" i="33" s="1"/>
  <c r="N2128" i="33"/>
  <c r="O2128" i="33" s="1"/>
  <c r="N1587" i="33"/>
  <c r="O1587" i="33" s="1"/>
  <c r="N160" i="33"/>
  <c r="O160" i="33" s="1"/>
  <c r="N448" i="33"/>
  <c r="O448" i="33" s="1"/>
  <c r="N202" i="33"/>
  <c r="O202" i="33" s="1"/>
  <c r="N82" i="33"/>
  <c r="O82" i="33" s="1"/>
  <c r="N961" i="33"/>
  <c r="O961" i="33" s="1"/>
  <c r="N862" i="33"/>
  <c r="O862" i="33" s="1"/>
  <c r="N623" i="33"/>
  <c r="O623" i="33" s="1"/>
  <c r="N1474" i="33"/>
  <c r="O1474" i="33" s="1"/>
  <c r="N1518" i="33"/>
  <c r="O1518" i="33" s="1"/>
  <c r="N2038" i="33"/>
  <c r="O2038" i="33" s="1"/>
  <c r="N1588" i="33"/>
  <c r="O1588" i="33" s="1"/>
  <c r="N1398" i="33"/>
  <c r="O1398" i="33" s="1"/>
  <c r="N1603" i="33"/>
  <c r="O1603" i="33" s="1"/>
  <c r="N1952" i="33"/>
  <c r="O1952" i="33" s="1"/>
  <c r="N1972" i="33"/>
  <c r="O1972" i="33" s="1"/>
  <c r="N657" i="33"/>
  <c r="O657" i="33" s="1"/>
  <c r="N1764" i="33"/>
  <c r="O1764" i="33" s="1"/>
  <c r="N1835" i="33"/>
  <c r="O1835" i="33" s="1"/>
  <c r="N2242" i="33"/>
  <c r="O2242" i="33" s="1"/>
  <c r="N2162" i="33"/>
  <c r="O2162" i="33" s="1"/>
  <c r="N2159" i="33"/>
  <c r="O2159" i="33" s="1"/>
  <c r="N2859" i="33"/>
  <c r="O2859" i="33" s="1"/>
  <c r="N2942" i="33"/>
  <c r="O2942" i="33" s="1"/>
  <c r="N2514" i="33"/>
  <c r="O2514" i="33" s="1"/>
  <c r="N2334" i="33"/>
  <c r="O2334" i="33" s="1"/>
  <c r="N907" i="33"/>
  <c r="O907" i="33" s="1"/>
  <c r="N2025" i="33"/>
  <c r="O2025" i="33" s="1"/>
  <c r="N2442" i="33"/>
  <c r="O2442" i="33" s="1"/>
  <c r="N1790" i="33"/>
  <c r="O1790" i="33" s="1"/>
  <c r="N2124" i="33"/>
  <c r="O2124" i="33" s="1"/>
  <c r="N2952" i="33"/>
  <c r="O2952" i="33" s="1"/>
  <c r="N2861" i="33"/>
  <c r="O2861" i="33" s="1"/>
  <c r="N1948" i="33"/>
  <c r="O1948" i="33" s="1"/>
  <c r="N2860" i="33"/>
  <c r="O2860" i="33" s="1"/>
  <c r="N1831" i="33"/>
  <c r="O1831" i="33" s="1"/>
  <c r="N110" i="33"/>
  <c r="O110" i="33" s="1"/>
  <c r="N1490" i="33"/>
  <c r="O1490" i="33" s="1"/>
  <c r="N1912" i="33"/>
  <c r="O1912" i="33" s="1"/>
  <c r="N2001" i="33"/>
  <c r="O2001" i="33" s="1"/>
  <c r="N2468" i="33"/>
  <c r="O2468" i="33" s="1"/>
  <c r="N2497" i="33"/>
  <c r="O2497" i="33" s="1"/>
  <c r="N2475" i="33"/>
  <c r="O2475" i="33" s="1"/>
  <c r="N505" i="33"/>
  <c r="O505" i="33" s="1"/>
  <c r="N2176" i="33"/>
  <c r="O2176" i="33" s="1"/>
  <c r="N771" i="33"/>
  <c r="O771" i="33" s="1"/>
  <c r="N2425" i="33"/>
  <c r="O2425" i="33" s="1"/>
  <c r="N876" i="33"/>
  <c r="O876" i="33" s="1"/>
  <c r="N1976" i="33"/>
  <c r="O1976" i="33" s="1"/>
  <c r="N2019" i="33"/>
  <c r="O2019" i="33" s="1"/>
  <c r="N1613" i="33"/>
  <c r="O1613" i="33" s="1"/>
  <c r="N2347" i="33"/>
  <c r="O2347" i="33" s="1"/>
  <c r="N2420" i="33"/>
  <c r="O2420" i="33" s="1"/>
  <c r="N2390" i="33"/>
  <c r="O2390" i="33" s="1"/>
  <c r="N2912" i="33"/>
  <c r="O2912" i="33" s="1"/>
  <c r="N1894" i="33"/>
  <c r="O1894" i="33" s="1"/>
  <c r="N2937" i="33"/>
  <c r="O2937" i="33" s="1"/>
  <c r="N2863" i="33"/>
  <c r="O2863" i="33" s="1"/>
  <c r="N1267" i="33"/>
  <c r="O1267" i="33" s="1"/>
  <c r="N1903" i="33"/>
  <c r="O1903" i="33" s="1"/>
  <c r="N1725" i="33"/>
  <c r="O1725" i="33" s="1"/>
  <c r="N1898" i="33"/>
  <c r="O1898" i="33" s="1"/>
  <c r="N2309" i="33"/>
  <c r="O2309" i="33" s="1"/>
  <c r="N2238" i="33"/>
  <c r="O2238" i="33" s="1"/>
  <c r="N2302" i="33"/>
  <c r="O2302" i="33" s="1"/>
  <c r="N2907" i="33"/>
  <c r="O2907" i="33" s="1"/>
  <c r="N2141" i="33"/>
  <c r="O2141" i="33" s="1"/>
  <c r="N2120" i="33"/>
  <c r="O2120" i="33" s="1"/>
  <c r="N2203" i="33"/>
  <c r="O2203" i="33" s="1"/>
  <c r="N1157" i="33"/>
  <c r="O1157" i="33" s="1"/>
  <c r="N1773" i="33"/>
  <c r="O1773" i="33" s="1"/>
  <c r="N2322" i="33"/>
  <c r="O2322" i="33" s="1"/>
  <c r="N2021" i="33"/>
  <c r="O2021" i="33" s="1"/>
  <c r="N2507" i="33"/>
  <c r="O2507" i="33" s="1"/>
  <c r="N2577" i="33"/>
  <c r="O2577" i="33" s="1"/>
  <c r="N2932" i="33"/>
  <c r="O2932" i="33" s="1"/>
  <c r="N2848" i="33"/>
  <c r="O2848" i="33" s="1"/>
  <c r="N2290" i="33"/>
  <c r="O2290" i="33" s="1"/>
  <c r="N2336" i="33"/>
  <c r="O2336" i="33" s="1"/>
  <c r="N956" i="33"/>
  <c r="O956" i="33" s="1"/>
  <c r="N1381" i="33"/>
  <c r="O1381" i="33" s="1"/>
  <c r="N1838" i="33"/>
  <c r="O1838" i="33" s="1"/>
  <c r="N519" i="33"/>
  <c r="O519" i="33" s="1"/>
  <c r="N919" i="33"/>
  <c r="O919" i="33" s="1"/>
  <c r="N85" i="33"/>
  <c r="O85" i="33" s="1"/>
  <c r="N834" i="33"/>
  <c r="O834" i="33" s="1"/>
  <c r="N2277" i="33"/>
  <c r="O2277" i="33" s="1"/>
  <c r="N408" i="33"/>
  <c r="O408" i="33" s="1"/>
  <c r="N2014" i="33"/>
  <c r="O2014" i="33" s="1"/>
  <c r="N1934" i="33"/>
  <c r="O1934" i="33" s="1"/>
  <c r="N230" i="33"/>
  <c r="O230" i="33" s="1"/>
  <c r="N627" i="33"/>
  <c r="O627" i="33" s="1"/>
  <c r="N1409" i="33"/>
  <c r="O1409" i="33" s="1"/>
  <c r="N860" i="33"/>
  <c r="O860" i="33" s="1"/>
  <c r="N1219" i="33"/>
  <c r="O1219" i="33" s="1"/>
  <c r="N586" i="33"/>
  <c r="O586" i="33" s="1"/>
  <c r="N1749" i="33"/>
  <c r="O1749" i="33" s="1"/>
  <c r="N1826" i="33"/>
  <c r="O1826" i="33" s="1"/>
  <c r="N1960" i="33"/>
  <c r="O1960" i="33" s="1"/>
  <c r="N2941" i="33"/>
  <c r="O2941" i="33" s="1"/>
  <c r="N550" i="33"/>
  <c r="O550" i="33" s="1"/>
  <c r="N467" i="33"/>
  <c r="O467" i="33" s="1"/>
  <c r="N2307" i="33"/>
  <c r="O2307" i="33" s="1"/>
  <c r="N2357" i="33"/>
  <c r="O2357" i="33" s="1"/>
  <c r="N1166" i="33"/>
  <c r="O1166" i="33" s="1"/>
  <c r="N400" i="33"/>
  <c r="O400" i="33" s="1"/>
  <c r="N162" i="33"/>
  <c r="O162" i="33" s="1"/>
  <c r="N494" i="33"/>
  <c r="O494" i="33" s="1"/>
  <c r="N205" i="33"/>
  <c r="O205" i="33" s="1"/>
  <c r="N476" i="33"/>
  <c r="O476" i="33" s="1"/>
  <c r="N312" i="33"/>
  <c r="O312" i="33" s="1"/>
  <c r="N647" i="33"/>
  <c r="O647" i="33" s="1"/>
  <c r="N995" i="33"/>
  <c r="O995" i="33" s="1"/>
  <c r="N906" i="33"/>
  <c r="O906" i="33" s="1"/>
  <c r="N721" i="33"/>
  <c r="O721" i="33" s="1"/>
  <c r="N1270" i="33"/>
  <c r="O1270" i="33" s="1"/>
  <c r="N1416" i="33"/>
  <c r="O1416" i="33" s="1"/>
  <c r="N1314" i="33"/>
  <c r="O1314" i="33" s="1"/>
  <c r="N2164" i="33"/>
  <c r="O2164" i="33" s="1"/>
  <c r="N1380" i="33"/>
  <c r="O1380" i="33" s="1"/>
  <c r="N2015" i="33"/>
  <c r="O2015" i="33" s="1"/>
  <c r="N1660" i="33"/>
  <c r="O1660" i="33" s="1"/>
  <c r="N1768" i="33"/>
  <c r="O1768" i="33" s="1"/>
  <c r="N393" i="33"/>
  <c r="O393" i="33" s="1"/>
  <c r="N80" i="33"/>
  <c r="O80" i="33" s="1"/>
  <c r="N522" i="33"/>
  <c r="O522" i="33" s="1"/>
  <c r="N414" i="33"/>
  <c r="O414" i="33" s="1"/>
  <c r="N615" i="33"/>
  <c r="O615" i="33" s="1"/>
  <c r="N598" i="33"/>
  <c r="O598" i="33" s="1"/>
  <c r="N939" i="33"/>
  <c r="O939" i="33" s="1"/>
  <c r="N826" i="33"/>
  <c r="O826" i="33" s="1"/>
  <c r="N2936" i="33"/>
  <c r="O2936" i="33" s="1"/>
  <c r="N1400" i="33"/>
  <c r="O1400" i="33" s="1"/>
  <c r="N1357" i="33"/>
  <c r="O1357" i="33" s="1"/>
  <c r="N1883" i="33"/>
  <c r="O1883" i="33" s="1"/>
  <c r="N1857" i="33"/>
  <c r="O1857" i="33" s="1"/>
  <c r="N1877" i="33"/>
  <c r="O1877" i="33" s="1"/>
  <c r="N322" i="33"/>
  <c r="O322" i="33" s="1"/>
  <c r="N877" i="33"/>
  <c r="O877" i="33" s="1"/>
  <c r="N450" i="33"/>
  <c r="O450" i="33" s="1"/>
  <c r="N276" i="33"/>
  <c r="O276" i="33" s="1"/>
  <c r="N1439" i="33"/>
  <c r="O1439" i="33" s="1"/>
  <c r="N1434" i="33"/>
  <c r="O1434" i="33" s="1"/>
  <c r="N856" i="33"/>
  <c r="O856" i="33" s="1"/>
  <c r="N772" i="33"/>
  <c r="O772" i="33" s="1"/>
  <c r="N1810" i="33"/>
  <c r="O1810" i="33" s="1"/>
  <c r="N1355" i="33"/>
  <c r="O1355" i="33" s="1"/>
  <c r="N1244" i="33"/>
  <c r="O1244" i="33" s="1"/>
  <c r="N1557" i="33"/>
  <c r="O1557" i="33" s="1"/>
  <c r="N1771" i="33"/>
  <c r="O1771" i="33" s="1"/>
  <c r="N1823" i="33"/>
  <c r="O1823" i="33" s="1"/>
  <c r="N2033" i="33"/>
  <c r="O2033" i="33" s="1"/>
  <c r="N1561" i="33"/>
  <c r="O1561" i="33" s="1"/>
  <c r="N143" i="33"/>
  <c r="O143" i="33" s="1"/>
  <c r="N331" i="33"/>
  <c r="O331" i="33" s="1"/>
  <c r="N30" i="33"/>
  <c r="O30" i="33" s="1"/>
  <c r="N451" i="33"/>
  <c r="O451" i="33" s="1"/>
  <c r="N835" i="33"/>
  <c r="O835" i="33" s="1"/>
  <c r="N775" i="33"/>
  <c r="O775" i="33" s="1"/>
  <c r="N857" i="33"/>
  <c r="O857" i="33" s="1"/>
  <c r="N1404" i="33"/>
  <c r="O1404" i="33" s="1"/>
  <c r="N1525" i="33"/>
  <c r="O1525" i="33" s="1"/>
  <c r="N1401" i="33"/>
  <c r="O1401" i="33" s="1"/>
  <c r="N1263" i="33"/>
  <c r="O1263" i="33" s="1"/>
  <c r="N1479" i="33"/>
  <c r="O1479" i="33" s="1"/>
  <c r="N1575" i="33"/>
  <c r="O1575" i="33" s="1"/>
  <c r="N1841" i="33"/>
  <c r="O1841" i="33" s="1"/>
  <c r="N1853" i="33"/>
  <c r="O1853" i="33" s="1"/>
  <c r="N41" i="33"/>
  <c r="O41" i="33" s="1"/>
  <c r="N148" i="33"/>
  <c r="O148" i="33" s="1"/>
  <c r="N401" i="33"/>
  <c r="O401" i="33" s="1"/>
  <c r="N233" i="33"/>
  <c r="O233" i="33" s="1"/>
  <c r="N604" i="33"/>
  <c r="O604" i="33" s="1"/>
  <c r="N949" i="33"/>
  <c r="O949" i="33" s="1"/>
  <c r="N855" i="33"/>
  <c r="O855" i="33" s="1"/>
  <c r="N579" i="33"/>
  <c r="O579" i="33" s="1"/>
  <c r="N1174" i="33"/>
  <c r="O1174" i="33" s="1"/>
  <c r="N1374" i="33"/>
  <c r="O1374" i="33" s="1"/>
  <c r="N1251" i="33"/>
  <c r="O1251" i="33" s="1"/>
  <c r="N1578" i="33"/>
  <c r="O1578" i="33" s="1"/>
  <c r="N1350" i="33"/>
  <c r="O1350" i="33" s="1"/>
  <c r="N1998" i="33"/>
  <c r="O1998" i="33" s="1"/>
  <c r="N1621" i="33"/>
  <c r="O1621" i="33" s="1"/>
  <c r="N447" i="33"/>
  <c r="O447" i="33" s="1"/>
  <c r="N98" i="33"/>
  <c r="O98" i="33" s="1"/>
  <c r="N926" i="33"/>
  <c r="O926" i="33" s="1"/>
  <c r="N452" i="33"/>
  <c r="O452" i="33" s="1"/>
  <c r="N795" i="33"/>
  <c r="O795" i="33" s="1"/>
  <c r="N639" i="33"/>
  <c r="O639" i="33" s="1"/>
  <c r="N1005" i="33"/>
  <c r="O1005" i="33" s="1"/>
  <c r="N858" i="33"/>
  <c r="O858" i="33" s="1"/>
  <c r="N1027" i="33"/>
  <c r="O1027" i="33" s="1"/>
  <c r="N1440" i="33"/>
  <c r="O1440" i="33" s="1"/>
  <c r="N1386" i="33"/>
  <c r="O1386" i="33" s="1"/>
  <c r="N1914" i="33"/>
  <c r="O1914" i="33" s="1"/>
  <c r="N1892" i="33"/>
  <c r="O1892" i="33" s="1"/>
  <c r="N1909" i="33"/>
  <c r="O1909" i="33" s="1"/>
  <c r="N484" i="33"/>
  <c r="O484" i="33" s="1"/>
  <c r="N268" i="33"/>
  <c r="O268" i="33" s="1"/>
  <c r="N845" i="33"/>
  <c r="O845" i="33" s="1"/>
  <c r="N341" i="33"/>
  <c r="O341" i="33" s="1"/>
  <c r="N197" i="33"/>
  <c r="O197" i="33" s="1"/>
  <c r="N1367" i="33"/>
  <c r="O1367" i="33" s="1"/>
  <c r="N976" i="33"/>
  <c r="O976" i="33" s="1"/>
  <c r="N824" i="33"/>
  <c r="O824" i="33" s="1"/>
  <c r="N646" i="33"/>
  <c r="O646" i="33" s="1"/>
  <c r="N1597" i="33"/>
  <c r="O1597" i="33" s="1"/>
  <c r="N1259" i="33"/>
  <c r="O1259" i="33" s="1"/>
  <c r="N1012" i="33"/>
  <c r="O1012" i="33" s="1"/>
  <c r="N1492" i="33"/>
  <c r="O1492" i="33" s="1"/>
  <c r="N1798" i="33"/>
  <c r="O1798" i="33" s="1"/>
  <c r="N2007" i="33"/>
  <c r="O2007" i="33" s="1"/>
  <c r="N2453" i="33"/>
  <c r="O2453" i="33" s="1"/>
  <c r="N277" i="33"/>
  <c r="O277" i="33" s="1"/>
  <c r="N1604" i="33"/>
  <c r="O1604" i="33" s="1"/>
  <c r="N2461" i="33"/>
  <c r="O2461" i="33" s="1"/>
  <c r="N1821" i="33"/>
  <c r="O1821" i="33" s="1"/>
  <c r="N1929" i="33"/>
  <c r="O1929" i="33" s="1"/>
  <c r="N2354" i="33"/>
  <c r="O2354" i="33" s="1"/>
  <c r="N2304" i="33"/>
  <c r="O2304" i="33" s="1"/>
  <c r="N2352" i="33"/>
  <c r="O2352" i="33" s="1"/>
  <c r="N2938" i="33"/>
  <c r="O2938" i="33" s="1"/>
  <c r="N358" i="33"/>
  <c r="O358" i="33" s="1"/>
  <c r="N815" i="33"/>
  <c r="O815" i="33" s="1"/>
  <c r="N1786" i="33"/>
  <c r="O1786" i="33" s="1"/>
  <c r="N1847" i="33"/>
  <c r="O1847" i="33" s="1"/>
  <c r="N2247" i="33"/>
  <c r="O2247" i="33" s="1"/>
  <c r="N2175" i="33"/>
  <c r="O2175" i="33" s="1"/>
  <c r="N2165" i="33"/>
  <c r="O2165" i="33" s="1"/>
  <c r="N2868" i="33"/>
  <c r="O2868" i="33" s="1"/>
  <c r="N2950" i="33"/>
  <c r="O2950" i="33" s="1"/>
  <c r="N1913" i="33"/>
  <c r="O1913" i="33" s="1"/>
  <c r="N2927" i="33"/>
  <c r="O2927" i="33" s="1"/>
  <c r="N2295" i="33"/>
  <c r="O2295" i="33" s="1"/>
  <c r="N31" i="33"/>
  <c r="O31" i="33" s="1"/>
  <c r="N1402" i="33"/>
  <c r="O1402" i="33" s="1"/>
  <c r="N1888" i="33"/>
  <c r="O1888" i="33" s="1"/>
  <c r="N2020" i="33"/>
  <c r="O2020" i="33" s="1"/>
  <c r="N2123" i="33"/>
  <c r="O2123" i="33" s="1"/>
  <c r="N2156" i="33"/>
  <c r="O2156" i="33" s="1"/>
  <c r="N2127" i="33"/>
  <c r="O2127" i="33" s="1"/>
  <c r="N2876" i="33"/>
  <c r="O2876" i="33" s="1"/>
  <c r="N2858" i="33"/>
  <c r="O2858" i="33" s="1"/>
  <c r="N2412" i="33"/>
  <c r="O2412" i="33" s="1"/>
  <c r="N1408" i="33"/>
  <c r="O1408" i="33" s="1"/>
  <c r="N2146" i="33"/>
  <c r="O2146" i="33" s="1"/>
  <c r="N813" i="33"/>
  <c r="O813" i="33" s="1"/>
  <c r="N2396" i="33"/>
  <c r="O2396" i="33" s="1"/>
  <c r="N2235" i="33"/>
  <c r="O2235" i="33" s="1"/>
  <c r="N2482" i="33"/>
  <c r="O2482" i="33" s="1"/>
  <c r="N2483" i="33"/>
  <c r="O2483" i="33" s="1"/>
  <c r="N2916" i="33"/>
  <c r="O2916" i="33" s="1"/>
  <c r="N1919" i="33"/>
  <c r="O1919" i="33" s="1"/>
  <c r="N2504" i="33"/>
  <c r="O2504" i="33" s="1"/>
  <c r="N2178" i="33"/>
  <c r="O2178" i="33" s="1"/>
  <c r="N2871" i="33"/>
  <c r="O2871" i="33" s="1"/>
  <c r="N194" i="33"/>
  <c r="O194" i="33" s="1"/>
  <c r="N1405" i="33"/>
  <c r="O1405" i="33" s="1"/>
  <c r="N1662" i="33"/>
  <c r="O1662" i="33" s="1"/>
  <c r="N1859" i="33"/>
  <c r="O1859" i="33" s="1"/>
  <c r="N1968" i="33"/>
  <c r="O1968" i="33" s="1"/>
  <c r="N2402" i="33"/>
  <c r="O2402" i="33" s="1"/>
  <c r="N2395" i="33"/>
  <c r="O2395" i="33" s="1"/>
  <c r="N2517" i="33"/>
  <c r="O2517" i="33" s="1"/>
  <c r="N2925" i="33"/>
  <c r="O2925" i="33" s="1"/>
  <c r="N902" i="33"/>
  <c r="O902" i="33" s="1"/>
  <c r="N2338" i="33"/>
  <c r="O2338" i="33" s="1"/>
  <c r="N1965" i="33"/>
  <c r="O1965" i="33" s="1"/>
  <c r="N2494" i="33"/>
  <c r="O2494" i="33" s="1"/>
  <c r="N825" i="33"/>
  <c r="O825" i="33" s="1"/>
  <c r="N1623" i="33"/>
  <c r="O1623" i="33" s="1"/>
  <c r="N1814" i="33"/>
  <c r="O1814" i="33" s="1"/>
  <c r="N2167" i="33"/>
  <c r="O2167" i="33" s="1"/>
  <c r="N2134" i="33"/>
  <c r="O2134" i="33" s="1"/>
  <c r="N2129" i="33"/>
  <c r="O2129" i="33" s="1"/>
  <c r="N2919" i="33"/>
  <c r="O2919" i="33" s="1"/>
  <c r="N2434" i="33"/>
  <c r="O2434" i="33" s="1"/>
  <c r="N88" i="33"/>
  <c r="O88" i="33" s="1"/>
  <c r="N810" i="33"/>
  <c r="O810" i="33" s="1"/>
  <c r="N1377" i="33"/>
  <c r="O1377" i="33" s="1"/>
  <c r="N157" i="33"/>
  <c r="O157" i="33" s="1"/>
  <c r="N1220" i="33"/>
  <c r="O1220" i="33" s="1"/>
  <c r="N533" i="33"/>
  <c r="O533" i="33" s="1"/>
  <c r="N1362" i="33"/>
  <c r="O1362" i="33" s="1"/>
  <c r="N475" i="33"/>
  <c r="O475" i="33" s="1"/>
  <c r="N959" i="33"/>
  <c r="O959" i="33" s="1"/>
  <c r="N1933" i="33"/>
  <c r="O1933" i="33" s="1"/>
  <c r="N778" i="33"/>
  <c r="O778" i="33" s="1"/>
  <c r="N1013" i="33"/>
  <c r="O1013" i="33" s="1"/>
  <c r="N112" i="33"/>
  <c r="O112" i="33" s="1"/>
  <c r="N1822" i="33"/>
  <c r="O1822" i="33" s="1"/>
  <c r="N29" i="33"/>
  <c r="O29" i="33" s="1"/>
  <c r="N2911" i="33"/>
  <c r="O2911" i="33" s="1"/>
  <c r="N1591" i="33"/>
  <c r="O1591" i="33" s="1"/>
  <c r="N2451" i="33"/>
  <c r="O2451" i="33" s="1"/>
  <c r="N2920" i="33"/>
  <c r="O2920" i="33" s="1"/>
  <c r="N2239" i="33"/>
  <c r="O2239" i="33" s="1"/>
  <c r="N2944" i="33"/>
  <c r="O2944" i="33" s="1"/>
  <c r="N2039" i="33"/>
  <c r="O2039" i="33" s="1"/>
  <c r="N1989" i="33"/>
  <c r="O1989" i="33" s="1"/>
  <c r="N2501" i="33"/>
  <c r="O2501" i="33" s="1"/>
  <c r="N1927" i="33"/>
  <c r="O1927" i="33" s="1"/>
  <c r="N2319" i="33"/>
  <c r="O2319" i="33" s="1"/>
  <c r="N1529" i="33"/>
  <c r="O1529" i="33" s="1"/>
  <c r="P2517" i="33"/>
  <c r="L2519" i="33"/>
  <c r="L2520" i="33" s="1"/>
  <c r="M2518" i="33"/>
  <c r="H19" i="34"/>
  <c r="H18" i="34"/>
  <c r="H17" i="34"/>
  <c r="H16" i="34"/>
  <c r="H15" i="34"/>
  <c r="H11" i="34"/>
  <c r="H10" i="34"/>
  <c r="H9" i="34"/>
  <c r="H8" i="34"/>
  <c r="H7" i="34"/>
  <c r="H6" i="34"/>
  <c r="H5" i="34"/>
  <c r="H4" i="34"/>
  <c r="H3" i="34"/>
  <c r="F19" i="34"/>
  <c r="F18" i="34"/>
  <c r="F16" i="34"/>
  <c r="F15" i="34"/>
  <c r="F11" i="34"/>
  <c r="F10" i="34"/>
  <c r="F9" i="34"/>
  <c r="F8" i="34"/>
  <c r="F7" i="34"/>
  <c r="F6" i="34"/>
  <c r="F5" i="34"/>
  <c r="F4" i="34"/>
  <c r="F3" i="34"/>
  <c r="F17" i="34"/>
  <c r="E8" i="21"/>
  <c r="E7" i="21"/>
  <c r="E6" i="21"/>
  <c r="E5" i="21"/>
  <c r="E4" i="21"/>
  <c r="E3" i="21"/>
  <c r="P2518" i="33" a="1"/>
  <c r="G323" i="1" l="1" a="1"/>
  <c r="G323" i="1" s="1"/>
  <c r="F323" i="1" a="1"/>
  <c r="F323" i="1" s="1"/>
  <c r="F335" i="1" a="1"/>
  <c r="F335" i="1" s="1"/>
  <c r="H331" i="1" a="1"/>
  <c r="H331" i="1" s="1"/>
  <c r="G335" i="1" a="1"/>
  <c r="G335" i="1" s="1"/>
  <c r="E335" i="1" a="1"/>
  <c r="E335" i="1" s="1"/>
  <c r="G331" i="1" a="1"/>
  <c r="G331" i="1" s="1"/>
  <c r="L335" i="1" a="1"/>
  <c r="L335" i="1" s="1"/>
  <c r="D335" i="1" a="1"/>
  <c r="D335" i="1" s="1"/>
  <c r="F331" i="1" a="1"/>
  <c r="F331" i="1" s="1"/>
  <c r="K335" i="1" a="1"/>
  <c r="K335" i="1" s="1"/>
  <c r="C335" i="1" a="1"/>
  <c r="C335" i="1" s="1"/>
  <c r="E331" i="1" a="1"/>
  <c r="E331" i="1" s="1"/>
  <c r="J335" i="1" a="1"/>
  <c r="J335" i="1" s="1"/>
  <c r="L331" i="1" a="1"/>
  <c r="L331" i="1" s="1"/>
  <c r="D331" i="1" a="1"/>
  <c r="D331" i="1" s="1"/>
  <c r="I331" i="1" a="1"/>
  <c r="I331" i="1" s="1"/>
  <c r="I335" i="1" a="1"/>
  <c r="I335" i="1" s="1"/>
  <c r="K331" i="1" a="1"/>
  <c r="K331" i="1" s="1"/>
  <c r="C331" i="1" a="1"/>
  <c r="C331" i="1" s="1"/>
  <c r="H335" i="1" a="1"/>
  <c r="H335" i="1" s="1"/>
  <c r="J331" i="1" a="1"/>
  <c r="J331" i="1" s="1"/>
  <c r="G319" i="1" a="1"/>
  <c r="G319" i="1" s="1"/>
  <c r="E323" i="1" a="1"/>
  <c r="E323" i="1" s="1"/>
  <c r="P2518" i="33"/>
  <c r="M2519" i="33"/>
  <c r="I327" i="1" a="1"/>
  <c r="I327" i="1" s="1"/>
  <c r="K315" i="1" a="1"/>
  <c r="K315" i="1" s="1"/>
  <c r="H315" i="1" a="1"/>
  <c r="H315" i="1" s="1"/>
  <c r="C327" i="1" a="1"/>
  <c r="C327" i="1" s="1"/>
  <c r="L315" i="1" a="1"/>
  <c r="L315" i="1" s="1"/>
  <c r="J315" i="1" a="1"/>
  <c r="J315" i="1" s="1"/>
  <c r="I319" i="1" a="1"/>
  <c r="I319" i="1" s="1"/>
  <c r="C315" i="1" a="1"/>
  <c r="C315" i="1" s="1"/>
  <c r="J319" i="1" a="1"/>
  <c r="J319" i="1" s="1"/>
  <c r="H323" i="1" a="1"/>
  <c r="H323" i="1" s="1"/>
  <c r="D315" i="1" a="1"/>
  <c r="D315" i="1" s="1"/>
  <c r="K319" i="1" a="1"/>
  <c r="K319" i="1" s="1"/>
  <c r="I323" i="1" a="1"/>
  <c r="I323" i="1" s="1"/>
  <c r="E315" i="1" a="1"/>
  <c r="E315" i="1" s="1"/>
  <c r="D319" i="1" a="1"/>
  <c r="D319" i="1" s="1"/>
  <c r="J323" i="1" a="1"/>
  <c r="J323" i="1" s="1"/>
  <c r="F315" i="1" a="1"/>
  <c r="F315" i="1" s="1"/>
  <c r="E319" i="1" a="1"/>
  <c r="E319" i="1" s="1"/>
  <c r="C323" i="1" a="1"/>
  <c r="C323" i="1" s="1"/>
  <c r="K323" i="1" a="1"/>
  <c r="K323" i="1" s="1"/>
  <c r="G315" i="1" a="1"/>
  <c r="G315" i="1" s="1"/>
  <c r="F319" i="1" a="1"/>
  <c r="F319" i="1" s="1"/>
  <c r="D323" i="1" a="1"/>
  <c r="D323" i="1" s="1"/>
  <c r="L323" i="1" a="1"/>
  <c r="L323" i="1" s="1"/>
  <c r="J327" i="1" a="1"/>
  <c r="J327" i="1" s="1"/>
  <c r="K327" i="1" a="1"/>
  <c r="K327" i="1" s="1"/>
  <c r="L327" i="1" a="1"/>
  <c r="L327" i="1" s="1"/>
  <c r="E327" i="1" a="1"/>
  <c r="E327" i="1" s="1"/>
  <c r="F327" i="1" a="1"/>
  <c r="F327" i="1" s="1"/>
  <c r="H319" i="1" a="1"/>
  <c r="H319" i="1" s="1"/>
  <c r="D327" i="1" a="1"/>
  <c r="D327" i="1" s="1"/>
  <c r="G327" i="1" a="1"/>
  <c r="G327" i="1" s="1"/>
  <c r="H327" i="1" a="1"/>
  <c r="H327" i="1" s="1"/>
  <c r="I315" i="1" a="1"/>
  <c r="I315" i="1" s="1"/>
  <c r="C319" i="1" a="1"/>
  <c r="C319" i="1" s="1"/>
  <c r="L319" i="1" a="1"/>
  <c r="L319" i="1" s="1"/>
  <c r="D18" i="26"/>
  <c r="D20" i="26" s="1"/>
  <c r="P1213" i="33" a="1"/>
  <c r="P2519" i="33" a="1"/>
  <c r="P1213" i="33" l="1"/>
  <c r="P2519" i="33"/>
  <c r="D128" i="26"/>
  <c r="F3" i="10"/>
  <c r="G4" i="10"/>
  <c r="F4" i="10"/>
  <c r="L3" i="10"/>
  <c r="L4" i="10"/>
  <c r="J4" i="10"/>
  <c r="L2521" i="33" l="1"/>
  <c r="M2520" i="33"/>
  <c r="K4" i="10"/>
  <c r="K3" i="10"/>
  <c r="C15" i="7"/>
  <c r="C14" i="7"/>
  <c r="C13" i="7"/>
  <c r="C12" i="7"/>
  <c r="C11" i="7"/>
  <c r="C10" i="7"/>
  <c r="C9" i="7"/>
  <c r="C8" i="7"/>
  <c r="B6" i="7"/>
  <c r="C7" i="7"/>
  <c r="C6" i="7"/>
  <c r="B15" i="7"/>
  <c r="B14" i="7"/>
  <c r="B13" i="7"/>
  <c r="B12" i="7"/>
  <c r="B11" i="7"/>
  <c r="B10" i="7"/>
  <c r="B9" i="7"/>
  <c r="B8" i="7"/>
  <c r="B7" i="7"/>
  <c r="B25" i="7"/>
  <c r="B24" i="7"/>
  <c r="B23" i="7"/>
  <c r="B22" i="7"/>
  <c r="B21" i="7"/>
  <c r="B20" i="7"/>
  <c r="Q89" i="7" s="1"/>
  <c r="P2520" i="33" a="1"/>
  <c r="P2520" i="33" l="1"/>
  <c r="L2522" i="33"/>
  <c r="M2521" i="33"/>
  <c r="E50" i="29"/>
  <c r="J27" i="29" s="1"/>
  <c r="S847" i="1"/>
  <c r="I4" i="10"/>
  <c r="P2521" i="33" a="1"/>
  <c r="P2521" i="33" l="1"/>
  <c r="L2523" i="33"/>
  <c r="M2522" i="33"/>
  <c r="R132" i="27"/>
  <c r="Q132" i="27"/>
  <c r="Q131" i="27"/>
  <c r="E138" i="27"/>
  <c r="D138" i="27"/>
  <c r="D137" i="27"/>
  <c r="C10" i="10"/>
  <c r="C9" i="10"/>
  <c r="P2522" i="33" a="1"/>
  <c r="P2522" i="33" l="1"/>
  <c r="L2524" i="33"/>
  <c r="M2523" i="33"/>
  <c r="P15" i="29"/>
  <c r="O15" i="29"/>
  <c r="N15" i="29"/>
  <c r="M15" i="29"/>
  <c r="L15" i="29"/>
  <c r="P14" i="29"/>
  <c r="O14" i="29"/>
  <c r="N14" i="29"/>
  <c r="M14" i="29"/>
  <c r="L14" i="29"/>
  <c r="P13" i="29"/>
  <c r="O13" i="29"/>
  <c r="N13" i="29"/>
  <c r="M13" i="29"/>
  <c r="L13" i="29"/>
  <c r="P12" i="29"/>
  <c r="O12" i="29"/>
  <c r="N12" i="29"/>
  <c r="M12" i="29"/>
  <c r="L12" i="29"/>
  <c r="P11" i="29"/>
  <c r="O11" i="29"/>
  <c r="N11" i="29"/>
  <c r="M11" i="29"/>
  <c r="L11" i="29"/>
  <c r="F89" i="7"/>
  <c r="Q755" i="1"/>
  <c r="F774" i="1"/>
  <c r="Q766" i="1" s="1"/>
  <c r="G155" i="5"/>
  <c r="F155" i="5"/>
  <c r="E155" i="5"/>
  <c r="D155" i="5"/>
  <c r="G151" i="5"/>
  <c r="F151" i="5"/>
  <c r="E151" i="5"/>
  <c r="D151" i="5"/>
  <c r="F855" i="1"/>
  <c r="G15" i="31"/>
  <c r="E15" i="31"/>
  <c r="D15" i="31"/>
  <c r="AK111" i="4"/>
  <c r="Z111" i="4"/>
  <c r="O111" i="4"/>
  <c r="AK120" i="4"/>
  <c r="AA120" i="4"/>
  <c r="O120" i="4"/>
  <c r="AK129" i="4"/>
  <c r="Z129" i="4"/>
  <c r="O129" i="4"/>
  <c r="AK138" i="4"/>
  <c r="Z138" i="4"/>
  <c r="O138" i="4"/>
  <c r="D138" i="4"/>
  <c r="D129" i="4"/>
  <c r="D120" i="4"/>
  <c r="D111" i="4"/>
  <c r="D60" i="4"/>
  <c r="D51" i="4"/>
  <c r="D42" i="4"/>
  <c r="D33" i="4"/>
  <c r="D98" i="4"/>
  <c r="D89" i="4"/>
  <c r="D80" i="4"/>
  <c r="D71" i="4"/>
  <c r="BC98" i="4"/>
  <c r="AS98" i="4"/>
  <c r="AI98" i="4"/>
  <c r="BC89" i="4"/>
  <c r="AS89" i="4"/>
  <c r="AI89" i="4"/>
  <c r="BC80" i="4"/>
  <c r="AS80" i="4"/>
  <c r="AI80" i="4"/>
  <c r="BC71" i="4"/>
  <c r="AS71" i="4"/>
  <c r="AI71" i="4"/>
  <c r="Y98" i="4"/>
  <c r="Y89" i="4"/>
  <c r="Y80" i="4"/>
  <c r="Y71" i="4"/>
  <c r="O71" i="4"/>
  <c r="O98" i="4"/>
  <c r="O89" i="4"/>
  <c r="O80" i="4"/>
  <c r="D7" i="7"/>
  <c r="D8" i="7"/>
  <c r="D9" i="7"/>
  <c r="D10" i="7"/>
  <c r="D11" i="7"/>
  <c r="D12" i="7"/>
  <c r="D13" i="7"/>
  <c r="D14" i="7"/>
  <c r="D15" i="7"/>
  <c r="P2523" i="33" a="1"/>
  <c r="P2020" i="33" a="1"/>
  <c r="E17" i="31" l="1"/>
  <c r="F17" i="31"/>
  <c r="G89" i="7"/>
  <c r="R89" i="7"/>
  <c r="P2020" i="33"/>
  <c r="P2523" i="33"/>
  <c r="L2525" i="33"/>
  <c r="M2524" i="33"/>
  <c r="E16" i="31"/>
  <c r="F16" i="31"/>
  <c r="H855" i="1"/>
  <c r="I855" i="1" s="1"/>
  <c r="P2524" i="33" a="1"/>
  <c r="G34" i="31" l="1"/>
  <c r="N85" i="10" s="1"/>
  <c r="P2524" i="33"/>
  <c r="L2526" i="33"/>
  <c r="M2525" i="33"/>
  <c r="L896" i="1"/>
  <c r="S896" i="1" s="1"/>
  <c r="L895" i="1"/>
  <c r="S895" i="1" s="1"/>
  <c r="L894" i="1"/>
  <c r="S894" i="1" s="1"/>
  <c r="L893" i="1"/>
  <c r="S893" i="1" s="1"/>
  <c r="L892" i="1"/>
  <c r="S892" i="1" s="1"/>
  <c r="L886" i="1"/>
  <c r="S886" i="1" s="1"/>
  <c r="L885" i="1"/>
  <c r="S885" i="1" s="1"/>
  <c r="L884" i="1"/>
  <c r="S884" i="1" s="1"/>
  <c r="L883" i="1"/>
  <c r="S883" i="1" s="1"/>
  <c r="L882" i="1"/>
  <c r="S882" i="1" s="1"/>
  <c r="L881" i="1"/>
  <c r="S881" i="1" s="1"/>
  <c r="L880" i="1"/>
  <c r="S880" i="1" s="1"/>
  <c r="L879" i="1"/>
  <c r="S879" i="1" s="1"/>
  <c r="L878" i="1"/>
  <c r="S878" i="1" s="1"/>
  <c r="L877" i="1"/>
  <c r="S877" i="1" s="1"/>
  <c r="L876" i="1"/>
  <c r="S876" i="1" s="1"/>
  <c r="L875" i="1"/>
  <c r="S875" i="1" s="1"/>
  <c r="L874" i="1"/>
  <c r="S874" i="1" s="1"/>
  <c r="L873" i="1"/>
  <c r="S873" i="1" s="1"/>
  <c r="L872" i="1"/>
  <c r="S872" i="1" s="1"/>
  <c r="L871" i="1"/>
  <c r="S871" i="1" s="1"/>
  <c r="L870" i="1"/>
  <c r="S870" i="1" s="1"/>
  <c r="L869" i="1"/>
  <c r="S869" i="1" s="1"/>
  <c r="L868" i="1"/>
  <c r="S868" i="1" s="1"/>
  <c r="H59" i="7"/>
  <c r="L867" i="1"/>
  <c r="S867" i="1" s="1"/>
  <c r="L866" i="1"/>
  <c r="S866" i="1" s="1"/>
  <c r="L865" i="1"/>
  <c r="S865" i="1" s="1"/>
  <c r="L864" i="1"/>
  <c r="S864" i="1" s="1"/>
  <c r="L863" i="1"/>
  <c r="S863" i="1" s="1"/>
  <c r="L862" i="1"/>
  <c r="S862" i="1" s="1"/>
  <c r="Q354" i="1"/>
  <c r="D151" i="4"/>
  <c r="E151" i="4"/>
  <c r="F151" i="4"/>
  <c r="G151" i="4"/>
  <c r="D152" i="4"/>
  <c r="E152" i="4"/>
  <c r="F152" i="4"/>
  <c r="G152" i="4"/>
  <c r="D153" i="4"/>
  <c r="E153" i="4"/>
  <c r="F153" i="4"/>
  <c r="G153" i="4"/>
  <c r="E150" i="4"/>
  <c r="F150" i="4"/>
  <c r="G150" i="4"/>
  <c r="D150" i="4"/>
  <c r="G19" i="31"/>
  <c r="D8" i="31"/>
  <c r="I568" i="1" s="1"/>
  <c r="Q899" i="1"/>
  <c r="P2525" i="33" a="1"/>
  <c r="AE60" i="40" a="1"/>
  <c r="D156" i="4" l="1"/>
  <c r="G156" i="4"/>
  <c r="F156" i="4"/>
  <c r="E156" i="4"/>
  <c r="AE60" i="40"/>
  <c r="F12" i="31"/>
  <c r="D12" i="31"/>
  <c r="E12" i="31"/>
  <c r="G12" i="31"/>
  <c r="G18" i="31" s="1"/>
  <c r="S569" i="1"/>
  <c r="P2525" i="33"/>
  <c r="L2527" i="33"/>
  <c r="M2526" i="33"/>
  <c r="G58" i="7"/>
  <c r="H74" i="7"/>
  <c r="H87" i="7"/>
  <c r="H70" i="7"/>
  <c r="H78" i="7"/>
  <c r="H54" i="7"/>
  <c r="H63" i="7"/>
  <c r="H67" i="7"/>
  <c r="H71" i="7"/>
  <c r="H75" i="7"/>
  <c r="H84" i="7"/>
  <c r="H88" i="7"/>
  <c r="H66" i="7"/>
  <c r="H55" i="7"/>
  <c r="H68" i="7"/>
  <c r="H76" i="7"/>
  <c r="H62" i="7"/>
  <c r="H60" i="7"/>
  <c r="H64" i="7"/>
  <c r="H72" i="7"/>
  <c r="H85" i="7"/>
  <c r="H61" i="7"/>
  <c r="H65" i="7"/>
  <c r="H69" i="7"/>
  <c r="H73" i="7"/>
  <c r="H77" i="7"/>
  <c r="H86" i="7"/>
  <c r="H57" i="7"/>
  <c r="N864" i="1"/>
  <c r="N865" i="1"/>
  <c r="N893" i="1"/>
  <c r="N879" i="1"/>
  <c r="N881" i="1"/>
  <c r="N896" i="1"/>
  <c r="N892" i="1"/>
  <c r="G85" i="7"/>
  <c r="G55" i="7"/>
  <c r="G56" i="7"/>
  <c r="G68" i="7"/>
  <c r="G65" i="7"/>
  <c r="G86" i="7"/>
  <c r="G57" i="7"/>
  <c r="G60" i="7"/>
  <c r="G62" i="7"/>
  <c r="G70" i="7"/>
  <c r="G63" i="7"/>
  <c r="G71" i="7"/>
  <c r="G84" i="7"/>
  <c r="H58" i="7"/>
  <c r="G64" i="7"/>
  <c r="G72" i="7"/>
  <c r="G76" i="7"/>
  <c r="G66" i="7"/>
  <c r="G74" i="7"/>
  <c r="G78" i="7"/>
  <c r="G87" i="7"/>
  <c r="H56" i="7"/>
  <c r="G73" i="7"/>
  <c r="G61" i="7"/>
  <c r="G69" i="7"/>
  <c r="G77" i="7"/>
  <c r="G54" i="7"/>
  <c r="G59" i="7"/>
  <c r="G67" i="7"/>
  <c r="G75" i="7"/>
  <c r="G88" i="7"/>
  <c r="L279" i="1"/>
  <c r="L269" i="1"/>
  <c r="L259" i="1"/>
  <c r="L249" i="1"/>
  <c r="L239" i="1"/>
  <c r="L229" i="1"/>
  <c r="L219" i="1"/>
  <c r="L209" i="1"/>
  <c r="L199" i="1"/>
  <c r="L189" i="1"/>
  <c r="Q807" i="1"/>
  <c r="Q820" i="1"/>
  <c r="Q739" i="1"/>
  <c r="G219" i="4"/>
  <c r="N49" i="10" s="1"/>
  <c r="F219" i="4"/>
  <c r="L49" i="10" s="1"/>
  <c r="E219" i="4"/>
  <c r="J49" i="10" s="1"/>
  <c r="G220" i="4"/>
  <c r="F220" i="4"/>
  <c r="E220" i="4"/>
  <c r="D220" i="4"/>
  <c r="D187" i="4"/>
  <c r="P2526" i="33" a="1"/>
  <c r="F18" i="31" l="1"/>
  <c r="D18" i="31"/>
  <c r="E18" i="31"/>
  <c r="L2544" i="33"/>
  <c r="L2528" i="33"/>
  <c r="Q187" i="1"/>
  <c r="P2526" i="33"/>
  <c r="M2527" i="33"/>
  <c r="N880" i="1"/>
  <c r="N884" i="1"/>
  <c r="N883" i="1"/>
  <c r="N871" i="1"/>
  <c r="N886" i="1"/>
  <c r="N877" i="1"/>
  <c r="N874" i="1"/>
  <c r="N866" i="1"/>
  <c r="N873" i="1"/>
  <c r="N876" i="1"/>
  <c r="N878" i="1"/>
  <c r="N894" i="1"/>
  <c r="N869" i="1"/>
  <c r="N863" i="1"/>
  <c r="N895" i="1"/>
  <c r="N882" i="1"/>
  <c r="N872" i="1"/>
  <c r="N885" i="1"/>
  <c r="N875" i="1"/>
  <c r="N868" i="1"/>
  <c r="N867" i="1"/>
  <c r="D193" i="4"/>
  <c r="E193" i="4"/>
  <c r="F193" i="4"/>
  <c r="D6" i="7"/>
  <c r="L77" i="7" s="1"/>
  <c r="M325" i="1"/>
  <c r="M321" i="1"/>
  <c r="M317" i="1"/>
  <c r="M313" i="1"/>
  <c r="P2527" i="33" a="1"/>
  <c r="G21" i="31" l="1"/>
  <c r="L2529" i="33"/>
  <c r="M2528" i="33"/>
  <c r="P2527" i="33"/>
  <c r="J74" i="7"/>
  <c r="J59" i="7"/>
  <c r="J58" i="7"/>
  <c r="J75" i="7"/>
  <c r="J67" i="7"/>
  <c r="L64" i="7"/>
  <c r="L88" i="7"/>
  <c r="L78" i="7"/>
  <c r="J60" i="7"/>
  <c r="J61" i="7"/>
  <c r="L65" i="7"/>
  <c r="L62" i="7"/>
  <c r="J69" i="7"/>
  <c r="J77" i="7"/>
  <c r="N74" i="7"/>
  <c r="N59" i="7"/>
  <c r="N58" i="7"/>
  <c r="N75" i="7"/>
  <c r="N67" i="7"/>
  <c r="P64" i="7"/>
  <c r="P88" i="7"/>
  <c r="P78" i="7"/>
  <c r="N60" i="7"/>
  <c r="N61" i="7"/>
  <c r="P65" i="7"/>
  <c r="P62" i="7"/>
  <c r="N69" i="7"/>
  <c r="N77" i="7"/>
  <c r="L59" i="7"/>
  <c r="L58" i="7"/>
  <c r="L75" i="7"/>
  <c r="L67" i="7"/>
  <c r="J64" i="7"/>
  <c r="J88" i="7"/>
  <c r="J78" i="7"/>
  <c r="L60" i="7"/>
  <c r="L61" i="7"/>
  <c r="J65" i="7"/>
  <c r="J62" i="7"/>
  <c r="L69" i="7"/>
  <c r="N80" i="7"/>
  <c r="N81" i="7"/>
  <c r="J83" i="7"/>
  <c r="J81" i="7"/>
  <c r="L83" i="7"/>
  <c r="N79" i="7"/>
  <c r="P81" i="7"/>
  <c r="J80" i="7"/>
  <c r="J79" i="7"/>
  <c r="P80" i="7"/>
  <c r="P79" i="7"/>
  <c r="L82" i="7"/>
  <c r="L80" i="7"/>
  <c r="L79" i="7"/>
  <c r="L81" i="7"/>
  <c r="P83" i="7"/>
  <c r="P82" i="7"/>
  <c r="N82" i="7"/>
  <c r="N83" i="7"/>
  <c r="J82" i="7"/>
  <c r="P89" i="7"/>
  <c r="L89" i="7"/>
  <c r="N89" i="7"/>
  <c r="J89" i="7"/>
  <c r="P59" i="7"/>
  <c r="P58" i="7"/>
  <c r="P75" i="7"/>
  <c r="P67" i="7"/>
  <c r="N64" i="7"/>
  <c r="N88" i="7"/>
  <c r="N78" i="7"/>
  <c r="P60" i="7"/>
  <c r="P61" i="7"/>
  <c r="N65" i="7"/>
  <c r="N62" i="7"/>
  <c r="P69" i="7"/>
  <c r="P77" i="7"/>
  <c r="J56" i="7"/>
  <c r="L63" i="7"/>
  <c r="N54" i="7"/>
  <c r="J84" i="7"/>
  <c r="L86" i="7"/>
  <c r="L71" i="7"/>
  <c r="L57" i="7"/>
  <c r="L73" i="7"/>
  <c r="L70" i="7"/>
  <c r="L87" i="7"/>
  <c r="L72" i="7"/>
  <c r="J66" i="7"/>
  <c r="J85" i="7"/>
  <c r="J76" i="7"/>
  <c r="L55" i="7"/>
  <c r="J68" i="7"/>
  <c r="P56" i="7"/>
  <c r="N56" i="7"/>
  <c r="P54" i="7"/>
  <c r="N84" i="7"/>
  <c r="P86" i="7"/>
  <c r="P71" i="7"/>
  <c r="P57" i="7"/>
  <c r="P73" i="7"/>
  <c r="P70" i="7"/>
  <c r="P87" i="7"/>
  <c r="P72" i="7"/>
  <c r="N66" i="7"/>
  <c r="N85" i="7"/>
  <c r="N76" i="7"/>
  <c r="P55" i="7"/>
  <c r="N68" i="7"/>
  <c r="L56" i="7"/>
  <c r="P74" i="7"/>
  <c r="J63" i="7"/>
  <c r="L54" i="7"/>
  <c r="L84" i="7"/>
  <c r="J86" i="7"/>
  <c r="J71" i="7"/>
  <c r="J57" i="7"/>
  <c r="J73" i="7"/>
  <c r="J70" i="7"/>
  <c r="J87" i="7"/>
  <c r="J72" i="7"/>
  <c r="L66" i="7"/>
  <c r="L85" i="7"/>
  <c r="L76" i="7"/>
  <c r="J55" i="7"/>
  <c r="L68" i="7"/>
  <c r="L74" i="7"/>
  <c r="P63" i="7"/>
  <c r="N63" i="7"/>
  <c r="J54" i="7"/>
  <c r="P84" i="7"/>
  <c r="N86" i="7"/>
  <c r="N71" i="7"/>
  <c r="N57" i="7"/>
  <c r="N73" i="7"/>
  <c r="N70" i="7"/>
  <c r="N87" i="7"/>
  <c r="N72" i="7"/>
  <c r="P66" i="7"/>
  <c r="P85" i="7"/>
  <c r="P76" i="7"/>
  <c r="N55" i="7"/>
  <c r="P68" i="7"/>
  <c r="M83" i="7"/>
  <c r="K80" i="7"/>
  <c r="M80" i="7"/>
  <c r="I83" i="7"/>
  <c r="O79" i="7"/>
  <c r="I82" i="7"/>
  <c r="O80" i="7"/>
  <c r="K82" i="7"/>
  <c r="M82" i="7"/>
  <c r="I80" i="7"/>
  <c r="M81" i="7"/>
  <c r="I79" i="7"/>
  <c r="O82" i="7"/>
  <c r="O81" i="7"/>
  <c r="K79" i="7"/>
  <c r="M79" i="7"/>
  <c r="K83" i="7"/>
  <c r="O83" i="7"/>
  <c r="K81" i="7"/>
  <c r="I81" i="7"/>
  <c r="H279" i="1"/>
  <c r="H269" i="1"/>
  <c r="H249" i="1"/>
  <c r="H239" i="1"/>
  <c r="H219" i="1"/>
  <c r="H209" i="1"/>
  <c r="H189" i="1"/>
  <c r="E279" i="1"/>
  <c r="E269" i="1"/>
  <c r="E239" i="1"/>
  <c r="E209" i="1"/>
  <c r="E249" i="1"/>
  <c r="E219" i="1"/>
  <c r="E189" i="1"/>
  <c r="Q571" i="1"/>
  <c r="T688" i="1" s="1"/>
  <c r="T689" i="1" s="1"/>
  <c r="Q437" i="1"/>
  <c r="T566" i="1" s="1"/>
  <c r="M222" i="20"/>
  <c r="D195" i="20"/>
  <c r="T360" i="1"/>
  <c r="H441" i="1"/>
  <c r="H442" i="1"/>
  <c r="H443" i="1"/>
  <c r="H444" i="1"/>
  <c r="H445" i="1"/>
  <c r="H446" i="1"/>
  <c r="H447" i="1"/>
  <c r="H448" i="1"/>
  <c r="H449" i="1"/>
  <c r="H451" i="1"/>
  <c r="H452" i="1"/>
  <c r="H453" i="1"/>
  <c r="H454" i="1"/>
  <c r="P2528" i="33" a="1"/>
  <c r="P2528" i="33" l="1"/>
  <c r="M2529" i="33"/>
  <c r="L2530" i="33"/>
  <c r="T567" i="1"/>
  <c r="T568" i="1" s="1"/>
  <c r="S568" i="1" s="1"/>
  <c r="H437" i="1" s="1" a="1"/>
  <c r="H437" i="1" s="1"/>
  <c r="T361" i="1"/>
  <c r="T362" i="1" s="1"/>
  <c r="S362" i="1" s="1"/>
  <c r="H354" i="1" s="1"/>
  <c r="E72" i="27"/>
  <c r="F73" i="27"/>
  <c r="E73" i="27"/>
  <c r="E74" i="27"/>
  <c r="F74" i="27"/>
  <c r="G74" i="27"/>
  <c r="H75" i="27"/>
  <c r="G75" i="27"/>
  <c r="F75" i="27"/>
  <c r="E75" i="27"/>
  <c r="D75" i="27"/>
  <c r="D74" i="27"/>
  <c r="D73" i="27"/>
  <c r="D72" i="27"/>
  <c r="D71" i="27"/>
  <c r="E43" i="27"/>
  <c r="D43" i="27"/>
  <c r="D42" i="27"/>
  <c r="P24" i="29"/>
  <c r="O24" i="29"/>
  <c r="N24" i="29"/>
  <c r="M24" i="29"/>
  <c r="P23" i="29"/>
  <c r="O23" i="29"/>
  <c r="N23" i="29"/>
  <c r="M23" i="29"/>
  <c r="P22" i="29"/>
  <c r="O22" i="29"/>
  <c r="N22" i="29"/>
  <c r="M22" i="29"/>
  <c r="P21" i="29"/>
  <c r="O21" i="29"/>
  <c r="N21" i="29"/>
  <c r="M21" i="29"/>
  <c r="P20" i="29"/>
  <c r="O20" i="29"/>
  <c r="N20" i="29"/>
  <c r="M20" i="29"/>
  <c r="P19" i="29"/>
  <c r="O19" i="29"/>
  <c r="N19" i="29"/>
  <c r="M19" i="29"/>
  <c r="P18" i="29"/>
  <c r="O18" i="29"/>
  <c r="N18" i="29"/>
  <c r="M18" i="29"/>
  <c r="P17" i="29"/>
  <c r="O17" i="29"/>
  <c r="N17" i="29"/>
  <c r="M17" i="29"/>
  <c r="P16" i="29"/>
  <c r="O16" i="29"/>
  <c r="N16" i="29"/>
  <c r="M16" i="29"/>
  <c r="P10" i="29"/>
  <c r="O10" i="29"/>
  <c r="N10" i="29"/>
  <c r="M10" i="29"/>
  <c r="P9" i="29"/>
  <c r="O9" i="29"/>
  <c r="N9" i="29"/>
  <c r="M9" i="29"/>
  <c r="P8" i="29"/>
  <c r="O8" i="29"/>
  <c r="N8" i="29"/>
  <c r="M8" i="29"/>
  <c r="P7" i="29"/>
  <c r="O7" i="29"/>
  <c r="N7" i="29"/>
  <c r="M7" i="29"/>
  <c r="P6" i="29"/>
  <c r="O6" i="29"/>
  <c r="N6" i="29"/>
  <c r="M6" i="29"/>
  <c r="P5" i="29"/>
  <c r="O5" i="29"/>
  <c r="N5" i="29"/>
  <c r="M5" i="29"/>
  <c r="L6" i="29"/>
  <c r="L9" i="29"/>
  <c r="L7" i="29"/>
  <c r="L8" i="29"/>
  <c r="L10" i="29"/>
  <c r="L16" i="29"/>
  <c r="L17" i="29"/>
  <c r="L18" i="29"/>
  <c r="L19" i="29"/>
  <c r="L20" i="29"/>
  <c r="L21" i="29"/>
  <c r="L22" i="29"/>
  <c r="L23" i="29"/>
  <c r="L24" i="29"/>
  <c r="L5" i="29"/>
  <c r="Q829" i="1"/>
  <c r="Q732" i="1"/>
  <c r="Q777" i="1"/>
  <c r="T800" i="1" s="1"/>
  <c r="Q693" i="1"/>
  <c r="T690" i="1"/>
  <c r="S690" i="1" s="1"/>
  <c r="H571" i="1" s="1"/>
  <c r="Q79" i="1"/>
  <c r="W6" i="20"/>
  <c r="P2529" i="33" a="1"/>
  <c r="P2529" i="33" l="1"/>
  <c r="M2530" i="33"/>
  <c r="L2531" i="33"/>
  <c r="D13" i="26"/>
  <c r="G35" i="31"/>
  <c r="N121" i="10" s="1"/>
  <c r="F50" i="26"/>
  <c r="L129" i="10" s="1"/>
  <c r="F35" i="31"/>
  <c r="L121" i="10" s="1"/>
  <c r="E35" i="31"/>
  <c r="J121" i="10" s="1"/>
  <c r="D35" i="31"/>
  <c r="H121" i="10" s="1"/>
  <c r="G50" i="26"/>
  <c r="N129" i="10" s="1"/>
  <c r="E50" i="26"/>
  <c r="J129" i="10" s="1"/>
  <c r="D50" i="26"/>
  <c r="H129" i="10" s="1"/>
  <c r="E29" i="4"/>
  <c r="F29" i="4"/>
  <c r="G29" i="4"/>
  <c r="D29" i="4"/>
  <c r="J52" i="10"/>
  <c r="H52" i="10"/>
  <c r="L101" i="10"/>
  <c r="N101" i="10"/>
  <c r="H101" i="10"/>
  <c r="J101" i="10"/>
  <c r="N52" i="10"/>
  <c r="L52" i="10"/>
  <c r="G18" i="4"/>
  <c r="G10" i="4"/>
  <c r="N58" i="10"/>
  <c r="F18" i="4"/>
  <c r="L58" i="10"/>
  <c r="E18" i="4"/>
  <c r="E10" i="4"/>
  <c r="J58" i="10"/>
  <c r="D18" i="4"/>
  <c r="D10" i="4"/>
  <c r="H58" i="10"/>
  <c r="G14" i="4"/>
  <c r="N155" i="10"/>
  <c r="F14" i="4"/>
  <c r="L155" i="10"/>
  <c r="E14" i="4"/>
  <c r="J155" i="10"/>
  <c r="D14" i="4"/>
  <c r="H155" i="10"/>
  <c r="F10" i="4"/>
  <c r="T801" i="1"/>
  <c r="T802" i="1" s="1"/>
  <c r="S802" i="1" s="1"/>
  <c r="H777" i="1" s="1"/>
  <c r="E8" i="20"/>
  <c r="N8" i="20"/>
  <c r="Q8" i="20"/>
  <c r="P8" i="20"/>
  <c r="O8" i="20"/>
  <c r="H8" i="20"/>
  <c r="G8" i="20"/>
  <c r="F8" i="20"/>
  <c r="G97" i="27"/>
  <c r="E97" i="27"/>
  <c r="F97" i="27"/>
  <c r="F96" i="27"/>
  <c r="D96" i="27"/>
  <c r="G96" i="27"/>
  <c r="E96" i="27"/>
  <c r="D97" i="27"/>
  <c r="O25" i="29"/>
  <c r="P25" i="29"/>
  <c r="J2" i="29" s="1"/>
  <c r="M25" i="29"/>
  <c r="N25" i="29"/>
  <c r="E11" i="20"/>
  <c r="T113" i="1"/>
  <c r="T114" i="1" s="1"/>
  <c r="M71" i="20"/>
  <c r="M87" i="20"/>
  <c r="E616" i="1"/>
  <c r="H616" i="1"/>
  <c r="M236" i="20"/>
  <c r="D236" i="20"/>
  <c r="H602" i="1"/>
  <c r="E602" i="1"/>
  <c r="D222" i="20"/>
  <c r="D221" i="20"/>
  <c r="E465" i="1"/>
  <c r="H465" i="1"/>
  <c r="H481" i="1"/>
  <c r="E481" i="1"/>
  <c r="D87" i="20"/>
  <c r="D71" i="20"/>
  <c r="D117" i="5"/>
  <c r="E117" i="5"/>
  <c r="F117" i="5"/>
  <c r="D118" i="5"/>
  <c r="E118" i="5"/>
  <c r="F118" i="5"/>
  <c r="D119" i="5"/>
  <c r="E119" i="5"/>
  <c r="F119" i="5"/>
  <c r="D120" i="5"/>
  <c r="E120" i="5"/>
  <c r="F120" i="5"/>
  <c r="D121" i="5"/>
  <c r="E121" i="5"/>
  <c r="F121" i="5"/>
  <c r="D122" i="5"/>
  <c r="E122" i="5"/>
  <c r="F122" i="5"/>
  <c r="D123" i="5"/>
  <c r="E123" i="5"/>
  <c r="F123" i="5"/>
  <c r="D124" i="5"/>
  <c r="E124" i="5"/>
  <c r="F124" i="5"/>
  <c r="D125" i="5"/>
  <c r="E125" i="5"/>
  <c r="F125" i="5"/>
  <c r="D126" i="5"/>
  <c r="E126" i="5"/>
  <c r="F126" i="5"/>
  <c r="D127" i="5"/>
  <c r="E127" i="5"/>
  <c r="F127" i="5"/>
  <c r="D128" i="5"/>
  <c r="E128" i="5"/>
  <c r="F128" i="5"/>
  <c r="H679" i="1"/>
  <c r="E659" i="1"/>
  <c r="H659" i="1"/>
  <c r="E658" i="1"/>
  <c r="H658" i="1"/>
  <c r="H588" i="1"/>
  <c r="E588" i="1"/>
  <c r="H587" i="1"/>
  <c r="E557" i="1"/>
  <c r="H557" i="1"/>
  <c r="E537" i="1"/>
  <c r="H537" i="1"/>
  <c r="E536" i="1"/>
  <c r="H536" i="1"/>
  <c r="E515" i="1"/>
  <c r="H515" i="1"/>
  <c r="E454" i="1"/>
  <c r="D299" i="20"/>
  <c r="M299" i="20"/>
  <c r="D278" i="20"/>
  <c r="M278" i="20"/>
  <c r="M208" i="20"/>
  <c r="D208" i="20"/>
  <c r="D163" i="20"/>
  <c r="M163" i="20"/>
  <c r="D142" i="20"/>
  <c r="M142" i="20"/>
  <c r="D143" i="20"/>
  <c r="M143" i="20"/>
  <c r="D121" i="20"/>
  <c r="M121" i="20"/>
  <c r="M60" i="20"/>
  <c r="D60" i="20"/>
  <c r="Z6" i="20"/>
  <c r="Z11" i="20"/>
  <c r="Z7" i="20"/>
  <c r="P2530" i="33" a="1"/>
  <c r="AE117" i="40" a="1"/>
  <c r="U103" i="40" a="1"/>
  <c r="U117" i="40" a="1"/>
  <c r="Z95" i="40" a="1"/>
  <c r="Z103" i="40" a="1"/>
  <c r="AE103" i="40" a="1"/>
  <c r="U95" i="40" a="1"/>
  <c r="Z117" i="40" a="1"/>
  <c r="P103" i="40" a="1"/>
  <c r="P95" i="40" a="1"/>
  <c r="AE95" i="40" a="1"/>
  <c r="Y225" i="20" l="1"/>
  <c r="G225" i="20" s="1"/>
  <c r="Y296" i="20"/>
  <c r="G296" i="20" s="1"/>
  <c r="Y204" i="20"/>
  <c r="G204" i="20" s="1"/>
  <c r="F138" i="5"/>
  <c r="Y298" i="20"/>
  <c r="G298" i="20" s="1"/>
  <c r="Y295" i="20"/>
  <c r="G295" i="20" s="1"/>
  <c r="Y287" i="20"/>
  <c r="G287" i="20" s="1"/>
  <c r="Y262" i="20"/>
  <c r="G262" i="20" s="1"/>
  <c r="Y252" i="20"/>
  <c r="G252" i="20" s="1"/>
  <c r="Y247" i="20"/>
  <c r="G247" i="20" s="1"/>
  <c r="Y239" i="20"/>
  <c r="G239" i="20" s="1"/>
  <c r="Y227" i="20"/>
  <c r="G227" i="20" s="1"/>
  <c r="Y206" i="20"/>
  <c r="G206" i="20" s="1"/>
  <c r="Y203" i="20"/>
  <c r="G203" i="20" s="1"/>
  <c r="Y151" i="20"/>
  <c r="G151" i="20" s="1"/>
  <c r="Y149" i="20"/>
  <c r="G149" i="20" s="1"/>
  <c r="Y126" i="20"/>
  <c r="G126" i="20" s="1"/>
  <c r="Y111" i="20"/>
  <c r="G111" i="20" s="1"/>
  <c r="Y294" i="20"/>
  <c r="G294" i="20" s="1"/>
  <c r="Y284" i="20"/>
  <c r="G284" i="20" s="1"/>
  <c r="Y277" i="20"/>
  <c r="G277" i="20" s="1"/>
  <c r="Y256" i="20"/>
  <c r="G256" i="20" s="1"/>
  <c r="Y254" i="20"/>
  <c r="G254" i="20" s="1"/>
  <c r="Y248" i="20"/>
  <c r="G248" i="20" s="1"/>
  <c r="Y246" i="20"/>
  <c r="G246" i="20" s="1"/>
  <c r="Y238" i="20"/>
  <c r="G238" i="20" s="1"/>
  <c r="Y233" i="20"/>
  <c r="G233" i="20" s="1"/>
  <c r="Y230" i="20"/>
  <c r="G230" i="20" s="1"/>
  <c r="Y226" i="20"/>
  <c r="G226" i="20" s="1"/>
  <c r="Y224" i="20"/>
  <c r="G224" i="20" s="1"/>
  <c r="Y220" i="20"/>
  <c r="G220" i="20" s="1"/>
  <c r="Y218" i="20"/>
  <c r="G218" i="20" s="1"/>
  <c r="Y214" i="20"/>
  <c r="G214" i="20" s="1"/>
  <c r="Y212" i="20"/>
  <c r="G212" i="20" s="1"/>
  <c r="Y207" i="20"/>
  <c r="G207" i="20" s="1"/>
  <c r="Y161" i="20"/>
  <c r="G161" i="20" s="1"/>
  <c r="Y118" i="20"/>
  <c r="G118" i="20" s="1"/>
  <c r="Y110" i="20"/>
  <c r="G110" i="20" s="1"/>
  <c r="Y80" i="20"/>
  <c r="G80" i="20" s="1"/>
  <c r="Y72" i="20"/>
  <c r="G72" i="20" s="1"/>
  <c r="Y70" i="20"/>
  <c r="G70" i="20" s="1"/>
  <c r="Y57" i="20"/>
  <c r="G57" i="20" s="1"/>
  <c r="Y103" i="20"/>
  <c r="G103" i="20" s="1"/>
  <c r="Y73" i="20"/>
  <c r="G73" i="20" s="1"/>
  <c r="W140" i="20"/>
  <c r="E140" i="20" s="1"/>
  <c r="D141" i="5"/>
  <c r="W257" i="20"/>
  <c r="E257" i="20" s="1"/>
  <c r="W234" i="20"/>
  <c r="E234" i="20" s="1"/>
  <c r="W208" i="20"/>
  <c r="E208" i="20" s="1"/>
  <c r="W201" i="20"/>
  <c r="E201" i="20" s="1"/>
  <c r="W299" i="20"/>
  <c r="E299" i="20" s="1"/>
  <c r="W286" i="20"/>
  <c r="E286" i="20" s="1"/>
  <c r="W279" i="20"/>
  <c r="E279" i="20" s="1"/>
  <c r="W205" i="20"/>
  <c r="E205" i="20" s="1"/>
  <c r="W200" i="20"/>
  <c r="E200" i="20" s="1"/>
  <c r="W154" i="20"/>
  <c r="E154" i="20" s="1"/>
  <c r="W93" i="20"/>
  <c r="E93" i="20" s="1"/>
  <c r="W55" i="20"/>
  <c r="E55" i="20" s="1"/>
  <c r="X296" i="20"/>
  <c r="F296" i="20" s="1"/>
  <c r="X204" i="20"/>
  <c r="F204" i="20" s="1"/>
  <c r="E138" i="5"/>
  <c r="X298" i="20"/>
  <c r="F298" i="20" s="1"/>
  <c r="X295" i="20"/>
  <c r="F295" i="20" s="1"/>
  <c r="X287" i="20"/>
  <c r="F287" i="20" s="1"/>
  <c r="X262" i="20"/>
  <c r="F262" i="20" s="1"/>
  <c r="X252" i="20"/>
  <c r="F252" i="20" s="1"/>
  <c r="X247" i="20"/>
  <c r="F247" i="20" s="1"/>
  <c r="X239" i="20"/>
  <c r="F239" i="20" s="1"/>
  <c r="X227" i="20"/>
  <c r="F227" i="20" s="1"/>
  <c r="X225" i="20"/>
  <c r="F225" i="20" s="1"/>
  <c r="X206" i="20"/>
  <c r="F206" i="20" s="1"/>
  <c r="X203" i="20"/>
  <c r="F203" i="20" s="1"/>
  <c r="X151" i="20"/>
  <c r="F151" i="20" s="1"/>
  <c r="X149" i="20"/>
  <c r="F149" i="20" s="1"/>
  <c r="X126" i="20"/>
  <c r="F126" i="20" s="1"/>
  <c r="X294" i="20"/>
  <c r="F294" i="20" s="1"/>
  <c r="X284" i="20"/>
  <c r="F284" i="20" s="1"/>
  <c r="X277" i="20"/>
  <c r="F277" i="20" s="1"/>
  <c r="X256" i="20"/>
  <c r="F256" i="20" s="1"/>
  <c r="X254" i="20"/>
  <c r="F254" i="20" s="1"/>
  <c r="X248" i="20"/>
  <c r="F248" i="20" s="1"/>
  <c r="X246" i="20"/>
  <c r="F246" i="20" s="1"/>
  <c r="X238" i="20"/>
  <c r="F238" i="20" s="1"/>
  <c r="X233" i="20"/>
  <c r="F233" i="20" s="1"/>
  <c r="X230" i="20"/>
  <c r="F230" i="20" s="1"/>
  <c r="X226" i="20"/>
  <c r="F226" i="20" s="1"/>
  <c r="X224" i="20"/>
  <c r="F224" i="20" s="1"/>
  <c r="X220" i="20"/>
  <c r="F220" i="20" s="1"/>
  <c r="X218" i="20"/>
  <c r="F218" i="20" s="1"/>
  <c r="X214" i="20"/>
  <c r="F214" i="20" s="1"/>
  <c r="X212" i="20"/>
  <c r="F212" i="20" s="1"/>
  <c r="X207" i="20"/>
  <c r="F207" i="20" s="1"/>
  <c r="X161" i="20"/>
  <c r="F161" i="20" s="1"/>
  <c r="X118" i="20"/>
  <c r="F118" i="20" s="1"/>
  <c r="X103" i="20"/>
  <c r="F103" i="20" s="1"/>
  <c r="X73" i="20"/>
  <c r="F73" i="20" s="1"/>
  <c r="X111" i="20"/>
  <c r="F111" i="20" s="1"/>
  <c r="X110" i="20"/>
  <c r="F110" i="20" s="1"/>
  <c r="X80" i="20"/>
  <c r="F80" i="20" s="1"/>
  <c r="X72" i="20"/>
  <c r="F72" i="20" s="1"/>
  <c r="X70" i="20"/>
  <c r="F70" i="20" s="1"/>
  <c r="X57" i="20"/>
  <c r="F57" i="20" s="1"/>
  <c r="F135" i="5"/>
  <c r="Y273" i="20"/>
  <c r="G273" i="20" s="1"/>
  <c r="Y269" i="20"/>
  <c r="G269" i="20" s="1"/>
  <c r="Y266" i="20"/>
  <c r="G266" i="20" s="1"/>
  <c r="Y137" i="20"/>
  <c r="G137" i="20" s="1"/>
  <c r="Y133" i="20"/>
  <c r="G133" i="20" s="1"/>
  <c r="Y130" i="20"/>
  <c r="G130" i="20" s="1"/>
  <c r="Y267" i="20"/>
  <c r="G267" i="20" s="1"/>
  <c r="Y202" i="20"/>
  <c r="G202" i="20" s="1"/>
  <c r="Y152" i="20"/>
  <c r="G152" i="20" s="1"/>
  <c r="Y92" i="20"/>
  <c r="G92" i="20" s="1"/>
  <c r="Y88" i="20"/>
  <c r="G88" i="20" s="1"/>
  <c r="Y54" i="20"/>
  <c r="G54" i="20" s="1"/>
  <c r="Y65" i="20"/>
  <c r="G65" i="20" s="1"/>
  <c r="D133" i="5"/>
  <c r="W249" i="20"/>
  <c r="E249" i="20" s="1"/>
  <c r="W162" i="20"/>
  <c r="E162" i="20" s="1"/>
  <c r="W228" i="20"/>
  <c r="E228" i="20" s="1"/>
  <c r="W90" i="20"/>
  <c r="E90" i="20" s="1"/>
  <c r="W84" i="20"/>
  <c r="E84" i="20" s="1"/>
  <c r="W82" i="20"/>
  <c r="E82" i="20" s="1"/>
  <c r="W268" i="20"/>
  <c r="E268" i="20" s="1"/>
  <c r="D136" i="5"/>
  <c r="W278" i="20"/>
  <c r="E278" i="20" s="1"/>
  <c r="W271" i="20"/>
  <c r="E271" i="20" s="1"/>
  <c r="W243" i="20"/>
  <c r="E243" i="20" s="1"/>
  <c r="W241" i="20"/>
  <c r="E241" i="20" s="1"/>
  <c r="W223" i="20"/>
  <c r="E223" i="20" s="1"/>
  <c r="W221" i="20"/>
  <c r="E221" i="20" s="1"/>
  <c r="W199" i="20"/>
  <c r="E199" i="20" s="1"/>
  <c r="W142" i="20"/>
  <c r="E142" i="20" s="1"/>
  <c r="W135" i="20"/>
  <c r="E135" i="20" s="1"/>
  <c r="W119" i="20"/>
  <c r="E119" i="20" s="1"/>
  <c r="W113" i="20"/>
  <c r="E113" i="20" s="1"/>
  <c r="W288" i="20"/>
  <c r="E288" i="20" s="1"/>
  <c r="W242" i="20"/>
  <c r="E242" i="20" s="1"/>
  <c r="W216" i="20"/>
  <c r="E216" i="20" s="1"/>
  <c r="W123" i="20"/>
  <c r="E123" i="20" s="1"/>
  <c r="W96" i="20"/>
  <c r="E96" i="20" s="1"/>
  <c r="W75" i="20"/>
  <c r="E75" i="20" s="1"/>
  <c r="W71" i="20"/>
  <c r="E71" i="20" s="1"/>
  <c r="W69" i="20"/>
  <c r="E69" i="20" s="1"/>
  <c r="W51" i="20"/>
  <c r="E51" i="20" s="1"/>
  <c r="W78" i="20"/>
  <c r="E78" i="20" s="1"/>
  <c r="W76" i="20"/>
  <c r="E76" i="20" s="1"/>
  <c r="W74" i="20"/>
  <c r="E74" i="20" s="1"/>
  <c r="W66" i="20"/>
  <c r="E66" i="20" s="1"/>
  <c r="E143" i="5"/>
  <c r="X121" i="20"/>
  <c r="F121" i="20" s="1"/>
  <c r="X163" i="20"/>
  <c r="F163" i="20" s="1"/>
  <c r="X158" i="20"/>
  <c r="F158" i="20" s="1"/>
  <c r="X150" i="20"/>
  <c r="F150" i="20" s="1"/>
  <c r="X148" i="20"/>
  <c r="F148" i="20" s="1"/>
  <c r="X143" i="20"/>
  <c r="F143" i="20" s="1"/>
  <c r="X98" i="20"/>
  <c r="F98" i="20" s="1"/>
  <c r="X79" i="20"/>
  <c r="F79" i="20" s="1"/>
  <c r="X60" i="20"/>
  <c r="F60" i="20" s="1"/>
  <c r="Y253" i="20"/>
  <c r="G253" i="20" s="1"/>
  <c r="F140" i="5"/>
  <c r="Y211" i="20"/>
  <c r="G211" i="20" s="1"/>
  <c r="Y236" i="20"/>
  <c r="G236" i="20" s="1"/>
  <c r="Y47" i="20"/>
  <c r="G47" i="20" s="1"/>
  <c r="Y67" i="20"/>
  <c r="G67" i="20" s="1"/>
  <c r="Y63" i="20"/>
  <c r="G63" i="20" s="1"/>
  <c r="Y53" i="20"/>
  <c r="G53" i="20" s="1"/>
  <c r="W296" i="20"/>
  <c r="E296" i="20" s="1"/>
  <c r="W204" i="20"/>
  <c r="E204" i="20" s="1"/>
  <c r="D138" i="5"/>
  <c r="W298" i="20"/>
  <c r="E298" i="20" s="1"/>
  <c r="W295" i="20"/>
  <c r="E295" i="20" s="1"/>
  <c r="W287" i="20"/>
  <c r="E287" i="20" s="1"/>
  <c r="W262" i="20"/>
  <c r="E262" i="20" s="1"/>
  <c r="W252" i="20"/>
  <c r="E252" i="20" s="1"/>
  <c r="W247" i="20"/>
  <c r="E247" i="20" s="1"/>
  <c r="W239" i="20"/>
  <c r="E239" i="20" s="1"/>
  <c r="W227" i="20"/>
  <c r="E227" i="20" s="1"/>
  <c r="W225" i="20"/>
  <c r="E225" i="20" s="1"/>
  <c r="W206" i="20"/>
  <c r="E206" i="20" s="1"/>
  <c r="W203" i="20"/>
  <c r="E203" i="20" s="1"/>
  <c r="W151" i="20"/>
  <c r="E151" i="20" s="1"/>
  <c r="W149" i="20"/>
  <c r="E149" i="20" s="1"/>
  <c r="W126" i="20"/>
  <c r="E126" i="20" s="1"/>
  <c r="W111" i="20"/>
  <c r="E111" i="20" s="1"/>
  <c r="W294" i="20"/>
  <c r="E294" i="20" s="1"/>
  <c r="W284" i="20"/>
  <c r="E284" i="20" s="1"/>
  <c r="W277" i="20"/>
  <c r="E277" i="20" s="1"/>
  <c r="W256" i="20"/>
  <c r="E256" i="20" s="1"/>
  <c r="W254" i="20"/>
  <c r="E254" i="20" s="1"/>
  <c r="W248" i="20"/>
  <c r="E248" i="20" s="1"/>
  <c r="W246" i="20"/>
  <c r="E246" i="20" s="1"/>
  <c r="W238" i="20"/>
  <c r="E238" i="20" s="1"/>
  <c r="W233" i="20"/>
  <c r="E233" i="20" s="1"/>
  <c r="W230" i="20"/>
  <c r="E230" i="20" s="1"/>
  <c r="W226" i="20"/>
  <c r="E226" i="20" s="1"/>
  <c r="W224" i="20"/>
  <c r="E224" i="20" s="1"/>
  <c r="W220" i="20"/>
  <c r="E220" i="20" s="1"/>
  <c r="W218" i="20"/>
  <c r="E218" i="20" s="1"/>
  <c r="W214" i="20"/>
  <c r="E214" i="20" s="1"/>
  <c r="W212" i="20"/>
  <c r="E212" i="20" s="1"/>
  <c r="W207" i="20"/>
  <c r="E207" i="20" s="1"/>
  <c r="W161" i="20"/>
  <c r="E161" i="20" s="1"/>
  <c r="W118" i="20"/>
  <c r="E118" i="20" s="1"/>
  <c r="W103" i="20"/>
  <c r="E103" i="20" s="1"/>
  <c r="W73" i="20"/>
  <c r="E73" i="20" s="1"/>
  <c r="W110" i="20"/>
  <c r="E110" i="20" s="1"/>
  <c r="W80" i="20"/>
  <c r="E80" i="20" s="1"/>
  <c r="W72" i="20"/>
  <c r="E72" i="20" s="1"/>
  <c r="W70" i="20"/>
  <c r="E70" i="20" s="1"/>
  <c r="W57" i="20"/>
  <c r="E57" i="20" s="1"/>
  <c r="E135" i="5"/>
  <c r="X273" i="20"/>
  <c r="F273" i="20" s="1"/>
  <c r="X269" i="20"/>
  <c r="F269" i="20" s="1"/>
  <c r="X266" i="20"/>
  <c r="F266" i="20" s="1"/>
  <c r="X137" i="20"/>
  <c r="F137" i="20" s="1"/>
  <c r="X133" i="20"/>
  <c r="F133" i="20" s="1"/>
  <c r="X130" i="20"/>
  <c r="F130" i="20" s="1"/>
  <c r="X267" i="20"/>
  <c r="F267" i="20" s="1"/>
  <c r="X202" i="20"/>
  <c r="F202" i="20" s="1"/>
  <c r="X152" i="20"/>
  <c r="F152" i="20" s="1"/>
  <c r="X65" i="20"/>
  <c r="F65" i="20" s="1"/>
  <c r="X92" i="20"/>
  <c r="F92" i="20" s="1"/>
  <c r="X88" i="20"/>
  <c r="F88" i="20" s="1"/>
  <c r="X54" i="20"/>
  <c r="F54" i="20" s="1"/>
  <c r="F132" i="5"/>
  <c r="AC85" i="20" s="1"/>
  <c r="P85" i="20" s="1"/>
  <c r="Y85" i="20"/>
  <c r="G85" i="20" s="1"/>
  <c r="E133" i="5"/>
  <c r="X249" i="20"/>
  <c r="F249" i="20" s="1"/>
  <c r="X162" i="20"/>
  <c r="F162" i="20" s="1"/>
  <c r="X228" i="20"/>
  <c r="F228" i="20" s="1"/>
  <c r="X90" i="20"/>
  <c r="F90" i="20" s="1"/>
  <c r="X84" i="20"/>
  <c r="F84" i="20" s="1"/>
  <c r="X82" i="20"/>
  <c r="F82" i="20" s="1"/>
  <c r="X253" i="20"/>
  <c r="F253" i="20" s="1"/>
  <c r="E140" i="5"/>
  <c r="X211" i="20"/>
  <c r="F211" i="20" s="1"/>
  <c r="X236" i="20"/>
  <c r="F236" i="20" s="1"/>
  <c r="X67" i="20"/>
  <c r="F67" i="20" s="1"/>
  <c r="X63" i="20"/>
  <c r="F63" i="20" s="1"/>
  <c r="X53" i="20"/>
  <c r="F53" i="20" s="1"/>
  <c r="X47" i="20"/>
  <c r="F47" i="20" s="1"/>
  <c r="Y95" i="20"/>
  <c r="G95" i="20" s="1"/>
  <c r="Y132" i="20"/>
  <c r="G132" i="20" s="1"/>
  <c r="F137" i="5"/>
  <c r="Y285" i="20"/>
  <c r="G285" i="20" s="1"/>
  <c r="Y281" i="20"/>
  <c r="G281" i="20" s="1"/>
  <c r="Y275" i="20"/>
  <c r="G275" i="20" s="1"/>
  <c r="Y264" i="20"/>
  <c r="G264" i="20" s="1"/>
  <c r="Y260" i="20"/>
  <c r="G260" i="20" s="1"/>
  <c r="Y255" i="20"/>
  <c r="G255" i="20" s="1"/>
  <c r="Y245" i="20"/>
  <c r="G245" i="20" s="1"/>
  <c r="Y237" i="20"/>
  <c r="G237" i="20" s="1"/>
  <c r="Y232" i="20"/>
  <c r="G232" i="20" s="1"/>
  <c r="Y219" i="20"/>
  <c r="G219" i="20" s="1"/>
  <c r="Y197" i="20"/>
  <c r="G197" i="20" s="1"/>
  <c r="Y195" i="20"/>
  <c r="G195" i="20" s="1"/>
  <c r="Y159" i="20"/>
  <c r="G159" i="20" s="1"/>
  <c r="Y145" i="20"/>
  <c r="G145" i="20" s="1"/>
  <c r="Y139" i="20"/>
  <c r="G139" i="20" s="1"/>
  <c r="Y128" i="20"/>
  <c r="G128" i="20" s="1"/>
  <c r="Y124" i="20"/>
  <c r="G124" i="20" s="1"/>
  <c r="Y297" i="20"/>
  <c r="G297" i="20" s="1"/>
  <c r="Y292" i="20"/>
  <c r="G292" i="20" s="1"/>
  <c r="Y282" i="20"/>
  <c r="G282" i="20" s="1"/>
  <c r="Y270" i="20"/>
  <c r="G270" i="20" s="1"/>
  <c r="Y263" i="20"/>
  <c r="G263" i="20" s="1"/>
  <c r="Y261" i="20"/>
  <c r="G261" i="20" s="1"/>
  <c r="Y259" i="20"/>
  <c r="G259" i="20" s="1"/>
  <c r="Y244" i="20"/>
  <c r="G244" i="20" s="1"/>
  <c r="Y240" i="20"/>
  <c r="G240" i="20" s="1"/>
  <c r="Y222" i="20"/>
  <c r="G222" i="20" s="1"/>
  <c r="Y198" i="20"/>
  <c r="G198" i="20" s="1"/>
  <c r="Y196" i="20"/>
  <c r="G196" i="20" s="1"/>
  <c r="Y156" i="20"/>
  <c r="G156" i="20" s="1"/>
  <c r="Y146" i="20"/>
  <c r="G146" i="20" s="1"/>
  <c r="Y134" i="20"/>
  <c r="G134" i="20" s="1"/>
  <c r="Y127" i="20"/>
  <c r="G127" i="20" s="1"/>
  <c r="Y125" i="20"/>
  <c r="G125" i="20" s="1"/>
  <c r="Y120" i="20"/>
  <c r="G120" i="20" s="1"/>
  <c r="Y115" i="20"/>
  <c r="G115" i="20" s="1"/>
  <c r="Y106" i="20"/>
  <c r="G106" i="20" s="1"/>
  <c r="Y104" i="20"/>
  <c r="G104" i="20" s="1"/>
  <c r="Y102" i="20"/>
  <c r="G102" i="20" s="1"/>
  <c r="Y97" i="20"/>
  <c r="G97" i="20" s="1"/>
  <c r="Y68" i="20"/>
  <c r="G68" i="20" s="1"/>
  <c r="Y59" i="20"/>
  <c r="G59" i="20" s="1"/>
  <c r="Y50" i="20"/>
  <c r="G50" i="20" s="1"/>
  <c r="Y48" i="20"/>
  <c r="G48" i="20" s="1"/>
  <c r="Y112" i="20"/>
  <c r="G112" i="20" s="1"/>
  <c r="Y107" i="20"/>
  <c r="G107" i="20" s="1"/>
  <c r="Y105" i="20"/>
  <c r="G105" i="20" s="1"/>
  <c r="Y101" i="20"/>
  <c r="G101" i="20" s="1"/>
  <c r="Y81" i="20"/>
  <c r="G81" i="20" s="1"/>
  <c r="Y58" i="20"/>
  <c r="G58" i="20" s="1"/>
  <c r="Y49" i="20"/>
  <c r="G49" i="20" s="1"/>
  <c r="D135" i="5"/>
  <c r="W273" i="20"/>
  <c r="E273" i="20" s="1"/>
  <c r="W269" i="20"/>
  <c r="E269" i="20" s="1"/>
  <c r="W266" i="20"/>
  <c r="E266" i="20" s="1"/>
  <c r="W137" i="20"/>
  <c r="E137" i="20" s="1"/>
  <c r="W133" i="20"/>
  <c r="E133" i="20" s="1"/>
  <c r="W130" i="20"/>
  <c r="E130" i="20" s="1"/>
  <c r="W267" i="20"/>
  <c r="E267" i="20" s="1"/>
  <c r="W202" i="20"/>
  <c r="E202" i="20" s="1"/>
  <c r="W152" i="20"/>
  <c r="E152" i="20" s="1"/>
  <c r="W65" i="20"/>
  <c r="E65" i="20" s="1"/>
  <c r="W92" i="20"/>
  <c r="E92" i="20" s="1"/>
  <c r="W88" i="20"/>
  <c r="E88" i="20" s="1"/>
  <c r="W54" i="20"/>
  <c r="E54" i="20" s="1"/>
  <c r="E132" i="5"/>
  <c r="AB85" i="20" s="1"/>
  <c r="O85" i="20" s="1"/>
  <c r="X85" i="20"/>
  <c r="F85" i="20" s="1"/>
  <c r="F142" i="5"/>
  <c r="Y155" i="20"/>
  <c r="G155" i="20" s="1"/>
  <c r="Y153" i="20"/>
  <c r="G153" i="20" s="1"/>
  <c r="Y136" i="20"/>
  <c r="G136" i="20" s="1"/>
  <c r="Y64" i="20"/>
  <c r="G64" i="20" s="1"/>
  <c r="Y62" i="20"/>
  <c r="G62" i="20" s="1"/>
  <c r="W253" i="20"/>
  <c r="E253" i="20" s="1"/>
  <c r="D140" i="5"/>
  <c r="W211" i="20"/>
  <c r="E211" i="20" s="1"/>
  <c r="W236" i="20"/>
  <c r="E236" i="20" s="1"/>
  <c r="W47" i="20"/>
  <c r="E47" i="20" s="1"/>
  <c r="W67" i="20"/>
  <c r="E67" i="20" s="1"/>
  <c r="W63" i="20"/>
  <c r="E63" i="20" s="1"/>
  <c r="W53" i="20"/>
  <c r="E53" i="20" s="1"/>
  <c r="X95" i="20"/>
  <c r="F95" i="20" s="1"/>
  <c r="X132" i="20"/>
  <c r="F132" i="20" s="1"/>
  <c r="E137" i="5"/>
  <c r="X285" i="20"/>
  <c r="F285" i="20" s="1"/>
  <c r="X281" i="20"/>
  <c r="F281" i="20" s="1"/>
  <c r="X275" i="20"/>
  <c r="F275" i="20" s="1"/>
  <c r="X264" i="20"/>
  <c r="F264" i="20" s="1"/>
  <c r="X260" i="20"/>
  <c r="F260" i="20" s="1"/>
  <c r="X255" i="20"/>
  <c r="F255" i="20" s="1"/>
  <c r="X245" i="20"/>
  <c r="F245" i="20" s="1"/>
  <c r="X237" i="20"/>
  <c r="F237" i="20" s="1"/>
  <c r="X232" i="20"/>
  <c r="F232" i="20" s="1"/>
  <c r="X219" i="20"/>
  <c r="F219" i="20" s="1"/>
  <c r="X197" i="20"/>
  <c r="F197" i="20" s="1"/>
  <c r="X195" i="20"/>
  <c r="F195" i="20" s="1"/>
  <c r="X159" i="20"/>
  <c r="F159" i="20" s="1"/>
  <c r="X145" i="20"/>
  <c r="F145" i="20" s="1"/>
  <c r="X139" i="20"/>
  <c r="F139" i="20" s="1"/>
  <c r="X128" i="20"/>
  <c r="F128" i="20" s="1"/>
  <c r="X124" i="20"/>
  <c r="F124" i="20" s="1"/>
  <c r="X297" i="20"/>
  <c r="F297" i="20" s="1"/>
  <c r="X292" i="20"/>
  <c r="F292" i="20" s="1"/>
  <c r="X282" i="20"/>
  <c r="F282" i="20" s="1"/>
  <c r="X270" i="20"/>
  <c r="F270" i="20" s="1"/>
  <c r="X263" i="20"/>
  <c r="F263" i="20" s="1"/>
  <c r="X261" i="20"/>
  <c r="F261" i="20" s="1"/>
  <c r="X259" i="20"/>
  <c r="F259" i="20" s="1"/>
  <c r="X244" i="20"/>
  <c r="F244" i="20" s="1"/>
  <c r="X240" i="20"/>
  <c r="F240" i="20" s="1"/>
  <c r="X222" i="20"/>
  <c r="F222" i="20" s="1"/>
  <c r="X198" i="20"/>
  <c r="F198" i="20" s="1"/>
  <c r="X196" i="20"/>
  <c r="F196" i="20" s="1"/>
  <c r="X156" i="20"/>
  <c r="F156" i="20" s="1"/>
  <c r="X146" i="20"/>
  <c r="F146" i="20" s="1"/>
  <c r="X134" i="20"/>
  <c r="F134" i="20" s="1"/>
  <c r="X127" i="20"/>
  <c r="F127" i="20" s="1"/>
  <c r="X125" i="20"/>
  <c r="F125" i="20" s="1"/>
  <c r="X120" i="20"/>
  <c r="F120" i="20" s="1"/>
  <c r="X115" i="20"/>
  <c r="F115" i="20" s="1"/>
  <c r="X107" i="20"/>
  <c r="F107" i="20" s="1"/>
  <c r="X105" i="20"/>
  <c r="F105" i="20" s="1"/>
  <c r="X101" i="20"/>
  <c r="F101" i="20" s="1"/>
  <c r="X81" i="20"/>
  <c r="F81" i="20" s="1"/>
  <c r="X58" i="20"/>
  <c r="F58" i="20" s="1"/>
  <c r="X49" i="20"/>
  <c r="F49" i="20" s="1"/>
  <c r="X106" i="20"/>
  <c r="F106" i="20" s="1"/>
  <c r="X104" i="20"/>
  <c r="F104" i="20" s="1"/>
  <c r="X102" i="20"/>
  <c r="F102" i="20" s="1"/>
  <c r="X97" i="20"/>
  <c r="F97" i="20" s="1"/>
  <c r="X68" i="20"/>
  <c r="F68" i="20" s="1"/>
  <c r="X59" i="20"/>
  <c r="F59" i="20" s="1"/>
  <c r="X50" i="20"/>
  <c r="F50" i="20" s="1"/>
  <c r="X48" i="20"/>
  <c r="F48" i="20" s="1"/>
  <c r="X112" i="20"/>
  <c r="F112" i="20" s="1"/>
  <c r="F134" i="5"/>
  <c r="Y293" i="20"/>
  <c r="G293" i="20" s="1"/>
  <c r="Y157" i="20"/>
  <c r="G157" i="20" s="1"/>
  <c r="Y274" i="20"/>
  <c r="G274" i="20" s="1"/>
  <c r="Y138" i="20"/>
  <c r="G138" i="20" s="1"/>
  <c r="Y131" i="20"/>
  <c r="G131" i="20" s="1"/>
  <c r="Y86" i="20"/>
  <c r="G86" i="20" s="1"/>
  <c r="Y91" i="20"/>
  <c r="G91" i="20" s="1"/>
  <c r="Y89" i="20"/>
  <c r="G89" i="20" s="1"/>
  <c r="Y87" i="20"/>
  <c r="G87" i="20" s="1"/>
  <c r="Y83" i="20"/>
  <c r="G83" i="20" s="1"/>
  <c r="D132" i="5"/>
  <c r="AA85" i="20" s="1"/>
  <c r="N85" i="20" s="1"/>
  <c r="W85" i="20"/>
  <c r="E85" i="20" s="1"/>
  <c r="X140" i="20"/>
  <c r="F140" i="20" s="1"/>
  <c r="E141" i="5"/>
  <c r="X257" i="20"/>
  <c r="F257" i="20" s="1"/>
  <c r="X234" i="20"/>
  <c r="F234" i="20" s="1"/>
  <c r="X208" i="20"/>
  <c r="F208" i="20" s="1"/>
  <c r="X201" i="20"/>
  <c r="F201" i="20" s="1"/>
  <c r="X299" i="20"/>
  <c r="F299" i="20" s="1"/>
  <c r="X286" i="20"/>
  <c r="F286" i="20" s="1"/>
  <c r="X279" i="20"/>
  <c r="F279" i="20" s="1"/>
  <c r="X205" i="20"/>
  <c r="F205" i="20" s="1"/>
  <c r="X200" i="20"/>
  <c r="F200" i="20" s="1"/>
  <c r="X154" i="20"/>
  <c r="F154" i="20" s="1"/>
  <c r="X93" i="20"/>
  <c r="F93" i="20" s="1"/>
  <c r="X55" i="20"/>
  <c r="F55" i="20" s="1"/>
  <c r="E142" i="5"/>
  <c r="X155" i="20"/>
  <c r="F155" i="20" s="1"/>
  <c r="X153" i="20"/>
  <c r="F153" i="20" s="1"/>
  <c r="X136" i="20"/>
  <c r="F136" i="20" s="1"/>
  <c r="X64" i="20"/>
  <c r="F64" i="20" s="1"/>
  <c r="X62" i="20"/>
  <c r="F62" i="20" s="1"/>
  <c r="Y276" i="20"/>
  <c r="G276" i="20" s="1"/>
  <c r="Y56" i="20"/>
  <c r="G56" i="20" s="1"/>
  <c r="Y117" i="20"/>
  <c r="G117" i="20" s="1"/>
  <c r="Y231" i="20"/>
  <c r="G231" i="20" s="1"/>
  <c r="Y160" i="20"/>
  <c r="G160" i="20" s="1"/>
  <c r="Y250" i="20"/>
  <c r="G250" i="20" s="1"/>
  <c r="Y114" i="20"/>
  <c r="G114" i="20" s="1"/>
  <c r="F139" i="5"/>
  <c r="Y291" i="20"/>
  <c r="G291" i="20" s="1"/>
  <c r="Y289" i="20"/>
  <c r="G289" i="20" s="1"/>
  <c r="Y283" i="20"/>
  <c r="G283" i="20" s="1"/>
  <c r="Y229" i="20"/>
  <c r="G229" i="20" s="1"/>
  <c r="Y217" i="20"/>
  <c r="G217" i="20" s="1"/>
  <c r="Y215" i="20"/>
  <c r="G215" i="20" s="1"/>
  <c r="Y213" i="20"/>
  <c r="G213" i="20" s="1"/>
  <c r="Y147" i="20"/>
  <c r="G147" i="20" s="1"/>
  <c r="Y116" i="20"/>
  <c r="G116" i="20" s="1"/>
  <c r="Y290" i="20"/>
  <c r="G290" i="20" s="1"/>
  <c r="Y272" i="20"/>
  <c r="G272" i="20" s="1"/>
  <c r="Y265" i="20"/>
  <c r="G265" i="20" s="1"/>
  <c r="Y251" i="20"/>
  <c r="G251" i="20" s="1"/>
  <c r="Y210" i="20"/>
  <c r="G210" i="20" s="1"/>
  <c r="Y141" i="20"/>
  <c r="G141" i="20" s="1"/>
  <c r="Y129" i="20"/>
  <c r="G129" i="20" s="1"/>
  <c r="Y108" i="20"/>
  <c r="G108" i="20" s="1"/>
  <c r="Y100" i="20"/>
  <c r="G100" i="20" s="1"/>
  <c r="Y94" i="20"/>
  <c r="G94" i="20" s="1"/>
  <c r="Y52" i="20"/>
  <c r="G52" i="20" s="1"/>
  <c r="Y109" i="20"/>
  <c r="G109" i="20" s="1"/>
  <c r="Y77" i="20"/>
  <c r="G77" i="20" s="1"/>
  <c r="W95" i="20"/>
  <c r="E95" i="20" s="1"/>
  <c r="W132" i="20"/>
  <c r="E132" i="20" s="1"/>
  <c r="D137" i="5"/>
  <c r="W285" i="20"/>
  <c r="E285" i="20" s="1"/>
  <c r="W281" i="20"/>
  <c r="E281" i="20" s="1"/>
  <c r="W275" i="20"/>
  <c r="E275" i="20" s="1"/>
  <c r="W264" i="20"/>
  <c r="E264" i="20" s="1"/>
  <c r="W260" i="20"/>
  <c r="E260" i="20" s="1"/>
  <c r="W255" i="20"/>
  <c r="E255" i="20" s="1"/>
  <c r="W245" i="20"/>
  <c r="E245" i="20" s="1"/>
  <c r="W237" i="20"/>
  <c r="E237" i="20" s="1"/>
  <c r="W232" i="20"/>
  <c r="E232" i="20" s="1"/>
  <c r="W219" i="20"/>
  <c r="E219" i="20" s="1"/>
  <c r="W197" i="20"/>
  <c r="E197" i="20" s="1"/>
  <c r="W195" i="20"/>
  <c r="E195" i="20" s="1"/>
  <c r="W159" i="20"/>
  <c r="E159" i="20" s="1"/>
  <c r="W145" i="20"/>
  <c r="E145" i="20" s="1"/>
  <c r="W139" i="20"/>
  <c r="E139" i="20" s="1"/>
  <c r="W128" i="20"/>
  <c r="E128" i="20" s="1"/>
  <c r="W124" i="20"/>
  <c r="E124" i="20" s="1"/>
  <c r="W297" i="20"/>
  <c r="E297" i="20" s="1"/>
  <c r="W292" i="20"/>
  <c r="E292" i="20" s="1"/>
  <c r="W282" i="20"/>
  <c r="E282" i="20" s="1"/>
  <c r="W270" i="20"/>
  <c r="E270" i="20" s="1"/>
  <c r="W263" i="20"/>
  <c r="E263" i="20" s="1"/>
  <c r="W261" i="20"/>
  <c r="E261" i="20" s="1"/>
  <c r="W259" i="20"/>
  <c r="E259" i="20" s="1"/>
  <c r="W244" i="20"/>
  <c r="E244" i="20" s="1"/>
  <c r="W240" i="20"/>
  <c r="E240" i="20" s="1"/>
  <c r="W222" i="20"/>
  <c r="E222" i="20" s="1"/>
  <c r="W198" i="20"/>
  <c r="E198" i="20" s="1"/>
  <c r="W196" i="20"/>
  <c r="E196" i="20" s="1"/>
  <c r="W156" i="20"/>
  <c r="E156" i="20" s="1"/>
  <c r="W146" i="20"/>
  <c r="E146" i="20" s="1"/>
  <c r="W134" i="20"/>
  <c r="E134" i="20" s="1"/>
  <c r="W127" i="20"/>
  <c r="E127" i="20" s="1"/>
  <c r="W125" i="20"/>
  <c r="E125" i="20" s="1"/>
  <c r="W120" i="20"/>
  <c r="E120" i="20" s="1"/>
  <c r="W115" i="20"/>
  <c r="E115" i="20" s="1"/>
  <c r="W107" i="20"/>
  <c r="E107" i="20" s="1"/>
  <c r="W105" i="20"/>
  <c r="E105" i="20" s="1"/>
  <c r="W101" i="20"/>
  <c r="E101" i="20" s="1"/>
  <c r="W81" i="20"/>
  <c r="E81" i="20" s="1"/>
  <c r="W58" i="20"/>
  <c r="E58" i="20" s="1"/>
  <c r="W49" i="20"/>
  <c r="E49" i="20" s="1"/>
  <c r="W106" i="20"/>
  <c r="E106" i="20" s="1"/>
  <c r="W104" i="20"/>
  <c r="E104" i="20" s="1"/>
  <c r="W102" i="20"/>
  <c r="E102" i="20" s="1"/>
  <c r="W97" i="20"/>
  <c r="E97" i="20" s="1"/>
  <c r="W68" i="20"/>
  <c r="E68" i="20" s="1"/>
  <c r="W59" i="20"/>
  <c r="E59" i="20" s="1"/>
  <c r="W50" i="20"/>
  <c r="E50" i="20" s="1"/>
  <c r="W48" i="20"/>
  <c r="E48" i="20" s="1"/>
  <c r="W112" i="20"/>
  <c r="E112" i="20" s="1"/>
  <c r="E134" i="5"/>
  <c r="X293" i="20"/>
  <c r="F293" i="20" s="1"/>
  <c r="X157" i="20"/>
  <c r="F157" i="20" s="1"/>
  <c r="X274" i="20"/>
  <c r="F274" i="20" s="1"/>
  <c r="X138" i="20"/>
  <c r="F138" i="20" s="1"/>
  <c r="X131" i="20"/>
  <c r="F131" i="20" s="1"/>
  <c r="X91" i="20"/>
  <c r="F91" i="20" s="1"/>
  <c r="X89" i="20"/>
  <c r="F89" i="20" s="1"/>
  <c r="X87" i="20"/>
  <c r="F87" i="20" s="1"/>
  <c r="X83" i="20"/>
  <c r="F83" i="20" s="1"/>
  <c r="X86" i="20"/>
  <c r="F86" i="20" s="1"/>
  <c r="F143" i="5"/>
  <c r="Y121" i="20"/>
  <c r="G121" i="20" s="1"/>
  <c r="Y163" i="20"/>
  <c r="G163" i="20" s="1"/>
  <c r="Y158" i="20"/>
  <c r="G158" i="20" s="1"/>
  <c r="Y150" i="20"/>
  <c r="G150" i="20" s="1"/>
  <c r="Y148" i="20"/>
  <c r="G148" i="20" s="1"/>
  <c r="Y143" i="20"/>
  <c r="G143" i="20" s="1"/>
  <c r="Y98" i="20"/>
  <c r="G98" i="20" s="1"/>
  <c r="Y79" i="20"/>
  <c r="G79" i="20" s="1"/>
  <c r="Y60" i="20"/>
  <c r="G60" i="20" s="1"/>
  <c r="D142" i="5"/>
  <c r="W155" i="20"/>
  <c r="E155" i="20" s="1"/>
  <c r="W153" i="20"/>
  <c r="E153" i="20" s="1"/>
  <c r="W136" i="20"/>
  <c r="E136" i="20" s="1"/>
  <c r="W64" i="20"/>
  <c r="E64" i="20" s="1"/>
  <c r="W62" i="20"/>
  <c r="E62" i="20" s="1"/>
  <c r="X160" i="20"/>
  <c r="F160" i="20" s="1"/>
  <c r="X276" i="20"/>
  <c r="F276" i="20" s="1"/>
  <c r="X117" i="20"/>
  <c r="F117" i="20" s="1"/>
  <c r="X56" i="20"/>
  <c r="F56" i="20" s="1"/>
  <c r="X231" i="20"/>
  <c r="F231" i="20" s="1"/>
  <c r="X250" i="20"/>
  <c r="F250" i="20" s="1"/>
  <c r="X114" i="20"/>
  <c r="F114" i="20" s="1"/>
  <c r="E139" i="5"/>
  <c r="X291" i="20"/>
  <c r="F291" i="20" s="1"/>
  <c r="X289" i="20"/>
  <c r="F289" i="20" s="1"/>
  <c r="X283" i="20"/>
  <c r="F283" i="20" s="1"/>
  <c r="X229" i="20"/>
  <c r="F229" i="20" s="1"/>
  <c r="X217" i="20"/>
  <c r="F217" i="20" s="1"/>
  <c r="X215" i="20"/>
  <c r="F215" i="20" s="1"/>
  <c r="X213" i="20"/>
  <c r="F213" i="20" s="1"/>
  <c r="X147" i="20"/>
  <c r="F147" i="20" s="1"/>
  <c r="X116" i="20"/>
  <c r="F116" i="20" s="1"/>
  <c r="X290" i="20"/>
  <c r="F290" i="20" s="1"/>
  <c r="X272" i="20"/>
  <c r="F272" i="20" s="1"/>
  <c r="X265" i="20"/>
  <c r="F265" i="20" s="1"/>
  <c r="X251" i="20"/>
  <c r="F251" i="20" s="1"/>
  <c r="X210" i="20"/>
  <c r="F210" i="20" s="1"/>
  <c r="X141" i="20"/>
  <c r="F141" i="20" s="1"/>
  <c r="X129" i="20"/>
  <c r="F129" i="20" s="1"/>
  <c r="X109" i="20"/>
  <c r="F109" i="20" s="1"/>
  <c r="X77" i="20"/>
  <c r="F77" i="20" s="1"/>
  <c r="X108" i="20"/>
  <c r="F108" i="20" s="1"/>
  <c r="X100" i="20"/>
  <c r="F100" i="20" s="1"/>
  <c r="X94" i="20"/>
  <c r="F94" i="20" s="1"/>
  <c r="X52" i="20"/>
  <c r="F52" i="20" s="1"/>
  <c r="Y268" i="20"/>
  <c r="G268" i="20" s="1"/>
  <c r="F136" i="5"/>
  <c r="Y278" i="20"/>
  <c r="G278" i="20" s="1"/>
  <c r="Y271" i="20"/>
  <c r="G271" i="20" s="1"/>
  <c r="Y243" i="20"/>
  <c r="G243" i="20" s="1"/>
  <c r="Y241" i="20"/>
  <c r="G241" i="20" s="1"/>
  <c r="Y223" i="20"/>
  <c r="G223" i="20" s="1"/>
  <c r="Y221" i="20"/>
  <c r="G221" i="20" s="1"/>
  <c r="Y199" i="20"/>
  <c r="G199" i="20" s="1"/>
  <c r="Y142" i="20"/>
  <c r="G142" i="20" s="1"/>
  <c r="Y135" i="20"/>
  <c r="G135" i="20" s="1"/>
  <c r="Y119" i="20"/>
  <c r="G119" i="20" s="1"/>
  <c r="Y113" i="20"/>
  <c r="G113" i="20" s="1"/>
  <c r="Y288" i="20"/>
  <c r="G288" i="20" s="1"/>
  <c r="Y242" i="20"/>
  <c r="G242" i="20" s="1"/>
  <c r="Y216" i="20"/>
  <c r="G216" i="20" s="1"/>
  <c r="Y123" i="20"/>
  <c r="G123" i="20" s="1"/>
  <c r="Y78" i="20"/>
  <c r="G78" i="20" s="1"/>
  <c r="Y76" i="20"/>
  <c r="G76" i="20" s="1"/>
  <c r="Y74" i="20"/>
  <c r="G74" i="20" s="1"/>
  <c r="Y66" i="20"/>
  <c r="G66" i="20" s="1"/>
  <c r="Y96" i="20"/>
  <c r="G96" i="20" s="1"/>
  <c r="Y75" i="20"/>
  <c r="G75" i="20" s="1"/>
  <c r="Y71" i="20"/>
  <c r="G71" i="20" s="1"/>
  <c r="Y69" i="20"/>
  <c r="G69" i="20" s="1"/>
  <c r="Y51" i="20"/>
  <c r="G51" i="20" s="1"/>
  <c r="D134" i="5"/>
  <c r="W293" i="20"/>
  <c r="E293" i="20" s="1"/>
  <c r="W157" i="20"/>
  <c r="E157" i="20" s="1"/>
  <c r="W274" i="20"/>
  <c r="E274" i="20" s="1"/>
  <c r="W138" i="20"/>
  <c r="E138" i="20" s="1"/>
  <c r="W131" i="20"/>
  <c r="E131" i="20" s="1"/>
  <c r="W91" i="20"/>
  <c r="E91" i="20" s="1"/>
  <c r="W89" i="20"/>
  <c r="E89" i="20" s="1"/>
  <c r="W87" i="20"/>
  <c r="E87" i="20" s="1"/>
  <c r="W83" i="20"/>
  <c r="E83" i="20" s="1"/>
  <c r="W86" i="20"/>
  <c r="E86" i="20" s="1"/>
  <c r="D143" i="5"/>
  <c r="W121" i="20"/>
  <c r="E121" i="20" s="1"/>
  <c r="W163" i="20"/>
  <c r="E163" i="20" s="1"/>
  <c r="W158" i="20"/>
  <c r="E158" i="20" s="1"/>
  <c r="W150" i="20"/>
  <c r="E150" i="20" s="1"/>
  <c r="W148" i="20"/>
  <c r="E148" i="20" s="1"/>
  <c r="W143" i="20"/>
  <c r="E143" i="20" s="1"/>
  <c r="W98" i="20"/>
  <c r="E98" i="20" s="1"/>
  <c r="W79" i="20"/>
  <c r="E79" i="20" s="1"/>
  <c r="W60" i="20"/>
  <c r="E60" i="20" s="1"/>
  <c r="Y140" i="20"/>
  <c r="G140" i="20" s="1"/>
  <c r="F141" i="5"/>
  <c r="Y257" i="20"/>
  <c r="G257" i="20" s="1"/>
  <c r="Y234" i="20"/>
  <c r="G234" i="20" s="1"/>
  <c r="Y208" i="20"/>
  <c r="G208" i="20" s="1"/>
  <c r="Y201" i="20"/>
  <c r="G201" i="20" s="1"/>
  <c r="Y299" i="20"/>
  <c r="G299" i="20" s="1"/>
  <c r="Y286" i="20"/>
  <c r="G286" i="20" s="1"/>
  <c r="Y279" i="20"/>
  <c r="G279" i="20" s="1"/>
  <c r="Y205" i="20"/>
  <c r="G205" i="20" s="1"/>
  <c r="Y200" i="20"/>
  <c r="G200" i="20" s="1"/>
  <c r="Y154" i="20"/>
  <c r="G154" i="20" s="1"/>
  <c r="Y93" i="20"/>
  <c r="G93" i="20" s="1"/>
  <c r="Y55" i="20"/>
  <c r="G55" i="20" s="1"/>
  <c r="W160" i="20"/>
  <c r="E160" i="20" s="1"/>
  <c r="W276" i="20"/>
  <c r="E276" i="20" s="1"/>
  <c r="W56" i="20"/>
  <c r="E56" i="20" s="1"/>
  <c r="W117" i="20"/>
  <c r="E117" i="20" s="1"/>
  <c r="W231" i="20"/>
  <c r="E231" i="20" s="1"/>
  <c r="W250" i="20"/>
  <c r="E250" i="20" s="1"/>
  <c r="W114" i="20"/>
  <c r="E114" i="20" s="1"/>
  <c r="D139" i="5"/>
  <c r="W291" i="20"/>
  <c r="E291" i="20" s="1"/>
  <c r="W289" i="20"/>
  <c r="E289" i="20" s="1"/>
  <c r="W283" i="20"/>
  <c r="E283" i="20" s="1"/>
  <c r="W229" i="20"/>
  <c r="E229" i="20" s="1"/>
  <c r="W217" i="20"/>
  <c r="E217" i="20" s="1"/>
  <c r="W215" i="20"/>
  <c r="E215" i="20" s="1"/>
  <c r="W213" i="20"/>
  <c r="E213" i="20" s="1"/>
  <c r="W147" i="20"/>
  <c r="E147" i="20" s="1"/>
  <c r="W116" i="20"/>
  <c r="E116" i="20" s="1"/>
  <c r="W290" i="20"/>
  <c r="E290" i="20" s="1"/>
  <c r="W272" i="20"/>
  <c r="E272" i="20" s="1"/>
  <c r="W265" i="20"/>
  <c r="E265" i="20" s="1"/>
  <c r="W251" i="20"/>
  <c r="E251" i="20" s="1"/>
  <c r="W210" i="20"/>
  <c r="E210" i="20" s="1"/>
  <c r="W141" i="20"/>
  <c r="E141" i="20" s="1"/>
  <c r="W129" i="20"/>
  <c r="E129" i="20" s="1"/>
  <c r="W109" i="20"/>
  <c r="E109" i="20" s="1"/>
  <c r="W77" i="20"/>
  <c r="E77" i="20" s="1"/>
  <c r="W108" i="20"/>
  <c r="E108" i="20" s="1"/>
  <c r="W100" i="20"/>
  <c r="E100" i="20" s="1"/>
  <c r="W94" i="20"/>
  <c r="E94" i="20" s="1"/>
  <c r="W52" i="20"/>
  <c r="E52" i="20" s="1"/>
  <c r="X268" i="20"/>
  <c r="F268" i="20" s="1"/>
  <c r="E136" i="5"/>
  <c r="X278" i="20"/>
  <c r="F278" i="20" s="1"/>
  <c r="X271" i="20"/>
  <c r="F271" i="20" s="1"/>
  <c r="X243" i="20"/>
  <c r="F243" i="20" s="1"/>
  <c r="X241" i="20"/>
  <c r="F241" i="20" s="1"/>
  <c r="X223" i="20"/>
  <c r="F223" i="20" s="1"/>
  <c r="X221" i="20"/>
  <c r="F221" i="20" s="1"/>
  <c r="X199" i="20"/>
  <c r="F199" i="20" s="1"/>
  <c r="X142" i="20"/>
  <c r="F142" i="20" s="1"/>
  <c r="X135" i="20"/>
  <c r="F135" i="20" s="1"/>
  <c r="X119" i="20"/>
  <c r="F119" i="20" s="1"/>
  <c r="X113" i="20"/>
  <c r="F113" i="20" s="1"/>
  <c r="X288" i="20"/>
  <c r="F288" i="20" s="1"/>
  <c r="X242" i="20"/>
  <c r="F242" i="20" s="1"/>
  <c r="X216" i="20"/>
  <c r="F216" i="20" s="1"/>
  <c r="X123" i="20"/>
  <c r="F123" i="20" s="1"/>
  <c r="X96" i="20"/>
  <c r="F96" i="20" s="1"/>
  <c r="X75" i="20"/>
  <c r="F75" i="20" s="1"/>
  <c r="X71" i="20"/>
  <c r="F71" i="20" s="1"/>
  <c r="X69" i="20"/>
  <c r="F69" i="20" s="1"/>
  <c r="X51" i="20"/>
  <c r="F51" i="20" s="1"/>
  <c r="X78" i="20"/>
  <c r="F78" i="20" s="1"/>
  <c r="X76" i="20"/>
  <c r="F76" i="20" s="1"/>
  <c r="X74" i="20"/>
  <c r="F74" i="20" s="1"/>
  <c r="X66" i="20"/>
  <c r="F66" i="20" s="1"/>
  <c r="F133" i="5"/>
  <c r="Y249" i="20"/>
  <c r="G249" i="20" s="1"/>
  <c r="Y162" i="20"/>
  <c r="G162" i="20" s="1"/>
  <c r="Y228" i="20"/>
  <c r="G228" i="20" s="1"/>
  <c r="Y90" i="20"/>
  <c r="G90" i="20" s="1"/>
  <c r="Y84" i="20"/>
  <c r="G84" i="20" s="1"/>
  <c r="Y82" i="20"/>
  <c r="G82" i="20" s="1"/>
  <c r="U95" i="40"/>
  <c r="Z95" i="40"/>
  <c r="Z103" i="40"/>
  <c r="AE95" i="40"/>
  <c r="P103" i="40"/>
  <c r="U103" i="40"/>
  <c r="AE103" i="40"/>
  <c r="P95" i="40"/>
  <c r="P2530" i="33"/>
  <c r="L2532" i="33"/>
  <c r="M2531" i="33"/>
  <c r="G36" i="31"/>
  <c r="AE117" i="40"/>
  <c r="Z117" i="40"/>
  <c r="U117" i="40"/>
  <c r="E98" i="27"/>
  <c r="G98" i="27"/>
  <c r="D98" i="27"/>
  <c r="F98" i="27"/>
  <c r="Y11" i="20"/>
  <c r="W11" i="20"/>
  <c r="X11" i="20"/>
  <c r="T115" i="1"/>
  <c r="Z8" i="20"/>
  <c r="W7" i="20"/>
  <c r="Y7" i="20"/>
  <c r="X6" i="20"/>
  <c r="Y6" i="20"/>
  <c r="X7" i="20"/>
  <c r="P2531" i="33" a="1"/>
  <c r="AC228" i="20" l="1"/>
  <c r="P228" i="20" s="1"/>
  <c r="AC90" i="20"/>
  <c r="P90" i="20" s="1"/>
  <c r="AC84" i="20"/>
  <c r="P84" i="20" s="1"/>
  <c r="AC82" i="20"/>
  <c r="P82" i="20" s="1"/>
  <c r="AC249" i="20"/>
  <c r="P249" i="20" s="1"/>
  <c r="AC162" i="20"/>
  <c r="P162" i="20" s="1"/>
  <c r="AA121" i="20"/>
  <c r="N121" i="20" s="1"/>
  <c r="AA98" i="20"/>
  <c r="N98" i="20" s="1"/>
  <c r="AA79" i="20"/>
  <c r="N79" i="20" s="1"/>
  <c r="AA163" i="20"/>
  <c r="N163" i="20" s="1"/>
  <c r="AA158" i="20"/>
  <c r="N158" i="20" s="1"/>
  <c r="AA150" i="20"/>
  <c r="N150" i="20" s="1"/>
  <c r="AA148" i="20"/>
  <c r="N148" i="20" s="1"/>
  <c r="AA143" i="20"/>
  <c r="N143" i="20" s="1"/>
  <c r="AA60" i="20"/>
  <c r="N60" i="20" s="1"/>
  <c r="AB155" i="20"/>
  <c r="O155" i="20" s="1"/>
  <c r="AB153" i="20"/>
  <c r="O153" i="20" s="1"/>
  <c r="AB136" i="20"/>
  <c r="O136" i="20" s="1"/>
  <c r="AB64" i="20"/>
  <c r="O64" i="20" s="1"/>
  <c r="AB62" i="20"/>
  <c r="O62" i="20" s="1"/>
  <c r="AA253" i="20"/>
  <c r="N253" i="20" s="1"/>
  <c r="AA211" i="20"/>
  <c r="N211" i="20" s="1"/>
  <c r="AA236" i="20"/>
  <c r="N236" i="20" s="1"/>
  <c r="AA67" i="20"/>
  <c r="N67" i="20" s="1"/>
  <c r="AA63" i="20"/>
  <c r="N63" i="20" s="1"/>
  <c r="AA53" i="20"/>
  <c r="N53" i="20" s="1"/>
  <c r="AA47" i="20"/>
  <c r="N47" i="20" s="1"/>
  <c r="AB268" i="20"/>
  <c r="O268" i="20" s="1"/>
  <c r="AB278" i="20"/>
  <c r="O278" i="20" s="1"/>
  <c r="AB271" i="20"/>
  <c r="O271" i="20" s="1"/>
  <c r="AB243" i="20"/>
  <c r="O243" i="20" s="1"/>
  <c r="AB241" i="20"/>
  <c r="O241" i="20" s="1"/>
  <c r="AB223" i="20"/>
  <c r="O223" i="20" s="1"/>
  <c r="AB221" i="20"/>
  <c r="O221" i="20" s="1"/>
  <c r="AB199" i="20"/>
  <c r="O199" i="20" s="1"/>
  <c r="AB142" i="20"/>
  <c r="O142" i="20" s="1"/>
  <c r="AB135" i="20"/>
  <c r="O135" i="20" s="1"/>
  <c r="AB119" i="20"/>
  <c r="O119" i="20" s="1"/>
  <c r="AB113" i="20"/>
  <c r="O113" i="20" s="1"/>
  <c r="AB96" i="20"/>
  <c r="O96" i="20" s="1"/>
  <c r="AB288" i="20"/>
  <c r="O288" i="20" s="1"/>
  <c r="AB242" i="20"/>
  <c r="O242" i="20" s="1"/>
  <c r="AB216" i="20"/>
  <c r="O216" i="20" s="1"/>
  <c r="AB123" i="20"/>
  <c r="O123" i="20" s="1"/>
  <c r="AB75" i="20"/>
  <c r="O75" i="20" s="1"/>
  <c r="AB71" i="20"/>
  <c r="O71" i="20" s="1"/>
  <c r="AB69" i="20"/>
  <c r="O69" i="20" s="1"/>
  <c r="AB51" i="20"/>
  <c r="O51" i="20" s="1"/>
  <c r="AB78" i="20"/>
  <c r="O78" i="20" s="1"/>
  <c r="AB76" i="20"/>
  <c r="O76" i="20" s="1"/>
  <c r="AB74" i="20"/>
  <c r="O74" i="20" s="1"/>
  <c r="AB66" i="20"/>
  <c r="O66" i="20" s="1"/>
  <c r="AA117" i="20"/>
  <c r="N117" i="20" s="1"/>
  <c r="AA231" i="20"/>
  <c r="N231" i="20" s="1"/>
  <c r="AA160" i="20"/>
  <c r="N160" i="20" s="1"/>
  <c r="AA276" i="20"/>
  <c r="N276" i="20" s="1"/>
  <c r="AA56" i="20"/>
  <c r="N56" i="20" s="1"/>
  <c r="AA250" i="20"/>
  <c r="N250" i="20" s="1"/>
  <c r="AA114" i="20"/>
  <c r="N114" i="20" s="1"/>
  <c r="AA291" i="20"/>
  <c r="N291" i="20" s="1"/>
  <c r="AA289" i="20"/>
  <c r="N289" i="20" s="1"/>
  <c r="AA283" i="20"/>
  <c r="N283" i="20" s="1"/>
  <c r="AA229" i="20"/>
  <c r="N229" i="20" s="1"/>
  <c r="AA217" i="20"/>
  <c r="N217" i="20" s="1"/>
  <c r="AA215" i="20"/>
  <c r="N215" i="20" s="1"/>
  <c r="AA213" i="20"/>
  <c r="N213" i="20" s="1"/>
  <c r="AA147" i="20"/>
  <c r="N147" i="20" s="1"/>
  <c r="AA116" i="20"/>
  <c r="N116" i="20" s="1"/>
  <c r="AA109" i="20"/>
  <c r="N109" i="20" s="1"/>
  <c r="AA290" i="20"/>
  <c r="N290" i="20" s="1"/>
  <c r="AA272" i="20"/>
  <c r="N272" i="20" s="1"/>
  <c r="AA265" i="20"/>
  <c r="N265" i="20" s="1"/>
  <c r="AA251" i="20"/>
  <c r="N251" i="20" s="1"/>
  <c r="AA210" i="20"/>
  <c r="N210" i="20" s="1"/>
  <c r="AA141" i="20"/>
  <c r="N141" i="20" s="1"/>
  <c r="AA129" i="20"/>
  <c r="N129" i="20" s="1"/>
  <c r="AA108" i="20"/>
  <c r="N108" i="20" s="1"/>
  <c r="AA100" i="20"/>
  <c r="N100" i="20" s="1"/>
  <c r="AA94" i="20"/>
  <c r="N94" i="20" s="1"/>
  <c r="AA77" i="20"/>
  <c r="N77" i="20" s="1"/>
  <c r="AA52" i="20"/>
  <c r="N52" i="20" s="1"/>
  <c r="AA155" i="20"/>
  <c r="N155" i="20" s="1"/>
  <c r="AA153" i="20"/>
  <c r="N153" i="20" s="1"/>
  <c r="AA136" i="20"/>
  <c r="N136" i="20" s="1"/>
  <c r="AA64" i="20"/>
  <c r="N64" i="20" s="1"/>
  <c r="AA62" i="20"/>
  <c r="N62" i="20" s="1"/>
  <c r="AC267" i="20"/>
  <c r="P267" i="20" s="1"/>
  <c r="AC202" i="20"/>
  <c r="P202" i="20" s="1"/>
  <c r="AC152" i="20"/>
  <c r="P152" i="20" s="1"/>
  <c r="AC92" i="20"/>
  <c r="P92" i="20" s="1"/>
  <c r="AC88" i="20"/>
  <c r="P88" i="20" s="1"/>
  <c r="AC273" i="20"/>
  <c r="P273" i="20" s="1"/>
  <c r="AC269" i="20"/>
  <c r="P269" i="20" s="1"/>
  <c r="AC266" i="20"/>
  <c r="P266" i="20" s="1"/>
  <c r="AC137" i="20"/>
  <c r="P137" i="20" s="1"/>
  <c r="AC133" i="20"/>
  <c r="P133" i="20" s="1"/>
  <c r="AC130" i="20"/>
  <c r="P130" i="20" s="1"/>
  <c r="AC65" i="20"/>
  <c r="P65" i="20" s="1"/>
  <c r="AC54" i="20"/>
  <c r="P54" i="20" s="1"/>
  <c r="AA95" i="20"/>
  <c r="N95" i="20" s="1"/>
  <c r="AA132" i="20"/>
  <c r="N132" i="20" s="1"/>
  <c r="AA285" i="20"/>
  <c r="N285" i="20" s="1"/>
  <c r="AA281" i="20"/>
  <c r="N281" i="20" s="1"/>
  <c r="AA275" i="20"/>
  <c r="N275" i="20" s="1"/>
  <c r="AA264" i="20"/>
  <c r="N264" i="20" s="1"/>
  <c r="AA260" i="20"/>
  <c r="N260" i="20" s="1"/>
  <c r="AA255" i="20"/>
  <c r="N255" i="20" s="1"/>
  <c r="AA245" i="20"/>
  <c r="N245" i="20" s="1"/>
  <c r="AA237" i="20"/>
  <c r="N237" i="20" s="1"/>
  <c r="AA232" i="20"/>
  <c r="N232" i="20" s="1"/>
  <c r="AA219" i="20"/>
  <c r="N219" i="20" s="1"/>
  <c r="AA197" i="20"/>
  <c r="N197" i="20" s="1"/>
  <c r="AA195" i="20"/>
  <c r="N195" i="20" s="1"/>
  <c r="AA159" i="20"/>
  <c r="N159" i="20" s="1"/>
  <c r="AA145" i="20"/>
  <c r="N145" i="20" s="1"/>
  <c r="AA139" i="20"/>
  <c r="N139" i="20" s="1"/>
  <c r="AA128" i="20"/>
  <c r="N128" i="20" s="1"/>
  <c r="AA124" i="20"/>
  <c r="N124" i="20" s="1"/>
  <c r="AA107" i="20"/>
  <c r="N107" i="20" s="1"/>
  <c r="AA105" i="20"/>
  <c r="N105" i="20" s="1"/>
  <c r="AA101" i="20"/>
  <c r="N101" i="20" s="1"/>
  <c r="AA81" i="20"/>
  <c r="N81" i="20" s="1"/>
  <c r="AA297" i="20"/>
  <c r="N297" i="20" s="1"/>
  <c r="AA292" i="20"/>
  <c r="N292" i="20" s="1"/>
  <c r="AA282" i="20"/>
  <c r="N282" i="20" s="1"/>
  <c r="AA270" i="20"/>
  <c r="N270" i="20" s="1"/>
  <c r="AA263" i="20"/>
  <c r="N263" i="20" s="1"/>
  <c r="AA261" i="20"/>
  <c r="N261" i="20" s="1"/>
  <c r="AA259" i="20"/>
  <c r="N259" i="20" s="1"/>
  <c r="AA244" i="20"/>
  <c r="N244" i="20" s="1"/>
  <c r="AA240" i="20"/>
  <c r="N240" i="20" s="1"/>
  <c r="AA222" i="20"/>
  <c r="N222" i="20" s="1"/>
  <c r="AA198" i="20"/>
  <c r="N198" i="20" s="1"/>
  <c r="AA196" i="20"/>
  <c r="N196" i="20" s="1"/>
  <c r="AA156" i="20"/>
  <c r="N156" i="20" s="1"/>
  <c r="AA146" i="20"/>
  <c r="N146" i="20" s="1"/>
  <c r="AA134" i="20"/>
  <c r="N134" i="20" s="1"/>
  <c r="AA127" i="20"/>
  <c r="N127" i="20" s="1"/>
  <c r="AA125" i="20"/>
  <c r="N125" i="20" s="1"/>
  <c r="AA120" i="20"/>
  <c r="N120" i="20" s="1"/>
  <c r="AA115" i="20"/>
  <c r="N115" i="20" s="1"/>
  <c r="AA112" i="20"/>
  <c r="N112" i="20" s="1"/>
  <c r="AA106" i="20"/>
  <c r="N106" i="20" s="1"/>
  <c r="AA104" i="20"/>
  <c r="N104" i="20" s="1"/>
  <c r="AA102" i="20"/>
  <c r="N102" i="20" s="1"/>
  <c r="AA97" i="20"/>
  <c r="N97" i="20" s="1"/>
  <c r="AA58" i="20"/>
  <c r="N58" i="20" s="1"/>
  <c r="AA49" i="20"/>
  <c r="N49" i="20" s="1"/>
  <c r="AA68" i="20"/>
  <c r="N68" i="20" s="1"/>
  <c r="AA59" i="20"/>
  <c r="N59" i="20" s="1"/>
  <c r="AA50" i="20"/>
  <c r="N50" i="20" s="1"/>
  <c r="AA48" i="20"/>
  <c r="N48" i="20" s="1"/>
  <c r="AB121" i="20"/>
  <c r="O121" i="20" s="1"/>
  <c r="AB98" i="20"/>
  <c r="O98" i="20" s="1"/>
  <c r="AB79" i="20"/>
  <c r="O79" i="20" s="1"/>
  <c r="AB163" i="20"/>
  <c r="O163" i="20" s="1"/>
  <c r="AB158" i="20"/>
  <c r="O158" i="20" s="1"/>
  <c r="AB150" i="20"/>
  <c r="O150" i="20" s="1"/>
  <c r="AB148" i="20"/>
  <c r="O148" i="20" s="1"/>
  <c r="AB143" i="20"/>
  <c r="O143" i="20" s="1"/>
  <c r="AB60" i="20"/>
  <c r="O60" i="20" s="1"/>
  <c r="AA140" i="20"/>
  <c r="N140" i="20" s="1"/>
  <c r="AA257" i="20"/>
  <c r="N257" i="20" s="1"/>
  <c r="AA234" i="20"/>
  <c r="N234" i="20" s="1"/>
  <c r="AA208" i="20"/>
  <c r="N208" i="20" s="1"/>
  <c r="AA201" i="20"/>
  <c r="N201" i="20" s="1"/>
  <c r="AA93" i="20"/>
  <c r="N93" i="20" s="1"/>
  <c r="AA299" i="20"/>
  <c r="N299" i="20" s="1"/>
  <c r="AA286" i="20"/>
  <c r="N286" i="20" s="1"/>
  <c r="AA279" i="20"/>
  <c r="N279" i="20" s="1"/>
  <c r="AA205" i="20"/>
  <c r="N205" i="20" s="1"/>
  <c r="AA200" i="20"/>
  <c r="N200" i="20" s="1"/>
  <c r="AA154" i="20"/>
  <c r="N154" i="20" s="1"/>
  <c r="AA55" i="20"/>
  <c r="N55" i="20" s="1"/>
  <c r="AA293" i="20"/>
  <c r="N293" i="20" s="1"/>
  <c r="AA157" i="20"/>
  <c r="N157" i="20" s="1"/>
  <c r="AA91" i="20"/>
  <c r="N91" i="20" s="1"/>
  <c r="AA89" i="20"/>
  <c r="N89" i="20" s="1"/>
  <c r="AA87" i="20"/>
  <c r="N87" i="20" s="1"/>
  <c r="AA83" i="20"/>
  <c r="N83" i="20" s="1"/>
  <c r="AA274" i="20"/>
  <c r="N274" i="20" s="1"/>
  <c r="AA138" i="20"/>
  <c r="N138" i="20" s="1"/>
  <c r="AA131" i="20"/>
  <c r="N131" i="20" s="1"/>
  <c r="AA86" i="20"/>
  <c r="N86" i="20" s="1"/>
  <c r="AC163" i="20"/>
  <c r="P163" i="20" s="1"/>
  <c r="AC158" i="20"/>
  <c r="P158" i="20" s="1"/>
  <c r="AC150" i="20"/>
  <c r="P150" i="20" s="1"/>
  <c r="AC148" i="20"/>
  <c r="P148" i="20" s="1"/>
  <c r="AC143" i="20"/>
  <c r="P143" i="20" s="1"/>
  <c r="AC121" i="20"/>
  <c r="P121" i="20" s="1"/>
  <c r="AC98" i="20"/>
  <c r="P98" i="20" s="1"/>
  <c r="AC79" i="20"/>
  <c r="P79" i="20" s="1"/>
  <c r="AC60" i="20"/>
  <c r="P60" i="20" s="1"/>
  <c r="AC231" i="20"/>
  <c r="P231" i="20" s="1"/>
  <c r="AC160" i="20"/>
  <c r="P160" i="20" s="1"/>
  <c r="AC276" i="20"/>
  <c r="P276" i="20" s="1"/>
  <c r="AC56" i="20"/>
  <c r="P56" i="20" s="1"/>
  <c r="AC117" i="20"/>
  <c r="P117" i="20" s="1"/>
  <c r="AC114" i="20"/>
  <c r="P114" i="20" s="1"/>
  <c r="AC250" i="20"/>
  <c r="P250" i="20" s="1"/>
  <c r="AC290" i="20"/>
  <c r="P290" i="20" s="1"/>
  <c r="AC272" i="20"/>
  <c r="P272" i="20" s="1"/>
  <c r="AC265" i="20"/>
  <c r="P265" i="20" s="1"/>
  <c r="AC251" i="20"/>
  <c r="P251" i="20" s="1"/>
  <c r="AC210" i="20"/>
  <c r="P210" i="20" s="1"/>
  <c r="AC141" i="20"/>
  <c r="P141" i="20" s="1"/>
  <c r="AC129" i="20"/>
  <c r="P129" i="20" s="1"/>
  <c r="AC108" i="20"/>
  <c r="P108" i="20" s="1"/>
  <c r="AC100" i="20"/>
  <c r="P100" i="20" s="1"/>
  <c r="AC94" i="20"/>
  <c r="P94" i="20" s="1"/>
  <c r="AC291" i="20"/>
  <c r="P291" i="20" s="1"/>
  <c r="AC289" i="20"/>
  <c r="P289" i="20" s="1"/>
  <c r="AC283" i="20"/>
  <c r="P283" i="20" s="1"/>
  <c r="AC229" i="20"/>
  <c r="P229" i="20" s="1"/>
  <c r="AC217" i="20"/>
  <c r="P217" i="20" s="1"/>
  <c r="AC215" i="20"/>
  <c r="P215" i="20" s="1"/>
  <c r="AC213" i="20"/>
  <c r="P213" i="20" s="1"/>
  <c r="AC147" i="20"/>
  <c r="P147" i="20" s="1"/>
  <c r="AC116" i="20"/>
  <c r="P116" i="20" s="1"/>
  <c r="AC109" i="20"/>
  <c r="P109" i="20" s="1"/>
  <c r="AC77" i="20"/>
  <c r="P77" i="20" s="1"/>
  <c r="AC52" i="20"/>
  <c r="P52" i="20" s="1"/>
  <c r="AC274" i="20"/>
  <c r="P274" i="20" s="1"/>
  <c r="AC138" i="20"/>
  <c r="P138" i="20" s="1"/>
  <c r="AC131" i="20"/>
  <c r="P131" i="20" s="1"/>
  <c r="AC86" i="20"/>
  <c r="P86" i="20" s="1"/>
  <c r="AC293" i="20"/>
  <c r="P293" i="20" s="1"/>
  <c r="AC157" i="20"/>
  <c r="P157" i="20" s="1"/>
  <c r="AC91" i="20"/>
  <c r="P91" i="20" s="1"/>
  <c r="AC89" i="20"/>
  <c r="P89" i="20" s="1"/>
  <c r="AC87" i="20"/>
  <c r="P87" i="20" s="1"/>
  <c r="AC83" i="20"/>
  <c r="P83" i="20" s="1"/>
  <c r="AC95" i="20"/>
  <c r="P95" i="20" s="1"/>
  <c r="AC132" i="20"/>
  <c r="P132" i="20" s="1"/>
  <c r="AC297" i="20"/>
  <c r="P297" i="20" s="1"/>
  <c r="AC292" i="20"/>
  <c r="P292" i="20" s="1"/>
  <c r="AC282" i="20"/>
  <c r="P282" i="20" s="1"/>
  <c r="AC270" i="20"/>
  <c r="P270" i="20" s="1"/>
  <c r="AC263" i="20"/>
  <c r="P263" i="20" s="1"/>
  <c r="AC261" i="20"/>
  <c r="P261" i="20" s="1"/>
  <c r="AC259" i="20"/>
  <c r="P259" i="20" s="1"/>
  <c r="AC244" i="20"/>
  <c r="P244" i="20" s="1"/>
  <c r="AC240" i="20"/>
  <c r="P240" i="20" s="1"/>
  <c r="AC222" i="20"/>
  <c r="P222" i="20" s="1"/>
  <c r="AC198" i="20"/>
  <c r="P198" i="20" s="1"/>
  <c r="AC196" i="20"/>
  <c r="P196" i="20" s="1"/>
  <c r="AC156" i="20"/>
  <c r="P156" i="20" s="1"/>
  <c r="AC146" i="20"/>
  <c r="P146" i="20" s="1"/>
  <c r="AC134" i="20"/>
  <c r="P134" i="20" s="1"/>
  <c r="AC127" i="20"/>
  <c r="P127" i="20" s="1"/>
  <c r="AC125" i="20"/>
  <c r="P125" i="20" s="1"/>
  <c r="AC120" i="20"/>
  <c r="P120" i="20" s="1"/>
  <c r="AC115" i="20"/>
  <c r="P115" i="20" s="1"/>
  <c r="AC112" i="20"/>
  <c r="P112" i="20" s="1"/>
  <c r="AC106" i="20"/>
  <c r="P106" i="20" s="1"/>
  <c r="AC104" i="20"/>
  <c r="P104" i="20" s="1"/>
  <c r="AC102" i="20"/>
  <c r="P102" i="20" s="1"/>
  <c r="AC97" i="20"/>
  <c r="P97" i="20" s="1"/>
  <c r="AC285" i="20"/>
  <c r="P285" i="20" s="1"/>
  <c r="AC281" i="20"/>
  <c r="P281" i="20" s="1"/>
  <c r="AC275" i="20"/>
  <c r="P275" i="20" s="1"/>
  <c r="AC264" i="20"/>
  <c r="P264" i="20" s="1"/>
  <c r="AC260" i="20"/>
  <c r="P260" i="20" s="1"/>
  <c r="AC255" i="20"/>
  <c r="P255" i="20" s="1"/>
  <c r="AC245" i="20"/>
  <c r="P245" i="20" s="1"/>
  <c r="AC237" i="20"/>
  <c r="P237" i="20" s="1"/>
  <c r="AC232" i="20"/>
  <c r="P232" i="20" s="1"/>
  <c r="AC219" i="20"/>
  <c r="P219" i="20" s="1"/>
  <c r="AC197" i="20"/>
  <c r="P197" i="20" s="1"/>
  <c r="AC195" i="20"/>
  <c r="P195" i="20" s="1"/>
  <c r="AC159" i="20"/>
  <c r="P159" i="20" s="1"/>
  <c r="AC145" i="20"/>
  <c r="P145" i="20" s="1"/>
  <c r="AC139" i="20"/>
  <c r="P139" i="20" s="1"/>
  <c r="AC128" i="20"/>
  <c r="P128" i="20" s="1"/>
  <c r="AC124" i="20"/>
  <c r="P124" i="20" s="1"/>
  <c r="AC107" i="20"/>
  <c r="P107" i="20" s="1"/>
  <c r="AC105" i="20"/>
  <c r="P105" i="20" s="1"/>
  <c r="AC101" i="20"/>
  <c r="P101" i="20" s="1"/>
  <c r="AC81" i="20"/>
  <c r="P81" i="20" s="1"/>
  <c r="AC58" i="20"/>
  <c r="P58" i="20" s="1"/>
  <c r="AC49" i="20"/>
  <c r="P49" i="20" s="1"/>
  <c r="AC68" i="20"/>
  <c r="P68" i="20" s="1"/>
  <c r="AC59" i="20"/>
  <c r="P59" i="20" s="1"/>
  <c r="AC50" i="20"/>
  <c r="P50" i="20" s="1"/>
  <c r="AC48" i="20"/>
  <c r="P48" i="20" s="1"/>
  <c r="AA268" i="20"/>
  <c r="N268" i="20" s="1"/>
  <c r="AA278" i="20"/>
  <c r="N278" i="20" s="1"/>
  <c r="AA271" i="20"/>
  <c r="N271" i="20" s="1"/>
  <c r="AA243" i="20"/>
  <c r="N243" i="20" s="1"/>
  <c r="AA241" i="20"/>
  <c r="N241" i="20" s="1"/>
  <c r="AA223" i="20"/>
  <c r="N223" i="20" s="1"/>
  <c r="AA221" i="20"/>
  <c r="N221" i="20" s="1"/>
  <c r="AA199" i="20"/>
  <c r="N199" i="20" s="1"/>
  <c r="AA142" i="20"/>
  <c r="N142" i="20" s="1"/>
  <c r="AA135" i="20"/>
  <c r="N135" i="20" s="1"/>
  <c r="AA119" i="20"/>
  <c r="N119" i="20" s="1"/>
  <c r="AA113" i="20"/>
  <c r="N113" i="20" s="1"/>
  <c r="AA96" i="20"/>
  <c r="N96" i="20" s="1"/>
  <c r="AA288" i="20"/>
  <c r="N288" i="20" s="1"/>
  <c r="AA242" i="20"/>
  <c r="N242" i="20" s="1"/>
  <c r="AA216" i="20"/>
  <c r="N216" i="20" s="1"/>
  <c r="AA123" i="20"/>
  <c r="N123" i="20" s="1"/>
  <c r="AA75" i="20"/>
  <c r="N75" i="20" s="1"/>
  <c r="AA71" i="20"/>
  <c r="N71" i="20" s="1"/>
  <c r="AA69" i="20"/>
  <c r="N69" i="20" s="1"/>
  <c r="AA51" i="20"/>
  <c r="N51" i="20" s="1"/>
  <c r="AA78" i="20"/>
  <c r="N78" i="20" s="1"/>
  <c r="AA76" i="20"/>
  <c r="N76" i="20" s="1"/>
  <c r="AA74" i="20"/>
  <c r="N74" i="20" s="1"/>
  <c r="AA66" i="20"/>
  <c r="N66" i="20" s="1"/>
  <c r="AA249" i="20"/>
  <c r="N249" i="20" s="1"/>
  <c r="AA162" i="20"/>
  <c r="N162" i="20" s="1"/>
  <c r="AA228" i="20"/>
  <c r="N228" i="20" s="1"/>
  <c r="AA90" i="20"/>
  <c r="N90" i="20" s="1"/>
  <c r="AA84" i="20"/>
  <c r="N84" i="20" s="1"/>
  <c r="AA82" i="20"/>
  <c r="N82" i="20" s="1"/>
  <c r="AB296" i="20"/>
  <c r="O296" i="20" s="1"/>
  <c r="AB204" i="20"/>
  <c r="O204" i="20" s="1"/>
  <c r="AB298" i="20"/>
  <c r="O298" i="20" s="1"/>
  <c r="AB295" i="20"/>
  <c r="O295" i="20" s="1"/>
  <c r="AB287" i="20"/>
  <c r="O287" i="20" s="1"/>
  <c r="AB262" i="20"/>
  <c r="O262" i="20" s="1"/>
  <c r="AB252" i="20"/>
  <c r="O252" i="20" s="1"/>
  <c r="AB247" i="20"/>
  <c r="O247" i="20" s="1"/>
  <c r="AB239" i="20"/>
  <c r="O239" i="20" s="1"/>
  <c r="AB227" i="20"/>
  <c r="O227" i="20" s="1"/>
  <c r="AB225" i="20"/>
  <c r="O225" i="20" s="1"/>
  <c r="AB206" i="20"/>
  <c r="O206" i="20" s="1"/>
  <c r="AB203" i="20"/>
  <c r="O203" i="20" s="1"/>
  <c r="AB151" i="20"/>
  <c r="O151" i="20" s="1"/>
  <c r="AB149" i="20"/>
  <c r="O149" i="20" s="1"/>
  <c r="AB126" i="20"/>
  <c r="O126" i="20" s="1"/>
  <c r="AB111" i="20"/>
  <c r="O111" i="20" s="1"/>
  <c r="AB103" i="20"/>
  <c r="O103" i="20" s="1"/>
  <c r="AB294" i="20"/>
  <c r="O294" i="20" s="1"/>
  <c r="AB284" i="20"/>
  <c r="O284" i="20" s="1"/>
  <c r="AB277" i="20"/>
  <c r="O277" i="20" s="1"/>
  <c r="AB256" i="20"/>
  <c r="O256" i="20" s="1"/>
  <c r="AB254" i="20"/>
  <c r="O254" i="20" s="1"/>
  <c r="AB248" i="20"/>
  <c r="O248" i="20" s="1"/>
  <c r="AB246" i="20"/>
  <c r="O246" i="20" s="1"/>
  <c r="AB238" i="20"/>
  <c r="O238" i="20" s="1"/>
  <c r="AB233" i="20"/>
  <c r="O233" i="20" s="1"/>
  <c r="AB230" i="20"/>
  <c r="O230" i="20" s="1"/>
  <c r="AB226" i="20"/>
  <c r="O226" i="20" s="1"/>
  <c r="AB224" i="20"/>
  <c r="O224" i="20" s="1"/>
  <c r="AB220" i="20"/>
  <c r="O220" i="20" s="1"/>
  <c r="AB218" i="20"/>
  <c r="O218" i="20" s="1"/>
  <c r="AB214" i="20"/>
  <c r="O214" i="20" s="1"/>
  <c r="AB212" i="20"/>
  <c r="O212" i="20" s="1"/>
  <c r="AB207" i="20"/>
  <c r="O207" i="20" s="1"/>
  <c r="AB161" i="20"/>
  <c r="O161" i="20" s="1"/>
  <c r="AB118" i="20"/>
  <c r="O118" i="20" s="1"/>
  <c r="AB110" i="20"/>
  <c r="O110" i="20" s="1"/>
  <c r="AB80" i="20"/>
  <c r="O80" i="20" s="1"/>
  <c r="AB73" i="20"/>
  <c r="O73" i="20" s="1"/>
  <c r="AB72" i="20"/>
  <c r="O72" i="20" s="1"/>
  <c r="AB70" i="20"/>
  <c r="O70" i="20" s="1"/>
  <c r="AB57" i="20"/>
  <c r="O57" i="20" s="1"/>
  <c r="AC268" i="20"/>
  <c r="P268" i="20" s="1"/>
  <c r="AC288" i="20"/>
  <c r="P288" i="20" s="1"/>
  <c r="AC242" i="20"/>
  <c r="P242" i="20" s="1"/>
  <c r="AC216" i="20"/>
  <c r="P216" i="20" s="1"/>
  <c r="AC123" i="20"/>
  <c r="P123" i="20" s="1"/>
  <c r="AC278" i="20"/>
  <c r="P278" i="20" s="1"/>
  <c r="AC271" i="20"/>
  <c r="P271" i="20" s="1"/>
  <c r="AC243" i="20"/>
  <c r="P243" i="20" s="1"/>
  <c r="AC241" i="20"/>
  <c r="P241" i="20" s="1"/>
  <c r="AC223" i="20"/>
  <c r="P223" i="20" s="1"/>
  <c r="AC221" i="20"/>
  <c r="P221" i="20" s="1"/>
  <c r="AC199" i="20"/>
  <c r="P199" i="20" s="1"/>
  <c r="AC142" i="20"/>
  <c r="P142" i="20" s="1"/>
  <c r="AC135" i="20"/>
  <c r="P135" i="20" s="1"/>
  <c r="AC119" i="20"/>
  <c r="P119" i="20" s="1"/>
  <c r="AC113" i="20"/>
  <c r="P113" i="20" s="1"/>
  <c r="AC96" i="20"/>
  <c r="P96" i="20" s="1"/>
  <c r="AC75" i="20"/>
  <c r="P75" i="20" s="1"/>
  <c r="AC71" i="20"/>
  <c r="P71" i="20" s="1"/>
  <c r="AC69" i="20"/>
  <c r="P69" i="20" s="1"/>
  <c r="AC51" i="20"/>
  <c r="P51" i="20" s="1"/>
  <c r="AC78" i="20"/>
  <c r="P78" i="20" s="1"/>
  <c r="AC76" i="20"/>
  <c r="P76" i="20" s="1"/>
  <c r="AC74" i="20"/>
  <c r="P74" i="20" s="1"/>
  <c r="AC66" i="20"/>
  <c r="P66" i="20" s="1"/>
  <c r="AB117" i="20"/>
  <c r="O117" i="20" s="1"/>
  <c r="AB231" i="20"/>
  <c r="O231" i="20" s="1"/>
  <c r="AB160" i="20"/>
  <c r="O160" i="20" s="1"/>
  <c r="AB276" i="20"/>
  <c r="O276" i="20" s="1"/>
  <c r="AB56" i="20"/>
  <c r="O56" i="20" s="1"/>
  <c r="AB250" i="20"/>
  <c r="O250" i="20" s="1"/>
  <c r="AB114" i="20"/>
  <c r="O114" i="20" s="1"/>
  <c r="AB291" i="20"/>
  <c r="O291" i="20" s="1"/>
  <c r="AB289" i="20"/>
  <c r="O289" i="20" s="1"/>
  <c r="AB283" i="20"/>
  <c r="O283" i="20" s="1"/>
  <c r="AB229" i="20"/>
  <c r="O229" i="20" s="1"/>
  <c r="AB217" i="20"/>
  <c r="O217" i="20" s="1"/>
  <c r="AB215" i="20"/>
  <c r="O215" i="20" s="1"/>
  <c r="AB213" i="20"/>
  <c r="O213" i="20" s="1"/>
  <c r="AB147" i="20"/>
  <c r="O147" i="20" s="1"/>
  <c r="AB116" i="20"/>
  <c r="O116" i="20" s="1"/>
  <c r="AB109" i="20"/>
  <c r="O109" i="20" s="1"/>
  <c r="AB290" i="20"/>
  <c r="O290" i="20" s="1"/>
  <c r="AB272" i="20"/>
  <c r="O272" i="20" s="1"/>
  <c r="AB265" i="20"/>
  <c r="O265" i="20" s="1"/>
  <c r="AB251" i="20"/>
  <c r="O251" i="20" s="1"/>
  <c r="AB210" i="20"/>
  <c r="O210" i="20" s="1"/>
  <c r="AB141" i="20"/>
  <c r="O141" i="20" s="1"/>
  <c r="AB129" i="20"/>
  <c r="O129" i="20" s="1"/>
  <c r="AB108" i="20"/>
  <c r="O108" i="20" s="1"/>
  <c r="AB100" i="20"/>
  <c r="O100" i="20" s="1"/>
  <c r="AB94" i="20"/>
  <c r="O94" i="20" s="1"/>
  <c r="AB77" i="20"/>
  <c r="O77" i="20" s="1"/>
  <c r="AB52" i="20"/>
  <c r="O52" i="20" s="1"/>
  <c r="AB253" i="20"/>
  <c r="O253" i="20" s="1"/>
  <c r="AB211" i="20"/>
  <c r="O211" i="20" s="1"/>
  <c r="AB236" i="20"/>
  <c r="O236" i="20" s="1"/>
  <c r="AB67" i="20"/>
  <c r="O67" i="20" s="1"/>
  <c r="AB63" i="20"/>
  <c r="O63" i="20" s="1"/>
  <c r="AB53" i="20"/>
  <c r="O53" i="20" s="1"/>
  <c r="AB47" i="20"/>
  <c r="O47" i="20" s="1"/>
  <c r="AB249" i="20"/>
  <c r="O249" i="20" s="1"/>
  <c r="AB162" i="20"/>
  <c r="O162" i="20" s="1"/>
  <c r="AB228" i="20"/>
  <c r="O228" i="20" s="1"/>
  <c r="AB90" i="20"/>
  <c r="O90" i="20" s="1"/>
  <c r="AB84" i="20"/>
  <c r="O84" i="20" s="1"/>
  <c r="AB82" i="20"/>
  <c r="O82" i="20" s="1"/>
  <c r="AB273" i="20"/>
  <c r="O273" i="20" s="1"/>
  <c r="AB269" i="20"/>
  <c r="O269" i="20" s="1"/>
  <c r="AB266" i="20"/>
  <c r="O266" i="20" s="1"/>
  <c r="AB137" i="20"/>
  <c r="O137" i="20" s="1"/>
  <c r="AB133" i="20"/>
  <c r="O133" i="20" s="1"/>
  <c r="AB130" i="20"/>
  <c r="O130" i="20" s="1"/>
  <c r="AB267" i="20"/>
  <c r="O267" i="20" s="1"/>
  <c r="AB202" i="20"/>
  <c r="O202" i="20" s="1"/>
  <c r="AB152" i="20"/>
  <c r="O152" i="20" s="1"/>
  <c r="AB92" i="20"/>
  <c r="O92" i="20" s="1"/>
  <c r="AB88" i="20"/>
  <c r="O88" i="20" s="1"/>
  <c r="AB65" i="20"/>
  <c r="O65" i="20" s="1"/>
  <c r="AB54" i="20"/>
  <c r="O54" i="20" s="1"/>
  <c r="AC296" i="20"/>
  <c r="P296" i="20" s="1"/>
  <c r="AC204" i="20"/>
  <c r="P204" i="20" s="1"/>
  <c r="AC294" i="20"/>
  <c r="P294" i="20" s="1"/>
  <c r="AC284" i="20"/>
  <c r="P284" i="20" s="1"/>
  <c r="AC277" i="20"/>
  <c r="P277" i="20" s="1"/>
  <c r="AC256" i="20"/>
  <c r="P256" i="20" s="1"/>
  <c r="AC254" i="20"/>
  <c r="P254" i="20" s="1"/>
  <c r="AC248" i="20"/>
  <c r="P248" i="20" s="1"/>
  <c r="AC246" i="20"/>
  <c r="P246" i="20" s="1"/>
  <c r="AC238" i="20"/>
  <c r="P238" i="20" s="1"/>
  <c r="AC233" i="20"/>
  <c r="P233" i="20" s="1"/>
  <c r="AC230" i="20"/>
  <c r="P230" i="20" s="1"/>
  <c r="AC226" i="20"/>
  <c r="P226" i="20" s="1"/>
  <c r="AC224" i="20"/>
  <c r="P224" i="20" s="1"/>
  <c r="AC220" i="20"/>
  <c r="P220" i="20" s="1"/>
  <c r="AC218" i="20"/>
  <c r="P218" i="20" s="1"/>
  <c r="AC214" i="20"/>
  <c r="P214" i="20" s="1"/>
  <c r="AC212" i="20"/>
  <c r="P212" i="20" s="1"/>
  <c r="AC207" i="20"/>
  <c r="P207" i="20" s="1"/>
  <c r="AC161" i="20"/>
  <c r="P161" i="20" s="1"/>
  <c r="AC118" i="20"/>
  <c r="P118" i="20" s="1"/>
  <c r="AC110" i="20"/>
  <c r="P110" i="20" s="1"/>
  <c r="AC80" i="20"/>
  <c r="P80" i="20" s="1"/>
  <c r="AC298" i="20"/>
  <c r="P298" i="20" s="1"/>
  <c r="AC295" i="20"/>
  <c r="P295" i="20" s="1"/>
  <c r="AC287" i="20"/>
  <c r="P287" i="20" s="1"/>
  <c r="AC262" i="20"/>
  <c r="P262" i="20" s="1"/>
  <c r="AC252" i="20"/>
  <c r="P252" i="20" s="1"/>
  <c r="AC247" i="20"/>
  <c r="P247" i="20" s="1"/>
  <c r="AC239" i="20"/>
  <c r="P239" i="20" s="1"/>
  <c r="AC227" i="20"/>
  <c r="P227" i="20" s="1"/>
  <c r="AC225" i="20"/>
  <c r="P225" i="20" s="1"/>
  <c r="AC206" i="20"/>
  <c r="P206" i="20" s="1"/>
  <c r="AC203" i="20"/>
  <c r="P203" i="20" s="1"/>
  <c r="AC151" i="20"/>
  <c r="P151" i="20" s="1"/>
  <c r="AC149" i="20"/>
  <c r="P149" i="20" s="1"/>
  <c r="AC126" i="20"/>
  <c r="P126" i="20" s="1"/>
  <c r="AC111" i="20"/>
  <c r="P111" i="20" s="1"/>
  <c r="AC103" i="20"/>
  <c r="P103" i="20" s="1"/>
  <c r="AC73" i="20"/>
  <c r="P73" i="20" s="1"/>
  <c r="AC72" i="20"/>
  <c r="P72" i="20" s="1"/>
  <c r="AC70" i="20"/>
  <c r="P70" i="20" s="1"/>
  <c r="AC57" i="20"/>
  <c r="P57" i="20" s="1"/>
  <c r="AC140" i="20"/>
  <c r="P140" i="20" s="1"/>
  <c r="AC299" i="20"/>
  <c r="P299" i="20" s="1"/>
  <c r="AC286" i="20"/>
  <c r="P286" i="20" s="1"/>
  <c r="AC279" i="20"/>
  <c r="P279" i="20" s="1"/>
  <c r="AC205" i="20"/>
  <c r="P205" i="20" s="1"/>
  <c r="AC200" i="20"/>
  <c r="P200" i="20" s="1"/>
  <c r="AC154" i="20"/>
  <c r="P154" i="20" s="1"/>
  <c r="AC257" i="20"/>
  <c r="P257" i="20" s="1"/>
  <c r="AC234" i="20"/>
  <c r="P234" i="20" s="1"/>
  <c r="AC208" i="20"/>
  <c r="P208" i="20" s="1"/>
  <c r="AC201" i="20"/>
  <c r="P201" i="20" s="1"/>
  <c r="AC93" i="20"/>
  <c r="P93" i="20" s="1"/>
  <c r="AC55" i="20"/>
  <c r="P55" i="20" s="1"/>
  <c r="AB140" i="20"/>
  <c r="O140" i="20" s="1"/>
  <c r="AB257" i="20"/>
  <c r="O257" i="20" s="1"/>
  <c r="AB234" i="20"/>
  <c r="O234" i="20" s="1"/>
  <c r="AB208" i="20"/>
  <c r="O208" i="20" s="1"/>
  <c r="AB201" i="20"/>
  <c r="O201" i="20" s="1"/>
  <c r="AB93" i="20"/>
  <c r="O93" i="20" s="1"/>
  <c r="AB299" i="20"/>
  <c r="O299" i="20" s="1"/>
  <c r="AB286" i="20"/>
  <c r="O286" i="20" s="1"/>
  <c r="AB279" i="20"/>
  <c r="O279" i="20" s="1"/>
  <c r="AB205" i="20"/>
  <c r="O205" i="20" s="1"/>
  <c r="AB200" i="20"/>
  <c r="O200" i="20" s="1"/>
  <c r="AB154" i="20"/>
  <c r="O154" i="20" s="1"/>
  <c r="AB55" i="20"/>
  <c r="O55" i="20" s="1"/>
  <c r="AB293" i="20"/>
  <c r="O293" i="20" s="1"/>
  <c r="AB157" i="20"/>
  <c r="O157" i="20" s="1"/>
  <c r="AB91" i="20"/>
  <c r="O91" i="20" s="1"/>
  <c r="AB89" i="20"/>
  <c r="O89" i="20" s="1"/>
  <c r="AB87" i="20"/>
  <c r="O87" i="20" s="1"/>
  <c r="AB83" i="20"/>
  <c r="O83" i="20" s="1"/>
  <c r="AB274" i="20"/>
  <c r="O274" i="20" s="1"/>
  <c r="AB138" i="20"/>
  <c r="O138" i="20" s="1"/>
  <c r="AB131" i="20"/>
  <c r="O131" i="20" s="1"/>
  <c r="AB86" i="20"/>
  <c r="O86" i="20" s="1"/>
  <c r="F37" i="20"/>
  <c r="F43" i="20"/>
  <c r="AA296" i="20"/>
  <c r="N296" i="20" s="1"/>
  <c r="AA204" i="20"/>
  <c r="N204" i="20" s="1"/>
  <c r="AA298" i="20"/>
  <c r="N298" i="20" s="1"/>
  <c r="AA295" i="20"/>
  <c r="N295" i="20" s="1"/>
  <c r="AA287" i="20"/>
  <c r="N287" i="20" s="1"/>
  <c r="AA262" i="20"/>
  <c r="N262" i="20" s="1"/>
  <c r="AA252" i="20"/>
  <c r="N252" i="20" s="1"/>
  <c r="AA247" i="20"/>
  <c r="N247" i="20" s="1"/>
  <c r="AA239" i="20"/>
  <c r="N239" i="20" s="1"/>
  <c r="AA227" i="20"/>
  <c r="N227" i="20" s="1"/>
  <c r="AA225" i="20"/>
  <c r="N225" i="20" s="1"/>
  <c r="AA206" i="20"/>
  <c r="N206" i="20" s="1"/>
  <c r="AA203" i="20"/>
  <c r="N203" i="20" s="1"/>
  <c r="AA151" i="20"/>
  <c r="N151" i="20" s="1"/>
  <c r="AA149" i="20"/>
  <c r="N149" i="20" s="1"/>
  <c r="AA126" i="20"/>
  <c r="N126" i="20" s="1"/>
  <c r="AA111" i="20"/>
  <c r="N111" i="20" s="1"/>
  <c r="AA103" i="20"/>
  <c r="N103" i="20" s="1"/>
  <c r="AA294" i="20"/>
  <c r="N294" i="20" s="1"/>
  <c r="AA284" i="20"/>
  <c r="N284" i="20" s="1"/>
  <c r="AA277" i="20"/>
  <c r="N277" i="20" s="1"/>
  <c r="AA256" i="20"/>
  <c r="N256" i="20" s="1"/>
  <c r="AA254" i="20"/>
  <c r="N254" i="20" s="1"/>
  <c r="AA248" i="20"/>
  <c r="N248" i="20" s="1"/>
  <c r="AA246" i="20"/>
  <c r="N246" i="20" s="1"/>
  <c r="AA238" i="20"/>
  <c r="N238" i="20" s="1"/>
  <c r="AA233" i="20"/>
  <c r="N233" i="20" s="1"/>
  <c r="AA230" i="20"/>
  <c r="N230" i="20" s="1"/>
  <c r="AA226" i="20"/>
  <c r="N226" i="20" s="1"/>
  <c r="AA224" i="20"/>
  <c r="N224" i="20" s="1"/>
  <c r="AA220" i="20"/>
  <c r="N220" i="20" s="1"/>
  <c r="AA218" i="20"/>
  <c r="N218" i="20" s="1"/>
  <c r="AA214" i="20"/>
  <c r="N214" i="20" s="1"/>
  <c r="AA212" i="20"/>
  <c r="N212" i="20" s="1"/>
  <c r="AA207" i="20"/>
  <c r="N207" i="20" s="1"/>
  <c r="AA161" i="20"/>
  <c r="N161" i="20" s="1"/>
  <c r="AA118" i="20"/>
  <c r="N118" i="20" s="1"/>
  <c r="AA110" i="20"/>
  <c r="N110" i="20" s="1"/>
  <c r="AA80" i="20"/>
  <c r="N80" i="20" s="1"/>
  <c r="AA73" i="20"/>
  <c r="N73" i="20" s="1"/>
  <c r="AA72" i="20"/>
  <c r="N72" i="20" s="1"/>
  <c r="AA70" i="20"/>
  <c r="N70" i="20" s="1"/>
  <c r="AA57" i="20"/>
  <c r="N57" i="20" s="1"/>
  <c r="AB95" i="20"/>
  <c r="O95" i="20" s="1"/>
  <c r="AB132" i="20"/>
  <c r="O132" i="20" s="1"/>
  <c r="AB285" i="20"/>
  <c r="O285" i="20" s="1"/>
  <c r="AB281" i="20"/>
  <c r="O281" i="20" s="1"/>
  <c r="AB275" i="20"/>
  <c r="O275" i="20" s="1"/>
  <c r="AB264" i="20"/>
  <c r="O264" i="20" s="1"/>
  <c r="AB260" i="20"/>
  <c r="O260" i="20" s="1"/>
  <c r="AB255" i="20"/>
  <c r="O255" i="20" s="1"/>
  <c r="AB245" i="20"/>
  <c r="O245" i="20" s="1"/>
  <c r="AB237" i="20"/>
  <c r="O237" i="20" s="1"/>
  <c r="AB232" i="20"/>
  <c r="O232" i="20" s="1"/>
  <c r="AB219" i="20"/>
  <c r="O219" i="20" s="1"/>
  <c r="AB197" i="20"/>
  <c r="O197" i="20" s="1"/>
  <c r="AB195" i="20"/>
  <c r="O195" i="20" s="1"/>
  <c r="AB159" i="20"/>
  <c r="O159" i="20" s="1"/>
  <c r="AB145" i="20"/>
  <c r="O145" i="20" s="1"/>
  <c r="AB139" i="20"/>
  <c r="O139" i="20" s="1"/>
  <c r="AB128" i="20"/>
  <c r="O128" i="20" s="1"/>
  <c r="AB124" i="20"/>
  <c r="O124" i="20" s="1"/>
  <c r="AB107" i="20"/>
  <c r="O107" i="20" s="1"/>
  <c r="AB105" i="20"/>
  <c r="O105" i="20" s="1"/>
  <c r="AB101" i="20"/>
  <c r="O101" i="20" s="1"/>
  <c r="AB81" i="20"/>
  <c r="O81" i="20" s="1"/>
  <c r="AB297" i="20"/>
  <c r="O297" i="20" s="1"/>
  <c r="AB292" i="20"/>
  <c r="O292" i="20" s="1"/>
  <c r="AB282" i="20"/>
  <c r="O282" i="20" s="1"/>
  <c r="AB270" i="20"/>
  <c r="O270" i="20" s="1"/>
  <c r="AB263" i="20"/>
  <c r="O263" i="20" s="1"/>
  <c r="AB261" i="20"/>
  <c r="O261" i="20" s="1"/>
  <c r="AB259" i="20"/>
  <c r="O259" i="20" s="1"/>
  <c r="AB244" i="20"/>
  <c r="O244" i="20" s="1"/>
  <c r="AB240" i="20"/>
  <c r="O240" i="20" s="1"/>
  <c r="AB222" i="20"/>
  <c r="O222" i="20" s="1"/>
  <c r="AB198" i="20"/>
  <c r="O198" i="20" s="1"/>
  <c r="AB196" i="20"/>
  <c r="O196" i="20" s="1"/>
  <c r="AB156" i="20"/>
  <c r="O156" i="20" s="1"/>
  <c r="AB146" i="20"/>
  <c r="O146" i="20" s="1"/>
  <c r="AB134" i="20"/>
  <c r="O134" i="20" s="1"/>
  <c r="AB127" i="20"/>
  <c r="O127" i="20" s="1"/>
  <c r="AB125" i="20"/>
  <c r="O125" i="20" s="1"/>
  <c r="AB120" i="20"/>
  <c r="O120" i="20" s="1"/>
  <c r="AB115" i="20"/>
  <c r="O115" i="20" s="1"/>
  <c r="AB112" i="20"/>
  <c r="O112" i="20" s="1"/>
  <c r="AB106" i="20"/>
  <c r="O106" i="20" s="1"/>
  <c r="AB104" i="20"/>
  <c r="O104" i="20" s="1"/>
  <c r="AB102" i="20"/>
  <c r="O102" i="20" s="1"/>
  <c r="AB97" i="20"/>
  <c r="O97" i="20" s="1"/>
  <c r="AB58" i="20"/>
  <c r="O58" i="20" s="1"/>
  <c r="AB49" i="20"/>
  <c r="O49" i="20" s="1"/>
  <c r="AB68" i="20"/>
  <c r="O68" i="20" s="1"/>
  <c r="AB59" i="20"/>
  <c r="O59" i="20" s="1"/>
  <c r="AB50" i="20"/>
  <c r="O50" i="20" s="1"/>
  <c r="AB48" i="20"/>
  <c r="O48" i="20" s="1"/>
  <c r="AC136" i="20"/>
  <c r="P136" i="20" s="1"/>
  <c r="AC155" i="20"/>
  <c r="P155" i="20" s="1"/>
  <c r="AC153" i="20"/>
  <c r="P153" i="20" s="1"/>
  <c r="AC64" i="20"/>
  <c r="P64" i="20" s="1"/>
  <c r="AC62" i="20"/>
  <c r="P62" i="20" s="1"/>
  <c r="AA273" i="20"/>
  <c r="N273" i="20" s="1"/>
  <c r="AA269" i="20"/>
  <c r="N269" i="20" s="1"/>
  <c r="AA266" i="20"/>
  <c r="N266" i="20" s="1"/>
  <c r="AA137" i="20"/>
  <c r="N137" i="20" s="1"/>
  <c r="AA133" i="20"/>
  <c r="N133" i="20" s="1"/>
  <c r="AA130" i="20"/>
  <c r="N130" i="20" s="1"/>
  <c r="AA267" i="20"/>
  <c r="N267" i="20" s="1"/>
  <c r="AA202" i="20"/>
  <c r="N202" i="20" s="1"/>
  <c r="AA152" i="20"/>
  <c r="N152" i="20" s="1"/>
  <c r="AA92" i="20"/>
  <c r="N92" i="20" s="1"/>
  <c r="AA88" i="20"/>
  <c r="N88" i="20" s="1"/>
  <c r="AA65" i="20"/>
  <c r="N65" i="20" s="1"/>
  <c r="AA54" i="20"/>
  <c r="N54" i="20" s="1"/>
  <c r="AC253" i="20"/>
  <c r="P253" i="20" s="1"/>
  <c r="AC236" i="20"/>
  <c r="P236" i="20" s="1"/>
  <c r="AC211" i="20"/>
  <c r="P211" i="20" s="1"/>
  <c r="AC67" i="20"/>
  <c r="P67" i="20" s="1"/>
  <c r="AC63" i="20"/>
  <c r="P63" i="20" s="1"/>
  <c r="AC53" i="20"/>
  <c r="P53" i="20" s="1"/>
  <c r="AC47" i="20"/>
  <c r="P47" i="20" s="1"/>
  <c r="P2531" i="33"/>
  <c r="L2533" i="33"/>
  <c r="M2532" i="33"/>
  <c r="S115" i="1"/>
  <c r="W8" i="20"/>
  <c r="H73" i="10" s="1"/>
  <c r="Y8" i="20"/>
  <c r="L73" i="10" s="1"/>
  <c r="N73" i="10"/>
  <c r="X8" i="20"/>
  <c r="Z48" i="40" a="1"/>
  <c r="P48" i="40" a="1"/>
  <c r="AE48" i="40" a="1"/>
  <c r="P2532" i="33" a="1"/>
  <c r="H79" i="1" l="1"/>
  <c r="N186" i="20"/>
  <c r="P43" i="20"/>
  <c r="N38" i="20"/>
  <c r="P2532" i="33"/>
  <c r="L2534" i="33"/>
  <c r="M2533" i="33"/>
  <c r="AE48" i="40"/>
  <c r="Z48" i="40"/>
  <c r="P48" i="40"/>
  <c r="J73" i="10"/>
  <c r="U48" i="40" a="1"/>
  <c r="P2533" i="33" a="1"/>
  <c r="P2533" i="33" l="1"/>
  <c r="M2534" i="33"/>
  <c r="L2535" i="33"/>
  <c r="U48" i="40"/>
  <c r="Z12" i="20"/>
  <c r="Z13" i="20" s="1"/>
  <c r="Y12" i="20"/>
  <c r="Y13" i="20" s="1"/>
  <c r="X12" i="20"/>
  <c r="X13" i="20" s="1"/>
  <c r="W12" i="20"/>
  <c r="W13" i="20" s="1"/>
  <c r="P2534" i="33" a="1"/>
  <c r="M2535" i="33" l="1"/>
  <c r="L2536" i="33"/>
  <c r="P2534" i="33"/>
  <c r="M2544" i="33"/>
  <c r="L2545" i="33"/>
  <c r="I89" i="7"/>
  <c r="M89" i="7"/>
  <c r="O89" i="7"/>
  <c r="K89" i="7"/>
  <c r="F727" i="1"/>
  <c r="P2535" i="33" a="1"/>
  <c r="P2544" i="33" a="1"/>
  <c r="P2535" i="33" l="1"/>
  <c r="L2537" i="33"/>
  <c r="M2536" i="33"/>
  <c r="Q721" i="1"/>
  <c r="E49" i="26"/>
  <c r="F49" i="26"/>
  <c r="G49" i="26"/>
  <c r="D49" i="26"/>
  <c r="P2544" i="33"/>
  <c r="M2545" i="33"/>
  <c r="L2546" i="33"/>
  <c r="E13" i="20"/>
  <c r="M156" i="20"/>
  <c r="M157" i="20"/>
  <c r="M158" i="20"/>
  <c r="M159" i="20"/>
  <c r="M161" i="20"/>
  <c r="M162" i="20"/>
  <c r="D156" i="20"/>
  <c r="D157" i="20"/>
  <c r="D158" i="20"/>
  <c r="D159" i="20"/>
  <c r="D161" i="20"/>
  <c r="D162" i="20"/>
  <c r="H556" i="1"/>
  <c r="H550" i="1"/>
  <c r="H551" i="1"/>
  <c r="H552" i="1"/>
  <c r="H553" i="1"/>
  <c r="H555" i="1"/>
  <c r="E556" i="1"/>
  <c r="E555" i="1"/>
  <c r="E550" i="1"/>
  <c r="E551" i="1"/>
  <c r="E552" i="1"/>
  <c r="E553" i="1"/>
  <c r="E539" i="1"/>
  <c r="P2536" i="33" a="1"/>
  <c r="P2545" i="33" a="1"/>
  <c r="P2536" i="33" l="1"/>
  <c r="L2538" i="33"/>
  <c r="M2537" i="33"/>
  <c r="H90" i="10"/>
  <c r="D51" i="26"/>
  <c r="N90" i="10"/>
  <c r="G51" i="26"/>
  <c r="J90" i="10"/>
  <c r="E51" i="26"/>
  <c r="L90" i="10"/>
  <c r="F51" i="26"/>
  <c r="P2545" i="33"/>
  <c r="M2546" i="33"/>
  <c r="L2547" i="33"/>
  <c r="B54" i="7"/>
  <c r="G41" i="26"/>
  <c r="N123" i="10" s="1"/>
  <c r="F41" i="26"/>
  <c r="L123" i="10" s="1"/>
  <c r="E41" i="26"/>
  <c r="J123" i="10" s="1"/>
  <c r="D41" i="26"/>
  <c r="H123" i="10" s="1"/>
  <c r="U65" i="40" a="1"/>
  <c r="Z65" i="40" a="1"/>
  <c r="P2537" i="33" a="1"/>
  <c r="AE65" i="40" a="1"/>
  <c r="P2546" i="33" a="1"/>
  <c r="P65" i="40" a="1"/>
  <c r="U65" i="40" l="1"/>
  <c r="Z65" i="40"/>
  <c r="AE65" i="40"/>
  <c r="P65" i="40"/>
  <c r="P2537" i="33"/>
  <c r="L2539" i="33"/>
  <c r="M2538" i="33"/>
  <c r="P2546" i="33"/>
  <c r="M2547" i="33"/>
  <c r="L2548" i="33"/>
  <c r="Q71" i="27"/>
  <c r="D13" i="27"/>
  <c r="D14" i="27"/>
  <c r="E14" i="27"/>
  <c r="D15" i="27"/>
  <c r="E15" i="27"/>
  <c r="F15" i="27"/>
  <c r="J114" i="27" s="1"/>
  <c r="D16" i="27"/>
  <c r="E16" i="27"/>
  <c r="F16" i="27"/>
  <c r="G16" i="27"/>
  <c r="D17" i="27"/>
  <c r="E17" i="27"/>
  <c r="F17" i="27"/>
  <c r="G17" i="27"/>
  <c r="Q42" i="27"/>
  <c r="Q43" i="27"/>
  <c r="R43" i="27"/>
  <c r="Q44" i="27"/>
  <c r="R44" i="27"/>
  <c r="S44" i="27"/>
  <c r="Q45" i="27"/>
  <c r="R45" i="27"/>
  <c r="S45" i="27"/>
  <c r="T45" i="27"/>
  <c r="P2538" i="33" a="1"/>
  <c r="P2547" i="33" a="1"/>
  <c r="P2538" i="33" l="1"/>
  <c r="L2540" i="33"/>
  <c r="M2539" i="33"/>
  <c r="P2547" i="33"/>
  <c r="M2548" i="33"/>
  <c r="L2549" i="33"/>
  <c r="U81" i="7"/>
  <c r="Y81" i="7" s="1"/>
  <c r="V81" i="7"/>
  <c r="AB81" i="7" s="1"/>
  <c r="U80" i="7"/>
  <c r="Y80" i="7" s="1"/>
  <c r="V82" i="7"/>
  <c r="X82" i="7" s="1"/>
  <c r="U79" i="7"/>
  <c r="W79" i="7" s="1"/>
  <c r="V80" i="7"/>
  <c r="X80" i="7" s="1"/>
  <c r="V79" i="7"/>
  <c r="AD79" i="7" s="1"/>
  <c r="U82" i="7"/>
  <c r="W82" i="7" s="1"/>
  <c r="V83" i="7"/>
  <c r="AD83" i="7" s="1"/>
  <c r="U83" i="7"/>
  <c r="Y83" i="7" s="1"/>
  <c r="P2548" i="33" a="1"/>
  <c r="P2539" i="33" a="1"/>
  <c r="P2539" i="33" l="1"/>
  <c r="L2541" i="33"/>
  <c r="M2540" i="33"/>
  <c r="P2548" i="33"/>
  <c r="M2549" i="33"/>
  <c r="L2550" i="33"/>
  <c r="X81" i="7"/>
  <c r="AC80" i="7"/>
  <c r="AC81" i="7"/>
  <c r="W80" i="7"/>
  <c r="Z81" i="7"/>
  <c r="AD81" i="7"/>
  <c r="AA80" i="7"/>
  <c r="AA81" i="7"/>
  <c r="W81" i="7"/>
  <c r="AB82" i="7"/>
  <c r="AD82" i="7"/>
  <c r="AC79" i="7"/>
  <c r="Z80" i="7"/>
  <c r="Y79" i="7"/>
  <c r="Z82" i="7"/>
  <c r="AA79" i="7"/>
  <c r="Y82" i="7"/>
  <c r="AA82" i="7"/>
  <c r="AC82" i="7"/>
  <c r="AB79" i="7"/>
  <c r="X79" i="7"/>
  <c r="Z83" i="7"/>
  <c r="AD80" i="7"/>
  <c r="X83" i="7"/>
  <c r="AB80" i="7"/>
  <c r="Z79" i="7"/>
  <c r="AC83" i="7"/>
  <c r="AB83" i="7"/>
  <c r="W83" i="7"/>
  <c r="AA83" i="7"/>
  <c r="P2549" i="33" a="1"/>
  <c r="P2540" i="33" a="1"/>
  <c r="P2540" i="33" l="1"/>
  <c r="L2542" i="33"/>
  <c r="M2541" i="33"/>
  <c r="P2549" i="33"/>
  <c r="M2550" i="33"/>
  <c r="L2551" i="33"/>
  <c r="P2550" i="33" a="1"/>
  <c r="P2541" i="33" a="1"/>
  <c r="P2541" i="33" l="1"/>
  <c r="L2543" i="33"/>
  <c r="M2543" i="33" s="1"/>
  <c r="M2542" i="33"/>
  <c r="P2550" i="33"/>
  <c r="M2551" i="33"/>
  <c r="L2552" i="33"/>
  <c r="P2542" i="33" a="1"/>
  <c r="P2551" i="33" a="1"/>
  <c r="P2543" i="33" a="1"/>
  <c r="P2542" i="33" l="1"/>
  <c r="P2543" i="33"/>
  <c r="P2551" i="33"/>
  <c r="M2552" i="33"/>
  <c r="L2553" i="33"/>
  <c r="V89" i="7"/>
  <c r="U89" i="7"/>
  <c r="C34" i="7"/>
  <c r="C33" i="7"/>
  <c r="C32" i="7"/>
  <c r="C31" i="7"/>
  <c r="C30" i="7"/>
  <c r="P2552" i="33" a="1"/>
  <c r="P2552" i="33" l="1"/>
  <c r="M2553" i="33"/>
  <c r="L2554" i="33"/>
  <c r="Y89" i="7"/>
  <c r="AC89" i="7"/>
  <c r="AA89" i="7"/>
  <c r="W89" i="7"/>
  <c r="X89" i="7"/>
  <c r="Z89" i="7"/>
  <c r="AB89" i="7"/>
  <c r="AD89" i="7"/>
  <c r="I213" i="4"/>
  <c r="I161" i="4"/>
  <c r="P2553" i="33" a="1"/>
  <c r="P2553" i="33" l="1"/>
  <c r="M2554" i="33"/>
  <c r="L2555" i="33"/>
  <c r="Q365" i="1"/>
  <c r="P2554" i="33" a="1"/>
  <c r="L2562" i="33" l="1"/>
  <c r="L2556" i="33"/>
  <c r="P2554" i="33"/>
  <c r="M2555" i="33"/>
  <c r="E40" i="20"/>
  <c r="E184" i="20"/>
  <c r="E187" i="20"/>
  <c r="E189" i="20"/>
  <c r="H188" i="20"/>
  <c r="G184" i="20"/>
  <c r="G187" i="20"/>
  <c r="G189" i="20"/>
  <c r="H189" i="20"/>
  <c r="H187" i="20"/>
  <c r="F188" i="20"/>
  <c r="H184" i="20"/>
  <c r="G188" i="20"/>
  <c r="E188" i="20"/>
  <c r="E186" i="20"/>
  <c r="G186" i="20"/>
  <c r="H186" i="20"/>
  <c r="G183" i="20"/>
  <c r="H183" i="20"/>
  <c r="E43" i="20"/>
  <c r="F186" i="20"/>
  <c r="E183" i="20"/>
  <c r="F183" i="20"/>
  <c r="F184" i="20"/>
  <c r="F187" i="20"/>
  <c r="F189" i="20"/>
  <c r="E191" i="20"/>
  <c r="E185" i="20"/>
  <c r="F185" i="20"/>
  <c r="F191" i="20"/>
  <c r="G185" i="20"/>
  <c r="G191" i="20"/>
  <c r="H191" i="20"/>
  <c r="H185" i="20"/>
  <c r="E37" i="20"/>
  <c r="H35" i="20"/>
  <c r="G37" i="20"/>
  <c r="F40" i="20"/>
  <c r="E36" i="20"/>
  <c r="F36" i="20"/>
  <c r="G36" i="20"/>
  <c r="H40" i="20"/>
  <c r="H37" i="20"/>
  <c r="G40" i="20"/>
  <c r="G35" i="20"/>
  <c r="H36" i="20"/>
  <c r="E35" i="20"/>
  <c r="E41" i="20"/>
  <c r="E39" i="20"/>
  <c r="F35" i="20"/>
  <c r="F41" i="20"/>
  <c r="F39" i="20"/>
  <c r="G41" i="20"/>
  <c r="G39" i="20"/>
  <c r="H41" i="20"/>
  <c r="H39" i="20"/>
  <c r="E38" i="20"/>
  <c r="F38" i="20"/>
  <c r="G38" i="20"/>
  <c r="G43" i="20"/>
  <c r="H38" i="20"/>
  <c r="H43" i="20"/>
  <c r="R115" i="27"/>
  <c r="Q115" i="27"/>
  <c r="Q114" i="27"/>
  <c r="P2555" i="33" a="1"/>
  <c r="L2557" i="33" l="1"/>
  <c r="M2556" i="33"/>
  <c r="M2562" i="33"/>
  <c r="L2563" i="33"/>
  <c r="P2555" i="33"/>
  <c r="E115" i="27"/>
  <c r="D115" i="27"/>
  <c r="D114" i="27"/>
  <c r="P2562" i="33" a="1"/>
  <c r="P2556" i="33" a="1"/>
  <c r="P2556" i="33" l="1"/>
  <c r="P2562" i="33"/>
  <c r="M2563" i="33"/>
  <c r="L2564" i="33"/>
  <c r="M2564" i="33" s="1"/>
  <c r="M2557" i="33"/>
  <c r="L2558" i="33"/>
  <c r="Z23" i="20"/>
  <c r="Z29" i="20"/>
  <c r="Z28" i="20" s="1"/>
  <c r="P2563" i="33" a="1"/>
  <c r="P2557" i="33" a="1"/>
  <c r="P2564" i="33" a="1"/>
  <c r="M2558" i="33" l="1"/>
  <c r="L2559" i="33"/>
  <c r="P2563" i="33"/>
  <c r="P2557" i="33"/>
  <c r="P2564" i="33"/>
  <c r="D167" i="26"/>
  <c r="D170" i="26" s="1"/>
  <c r="P2558" i="33" a="1"/>
  <c r="P2558" i="33" l="1"/>
  <c r="M2559" i="33"/>
  <c r="L2560" i="33"/>
  <c r="D169" i="26"/>
  <c r="P2559" i="33" a="1"/>
  <c r="P2559" i="33" l="1"/>
  <c r="L2561" i="33"/>
  <c r="M2561" i="33" s="1"/>
  <c r="M2560" i="33"/>
  <c r="D173" i="26" a="1"/>
  <c r="P2560" i="33" a="1"/>
  <c r="P2561" i="33" a="1"/>
  <c r="P2561" i="33" l="1"/>
  <c r="P2560" i="33"/>
  <c r="D173" i="26"/>
  <c r="D174" i="26" s="1"/>
  <c r="G173" i="26"/>
  <c r="G174" i="26" s="1"/>
  <c r="N98" i="10" s="1"/>
  <c r="F173" i="26"/>
  <c r="F174" i="26" s="1"/>
  <c r="F11" i="26" s="1"/>
  <c r="S127" i="27" s="1"/>
  <c r="E173" i="26"/>
  <c r="E174" i="26" s="1"/>
  <c r="J98" i="10" s="1"/>
  <c r="G11" i="26" l="1"/>
  <c r="T127" i="27" s="1"/>
  <c r="L98" i="10"/>
  <c r="E11" i="26"/>
  <c r="R127" i="27" s="1"/>
  <c r="D11" i="26"/>
  <c r="Q127" i="27" s="1"/>
  <c r="H98" i="10"/>
  <c r="K93" i="4"/>
  <c r="K55" i="4" s="1"/>
  <c r="K100" i="4"/>
  <c r="K62" i="4" s="1"/>
  <c r="K101" i="4"/>
  <c r="K63" i="4" s="1"/>
  <c r="K102" i="4"/>
  <c r="K64" i="4" s="1"/>
  <c r="K103" i="4"/>
  <c r="K65" i="4" s="1"/>
  <c r="K104" i="4"/>
  <c r="K66" i="4" s="1"/>
  <c r="K91" i="4"/>
  <c r="K53" i="4" s="1"/>
  <c r="K92" i="4"/>
  <c r="K54" i="4" s="1"/>
  <c r="K94" i="4"/>
  <c r="K56" i="4" s="1"/>
  <c r="K95" i="4"/>
  <c r="K57" i="4" s="1"/>
  <c r="K82" i="4"/>
  <c r="K44" i="4" s="1"/>
  <c r="K83" i="4"/>
  <c r="K45" i="4" s="1"/>
  <c r="K84" i="4"/>
  <c r="K46" i="4" s="1"/>
  <c r="K85" i="4"/>
  <c r="K47" i="4" s="1"/>
  <c r="K86" i="4"/>
  <c r="K48" i="4" s="1"/>
  <c r="K73" i="4"/>
  <c r="K35" i="4" s="1"/>
  <c r="K74" i="4"/>
  <c r="K36" i="4" s="1"/>
  <c r="K75" i="4"/>
  <c r="K37" i="4" s="1"/>
  <c r="K76" i="4"/>
  <c r="K38" i="4" s="1"/>
  <c r="K77" i="4"/>
  <c r="K39" i="4" s="1"/>
  <c r="AG141" i="4" l="1"/>
  <c r="AR141" i="4"/>
  <c r="AG144" i="4"/>
  <c r="AR144" i="4"/>
  <c r="AG143" i="4"/>
  <c r="AR143" i="4"/>
  <c r="AG140" i="4"/>
  <c r="AR140" i="4"/>
  <c r="AG142" i="4"/>
  <c r="AR142" i="4"/>
  <c r="AG115" i="4"/>
  <c r="AR115" i="4"/>
  <c r="AG116" i="4"/>
  <c r="AR116" i="4"/>
  <c r="AG135" i="4"/>
  <c r="AR135" i="4"/>
  <c r="AG134" i="4"/>
  <c r="AR134" i="4"/>
  <c r="AG131" i="4"/>
  <c r="AR131" i="4"/>
  <c r="AG122" i="4"/>
  <c r="AR122" i="4"/>
  <c r="AG114" i="4"/>
  <c r="AR114" i="4"/>
  <c r="AG132" i="4"/>
  <c r="AR132" i="4"/>
  <c r="AG126" i="4"/>
  <c r="AR126" i="4"/>
  <c r="AG125" i="4"/>
  <c r="AR125" i="4"/>
  <c r="AG113" i="4"/>
  <c r="AR113" i="4"/>
  <c r="AG124" i="4"/>
  <c r="AR124" i="4"/>
  <c r="AG117" i="4"/>
  <c r="AR117" i="4"/>
  <c r="AG123" i="4"/>
  <c r="AR123" i="4"/>
  <c r="K140" i="4"/>
  <c r="V140" i="4"/>
  <c r="K132" i="4"/>
  <c r="V132" i="4"/>
  <c r="K141" i="4"/>
  <c r="V141" i="4"/>
  <c r="K131" i="4"/>
  <c r="V131" i="4"/>
  <c r="K116" i="4"/>
  <c r="V116" i="4"/>
  <c r="K135" i="4"/>
  <c r="V135" i="4"/>
  <c r="K144" i="4"/>
  <c r="V144" i="4"/>
  <c r="K115" i="4"/>
  <c r="V115" i="4"/>
  <c r="K134" i="4"/>
  <c r="V134" i="4"/>
  <c r="K126" i="4"/>
  <c r="V126" i="4"/>
  <c r="K125" i="4"/>
  <c r="V125" i="4"/>
  <c r="K124" i="4"/>
  <c r="V124" i="4"/>
  <c r="K143" i="4"/>
  <c r="V143" i="4"/>
  <c r="K122" i="4"/>
  <c r="V122" i="4"/>
  <c r="K114" i="4"/>
  <c r="V114" i="4"/>
  <c r="K113" i="4"/>
  <c r="V113" i="4"/>
  <c r="K117" i="4"/>
  <c r="V117" i="4"/>
  <c r="K123" i="4"/>
  <c r="V123" i="4"/>
  <c r="K142" i="4"/>
  <c r="V142" i="4"/>
  <c r="AR133" i="4"/>
  <c r="L2565" i="33" l="1"/>
  <c r="V133" i="4"/>
  <c r="AG133" i="4"/>
  <c r="K133" i="4"/>
  <c r="M2565" i="33" l="1"/>
  <c r="L2566" i="33"/>
  <c r="L2567" i="33" s="1"/>
  <c r="E457" i="1"/>
  <c r="E458" i="1"/>
  <c r="E459" i="1"/>
  <c r="E460" i="1"/>
  <c r="E461" i="1"/>
  <c r="E462" i="1"/>
  <c r="E463" i="1"/>
  <c r="E464" i="1"/>
  <c r="E466" i="1"/>
  <c r="E467" i="1"/>
  <c r="E468" i="1"/>
  <c r="E469" i="1"/>
  <c r="E470" i="1"/>
  <c r="E471" i="1"/>
  <c r="E472" i="1"/>
  <c r="E473" i="1"/>
  <c r="E474" i="1"/>
  <c r="E475" i="1"/>
  <c r="E476" i="1"/>
  <c r="E477" i="1"/>
  <c r="E478" i="1"/>
  <c r="E479" i="1"/>
  <c r="E482" i="1"/>
  <c r="E483" i="1"/>
  <c r="E484" i="1"/>
  <c r="E485" i="1"/>
  <c r="E486" i="1"/>
  <c r="E487" i="1"/>
  <c r="E488" i="1"/>
  <c r="E490" i="1"/>
  <c r="E491" i="1"/>
  <c r="E492" i="1"/>
  <c r="P2565" i="33" a="1"/>
  <c r="P2565" i="33" l="1"/>
  <c r="M2566" i="33"/>
  <c r="G27" i="4"/>
  <c r="P2566" i="33" a="1"/>
  <c r="P2566" i="33" l="1"/>
  <c r="N42" i="10"/>
  <c r="AE24" i="40" a="1"/>
  <c r="AE24" i="40" l="1"/>
  <c r="G223" i="4"/>
  <c r="F223" i="4"/>
  <c r="E223" i="4"/>
  <c r="D223" i="4"/>
  <c r="L2568" i="33" l="1"/>
  <c r="M2567" i="33"/>
  <c r="H43" i="10"/>
  <c r="D28" i="4"/>
  <c r="J43" i="10"/>
  <c r="E28" i="4"/>
  <c r="G28" i="4"/>
  <c r="N43" i="10"/>
  <c r="L43" i="10"/>
  <c r="F28" i="4"/>
  <c r="P25" i="40" a="1"/>
  <c r="U25" i="40" a="1"/>
  <c r="P2567" i="33" a="1"/>
  <c r="Z25" i="40" a="1"/>
  <c r="AE25" i="40" a="1"/>
  <c r="P2567" i="33" l="1"/>
  <c r="L2569" i="33"/>
  <c r="M2568" i="33"/>
  <c r="AE25" i="40"/>
  <c r="U25" i="40"/>
  <c r="P25" i="40"/>
  <c r="Z25" i="40"/>
  <c r="E27" i="4"/>
  <c r="J42" i="10"/>
  <c r="D27" i="4"/>
  <c r="H42" i="10"/>
  <c r="F27" i="4"/>
  <c r="L42" i="10"/>
  <c r="U24" i="40" a="1"/>
  <c r="P24" i="40" a="1"/>
  <c r="P2568" i="33" a="1"/>
  <c r="Z24" i="40" a="1"/>
  <c r="P2568" i="33" l="1"/>
  <c r="L2570" i="33"/>
  <c r="M2569" i="33"/>
  <c r="Z24" i="40"/>
  <c r="U24" i="40"/>
  <c r="P24" i="40"/>
  <c r="I204" i="4"/>
  <c r="I203" i="4"/>
  <c r="I202" i="4"/>
  <c r="I201" i="4"/>
  <c r="I200" i="4"/>
  <c r="I199" i="4"/>
  <c r="I198" i="4"/>
  <c r="I197" i="4"/>
  <c r="I196" i="4"/>
  <c r="I195" i="4"/>
  <c r="I194" i="4"/>
  <c r="I193" i="4"/>
  <c r="P2569" i="33" a="1"/>
  <c r="P2569" i="33" l="1"/>
  <c r="L2571" i="33"/>
  <c r="L2572" i="33" s="1"/>
  <c r="M2570" i="33"/>
  <c r="G10" i="26"/>
  <c r="F184" i="26"/>
  <c r="F10" i="26" s="1"/>
  <c r="E184" i="26"/>
  <c r="E10" i="26" s="1"/>
  <c r="D184" i="26"/>
  <c r="D10" i="26" s="1"/>
  <c r="P2570" i="33" a="1"/>
  <c r="P2570" i="33" l="1"/>
  <c r="M2571" i="33"/>
  <c r="H853" i="1"/>
  <c r="I853" i="1" s="1"/>
  <c r="H97" i="10"/>
  <c r="J97" i="10"/>
  <c r="L97" i="10"/>
  <c r="N97" i="10"/>
  <c r="P2571" i="33" a="1"/>
  <c r="P2571" i="33" l="1"/>
  <c r="G179" i="26" l="1"/>
  <c r="F179" i="26"/>
  <c r="E179" i="26"/>
  <c r="D179" i="26"/>
  <c r="F34" i="19"/>
  <c r="H20" i="10" s="1"/>
  <c r="P6" i="40" a="1"/>
  <c r="M2572" i="33" l="1"/>
  <c r="L2573" i="33"/>
  <c r="P6" i="40"/>
  <c r="J20" i="10"/>
  <c r="N153" i="10"/>
  <c r="L153" i="10"/>
  <c r="J153" i="10"/>
  <c r="H153" i="10"/>
  <c r="F48" i="19"/>
  <c r="P2572" i="33" a="1"/>
  <c r="U115" i="40" a="1"/>
  <c r="U6" i="40" a="1"/>
  <c r="AE115" i="40" a="1"/>
  <c r="Z115" i="40" a="1"/>
  <c r="P2572" i="33" l="1"/>
  <c r="M2573" i="33"/>
  <c r="L2574" i="33"/>
  <c r="F47" i="19"/>
  <c r="H25" i="10" s="1"/>
  <c r="U115" i="40"/>
  <c r="U6" i="40"/>
  <c r="Z115" i="40"/>
  <c r="AE115" i="40"/>
  <c r="L20" i="10"/>
  <c r="P11" i="40" a="1"/>
  <c r="Z6" i="40" a="1"/>
  <c r="P2573" i="33" a="1"/>
  <c r="P2573" i="33" l="1"/>
  <c r="L2575" i="33"/>
  <c r="M2574" i="33"/>
  <c r="P11" i="40"/>
  <c r="Z6" i="40"/>
  <c r="N20" i="10"/>
  <c r="AE6" i="40" a="1"/>
  <c r="P2574" i="33" a="1"/>
  <c r="P2574" i="33" l="1"/>
  <c r="L2576" i="33"/>
  <c r="M2575" i="33"/>
  <c r="AE6" i="40"/>
  <c r="P2575" i="33" a="1"/>
  <c r="P2575" i="33" l="1"/>
  <c r="M2576" i="33"/>
  <c r="L2577" i="33"/>
  <c r="G97" i="26"/>
  <c r="F97" i="26"/>
  <c r="E97" i="26"/>
  <c r="D97" i="26"/>
  <c r="G96" i="26"/>
  <c r="F96" i="26"/>
  <c r="E96" i="26"/>
  <c r="D96" i="26"/>
  <c r="G95" i="26"/>
  <c r="F95" i="26"/>
  <c r="E95" i="26"/>
  <c r="D95" i="26"/>
  <c r="G94" i="26"/>
  <c r="F94" i="26"/>
  <c r="E94" i="26"/>
  <c r="D94" i="26"/>
  <c r="P2576" i="33" a="1"/>
  <c r="P2576" i="33" l="1"/>
  <c r="M2577" i="33"/>
  <c r="L2578" i="33"/>
  <c r="F98" i="26"/>
  <c r="F105" i="26" s="1"/>
  <c r="L94" i="10" s="1"/>
  <c r="D98" i="26"/>
  <c r="D105" i="26" s="1"/>
  <c r="H94" i="10" s="1"/>
  <c r="E98" i="26"/>
  <c r="E105" i="26" s="1"/>
  <c r="J94" i="10" s="1"/>
  <c r="G98" i="26"/>
  <c r="G105" i="26" s="1"/>
  <c r="N94" i="10" s="1"/>
  <c r="P2577" i="33" a="1"/>
  <c r="P2577" i="33" l="1"/>
  <c r="M2578" i="33"/>
  <c r="L2579" i="33"/>
  <c r="N154" i="10"/>
  <c r="L154" i="10"/>
  <c r="J154" i="10"/>
  <c r="H154" i="10"/>
  <c r="F53" i="19"/>
  <c r="AE116" i="40" a="1"/>
  <c r="U116" i="40" a="1"/>
  <c r="Z116" i="40" a="1"/>
  <c r="P2578" i="33" a="1"/>
  <c r="P2578" i="33" l="1"/>
  <c r="L2580" i="33"/>
  <c r="M2579" i="33"/>
  <c r="AE116" i="40"/>
  <c r="Z116" i="40"/>
  <c r="U116" i="40"/>
  <c r="H28" i="10"/>
  <c r="P14" i="40" a="1"/>
  <c r="P2579" i="33" a="1"/>
  <c r="P2579" i="33" l="1"/>
  <c r="M2580" i="33"/>
  <c r="L2581" i="33"/>
  <c r="P14" i="40"/>
  <c r="J28" i="10"/>
  <c r="H204" i="4"/>
  <c r="H203" i="4"/>
  <c r="H202" i="4"/>
  <c r="H201" i="4"/>
  <c r="H200" i="4"/>
  <c r="H199" i="4"/>
  <c r="H198" i="4"/>
  <c r="H197" i="4"/>
  <c r="H196" i="4"/>
  <c r="H195" i="4"/>
  <c r="H194" i="4"/>
  <c r="H193" i="4"/>
  <c r="U14" i="40" a="1"/>
  <c r="P2580" i="33" a="1"/>
  <c r="P2580" i="33" l="1"/>
  <c r="M2581" i="33"/>
  <c r="L2582" i="33"/>
  <c r="U14" i="40"/>
  <c r="L28" i="10"/>
  <c r="K202" i="4"/>
  <c r="K199" i="4"/>
  <c r="K196" i="4"/>
  <c r="K193" i="4"/>
  <c r="G204" i="4"/>
  <c r="G203" i="4"/>
  <c r="G202" i="4"/>
  <c r="G201" i="4"/>
  <c r="G200" i="4"/>
  <c r="G199" i="4"/>
  <c r="G198" i="4"/>
  <c r="G197" i="4"/>
  <c r="G196" i="4"/>
  <c r="G195" i="4"/>
  <c r="G194" i="4"/>
  <c r="G193" i="4"/>
  <c r="J204" i="4"/>
  <c r="J203" i="4"/>
  <c r="J202" i="4"/>
  <c r="J201" i="4"/>
  <c r="J200" i="4"/>
  <c r="J199" i="4"/>
  <c r="J198" i="4"/>
  <c r="J197" i="4"/>
  <c r="J196" i="4"/>
  <c r="J195" i="4"/>
  <c r="J194" i="4"/>
  <c r="J193" i="4"/>
  <c r="F204" i="4"/>
  <c r="E204" i="4"/>
  <c r="D204" i="4"/>
  <c r="F203" i="4"/>
  <c r="E203" i="4"/>
  <c r="D203" i="4"/>
  <c r="F202" i="4"/>
  <c r="E202" i="4"/>
  <c r="D202" i="4"/>
  <c r="F201" i="4"/>
  <c r="E201" i="4"/>
  <c r="D201" i="4"/>
  <c r="F200" i="4"/>
  <c r="E200" i="4"/>
  <c r="D200" i="4"/>
  <c r="F199" i="4"/>
  <c r="E199" i="4"/>
  <c r="D199" i="4"/>
  <c r="F198" i="4"/>
  <c r="E198" i="4"/>
  <c r="D198" i="4"/>
  <c r="F197" i="4"/>
  <c r="E197" i="4"/>
  <c r="D197" i="4"/>
  <c r="F196" i="4"/>
  <c r="E196" i="4"/>
  <c r="D196" i="4"/>
  <c r="F195" i="4"/>
  <c r="E195" i="4"/>
  <c r="D195" i="4"/>
  <c r="F194" i="4"/>
  <c r="E194" i="4"/>
  <c r="D194" i="4"/>
  <c r="P2581" i="33" a="1"/>
  <c r="Z14" i="40" a="1"/>
  <c r="P2581" i="33" l="1"/>
  <c r="L2583" i="33"/>
  <c r="M2582" i="33"/>
  <c r="Z14" i="40"/>
  <c r="N28" i="10"/>
  <c r="D207" i="4"/>
  <c r="E207" i="4"/>
  <c r="E24" i="4" s="1"/>
  <c r="F207" i="4"/>
  <c r="G207" i="4"/>
  <c r="J88" i="26"/>
  <c r="AE14" i="40" a="1"/>
  <c r="P2582" i="33" a="1"/>
  <c r="P2582" i="33" l="1"/>
  <c r="L2584" i="33"/>
  <c r="L2585" i="33" s="1"/>
  <c r="M2583" i="33"/>
  <c r="AE14" i="40"/>
  <c r="P2583" i="33" a="1"/>
  <c r="P2583" i="33" l="1"/>
  <c r="M2584" i="33"/>
  <c r="J25" i="10"/>
  <c r="U11" i="40" a="1"/>
  <c r="P2584" i="33" a="1"/>
  <c r="P2584" i="33" l="1"/>
  <c r="U11" i="40"/>
  <c r="L25" i="10"/>
  <c r="D78" i="26"/>
  <c r="F63" i="19"/>
  <c r="H30" i="10" s="1"/>
  <c r="J30" i="10" s="1"/>
  <c r="E19" i="31"/>
  <c r="E21" i="31" s="1"/>
  <c r="H678" i="1"/>
  <c r="H677" i="1"/>
  <c r="H675" i="1"/>
  <c r="H674" i="1"/>
  <c r="H673" i="1"/>
  <c r="H672" i="1"/>
  <c r="H671" i="1"/>
  <c r="H670" i="1"/>
  <c r="H669" i="1"/>
  <c r="H668" i="1"/>
  <c r="H667" i="1"/>
  <c r="H666" i="1"/>
  <c r="H665" i="1"/>
  <c r="H664" i="1"/>
  <c r="H663" i="1"/>
  <c r="H662" i="1"/>
  <c r="H661" i="1"/>
  <c r="H657" i="1"/>
  <c r="H655" i="1"/>
  <c r="H654" i="1"/>
  <c r="H653" i="1"/>
  <c r="H652" i="1"/>
  <c r="H651" i="1"/>
  <c r="H650" i="1"/>
  <c r="H649" i="1"/>
  <c r="H647" i="1"/>
  <c r="H646" i="1"/>
  <c r="H645" i="1"/>
  <c r="H644" i="1"/>
  <c r="H643" i="1"/>
  <c r="H642" i="1"/>
  <c r="H641" i="1"/>
  <c r="H640" i="1"/>
  <c r="H639" i="1"/>
  <c r="H637" i="1"/>
  <c r="H636" i="1"/>
  <c r="H635" i="1"/>
  <c r="H634" i="1"/>
  <c r="H632" i="1"/>
  <c r="H631" i="1"/>
  <c r="H629" i="1"/>
  <c r="H628" i="1"/>
  <c r="H627" i="1"/>
  <c r="H626" i="1"/>
  <c r="H625" i="1"/>
  <c r="H624" i="1"/>
  <c r="H623" i="1"/>
  <c r="H622" i="1"/>
  <c r="H621" i="1"/>
  <c r="H620" i="1"/>
  <c r="H619" i="1"/>
  <c r="H618" i="1"/>
  <c r="H617" i="1"/>
  <c r="H614" i="1"/>
  <c r="H613" i="1"/>
  <c r="H612" i="1"/>
  <c r="H610" i="1"/>
  <c r="H609" i="1"/>
  <c r="H608" i="1"/>
  <c r="H607" i="1"/>
  <c r="H606" i="1"/>
  <c r="H605" i="1"/>
  <c r="H604" i="1"/>
  <c r="H603" i="1"/>
  <c r="H601" i="1"/>
  <c r="H600" i="1"/>
  <c r="H599" i="1"/>
  <c r="H598" i="1"/>
  <c r="H597" i="1"/>
  <c r="H596" i="1"/>
  <c r="H595" i="1"/>
  <c r="H594" i="1"/>
  <c r="H593" i="1"/>
  <c r="H592" i="1"/>
  <c r="H591" i="1"/>
  <c r="H590" i="1"/>
  <c r="H586" i="1"/>
  <c r="H585" i="1"/>
  <c r="H583" i="1"/>
  <c r="H582" i="1"/>
  <c r="H581" i="1"/>
  <c r="H580" i="1"/>
  <c r="H579" i="1"/>
  <c r="H578" i="1"/>
  <c r="H577" i="1"/>
  <c r="H576" i="1"/>
  <c r="H575" i="1"/>
  <c r="E576" i="1"/>
  <c r="E577" i="1"/>
  <c r="E578" i="1"/>
  <c r="E579" i="1"/>
  <c r="E580" i="1"/>
  <c r="E581" i="1"/>
  <c r="E582" i="1"/>
  <c r="E583" i="1"/>
  <c r="E585" i="1"/>
  <c r="E586" i="1"/>
  <c r="E587" i="1"/>
  <c r="E590" i="1"/>
  <c r="E591" i="1"/>
  <c r="E592" i="1"/>
  <c r="E593" i="1"/>
  <c r="E594" i="1"/>
  <c r="E595" i="1"/>
  <c r="E596" i="1"/>
  <c r="E597" i="1"/>
  <c r="E598" i="1"/>
  <c r="E599" i="1"/>
  <c r="E600" i="1"/>
  <c r="E601" i="1"/>
  <c r="E603" i="1"/>
  <c r="E604" i="1"/>
  <c r="E605" i="1"/>
  <c r="E606" i="1"/>
  <c r="E607" i="1"/>
  <c r="E608" i="1"/>
  <c r="E609" i="1"/>
  <c r="E610" i="1"/>
  <c r="E612" i="1"/>
  <c r="E613" i="1"/>
  <c r="E614" i="1"/>
  <c r="E617" i="1"/>
  <c r="E618" i="1"/>
  <c r="E619" i="1"/>
  <c r="E620" i="1"/>
  <c r="E621" i="1"/>
  <c r="E622" i="1"/>
  <c r="E623" i="1"/>
  <c r="E624" i="1"/>
  <c r="E625" i="1"/>
  <c r="E626" i="1"/>
  <c r="E627" i="1"/>
  <c r="E628" i="1"/>
  <c r="E629" i="1"/>
  <c r="E631" i="1"/>
  <c r="E632" i="1"/>
  <c r="E634" i="1"/>
  <c r="E635" i="1"/>
  <c r="E636" i="1"/>
  <c r="E637" i="1"/>
  <c r="E639" i="1"/>
  <c r="E640" i="1"/>
  <c r="E641" i="1"/>
  <c r="E642" i="1"/>
  <c r="E643" i="1"/>
  <c r="E644" i="1"/>
  <c r="E645" i="1"/>
  <c r="E646" i="1"/>
  <c r="E647" i="1"/>
  <c r="E649" i="1"/>
  <c r="E650" i="1"/>
  <c r="E651" i="1"/>
  <c r="E652" i="1"/>
  <c r="E653" i="1"/>
  <c r="E654" i="1"/>
  <c r="E655" i="1"/>
  <c r="E657" i="1"/>
  <c r="E661" i="1"/>
  <c r="E575" i="1"/>
  <c r="H549" i="1"/>
  <c r="H548" i="1"/>
  <c r="H547" i="1"/>
  <c r="H546" i="1"/>
  <c r="H545" i="1"/>
  <c r="H544" i="1"/>
  <c r="H543" i="1"/>
  <c r="H542" i="1"/>
  <c r="H541" i="1"/>
  <c r="H540" i="1"/>
  <c r="H539" i="1"/>
  <c r="H535" i="1"/>
  <c r="H533" i="1"/>
  <c r="H532" i="1"/>
  <c r="H531" i="1"/>
  <c r="H530" i="1"/>
  <c r="H529" i="1"/>
  <c r="H528" i="1"/>
  <c r="H527" i="1"/>
  <c r="H525" i="1"/>
  <c r="H524" i="1"/>
  <c r="H523" i="1"/>
  <c r="H522" i="1"/>
  <c r="H521" i="1"/>
  <c r="H520" i="1"/>
  <c r="H519" i="1"/>
  <c r="H518" i="1"/>
  <c r="H517" i="1"/>
  <c r="H514" i="1"/>
  <c r="H513" i="1"/>
  <c r="H512" i="1"/>
  <c r="H510" i="1"/>
  <c r="H509" i="1"/>
  <c r="H507" i="1"/>
  <c r="H506" i="1"/>
  <c r="H505" i="1"/>
  <c r="H504" i="1"/>
  <c r="H503" i="1"/>
  <c r="H502" i="1"/>
  <c r="H501" i="1"/>
  <c r="H500" i="1"/>
  <c r="H499" i="1"/>
  <c r="H498" i="1"/>
  <c r="H497" i="1"/>
  <c r="H496" i="1"/>
  <c r="H495" i="1"/>
  <c r="H494" i="1"/>
  <c r="H492" i="1"/>
  <c r="H491" i="1"/>
  <c r="H490" i="1"/>
  <c r="H488" i="1"/>
  <c r="H487" i="1"/>
  <c r="H486" i="1"/>
  <c r="H485" i="1"/>
  <c r="H484" i="1"/>
  <c r="H483" i="1"/>
  <c r="H482" i="1"/>
  <c r="H480" i="1"/>
  <c r="H479" i="1"/>
  <c r="H478" i="1"/>
  <c r="H477" i="1"/>
  <c r="H476" i="1"/>
  <c r="H475" i="1"/>
  <c r="H474" i="1"/>
  <c r="H473" i="1"/>
  <c r="H472" i="1"/>
  <c r="H471" i="1"/>
  <c r="H470" i="1"/>
  <c r="H469" i="1"/>
  <c r="H468" i="1"/>
  <c r="H467" i="1"/>
  <c r="H466" i="1"/>
  <c r="H464" i="1"/>
  <c r="H463" i="1"/>
  <c r="H462" i="1"/>
  <c r="H461" i="1"/>
  <c r="H460" i="1"/>
  <c r="H459" i="1"/>
  <c r="H458" i="1"/>
  <c r="H457" i="1"/>
  <c r="E441" i="1"/>
  <c r="E451" i="1"/>
  <c r="E452" i="1"/>
  <c r="E453" i="1"/>
  <c r="E456" i="1"/>
  <c r="E494" i="1"/>
  <c r="E495" i="1"/>
  <c r="E496" i="1"/>
  <c r="E497" i="1"/>
  <c r="E498" i="1"/>
  <c r="E499" i="1"/>
  <c r="E500" i="1"/>
  <c r="E501" i="1"/>
  <c r="E502" i="1"/>
  <c r="E503" i="1"/>
  <c r="E504" i="1"/>
  <c r="E505" i="1"/>
  <c r="E506" i="1"/>
  <c r="E507" i="1"/>
  <c r="E509" i="1"/>
  <c r="E510" i="1"/>
  <c r="E512" i="1"/>
  <c r="E513" i="1"/>
  <c r="E514" i="1"/>
  <c r="E517" i="1"/>
  <c r="E518" i="1"/>
  <c r="E519" i="1"/>
  <c r="E520" i="1"/>
  <c r="E521" i="1"/>
  <c r="E522" i="1"/>
  <c r="E523" i="1"/>
  <c r="E524" i="1"/>
  <c r="E525" i="1"/>
  <c r="E527" i="1"/>
  <c r="E528" i="1"/>
  <c r="E529" i="1"/>
  <c r="E530" i="1"/>
  <c r="E531" i="1"/>
  <c r="E532" i="1"/>
  <c r="E533" i="1"/>
  <c r="E535" i="1"/>
  <c r="E540" i="1"/>
  <c r="E541" i="1"/>
  <c r="E542" i="1"/>
  <c r="E543" i="1"/>
  <c r="E544" i="1"/>
  <c r="E545" i="1"/>
  <c r="E546" i="1"/>
  <c r="E547" i="1"/>
  <c r="E548" i="1"/>
  <c r="E549" i="1"/>
  <c r="M196" i="20"/>
  <c r="M197" i="20"/>
  <c r="M198" i="20"/>
  <c r="M199" i="20"/>
  <c r="M200" i="20"/>
  <c r="M201" i="20"/>
  <c r="M202" i="20"/>
  <c r="M203" i="20"/>
  <c r="M205" i="20"/>
  <c r="M206" i="20"/>
  <c r="M207" i="20"/>
  <c r="M210" i="20"/>
  <c r="M211" i="20"/>
  <c r="M212" i="20"/>
  <c r="M213" i="20"/>
  <c r="M214" i="20"/>
  <c r="M215" i="20"/>
  <c r="M216" i="20"/>
  <c r="M217" i="20"/>
  <c r="M218" i="20"/>
  <c r="M219" i="20"/>
  <c r="M220" i="20"/>
  <c r="M221" i="20"/>
  <c r="M223" i="20"/>
  <c r="M224" i="20"/>
  <c r="M225" i="20"/>
  <c r="M226" i="20"/>
  <c r="M227" i="20"/>
  <c r="M228" i="20"/>
  <c r="M229" i="20"/>
  <c r="M230" i="20"/>
  <c r="M232" i="20"/>
  <c r="M233" i="20"/>
  <c r="M234" i="20"/>
  <c r="M237" i="20"/>
  <c r="M238" i="20"/>
  <c r="M239" i="20"/>
  <c r="M240" i="20"/>
  <c r="M241" i="20"/>
  <c r="M242" i="20"/>
  <c r="M243" i="20"/>
  <c r="M244" i="20"/>
  <c r="M245" i="20"/>
  <c r="M246" i="20"/>
  <c r="M247" i="20"/>
  <c r="M248" i="20"/>
  <c r="M249" i="20"/>
  <c r="M251" i="20"/>
  <c r="M252" i="20"/>
  <c r="M254" i="20"/>
  <c r="M255" i="20"/>
  <c r="M256" i="20"/>
  <c r="M257" i="20"/>
  <c r="M259" i="20"/>
  <c r="M260" i="20"/>
  <c r="M261" i="20"/>
  <c r="M262" i="20"/>
  <c r="M263" i="20"/>
  <c r="M264" i="20"/>
  <c r="M265" i="20"/>
  <c r="M266" i="20"/>
  <c r="M267" i="20"/>
  <c r="M269" i="20"/>
  <c r="M270" i="20"/>
  <c r="M271" i="20"/>
  <c r="M272" i="20"/>
  <c r="M273" i="20"/>
  <c r="M274" i="20"/>
  <c r="M275" i="20"/>
  <c r="M277" i="20"/>
  <c r="M281" i="20"/>
  <c r="M282" i="20"/>
  <c r="M283" i="20"/>
  <c r="M284" i="20"/>
  <c r="M285" i="20"/>
  <c r="M286" i="20"/>
  <c r="M287" i="20"/>
  <c r="M288" i="20"/>
  <c r="M289" i="20"/>
  <c r="M290" i="20"/>
  <c r="M291" i="20"/>
  <c r="M292" i="20"/>
  <c r="M293" i="20"/>
  <c r="M294" i="20"/>
  <c r="M295" i="20"/>
  <c r="M297" i="20"/>
  <c r="M298" i="20"/>
  <c r="D196" i="20"/>
  <c r="D197" i="20"/>
  <c r="D198" i="20"/>
  <c r="D199" i="20"/>
  <c r="D200" i="20"/>
  <c r="D201" i="20"/>
  <c r="D202" i="20"/>
  <c r="D203" i="20"/>
  <c r="D205" i="20"/>
  <c r="D206" i="20"/>
  <c r="D207" i="20"/>
  <c r="D210" i="20"/>
  <c r="D211" i="20"/>
  <c r="D212" i="20"/>
  <c r="D213" i="20"/>
  <c r="D214" i="20"/>
  <c r="D215" i="20"/>
  <c r="D216" i="20"/>
  <c r="D217" i="20"/>
  <c r="D218" i="20"/>
  <c r="D219" i="20"/>
  <c r="D220" i="20"/>
  <c r="D223" i="20"/>
  <c r="D224" i="20"/>
  <c r="D225" i="20"/>
  <c r="D226" i="20"/>
  <c r="D227" i="20"/>
  <c r="D228" i="20"/>
  <c r="D229" i="20"/>
  <c r="D230" i="20"/>
  <c r="D232" i="20"/>
  <c r="D233" i="20"/>
  <c r="D234" i="20"/>
  <c r="D237" i="20"/>
  <c r="D238" i="20"/>
  <c r="D239" i="20"/>
  <c r="D240" i="20"/>
  <c r="D241" i="20"/>
  <c r="D242" i="20"/>
  <c r="D243" i="20"/>
  <c r="D244" i="20"/>
  <c r="D245" i="20"/>
  <c r="D246" i="20"/>
  <c r="D247" i="20"/>
  <c r="D248" i="20"/>
  <c r="D249" i="20"/>
  <c r="D251" i="20"/>
  <c r="D252" i="20"/>
  <c r="D254" i="20"/>
  <c r="D255" i="20"/>
  <c r="D256" i="20"/>
  <c r="D257" i="20"/>
  <c r="D259" i="20"/>
  <c r="D260" i="20"/>
  <c r="D261" i="20"/>
  <c r="D262" i="20"/>
  <c r="D263" i="20"/>
  <c r="D264" i="20"/>
  <c r="D265" i="20"/>
  <c r="D266" i="20"/>
  <c r="D267" i="20"/>
  <c r="D269" i="20"/>
  <c r="D270" i="20"/>
  <c r="D271" i="20"/>
  <c r="D272" i="20"/>
  <c r="D273" i="20"/>
  <c r="D274" i="20"/>
  <c r="D275" i="20"/>
  <c r="D277" i="20"/>
  <c r="D281" i="20"/>
  <c r="D282" i="20"/>
  <c r="D283" i="20"/>
  <c r="D284" i="20"/>
  <c r="D285" i="20"/>
  <c r="D286" i="20"/>
  <c r="D287" i="20"/>
  <c r="D288" i="20"/>
  <c r="D289" i="20"/>
  <c r="D290" i="20"/>
  <c r="D291" i="20"/>
  <c r="D292" i="20"/>
  <c r="D293" i="20"/>
  <c r="D294" i="20"/>
  <c r="D295" i="20"/>
  <c r="D297" i="20"/>
  <c r="D298" i="20"/>
  <c r="M195" i="20"/>
  <c r="M48" i="20"/>
  <c r="M49" i="20"/>
  <c r="M50" i="20"/>
  <c r="M51" i="20"/>
  <c r="M52" i="20"/>
  <c r="M53" i="20"/>
  <c r="M54" i="20"/>
  <c r="M55" i="20"/>
  <c r="M57" i="20"/>
  <c r="M58" i="20"/>
  <c r="M59" i="20"/>
  <c r="M62" i="20"/>
  <c r="M63" i="20"/>
  <c r="M64" i="20"/>
  <c r="M65" i="20"/>
  <c r="M66" i="20"/>
  <c r="M67" i="20"/>
  <c r="M68" i="20"/>
  <c r="M69" i="20"/>
  <c r="M70" i="20"/>
  <c r="M72" i="20"/>
  <c r="M73" i="20"/>
  <c r="M74" i="20"/>
  <c r="M75" i="20"/>
  <c r="M76" i="20"/>
  <c r="M77" i="20"/>
  <c r="M78" i="20"/>
  <c r="M79" i="20"/>
  <c r="M80" i="20"/>
  <c r="M81" i="20"/>
  <c r="M82" i="20"/>
  <c r="M83" i="20"/>
  <c r="M84" i="20"/>
  <c r="M85" i="20"/>
  <c r="M86" i="20"/>
  <c r="M88" i="20"/>
  <c r="M89" i="20"/>
  <c r="M90" i="20"/>
  <c r="M91" i="20"/>
  <c r="M92" i="20"/>
  <c r="M93" i="20"/>
  <c r="M94" i="20"/>
  <c r="M96" i="20"/>
  <c r="M97" i="20"/>
  <c r="M98" i="20"/>
  <c r="M100" i="20"/>
  <c r="M101" i="20"/>
  <c r="M102" i="20"/>
  <c r="M103" i="20"/>
  <c r="M104" i="20"/>
  <c r="M105" i="20"/>
  <c r="M106" i="20"/>
  <c r="M107" i="20"/>
  <c r="M108" i="20"/>
  <c r="M109" i="20"/>
  <c r="M110" i="20"/>
  <c r="M111" i="20"/>
  <c r="M112" i="20"/>
  <c r="M113" i="20"/>
  <c r="M115" i="20"/>
  <c r="M116" i="20"/>
  <c r="M118" i="20"/>
  <c r="M119" i="20"/>
  <c r="M120" i="20"/>
  <c r="M123" i="20"/>
  <c r="M124" i="20"/>
  <c r="M125" i="20"/>
  <c r="M126" i="20"/>
  <c r="M127" i="20"/>
  <c r="M128" i="20"/>
  <c r="M129" i="20"/>
  <c r="M130" i="20"/>
  <c r="M131" i="20"/>
  <c r="M133" i="20"/>
  <c r="M134" i="20"/>
  <c r="M135" i="20"/>
  <c r="M136" i="20"/>
  <c r="M137" i="20"/>
  <c r="M138" i="20"/>
  <c r="M139" i="20"/>
  <c r="M141" i="20"/>
  <c r="M145" i="20"/>
  <c r="M146" i="20"/>
  <c r="M147" i="20"/>
  <c r="M148" i="20"/>
  <c r="M149" i="20"/>
  <c r="M150" i="20"/>
  <c r="M151" i="20"/>
  <c r="M152" i="20"/>
  <c r="M153" i="20"/>
  <c r="M154" i="20"/>
  <c r="M155" i="20"/>
  <c r="M47" i="20"/>
  <c r="D63" i="20"/>
  <c r="D64" i="20"/>
  <c r="D65" i="20"/>
  <c r="D66" i="20"/>
  <c r="D67" i="20"/>
  <c r="D68" i="20"/>
  <c r="D69" i="20"/>
  <c r="D70" i="20"/>
  <c r="D72" i="20"/>
  <c r="D73" i="20"/>
  <c r="D74" i="20"/>
  <c r="D75" i="20"/>
  <c r="D76" i="20"/>
  <c r="D77" i="20"/>
  <c r="D78" i="20"/>
  <c r="D79" i="20"/>
  <c r="D80" i="20"/>
  <c r="D81" i="20"/>
  <c r="D82" i="20"/>
  <c r="D83" i="20"/>
  <c r="D84" i="20"/>
  <c r="D85" i="20"/>
  <c r="D86" i="20"/>
  <c r="D88" i="20"/>
  <c r="D89" i="20"/>
  <c r="D90" i="20"/>
  <c r="D91" i="20"/>
  <c r="D92" i="20"/>
  <c r="D93" i="20"/>
  <c r="D94" i="20"/>
  <c r="D96" i="20"/>
  <c r="D97" i="20"/>
  <c r="D98" i="20"/>
  <c r="D100" i="20"/>
  <c r="D101" i="20"/>
  <c r="D102" i="20"/>
  <c r="D103" i="20"/>
  <c r="D104" i="20"/>
  <c r="D105" i="20"/>
  <c r="D106" i="20"/>
  <c r="D107" i="20"/>
  <c r="D108" i="20"/>
  <c r="D109" i="20"/>
  <c r="D110" i="20"/>
  <c r="D111" i="20"/>
  <c r="D112" i="20"/>
  <c r="D113" i="20"/>
  <c r="D115" i="20"/>
  <c r="D116" i="20"/>
  <c r="D118" i="20"/>
  <c r="D119" i="20"/>
  <c r="D120" i="20"/>
  <c r="D123" i="20"/>
  <c r="D124" i="20"/>
  <c r="D125" i="20"/>
  <c r="D126" i="20"/>
  <c r="D127" i="20"/>
  <c r="D128" i="20"/>
  <c r="D129" i="20"/>
  <c r="D130" i="20"/>
  <c r="D131" i="20"/>
  <c r="D133" i="20"/>
  <c r="D134" i="20"/>
  <c r="D135" i="20"/>
  <c r="D136" i="20"/>
  <c r="D137" i="20"/>
  <c r="D138" i="20"/>
  <c r="D139" i="20"/>
  <c r="D141" i="20"/>
  <c r="D145" i="20"/>
  <c r="D146" i="20"/>
  <c r="D147" i="20"/>
  <c r="D148" i="20"/>
  <c r="D149" i="20"/>
  <c r="D150" i="20"/>
  <c r="D151" i="20"/>
  <c r="D152" i="20"/>
  <c r="D153" i="20"/>
  <c r="D154" i="20"/>
  <c r="D155" i="20"/>
  <c r="D62" i="20"/>
  <c r="D48" i="20"/>
  <c r="D49" i="20"/>
  <c r="D50" i="20"/>
  <c r="D51" i="20"/>
  <c r="D52" i="20"/>
  <c r="D53" i="20"/>
  <c r="D54" i="20"/>
  <c r="D55" i="20"/>
  <c r="D57" i="20"/>
  <c r="D58" i="20"/>
  <c r="D59" i="20"/>
  <c r="D47" i="20"/>
  <c r="P16" i="40" a="1"/>
  <c r="Z11" i="40" a="1"/>
  <c r="G682" i="1" l="1"/>
  <c r="F682" i="1"/>
  <c r="P16" i="40"/>
  <c r="Z11" i="40"/>
  <c r="N25" i="10"/>
  <c r="F560" i="1"/>
  <c r="F566" i="1"/>
  <c r="F683" i="1"/>
  <c r="F687" i="1"/>
  <c r="G683" i="1"/>
  <c r="G687" i="1"/>
  <c r="F684" i="1"/>
  <c r="F688" i="1"/>
  <c r="G684" i="1"/>
  <c r="G688" i="1"/>
  <c r="G685" i="1"/>
  <c r="F685" i="1"/>
  <c r="F686" i="1"/>
  <c r="G686" i="1"/>
  <c r="F562" i="1"/>
  <c r="F561" i="1"/>
  <c r="F564" i="1"/>
  <c r="F563" i="1"/>
  <c r="F565" i="1"/>
  <c r="G566" i="1"/>
  <c r="G561" i="1"/>
  <c r="G562" i="1"/>
  <c r="G563" i="1"/>
  <c r="G564" i="1"/>
  <c r="G565" i="1"/>
  <c r="G560" i="1"/>
  <c r="D26" i="26"/>
  <c r="D27" i="26"/>
  <c r="D57" i="26"/>
  <c r="D58" i="26"/>
  <c r="F19" i="31"/>
  <c r="F21" i="31" s="1"/>
  <c r="D19" i="31"/>
  <c r="D21" i="31" s="1"/>
  <c r="P1759" i="33" a="1"/>
  <c r="AE11" i="40" a="1"/>
  <c r="P1555" i="33" a="1"/>
  <c r="P1759" i="33" l="1"/>
  <c r="P1555" i="33"/>
  <c r="AE11" i="40"/>
  <c r="H26" i="26"/>
  <c r="H27" i="26" s="1"/>
  <c r="G26" i="26"/>
  <c r="G27" i="26" s="1"/>
  <c r="H57" i="26"/>
  <c r="H58" i="26" s="1"/>
  <c r="H59" i="26" s="1"/>
  <c r="G57" i="26"/>
  <c r="G28" i="26" l="1"/>
  <c r="G33" i="26" s="1"/>
  <c r="D32" i="26"/>
  <c r="E32" i="26"/>
  <c r="F32" i="26"/>
  <c r="G32" i="26"/>
  <c r="G31" i="26"/>
  <c r="D31" i="26"/>
  <c r="E31" i="26"/>
  <c r="F31" i="26"/>
  <c r="H28" i="26"/>
  <c r="D71" i="26"/>
  <c r="F71" i="26"/>
  <c r="G71" i="26"/>
  <c r="E71" i="26"/>
  <c r="G58" i="26"/>
  <c r="D63" i="26"/>
  <c r="E63" i="26"/>
  <c r="F63" i="26"/>
  <c r="G63" i="26"/>
  <c r="E70" i="26"/>
  <c r="D70" i="26"/>
  <c r="G70" i="26"/>
  <c r="F70" i="26"/>
  <c r="D69" i="26"/>
  <c r="E69" i="26"/>
  <c r="F69" i="26"/>
  <c r="G69" i="26"/>
  <c r="D33" i="26" l="1"/>
  <c r="E33" i="26"/>
  <c r="F33" i="26"/>
  <c r="G64" i="26"/>
  <c r="F64" i="26"/>
  <c r="D64" i="26"/>
  <c r="E64" i="26"/>
  <c r="G59" i="26"/>
  <c r="G65" i="26" l="1"/>
  <c r="G72" i="26" s="1"/>
  <c r="G103" i="26" s="1"/>
  <c r="E65" i="26"/>
  <c r="E72" i="26" s="1"/>
  <c r="E103" i="26" s="1"/>
  <c r="D65" i="26"/>
  <c r="D72" i="26" s="1"/>
  <c r="D103" i="26" s="1"/>
  <c r="F65" i="26"/>
  <c r="F72" i="26" s="1"/>
  <c r="F103" i="26" s="1"/>
  <c r="D81" i="26"/>
  <c r="E81" i="26" s="1"/>
  <c r="D83" i="26"/>
  <c r="D84" i="26"/>
  <c r="E84" i="26" s="1"/>
  <c r="D82" i="26"/>
  <c r="E82" i="26" s="1"/>
  <c r="D85" i="26"/>
  <c r="E85" i="26" s="1"/>
  <c r="E78" i="26"/>
  <c r="D79" i="26"/>
  <c r="D80" i="26"/>
  <c r="F82" i="26" l="1"/>
  <c r="H82" i="26" s="1"/>
  <c r="F85" i="26"/>
  <c r="G85" i="26" s="1"/>
  <c r="F81" i="26"/>
  <c r="G81" i="26" s="1"/>
  <c r="F78" i="26"/>
  <c r="I78" i="26" s="1"/>
  <c r="F84" i="26"/>
  <c r="G84" i="26" s="1"/>
  <c r="E79" i="26"/>
  <c r="E80" i="26"/>
  <c r="E83" i="26"/>
  <c r="I88" i="26"/>
  <c r="H88" i="26"/>
  <c r="G88" i="26"/>
  <c r="D119" i="26" l="1"/>
  <c r="E119" i="26"/>
  <c r="F119" i="26"/>
  <c r="G119" i="26"/>
  <c r="J82" i="26"/>
  <c r="I82" i="26"/>
  <c r="G82" i="26"/>
  <c r="H85" i="26"/>
  <c r="J81" i="26"/>
  <c r="I81" i="26"/>
  <c r="H81" i="26"/>
  <c r="J84" i="26"/>
  <c r="J85" i="26"/>
  <c r="I85" i="26"/>
  <c r="F83" i="26"/>
  <c r="H83" i="26" s="1"/>
  <c r="F79" i="26"/>
  <c r="I79" i="26" s="1"/>
  <c r="H78" i="26"/>
  <c r="I84" i="26"/>
  <c r="J78" i="26"/>
  <c r="H84" i="26"/>
  <c r="F80" i="26"/>
  <c r="I80" i="26" s="1"/>
  <c r="G78" i="26"/>
  <c r="S49" i="5"/>
  <c r="R49" i="5"/>
  <c r="Q49" i="5"/>
  <c r="H79" i="26" l="1"/>
  <c r="G79" i="26"/>
  <c r="J83" i="26"/>
  <c r="I83" i="26"/>
  <c r="I87" i="26" s="1"/>
  <c r="G83" i="26"/>
  <c r="H80" i="26"/>
  <c r="J79" i="26"/>
  <c r="G80" i="26"/>
  <c r="J80" i="26"/>
  <c r="H87" i="26" l="1"/>
  <c r="H89" i="26" s="1"/>
  <c r="E104" i="26" s="1"/>
  <c r="J93" i="10" s="1"/>
  <c r="G87" i="26"/>
  <c r="G89" i="26" s="1"/>
  <c r="D104" i="26" s="1"/>
  <c r="J87" i="26"/>
  <c r="J89" i="26" s="1"/>
  <c r="G104" i="26" s="1"/>
  <c r="I89" i="26"/>
  <c r="F104" i="26" s="1"/>
  <c r="E45" i="26"/>
  <c r="J89" i="10" s="1"/>
  <c r="F45" i="26"/>
  <c r="L89" i="10" s="1"/>
  <c r="G45" i="26"/>
  <c r="N89" i="10" s="1"/>
  <c r="D45" i="26"/>
  <c r="H89" i="10" s="1"/>
  <c r="Z64" i="40" a="1"/>
  <c r="AE64" i="40" a="1"/>
  <c r="U64" i="40" a="1"/>
  <c r="P64" i="40" a="1"/>
  <c r="AE64" i="40" l="1"/>
  <c r="P64" i="40"/>
  <c r="U64" i="40"/>
  <c r="Z64" i="40"/>
  <c r="N88" i="10"/>
  <c r="H88" i="10"/>
  <c r="J88" i="10"/>
  <c r="L88" i="10"/>
  <c r="N93" i="10"/>
  <c r="G106" i="26"/>
  <c r="H93" i="10"/>
  <c r="D106" i="26"/>
  <c r="L93" i="10"/>
  <c r="F106" i="26"/>
  <c r="E106" i="26"/>
  <c r="G38" i="26"/>
  <c r="G39" i="26"/>
  <c r="D37" i="26"/>
  <c r="E38" i="26"/>
  <c r="D38" i="26"/>
  <c r="F38" i="26"/>
  <c r="D39" i="26"/>
  <c r="G37" i="26"/>
  <c r="F39" i="26"/>
  <c r="F37" i="26"/>
  <c r="E39" i="26"/>
  <c r="E37" i="26"/>
  <c r="D40" i="26" l="1"/>
  <c r="E40" i="26"/>
  <c r="G40" i="26"/>
  <c r="F40" i="26"/>
  <c r="E19" i="7"/>
  <c r="L87" i="10" l="1"/>
  <c r="F42" i="26"/>
  <c r="F5" i="26" s="1"/>
  <c r="N87" i="10"/>
  <c r="G42" i="26"/>
  <c r="G5" i="26" s="1"/>
  <c r="J87" i="10"/>
  <c r="E42" i="26"/>
  <c r="E5" i="26" s="1"/>
  <c r="H87" i="10"/>
  <c r="D42" i="26"/>
  <c r="D5" i="26" s="1"/>
  <c r="M2585" i="33" l="1"/>
  <c r="L2586" i="33"/>
  <c r="P2585" i="33" a="1"/>
  <c r="P2585" i="33" l="1"/>
  <c r="M2586" i="33"/>
  <c r="L2587" i="33"/>
  <c r="Q188" i="20"/>
  <c r="N188" i="20"/>
  <c r="N189" i="20"/>
  <c r="P188" i="20"/>
  <c r="O188" i="20"/>
  <c r="O186" i="20"/>
  <c r="Q184" i="20"/>
  <c r="P183" i="20"/>
  <c r="Q186" i="20"/>
  <c r="Q183" i="20"/>
  <c r="Q189" i="20"/>
  <c r="O183" i="20"/>
  <c r="N183" i="20"/>
  <c r="P187" i="20"/>
  <c r="P186" i="20"/>
  <c r="O184" i="20"/>
  <c r="N191" i="20"/>
  <c r="N185" i="20"/>
  <c r="O187" i="20"/>
  <c r="P185" i="20"/>
  <c r="P191" i="20"/>
  <c r="O189" i="20"/>
  <c r="N184" i="20"/>
  <c r="O191" i="20"/>
  <c r="O185" i="20"/>
  <c r="P189" i="20"/>
  <c r="N187" i="20"/>
  <c r="Q187" i="20"/>
  <c r="Q185" i="20"/>
  <c r="Q191" i="20"/>
  <c r="P184" i="20"/>
  <c r="N35" i="20"/>
  <c r="E23" i="20" s="1"/>
  <c r="O36" i="20"/>
  <c r="O40" i="20"/>
  <c r="Q36" i="20"/>
  <c r="O39" i="20"/>
  <c r="F27" i="20" s="1"/>
  <c r="J70" i="10" s="1"/>
  <c r="P41" i="20"/>
  <c r="P40" i="20"/>
  <c r="N37" i="20"/>
  <c r="O41" i="20"/>
  <c r="Q35" i="20"/>
  <c r="O37" i="20"/>
  <c r="Q40" i="20"/>
  <c r="N39" i="20"/>
  <c r="E27" i="20" s="1"/>
  <c r="H70" i="10" s="1"/>
  <c r="N36" i="20"/>
  <c r="N41" i="20"/>
  <c r="N40" i="20"/>
  <c r="P35" i="20"/>
  <c r="Q37" i="20"/>
  <c r="O35" i="20"/>
  <c r="Q41" i="20"/>
  <c r="P37" i="20"/>
  <c r="Q39" i="20"/>
  <c r="H27" i="20" s="1"/>
  <c r="N70" i="10" s="1"/>
  <c r="P36" i="20"/>
  <c r="P39" i="20"/>
  <c r="G27" i="20" s="1"/>
  <c r="L70" i="10" s="1"/>
  <c r="Q38" i="20"/>
  <c r="H26" i="20" s="1"/>
  <c r="N69" i="10" s="1"/>
  <c r="Q43" i="20"/>
  <c r="P38" i="20"/>
  <c r="G26" i="20" s="1"/>
  <c r="L69" i="10" s="1"/>
  <c r="O38" i="20"/>
  <c r="F26" i="20" s="1"/>
  <c r="J69" i="10" s="1"/>
  <c r="O43" i="20"/>
  <c r="N43" i="20"/>
  <c r="E26" i="20"/>
  <c r="U44" i="40" a="1"/>
  <c r="Z44" i="40" a="1"/>
  <c r="U45" i="40" a="1"/>
  <c r="P2586" i="33" a="1"/>
  <c r="P45" i="40" a="1"/>
  <c r="AE44" i="40" a="1"/>
  <c r="Z45" i="40" a="1"/>
  <c r="AE45" i="40" a="1"/>
  <c r="P2586" i="33" l="1"/>
  <c r="M2587" i="33"/>
  <c r="L2588" i="33"/>
  <c r="AE45" i="40"/>
  <c r="P45" i="40"/>
  <c r="U45" i="40"/>
  <c r="U44" i="40"/>
  <c r="Z44" i="40"/>
  <c r="AE44" i="40"/>
  <c r="Z45" i="40"/>
  <c r="H69" i="10"/>
  <c r="D221" i="4"/>
  <c r="E221" i="4"/>
  <c r="F221" i="4"/>
  <c r="G221" i="4"/>
  <c r="D219" i="4"/>
  <c r="P2587" i="33" a="1"/>
  <c r="P44" i="40" a="1"/>
  <c r="P2587" i="33" l="1"/>
  <c r="M2588" i="33"/>
  <c r="L2589" i="33"/>
  <c r="P44" i="40"/>
  <c r="H49" i="10"/>
  <c r="L41" i="10"/>
  <c r="F26" i="4"/>
  <c r="J41" i="10"/>
  <c r="E26" i="4"/>
  <c r="H41" i="10"/>
  <c r="D26" i="4"/>
  <c r="N41" i="10"/>
  <c r="G26" i="4"/>
  <c r="G216" i="4"/>
  <c r="G215" i="4"/>
  <c r="G214" i="4"/>
  <c r="G213" i="4"/>
  <c r="F213" i="4"/>
  <c r="F216" i="4"/>
  <c r="F215" i="4"/>
  <c r="F214" i="4"/>
  <c r="E216" i="4"/>
  <c r="E215" i="4"/>
  <c r="E214" i="4"/>
  <c r="E213" i="4"/>
  <c r="D216" i="4"/>
  <c r="D215" i="4"/>
  <c r="D214" i="4"/>
  <c r="D213" i="4"/>
  <c r="AE23" i="40" a="1"/>
  <c r="Z23" i="40" a="1"/>
  <c r="U23" i="40" a="1"/>
  <c r="P23" i="40" a="1"/>
  <c r="P2588" i="33" a="1"/>
  <c r="P2588" i="33" l="1"/>
  <c r="M2589" i="33"/>
  <c r="L2590" i="33"/>
  <c r="Z23" i="40"/>
  <c r="AE23" i="40"/>
  <c r="U23" i="40"/>
  <c r="P23" i="40"/>
  <c r="F217" i="4"/>
  <c r="D217" i="4"/>
  <c r="G217" i="4"/>
  <c r="E217" i="4"/>
  <c r="P2589" i="33" a="1"/>
  <c r="P2589" i="33" l="1"/>
  <c r="M2590" i="33"/>
  <c r="L2591" i="33"/>
  <c r="D25" i="4"/>
  <c r="H40" i="10"/>
  <c r="E25" i="4"/>
  <c r="J40" i="10"/>
  <c r="G25" i="4"/>
  <c r="N40" i="10"/>
  <c r="F25" i="4"/>
  <c r="L40" i="10"/>
  <c r="Z22" i="40" a="1"/>
  <c r="AE22" i="40" a="1"/>
  <c r="P2590" i="33" a="1"/>
  <c r="P22" i="40" a="1"/>
  <c r="U22" i="40" a="1"/>
  <c r="P2590" i="33" l="1"/>
  <c r="M2591" i="33"/>
  <c r="L2592" i="33"/>
  <c r="U22" i="40"/>
  <c r="AE22" i="40"/>
  <c r="P22" i="40"/>
  <c r="Z22" i="40"/>
  <c r="B81" i="5" a="1"/>
  <c r="A167" i="3"/>
  <c r="P2591" i="33" a="1"/>
  <c r="P2591" i="33" l="1"/>
  <c r="M2592" i="33"/>
  <c r="L2593" i="33"/>
  <c r="B81" i="5"/>
  <c r="F81" i="5"/>
  <c r="D84" i="5"/>
  <c r="G82" i="5"/>
  <c r="F84" i="5"/>
  <c r="C81" i="5"/>
  <c r="F86" i="5"/>
  <c r="D90" i="5"/>
  <c r="B83" i="5"/>
  <c r="E81" i="5"/>
  <c r="E87" i="5"/>
  <c r="B84" i="5"/>
  <c r="F88" i="5"/>
  <c r="F87" i="5"/>
  <c r="B90" i="5"/>
  <c r="C89" i="5"/>
  <c r="E88" i="5"/>
  <c r="G87" i="5"/>
  <c r="E84" i="5"/>
  <c r="F83" i="5"/>
  <c r="G85" i="5"/>
  <c r="D89" i="5"/>
  <c r="G88" i="5"/>
  <c r="G81" i="5"/>
  <c r="B89" i="5"/>
  <c r="B86" i="5"/>
  <c r="F90" i="5"/>
  <c r="G89" i="5"/>
  <c r="C87" i="5"/>
  <c r="D81" i="5"/>
  <c r="C83" i="5"/>
  <c r="D88" i="5"/>
  <c r="G83" i="5"/>
  <c r="E82" i="5"/>
  <c r="C82" i="5"/>
  <c r="G90" i="5"/>
  <c r="G84" i="5"/>
  <c r="F89" i="5"/>
  <c r="F82" i="5"/>
  <c r="E89" i="5"/>
  <c r="D83" i="5"/>
  <c r="C88" i="5"/>
  <c r="B88" i="5"/>
  <c r="B85" i="5"/>
  <c r="G86" i="5"/>
  <c r="C85" i="5"/>
  <c r="E85" i="5"/>
  <c r="D82" i="5"/>
  <c r="E83" i="5"/>
  <c r="D86" i="5"/>
  <c r="D85" i="5"/>
  <c r="B87" i="5"/>
  <c r="C84" i="5"/>
  <c r="C86" i="5"/>
  <c r="C90" i="5"/>
  <c r="E86" i="5"/>
  <c r="D87" i="5"/>
  <c r="E90" i="5"/>
  <c r="F85" i="5"/>
  <c r="B82" i="5"/>
  <c r="J104" i="4"/>
  <c r="I104" i="4"/>
  <c r="H104" i="4"/>
  <c r="G104" i="4"/>
  <c r="F104" i="4"/>
  <c r="E104" i="4"/>
  <c r="D104" i="4"/>
  <c r="J103" i="4"/>
  <c r="I103" i="4"/>
  <c r="H103" i="4"/>
  <c r="G103" i="4"/>
  <c r="F103" i="4"/>
  <c r="E103" i="4"/>
  <c r="D103" i="4"/>
  <c r="J102" i="4"/>
  <c r="I102" i="4"/>
  <c r="H102" i="4"/>
  <c r="G102" i="4"/>
  <c r="F102" i="4"/>
  <c r="E102" i="4"/>
  <c r="D102" i="4"/>
  <c r="J101" i="4"/>
  <c r="I101" i="4"/>
  <c r="H101" i="4"/>
  <c r="G101" i="4"/>
  <c r="F101" i="4"/>
  <c r="E101" i="4"/>
  <c r="D101" i="4"/>
  <c r="J100" i="4"/>
  <c r="I100" i="4"/>
  <c r="H100" i="4"/>
  <c r="G100" i="4"/>
  <c r="F100" i="4"/>
  <c r="E100" i="4"/>
  <c r="D100" i="4"/>
  <c r="P2592" i="33" a="1"/>
  <c r="P2592" i="33" l="1"/>
  <c r="M2593" i="33"/>
  <c r="L2594" i="33"/>
  <c r="D182" i="4"/>
  <c r="G182" i="4"/>
  <c r="F182" i="4"/>
  <c r="E182" i="4"/>
  <c r="D105" i="4"/>
  <c r="P2593" i="33" a="1"/>
  <c r="P2593" i="33" l="1"/>
  <c r="M2594" i="33"/>
  <c r="L2595" i="33"/>
  <c r="P2594" i="33" a="1"/>
  <c r="P2594" i="33" l="1"/>
  <c r="M2595" i="33"/>
  <c r="L2596" i="33"/>
  <c r="B183" i="4"/>
  <c r="Q395" i="1" s="1"/>
  <c r="G181" i="4"/>
  <c r="F181" i="4"/>
  <c r="E181" i="4"/>
  <c r="D181" i="4"/>
  <c r="D176" i="4"/>
  <c r="F176" i="4"/>
  <c r="E176" i="4"/>
  <c r="G176" i="4"/>
  <c r="G175" i="4"/>
  <c r="F175" i="4"/>
  <c r="E175" i="4"/>
  <c r="D175" i="4"/>
  <c r="D180" i="4"/>
  <c r="F180" i="4"/>
  <c r="E180" i="4"/>
  <c r="G180" i="4"/>
  <c r="G177" i="4"/>
  <c r="F177" i="4"/>
  <c r="E177" i="4"/>
  <c r="D177" i="4"/>
  <c r="F178" i="4"/>
  <c r="E178" i="4"/>
  <c r="D178" i="4"/>
  <c r="G178" i="4"/>
  <c r="G179" i="4"/>
  <c r="F179" i="4"/>
  <c r="E179" i="4"/>
  <c r="D179" i="4"/>
  <c r="P2595" i="33" a="1"/>
  <c r="P2595" i="33" l="1"/>
  <c r="M2596" i="33"/>
  <c r="L2597" i="33"/>
  <c r="D183" i="4"/>
  <c r="D23" i="4" s="1"/>
  <c r="E183" i="4"/>
  <c r="E23" i="4" s="1"/>
  <c r="F183" i="4"/>
  <c r="F23" i="4" s="1"/>
  <c r="G183" i="4"/>
  <c r="G23" i="4" s="1"/>
  <c r="P2596" i="33" a="1"/>
  <c r="P2596" i="33" l="1"/>
  <c r="M2597" i="33"/>
  <c r="L2598" i="33"/>
  <c r="N38" i="10"/>
  <c r="L38" i="10"/>
  <c r="J38" i="10"/>
  <c r="H38" i="10"/>
  <c r="P2597" i="33" a="1"/>
  <c r="AE20" i="40" a="1"/>
  <c r="P20" i="40" a="1"/>
  <c r="U20" i="40" a="1"/>
  <c r="Z20" i="40" a="1"/>
  <c r="P2597" i="33" l="1"/>
  <c r="M2598" i="33"/>
  <c r="L2599" i="33"/>
  <c r="U20" i="40"/>
  <c r="Z20" i="40"/>
  <c r="AE20" i="40"/>
  <c r="P20" i="40"/>
  <c r="H28" i="20"/>
  <c r="G28" i="20"/>
  <c r="E28" i="20"/>
  <c r="N28" i="20" s="1"/>
  <c r="F28" i="20"/>
  <c r="H27" i="10"/>
  <c r="F44" i="19"/>
  <c r="H23" i="10"/>
  <c r="K5" i="3"/>
  <c r="K4" i="3"/>
  <c r="K3" i="3"/>
  <c r="K2" i="3"/>
  <c r="BA69" i="4"/>
  <c r="AQ69" i="4"/>
  <c r="AG69" i="4"/>
  <c r="W69" i="4"/>
  <c r="P13" i="40" a="1"/>
  <c r="P9" i="40" a="1"/>
  <c r="P2598" i="33" a="1"/>
  <c r="H643" i="3" l="1"/>
  <c r="F643" i="3" s="1"/>
  <c r="H605" i="3"/>
  <c r="H632" i="3"/>
  <c r="F632" i="3" s="1"/>
  <c r="H554" i="3"/>
  <c r="F554" i="3" s="1"/>
  <c r="H653" i="3"/>
  <c r="F653" i="3" s="1"/>
  <c r="H627" i="3"/>
  <c r="F627" i="3" s="1"/>
  <c r="H565" i="3"/>
  <c r="F565" i="3" s="1"/>
  <c r="H626" i="3"/>
  <c r="F626" i="3" s="1"/>
  <c r="H568" i="3"/>
  <c r="F568" i="3" s="1"/>
  <c r="H647" i="3"/>
  <c r="F647" i="3" s="1"/>
  <c r="H586" i="3"/>
  <c r="F586" i="3" s="1"/>
  <c r="H621" i="3"/>
  <c r="F621" i="3" s="1"/>
  <c r="H651" i="3"/>
  <c r="F651" i="3" s="1"/>
  <c r="H597" i="3"/>
  <c r="F597" i="3" s="1"/>
  <c r="H648" i="3"/>
  <c r="F648" i="3" s="1"/>
  <c r="H603" i="3"/>
  <c r="H658" i="3"/>
  <c r="H575" i="3"/>
  <c r="F575" i="3" s="1"/>
  <c r="H615" i="3"/>
  <c r="F615" i="3" s="1"/>
  <c r="H555" i="3"/>
  <c r="F555" i="3" s="1"/>
  <c r="H556" i="3"/>
  <c r="F556" i="3" s="1"/>
  <c r="H644" i="3"/>
  <c r="F644" i="3" s="1"/>
  <c r="H574" i="3"/>
  <c r="F574" i="3" s="1"/>
  <c r="H617" i="3"/>
  <c r="F617" i="3" s="1"/>
  <c r="H577" i="3"/>
  <c r="F577" i="3" s="1"/>
  <c r="H638" i="3"/>
  <c r="F638" i="3" s="1"/>
  <c r="H587" i="3"/>
  <c r="F587" i="3" s="1"/>
  <c r="H588" i="3"/>
  <c r="F588" i="3" s="1"/>
  <c r="H612" i="3"/>
  <c r="F612" i="3" s="1"/>
  <c r="H606" i="3"/>
  <c r="H601" i="3"/>
  <c r="F601" i="3" s="1"/>
  <c r="H594" i="3"/>
  <c r="F594" i="3" s="1"/>
  <c r="H649" i="3"/>
  <c r="F649" i="3" s="1"/>
  <c r="H584" i="3"/>
  <c r="F584" i="3" s="1"/>
  <c r="H661" i="3"/>
  <c r="H635" i="3"/>
  <c r="F635" i="3" s="1"/>
  <c r="H557" i="3"/>
  <c r="F557" i="3" s="1"/>
  <c r="H634" i="3"/>
  <c r="F634" i="3" s="1"/>
  <c r="H560" i="3"/>
  <c r="F560" i="3" s="1"/>
  <c r="H655" i="3"/>
  <c r="F655" i="3" s="1"/>
  <c r="H578" i="3"/>
  <c r="F578" i="3" s="1"/>
  <c r="H629" i="3"/>
  <c r="F629" i="3" s="1"/>
  <c r="H659" i="3"/>
  <c r="H589" i="3"/>
  <c r="F589" i="3" s="1"/>
  <c r="H657" i="3"/>
  <c r="H591" i="3"/>
  <c r="F591" i="3" s="1"/>
  <c r="H580" i="3"/>
  <c r="F580" i="3" s="1"/>
  <c r="H598" i="3"/>
  <c r="F598" i="3" s="1"/>
  <c r="H622" i="3"/>
  <c r="F622" i="3" s="1"/>
  <c r="H596" i="3"/>
  <c r="F596" i="3" s="1"/>
  <c r="H640" i="3"/>
  <c r="F640" i="3" s="1"/>
  <c r="H567" i="3"/>
  <c r="F567" i="3" s="1"/>
  <c r="H599" i="3"/>
  <c r="F599" i="3" s="1"/>
  <c r="H652" i="3"/>
  <c r="F652" i="3" s="1"/>
  <c r="H566" i="3"/>
  <c r="F566" i="3" s="1"/>
  <c r="H625" i="3"/>
  <c r="F625" i="3" s="1"/>
  <c r="H569" i="3"/>
  <c r="F569" i="3" s="1"/>
  <c r="H646" i="3"/>
  <c r="F646" i="3" s="1"/>
  <c r="H579" i="3"/>
  <c r="F579" i="3" s="1"/>
  <c r="H620" i="3"/>
  <c r="F620" i="3" s="1"/>
  <c r="H623" i="3"/>
  <c r="F623" i="3" s="1"/>
  <c r="H576" i="3"/>
  <c r="F576" i="3" s="1"/>
  <c r="H559" i="3"/>
  <c r="F559" i="3" s="1"/>
  <c r="H642" i="3"/>
  <c r="F642" i="3" s="1"/>
  <c r="H552" i="3"/>
  <c r="F552" i="3" s="1"/>
  <c r="H616" i="3"/>
  <c r="F616" i="3" s="1"/>
  <c r="H570" i="3"/>
  <c r="F570" i="3" s="1"/>
  <c r="H637" i="3"/>
  <c r="F637" i="3" s="1"/>
  <c r="H611" i="3"/>
  <c r="F611" i="3" s="1"/>
  <c r="H581" i="3"/>
  <c r="F581" i="3" s="1"/>
  <c r="H610" i="3"/>
  <c r="F610" i="3" s="1"/>
  <c r="H600" i="3"/>
  <c r="F600" i="3" s="1"/>
  <c r="H631" i="3"/>
  <c r="F631" i="3" s="1"/>
  <c r="H602" i="3"/>
  <c r="H593" i="3"/>
  <c r="F593" i="3" s="1"/>
  <c r="H614" i="3"/>
  <c r="F614" i="3" s="1"/>
  <c r="H660" i="3"/>
  <c r="H558" i="3"/>
  <c r="F558" i="3" s="1"/>
  <c r="H633" i="3"/>
  <c r="F633" i="3" s="1"/>
  <c r="H561" i="3"/>
  <c r="F561" i="3" s="1"/>
  <c r="H654" i="3"/>
  <c r="F654" i="3" s="1"/>
  <c r="H571" i="3"/>
  <c r="F571" i="3" s="1"/>
  <c r="H572" i="3"/>
  <c r="F572" i="3" s="1"/>
  <c r="H628" i="3"/>
  <c r="F628" i="3" s="1"/>
  <c r="H590" i="3"/>
  <c r="F590" i="3" s="1"/>
  <c r="H656" i="3"/>
  <c r="F656" i="3" s="1"/>
  <c r="H613" i="3"/>
  <c r="F613" i="3" s="1"/>
  <c r="H609" i="3"/>
  <c r="F609" i="3" s="1"/>
  <c r="H650" i="3"/>
  <c r="F650" i="3" s="1"/>
  <c r="H583" i="3"/>
  <c r="F583" i="3" s="1"/>
  <c r="H624" i="3"/>
  <c r="F624" i="3" s="1"/>
  <c r="H562" i="3"/>
  <c r="F562" i="3" s="1"/>
  <c r="H645" i="3"/>
  <c r="F645" i="3" s="1"/>
  <c r="H619" i="3"/>
  <c r="F619" i="3" s="1"/>
  <c r="H573" i="3"/>
  <c r="F573" i="3" s="1"/>
  <c r="H618" i="3"/>
  <c r="F618" i="3" s="1"/>
  <c r="H592" i="3"/>
  <c r="F592" i="3" s="1"/>
  <c r="H639" i="3"/>
  <c r="F639" i="3" s="1"/>
  <c r="H604" i="3"/>
  <c r="H641" i="3"/>
  <c r="F641" i="3" s="1"/>
  <c r="H553" i="3"/>
  <c r="F553" i="3" s="1"/>
  <c r="H607" i="3"/>
  <c r="F607" i="3" s="1"/>
  <c r="H563" i="3"/>
  <c r="F563" i="3" s="1"/>
  <c r="H564" i="3"/>
  <c r="F564" i="3" s="1"/>
  <c r="H636" i="3"/>
  <c r="F636" i="3" s="1"/>
  <c r="H582" i="3"/>
  <c r="F582" i="3" s="1"/>
  <c r="H608" i="3"/>
  <c r="F608" i="3" s="1"/>
  <c r="H585" i="3"/>
  <c r="F585" i="3" s="1"/>
  <c r="H630" i="3"/>
  <c r="F630" i="3" s="1"/>
  <c r="H595" i="3"/>
  <c r="F595" i="3" s="1"/>
  <c r="H167" i="3"/>
  <c r="P2598" i="33"/>
  <c r="M2599" i="33"/>
  <c r="L2600" i="33"/>
  <c r="P9" i="40"/>
  <c r="P13" i="40"/>
  <c r="Z30" i="20"/>
  <c r="Z24" i="20" s="1"/>
  <c r="J23" i="10"/>
  <c r="J27" i="10"/>
  <c r="H71" i="10"/>
  <c r="N71" i="10"/>
  <c r="J71" i="10"/>
  <c r="L71" i="10"/>
  <c r="Z46" i="40" a="1"/>
  <c r="U13" i="40" a="1"/>
  <c r="P2599" i="33" a="1"/>
  <c r="U46" i="40" a="1"/>
  <c r="AE46" i="40" a="1"/>
  <c r="P46" i="40" a="1"/>
  <c r="U9" i="40" a="1"/>
  <c r="P2599" i="33" l="1"/>
  <c r="M2600" i="33"/>
  <c r="L2601" i="33"/>
  <c r="P46" i="40"/>
  <c r="U13" i="40"/>
  <c r="U9" i="40"/>
  <c r="Z46" i="40"/>
  <c r="U46" i="40"/>
  <c r="AE46" i="40"/>
  <c r="L27" i="10"/>
  <c r="L23" i="10"/>
  <c r="Z9" i="40" a="1"/>
  <c r="P2600" i="33" a="1"/>
  <c r="Z13" i="40" a="1"/>
  <c r="P2600" i="33" l="1"/>
  <c r="M2601" i="33"/>
  <c r="L2602" i="33"/>
  <c r="Z9" i="40"/>
  <c r="Z13" i="40"/>
  <c r="N23" i="10"/>
  <c r="N27" i="10"/>
  <c r="Z25" i="20"/>
  <c r="H56" i="10"/>
  <c r="D6" i="4"/>
  <c r="E6" i="4"/>
  <c r="F6" i="4"/>
  <c r="G6" i="4"/>
  <c r="P2601" i="33" a="1"/>
  <c r="AE13" i="40" a="1"/>
  <c r="AE9" i="40" a="1"/>
  <c r="P2601" i="33" l="1"/>
  <c r="M2602" i="33"/>
  <c r="L2603" i="33"/>
  <c r="L2604" i="33" s="1"/>
  <c r="AE13" i="40"/>
  <c r="AE9" i="40"/>
  <c r="F43" i="19"/>
  <c r="H24" i="10" s="1"/>
  <c r="G175" i="20"/>
  <c r="L79" i="10" s="1"/>
  <c r="H175" i="20"/>
  <c r="N79" i="10" s="1"/>
  <c r="E175" i="20"/>
  <c r="H79" i="10" s="1"/>
  <c r="F175" i="20"/>
  <c r="J79" i="10" s="1"/>
  <c r="E176" i="20"/>
  <c r="G173" i="20"/>
  <c r="E177" i="20"/>
  <c r="G172" i="20"/>
  <c r="H172" i="20"/>
  <c r="E172" i="20"/>
  <c r="H176" i="20"/>
  <c r="G177" i="20"/>
  <c r="F176" i="20"/>
  <c r="G171" i="20"/>
  <c r="G176" i="20"/>
  <c r="F173" i="20"/>
  <c r="H177" i="20"/>
  <c r="F171" i="20"/>
  <c r="H171" i="20"/>
  <c r="E173" i="20"/>
  <c r="F177" i="20"/>
  <c r="J81" i="10" s="1"/>
  <c r="H173" i="20"/>
  <c r="F172" i="20"/>
  <c r="Z14" i="20"/>
  <c r="N82" i="10" s="1"/>
  <c r="W14" i="20"/>
  <c r="H82" i="10" s="1"/>
  <c r="Y14" i="20"/>
  <c r="L82" i="10" s="1"/>
  <c r="X14" i="20"/>
  <c r="J82" i="10" s="1"/>
  <c r="E171" i="20"/>
  <c r="G46" i="26"/>
  <c r="N128" i="10" s="1"/>
  <c r="F46" i="26"/>
  <c r="L128" i="10" s="1"/>
  <c r="E46" i="26"/>
  <c r="J128" i="10" s="1"/>
  <c r="D46" i="26"/>
  <c r="H128" i="10" s="1"/>
  <c r="H107" i="10"/>
  <c r="E107" i="26"/>
  <c r="J124" i="10" s="1"/>
  <c r="G12" i="20"/>
  <c r="L108" i="10" s="1"/>
  <c r="E12" i="20"/>
  <c r="F10" i="20"/>
  <c r="J106" i="10" s="1"/>
  <c r="P9" i="20"/>
  <c r="L113" i="10" s="1"/>
  <c r="F9" i="20"/>
  <c r="J105" i="10" s="1"/>
  <c r="H13" i="20"/>
  <c r="Q28" i="20" s="1"/>
  <c r="G107" i="26"/>
  <c r="N124" i="10" s="1"/>
  <c r="H10" i="20"/>
  <c r="N106" i="10" s="1"/>
  <c r="E10" i="20"/>
  <c r="H106" i="10" s="1"/>
  <c r="H9" i="20"/>
  <c r="N105" i="10" s="1"/>
  <c r="Q10" i="20"/>
  <c r="N114" i="10" s="1"/>
  <c r="O13" i="20"/>
  <c r="J117" i="10" s="1"/>
  <c r="Q13" i="20"/>
  <c r="N117" i="10" s="1"/>
  <c r="D107" i="26"/>
  <c r="H124" i="10" s="1"/>
  <c r="Q14" i="20"/>
  <c r="N14" i="20"/>
  <c r="Q9" i="20"/>
  <c r="N113" i="10" s="1"/>
  <c r="P12" i="20"/>
  <c r="L116" i="10" s="1"/>
  <c r="O11" i="20"/>
  <c r="J115" i="10" s="1"/>
  <c r="Q96" i="27"/>
  <c r="P14" i="20"/>
  <c r="N12" i="20"/>
  <c r="H116" i="10" s="1"/>
  <c r="G13" i="20"/>
  <c r="P28" i="20" s="1"/>
  <c r="S96" i="27" s="1"/>
  <c r="O14" i="20"/>
  <c r="J118" i="10" s="1"/>
  <c r="O9" i="20"/>
  <c r="J113" i="10" s="1"/>
  <c r="G13" i="26"/>
  <c r="N122" i="10" s="1"/>
  <c r="H122" i="10"/>
  <c r="J53" i="10"/>
  <c r="L53" i="10"/>
  <c r="N53" i="10"/>
  <c r="H53" i="10"/>
  <c r="E13" i="26"/>
  <c r="J122" i="10" s="1"/>
  <c r="F13" i="26"/>
  <c r="L122" i="10" s="1"/>
  <c r="N112" i="10"/>
  <c r="F12" i="20"/>
  <c r="J108" i="10" s="1"/>
  <c r="N10" i="20"/>
  <c r="H114" i="10" s="1"/>
  <c r="G11" i="20"/>
  <c r="L107" i="10" s="1"/>
  <c r="H11" i="20"/>
  <c r="N107" i="10" s="1"/>
  <c r="H12" i="20"/>
  <c r="N108" i="10" s="1"/>
  <c r="E9" i="20"/>
  <c r="H105" i="10" s="1"/>
  <c r="O12" i="20"/>
  <c r="J116" i="10" s="1"/>
  <c r="H14" i="20"/>
  <c r="N110" i="10" s="1"/>
  <c r="G9" i="20"/>
  <c r="L105" i="10" s="1"/>
  <c r="Q11" i="20"/>
  <c r="N115" i="10" s="1"/>
  <c r="Q12" i="20"/>
  <c r="N116" i="10" s="1"/>
  <c r="N13" i="20"/>
  <c r="H117" i="10" s="1"/>
  <c r="F107" i="26"/>
  <c r="L124" i="10" s="1"/>
  <c r="L112" i="10"/>
  <c r="H112" i="10"/>
  <c r="O10" i="20"/>
  <c r="J114" i="10" s="1"/>
  <c r="G14" i="20"/>
  <c r="L110" i="10" s="1"/>
  <c r="P13" i="20"/>
  <c r="L117" i="10" s="1"/>
  <c r="F13" i="20"/>
  <c r="O28" i="20" s="1"/>
  <c r="R96" i="27" s="1"/>
  <c r="G10" i="20"/>
  <c r="L106" i="10" s="1"/>
  <c r="N11" i="20"/>
  <c r="H115" i="10" s="1"/>
  <c r="E6" i="20"/>
  <c r="J112" i="10"/>
  <c r="E14" i="20"/>
  <c r="H110" i="10" s="1"/>
  <c r="P10" i="20"/>
  <c r="L114" i="10" s="1"/>
  <c r="P11" i="20"/>
  <c r="L115" i="10" s="1"/>
  <c r="F11" i="20"/>
  <c r="J107" i="10" s="1"/>
  <c r="F14" i="20"/>
  <c r="J110" i="10" s="1"/>
  <c r="N9" i="20"/>
  <c r="H113" i="10" s="1"/>
  <c r="H57" i="10"/>
  <c r="D22" i="31"/>
  <c r="H120" i="10" s="1"/>
  <c r="E22" i="31"/>
  <c r="J120" i="10" s="1"/>
  <c r="F22" i="31"/>
  <c r="L120" i="10" s="1"/>
  <c r="G22" i="31"/>
  <c r="N120" i="10" s="1"/>
  <c r="N57" i="10"/>
  <c r="N23" i="20"/>
  <c r="Q76" i="27" s="1"/>
  <c r="J104" i="10"/>
  <c r="L104" i="10"/>
  <c r="N104" i="10"/>
  <c r="J57" i="10"/>
  <c r="L57" i="10"/>
  <c r="N56" i="10"/>
  <c r="G120" i="26"/>
  <c r="N125" i="10" s="1"/>
  <c r="L55" i="10"/>
  <c r="F162" i="26"/>
  <c r="L126" i="10" s="1"/>
  <c r="D120" i="26"/>
  <c r="H125" i="10" s="1"/>
  <c r="J56" i="10"/>
  <c r="L56" i="10"/>
  <c r="E162" i="26"/>
  <c r="J126" i="10" s="1"/>
  <c r="F120" i="26"/>
  <c r="L125" i="10" s="1"/>
  <c r="G162" i="26"/>
  <c r="N126" i="10" s="1"/>
  <c r="H55" i="10"/>
  <c r="D162" i="26"/>
  <c r="H126" i="10" s="1"/>
  <c r="E120" i="26"/>
  <c r="J125" i="10" s="1"/>
  <c r="F6" i="20"/>
  <c r="G6" i="20"/>
  <c r="H6" i="20"/>
  <c r="E88" i="7"/>
  <c r="E87" i="7"/>
  <c r="E86" i="7"/>
  <c r="E85" i="7"/>
  <c r="E84" i="7"/>
  <c r="E78" i="7"/>
  <c r="E77" i="7"/>
  <c r="E76" i="7"/>
  <c r="E75" i="7"/>
  <c r="E74" i="7"/>
  <c r="E73" i="7"/>
  <c r="E72" i="7"/>
  <c r="E71" i="7"/>
  <c r="E70" i="7"/>
  <c r="E69" i="7"/>
  <c r="E68" i="7"/>
  <c r="E67" i="7"/>
  <c r="E66" i="7"/>
  <c r="E65" i="7"/>
  <c r="E64" i="7"/>
  <c r="E63" i="7"/>
  <c r="E61" i="7"/>
  <c r="E60" i="7"/>
  <c r="E59" i="7"/>
  <c r="E58" i="7"/>
  <c r="E57" i="7"/>
  <c r="E56" i="7"/>
  <c r="E55" i="7"/>
  <c r="D88" i="7"/>
  <c r="D87" i="7"/>
  <c r="D86" i="7"/>
  <c r="D85" i="7"/>
  <c r="D84" i="7"/>
  <c r="D78" i="7"/>
  <c r="D77" i="7"/>
  <c r="D76" i="7"/>
  <c r="D75" i="7"/>
  <c r="D74" i="7"/>
  <c r="D73" i="7"/>
  <c r="D72" i="7"/>
  <c r="D71" i="7"/>
  <c r="D70" i="7"/>
  <c r="D69" i="7"/>
  <c r="D68" i="7"/>
  <c r="D67" i="7"/>
  <c r="D66" i="7"/>
  <c r="D65" i="7"/>
  <c r="D64" i="7"/>
  <c r="D63" i="7"/>
  <c r="D62" i="7"/>
  <c r="D61" i="7"/>
  <c r="D60" i="7"/>
  <c r="D59" i="7"/>
  <c r="D58" i="7"/>
  <c r="D57" i="7"/>
  <c r="D56" i="7"/>
  <c r="D55" i="7"/>
  <c r="D54" i="7"/>
  <c r="B88" i="7"/>
  <c r="B87" i="7"/>
  <c r="B86" i="7"/>
  <c r="B85" i="7"/>
  <c r="B84" i="7"/>
  <c r="B78" i="7"/>
  <c r="B77" i="7"/>
  <c r="B76" i="7"/>
  <c r="B75" i="7"/>
  <c r="B74" i="7"/>
  <c r="B73" i="7"/>
  <c r="B72" i="7"/>
  <c r="B71" i="7"/>
  <c r="B70" i="7"/>
  <c r="B69" i="7"/>
  <c r="B68" i="7"/>
  <c r="B67" i="7"/>
  <c r="B66" i="7"/>
  <c r="B65" i="7"/>
  <c r="B64" i="7"/>
  <c r="B63" i="7"/>
  <c r="B62" i="7"/>
  <c r="B61" i="7"/>
  <c r="B60" i="7"/>
  <c r="B59" i="7"/>
  <c r="B58" i="7"/>
  <c r="B57" i="7"/>
  <c r="B56" i="7"/>
  <c r="B55" i="7"/>
  <c r="AE37" i="40" a="1"/>
  <c r="P54" i="40" a="1"/>
  <c r="Z36" i="40" a="1"/>
  <c r="U102" i="40" a="1"/>
  <c r="U54" i="40" a="1"/>
  <c r="Z94" i="40" a="1"/>
  <c r="U90" i="40" a="1"/>
  <c r="U57" i="40" a="1"/>
  <c r="U82" i="40" a="1"/>
  <c r="Z37" i="40" a="1"/>
  <c r="Z57" i="40" a="1"/>
  <c r="Z35" i="40" a="1"/>
  <c r="U37" i="40" a="1"/>
  <c r="Z33" i="40" a="1"/>
  <c r="P102" i="40" a="1"/>
  <c r="AE36" i="40" a="1"/>
  <c r="AE90" i="40" a="1"/>
  <c r="U91" i="40" a="1"/>
  <c r="U92" i="40" a="1"/>
  <c r="P94" i="40" a="1"/>
  <c r="P57" i="40" a="1"/>
  <c r="P90" i="40" a="1"/>
  <c r="Z91" i="40" a="1"/>
  <c r="P37" i="40" a="1"/>
  <c r="P91" i="40" a="1"/>
  <c r="AE94" i="40" a="1"/>
  <c r="AE54" i="40" a="1"/>
  <c r="AE91" i="40" a="1"/>
  <c r="P99" i="40" a="1"/>
  <c r="P100" i="40" a="1"/>
  <c r="U94" i="40" a="1"/>
  <c r="Z54" i="40" a="1"/>
  <c r="AE57" i="40" a="1"/>
  <c r="AE100" i="40" a="1"/>
  <c r="Z102" i="40" a="1"/>
  <c r="Z100" i="40" a="1"/>
  <c r="Z82" i="40" a="1"/>
  <c r="P10" i="40" a="1"/>
  <c r="P36" i="40" a="1"/>
  <c r="U100" i="40" a="1"/>
  <c r="U56" i="40" a="1"/>
  <c r="U36" i="40" a="1"/>
  <c r="AE102" i="40" a="1"/>
  <c r="AE82" i="40" a="1"/>
  <c r="P2602" i="33" a="1"/>
  <c r="Z90" i="40" a="1"/>
  <c r="Q61" i="7" l="1"/>
  <c r="T61" i="7"/>
  <c r="S61" i="7"/>
  <c r="Q60" i="7"/>
  <c r="T60" i="7"/>
  <c r="S60" i="7"/>
  <c r="Q68" i="7"/>
  <c r="T68" i="7"/>
  <c r="S68" i="7"/>
  <c r="Q76" i="7"/>
  <c r="T76" i="7"/>
  <c r="S76" i="7"/>
  <c r="Q69" i="7"/>
  <c r="T69" i="7"/>
  <c r="S69" i="7"/>
  <c r="Q77" i="7"/>
  <c r="T77" i="7"/>
  <c r="S77" i="7"/>
  <c r="Q54" i="7"/>
  <c r="T54" i="7"/>
  <c r="S54" i="7"/>
  <c r="Q62" i="7"/>
  <c r="T62" i="7"/>
  <c r="S62" i="7"/>
  <c r="Q70" i="7"/>
  <c r="T70" i="7"/>
  <c r="S70" i="7"/>
  <c r="Q78" i="7"/>
  <c r="T78" i="7"/>
  <c r="S78" i="7"/>
  <c r="Q55" i="7"/>
  <c r="T55" i="7"/>
  <c r="S55" i="7"/>
  <c r="Q63" i="7"/>
  <c r="T63" i="7"/>
  <c r="S63" i="7"/>
  <c r="Q71" i="7"/>
  <c r="T71" i="7"/>
  <c r="S71" i="7"/>
  <c r="Q84" i="7"/>
  <c r="T84" i="7"/>
  <c r="S84" i="7"/>
  <c r="Q56" i="7"/>
  <c r="T56" i="7"/>
  <c r="S56" i="7"/>
  <c r="Q64" i="7"/>
  <c r="T64" i="7"/>
  <c r="S64" i="7"/>
  <c r="Q72" i="7"/>
  <c r="T72" i="7"/>
  <c r="S72" i="7"/>
  <c r="Q85" i="7"/>
  <c r="T85" i="7"/>
  <c r="S85" i="7"/>
  <c r="Q57" i="7"/>
  <c r="T57" i="7"/>
  <c r="S57" i="7"/>
  <c r="Q65" i="7"/>
  <c r="T65" i="7"/>
  <c r="S65" i="7"/>
  <c r="Q73" i="7"/>
  <c r="T73" i="7"/>
  <c r="S73" i="7"/>
  <c r="Q86" i="7"/>
  <c r="T86" i="7"/>
  <c r="S86" i="7"/>
  <c r="Q58" i="7"/>
  <c r="T58" i="7"/>
  <c r="S58" i="7"/>
  <c r="Q66" i="7"/>
  <c r="T66" i="7"/>
  <c r="S66" i="7"/>
  <c r="Q74" i="7"/>
  <c r="T74" i="7"/>
  <c r="S74" i="7"/>
  <c r="Q87" i="7"/>
  <c r="T87" i="7"/>
  <c r="S87" i="7"/>
  <c r="Q59" i="7"/>
  <c r="T59" i="7"/>
  <c r="S59" i="7"/>
  <c r="Q67" i="7"/>
  <c r="T67" i="7"/>
  <c r="S67" i="7"/>
  <c r="Q75" i="7"/>
  <c r="T75" i="7"/>
  <c r="S75" i="7"/>
  <c r="Q88" i="7"/>
  <c r="T88" i="7"/>
  <c r="S88" i="7"/>
  <c r="P102" i="40"/>
  <c r="U102" i="40"/>
  <c r="AE94" i="40"/>
  <c r="Z102" i="40"/>
  <c r="Z94" i="40"/>
  <c r="AE102" i="40"/>
  <c r="U94" i="40"/>
  <c r="P94" i="40"/>
  <c r="H127" i="10"/>
  <c r="J127" i="10"/>
  <c r="N119" i="10"/>
  <c r="L127" i="10"/>
  <c r="L119" i="10"/>
  <c r="N127" i="10"/>
  <c r="J119" i="10"/>
  <c r="H119" i="10"/>
  <c r="M2604" i="33"/>
  <c r="L2605" i="33"/>
  <c r="H16" i="20"/>
  <c r="G16" i="20"/>
  <c r="F16" i="20"/>
  <c r="E16" i="20"/>
  <c r="P2602" i="33"/>
  <c r="M2603" i="33"/>
  <c r="U100" i="40"/>
  <c r="Z91" i="40"/>
  <c r="U92" i="40"/>
  <c r="Z57" i="40"/>
  <c r="AE54" i="40"/>
  <c r="U82" i="40"/>
  <c r="P57" i="40"/>
  <c r="Z54" i="40"/>
  <c r="P90" i="40"/>
  <c r="AE57" i="40"/>
  <c r="P100" i="40"/>
  <c r="U90" i="40"/>
  <c r="AE91" i="40"/>
  <c r="P99" i="40"/>
  <c r="U91" i="40"/>
  <c r="P10" i="40"/>
  <c r="AE100" i="40"/>
  <c r="Z100" i="40"/>
  <c r="AE82" i="40"/>
  <c r="U56" i="40"/>
  <c r="P91" i="40"/>
  <c r="Z90" i="40"/>
  <c r="U54" i="40"/>
  <c r="AE90" i="40"/>
  <c r="Z82" i="40"/>
  <c r="U57" i="40"/>
  <c r="P54" i="40"/>
  <c r="AE37" i="40"/>
  <c r="AE36" i="40"/>
  <c r="Z35" i="40"/>
  <c r="Z33" i="40"/>
  <c r="Z37" i="40"/>
  <c r="Z36" i="40"/>
  <c r="U37" i="40"/>
  <c r="U36" i="40"/>
  <c r="P37" i="40"/>
  <c r="P36" i="40"/>
  <c r="J24" i="10"/>
  <c r="J111" i="10"/>
  <c r="N102" i="10"/>
  <c r="L102" i="10"/>
  <c r="J102" i="10"/>
  <c r="F60" i="7"/>
  <c r="F68" i="7"/>
  <c r="F76" i="7"/>
  <c r="F57" i="7"/>
  <c r="F59" i="7"/>
  <c r="F88" i="7"/>
  <c r="F75" i="7"/>
  <c r="F67" i="7"/>
  <c r="F70" i="7"/>
  <c r="F78" i="7"/>
  <c r="F65" i="7"/>
  <c r="F73" i="7"/>
  <c r="F63" i="7"/>
  <c r="F71" i="7"/>
  <c r="F84" i="7"/>
  <c r="F55" i="7"/>
  <c r="F58" i="7"/>
  <c r="F66" i="7"/>
  <c r="F74" i="7"/>
  <c r="F87" i="7"/>
  <c r="F86" i="7"/>
  <c r="F61" i="7"/>
  <c r="F69" i="7"/>
  <c r="F77" i="7"/>
  <c r="F56" i="7"/>
  <c r="R56" i="7" s="1"/>
  <c r="F64" i="7"/>
  <c r="F72" i="7"/>
  <c r="F85" i="7"/>
  <c r="R85" i="7" s="1"/>
  <c r="E174" i="20"/>
  <c r="H78" i="10" s="1"/>
  <c r="K67" i="7"/>
  <c r="M67" i="7"/>
  <c r="O67" i="7"/>
  <c r="I67" i="7"/>
  <c r="I75" i="7"/>
  <c r="K75" i="7"/>
  <c r="O75" i="7"/>
  <c r="M75" i="7"/>
  <c r="K88" i="7"/>
  <c r="O88" i="7"/>
  <c r="I88" i="7"/>
  <c r="M88" i="7"/>
  <c r="K74" i="7"/>
  <c r="I74" i="7"/>
  <c r="M74" i="7"/>
  <c r="O74" i="7"/>
  <c r="K59" i="7"/>
  <c r="M59" i="7"/>
  <c r="I59" i="7"/>
  <c r="O59" i="7"/>
  <c r="I60" i="7"/>
  <c r="K60" i="7"/>
  <c r="M60" i="7"/>
  <c r="O60" i="7"/>
  <c r="O68" i="7"/>
  <c r="K68" i="7"/>
  <c r="I68" i="7"/>
  <c r="M68" i="7"/>
  <c r="K76" i="7"/>
  <c r="M76" i="7"/>
  <c r="O76" i="7"/>
  <c r="I76" i="7"/>
  <c r="K87" i="7"/>
  <c r="M87" i="7"/>
  <c r="O87" i="7"/>
  <c r="I87" i="7"/>
  <c r="O61" i="7"/>
  <c r="I61" i="7"/>
  <c r="K61" i="7"/>
  <c r="M61" i="7"/>
  <c r="I69" i="7"/>
  <c r="M69" i="7"/>
  <c r="K69" i="7"/>
  <c r="O69" i="7"/>
  <c r="I77" i="7"/>
  <c r="O77" i="7"/>
  <c r="K77" i="7"/>
  <c r="M77" i="7"/>
  <c r="K58" i="7"/>
  <c r="I58" i="7"/>
  <c r="M58" i="7"/>
  <c r="O58" i="7"/>
  <c r="M62" i="7"/>
  <c r="K62" i="7"/>
  <c r="O62" i="7"/>
  <c r="I62" i="7"/>
  <c r="M70" i="7"/>
  <c r="K70" i="7"/>
  <c r="I70" i="7"/>
  <c r="O70" i="7"/>
  <c r="M78" i="7"/>
  <c r="O78" i="7"/>
  <c r="I78" i="7"/>
  <c r="K78" i="7"/>
  <c r="K66" i="7"/>
  <c r="I66" i="7"/>
  <c r="M66" i="7"/>
  <c r="O66" i="7"/>
  <c r="M55" i="7"/>
  <c r="O55" i="7"/>
  <c r="K55" i="7"/>
  <c r="I55" i="7"/>
  <c r="M63" i="7"/>
  <c r="O63" i="7"/>
  <c r="I63" i="7"/>
  <c r="K63" i="7"/>
  <c r="M71" i="7"/>
  <c r="O71" i="7"/>
  <c r="I71" i="7"/>
  <c r="K71" i="7"/>
  <c r="I84" i="7"/>
  <c r="M84" i="7"/>
  <c r="O84" i="7"/>
  <c r="K84" i="7"/>
  <c r="M64" i="7"/>
  <c r="O64" i="7"/>
  <c r="K64" i="7"/>
  <c r="I64" i="7"/>
  <c r="M72" i="7"/>
  <c r="O72" i="7"/>
  <c r="K72" i="7"/>
  <c r="I72" i="7"/>
  <c r="M85" i="7"/>
  <c r="O85" i="7"/>
  <c r="I85" i="7"/>
  <c r="K85" i="7"/>
  <c r="I56" i="7"/>
  <c r="M56" i="7"/>
  <c r="O56" i="7"/>
  <c r="K56" i="7"/>
  <c r="O57" i="7"/>
  <c r="M57" i="7"/>
  <c r="I57" i="7"/>
  <c r="K57" i="7"/>
  <c r="M65" i="7"/>
  <c r="K65" i="7"/>
  <c r="O65" i="7"/>
  <c r="I65" i="7"/>
  <c r="I73" i="7"/>
  <c r="O73" i="7"/>
  <c r="M73" i="7"/>
  <c r="K73" i="7"/>
  <c r="M86" i="7"/>
  <c r="O86" i="7"/>
  <c r="K86" i="7"/>
  <c r="I86" i="7"/>
  <c r="H102" i="10"/>
  <c r="N171" i="20"/>
  <c r="Q77" i="27" s="1"/>
  <c r="D80" i="27" s="1" a="1"/>
  <c r="D80" i="27" s="1"/>
  <c r="G174" i="20"/>
  <c r="L78" i="10" s="1"/>
  <c r="F174" i="20"/>
  <c r="J78" i="10" s="1"/>
  <c r="H174" i="20"/>
  <c r="N78" i="10" s="1"/>
  <c r="L109" i="10"/>
  <c r="O172" i="20"/>
  <c r="R81" i="27" s="1"/>
  <c r="O173" i="20"/>
  <c r="R85" i="27" s="1"/>
  <c r="N172" i="20"/>
  <c r="Q81" i="27" s="1"/>
  <c r="Q173" i="20"/>
  <c r="T85" i="27" s="1"/>
  <c r="Q172" i="20"/>
  <c r="T81" i="27" s="1"/>
  <c r="P176" i="20"/>
  <c r="N173" i="20"/>
  <c r="Q85" i="27" s="1"/>
  <c r="P172" i="20"/>
  <c r="S81" i="27" s="1"/>
  <c r="O176" i="20"/>
  <c r="P173" i="20"/>
  <c r="S85" i="27" s="1"/>
  <c r="Q176" i="20"/>
  <c r="N176" i="20"/>
  <c r="O177" i="20"/>
  <c r="R101" i="27" s="1"/>
  <c r="H81" i="10"/>
  <c r="N177" i="20"/>
  <c r="L81" i="10"/>
  <c r="P177" i="20"/>
  <c r="S101" i="27" s="1"/>
  <c r="N81" i="10"/>
  <c r="Q177" i="20"/>
  <c r="T101" i="27" s="1"/>
  <c r="H118" i="10"/>
  <c r="N55" i="10"/>
  <c r="J55" i="10"/>
  <c r="H108" i="10"/>
  <c r="N27" i="20"/>
  <c r="Q92" i="27" s="1"/>
  <c r="J109" i="10"/>
  <c r="N118" i="10"/>
  <c r="L118" i="10"/>
  <c r="H109" i="10"/>
  <c r="T96" i="27"/>
  <c r="N109" i="10"/>
  <c r="H104" i="10"/>
  <c r="D47" i="26"/>
  <c r="D9" i="26" s="1"/>
  <c r="D26" i="27" s="1"/>
  <c r="F47" i="26"/>
  <c r="F9" i="26" s="1"/>
  <c r="F26" i="27" s="1"/>
  <c r="E47" i="26"/>
  <c r="E9" i="26" s="1"/>
  <c r="E26" i="27" s="1"/>
  <c r="G47" i="26"/>
  <c r="G9" i="26" s="1"/>
  <c r="G26" i="27" s="1"/>
  <c r="J54" i="10"/>
  <c r="N54" i="10"/>
  <c r="L54" i="10"/>
  <c r="AE101" i="40" a="1"/>
  <c r="Z96" i="40" a="1"/>
  <c r="P2604" i="33" a="1"/>
  <c r="Z84" i="40" a="1"/>
  <c r="U89" i="40" a="1"/>
  <c r="AE83" i="40" a="1"/>
  <c r="P97" i="40" a="1"/>
  <c r="Z56" i="40" a="1"/>
  <c r="P101" i="40" a="1"/>
  <c r="P83" i="40" a="1"/>
  <c r="U88" i="40" a="1"/>
  <c r="P82" i="40" a="1"/>
  <c r="AE33" i="40" a="1"/>
  <c r="U35" i="40" a="1"/>
  <c r="U96" i="40" a="1"/>
  <c r="U86" i="40" a="1"/>
  <c r="U99" i="40" a="1"/>
  <c r="AE34" i="40" a="1"/>
  <c r="Z93" i="40" a="1"/>
  <c r="AE98" i="40" a="1"/>
  <c r="Z97" i="40" a="1"/>
  <c r="P84" i="40" a="1"/>
  <c r="P2019" i="33" a="1"/>
  <c r="Z92" i="40" a="1"/>
  <c r="AE35" i="40" a="1"/>
  <c r="U33" i="40" a="1"/>
  <c r="P56" i="40" a="1"/>
  <c r="U84" i="40" a="1"/>
  <c r="P93" i="40" a="1"/>
  <c r="AE97" i="40" a="1"/>
  <c r="Z83" i="40" a="1"/>
  <c r="U85" i="40" a="1"/>
  <c r="P2603" i="33" a="1"/>
  <c r="P96" i="40" a="1"/>
  <c r="AE53" i="40" a="1"/>
  <c r="U87" i="40" a="1"/>
  <c r="U34" i="40" a="1"/>
  <c r="U101" i="40" a="1"/>
  <c r="Z99" i="40" a="1"/>
  <c r="U98" i="40" a="1"/>
  <c r="Z34" i="40" a="1"/>
  <c r="U97" i="40" a="1"/>
  <c r="AE93" i="40" a="1"/>
  <c r="AE92" i="40" a="1"/>
  <c r="U83" i="40" a="1"/>
  <c r="AE56" i="40" a="1"/>
  <c r="Z98" i="40" a="1"/>
  <c r="U53" i="40" a="1"/>
  <c r="AE96" i="40" a="1"/>
  <c r="P53" i="40" a="1"/>
  <c r="AE99" i="40" a="1"/>
  <c r="U93" i="40" a="1"/>
  <c r="P92" i="40" a="1"/>
  <c r="AE84" i="40" a="1"/>
  <c r="U10" i="40" a="1"/>
  <c r="Z101" i="40" a="1"/>
  <c r="P98" i="40" a="1"/>
  <c r="Z53" i="40" a="1"/>
  <c r="R86" i="7" l="1"/>
  <c r="R55" i="7"/>
  <c r="R72" i="7"/>
  <c r="R65" i="7"/>
  <c r="R63" i="7"/>
  <c r="R59" i="7"/>
  <c r="R87" i="7"/>
  <c r="R73" i="7"/>
  <c r="R64" i="7"/>
  <c r="U64" i="7" s="1"/>
  <c r="R57" i="7"/>
  <c r="R76" i="7"/>
  <c r="R78" i="7"/>
  <c r="AE101" i="40"/>
  <c r="Z101" i="40"/>
  <c r="U101" i="40"/>
  <c r="P101" i="40"/>
  <c r="R67" i="7"/>
  <c r="V67" i="7" s="1"/>
  <c r="R61" i="7"/>
  <c r="V61" i="7" s="1"/>
  <c r="R74" i="7"/>
  <c r="R69" i="7"/>
  <c r="R71" i="7"/>
  <c r="V71" i="7" s="1"/>
  <c r="R88" i="7"/>
  <c r="P2604" i="33"/>
  <c r="R84" i="7"/>
  <c r="R77" i="7"/>
  <c r="V77" i="7" s="1"/>
  <c r="R75" i="7"/>
  <c r="R66" i="7"/>
  <c r="R68" i="7"/>
  <c r="R70" i="7"/>
  <c r="R60" i="7"/>
  <c r="V60" i="7" s="1"/>
  <c r="R58" i="7"/>
  <c r="P2019" i="33"/>
  <c r="N870" i="1"/>
  <c r="F854" i="1"/>
  <c r="E62" i="7"/>
  <c r="F62" i="7" s="1"/>
  <c r="R62" i="7" s="1"/>
  <c r="Q53" i="27"/>
  <c r="U33" i="40"/>
  <c r="AE33" i="40"/>
  <c r="AE99" i="40"/>
  <c r="P98" i="40"/>
  <c r="U89" i="40"/>
  <c r="U99" i="40"/>
  <c r="Z99" i="40"/>
  <c r="Z98" i="40"/>
  <c r="AE98" i="40"/>
  <c r="P97" i="40"/>
  <c r="U98" i="40"/>
  <c r="U88" i="40"/>
  <c r="AE97" i="40"/>
  <c r="P96" i="40"/>
  <c r="U87" i="40"/>
  <c r="U97" i="40"/>
  <c r="Z97" i="40"/>
  <c r="P93" i="40"/>
  <c r="AE96" i="40"/>
  <c r="U86" i="40"/>
  <c r="Z84" i="40"/>
  <c r="P84" i="40"/>
  <c r="U84" i="40"/>
  <c r="AE84" i="40"/>
  <c r="U96" i="40"/>
  <c r="Z96" i="40"/>
  <c r="J80" i="27"/>
  <c r="P2603" i="33"/>
  <c r="M2605" i="33"/>
  <c r="L2606" i="33"/>
  <c r="V72" i="7"/>
  <c r="Z34" i="40"/>
  <c r="U83" i="40"/>
  <c r="U85" i="40"/>
  <c r="AE34" i="40"/>
  <c r="Z56" i="40"/>
  <c r="Z83" i="40"/>
  <c r="U34" i="40"/>
  <c r="P82" i="40"/>
  <c r="AE53" i="40"/>
  <c r="U10" i="40"/>
  <c r="P83" i="40"/>
  <c r="U93" i="40"/>
  <c r="AE83" i="40"/>
  <c r="P56" i="40"/>
  <c r="U53" i="40"/>
  <c r="P53" i="40"/>
  <c r="Z93" i="40"/>
  <c r="Z53" i="40"/>
  <c r="AE93" i="40"/>
  <c r="P92" i="40"/>
  <c r="Z92" i="40"/>
  <c r="AE92" i="40"/>
  <c r="AE56" i="40"/>
  <c r="J103" i="10"/>
  <c r="J100" i="10" s="1"/>
  <c r="L103" i="10"/>
  <c r="L24" i="10"/>
  <c r="N103" i="10"/>
  <c r="H111" i="10"/>
  <c r="L111" i="10"/>
  <c r="N111" i="10"/>
  <c r="AE35" i="40"/>
  <c r="U35" i="40"/>
  <c r="V85" i="7"/>
  <c r="H103" i="10"/>
  <c r="P174" i="20"/>
  <c r="S89" i="27" s="1"/>
  <c r="O174" i="20"/>
  <c r="R89" i="27" s="1"/>
  <c r="Q174" i="20"/>
  <c r="T89" i="27" s="1"/>
  <c r="N174" i="20"/>
  <c r="Q89" i="27" s="1"/>
  <c r="N175" i="20"/>
  <c r="Q93" i="27" s="1"/>
  <c r="Q175" i="20"/>
  <c r="T93" i="27" s="1"/>
  <c r="O175" i="20"/>
  <c r="R93" i="27" s="1"/>
  <c r="P175" i="20"/>
  <c r="S93" i="27" s="1"/>
  <c r="Q101" i="27"/>
  <c r="H54" i="10"/>
  <c r="Q97" i="27"/>
  <c r="T53" i="27"/>
  <c r="R53" i="27"/>
  <c r="S53" i="27"/>
  <c r="U81" i="40" a="1"/>
  <c r="P88" i="40" a="1"/>
  <c r="Z80" i="40" a="1"/>
  <c r="AE86" i="40" a="1"/>
  <c r="P87" i="40" a="1"/>
  <c r="AE89" i="40" a="1"/>
  <c r="P80" i="40" a="1"/>
  <c r="Z86" i="40" a="1"/>
  <c r="Z87" i="40" a="1"/>
  <c r="AE81" i="40" a="1"/>
  <c r="Z10" i="40" a="1"/>
  <c r="P2605" i="33" a="1"/>
  <c r="Z79" i="40" a="1"/>
  <c r="P79" i="40" a="1"/>
  <c r="P86" i="40" a="1"/>
  <c r="P89" i="40" a="1"/>
  <c r="AE87" i="40" a="1"/>
  <c r="Z88" i="40" a="1"/>
  <c r="Z89" i="40" a="1"/>
  <c r="AE88" i="40" a="1"/>
  <c r="Z81" i="40" a="1"/>
  <c r="Z85" i="40" a="1"/>
  <c r="P85" i="40" a="1"/>
  <c r="P81" i="40" a="1"/>
  <c r="AE85" i="40" a="1"/>
  <c r="AE80" i="40" a="1"/>
  <c r="U80" i="40" a="1"/>
  <c r="U79" i="40" a="1"/>
  <c r="AE79" i="40" a="1"/>
  <c r="H854" i="1" l="1"/>
  <c r="I854" i="1" s="1"/>
  <c r="H100" i="10"/>
  <c r="L100" i="10"/>
  <c r="N100" i="10"/>
  <c r="AE81" i="40"/>
  <c r="P81" i="40"/>
  <c r="Z81" i="40"/>
  <c r="Z89" i="40"/>
  <c r="U81" i="40"/>
  <c r="AE89" i="40"/>
  <c r="P89" i="40"/>
  <c r="P88" i="40"/>
  <c r="AE88" i="40"/>
  <c r="P80" i="40"/>
  <c r="Z88" i="40"/>
  <c r="Z80" i="40"/>
  <c r="AE80" i="40"/>
  <c r="U80" i="40"/>
  <c r="Z79" i="40"/>
  <c r="U79" i="40"/>
  <c r="AE87" i="40"/>
  <c r="Z87" i="40"/>
  <c r="P87" i="40"/>
  <c r="P79" i="40"/>
  <c r="AE79" i="40"/>
  <c r="Z86" i="40"/>
  <c r="P86" i="40"/>
  <c r="AE86" i="40"/>
  <c r="U72" i="7"/>
  <c r="W72" i="7" s="1"/>
  <c r="P2605" i="33"/>
  <c r="M2606" i="33"/>
  <c r="L2607" i="33"/>
  <c r="L2608" i="33" s="1"/>
  <c r="L2609" i="33" s="1"/>
  <c r="L2610" i="33" s="1"/>
  <c r="U60" i="7"/>
  <c r="W60" i="7" s="1"/>
  <c r="U77" i="7"/>
  <c r="AA77" i="7" s="1"/>
  <c r="U61" i="7"/>
  <c r="AA61" i="7" s="1"/>
  <c r="V64" i="7"/>
  <c r="X64" i="7" s="1"/>
  <c r="U71" i="7"/>
  <c r="AA71" i="7" s="1"/>
  <c r="U67" i="7"/>
  <c r="W67" i="7" s="1"/>
  <c r="Z85" i="40"/>
  <c r="P85" i="40"/>
  <c r="Z10" i="40"/>
  <c r="AE85" i="40"/>
  <c r="N24" i="10"/>
  <c r="J110" i="27"/>
  <c r="W110" i="27"/>
  <c r="L110" i="27"/>
  <c r="Y110" i="27"/>
  <c r="K110" i="27"/>
  <c r="X110" i="27"/>
  <c r="M110" i="27"/>
  <c r="Z110" i="27"/>
  <c r="U85" i="7"/>
  <c r="W85" i="7" s="1"/>
  <c r="AB85" i="7"/>
  <c r="X85" i="7"/>
  <c r="Z85" i="7"/>
  <c r="AD85" i="7"/>
  <c r="X67" i="7"/>
  <c r="Z67" i="7"/>
  <c r="AB67" i="7"/>
  <c r="AD67" i="7"/>
  <c r="W64" i="7"/>
  <c r="AA64" i="7"/>
  <c r="Y64" i="7"/>
  <c r="AC64" i="7"/>
  <c r="AB71" i="7"/>
  <c r="AD71" i="7"/>
  <c r="X71" i="7"/>
  <c r="Z71" i="7"/>
  <c r="AD60" i="7"/>
  <c r="X60" i="7"/>
  <c r="AB60" i="7"/>
  <c r="Z60" i="7"/>
  <c r="X61" i="7"/>
  <c r="Z61" i="7"/>
  <c r="AB61" i="7"/>
  <c r="AD61" i="7"/>
  <c r="X72" i="7"/>
  <c r="AB72" i="7"/>
  <c r="AD72" i="7"/>
  <c r="Z72" i="7"/>
  <c r="AD77" i="7"/>
  <c r="X77" i="7"/>
  <c r="Z77" i="7"/>
  <c r="AB77" i="7"/>
  <c r="V69" i="7"/>
  <c r="U69" i="7"/>
  <c r="V65" i="7"/>
  <c r="U65" i="7"/>
  <c r="U70" i="7"/>
  <c r="V70" i="7"/>
  <c r="U86" i="7"/>
  <c r="V86" i="7"/>
  <c r="V88" i="7"/>
  <c r="U88" i="7"/>
  <c r="U68" i="7"/>
  <c r="V68" i="7"/>
  <c r="V62" i="7"/>
  <c r="U62" i="7"/>
  <c r="V75" i="7"/>
  <c r="U75" i="7"/>
  <c r="V73" i="7"/>
  <c r="U73" i="7"/>
  <c r="U84" i="7"/>
  <c r="V84" i="7"/>
  <c r="U76" i="7"/>
  <c r="V76" i="7"/>
  <c r="V87" i="7"/>
  <c r="U87" i="7"/>
  <c r="V74" i="7"/>
  <c r="U74" i="7"/>
  <c r="U78" i="7"/>
  <c r="V78" i="7"/>
  <c r="V59" i="7"/>
  <c r="U59" i="7"/>
  <c r="V66" i="7"/>
  <c r="U66" i="7"/>
  <c r="V63" i="7"/>
  <c r="U63" i="7"/>
  <c r="V56" i="7"/>
  <c r="U56" i="7"/>
  <c r="V58" i="7"/>
  <c r="U58" i="7"/>
  <c r="V57" i="7"/>
  <c r="U57" i="7"/>
  <c r="V55" i="7"/>
  <c r="U55" i="7"/>
  <c r="Q49" i="27"/>
  <c r="AE10" i="40" a="1"/>
  <c r="P2606" i="33" a="1"/>
  <c r="L2611" i="33" l="1"/>
  <c r="M2610" i="33"/>
  <c r="AA72" i="7"/>
  <c r="Y72" i="7"/>
  <c r="AC72" i="7"/>
  <c r="P2606" i="33"/>
  <c r="M2607" i="33"/>
  <c r="AC60" i="7"/>
  <c r="W77" i="7"/>
  <c r="Y77" i="7"/>
  <c r="W61" i="7"/>
  <c r="AC77" i="7"/>
  <c r="AA60" i="7"/>
  <c r="Y60" i="7"/>
  <c r="Y61" i="7"/>
  <c r="AC61" i="7"/>
  <c r="W71" i="7"/>
  <c r="AD64" i="7"/>
  <c r="AB64" i="7"/>
  <c r="Z64" i="7"/>
  <c r="AC71" i="7"/>
  <c r="Y71" i="7"/>
  <c r="Y67" i="7"/>
  <c r="AA67" i="7"/>
  <c r="AC67" i="7"/>
  <c r="AE10" i="40"/>
  <c r="Y85" i="7"/>
  <c r="AC85" i="7"/>
  <c r="AA85" i="7"/>
  <c r="AD86" i="7"/>
  <c r="X86" i="7"/>
  <c r="Z86" i="7"/>
  <c r="AB86" i="7"/>
  <c r="AD57" i="7"/>
  <c r="X57" i="7"/>
  <c r="AB57" i="7"/>
  <c r="Z57" i="7"/>
  <c r="X66" i="7"/>
  <c r="AB66" i="7"/>
  <c r="AD66" i="7"/>
  <c r="Z66" i="7"/>
  <c r="X87" i="7"/>
  <c r="AB87" i="7"/>
  <c r="Z87" i="7"/>
  <c r="AD87" i="7"/>
  <c r="AB75" i="7"/>
  <c r="X75" i="7"/>
  <c r="AD75" i="7"/>
  <c r="Z75" i="7"/>
  <c r="W86" i="7"/>
  <c r="AC86" i="7"/>
  <c r="Y86" i="7"/>
  <c r="AA86" i="7"/>
  <c r="W87" i="7"/>
  <c r="AA87" i="7"/>
  <c r="Y87" i="7"/>
  <c r="AC87" i="7"/>
  <c r="W75" i="7"/>
  <c r="AC75" i="7"/>
  <c r="Y75" i="7"/>
  <c r="AA75" i="7"/>
  <c r="W59" i="7"/>
  <c r="AA59" i="7"/>
  <c r="Y59" i="7"/>
  <c r="AC59" i="7"/>
  <c r="W76" i="7"/>
  <c r="AA76" i="7"/>
  <c r="Y76" i="7"/>
  <c r="AC76" i="7"/>
  <c r="X76" i="7"/>
  <c r="AB76" i="7"/>
  <c r="Z76" i="7"/>
  <c r="AD76" i="7"/>
  <c r="AB58" i="7"/>
  <c r="X58" i="7"/>
  <c r="Z58" i="7"/>
  <c r="AD58" i="7"/>
  <c r="W70" i="7"/>
  <c r="AA70" i="7"/>
  <c r="Y70" i="7"/>
  <c r="AC70" i="7"/>
  <c r="AB78" i="7"/>
  <c r="X78" i="7"/>
  <c r="Z78" i="7"/>
  <c r="AD78" i="7"/>
  <c r="AB68" i="7"/>
  <c r="AD68" i="7"/>
  <c r="X68" i="7"/>
  <c r="Z68" i="7"/>
  <c r="W65" i="7"/>
  <c r="AC65" i="7"/>
  <c r="Y65" i="7"/>
  <c r="AA65" i="7"/>
  <c r="W66" i="7"/>
  <c r="AA66" i="7"/>
  <c r="AC66" i="7"/>
  <c r="Y66" i="7"/>
  <c r="W62" i="7"/>
  <c r="AA62" i="7"/>
  <c r="Y62" i="7"/>
  <c r="AC62" i="7"/>
  <c r="AB62" i="7"/>
  <c r="AD62" i="7"/>
  <c r="X62" i="7"/>
  <c r="Z62" i="7"/>
  <c r="W56" i="7"/>
  <c r="AA56" i="7"/>
  <c r="Y56" i="7"/>
  <c r="AC56" i="7"/>
  <c r="X84" i="7"/>
  <c r="AB84" i="7"/>
  <c r="Z84" i="7"/>
  <c r="AD84" i="7"/>
  <c r="X56" i="7"/>
  <c r="Z56" i="7"/>
  <c r="AB56" i="7"/>
  <c r="AD56" i="7"/>
  <c r="W78" i="7"/>
  <c r="AC78" i="7"/>
  <c r="Y78" i="7"/>
  <c r="AA78" i="7"/>
  <c r="W84" i="7"/>
  <c r="AA84" i="7"/>
  <c r="Y84" i="7"/>
  <c r="AC84" i="7"/>
  <c r="W68" i="7"/>
  <c r="AA68" i="7"/>
  <c r="AC68" i="7"/>
  <c r="Y68" i="7"/>
  <c r="AB65" i="7"/>
  <c r="AD65" i="7"/>
  <c r="X65" i="7"/>
  <c r="Z65" i="7"/>
  <c r="W57" i="7"/>
  <c r="AA57" i="7"/>
  <c r="AC57" i="7"/>
  <c r="Y57" i="7"/>
  <c r="W58" i="7"/>
  <c r="AC58" i="7"/>
  <c r="AA58" i="7"/>
  <c r="Y58" i="7"/>
  <c r="X70" i="7"/>
  <c r="Z70" i="7"/>
  <c r="AB70" i="7"/>
  <c r="AD70" i="7"/>
  <c r="X59" i="7"/>
  <c r="AD59" i="7"/>
  <c r="Z59" i="7"/>
  <c r="AB59" i="7"/>
  <c r="W63" i="7"/>
  <c r="AC63" i="7"/>
  <c r="AA63" i="7"/>
  <c r="Y63" i="7"/>
  <c r="W73" i="7"/>
  <c r="AA73" i="7"/>
  <c r="Y73" i="7"/>
  <c r="AC73" i="7"/>
  <c r="W88" i="7"/>
  <c r="AA88" i="7"/>
  <c r="AC88" i="7"/>
  <c r="Y88" i="7"/>
  <c r="W69" i="7"/>
  <c r="AC69" i="7"/>
  <c r="Y69" i="7"/>
  <c r="AA69" i="7"/>
  <c r="W55" i="7"/>
  <c r="AC55" i="7"/>
  <c r="AA55" i="7"/>
  <c r="Y55" i="7"/>
  <c r="W74" i="7"/>
  <c r="AA74" i="7"/>
  <c r="AC74" i="7"/>
  <c r="Y74" i="7"/>
  <c r="X55" i="7"/>
  <c r="AB55" i="7"/>
  <c r="AD55" i="7"/>
  <c r="Z55" i="7"/>
  <c r="X63" i="7"/>
  <c r="AB63" i="7"/>
  <c r="AD63" i="7"/>
  <c r="Z63" i="7"/>
  <c r="AD74" i="7"/>
  <c r="X74" i="7"/>
  <c r="Z74" i="7"/>
  <c r="AB74" i="7"/>
  <c r="X73" i="7"/>
  <c r="Z73" i="7"/>
  <c r="AB73" i="7"/>
  <c r="AD73" i="7"/>
  <c r="AB88" i="7"/>
  <c r="X88" i="7"/>
  <c r="AD88" i="7"/>
  <c r="Z88" i="7"/>
  <c r="X69" i="7"/>
  <c r="AB69" i="7"/>
  <c r="AD69" i="7"/>
  <c r="Z69" i="7"/>
  <c r="S49" i="27"/>
  <c r="T49" i="27"/>
  <c r="R49" i="27"/>
  <c r="P2610" i="33" a="1"/>
  <c r="P2607" i="33" a="1"/>
  <c r="P2610" i="33" l="1"/>
  <c r="M2611" i="33"/>
  <c r="L2612" i="33"/>
  <c r="P2607" i="33"/>
  <c r="G108" i="26"/>
  <c r="G6" i="26" s="1"/>
  <c r="T50" i="27" s="1"/>
  <c r="N92" i="10"/>
  <c r="E108" i="26"/>
  <c r="E6" i="26" s="1"/>
  <c r="R50" i="27" s="1"/>
  <c r="J92" i="10"/>
  <c r="H92" i="10"/>
  <c r="F108" i="26"/>
  <c r="F6" i="26" s="1"/>
  <c r="S50" i="27" s="1"/>
  <c r="L92" i="10"/>
  <c r="P2611" i="33" a="1"/>
  <c r="P2611" i="33" l="1"/>
  <c r="L2613" i="33"/>
  <c r="M2612" i="33"/>
  <c r="G23" i="31"/>
  <c r="G23" i="27" s="1"/>
  <c r="N91" i="10"/>
  <c r="H91" i="10"/>
  <c r="L91" i="10"/>
  <c r="J91" i="10"/>
  <c r="D108" i="26"/>
  <c r="D6" i="26" s="1"/>
  <c r="Q50" i="27" s="1"/>
  <c r="Z69" i="40" a="1"/>
  <c r="AE67" i="40" a="1"/>
  <c r="U68" i="40" a="1"/>
  <c r="P68" i="40" a="1"/>
  <c r="P66" i="40" a="1"/>
  <c r="P69" i="40" a="1"/>
  <c r="P2612" i="33" a="1"/>
  <c r="Z66" i="40" a="1"/>
  <c r="Z67" i="40" a="1"/>
  <c r="U69" i="40" a="1"/>
  <c r="U66" i="40" a="1"/>
  <c r="AE66" i="40" a="1"/>
  <c r="AE69" i="40" a="1"/>
  <c r="P67" i="40" a="1"/>
  <c r="Z68" i="40" a="1"/>
  <c r="U67" i="40" a="1"/>
  <c r="AE68" i="40" a="1"/>
  <c r="P2612" i="33" l="1"/>
  <c r="M2613" i="33"/>
  <c r="L2614" i="33"/>
  <c r="Z108" i="27"/>
  <c r="Z69" i="40"/>
  <c r="AE69" i="40"/>
  <c r="U69" i="40"/>
  <c r="P69" i="40"/>
  <c r="P68" i="40"/>
  <c r="U68" i="40"/>
  <c r="Z68" i="40"/>
  <c r="AE68" i="40"/>
  <c r="U67" i="40"/>
  <c r="P67" i="40"/>
  <c r="Z67" i="40"/>
  <c r="AE67" i="40"/>
  <c r="N84" i="10"/>
  <c r="P66" i="40"/>
  <c r="U66" i="40"/>
  <c r="AE66" i="40"/>
  <c r="Z66" i="40"/>
  <c r="H84" i="10"/>
  <c r="D23" i="31"/>
  <c r="J84" i="10"/>
  <c r="E23" i="31"/>
  <c r="P2613" i="33" a="1"/>
  <c r="AE59" i="40" a="1"/>
  <c r="P59" i="40" a="1"/>
  <c r="U59" i="40" a="1"/>
  <c r="P59" i="40" l="1"/>
  <c r="U59" i="40"/>
  <c r="AE59" i="40"/>
  <c r="N83" i="10"/>
  <c r="P2613" i="33"/>
  <c r="L2615" i="33"/>
  <c r="M2614" i="33"/>
  <c r="M108" i="27"/>
  <c r="F23" i="31"/>
  <c r="L84" i="10"/>
  <c r="Z59" i="40" a="1"/>
  <c r="P2614" i="33" a="1"/>
  <c r="AE58" i="40" a="1"/>
  <c r="AE58" i="40" l="1"/>
  <c r="Z59" i="40"/>
  <c r="P2614" i="33"/>
  <c r="L2616" i="33"/>
  <c r="M2615" i="33"/>
  <c r="G121" i="26"/>
  <c r="G7" i="26" s="1"/>
  <c r="E121" i="26"/>
  <c r="E7" i="26" s="1"/>
  <c r="P2615" i="33" a="1"/>
  <c r="P2615" i="33" l="1"/>
  <c r="L2617" i="33"/>
  <c r="M2616" i="33"/>
  <c r="E161" i="26"/>
  <c r="E163" i="26" s="1"/>
  <c r="E8" i="26" s="1"/>
  <c r="E12" i="26" s="1"/>
  <c r="F161" i="26"/>
  <c r="F163" i="26" s="1"/>
  <c r="F8" i="26" s="1"/>
  <c r="D161" i="26"/>
  <c r="D163" i="26" s="1"/>
  <c r="D8" i="26" s="1"/>
  <c r="Q52" i="27" s="1"/>
  <c r="G161" i="26"/>
  <c r="G163" i="26" s="1"/>
  <c r="G8" i="26" s="1"/>
  <c r="G12" i="26" s="1"/>
  <c r="R51" i="27"/>
  <c r="T51" i="27"/>
  <c r="H95" i="10"/>
  <c r="D121" i="26"/>
  <c r="D7" i="26" s="1"/>
  <c r="Q51" i="27" s="1"/>
  <c r="L95" i="10"/>
  <c r="F121" i="26"/>
  <c r="F7" i="26" s="1"/>
  <c r="J95" i="10"/>
  <c r="N95" i="10"/>
  <c r="Z70" i="40" a="1"/>
  <c r="AE70" i="40" a="1"/>
  <c r="P70" i="40" a="1"/>
  <c r="P2616" i="33" a="1"/>
  <c r="U70" i="40" a="1"/>
  <c r="P2616" i="33" l="1"/>
  <c r="M2617" i="33"/>
  <c r="L2618" i="33"/>
  <c r="H96" i="10"/>
  <c r="H86" i="10" s="1"/>
  <c r="L96" i="10"/>
  <c r="L86" i="10" s="1"/>
  <c r="J96" i="10"/>
  <c r="J86" i="10" s="1"/>
  <c r="N96" i="10"/>
  <c r="N86" i="10" s="1"/>
  <c r="U70" i="40"/>
  <c r="P70" i="40"/>
  <c r="Z70" i="40"/>
  <c r="AE70" i="40"/>
  <c r="F12" i="26"/>
  <c r="F14" i="26" s="1"/>
  <c r="D12" i="26"/>
  <c r="D14" i="26" s="1"/>
  <c r="S52" i="27"/>
  <c r="R52" i="27"/>
  <c r="R58" i="27" s="1" a="1"/>
  <c r="R58" i="27" s="1"/>
  <c r="T52" i="27"/>
  <c r="T61" i="27" s="1" a="1"/>
  <c r="T61" i="27" s="1"/>
  <c r="S51" i="27"/>
  <c r="E14" i="26"/>
  <c r="G14" i="26"/>
  <c r="AE71" i="40" a="1"/>
  <c r="AE62" i="40" a="1"/>
  <c r="U72" i="40" a="1"/>
  <c r="P2617" i="33" a="1"/>
  <c r="P63" i="40" a="1"/>
  <c r="U71" i="40" a="1"/>
  <c r="AE72" i="40" a="1"/>
  <c r="Z71" i="40" a="1"/>
  <c r="Z72" i="40" a="1"/>
  <c r="P72" i="40" a="1"/>
  <c r="Z73" i="40" a="1"/>
  <c r="P71" i="40" a="1"/>
  <c r="Z63" i="40" a="1"/>
  <c r="AE73" i="40" a="1"/>
  <c r="U63" i="40" a="1"/>
  <c r="P73" i="40" a="1"/>
  <c r="U73" i="40" a="1"/>
  <c r="AE63" i="40" a="1"/>
  <c r="P2617" i="33" l="1"/>
  <c r="M2618" i="33"/>
  <c r="L2619" i="33"/>
  <c r="U63" i="40"/>
  <c r="Z63" i="40"/>
  <c r="AE63" i="40"/>
  <c r="P63" i="40"/>
  <c r="AE62" i="40"/>
  <c r="AE73" i="40"/>
  <c r="U73" i="40"/>
  <c r="Z73" i="40"/>
  <c r="P73" i="40"/>
  <c r="AE72" i="40"/>
  <c r="U72" i="40"/>
  <c r="Z72" i="40"/>
  <c r="P72" i="40"/>
  <c r="P71" i="40"/>
  <c r="Z71" i="40"/>
  <c r="U71" i="40"/>
  <c r="AE71" i="40"/>
  <c r="E25" i="27"/>
  <c r="R61" i="27" a="1"/>
  <c r="R61" i="27" s="1"/>
  <c r="R56" i="27"/>
  <c r="T58" i="27" a="1"/>
  <c r="T58" i="27" s="1"/>
  <c r="T64" i="27" s="1"/>
  <c r="S58" i="27" a="1"/>
  <c r="S58" i="27" s="1"/>
  <c r="S56" i="27"/>
  <c r="S61" i="27" a="1"/>
  <c r="S61" i="27" s="1"/>
  <c r="Q58" i="27" a="1"/>
  <c r="Q58" i="27" s="1"/>
  <c r="Q56" i="27"/>
  <c r="Q61" i="27" a="1"/>
  <c r="Q61" i="27" s="1"/>
  <c r="T56" i="27"/>
  <c r="H29" i="20"/>
  <c r="E29" i="20"/>
  <c r="F23" i="20"/>
  <c r="G29" i="20"/>
  <c r="H23" i="20"/>
  <c r="Q23" i="20" s="1"/>
  <c r="T76" i="27" s="1"/>
  <c r="F29" i="20"/>
  <c r="H25" i="20"/>
  <c r="G23" i="20"/>
  <c r="P23" i="20" s="1"/>
  <c r="S76" i="27" s="1"/>
  <c r="P61" i="40" a="1"/>
  <c r="P2618" i="33" a="1"/>
  <c r="U61" i="40" a="1"/>
  <c r="AE61" i="40" a="1"/>
  <c r="Z61" i="40" a="1"/>
  <c r="P2618" i="33" l="1"/>
  <c r="M2619" i="33"/>
  <c r="L2620" i="33"/>
  <c r="P61" i="40"/>
  <c r="Z61" i="40"/>
  <c r="U61" i="40"/>
  <c r="AE61" i="40"/>
  <c r="M2608" i="33"/>
  <c r="I16" i="27"/>
  <c r="R110" i="27"/>
  <c r="R126" i="27" s="1"/>
  <c r="K109" i="27"/>
  <c r="F25" i="27"/>
  <c r="G25" i="27"/>
  <c r="D25" i="27"/>
  <c r="O27" i="20"/>
  <c r="R92" i="27" s="1"/>
  <c r="N29" i="20"/>
  <c r="Q100" i="27" s="1"/>
  <c r="D86" i="27" s="1" a="1"/>
  <c r="D86" i="27" s="1"/>
  <c r="O23" i="20"/>
  <c r="R76" i="27" s="1"/>
  <c r="P26" i="20"/>
  <c r="S88" i="27" s="1"/>
  <c r="Q27" i="20"/>
  <c r="T92" i="27" s="1"/>
  <c r="Q29" i="20"/>
  <c r="T100" i="27" s="1"/>
  <c r="G86" i="27" s="1" a="1"/>
  <c r="G86" i="27" s="1"/>
  <c r="P27" i="20"/>
  <c r="S92" i="27" s="1"/>
  <c r="P29" i="20"/>
  <c r="S100" i="27" s="1"/>
  <c r="F86" i="27" s="1" a="1"/>
  <c r="F86" i="27" s="1"/>
  <c r="Q26" i="20"/>
  <c r="T88" i="27" s="1"/>
  <c r="O26" i="20"/>
  <c r="R88" i="27" s="1"/>
  <c r="Q25" i="20"/>
  <c r="T84" i="27" s="1"/>
  <c r="O29" i="20"/>
  <c r="R100" i="27" s="1"/>
  <c r="E86" i="27" s="1" a="1"/>
  <c r="E86" i="27" s="1"/>
  <c r="J72" i="10"/>
  <c r="J66" i="10"/>
  <c r="N68" i="10"/>
  <c r="H72" i="10"/>
  <c r="L72" i="10"/>
  <c r="N72" i="10"/>
  <c r="H80" i="10"/>
  <c r="E25" i="20"/>
  <c r="N26" i="20"/>
  <c r="Q88" i="27" s="1"/>
  <c r="F24" i="20"/>
  <c r="G24" i="20"/>
  <c r="H24" i="20"/>
  <c r="F25" i="20"/>
  <c r="G25" i="20"/>
  <c r="E24" i="20"/>
  <c r="N24" i="20" s="1"/>
  <c r="Q80" i="27" s="1"/>
  <c r="H66" i="10"/>
  <c r="N66" i="10"/>
  <c r="L66" i="10"/>
  <c r="J3" i="10"/>
  <c r="Z41" i="40" a="1"/>
  <c r="P47" i="40" a="1"/>
  <c r="AE41" i="40" a="1"/>
  <c r="U41" i="40" a="1"/>
  <c r="U47" i="40" a="1"/>
  <c r="P2608" i="33" a="1"/>
  <c r="Z47" i="40" a="1"/>
  <c r="P41" i="40" a="1"/>
  <c r="P2619" i="33" a="1"/>
  <c r="AE43" i="40" a="1"/>
  <c r="P55" i="40" a="1"/>
  <c r="AE47" i="40" a="1"/>
  <c r="P2619" i="33" l="1"/>
  <c r="L2621" i="33"/>
  <c r="M2620" i="33"/>
  <c r="P2608" i="33"/>
  <c r="M2609" i="33"/>
  <c r="U41" i="40"/>
  <c r="AE41" i="40"/>
  <c r="P47" i="40"/>
  <c r="AE43" i="40"/>
  <c r="Z41" i="40"/>
  <c r="U47" i="40"/>
  <c r="P41" i="40"/>
  <c r="P55" i="40"/>
  <c r="AE47" i="40"/>
  <c r="Z47" i="40"/>
  <c r="L109" i="27"/>
  <c r="J109" i="27"/>
  <c r="M109" i="27"/>
  <c r="H17" i="27"/>
  <c r="L114" i="27"/>
  <c r="K115" i="27" s="1"/>
  <c r="Q110" i="27"/>
  <c r="Q126" i="27" s="1"/>
  <c r="T110" i="27"/>
  <c r="T126" i="27" s="1"/>
  <c r="S110" i="27"/>
  <c r="S126" i="27" s="1"/>
  <c r="D81" i="27" a="1"/>
  <c r="D81" i="27" s="1"/>
  <c r="L86" i="27"/>
  <c r="F127" i="27"/>
  <c r="M86" i="27"/>
  <c r="G127" i="27"/>
  <c r="K86" i="27"/>
  <c r="E127" i="27"/>
  <c r="J86" i="27"/>
  <c r="D127" i="27"/>
  <c r="D85" i="27" a="1"/>
  <c r="D85" i="27" s="1"/>
  <c r="O171" i="20"/>
  <c r="R77" i="27" s="1"/>
  <c r="P171" i="20"/>
  <c r="S77" i="27" s="1"/>
  <c r="Q171" i="20"/>
  <c r="T77" i="27" s="1"/>
  <c r="P25" i="20"/>
  <c r="S84" i="27" s="1"/>
  <c r="O24" i="20"/>
  <c r="R80" i="27" s="1"/>
  <c r="O25" i="20"/>
  <c r="R84" i="27" s="1"/>
  <c r="P24" i="20"/>
  <c r="S80" i="27" s="1"/>
  <c r="N25" i="20"/>
  <c r="Q84" i="27" s="1"/>
  <c r="Q24" i="20"/>
  <c r="T80" i="27" s="1"/>
  <c r="L68" i="10"/>
  <c r="J67" i="10"/>
  <c r="L77" i="10"/>
  <c r="J76" i="10"/>
  <c r="J68" i="10"/>
  <c r="L76" i="10"/>
  <c r="N67" i="10"/>
  <c r="L67" i="10"/>
  <c r="J77" i="10"/>
  <c r="H68" i="10"/>
  <c r="L80" i="10"/>
  <c r="H77" i="10"/>
  <c r="N80" i="10"/>
  <c r="N76" i="10"/>
  <c r="J80" i="10"/>
  <c r="E179" i="20"/>
  <c r="F179" i="20"/>
  <c r="G179" i="20"/>
  <c r="H76" i="10"/>
  <c r="N75" i="10"/>
  <c r="H179" i="20"/>
  <c r="N77" i="10"/>
  <c r="J75" i="10"/>
  <c r="L75" i="10"/>
  <c r="G31" i="20"/>
  <c r="H67" i="10"/>
  <c r="E31" i="20"/>
  <c r="H31" i="20"/>
  <c r="F31" i="20"/>
  <c r="H75" i="10"/>
  <c r="U42" i="40" a="1"/>
  <c r="Z51" i="40" a="1"/>
  <c r="P50" i="40" a="1"/>
  <c r="U55" i="40" a="1"/>
  <c r="AE42" i="40" a="1"/>
  <c r="Z52" i="40" a="1"/>
  <c r="Z55" i="40" a="1"/>
  <c r="P2620" i="33" a="1"/>
  <c r="U51" i="40" a="1"/>
  <c r="U52" i="40" a="1"/>
  <c r="U50" i="40" a="1"/>
  <c r="P51" i="40" a="1"/>
  <c r="U43" i="40" a="1"/>
  <c r="AE51" i="40" a="1"/>
  <c r="AE50" i="40" a="1"/>
  <c r="P52" i="40" a="1"/>
  <c r="AE52" i="40" a="1"/>
  <c r="Z50" i="40" a="1"/>
  <c r="P42" i="40" a="1"/>
  <c r="AE55" i="40" a="1"/>
  <c r="P2609" i="33" a="1"/>
  <c r="Z42" i="40" a="1"/>
  <c r="Z43" i="40" a="1"/>
  <c r="P43" i="40" a="1"/>
  <c r="P2620" i="33" l="1"/>
  <c r="L2622" i="33"/>
  <c r="M2621" i="33"/>
  <c r="P2609" i="33"/>
  <c r="AE55" i="40"/>
  <c r="P52" i="40"/>
  <c r="Z51" i="40"/>
  <c r="Z55" i="40"/>
  <c r="P50" i="40"/>
  <c r="U51" i="40"/>
  <c r="Z52" i="40"/>
  <c r="P42" i="40"/>
  <c r="P43" i="40"/>
  <c r="U52" i="40"/>
  <c r="Z43" i="40"/>
  <c r="AE51" i="40"/>
  <c r="U43" i="40"/>
  <c r="AE50" i="40"/>
  <c r="P51" i="40"/>
  <c r="U42" i="40"/>
  <c r="Z50" i="40"/>
  <c r="Z42" i="40"/>
  <c r="AE52" i="40"/>
  <c r="U50" i="40"/>
  <c r="U55" i="40"/>
  <c r="AE42" i="40"/>
  <c r="N65" i="10"/>
  <c r="M118" i="27" a="1"/>
  <c r="M118" i="27" s="1"/>
  <c r="E5" i="20"/>
  <c r="F5" i="20"/>
  <c r="H5" i="20"/>
  <c r="G5" i="20"/>
  <c r="D122" i="27"/>
  <c r="J81" i="27"/>
  <c r="H74" i="10"/>
  <c r="N74" i="10"/>
  <c r="J74" i="10"/>
  <c r="L74" i="10"/>
  <c r="G80" i="27" a="1"/>
  <c r="G80" i="27" s="1"/>
  <c r="E81" i="27" a="1"/>
  <c r="E81" i="27" s="1"/>
  <c r="J85" i="27"/>
  <c r="D126" i="27"/>
  <c r="D83" i="27" a="1"/>
  <c r="D83" i="27" s="1"/>
  <c r="F83" i="27" a="1"/>
  <c r="F83" i="27" s="1"/>
  <c r="L83" i="27" s="1"/>
  <c r="F84" i="27" a="1"/>
  <c r="F84" i="27" s="1"/>
  <c r="G84" i="27" a="1"/>
  <c r="G84" i="27" s="1"/>
  <c r="D84" i="27" a="1"/>
  <c r="D84" i="27" s="1"/>
  <c r="R97" i="27"/>
  <c r="E85" i="27" s="1" a="1"/>
  <c r="E85" i="27" s="1"/>
  <c r="E84" i="27" a="1"/>
  <c r="E84" i="27" s="1"/>
  <c r="T97" i="27"/>
  <c r="G85" i="27" s="1" a="1"/>
  <c r="G85" i="27" s="1"/>
  <c r="G83" i="27" a="1"/>
  <c r="G83" i="27" s="1"/>
  <c r="M83" i="27" s="1"/>
  <c r="E83" i="27" a="1"/>
  <c r="E83" i="27" s="1"/>
  <c r="K83" i="27" s="1"/>
  <c r="S97" i="27"/>
  <c r="F85" i="27" s="1" a="1"/>
  <c r="F85" i="27" s="1"/>
  <c r="N31" i="20"/>
  <c r="O31" i="20"/>
  <c r="Q179" i="20"/>
  <c r="G81" i="27" a="1"/>
  <c r="G81" i="27" s="1"/>
  <c r="P179" i="20"/>
  <c r="F81" i="27" a="1"/>
  <c r="F81" i="27" s="1"/>
  <c r="O179" i="20"/>
  <c r="J65" i="10"/>
  <c r="P31" i="20"/>
  <c r="N179" i="20"/>
  <c r="Q31" i="20"/>
  <c r="D82" i="27" a="1"/>
  <c r="D82" i="27" s="1"/>
  <c r="H65" i="10"/>
  <c r="L65" i="10"/>
  <c r="Z40" i="40" a="1"/>
  <c r="AE40" i="40" a="1"/>
  <c r="P40" i="40" a="1"/>
  <c r="P49" i="40" a="1"/>
  <c r="AE49" i="40" a="1"/>
  <c r="U40" i="40" a="1"/>
  <c r="P2621" i="33" a="1"/>
  <c r="U49" i="40" a="1"/>
  <c r="Z49" i="40" a="1"/>
  <c r="P2621" i="33" l="1"/>
  <c r="M2622" i="33"/>
  <c r="L2623" i="33"/>
  <c r="D89" i="27"/>
  <c r="D91" i="27" a="1"/>
  <c r="D91" i="27" s="1"/>
  <c r="Z49" i="40"/>
  <c r="AE40" i="40"/>
  <c r="U40" i="40"/>
  <c r="U49" i="40"/>
  <c r="AE49" i="40"/>
  <c r="P49" i="40"/>
  <c r="P40" i="40"/>
  <c r="Z40" i="40"/>
  <c r="G121" i="27"/>
  <c r="H17" i="20"/>
  <c r="E17" i="20"/>
  <c r="M80" i="27"/>
  <c r="E80" i="27" a="1"/>
  <c r="E80" i="27" s="1"/>
  <c r="M81" i="27"/>
  <c r="G122" i="27"/>
  <c r="J84" i="27"/>
  <c r="D125" i="27"/>
  <c r="K84" i="27"/>
  <c r="E125" i="27"/>
  <c r="K85" i="27"/>
  <c r="E126" i="27"/>
  <c r="M84" i="27"/>
  <c r="G125" i="27"/>
  <c r="M85" i="27"/>
  <c r="G126" i="27"/>
  <c r="J82" i="27"/>
  <c r="D123" i="27"/>
  <c r="K81" i="27"/>
  <c r="E122" i="27"/>
  <c r="L84" i="27"/>
  <c r="F125" i="27"/>
  <c r="L81" i="27"/>
  <c r="F122" i="27"/>
  <c r="L85" i="27"/>
  <c r="F126" i="27"/>
  <c r="J83" i="27"/>
  <c r="G82" i="27" a="1"/>
  <c r="G82" i="27" s="1"/>
  <c r="G91" i="27" s="1" a="1"/>
  <c r="G91" i="27" s="1"/>
  <c r="F82" i="27" a="1"/>
  <c r="F82" i="27" s="1"/>
  <c r="F80" i="27" a="1"/>
  <c r="F80" i="27" s="1"/>
  <c r="E82" i="27" a="1"/>
  <c r="E82" i="27" s="1"/>
  <c r="F17" i="20"/>
  <c r="G17" i="20"/>
  <c r="F32" i="19"/>
  <c r="H18" i="10" s="1"/>
  <c r="P2622" i="33" a="1"/>
  <c r="P4" i="40" a="1"/>
  <c r="P2622" i="33" l="1"/>
  <c r="L2624" i="33"/>
  <c r="M2623" i="33"/>
  <c r="F89" i="27"/>
  <c r="F91" i="27" a="1"/>
  <c r="F91" i="27" s="1"/>
  <c r="E89" i="27"/>
  <c r="E91" i="27" a="1"/>
  <c r="E91" i="27" s="1"/>
  <c r="G89" i="27"/>
  <c r="J87" i="27"/>
  <c r="D95" i="27" s="1"/>
  <c r="P4" i="40"/>
  <c r="J18" i="10"/>
  <c r="E121" i="27"/>
  <c r="F121" i="27"/>
  <c r="K80" i="27"/>
  <c r="M82" i="27"/>
  <c r="G123" i="27"/>
  <c r="G132" i="27" s="1" a="1"/>
  <c r="G132" i="27" s="1"/>
  <c r="L82" i="27"/>
  <c r="F123" i="27"/>
  <c r="D121" i="27"/>
  <c r="K82" i="27"/>
  <c r="E123" i="27"/>
  <c r="L80" i="27"/>
  <c r="F30" i="19"/>
  <c r="U4" i="40" a="1"/>
  <c r="P2623" i="33" a="1"/>
  <c r="P2623" i="33" l="1"/>
  <c r="M2624" i="33"/>
  <c r="L2625" i="33"/>
  <c r="E132" i="27" a="1"/>
  <c r="E132" i="27" s="1"/>
  <c r="E130" i="27"/>
  <c r="G130" i="27"/>
  <c r="D130" i="27"/>
  <c r="D132" i="27" a="1"/>
  <c r="D132" i="27" s="1"/>
  <c r="F132" i="27" a="1"/>
  <c r="F132" i="27" s="1"/>
  <c r="F130" i="27"/>
  <c r="U4" i="40"/>
  <c r="L18" i="10"/>
  <c r="F52" i="19"/>
  <c r="F54" i="19" s="1"/>
  <c r="D24" i="19" s="1"/>
  <c r="H17" i="10"/>
  <c r="D99" i="27"/>
  <c r="L87" i="27"/>
  <c r="F95" i="27" s="1"/>
  <c r="K87" i="27"/>
  <c r="E95" i="27" s="1"/>
  <c r="M87" i="27"/>
  <c r="G95" i="27" s="1"/>
  <c r="D161" i="4"/>
  <c r="E161" i="4"/>
  <c r="F161" i="4"/>
  <c r="G161" i="4"/>
  <c r="D162" i="4"/>
  <c r="E162" i="4"/>
  <c r="F162" i="4"/>
  <c r="G162" i="4"/>
  <c r="D163" i="4"/>
  <c r="E163" i="4"/>
  <c r="F163" i="4"/>
  <c r="G163" i="4"/>
  <c r="D164" i="4"/>
  <c r="E164" i="4"/>
  <c r="F164" i="4"/>
  <c r="G164" i="4"/>
  <c r="P2624" i="33" a="1"/>
  <c r="Z4" i="40" a="1"/>
  <c r="P3" i="40" a="1"/>
  <c r="F18" i="19" l="1"/>
  <c r="I18" i="19"/>
  <c r="I19" i="19"/>
  <c r="I21" i="19"/>
  <c r="P2624" i="33"/>
  <c r="M2625" i="33"/>
  <c r="L2626" i="33"/>
  <c r="P3" i="40"/>
  <c r="Z4" i="40"/>
  <c r="N18" i="10"/>
  <c r="J17" i="10"/>
  <c r="D90" i="27"/>
  <c r="H139" i="10" s="1"/>
  <c r="D100" i="27"/>
  <c r="D24" i="27" s="1"/>
  <c r="E99" i="27"/>
  <c r="E100" i="27" s="1"/>
  <c r="E24" i="27" s="1"/>
  <c r="G99" i="27"/>
  <c r="G100" i="27" s="1"/>
  <c r="F99" i="27"/>
  <c r="F100" i="27" s="1"/>
  <c r="F24" i="27" s="1"/>
  <c r="D101" i="27"/>
  <c r="H138" i="10" s="1"/>
  <c r="G169" i="4"/>
  <c r="G167" i="4"/>
  <c r="G166" i="4"/>
  <c r="G168" i="4"/>
  <c r="G24" i="4"/>
  <c r="N39" i="10" s="1"/>
  <c r="F24" i="4"/>
  <c r="L39" i="10" s="1"/>
  <c r="J39" i="10"/>
  <c r="D24" i="4"/>
  <c r="H39" i="10" s="1"/>
  <c r="AE21" i="40" a="1"/>
  <c r="U21" i="40" a="1"/>
  <c r="U3" i="40" a="1"/>
  <c r="AE4" i="40" a="1"/>
  <c r="Z21" i="40" a="1"/>
  <c r="P21" i="40" a="1"/>
  <c r="P2625" i="33" a="1"/>
  <c r="I23" i="19" l="1"/>
  <c r="G18" i="19"/>
  <c r="H18" i="19"/>
  <c r="P2625" i="33"/>
  <c r="M2626" i="33"/>
  <c r="L2627" i="33"/>
  <c r="E144" i="27"/>
  <c r="D144" i="27"/>
  <c r="G24" i="27"/>
  <c r="Z109" i="27" s="1"/>
  <c r="Z120" i="27" s="1" a="1"/>
  <c r="Z120" i="27" s="1"/>
  <c r="G144" i="27"/>
  <c r="F144" i="27"/>
  <c r="U3" i="40"/>
  <c r="U21" i="40"/>
  <c r="AE4" i="40"/>
  <c r="P21" i="40"/>
  <c r="Z21" i="40"/>
  <c r="AE21" i="40"/>
  <c r="L17" i="10"/>
  <c r="Y109" i="27"/>
  <c r="W109" i="27"/>
  <c r="X109" i="27"/>
  <c r="G101" i="27"/>
  <c r="N138" i="10" s="1"/>
  <c r="E101" i="27"/>
  <c r="J138" i="10" s="1"/>
  <c r="F90" i="27"/>
  <c r="L139" i="10" s="1"/>
  <c r="G90" i="27"/>
  <c r="N139" i="10" s="1"/>
  <c r="F101" i="27"/>
  <c r="L138" i="10" s="1"/>
  <c r="E90" i="27"/>
  <c r="J139" i="10" s="1"/>
  <c r="D168" i="4"/>
  <c r="D166" i="4"/>
  <c r="D169" i="4"/>
  <c r="D167" i="4"/>
  <c r="E168" i="4"/>
  <c r="E169" i="4"/>
  <c r="E167" i="4"/>
  <c r="E166" i="4"/>
  <c r="F169" i="4"/>
  <c r="F167" i="4"/>
  <c r="F166" i="4"/>
  <c r="F168" i="4"/>
  <c r="G170" i="4"/>
  <c r="Z108" i="40" a="1"/>
  <c r="U107" i="40" a="1"/>
  <c r="Z3" i="40" a="1"/>
  <c r="AE108" i="40" a="1"/>
  <c r="P2626" i="33" a="1"/>
  <c r="AE107" i="40" a="1"/>
  <c r="Z107" i="40" a="1"/>
  <c r="U108" i="40" a="1"/>
  <c r="P2626" i="33" l="1"/>
  <c r="L2628" i="33"/>
  <c r="M2627" i="33"/>
  <c r="U108" i="40"/>
  <c r="Z3" i="40"/>
  <c r="AE108" i="40"/>
  <c r="Z107" i="40"/>
  <c r="Z108" i="40"/>
  <c r="U107" i="40"/>
  <c r="AE107" i="40"/>
  <c r="N17" i="10"/>
  <c r="D170" i="4"/>
  <c r="H46" i="10" s="1"/>
  <c r="N46" i="10"/>
  <c r="G17" i="4"/>
  <c r="G19" i="4" s="1"/>
  <c r="G48" i="27" s="1"/>
  <c r="E170" i="4"/>
  <c r="F170" i="4"/>
  <c r="P2627" i="33" a="1"/>
  <c r="P28" i="40" a="1"/>
  <c r="AE3" i="40" a="1"/>
  <c r="AE28" i="40" a="1"/>
  <c r="P2627" i="33" l="1"/>
  <c r="M2628" i="33"/>
  <c r="L2629" i="33"/>
  <c r="AE28" i="40"/>
  <c r="AE3" i="40"/>
  <c r="P28" i="40"/>
  <c r="D17" i="4"/>
  <c r="J46" i="10"/>
  <c r="E17" i="4"/>
  <c r="E19" i="4" s="1"/>
  <c r="E48" i="27" s="1"/>
  <c r="L46" i="10"/>
  <c r="F17" i="4"/>
  <c r="F19" i="4" s="1"/>
  <c r="F48" i="27" s="1"/>
  <c r="P2628" i="33" a="1"/>
  <c r="U28" i="40" a="1"/>
  <c r="Z28" i="40" a="1"/>
  <c r="P2628" i="33" l="1"/>
  <c r="M2629" i="33"/>
  <c r="L2630" i="33"/>
  <c r="Z28" i="40"/>
  <c r="U28" i="40"/>
  <c r="E145" i="27"/>
  <c r="E110" i="27"/>
  <c r="G131" i="27"/>
  <c r="F131" i="27"/>
  <c r="G110" i="27"/>
  <c r="G145" i="27"/>
  <c r="F145" i="27"/>
  <c r="F110" i="27"/>
  <c r="E131" i="27"/>
  <c r="J18" i="19"/>
  <c r="E19" i="19" s="1"/>
  <c r="D19" i="4"/>
  <c r="D48" i="27" s="1"/>
  <c r="F9" i="4"/>
  <c r="J95" i="4"/>
  <c r="I95" i="4"/>
  <c r="H95" i="4"/>
  <c r="G95" i="4"/>
  <c r="F95" i="4"/>
  <c r="E95" i="4"/>
  <c r="D95" i="4"/>
  <c r="J94" i="4"/>
  <c r="I94" i="4"/>
  <c r="H94" i="4"/>
  <c r="G94" i="4"/>
  <c r="F94" i="4"/>
  <c r="E94" i="4"/>
  <c r="D94" i="4"/>
  <c r="J93" i="4"/>
  <c r="I93" i="4"/>
  <c r="H93" i="4"/>
  <c r="G93" i="4"/>
  <c r="F93" i="4"/>
  <c r="E93" i="4"/>
  <c r="D93" i="4"/>
  <c r="J92" i="4"/>
  <c r="I92" i="4"/>
  <c r="H92" i="4"/>
  <c r="G92" i="4"/>
  <c r="F92" i="4"/>
  <c r="E92" i="4"/>
  <c r="D92" i="4"/>
  <c r="J91" i="4"/>
  <c r="I91" i="4"/>
  <c r="H91" i="4"/>
  <c r="G91" i="4"/>
  <c r="F91" i="4"/>
  <c r="E91" i="4"/>
  <c r="D91" i="4"/>
  <c r="J86" i="4"/>
  <c r="I86" i="4"/>
  <c r="H86" i="4"/>
  <c r="G86" i="4"/>
  <c r="F86" i="4"/>
  <c r="E86" i="4"/>
  <c r="D86" i="4"/>
  <c r="J85" i="4"/>
  <c r="I85" i="4"/>
  <c r="H85" i="4"/>
  <c r="G85" i="4"/>
  <c r="F85" i="4"/>
  <c r="E85" i="4"/>
  <c r="D85" i="4"/>
  <c r="J84" i="4"/>
  <c r="I84" i="4"/>
  <c r="H84" i="4"/>
  <c r="G84" i="4"/>
  <c r="F84" i="4"/>
  <c r="E84" i="4"/>
  <c r="D84" i="4"/>
  <c r="J83" i="4"/>
  <c r="I83" i="4"/>
  <c r="H83" i="4"/>
  <c r="G83" i="4"/>
  <c r="F83" i="4"/>
  <c r="E83" i="4"/>
  <c r="D83" i="4"/>
  <c r="J82" i="4"/>
  <c r="I82" i="4"/>
  <c r="H82" i="4"/>
  <c r="G82" i="4"/>
  <c r="F82" i="4"/>
  <c r="E82" i="4"/>
  <c r="D82" i="4"/>
  <c r="J77" i="4"/>
  <c r="I77" i="4"/>
  <c r="H77" i="4"/>
  <c r="G77" i="4"/>
  <c r="F77" i="4"/>
  <c r="E77" i="4"/>
  <c r="D77" i="4"/>
  <c r="J76" i="4"/>
  <c r="I76" i="4"/>
  <c r="H76" i="4"/>
  <c r="G76" i="4"/>
  <c r="F76" i="4"/>
  <c r="E76" i="4"/>
  <c r="D76" i="4"/>
  <c r="J75" i="4"/>
  <c r="I75" i="4"/>
  <c r="H75" i="4"/>
  <c r="G75" i="4"/>
  <c r="F75" i="4"/>
  <c r="E75" i="4"/>
  <c r="D75" i="4"/>
  <c r="J74" i="4"/>
  <c r="I74" i="4"/>
  <c r="H74" i="4"/>
  <c r="G74" i="4"/>
  <c r="F74" i="4"/>
  <c r="E74" i="4"/>
  <c r="D74" i="4"/>
  <c r="J73" i="4"/>
  <c r="I73" i="4"/>
  <c r="H73" i="4"/>
  <c r="G73" i="4"/>
  <c r="F73" i="4"/>
  <c r="E73" i="4"/>
  <c r="D73" i="4"/>
  <c r="E551" i="3"/>
  <c r="D551" i="3"/>
  <c r="G551" i="3" s="1"/>
  <c r="C551" i="3"/>
  <c r="B551" i="3"/>
  <c r="A551" i="3"/>
  <c r="H551" i="3" s="1"/>
  <c r="E550" i="3"/>
  <c r="D550" i="3"/>
  <c r="G550" i="3" s="1"/>
  <c r="C550" i="3"/>
  <c r="B550" i="3"/>
  <c r="A550" i="3"/>
  <c r="H550" i="3" s="1"/>
  <c r="E549" i="3"/>
  <c r="D549" i="3"/>
  <c r="G549" i="3" s="1"/>
  <c r="C549" i="3"/>
  <c r="B549" i="3"/>
  <c r="A549" i="3"/>
  <c r="H549" i="3" s="1"/>
  <c r="E548" i="3"/>
  <c r="D548" i="3"/>
  <c r="G548" i="3" s="1"/>
  <c r="C548" i="3"/>
  <c r="B548" i="3"/>
  <c r="A548" i="3"/>
  <c r="H548" i="3" s="1"/>
  <c r="E547" i="3"/>
  <c r="D547" i="3"/>
  <c r="G547" i="3" s="1"/>
  <c r="C547" i="3"/>
  <c r="B547" i="3"/>
  <c r="A547" i="3"/>
  <c r="H547" i="3" s="1"/>
  <c r="E546" i="3"/>
  <c r="D546" i="3"/>
  <c r="G546" i="3" s="1"/>
  <c r="C546" i="3"/>
  <c r="B546" i="3"/>
  <c r="A546" i="3"/>
  <c r="E545" i="3"/>
  <c r="D545" i="3"/>
  <c r="G545" i="3" s="1"/>
  <c r="C545" i="3"/>
  <c r="B545" i="3"/>
  <c r="A545" i="3"/>
  <c r="E544" i="3"/>
  <c r="D544" i="3"/>
  <c r="G544" i="3" s="1"/>
  <c r="C544" i="3"/>
  <c r="B544" i="3"/>
  <c r="A544" i="3"/>
  <c r="H544" i="3" s="1"/>
  <c r="E543" i="3"/>
  <c r="D543" i="3"/>
  <c r="G543" i="3" s="1"/>
  <c r="C543" i="3"/>
  <c r="B543" i="3"/>
  <c r="A543" i="3"/>
  <c r="H543" i="3" s="1"/>
  <c r="E542" i="3"/>
  <c r="D542" i="3"/>
  <c r="G542" i="3" s="1"/>
  <c r="C542" i="3"/>
  <c r="B542" i="3"/>
  <c r="A542" i="3"/>
  <c r="H542" i="3" s="1"/>
  <c r="E541" i="3"/>
  <c r="D541" i="3"/>
  <c r="G541" i="3" s="1"/>
  <c r="C541" i="3"/>
  <c r="B541" i="3"/>
  <c r="A541" i="3"/>
  <c r="H541" i="3" s="1"/>
  <c r="E540" i="3"/>
  <c r="D540" i="3"/>
  <c r="G540" i="3" s="1"/>
  <c r="C540" i="3"/>
  <c r="B540" i="3"/>
  <c r="A540" i="3"/>
  <c r="H540" i="3" s="1"/>
  <c r="E539" i="3"/>
  <c r="D539" i="3"/>
  <c r="G539" i="3" s="1"/>
  <c r="C539" i="3"/>
  <c r="B539" i="3"/>
  <c r="A539" i="3"/>
  <c r="H539" i="3" s="1"/>
  <c r="E538" i="3"/>
  <c r="D538" i="3"/>
  <c r="G538" i="3" s="1"/>
  <c r="C538" i="3"/>
  <c r="B538" i="3"/>
  <c r="A538" i="3"/>
  <c r="E537" i="3"/>
  <c r="D537" i="3"/>
  <c r="G537" i="3" s="1"/>
  <c r="C537" i="3"/>
  <c r="B537" i="3"/>
  <c r="A537" i="3"/>
  <c r="E536" i="3"/>
  <c r="D536" i="3"/>
  <c r="G536" i="3" s="1"/>
  <c r="C536" i="3"/>
  <c r="B536" i="3"/>
  <c r="A536" i="3"/>
  <c r="H536" i="3" s="1"/>
  <c r="E535" i="3"/>
  <c r="D535" i="3"/>
  <c r="G535" i="3" s="1"/>
  <c r="C535" i="3"/>
  <c r="B535" i="3"/>
  <c r="A535" i="3"/>
  <c r="H535" i="3" s="1"/>
  <c r="E534" i="3"/>
  <c r="D534" i="3"/>
  <c r="G534" i="3" s="1"/>
  <c r="C534" i="3"/>
  <c r="B534" i="3"/>
  <c r="A534" i="3"/>
  <c r="H534" i="3" s="1"/>
  <c r="E533" i="3"/>
  <c r="D533" i="3"/>
  <c r="G533" i="3" s="1"/>
  <c r="C533" i="3"/>
  <c r="B533" i="3"/>
  <c r="A533" i="3"/>
  <c r="H533" i="3" s="1"/>
  <c r="E532" i="3"/>
  <c r="D532" i="3"/>
  <c r="G532" i="3" s="1"/>
  <c r="C532" i="3"/>
  <c r="B532" i="3"/>
  <c r="A532" i="3"/>
  <c r="H532" i="3" s="1"/>
  <c r="E531" i="3"/>
  <c r="D531" i="3"/>
  <c r="G531" i="3" s="1"/>
  <c r="C531" i="3"/>
  <c r="B531" i="3"/>
  <c r="A531" i="3"/>
  <c r="H531" i="3" s="1"/>
  <c r="E530" i="3"/>
  <c r="D530" i="3"/>
  <c r="G530" i="3" s="1"/>
  <c r="C530" i="3"/>
  <c r="B530" i="3"/>
  <c r="A530" i="3"/>
  <c r="H530" i="3" s="1"/>
  <c r="E529" i="3"/>
  <c r="D529" i="3"/>
  <c r="G529" i="3" s="1"/>
  <c r="C529" i="3"/>
  <c r="B529" i="3"/>
  <c r="A529" i="3"/>
  <c r="E528" i="3"/>
  <c r="D528" i="3"/>
  <c r="G528" i="3" s="1"/>
  <c r="C528" i="3"/>
  <c r="B528" i="3"/>
  <c r="A528" i="3"/>
  <c r="H528" i="3" s="1"/>
  <c r="E527" i="3"/>
  <c r="D527" i="3"/>
  <c r="G527" i="3" s="1"/>
  <c r="C527" i="3"/>
  <c r="B527" i="3"/>
  <c r="A527" i="3"/>
  <c r="H527" i="3" s="1"/>
  <c r="E526" i="3"/>
  <c r="D526" i="3"/>
  <c r="G526" i="3" s="1"/>
  <c r="C526" i="3"/>
  <c r="B526" i="3"/>
  <c r="A526" i="3"/>
  <c r="H526" i="3" s="1"/>
  <c r="E525" i="3"/>
  <c r="D525" i="3"/>
  <c r="G525" i="3" s="1"/>
  <c r="C525" i="3"/>
  <c r="B525" i="3"/>
  <c r="A525" i="3"/>
  <c r="H525" i="3" s="1"/>
  <c r="E524" i="3"/>
  <c r="D524" i="3"/>
  <c r="G524" i="3" s="1"/>
  <c r="C524" i="3"/>
  <c r="B524" i="3"/>
  <c r="A524" i="3"/>
  <c r="H524" i="3" s="1"/>
  <c r="E523" i="3"/>
  <c r="D523" i="3"/>
  <c r="G523" i="3" s="1"/>
  <c r="C523" i="3"/>
  <c r="B523" i="3"/>
  <c r="A523" i="3"/>
  <c r="H523" i="3" s="1"/>
  <c r="E522" i="3"/>
  <c r="D522" i="3"/>
  <c r="G522" i="3" s="1"/>
  <c r="C522" i="3"/>
  <c r="B522" i="3"/>
  <c r="A522" i="3"/>
  <c r="H522" i="3" s="1"/>
  <c r="E521" i="3"/>
  <c r="D521" i="3"/>
  <c r="G521" i="3" s="1"/>
  <c r="C521" i="3"/>
  <c r="B521" i="3"/>
  <c r="A521" i="3"/>
  <c r="E520" i="3"/>
  <c r="D520" i="3"/>
  <c r="G520" i="3" s="1"/>
  <c r="C520" i="3"/>
  <c r="B520" i="3"/>
  <c r="A520" i="3"/>
  <c r="H520" i="3" s="1"/>
  <c r="E519" i="3"/>
  <c r="D519" i="3"/>
  <c r="G519" i="3" s="1"/>
  <c r="C519" i="3"/>
  <c r="B519" i="3"/>
  <c r="A519" i="3"/>
  <c r="H519" i="3" s="1"/>
  <c r="E518" i="3"/>
  <c r="D518" i="3"/>
  <c r="G518" i="3" s="1"/>
  <c r="C518" i="3"/>
  <c r="B518" i="3"/>
  <c r="A518" i="3"/>
  <c r="H518" i="3" s="1"/>
  <c r="E517" i="3"/>
  <c r="D517" i="3"/>
  <c r="G517" i="3" s="1"/>
  <c r="C517" i="3"/>
  <c r="B517" i="3"/>
  <c r="A517" i="3"/>
  <c r="H517" i="3" s="1"/>
  <c r="E516" i="3"/>
  <c r="D516" i="3"/>
  <c r="G516" i="3" s="1"/>
  <c r="C516" i="3"/>
  <c r="B516" i="3"/>
  <c r="A516" i="3"/>
  <c r="H516" i="3" s="1"/>
  <c r="E515" i="3"/>
  <c r="D515" i="3"/>
  <c r="G515" i="3" s="1"/>
  <c r="C515" i="3"/>
  <c r="B515" i="3"/>
  <c r="A515" i="3"/>
  <c r="H515" i="3" s="1"/>
  <c r="E514" i="3"/>
  <c r="D514" i="3"/>
  <c r="G514" i="3" s="1"/>
  <c r="C514" i="3"/>
  <c r="B514" i="3"/>
  <c r="A514" i="3"/>
  <c r="H514" i="3" s="1"/>
  <c r="E513" i="3"/>
  <c r="D513" i="3"/>
  <c r="G513" i="3" s="1"/>
  <c r="C513" i="3"/>
  <c r="B513" i="3"/>
  <c r="A513" i="3"/>
  <c r="E512" i="3"/>
  <c r="D512" i="3"/>
  <c r="G512" i="3" s="1"/>
  <c r="C512" i="3"/>
  <c r="B512" i="3"/>
  <c r="A512" i="3"/>
  <c r="H512" i="3" s="1"/>
  <c r="E511" i="3"/>
  <c r="D511" i="3"/>
  <c r="G511" i="3" s="1"/>
  <c r="C511" i="3"/>
  <c r="B511" i="3"/>
  <c r="A511" i="3"/>
  <c r="H511" i="3" s="1"/>
  <c r="E510" i="3"/>
  <c r="D510" i="3"/>
  <c r="G510" i="3" s="1"/>
  <c r="C510" i="3"/>
  <c r="B510" i="3"/>
  <c r="A510" i="3"/>
  <c r="H510" i="3" s="1"/>
  <c r="E509" i="3"/>
  <c r="D509" i="3"/>
  <c r="G509" i="3" s="1"/>
  <c r="C509" i="3"/>
  <c r="B509" i="3"/>
  <c r="A509" i="3"/>
  <c r="H509" i="3" s="1"/>
  <c r="E508" i="3"/>
  <c r="D508" i="3"/>
  <c r="G508" i="3" s="1"/>
  <c r="C508" i="3"/>
  <c r="B508" i="3"/>
  <c r="A508" i="3"/>
  <c r="H508" i="3" s="1"/>
  <c r="E507" i="3"/>
  <c r="D507" i="3"/>
  <c r="G507" i="3" s="1"/>
  <c r="C507" i="3"/>
  <c r="B507" i="3"/>
  <c r="A507" i="3"/>
  <c r="H507" i="3" s="1"/>
  <c r="E506" i="3"/>
  <c r="D506" i="3"/>
  <c r="G506" i="3" s="1"/>
  <c r="C506" i="3"/>
  <c r="B506" i="3"/>
  <c r="A506" i="3"/>
  <c r="H506" i="3" s="1"/>
  <c r="E505" i="3"/>
  <c r="D505" i="3"/>
  <c r="G505" i="3" s="1"/>
  <c r="C505" i="3"/>
  <c r="B505" i="3"/>
  <c r="A505" i="3"/>
  <c r="E504" i="3"/>
  <c r="D504" i="3"/>
  <c r="G504" i="3" s="1"/>
  <c r="C504" i="3"/>
  <c r="B504" i="3"/>
  <c r="A504" i="3"/>
  <c r="H504" i="3" s="1"/>
  <c r="E503" i="3"/>
  <c r="D503" i="3"/>
  <c r="G503" i="3" s="1"/>
  <c r="C503" i="3"/>
  <c r="B503" i="3"/>
  <c r="A503" i="3"/>
  <c r="H503" i="3" s="1"/>
  <c r="E502" i="3"/>
  <c r="D502" i="3"/>
  <c r="G502" i="3" s="1"/>
  <c r="C502" i="3"/>
  <c r="B502" i="3"/>
  <c r="A502" i="3"/>
  <c r="H502" i="3" s="1"/>
  <c r="E501" i="3"/>
  <c r="D501" i="3"/>
  <c r="G501" i="3" s="1"/>
  <c r="C501" i="3"/>
  <c r="B501" i="3"/>
  <c r="A501" i="3"/>
  <c r="H501" i="3" s="1"/>
  <c r="E500" i="3"/>
  <c r="D500" i="3"/>
  <c r="G500" i="3" s="1"/>
  <c r="C500" i="3"/>
  <c r="B500" i="3"/>
  <c r="A500" i="3"/>
  <c r="H500" i="3" s="1"/>
  <c r="E499" i="3"/>
  <c r="D499" i="3"/>
  <c r="G499" i="3" s="1"/>
  <c r="C499" i="3"/>
  <c r="B499" i="3"/>
  <c r="A499" i="3"/>
  <c r="H499" i="3" s="1"/>
  <c r="E498" i="3"/>
  <c r="D498" i="3"/>
  <c r="G498" i="3" s="1"/>
  <c r="C498" i="3"/>
  <c r="B498" i="3"/>
  <c r="A498" i="3"/>
  <c r="H498" i="3" s="1"/>
  <c r="E497" i="3"/>
  <c r="D497" i="3"/>
  <c r="G497" i="3" s="1"/>
  <c r="C497" i="3"/>
  <c r="B497" i="3"/>
  <c r="A497" i="3"/>
  <c r="H497" i="3" s="1"/>
  <c r="E496" i="3"/>
  <c r="D496" i="3"/>
  <c r="G496" i="3" s="1"/>
  <c r="C496" i="3"/>
  <c r="B496" i="3"/>
  <c r="A496" i="3"/>
  <c r="H496" i="3" s="1"/>
  <c r="E495" i="3"/>
  <c r="D495" i="3"/>
  <c r="G495" i="3" s="1"/>
  <c r="C495" i="3"/>
  <c r="B495" i="3"/>
  <c r="A495" i="3"/>
  <c r="H495" i="3" s="1"/>
  <c r="E494" i="3"/>
  <c r="D494" i="3"/>
  <c r="G494" i="3" s="1"/>
  <c r="C494" i="3"/>
  <c r="B494" i="3"/>
  <c r="A494" i="3"/>
  <c r="H494" i="3" s="1"/>
  <c r="E493" i="3"/>
  <c r="D493" i="3"/>
  <c r="G493" i="3" s="1"/>
  <c r="C493" i="3"/>
  <c r="B493" i="3"/>
  <c r="A493" i="3"/>
  <c r="H493" i="3" s="1"/>
  <c r="E492" i="3"/>
  <c r="D492" i="3"/>
  <c r="G492" i="3" s="1"/>
  <c r="C492" i="3"/>
  <c r="B492" i="3"/>
  <c r="A492" i="3"/>
  <c r="H492" i="3" s="1"/>
  <c r="E491" i="3"/>
  <c r="D491" i="3"/>
  <c r="G491" i="3" s="1"/>
  <c r="C491" i="3"/>
  <c r="B491" i="3"/>
  <c r="A491" i="3"/>
  <c r="E490" i="3"/>
  <c r="D490" i="3"/>
  <c r="G490" i="3" s="1"/>
  <c r="C490" i="3"/>
  <c r="B490" i="3"/>
  <c r="A490" i="3"/>
  <c r="H490" i="3" s="1"/>
  <c r="E489" i="3"/>
  <c r="D489" i="3"/>
  <c r="G489" i="3" s="1"/>
  <c r="C489" i="3"/>
  <c r="B489" i="3"/>
  <c r="A489" i="3"/>
  <c r="E488" i="3"/>
  <c r="D488" i="3"/>
  <c r="G488" i="3" s="1"/>
  <c r="C488" i="3"/>
  <c r="B488" i="3"/>
  <c r="A488" i="3"/>
  <c r="H488" i="3" s="1"/>
  <c r="E487" i="3"/>
  <c r="D487" i="3"/>
  <c r="G487" i="3" s="1"/>
  <c r="C487" i="3"/>
  <c r="B487" i="3"/>
  <c r="A487" i="3"/>
  <c r="H487" i="3" s="1"/>
  <c r="E486" i="3"/>
  <c r="D486" i="3"/>
  <c r="G486" i="3" s="1"/>
  <c r="C486" i="3"/>
  <c r="B486" i="3"/>
  <c r="A486" i="3"/>
  <c r="H486" i="3" s="1"/>
  <c r="E485" i="3"/>
  <c r="D485" i="3"/>
  <c r="G485" i="3" s="1"/>
  <c r="C485" i="3"/>
  <c r="B485" i="3"/>
  <c r="A485" i="3"/>
  <c r="H485" i="3" s="1"/>
  <c r="E484" i="3"/>
  <c r="D484" i="3"/>
  <c r="G484" i="3" s="1"/>
  <c r="C484" i="3"/>
  <c r="B484" i="3"/>
  <c r="A484" i="3"/>
  <c r="H484" i="3" s="1"/>
  <c r="E483" i="3"/>
  <c r="D483" i="3"/>
  <c r="G483" i="3" s="1"/>
  <c r="C483" i="3"/>
  <c r="B483" i="3"/>
  <c r="A483" i="3"/>
  <c r="E482" i="3"/>
  <c r="D482" i="3"/>
  <c r="G482" i="3" s="1"/>
  <c r="C482" i="3"/>
  <c r="B482" i="3"/>
  <c r="A482" i="3"/>
  <c r="H482" i="3" s="1"/>
  <c r="E481" i="3"/>
  <c r="D481" i="3"/>
  <c r="G481" i="3" s="1"/>
  <c r="C481" i="3"/>
  <c r="B481" i="3"/>
  <c r="A481" i="3"/>
  <c r="E480" i="3"/>
  <c r="D480" i="3"/>
  <c r="G480" i="3" s="1"/>
  <c r="C480" i="3"/>
  <c r="B480" i="3"/>
  <c r="A480" i="3"/>
  <c r="H480" i="3" s="1"/>
  <c r="E479" i="3"/>
  <c r="D479" i="3"/>
  <c r="G479" i="3" s="1"/>
  <c r="C479" i="3"/>
  <c r="B479" i="3"/>
  <c r="A479" i="3"/>
  <c r="H479" i="3" s="1"/>
  <c r="E478" i="3"/>
  <c r="D478" i="3"/>
  <c r="G478" i="3" s="1"/>
  <c r="C478" i="3"/>
  <c r="B478" i="3"/>
  <c r="A478" i="3"/>
  <c r="H478" i="3" s="1"/>
  <c r="E477" i="3"/>
  <c r="D477" i="3"/>
  <c r="G477" i="3" s="1"/>
  <c r="C477" i="3"/>
  <c r="B477" i="3"/>
  <c r="A477" i="3"/>
  <c r="H477" i="3" s="1"/>
  <c r="E476" i="3"/>
  <c r="D476" i="3"/>
  <c r="G476" i="3" s="1"/>
  <c r="C476" i="3"/>
  <c r="B476" i="3"/>
  <c r="A476" i="3"/>
  <c r="H476" i="3" s="1"/>
  <c r="E475" i="3"/>
  <c r="D475" i="3"/>
  <c r="G475" i="3" s="1"/>
  <c r="C475" i="3"/>
  <c r="B475" i="3"/>
  <c r="A475" i="3"/>
  <c r="E474" i="3"/>
  <c r="D474" i="3"/>
  <c r="G474" i="3" s="1"/>
  <c r="C474" i="3"/>
  <c r="B474" i="3"/>
  <c r="A474" i="3"/>
  <c r="H474" i="3" s="1"/>
  <c r="E473" i="3"/>
  <c r="D473" i="3"/>
  <c r="G473" i="3" s="1"/>
  <c r="C473" i="3"/>
  <c r="B473" i="3"/>
  <c r="A473" i="3"/>
  <c r="E472" i="3"/>
  <c r="D472" i="3"/>
  <c r="G472" i="3" s="1"/>
  <c r="C472" i="3"/>
  <c r="B472" i="3"/>
  <c r="A472" i="3"/>
  <c r="H472" i="3" s="1"/>
  <c r="E471" i="3"/>
  <c r="D471" i="3"/>
  <c r="G471" i="3" s="1"/>
  <c r="C471" i="3"/>
  <c r="B471" i="3"/>
  <c r="A471" i="3"/>
  <c r="H471" i="3" s="1"/>
  <c r="E470" i="3"/>
  <c r="D470" i="3"/>
  <c r="G470" i="3" s="1"/>
  <c r="C470" i="3"/>
  <c r="B470" i="3"/>
  <c r="A470" i="3"/>
  <c r="H470" i="3" s="1"/>
  <c r="E469" i="3"/>
  <c r="D469" i="3"/>
  <c r="G469" i="3" s="1"/>
  <c r="C469" i="3"/>
  <c r="B469" i="3"/>
  <c r="A469" i="3"/>
  <c r="H469" i="3" s="1"/>
  <c r="E468" i="3"/>
  <c r="D468" i="3"/>
  <c r="G468" i="3" s="1"/>
  <c r="C468" i="3"/>
  <c r="B468" i="3"/>
  <c r="A468" i="3"/>
  <c r="H468" i="3" s="1"/>
  <c r="E467" i="3"/>
  <c r="D467" i="3"/>
  <c r="G467" i="3" s="1"/>
  <c r="C467" i="3"/>
  <c r="B467" i="3"/>
  <c r="A467" i="3"/>
  <c r="E466" i="3"/>
  <c r="D466" i="3"/>
  <c r="G466" i="3" s="1"/>
  <c r="C466" i="3"/>
  <c r="B466" i="3"/>
  <c r="A466" i="3"/>
  <c r="H466" i="3" s="1"/>
  <c r="E465" i="3"/>
  <c r="D465" i="3"/>
  <c r="G465" i="3" s="1"/>
  <c r="C465" i="3"/>
  <c r="B465" i="3"/>
  <c r="A465" i="3"/>
  <c r="E464" i="3"/>
  <c r="D464" i="3"/>
  <c r="G464" i="3" s="1"/>
  <c r="C464" i="3"/>
  <c r="B464" i="3"/>
  <c r="A464" i="3"/>
  <c r="H464" i="3" s="1"/>
  <c r="E463" i="3"/>
  <c r="D463" i="3"/>
  <c r="G463" i="3" s="1"/>
  <c r="C463" i="3"/>
  <c r="B463" i="3"/>
  <c r="A463" i="3"/>
  <c r="H463" i="3" s="1"/>
  <c r="E462" i="3"/>
  <c r="D462" i="3"/>
  <c r="G462" i="3" s="1"/>
  <c r="C462" i="3"/>
  <c r="B462" i="3"/>
  <c r="A462" i="3"/>
  <c r="H462" i="3" s="1"/>
  <c r="E461" i="3"/>
  <c r="D461" i="3"/>
  <c r="G461" i="3" s="1"/>
  <c r="C461" i="3"/>
  <c r="B461" i="3"/>
  <c r="A461" i="3"/>
  <c r="H461" i="3" s="1"/>
  <c r="E460" i="3"/>
  <c r="D460" i="3"/>
  <c r="G460" i="3" s="1"/>
  <c r="C460" i="3"/>
  <c r="B460" i="3"/>
  <c r="A460" i="3"/>
  <c r="H460" i="3" s="1"/>
  <c r="E459" i="3"/>
  <c r="D459" i="3"/>
  <c r="G459" i="3" s="1"/>
  <c r="C459" i="3"/>
  <c r="B459" i="3"/>
  <c r="A459" i="3"/>
  <c r="E458" i="3"/>
  <c r="D458" i="3"/>
  <c r="G458" i="3" s="1"/>
  <c r="C458" i="3"/>
  <c r="B458" i="3"/>
  <c r="A458" i="3"/>
  <c r="H458" i="3" s="1"/>
  <c r="E457" i="3"/>
  <c r="D457" i="3"/>
  <c r="G457" i="3" s="1"/>
  <c r="C457" i="3"/>
  <c r="B457" i="3"/>
  <c r="A457" i="3"/>
  <c r="E456" i="3"/>
  <c r="D456" i="3"/>
  <c r="G456" i="3" s="1"/>
  <c r="C456" i="3"/>
  <c r="B456" i="3"/>
  <c r="A456" i="3"/>
  <c r="H456" i="3" s="1"/>
  <c r="E455" i="3"/>
  <c r="D455" i="3"/>
  <c r="G455" i="3" s="1"/>
  <c r="C455" i="3"/>
  <c r="B455" i="3"/>
  <c r="A455" i="3"/>
  <c r="E454" i="3"/>
  <c r="D454" i="3"/>
  <c r="G454" i="3" s="1"/>
  <c r="C454" i="3"/>
  <c r="B454" i="3"/>
  <c r="A454" i="3"/>
  <c r="H454" i="3" s="1"/>
  <c r="E453" i="3"/>
  <c r="D453" i="3"/>
  <c r="G453" i="3" s="1"/>
  <c r="C453" i="3"/>
  <c r="B453" i="3"/>
  <c r="A453" i="3"/>
  <c r="H453" i="3" s="1"/>
  <c r="E452" i="3"/>
  <c r="D452" i="3"/>
  <c r="G452" i="3" s="1"/>
  <c r="C452" i="3"/>
  <c r="B452" i="3"/>
  <c r="A452" i="3"/>
  <c r="H452" i="3" s="1"/>
  <c r="E451" i="3"/>
  <c r="D451" i="3"/>
  <c r="G451" i="3" s="1"/>
  <c r="C451" i="3"/>
  <c r="B451" i="3"/>
  <c r="A451" i="3"/>
  <c r="E450" i="3"/>
  <c r="D450" i="3"/>
  <c r="G450" i="3" s="1"/>
  <c r="C450" i="3"/>
  <c r="B450" i="3"/>
  <c r="A450" i="3"/>
  <c r="H450" i="3" s="1"/>
  <c r="E449" i="3"/>
  <c r="D449" i="3"/>
  <c r="G449" i="3" s="1"/>
  <c r="C449" i="3"/>
  <c r="B449" i="3"/>
  <c r="A449" i="3"/>
  <c r="E448" i="3"/>
  <c r="D448" i="3"/>
  <c r="G448" i="3" s="1"/>
  <c r="C448" i="3"/>
  <c r="B448" i="3"/>
  <c r="A448" i="3"/>
  <c r="H448" i="3" s="1"/>
  <c r="E447" i="3"/>
  <c r="D447" i="3"/>
  <c r="G447" i="3" s="1"/>
  <c r="C447" i="3"/>
  <c r="B447" i="3"/>
  <c r="A447" i="3"/>
  <c r="E446" i="3"/>
  <c r="D446" i="3"/>
  <c r="G446" i="3" s="1"/>
  <c r="C446" i="3"/>
  <c r="B446" i="3"/>
  <c r="A446" i="3"/>
  <c r="H446" i="3" s="1"/>
  <c r="E445" i="3"/>
  <c r="D445" i="3"/>
  <c r="G445" i="3" s="1"/>
  <c r="C445" i="3"/>
  <c r="B445" i="3"/>
  <c r="A445" i="3"/>
  <c r="H445" i="3" s="1"/>
  <c r="E444" i="3"/>
  <c r="D444" i="3"/>
  <c r="G444" i="3" s="1"/>
  <c r="C444" i="3"/>
  <c r="B444" i="3"/>
  <c r="A444" i="3"/>
  <c r="H444" i="3" s="1"/>
  <c r="E443" i="3"/>
  <c r="D443" i="3"/>
  <c r="G443" i="3" s="1"/>
  <c r="C443" i="3"/>
  <c r="B443" i="3"/>
  <c r="A443" i="3"/>
  <c r="H443" i="3" s="1"/>
  <c r="E442" i="3"/>
  <c r="D442" i="3"/>
  <c r="G442" i="3" s="1"/>
  <c r="C442" i="3"/>
  <c r="B442" i="3"/>
  <c r="A442" i="3"/>
  <c r="H442" i="3" s="1"/>
  <c r="E441" i="3"/>
  <c r="D441" i="3"/>
  <c r="G441" i="3" s="1"/>
  <c r="C441" i="3"/>
  <c r="B441" i="3"/>
  <c r="A441" i="3"/>
  <c r="H441" i="3" s="1"/>
  <c r="E440" i="3"/>
  <c r="D440" i="3"/>
  <c r="G440" i="3" s="1"/>
  <c r="C440" i="3"/>
  <c r="B440" i="3"/>
  <c r="A440" i="3"/>
  <c r="H440" i="3" s="1"/>
  <c r="E439" i="3"/>
  <c r="D439" i="3"/>
  <c r="G439" i="3" s="1"/>
  <c r="C439" i="3"/>
  <c r="B439" i="3"/>
  <c r="A439" i="3"/>
  <c r="H439" i="3" s="1"/>
  <c r="E438" i="3"/>
  <c r="D438" i="3"/>
  <c r="G438" i="3" s="1"/>
  <c r="C438" i="3"/>
  <c r="B438" i="3"/>
  <c r="A438" i="3"/>
  <c r="H438" i="3" s="1"/>
  <c r="E437" i="3"/>
  <c r="D437" i="3"/>
  <c r="G437" i="3" s="1"/>
  <c r="C437" i="3"/>
  <c r="B437" i="3"/>
  <c r="A437" i="3"/>
  <c r="H437" i="3" s="1"/>
  <c r="E436" i="3"/>
  <c r="D436" i="3"/>
  <c r="G436" i="3" s="1"/>
  <c r="C436" i="3"/>
  <c r="B436" i="3"/>
  <c r="A436" i="3"/>
  <c r="E435" i="3"/>
  <c r="D435" i="3"/>
  <c r="G435" i="3" s="1"/>
  <c r="C435" i="3"/>
  <c r="B435" i="3"/>
  <c r="A435" i="3"/>
  <c r="E434" i="3"/>
  <c r="D434" i="3"/>
  <c r="G434" i="3" s="1"/>
  <c r="C434" i="3"/>
  <c r="B434" i="3"/>
  <c r="A434" i="3"/>
  <c r="E433" i="3"/>
  <c r="D433" i="3"/>
  <c r="G433" i="3" s="1"/>
  <c r="C433" i="3"/>
  <c r="B433" i="3"/>
  <c r="A433" i="3"/>
  <c r="E432" i="3"/>
  <c r="D432" i="3"/>
  <c r="G432" i="3" s="1"/>
  <c r="C432" i="3"/>
  <c r="B432" i="3"/>
  <c r="A432" i="3"/>
  <c r="E431" i="3"/>
  <c r="D431" i="3"/>
  <c r="G431" i="3" s="1"/>
  <c r="C431" i="3"/>
  <c r="B431" i="3"/>
  <c r="A431" i="3"/>
  <c r="E430" i="3"/>
  <c r="D430" i="3"/>
  <c r="G430" i="3" s="1"/>
  <c r="C430" i="3"/>
  <c r="B430" i="3"/>
  <c r="A430" i="3"/>
  <c r="E429" i="3"/>
  <c r="D429" i="3"/>
  <c r="G429" i="3" s="1"/>
  <c r="C429" i="3"/>
  <c r="B429" i="3"/>
  <c r="A429" i="3"/>
  <c r="E428" i="3"/>
  <c r="D428" i="3"/>
  <c r="G428" i="3" s="1"/>
  <c r="C428" i="3"/>
  <c r="B428" i="3"/>
  <c r="A428" i="3"/>
  <c r="E427" i="3"/>
  <c r="D427" i="3"/>
  <c r="G427" i="3" s="1"/>
  <c r="C427" i="3"/>
  <c r="B427" i="3"/>
  <c r="A427" i="3"/>
  <c r="E426" i="3"/>
  <c r="D426" i="3"/>
  <c r="G426" i="3" s="1"/>
  <c r="C426" i="3"/>
  <c r="B426" i="3"/>
  <c r="A426" i="3"/>
  <c r="E425" i="3"/>
  <c r="D425" i="3"/>
  <c r="G425" i="3" s="1"/>
  <c r="C425" i="3"/>
  <c r="B425" i="3"/>
  <c r="A425" i="3"/>
  <c r="E424" i="3"/>
  <c r="D424" i="3"/>
  <c r="G424" i="3" s="1"/>
  <c r="C424" i="3"/>
  <c r="B424" i="3"/>
  <c r="A424" i="3"/>
  <c r="E423" i="3"/>
  <c r="D423" i="3"/>
  <c r="G423" i="3" s="1"/>
  <c r="C423" i="3"/>
  <c r="B423" i="3"/>
  <c r="A423" i="3"/>
  <c r="E422" i="3"/>
  <c r="D422" i="3"/>
  <c r="G422" i="3" s="1"/>
  <c r="C422" i="3"/>
  <c r="B422" i="3"/>
  <c r="A422" i="3"/>
  <c r="E421" i="3"/>
  <c r="D421" i="3"/>
  <c r="G421" i="3" s="1"/>
  <c r="C421" i="3"/>
  <c r="B421" i="3"/>
  <c r="A421" i="3"/>
  <c r="E420" i="3"/>
  <c r="D420" i="3"/>
  <c r="G420" i="3" s="1"/>
  <c r="C420" i="3"/>
  <c r="B420" i="3"/>
  <c r="A420" i="3"/>
  <c r="E419" i="3"/>
  <c r="D419" i="3"/>
  <c r="G419" i="3" s="1"/>
  <c r="C419" i="3"/>
  <c r="B419" i="3"/>
  <c r="A419" i="3"/>
  <c r="E418" i="3"/>
  <c r="D418" i="3"/>
  <c r="G418" i="3" s="1"/>
  <c r="C418" i="3"/>
  <c r="B418" i="3"/>
  <c r="A418" i="3"/>
  <c r="E417" i="3"/>
  <c r="D417" i="3"/>
  <c r="G417" i="3" s="1"/>
  <c r="C417" i="3"/>
  <c r="B417" i="3"/>
  <c r="A417" i="3"/>
  <c r="E416" i="3"/>
  <c r="D416" i="3"/>
  <c r="G416" i="3" s="1"/>
  <c r="C416" i="3"/>
  <c r="B416" i="3"/>
  <c r="A416" i="3"/>
  <c r="E415" i="3"/>
  <c r="D415" i="3"/>
  <c r="G415" i="3" s="1"/>
  <c r="C415" i="3"/>
  <c r="B415" i="3"/>
  <c r="A415" i="3"/>
  <c r="E414" i="3"/>
  <c r="D414" i="3"/>
  <c r="G414" i="3" s="1"/>
  <c r="C414" i="3"/>
  <c r="B414" i="3"/>
  <c r="A414" i="3"/>
  <c r="E413" i="3"/>
  <c r="D413" i="3"/>
  <c r="G413" i="3" s="1"/>
  <c r="C413" i="3"/>
  <c r="B413" i="3"/>
  <c r="A413" i="3"/>
  <c r="E412" i="3"/>
  <c r="D412" i="3"/>
  <c r="G412" i="3" s="1"/>
  <c r="C412" i="3"/>
  <c r="B412" i="3"/>
  <c r="A412" i="3"/>
  <c r="E411" i="3"/>
  <c r="D411" i="3"/>
  <c r="G411" i="3" s="1"/>
  <c r="C411" i="3"/>
  <c r="B411" i="3"/>
  <c r="A411" i="3"/>
  <c r="E410" i="3"/>
  <c r="D410" i="3"/>
  <c r="G410" i="3" s="1"/>
  <c r="C410" i="3"/>
  <c r="B410" i="3"/>
  <c r="A410" i="3"/>
  <c r="E409" i="3"/>
  <c r="D409" i="3"/>
  <c r="G409" i="3" s="1"/>
  <c r="C409" i="3"/>
  <c r="B409" i="3"/>
  <c r="A409" i="3"/>
  <c r="E408" i="3"/>
  <c r="D408" i="3"/>
  <c r="G408" i="3" s="1"/>
  <c r="C408" i="3"/>
  <c r="B408" i="3"/>
  <c r="A408" i="3"/>
  <c r="E407" i="3"/>
  <c r="D407" i="3"/>
  <c r="G407" i="3" s="1"/>
  <c r="C407" i="3"/>
  <c r="B407" i="3"/>
  <c r="A407" i="3"/>
  <c r="E406" i="3"/>
  <c r="D406" i="3"/>
  <c r="G406" i="3" s="1"/>
  <c r="C406" i="3"/>
  <c r="B406" i="3"/>
  <c r="A406" i="3"/>
  <c r="E405" i="3"/>
  <c r="D405" i="3"/>
  <c r="G405" i="3" s="1"/>
  <c r="C405" i="3"/>
  <c r="B405" i="3"/>
  <c r="A405" i="3"/>
  <c r="E404" i="3"/>
  <c r="D404" i="3"/>
  <c r="G404" i="3" s="1"/>
  <c r="C404" i="3"/>
  <c r="B404" i="3"/>
  <c r="A404" i="3"/>
  <c r="E403" i="3"/>
  <c r="D403" i="3"/>
  <c r="G403" i="3" s="1"/>
  <c r="C403" i="3"/>
  <c r="B403" i="3"/>
  <c r="A403" i="3"/>
  <c r="E402" i="3"/>
  <c r="D402" i="3"/>
  <c r="G402" i="3" s="1"/>
  <c r="C402" i="3"/>
  <c r="B402" i="3"/>
  <c r="A402" i="3"/>
  <c r="E401" i="3"/>
  <c r="D401" i="3"/>
  <c r="G401" i="3" s="1"/>
  <c r="C401" i="3"/>
  <c r="B401" i="3"/>
  <c r="A401" i="3"/>
  <c r="E400" i="3"/>
  <c r="D400" i="3"/>
  <c r="G400" i="3" s="1"/>
  <c r="C400" i="3"/>
  <c r="B400" i="3"/>
  <c r="A400" i="3"/>
  <c r="E399" i="3"/>
  <c r="D399" i="3"/>
  <c r="G399" i="3" s="1"/>
  <c r="C399" i="3"/>
  <c r="B399" i="3"/>
  <c r="A399" i="3"/>
  <c r="E398" i="3"/>
  <c r="D398" i="3"/>
  <c r="G398" i="3" s="1"/>
  <c r="C398" i="3"/>
  <c r="B398" i="3"/>
  <c r="A398" i="3"/>
  <c r="E397" i="3"/>
  <c r="D397" i="3"/>
  <c r="G397" i="3" s="1"/>
  <c r="C397" i="3"/>
  <c r="B397" i="3"/>
  <c r="A397" i="3"/>
  <c r="E396" i="3"/>
  <c r="D396" i="3"/>
  <c r="G396" i="3" s="1"/>
  <c r="C396" i="3"/>
  <c r="B396" i="3"/>
  <c r="A396" i="3"/>
  <c r="E395" i="3"/>
  <c r="D395" i="3"/>
  <c r="G395" i="3" s="1"/>
  <c r="C395" i="3"/>
  <c r="B395" i="3"/>
  <c r="A395" i="3"/>
  <c r="E394" i="3"/>
  <c r="D394" i="3"/>
  <c r="G394" i="3" s="1"/>
  <c r="C394" i="3"/>
  <c r="B394" i="3"/>
  <c r="A394" i="3"/>
  <c r="E393" i="3"/>
  <c r="D393" i="3"/>
  <c r="G393" i="3" s="1"/>
  <c r="C393" i="3"/>
  <c r="B393" i="3"/>
  <c r="A393" i="3"/>
  <c r="E392" i="3"/>
  <c r="D392" i="3"/>
  <c r="G392" i="3" s="1"/>
  <c r="C392" i="3"/>
  <c r="B392" i="3"/>
  <c r="A392" i="3"/>
  <c r="E391" i="3"/>
  <c r="D391" i="3"/>
  <c r="G391" i="3" s="1"/>
  <c r="C391" i="3"/>
  <c r="B391" i="3"/>
  <c r="A391" i="3"/>
  <c r="E390" i="3"/>
  <c r="D390" i="3"/>
  <c r="G390" i="3" s="1"/>
  <c r="C390" i="3"/>
  <c r="B390" i="3"/>
  <c r="A390" i="3"/>
  <c r="E389" i="3"/>
  <c r="D389" i="3"/>
  <c r="G389" i="3" s="1"/>
  <c r="C389" i="3"/>
  <c r="B389" i="3"/>
  <c r="A389" i="3"/>
  <c r="E388" i="3"/>
  <c r="D388" i="3"/>
  <c r="G388" i="3" s="1"/>
  <c r="C388" i="3"/>
  <c r="B388" i="3"/>
  <c r="A388" i="3"/>
  <c r="E387" i="3"/>
  <c r="D387" i="3"/>
  <c r="G387" i="3" s="1"/>
  <c r="C387" i="3"/>
  <c r="B387" i="3"/>
  <c r="A387" i="3"/>
  <c r="E386" i="3"/>
  <c r="D386" i="3"/>
  <c r="G386" i="3" s="1"/>
  <c r="C386" i="3"/>
  <c r="B386" i="3"/>
  <c r="A386" i="3"/>
  <c r="H386" i="3" s="1"/>
  <c r="E385" i="3"/>
  <c r="D385" i="3"/>
  <c r="G385" i="3" s="1"/>
  <c r="C385" i="3"/>
  <c r="B385" i="3"/>
  <c r="A385" i="3"/>
  <c r="H385" i="3" s="1"/>
  <c r="E384" i="3"/>
  <c r="D384" i="3"/>
  <c r="G384" i="3" s="1"/>
  <c r="C384" i="3"/>
  <c r="B384" i="3"/>
  <c r="A384" i="3"/>
  <c r="H384" i="3" s="1"/>
  <c r="E383" i="3"/>
  <c r="D383" i="3"/>
  <c r="G383" i="3" s="1"/>
  <c r="C383" i="3"/>
  <c r="B383" i="3"/>
  <c r="A383" i="3"/>
  <c r="H383" i="3" s="1"/>
  <c r="E382" i="3"/>
  <c r="D382" i="3"/>
  <c r="G382" i="3" s="1"/>
  <c r="C382" i="3"/>
  <c r="B382" i="3"/>
  <c r="A382" i="3"/>
  <c r="H382" i="3" s="1"/>
  <c r="E381" i="3"/>
  <c r="D381" i="3"/>
  <c r="G381" i="3" s="1"/>
  <c r="C381" i="3"/>
  <c r="B381" i="3"/>
  <c r="A381" i="3"/>
  <c r="E380" i="3"/>
  <c r="D380" i="3"/>
  <c r="G380" i="3" s="1"/>
  <c r="C380" i="3"/>
  <c r="B380" i="3"/>
  <c r="A380" i="3"/>
  <c r="E379" i="3"/>
  <c r="D379" i="3"/>
  <c r="G379" i="3" s="1"/>
  <c r="C379" i="3"/>
  <c r="B379" i="3"/>
  <c r="A379" i="3"/>
  <c r="E378" i="3"/>
  <c r="D378" i="3"/>
  <c r="G378" i="3" s="1"/>
  <c r="C378" i="3"/>
  <c r="B378" i="3"/>
  <c r="A378" i="3"/>
  <c r="E377" i="3"/>
  <c r="D377" i="3"/>
  <c r="G377" i="3" s="1"/>
  <c r="C377" i="3"/>
  <c r="B377" i="3"/>
  <c r="A377" i="3"/>
  <c r="E376" i="3"/>
  <c r="D376" i="3"/>
  <c r="G376" i="3" s="1"/>
  <c r="C376" i="3"/>
  <c r="B376" i="3"/>
  <c r="A376" i="3"/>
  <c r="E375" i="3"/>
  <c r="D375" i="3"/>
  <c r="G375" i="3" s="1"/>
  <c r="C375" i="3"/>
  <c r="B375" i="3"/>
  <c r="A375" i="3"/>
  <c r="E374" i="3"/>
  <c r="D374" i="3"/>
  <c r="G374" i="3" s="1"/>
  <c r="C374" i="3"/>
  <c r="B374" i="3"/>
  <c r="A374" i="3"/>
  <c r="E373" i="3"/>
  <c r="D373" i="3"/>
  <c r="G373" i="3" s="1"/>
  <c r="C373" i="3"/>
  <c r="B373" i="3"/>
  <c r="A373" i="3"/>
  <c r="E372" i="3"/>
  <c r="D372" i="3"/>
  <c r="G372" i="3" s="1"/>
  <c r="C372" i="3"/>
  <c r="B372" i="3"/>
  <c r="A372" i="3"/>
  <c r="E371" i="3"/>
  <c r="D371" i="3"/>
  <c r="G371" i="3" s="1"/>
  <c r="C371" i="3"/>
  <c r="B371" i="3"/>
  <c r="A371" i="3"/>
  <c r="E370" i="3"/>
  <c r="D370" i="3"/>
  <c r="G370" i="3" s="1"/>
  <c r="C370" i="3"/>
  <c r="B370" i="3"/>
  <c r="A370" i="3"/>
  <c r="E369" i="3"/>
  <c r="D369" i="3"/>
  <c r="G369" i="3" s="1"/>
  <c r="C369" i="3"/>
  <c r="B369" i="3"/>
  <c r="A369" i="3"/>
  <c r="E368" i="3"/>
  <c r="D368" i="3"/>
  <c r="G368" i="3" s="1"/>
  <c r="C368" i="3"/>
  <c r="B368" i="3"/>
  <c r="A368" i="3"/>
  <c r="E367" i="3"/>
  <c r="D367" i="3"/>
  <c r="G367" i="3" s="1"/>
  <c r="C367" i="3"/>
  <c r="B367" i="3"/>
  <c r="A367" i="3"/>
  <c r="E366" i="3"/>
  <c r="D366" i="3"/>
  <c r="G366" i="3" s="1"/>
  <c r="C366" i="3"/>
  <c r="B366" i="3"/>
  <c r="A366" i="3"/>
  <c r="E365" i="3"/>
  <c r="D365" i="3"/>
  <c r="G365" i="3" s="1"/>
  <c r="C365" i="3"/>
  <c r="B365" i="3"/>
  <c r="A365" i="3"/>
  <c r="E364" i="3"/>
  <c r="D364" i="3"/>
  <c r="G364" i="3" s="1"/>
  <c r="C364" i="3"/>
  <c r="B364" i="3"/>
  <c r="A364" i="3"/>
  <c r="E363" i="3"/>
  <c r="D363" i="3"/>
  <c r="G363" i="3" s="1"/>
  <c r="C363" i="3"/>
  <c r="B363" i="3"/>
  <c r="A363" i="3"/>
  <c r="E362" i="3"/>
  <c r="D362" i="3"/>
  <c r="G362" i="3" s="1"/>
  <c r="C362" i="3"/>
  <c r="B362" i="3"/>
  <c r="A362" i="3"/>
  <c r="E361" i="3"/>
  <c r="D361" i="3"/>
  <c r="G361" i="3" s="1"/>
  <c r="C361" i="3"/>
  <c r="B361" i="3"/>
  <c r="A361" i="3"/>
  <c r="E360" i="3"/>
  <c r="D360" i="3"/>
  <c r="G360" i="3" s="1"/>
  <c r="C360" i="3"/>
  <c r="B360" i="3"/>
  <c r="A360" i="3"/>
  <c r="E359" i="3"/>
  <c r="D359" i="3"/>
  <c r="G359" i="3" s="1"/>
  <c r="C359" i="3"/>
  <c r="B359" i="3"/>
  <c r="A359" i="3"/>
  <c r="E358" i="3"/>
  <c r="D358" i="3"/>
  <c r="G358" i="3" s="1"/>
  <c r="C358" i="3"/>
  <c r="B358" i="3"/>
  <c r="A358" i="3"/>
  <c r="E357" i="3"/>
  <c r="D357" i="3"/>
  <c r="G357" i="3" s="1"/>
  <c r="C357" i="3"/>
  <c r="B357" i="3"/>
  <c r="A357" i="3"/>
  <c r="E356" i="3"/>
  <c r="D356" i="3"/>
  <c r="G356" i="3" s="1"/>
  <c r="C356" i="3"/>
  <c r="B356" i="3"/>
  <c r="A356" i="3"/>
  <c r="E355" i="3"/>
  <c r="D355" i="3"/>
  <c r="G355" i="3" s="1"/>
  <c r="C355" i="3"/>
  <c r="B355" i="3"/>
  <c r="A355" i="3"/>
  <c r="E354" i="3"/>
  <c r="D354" i="3"/>
  <c r="G354" i="3" s="1"/>
  <c r="C354" i="3"/>
  <c r="B354" i="3"/>
  <c r="A354" i="3"/>
  <c r="E353" i="3"/>
  <c r="D353" i="3"/>
  <c r="G353" i="3" s="1"/>
  <c r="C353" i="3"/>
  <c r="B353" i="3"/>
  <c r="A353" i="3"/>
  <c r="E352" i="3"/>
  <c r="D352" i="3"/>
  <c r="G352" i="3" s="1"/>
  <c r="C352" i="3"/>
  <c r="B352" i="3"/>
  <c r="A352" i="3"/>
  <c r="E351" i="3"/>
  <c r="D351" i="3"/>
  <c r="G351" i="3" s="1"/>
  <c r="C351" i="3"/>
  <c r="B351" i="3"/>
  <c r="A351" i="3"/>
  <c r="E350" i="3"/>
  <c r="D350" i="3"/>
  <c r="G350" i="3" s="1"/>
  <c r="C350" i="3"/>
  <c r="B350" i="3"/>
  <c r="A350" i="3"/>
  <c r="E349" i="3"/>
  <c r="D349" i="3"/>
  <c r="G349" i="3" s="1"/>
  <c r="C349" i="3"/>
  <c r="B349" i="3"/>
  <c r="A349" i="3"/>
  <c r="E348" i="3"/>
  <c r="D348" i="3"/>
  <c r="G348" i="3" s="1"/>
  <c r="C348" i="3"/>
  <c r="B348" i="3"/>
  <c r="A348" i="3"/>
  <c r="E347" i="3"/>
  <c r="D347" i="3"/>
  <c r="G347" i="3" s="1"/>
  <c r="C347" i="3"/>
  <c r="B347" i="3"/>
  <c r="A347" i="3"/>
  <c r="E346" i="3"/>
  <c r="D346" i="3"/>
  <c r="G346" i="3" s="1"/>
  <c r="C346" i="3"/>
  <c r="B346" i="3"/>
  <c r="A346" i="3"/>
  <c r="E345" i="3"/>
  <c r="D345" i="3"/>
  <c r="G345" i="3" s="1"/>
  <c r="C345" i="3"/>
  <c r="B345" i="3"/>
  <c r="A345" i="3"/>
  <c r="E344" i="3"/>
  <c r="D344" i="3"/>
  <c r="G344" i="3" s="1"/>
  <c r="C344" i="3"/>
  <c r="B344" i="3"/>
  <c r="A344" i="3"/>
  <c r="E343" i="3"/>
  <c r="D343" i="3"/>
  <c r="G343" i="3" s="1"/>
  <c r="C343" i="3"/>
  <c r="B343" i="3"/>
  <c r="A343" i="3"/>
  <c r="E342" i="3"/>
  <c r="D342" i="3"/>
  <c r="G342" i="3" s="1"/>
  <c r="C342" i="3"/>
  <c r="B342" i="3"/>
  <c r="A342" i="3"/>
  <c r="E341" i="3"/>
  <c r="D341" i="3"/>
  <c r="G341" i="3" s="1"/>
  <c r="C341" i="3"/>
  <c r="B341" i="3"/>
  <c r="A341" i="3"/>
  <c r="E340" i="3"/>
  <c r="D340" i="3"/>
  <c r="G340" i="3" s="1"/>
  <c r="C340" i="3"/>
  <c r="B340" i="3"/>
  <c r="A340" i="3"/>
  <c r="E339" i="3"/>
  <c r="D339" i="3"/>
  <c r="G339" i="3" s="1"/>
  <c r="C339" i="3"/>
  <c r="B339" i="3"/>
  <c r="A339" i="3"/>
  <c r="E338" i="3"/>
  <c r="D338" i="3"/>
  <c r="G338" i="3" s="1"/>
  <c r="C338" i="3"/>
  <c r="B338" i="3"/>
  <c r="A338" i="3"/>
  <c r="E337" i="3"/>
  <c r="D337" i="3"/>
  <c r="G337" i="3" s="1"/>
  <c r="C337" i="3"/>
  <c r="B337" i="3"/>
  <c r="A337" i="3"/>
  <c r="E336" i="3"/>
  <c r="D336" i="3"/>
  <c r="G336" i="3" s="1"/>
  <c r="C336" i="3"/>
  <c r="B336" i="3"/>
  <c r="A336" i="3"/>
  <c r="E335" i="3"/>
  <c r="D335" i="3"/>
  <c r="G335" i="3" s="1"/>
  <c r="C335" i="3"/>
  <c r="B335" i="3"/>
  <c r="A335" i="3"/>
  <c r="E334" i="3"/>
  <c r="D334" i="3"/>
  <c r="G334" i="3" s="1"/>
  <c r="C334" i="3"/>
  <c r="B334" i="3"/>
  <c r="A334" i="3"/>
  <c r="E333" i="3"/>
  <c r="D333" i="3"/>
  <c r="G333" i="3" s="1"/>
  <c r="C333" i="3"/>
  <c r="B333" i="3"/>
  <c r="A333" i="3"/>
  <c r="E332" i="3"/>
  <c r="D332" i="3"/>
  <c r="G332" i="3" s="1"/>
  <c r="C332" i="3"/>
  <c r="B332" i="3"/>
  <c r="A332" i="3"/>
  <c r="E331" i="3"/>
  <c r="D331" i="3"/>
  <c r="G331" i="3" s="1"/>
  <c r="C331" i="3"/>
  <c r="B331" i="3"/>
  <c r="A331" i="3"/>
  <c r="H331" i="3" s="1"/>
  <c r="E330" i="3"/>
  <c r="D330" i="3"/>
  <c r="G330" i="3" s="1"/>
  <c r="C330" i="3"/>
  <c r="B330" i="3"/>
  <c r="A330" i="3"/>
  <c r="H330" i="3" s="1"/>
  <c r="E329" i="3"/>
  <c r="D329" i="3"/>
  <c r="G329" i="3" s="1"/>
  <c r="C329" i="3"/>
  <c r="B329" i="3"/>
  <c r="A329" i="3"/>
  <c r="H329" i="3" s="1"/>
  <c r="E328" i="3"/>
  <c r="D328" i="3"/>
  <c r="G328" i="3" s="1"/>
  <c r="C328" i="3"/>
  <c r="B328" i="3"/>
  <c r="A328" i="3"/>
  <c r="H328" i="3" s="1"/>
  <c r="E327" i="3"/>
  <c r="D327" i="3"/>
  <c r="G327" i="3" s="1"/>
  <c r="C327" i="3"/>
  <c r="B327" i="3"/>
  <c r="A327" i="3"/>
  <c r="H327" i="3" s="1"/>
  <c r="E326" i="3"/>
  <c r="D326" i="3"/>
  <c r="G326" i="3" s="1"/>
  <c r="C326" i="3"/>
  <c r="B326" i="3"/>
  <c r="A326" i="3"/>
  <c r="E325" i="3"/>
  <c r="D325" i="3"/>
  <c r="G325" i="3" s="1"/>
  <c r="C325" i="3"/>
  <c r="B325" i="3"/>
  <c r="A325" i="3"/>
  <c r="E324" i="3"/>
  <c r="D324" i="3"/>
  <c r="G324" i="3" s="1"/>
  <c r="C324" i="3"/>
  <c r="B324" i="3"/>
  <c r="A324" i="3"/>
  <c r="E323" i="3"/>
  <c r="D323" i="3"/>
  <c r="G323" i="3" s="1"/>
  <c r="C323" i="3"/>
  <c r="B323" i="3"/>
  <c r="A323" i="3"/>
  <c r="E322" i="3"/>
  <c r="D322" i="3"/>
  <c r="G322" i="3" s="1"/>
  <c r="C322" i="3"/>
  <c r="B322" i="3"/>
  <c r="A322" i="3"/>
  <c r="E321" i="3"/>
  <c r="D321" i="3"/>
  <c r="G321" i="3" s="1"/>
  <c r="C321" i="3"/>
  <c r="B321" i="3"/>
  <c r="A321" i="3"/>
  <c r="E320" i="3"/>
  <c r="D320" i="3"/>
  <c r="G320" i="3" s="1"/>
  <c r="C320" i="3"/>
  <c r="B320" i="3"/>
  <c r="A320" i="3"/>
  <c r="E319" i="3"/>
  <c r="D319" i="3"/>
  <c r="G319" i="3" s="1"/>
  <c r="C319" i="3"/>
  <c r="B319" i="3"/>
  <c r="A319" i="3"/>
  <c r="E318" i="3"/>
  <c r="D318" i="3"/>
  <c r="G318" i="3" s="1"/>
  <c r="C318" i="3"/>
  <c r="B318" i="3"/>
  <c r="A318" i="3"/>
  <c r="E317" i="3"/>
  <c r="D317" i="3"/>
  <c r="G317" i="3" s="1"/>
  <c r="C317" i="3"/>
  <c r="B317" i="3"/>
  <c r="A317" i="3"/>
  <c r="E316" i="3"/>
  <c r="D316" i="3"/>
  <c r="G316" i="3" s="1"/>
  <c r="C316" i="3"/>
  <c r="B316" i="3"/>
  <c r="A316" i="3"/>
  <c r="E315" i="3"/>
  <c r="D315" i="3"/>
  <c r="G315" i="3" s="1"/>
  <c r="C315" i="3"/>
  <c r="B315" i="3"/>
  <c r="A315" i="3"/>
  <c r="E314" i="3"/>
  <c r="D314" i="3"/>
  <c r="G314" i="3" s="1"/>
  <c r="C314" i="3"/>
  <c r="B314" i="3"/>
  <c r="A314" i="3"/>
  <c r="E313" i="3"/>
  <c r="D313" i="3"/>
  <c r="G313" i="3" s="1"/>
  <c r="C313" i="3"/>
  <c r="B313" i="3"/>
  <c r="A313" i="3"/>
  <c r="E312" i="3"/>
  <c r="D312" i="3"/>
  <c r="G312" i="3" s="1"/>
  <c r="C312" i="3"/>
  <c r="B312" i="3"/>
  <c r="A312" i="3"/>
  <c r="E311" i="3"/>
  <c r="D311" i="3"/>
  <c r="G311" i="3" s="1"/>
  <c r="C311" i="3"/>
  <c r="B311" i="3"/>
  <c r="A311" i="3"/>
  <c r="E310" i="3"/>
  <c r="D310" i="3"/>
  <c r="G310" i="3" s="1"/>
  <c r="C310" i="3"/>
  <c r="B310" i="3"/>
  <c r="A310" i="3"/>
  <c r="E309" i="3"/>
  <c r="D309" i="3"/>
  <c r="G309" i="3" s="1"/>
  <c r="C309" i="3"/>
  <c r="B309" i="3"/>
  <c r="A309" i="3"/>
  <c r="E308" i="3"/>
  <c r="D308" i="3"/>
  <c r="G308" i="3" s="1"/>
  <c r="C308" i="3"/>
  <c r="B308" i="3"/>
  <c r="A308" i="3"/>
  <c r="E307" i="3"/>
  <c r="D307" i="3"/>
  <c r="G307" i="3" s="1"/>
  <c r="C307" i="3"/>
  <c r="B307" i="3"/>
  <c r="A307" i="3"/>
  <c r="E306" i="3"/>
  <c r="D306" i="3"/>
  <c r="G306" i="3" s="1"/>
  <c r="C306" i="3"/>
  <c r="B306" i="3"/>
  <c r="A306" i="3"/>
  <c r="E305" i="3"/>
  <c r="D305" i="3"/>
  <c r="G305" i="3" s="1"/>
  <c r="C305" i="3"/>
  <c r="B305" i="3"/>
  <c r="A305" i="3"/>
  <c r="E304" i="3"/>
  <c r="D304" i="3"/>
  <c r="G304" i="3" s="1"/>
  <c r="C304" i="3"/>
  <c r="B304" i="3"/>
  <c r="A304" i="3"/>
  <c r="E303" i="3"/>
  <c r="D303" i="3"/>
  <c r="G303" i="3" s="1"/>
  <c r="C303" i="3"/>
  <c r="B303" i="3"/>
  <c r="A303" i="3"/>
  <c r="E302" i="3"/>
  <c r="D302" i="3"/>
  <c r="G302" i="3" s="1"/>
  <c r="C302" i="3"/>
  <c r="B302" i="3"/>
  <c r="A302" i="3"/>
  <c r="E301" i="3"/>
  <c r="D301" i="3"/>
  <c r="G301" i="3" s="1"/>
  <c r="C301" i="3"/>
  <c r="B301" i="3"/>
  <c r="A301" i="3"/>
  <c r="E300" i="3"/>
  <c r="D300" i="3"/>
  <c r="G300" i="3" s="1"/>
  <c r="C300" i="3"/>
  <c r="B300" i="3"/>
  <c r="A300" i="3"/>
  <c r="E299" i="3"/>
  <c r="D299" i="3"/>
  <c r="G299" i="3" s="1"/>
  <c r="C299" i="3"/>
  <c r="B299" i="3"/>
  <c r="A299" i="3"/>
  <c r="E298" i="3"/>
  <c r="D298" i="3"/>
  <c r="G298" i="3" s="1"/>
  <c r="C298" i="3"/>
  <c r="B298" i="3"/>
  <c r="A298" i="3"/>
  <c r="E297" i="3"/>
  <c r="D297" i="3"/>
  <c r="G297" i="3" s="1"/>
  <c r="C297" i="3"/>
  <c r="B297" i="3"/>
  <c r="A297" i="3"/>
  <c r="E296" i="3"/>
  <c r="D296" i="3"/>
  <c r="G296" i="3" s="1"/>
  <c r="C296" i="3"/>
  <c r="B296" i="3"/>
  <c r="A296" i="3"/>
  <c r="E295" i="3"/>
  <c r="D295" i="3"/>
  <c r="G295" i="3" s="1"/>
  <c r="C295" i="3"/>
  <c r="B295" i="3"/>
  <c r="A295" i="3"/>
  <c r="E294" i="3"/>
  <c r="D294" i="3"/>
  <c r="G294" i="3" s="1"/>
  <c r="C294" i="3"/>
  <c r="B294" i="3"/>
  <c r="A294" i="3"/>
  <c r="E293" i="3"/>
  <c r="D293" i="3"/>
  <c r="G293" i="3" s="1"/>
  <c r="C293" i="3"/>
  <c r="B293" i="3"/>
  <c r="A293" i="3"/>
  <c r="E292" i="3"/>
  <c r="D292" i="3"/>
  <c r="G292" i="3" s="1"/>
  <c r="C292" i="3"/>
  <c r="B292" i="3"/>
  <c r="A292" i="3"/>
  <c r="E291" i="3"/>
  <c r="D291" i="3"/>
  <c r="G291" i="3" s="1"/>
  <c r="C291" i="3"/>
  <c r="B291" i="3"/>
  <c r="A291" i="3"/>
  <c r="E290" i="3"/>
  <c r="D290" i="3"/>
  <c r="G290" i="3" s="1"/>
  <c r="C290" i="3"/>
  <c r="B290" i="3"/>
  <c r="A290" i="3"/>
  <c r="E289" i="3"/>
  <c r="D289" i="3"/>
  <c r="G289" i="3" s="1"/>
  <c r="C289" i="3"/>
  <c r="B289" i="3"/>
  <c r="A289" i="3"/>
  <c r="E288" i="3"/>
  <c r="D288" i="3"/>
  <c r="G288" i="3" s="1"/>
  <c r="C288" i="3"/>
  <c r="B288" i="3"/>
  <c r="A288" i="3"/>
  <c r="E287" i="3"/>
  <c r="D287" i="3"/>
  <c r="G287" i="3" s="1"/>
  <c r="C287" i="3"/>
  <c r="B287" i="3"/>
  <c r="A287" i="3"/>
  <c r="E286" i="3"/>
  <c r="D286" i="3"/>
  <c r="G286" i="3" s="1"/>
  <c r="C286" i="3"/>
  <c r="B286" i="3"/>
  <c r="A286" i="3"/>
  <c r="E285" i="3"/>
  <c r="D285" i="3"/>
  <c r="G285" i="3" s="1"/>
  <c r="C285" i="3"/>
  <c r="B285" i="3"/>
  <c r="A285" i="3"/>
  <c r="E284" i="3"/>
  <c r="D284" i="3"/>
  <c r="G284" i="3" s="1"/>
  <c r="C284" i="3"/>
  <c r="B284" i="3"/>
  <c r="A284" i="3"/>
  <c r="E283" i="3"/>
  <c r="D283" i="3"/>
  <c r="G283" i="3" s="1"/>
  <c r="C283" i="3"/>
  <c r="B283" i="3"/>
  <c r="A283" i="3"/>
  <c r="E282" i="3"/>
  <c r="D282" i="3"/>
  <c r="G282" i="3" s="1"/>
  <c r="C282" i="3"/>
  <c r="B282" i="3"/>
  <c r="A282" i="3"/>
  <c r="E281" i="3"/>
  <c r="D281" i="3"/>
  <c r="G281" i="3" s="1"/>
  <c r="C281" i="3"/>
  <c r="B281" i="3"/>
  <c r="A281" i="3"/>
  <c r="E280" i="3"/>
  <c r="D280" i="3"/>
  <c r="G280" i="3" s="1"/>
  <c r="C280" i="3"/>
  <c r="B280" i="3"/>
  <c r="A280" i="3"/>
  <c r="E279" i="3"/>
  <c r="D279" i="3"/>
  <c r="G279" i="3" s="1"/>
  <c r="C279" i="3"/>
  <c r="B279" i="3"/>
  <c r="A279" i="3"/>
  <c r="E278" i="3"/>
  <c r="D278" i="3"/>
  <c r="G278" i="3" s="1"/>
  <c r="C278" i="3"/>
  <c r="B278" i="3"/>
  <c r="A278" i="3"/>
  <c r="E277" i="3"/>
  <c r="D277" i="3"/>
  <c r="G277" i="3" s="1"/>
  <c r="C277" i="3"/>
  <c r="B277" i="3"/>
  <c r="A277" i="3"/>
  <c r="E276" i="3"/>
  <c r="D276" i="3"/>
  <c r="G276" i="3" s="1"/>
  <c r="C276" i="3"/>
  <c r="B276" i="3"/>
  <c r="A276" i="3"/>
  <c r="H276" i="3" s="1"/>
  <c r="E275" i="3"/>
  <c r="D275" i="3"/>
  <c r="G275" i="3" s="1"/>
  <c r="C275" i="3"/>
  <c r="B275" i="3"/>
  <c r="A275" i="3"/>
  <c r="H275" i="3" s="1"/>
  <c r="E274" i="3"/>
  <c r="D274" i="3"/>
  <c r="G274" i="3" s="1"/>
  <c r="C274" i="3"/>
  <c r="B274" i="3"/>
  <c r="A274" i="3"/>
  <c r="H274" i="3" s="1"/>
  <c r="E273" i="3"/>
  <c r="D273" i="3"/>
  <c r="G273" i="3" s="1"/>
  <c r="C273" i="3"/>
  <c r="B273" i="3"/>
  <c r="A273" i="3"/>
  <c r="H273" i="3" s="1"/>
  <c r="E272" i="3"/>
  <c r="D272" i="3"/>
  <c r="G272" i="3" s="1"/>
  <c r="C272" i="3"/>
  <c r="B272" i="3"/>
  <c r="A272" i="3"/>
  <c r="H272" i="3" s="1"/>
  <c r="E271" i="3"/>
  <c r="D271" i="3"/>
  <c r="G271" i="3" s="1"/>
  <c r="C271" i="3"/>
  <c r="B271" i="3"/>
  <c r="A271" i="3"/>
  <c r="E270" i="3"/>
  <c r="D270" i="3"/>
  <c r="G270" i="3" s="1"/>
  <c r="C270" i="3"/>
  <c r="B270" i="3"/>
  <c r="A270" i="3"/>
  <c r="E269" i="3"/>
  <c r="D269" i="3"/>
  <c r="G269" i="3" s="1"/>
  <c r="C269" i="3"/>
  <c r="B269" i="3"/>
  <c r="A269" i="3"/>
  <c r="E268" i="3"/>
  <c r="D268" i="3"/>
  <c r="G268" i="3" s="1"/>
  <c r="C268" i="3"/>
  <c r="B268" i="3"/>
  <c r="A268" i="3"/>
  <c r="E267" i="3"/>
  <c r="D267" i="3"/>
  <c r="G267" i="3" s="1"/>
  <c r="C267" i="3"/>
  <c r="B267" i="3"/>
  <c r="A267" i="3"/>
  <c r="E266" i="3"/>
  <c r="D266" i="3"/>
  <c r="G266" i="3" s="1"/>
  <c r="C266" i="3"/>
  <c r="B266" i="3"/>
  <c r="A266" i="3"/>
  <c r="E265" i="3"/>
  <c r="D265" i="3"/>
  <c r="G265" i="3" s="1"/>
  <c r="C265" i="3"/>
  <c r="B265" i="3"/>
  <c r="A265" i="3"/>
  <c r="E264" i="3"/>
  <c r="D264" i="3"/>
  <c r="G264" i="3" s="1"/>
  <c r="C264" i="3"/>
  <c r="B264" i="3"/>
  <c r="A264" i="3"/>
  <c r="E263" i="3"/>
  <c r="D263" i="3"/>
  <c r="G263" i="3" s="1"/>
  <c r="C263" i="3"/>
  <c r="B263" i="3"/>
  <c r="A263" i="3"/>
  <c r="E262" i="3"/>
  <c r="D262" i="3"/>
  <c r="G262" i="3" s="1"/>
  <c r="C262" i="3"/>
  <c r="B262" i="3"/>
  <c r="A262" i="3"/>
  <c r="E261" i="3"/>
  <c r="D261" i="3"/>
  <c r="G261" i="3" s="1"/>
  <c r="C261" i="3"/>
  <c r="B261" i="3"/>
  <c r="A261" i="3"/>
  <c r="E260" i="3"/>
  <c r="D260" i="3"/>
  <c r="G260" i="3" s="1"/>
  <c r="C260" i="3"/>
  <c r="B260" i="3"/>
  <c r="A260" i="3"/>
  <c r="E259" i="3"/>
  <c r="D259" i="3"/>
  <c r="G259" i="3" s="1"/>
  <c r="C259" i="3"/>
  <c r="B259" i="3"/>
  <c r="A259" i="3"/>
  <c r="E258" i="3"/>
  <c r="D258" i="3"/>
  <c r="G258" i="3" s="1"/>
  <c r="C258" i="3"/>
  <c r="B258" i="3"/>
  <c r="A258" i="3"/>
  <c r="E257" i="3"/>
  <c r="D257" i="3"/>
  <c r="G257" i="3" s="1"/>
  <c r="C257" i="3"/>
  <c r="B257" i="3"/>
  <c r="A257" i="3"/>
  <c r="E256" i="3"/>
  <c r="D256" i="3"/>
  <c r="G256" i="3" s="1"/>
  <c r="C256" i="3"/>
  <c r="B256" i="3"/>
  <c r="A256" i="3"/>
  <c r="E255" i="3"/>
  <c r="D255" i="3"/>
  <c r="G255" i="3" s="1"/>
  <c r="C255" i="3"/>
  <c r="B255" i="3"/>
  <c r="A255" i="3"/>
  <c r="E254" i="3"/>
  <c r="D254" i="3"/>
  <c r="G254" i="3" s="1"/>
  <c r="C254" i="3"/>
  <c r="B254" i="3"/>
  <c r="A254" i="3"/>
  <c r="E253" i="3"/>
  <c r="D253" i="3"/>
  <c r="G253" i="3" s="1"/>
  <c r="C253" i="3"/>
  <c r="B253" i="3"/>
  <c r="A253" i="3"/>
  <c r="E252" i="3"/>
  <c r="D252" i="3"/>
  <c r="G252" i="3" s="1"/>
  <c r="C252" i="3"/>
  <c r="B252" i="3"/>
  <c r="A252" i="3"/>
  <c r="E251" i="3"/>
  <c r="D251" i="3"/>
  <c r="G251" i="3" s="1"/>
  <c r="C251" i="3"/>
  <c r="B251" i="3"/>
  <c r="A251" i="3"/>
  <c r="E250" i="3"/>
  <c r="D250" i="3"/>
  <c r="G250" i="3" s="1"/>
  <c r="C250" i="3"/>
  <c r="B250" i="3"/>
  <c r="A250" i="3"/>
  <c r="E249" i="3"/>
  <c r="D249" i="3"/>
  <c r="G249" i="3" s="1"/>
  <c r="C249" i="3"/>
  <c r="B249" i="3"/>
  <c r="A249" i="3"/>
  <c r="E248" i="3"/>
  <c r="D248" i="3"/>
  <c r="G248" i="3" s="1"/>
  <c r="C248" i="3"/>
  <c r="B248" i="3"/>
  <c r="A248" i="3"/>
  <c r="E247" i="3"/>
  <c r="D247" i="3"/>
  <c r="G247" i="3" s="1"/>
  <c r="C247" i="3"/>
  <c r="B247" i="3"/>
  <c r="A247" i="3"/>
  <c r="E246" i="3"/>
  <c r="D246" i="3"/>
  <c r="G246" i="3" s="1"/>
  <c r="C246" i="3"/>
  <c r="B246" i="3"/>
  <c r="A246" i="3"/>
  <c r="E245" i="3"/>
  <c r="D245" i="3"/>
  <c r="G245" i="3" s="1"/>
  <c r="C245" i="3"/>
  <c r="B245" i="3"/>
  <c r="A245" i="3"/>
  <c r="E244" i="3"/>
  <c r="D244" i="3"/>
  <c r="G244" i="3" s="1"/>
  <c r="C244" i="3"/>
  <c r="B244" i="3"/>
  <c r="A244" i="3"/>
  <c r="E243" i="3"/>
  <c r="D243" i="3"/>
  <c r="G243" i="3" s="1"/>
  <c r="C243" i="3"/>
  <c r="B243" i="3"/>
  <c r="A243" i="3"/>
  <c r="E242" i="3"/>
  <c r="D242" i="3"/>
  <c r="G242" i="3" s="1"/>
  <c r="C242" i="3"/>
  <c r="B242" i="3"/>
  <c r="A242" i="3"/>
  <c r="E241" i="3"/>
  <c r="D241" i="3"/>
  <c r="G241" i="3" s="1"/>
  <c r="C241" i="3"/>
  <c r="B241" i="3"/>
  <c r="A241" i="3"/>
  <c r="E240" i="3"/>
  <c r="D240" i="3"/>
  <c r="G240" i="3" s="1"/>
  <c r="C240" i="3"/>
  <c r="B240" i="3"/>
  <c r="A240" i="3"/>
  <c r="E239" i="3"/>
  <c r="D239" i="3"/>
  <c r="G239" i="3" s="1"/>
  <c r="C239" i="3"/>
  <c r="B239" i="3"/>
  <c r="A239" i="3"/>
  <c r="E238" i="3"/>
  <c r="D238" i="3"/>
  <c r="G238" i="3" s="1"/>
  <c r="C238" i="3"/>
  <c r="B238" i="3"/>
  <c r="A238" i="3"/>
  <c r="E237" i="3"/>
  <c r="D237" i="3"/>
  <c r="G237" i="3" s="1"/>
  <c r="C237" i="3"/>
  <c r="B237" i="3"/>
  <c r="A237" i="3"/>
  <c r="E236" i="3"/>
  <c r="D236" i="3"/>
  <c r="G236" i="3" s="1"/>
  <c r="C236" i="3"/>
  <c r="B236" i="3"/>
  <c r="A236" i="3"/>
  <c r="E235" i="3"/>
  <c r="D235" i="3"/>
  <c r="G235" i="3" s="1"/>
  <c r="C235" i="3"/>
  <c r="B235" i="3"/>
  <c r="A235" i="3"/>
  <c r="E234" i="3"/>
  <c r="D234" i="3"/>
  <c r="G234" i="3" s="1"/>
  <c r="C234" i="3"/>
  <c r="B234" i="3"/>
  <c r="A234" i="3"/>
  <c r="E233" i="3"/>
  <c r="D233" i="3"/>
  <c r="G233" i="3" s="1"/>
  <c r="C233" i="3"/>
  <c r="B233" i="3"/>
  <c r="A233" i="3"/>
  <c r="E232" i="3"/>
  <c r="D232" i="3"/>
  <c r="G232" i="3" s="1"/>
  <c r="C232" i="3"/>
  <c r="B232" i="3"/>
  <c r="A232" i="3"/>
  <c r="E231" i="3"/>
  <c r="D231" i="3"/>
  <c r="G231" i="3" s="1"/>
  <c r="C231" i="3"/>
  <c r="B231" i="3"/>
  <c r="A231" i="3"/>
  <c r="E230" i="3"/>
  <c r="D230" i="3"/>
  <c r="G230" i="3" s="1"/>
  <c r="C230" i="3"/>
  <c r="B230" i="3"/>
  <c r="A230" i="3"/>
  <c r="E229" i="3"/>
  <c r="D229" i="3"/>
  <c r="G229" i="3" s="1"/>
  <c r="C229" i="3"/>
  <c r="B229" i="3"/>
  <c r="A229" i="3"/>
  <c r="E228" i="3"/>
  <c r="D228" i="3"/>
  <c r="G228" i="3" s="1"/>
  <c r="C228" i="3"/>
  <c r="B228" i="3"/>
  <c r="A228" i="3"/>
  <c r="E227" i="3"/>
  <c r="D227" i="3"/>
  <c r="G227" i="3" s="1"/>
  <c r="C227" i="3"/>
  <c r="B227" i="3"/>
  <c r="A227" i="3"/>
  <c r="E226" i="3"/>
  <c r="D226" i="3"/>
  <c r="G226" i="3" s="1"/>
  <c r="C226" i="3"/>
  <c r="B226" i="3"/>
  <c r="A226" i="3"/>
  <c r="E225" i="3"/>
  <c r="D225" i="3"/>
  <c r="G225" i="3" s="1"/>
  <c r="C225" i="3"/>
  <c r="B225" i="3"/>
  <c r="A225" i="3"/>
  <c r="E224" i="3"/>
  <c r="D224" i="3"/>
  <c r="G224" i="3" s="1"/>
  <c r="C224" i="3"/>
  <c r="B224" i="3"/>
  <c r="A224" i="3"/>
  <c r="E223" i="3"/>
  <c r="D223" i="3"/>
  <c r="G223" i="3" s="1"/>
  <c r="C223" i="3"/>
  <c r="B223" i="3"/>
  <c r="A223" i="3"/>
  <c r="E222" i="3"/>
  <c r="D222" i="3"/>
  <c r="G222" i="3" s="1"/>
  <c r="C222" i="3"/>
  <c r="B222" i="3"/>
  <c r="A222" i="3"/>
  <c r="E221" i="3"/>
  <c r="D221" i="3"/>
  <c r="G221" i="3" s="1"/>
  <c r="C221" i="3"/>
  <c r="B221" i="3"/>
  <c r="A221" i="3"/>
  <c r="H221" i="3" s="1"/>
  <c r="E220" i="3"/>
  <c r="D220" i="3"/>
  <c r="G220" i="3" s="1"/>
  <c r="C220" i="3"/>
  <c r="B220" i="3"/>
  <c r="A220" i="3"/>
  <c r="H220" i="3" s="1"/>
  <c r="E219" i="3"/>
  <c r="D219" i="3"/>
  <c r="G219" i="3" s="1"/>
  <c r="C219" i="3"/>
  <c r="B219" i="3"/>
  <c r="A219" i="3"/>
  <c r="H219" i="3" s="1"/>
  <c r="E218" i="3"/>
  <c r="D218" i="3"/>
  <c r="G218" i="3" s="1"/>
  <c r="C218" i="3"/>
  <c r="B218" i="3"/>
  <c r="A218" i="3"/>
  <c r="H218" i="3" s="1"/>
  <c r="E217" i="3"/>
  <c r="D217" i="3"/>
  <c r="G217" i="3" s="1"/>
  <c r="C217" i="3"/>
  <c r="B217" i="3"/>
  <c r="A217" i="3"/>
  <c r="H217" i="3" s="1"/>
  <c r="E216" i="3"/>
  <c r="D216" i="3"/>
  <c r="G216" i="3" s="1"/>
  <c r="C216" i="3"/>
  <c r="B216" i="3"/>
  <c r="A216" i="3"/>
  <c r="E215" i="3"/>
  <c r="D215" i="3"/>
  <c r="G215" i="3" s="1"/>
  <c r="C215" i="3"/>
  <c r="B215" i="3"/>
  <c r="A215" i="3"/>
  <c r="E214" i="3"/>
  <c r="D214" i="3"/>
  <c r="G214" i="3" s="1"/>
  <c r="C214" i="3"/>
  <c r="B214" i="3"/>
  <c r="A214" i="3"/>
  <c r="E213" i="3"/>
  <c r="D213" i="3"/>
  <c r="G213" i="3" s="1"/>
  <c r="C213" i="3"/>
  <c r="B213" i="3"/>
  <c r="A213" i="3"/>
  <c r="E212" i="3"/>
  <c r="D212" i="3"/>
  <c r="G212" i="3" s="1"/>
  <c r="C212" i="3"/>
  <c r="B212" i="3"/>
  <c r="A212" i="3"/>
  <c r="E211" i="3"/>
  <c r="D211" i="3"/>
  <c r="G211" i="3" s="1"/>
  <c r="C211" i="3"/>
  <c r="B211" i="3"/>
  <c r="A211" i="3"/>
  <c r="E210" i="3"/>
  <c r="D210" i="3"/>
  <c r="G210" i="3" s="1"/>
  <c r="C210" i="3"/>
  <c r="B210" i="3"/>
  <c r="A210" i="3"/>
  <c r="E209" i="3"/>
  <c r="D209" i="3"/>
  <c r="G209" i="3" s="1"/>
  <c r="C209" i="3"/>
  <c r="B209" i="3"/>
  <c r="A209" i="3"/>
  <c r="E208" i="3"/>
  <c r="D208" i="3"/>
  <c r="G208" i="3" s="1"/>
  <c r="C208" i="3"/>
  <c r="B208" i="3"/>
  <c r="A208" i="3"/>
  <c r="E207" i="3"/>
  <c r="D207" i="3"/>
  <c r="G207" i="3" s="1"/>
  <c r="C207" i="3"/>
  <c r="B207" i="3"/>
  <c r="A207" i="3"/>
  <c r="E206" i="3"/>
  <c r="D206" i="3"/>
  <c r="G206" i="3" s="1"/>
  <c r="C206" i="3"/>
  <c r="B206" i="3"/>
  <c r="A206" i="3"/>
  <c r="E205" i="3"/>
  <c r="D205" i="3"/>
  <c r="G205" i="3" s="1"/>
  <c r="C205" i="3"/>
  <c r="B205" i="3"/>
  <c r="A205" i="3"/>
  <c r="E204" i="3"/>
  <c r="D204" i="3"/>
  <c r="G204" i="3" s="1"/>
  <c r="C204" i="3"/>
  <c r="B204" i="3"/>
  <c r="A204" i="3"/>
  <c r="E203" i="3"/>
  <c r="D203" i="3"/>
  <c r="G203" i="3" s="1"/>
  <c r="C203" i="3"/>
  <c r="B203" i="3"/>
  <c r="A203" i="3"/>
  <c r="E202" i="3"/>
  <c r="D202" i="3"/>
  <c r="G202" i="3" s="1"/>
  <c r="C202" i="3"/>
  <c r="B202" i="3"/>
  <c r="A202" i="3"/>
  <c r="E201" i="3"/>
  <c r="D201" i="3"/>
  <c r="G201" i="3" s="1"/>
  <c r="C201" i="3"/>
  <c r="B201" i="3"/>
  <c r="A201" i="3"/>
  <c r="E200" i="3"/>
  <c r="D200" i="3"/>
  <c r="G200" i="3" s="1"/>
  <c r="C200" i="3"/>
  <c r="B200" i="3"/>
  <c r="A200" i="3"/>
  <c r="E199" i="3"/>
  <c r="D199" i="3"/>
  <c r="G199" i="3" s="1"/>
  <c r="C199" i="3"/>
  <c r="B199" i="3"/>
  <c r="A199" i="3"/>
  <c r="E198" i="3"/>
  <c r="D198" i="3"/>
  <c r="G198" i="3" s="1"/>
  <c r="C198" i="3"/>
  <c r="B198" i="3"/>
  <c r="A198" i="3"/>
  <c r="E197" i="3"/>
  <c r="D197" i="3"/>
  <c r="G197" i="3" s="1"/>
  <c r="C197" i="3"/>
  <c r="B197" i="3"/>
  <c r="A197" i="3"/>
  <c r="E196" i="3"/>
  <c r="D196" i="3"/>
  <c r="G196" i="3" s="1"/>
  <c r="C196" i="3"/>
  <c r="B196" i="3"/>
  <c r="A196" i="3"/>
  <c r="E195" i="3"/>
  <c r="D195" i="3"/>
  <c r="G195" i="3" s="1"/>
  <c r="C195" i="3"/>
  <c r="B195" i="3"/>
  <c r="A195" i="3"/>
  <c r="E194" i="3"/>
  <c r="D194" i="3"/>
  <c r="G194" i="3" s="1"/>
  <c r="C194" i="3"/>
  <c r="B194" i="3"/>
  <c r="A194" i="3"/>
  <c r="E193" i="3"/>
  <c r="D193" i="3"/>
  <c r="G193" i="3" s="1"/>
  <c r="C193" i="3"/>
  <c r="B193" i="3"/>
  <c r="A193" i="3"/>
  <c r="E192" i="3"/>
  <c r="D192" i="3"/>
  <c r="G192" i="3" s="1"/>
  <c r="C192" i="3"/>
  <c r="B192" i="3"/>
  <c r="A192" i="3"/>
  <c r="E191" i="3"/>
  <c r="D191" i="3"/>
  <c r="G191" i="3" s="1"/>
  <c r="C191" i="3"/>
  <c r="B191" i="3"/>
  <c r="A191" i="3"/>
  <c r="E190" i="3"/>
  <c r="D190" i="3"/>
  <c r="G190" i="3" s="1"/>
  <c r="C190" i="3"/>
  <c r="B190" i="3"/>
  <c r="A190" i="3"/>
  <c r="E189" i="3"/>
  <c r="D189" i="3"/>
  <c r="G189" i="3" s="1"/>
  <c r="C189" i="3"/>
  <c r="B189" i="3"/>
  <c r="A189" i="3"/>
  <c r="E188" i="3"/>
  <c r="D188" i="3"/>
  <c r="G188" i="3" s="1"/>
  <c r="C188" i="3"/>
  <c r="B188" i="3"/>
  <c r="A188" i="3"/>
  <c r="E187" i="3"/>
  <c r="D187" i="3"/>
  <c r="G187" i="3" s="1"/>
  <c r="C187" i="3"/>
  <c r="B187" i="3"/>
  <c r="A187" i="3"/>
  <c r="E186" i="3"/>
  <c r="D186" i="3"/>
  <c r="G186" i="3" s="1"/>
  <c r="C186" i="3"/>
  <c r="B186" i="3"/>
  <c r="A186" i="3"/>
  <c r="E185" i="3"/>
  <c r="D185" i="3"/>
  <c r="G185" i="3" s="1"/>
  <c r="C185" i="3"/>
  <c r="B185" i="3"/>
  <c r="A185" i="3"/>
  <c r="E184" i="3"/>
  <c r="D184" i="3"/>
  <c r="G184" i="3" s="1"/>
  <c r="C184" i="3"/>
  <c r="B184" i="3"/>
  <c r="A184" i="3"/>
  <c r="E183" i="3"/>
  <c r="D183" i="3"/>
  <c r="G183" i="3" s="1"/>
  <c r="C183" i="3"/>
  <c r="B183" i="3"/>
  <c r="A183" i="3"/>
  <c r="E182" i="3"/>
  <c r="D182" i="3"/>
  <c r="G182" i="3" s="1"/>
  <c r="C182" i="3"/>
  <c r="B182" i="3"/>
  <c r="A182" i="3"/>
  <c r="E181" i="3"/>
  <c r="D181" i="3"/>
  <c r="G181" i="3" s="1"/>
  <c r="C181" i="3"/>
  <c r="B181" i="3"/>
  <c r="A181" i="3"/>
  <c r="E180" i="3"/>
  <c r="D180" i="3"/>
  <c r="G180" i="3" s="1"/>
  <c r="C180" i="3"/>
  <c r="B180" i="3"/>
  <c r="A180" i="3"/>
  <c r="E179" i="3"/>
  <c r="D179" i="3"/>
  <c r="G179" i="3" s="1"/>
  <c r="C179" i="3"/>
  <c r="B179" i="3"/>
  <c r="A179" i="3"/>
  <c r="E178" i="3"/>
  <c r="D178" i="3"/>
  <c r="G178" i="3" s="1"/>
  <c r="C178" i="3"/>
  <c r="B178" i="3"/>
  <c r="A178" i="3"/>
  <c r="E177" i="3"/>
  <c r="D177" i="3"/>
  <c r="G177" i="3" s="1"/>
  <c r="C177" i="3"/>
  <c r="B177" i="3"/>
  <c r="A177" i="3"/>
  <c r="E176" i="3"/>
  <c r="D176" i="3"/>
  <c r="G176" i="3" s="1"/>
  <c r="C176" i="3"/>
  <c r="B176" i="3"/>
  <c r="A176" i="3"/>
  <c r="E175" i="3"/>
  <c r="D175" i="3"/>
  <c r="G175" i="3" s="1"/>
  <c r="C175" i="3"/>
  <c r="B175" i="3"/>
  <c r="A175" i="3"/>
  <c r="E174" i="3"/>
  <c r="D174" i="3"/>
  <c r="G174" i="3" s="1"/>
  <c r="C174" i="3"/>
  <c r="B174" i="3"/>
  <c r="A174" i="3"/>
  <c r="E173" i="3"/>
  <c r="D173" i="3"/>
  <c r="G173" i="3" s="1"/>
  <c r="C173" i="3"/>
  <c r="B173" i="3"/>
  <c r="A173" i="3"/>
  <c r="E172" i="3"/>
  <c r="D172" i="3"/>
  <c r="G172" i="3" s="1"/>
  <c r="C172" i="3"/>
  <c r="B172" i="3"/>
  <c r="A172" i="3"/>
  <c r="E171" i="3"/>
  <c r="D171" i="3"/>
  <c r="G171" i="3" s="1"/>
  <c r="C171" i="3"/>
  <c r="B171" i="3"/>
  <c r="A171" i="3"/>
  <c r="E170" i="3"/>
  <c r="D170" i="3"/>
  <c r="G170" i="3" s="1"/>
  <c r="C170" i="3"/>
  <c r="B170" i="3"/>
  <c r="A170" i="3"/>
  <c r="E169" i="3"/>
  <c r="D169" i="3"/>
  <c r="G169" i="3" s="1"/>
  <c r="C169" i="3"/>
  <c r="B169" i="3"/>
  <c r="A169" i="3"/>
  <c r="E168" i="3"/>
  <c r="D168" i="3"/>
  <c r="G168" i="3" s="1"/>
  <c r="C168" i="3"/>
  <c r="B168" i="3"/>
  <c r="A168" i="3"/>
  <c r="H168" i="3" s="1"/>
  <c r="E167" i="3"/>
  <c r="D167" i="3"/>
  <c r="G167" i="3" s="1"/>
  <c r="C167" i="3"/>
  <c r="B167" i="3"/>
  <c r="E166" i="3"/>
  <c r="D166" i="3"/>
  <c r="G166" i="3" s="1"/>
  <c r="C166" i="3"/>
  <c r="B166" i="3"/>
  <c r="A166" i="3"/>
  <c r="H166" i="3" s="1"/>
  <c r="E165" i="3"/>
  <c r="D165" i="3"/>
  <c r="G165" i="3" s="1"/>
  <c r="C165" i="3"/>
  <c r="B165" i="3"/>
  <c r="A165" i="3"/>
  <c r="H165" i="3" s="1"/>
  <c r="E164" i="3"/>
  <c r="D164" i="3"/>
  <c r="G164" i="3" s="1"/>
  <c r="C164" i="3"/>
  <c r="B164" i="3"/>
  <c r="A164" i="3"/>
  <c r="H164" i="3" s="1"/>
  <c r="E163" i="3"/>
  <c r="D163" i="3"/>
  <c r="G163" i="3" s="1"/>
  <c r="C163" i="3"/>
  <c r="B163" i="3"/>
  <c r="A163" i="3"/>
  <c r="H163" i="3" s="1"/>
  <c r="E162" i="3"/>
  <c r="D162" i="3"/>
  <c r="G162" i="3" s="1"/>
  <c r="C162" i="3"/>
  <c r="B162" i="3"/>
  <c r="A162" i="3"/>
  <c r="H162" i="3" s="1"/>
  <c r="E161" i="3"/>
  <c r="D161" i="3"/>
  <c r="G161" i="3" s="1"/>
  <c r="C161" i="3"/>
  <c r="B161" i="3"/>
  <c r="A161" i="3"/>
  <c r="E160" i="3"/>
  <c r="D160" i="3"/>
  <c r="G160" i="3" s="1"/>
  <c r="C160" i="3"/>
  <c r="B160" i="3"/>
  <c r="A160" i="3"/>
  <c r="E159" i="3"/>
  <c r="D159" i="3"/>
  <c r="G159" i="3" s="1"/>
  <c r="C159" i="3"/>
  <c r="B159" i="3"/>
  <c r="A159" i="3"/>
  <c r="E158" i="3"/>
  <c r="D158" i="3"/>
  <c r="G158" i="3" s="1"/>
  <c r="C158" i="3"/>
  <c r="B158" i="3"/>
  <c r="A158" i="3"/>
  <c r="E157" i="3"/>
  <c r="D157" i="3"/>
  <c r="G157" i="3" s="1"/>
  <c r="C157" i="3"/>
  <c r="B157" i="3"/>
  <c r="A157" i="3"/>
  <c r="E156" i="3"/>
  <c r="D156" i="3"/>
  <c r="G156" i="3" s="1"/>
  <c r="C156" i="3"/>
  <c r="B156" i="3"/>
  <c r="A156" i="3"/>
  <c r="E155" i="3"/>
  <c r="D155" i="3"/>
  <c r="G155" i="3" s="1"/>
  <c r="C155" i="3"/>
  <c r="B155" i="3"/>
  <c r="A155" i="3"/>
  <c r="E154" i="3"/>
  <c r="D154" i="3"/>
  <c r="G154" i="3" s="1"/>
  <c r="C154" i="3"/>
  <c r="B154" i="3"/>
  <c r="A154" i="3"/>
  <c r="E153" i="3"/>
  <c r="D153" i="3"/>
  <c r="G153" i="3" s="1"/>
  <c r="C153" i="3"/>
  <c r="B153" i="3"/>
  <c r="A153" i="3"/>
  <c r="E152" i="3"/>
  <c r="D152" i="3"/>
  <c r="G152" i="3" s="1"/>
  <c r="C152" i="3"/>
  <c r="B152" i="3"/>
  <c r="A152" i="3"/>
  <c r="E151" i="3"/>
  <c r="D151" i="3"/>
  <c r="G151" i="3" s="1"/>
  <c r="C151" i="3"/>
  <c r="B151" i="3"/>
  <c r="A151" i="3"/>
  <c r="E150" i="3"/>
  <c r="D150" i="3"/>
  <c r="G150" i="3" s="1"/>
  <c r="C150" i="3"/>
  <c r="B150" i="3"/>
  <c r="A150" i="3"/>
  <c r="E149" i="3"/>
  <c r="D149" i="3"/>
  <c r="G149" i="3" s="1"/>
  <c r="C149" i="3"/>
  <c r="B149" i="3"/>
  <c r="A149" i="3"/>
  <c r="E148" i="3"/>
  <c r="D148" i="3"/>
  <c r="G148" i="3" s="1"/>
  <c r="C148" i="3"/>
  <c r="B148" i="3"/>
  <c r="A148" i="3"/>
  <c r="E147" i="3"/>
  <c r="D147" i="3"/>
  <c r="G147" i="3" s="1"/>
  <c r="C147" i="3"/>
  <c r="B147" i="3"/>
  <c r="A147" i="3"/>
  <c r="E146" i="3"/>
  <c r="D146" i="3"/>
  <c r="G146" i="3" s="1"/>
  <c r="C146" i="3"/>
  <c r="B146" i="3"/>
  <c r="A146" i="3"/>
  <c r="E145" i="3"/>
  <c r="D145" i="3"/>
  <c r="G145" i="3" s="1"/>
  <c r="C145" i="3"/>
  <c r="B145" i="3"/>
  <c r="A145" i="3"/>
  <c r="E144" i="3"/>
  <c r="D144" i="3"/>
  <c r="G144" i="3" s="1"/>
  <c r="C144" i="3"/>
  <c r="B144" i="3"/>
  <c r="A144" i="3"/>
  <c r="E143" i="3"/>
  <c r="D143" i="3"/>
  <c r="G143" i="3" s="1"/>
  <c r="C143" i="3"/>
  <c r="B143" i="3"/>
  <c r="A143" i="3"/>
  <c r="E142" i="3"/>
  <c r="D142" i="3"/>
  <c r="G142" i="3" s="1"/>
  <c r="C142" i="3"/>
  <c r="B142" i="3"/>
  <c r="A142" i="3"/>
  <c r="E141" i="3"/>
  <c r="D141" i="3"/>
  <c r="G141" i="3" s="1"/>
  <c r="C141" i="3"/>
  <c r="B141" i="3"/>
  <c r="A141" i="3"/>
  <c r="E140" i="3"/>
  <c r="D140" i="3"/>
  <c r="G140" i="3" s="1"/>
  <c r="C140" i="3"/>
  <c r="B140" i="3"/>
  <c r="A140" i="3"/>
  <c r="E139" i="3"/>
  <c r="D139" i="3"/>
  <c r="G139" i="3" s="1"/>
  <c r="C139" i="3"/>
  <c r="B139" i="3"/>
  <c r="A139" i="3"/>
  <c r="E138" i="3"/>
  <c r="D138" i="3"/>
  <c r="G138" i="3" s="1"/>
  <c r="C138" i="3"/>
  <c r="B138" i="3"/>
  <c r="A138" i="3"/>
  <c r="E137" i="3"/>
  <c r="D137" i="3"/>
  <c r="G137" i="3" s="1"/>
  <c r="C137" i="3"/>
  <c r="B137" i="3"/>
  <c r="A137" i="3"/>
  <c r="E136" i="3"/>
  <c r="D136" i="3"/>
  <c r="G136" i="3" s="1"/>
  <c r="C136" i="3"/>
  <c r="B136" i="3"/>
  <c r="A136" i="3"/>
  <c r="E135" i="3"/>
  <c r="D135" i="3"/>
  <c r="G135" i="3" s="1"/>
  <c r="C135" i="3"/>
  <c r="B135" i="3"/>
  <c r="A135" i="3"/>
  <c r="E134" i="3"/>
  <c r="D134" i="3"/>
  <c r="G134" i="3" s="1"/>
  <c r="C134" i="3"/>
  <c r="B134" i="3"/>
  <c r="A134" i="3"/>
  <c r="E133" i="3"/>
  <c r="D133" i="3"/>
  <c r="G133" i="3" s="1"/>
  <c r="C133" i="3"/>
  <c r="B133" i="3"/>
  <c r="A133" i="3"/>
  <c r="E132" i="3"/>
  <c r="D132" i="3"/>
  <c r="G132" i="3" s="1"/>
  <c r="C132" i="3"/>
  <c r="B132" i="3"/>
  <c r="A132" i="3"/>
  <c r="E131" i="3"/>
  <c r="D131" i="3"/>
  <c r="G131" i="3" s="1"/>
  <c r="C131" i="3"/>
  <c r="B131" i="3"/>
  <c r="A131" i="3"/>
  <c r="E130" i="3"/>
  <c r="D130" i="3"/>
  <c r="G130" i="3" s="1"/>
  <c r="C130" i="3"/>
  <c r="B130" i="3"/>
  <c r="A130" i="3"/>
  <c r="E129" i="3"/>
  <c r="D129" i="3"/>
  <c r="G129" i="3" s="1"/>
  <c r="C129" i="3"/>
  <c r="B129" i="3"/>
  <c r="A129" i="3"/>
  <c r="E128" i="3"/>
  <c r="D128" i="3"/>
  <c r="G128" i="3" s="1"/>
  <c r="C128" i="3"/>
  <c r="B128" i="3"/>
  <c r="A128" i="3"/>
  <c r="E127" i="3"/>
  <c r="D127" i="3"/>
  <c r="G127" i="3" s="1"/>
  <c r="C127" i="3"/>
  <c r="B127" i="3"/>
  <c r="A127" i="3"/>
  <c r="E126" i="3"/>
  <c r="D126" i="3"/>
  <c r="G126" i="3" s="1"/>
  <c r="C126" i="3"/>
  <c r="B126" i="3"/>
  <c r="A126" i="3"/>
  <c r="E125" i="3"/>
  <c r="D125" i="3"/>
  <c r="G125" i="3" s="1"/>
  <c r="C125" i="3"/>
  <c r="B125" i="3"/>
  <c r="A125" i="3"/>
  <c r="E124" i="3"/>
  <c r="D124" i="3"/>
  <c r="G124" i="3" s="1"/>
  <c r="C124" i="3"/>
  <c r="B124" i="3"/>
  <c r="A124" i="3"/>
  <c r="E123" i="3"/>
  <c r="D123" i="3"/>
  <c r="G123" i="3" s="1"/>
  <c r="C123" i="3"/>
  <c r="B123" i="3"/>
  <c r="A123" i="3"/>
  <c r="E122" i="3"/>
  <c r="D122" i="3"/>
  <c r="G122" i="3" s="1"/>
  <c r="C122" i="3"/>
  <c r="B122" i="3"/>
  <c r="A122" i="3"/>
  <c r="E121" i="3"/>
  <c r="D121" i="3"/>
  <c r="G121" i="3" s="1"/>
  <c r="C121" i="3"/>
  <c r="B121" i="3"/>
  <c r="A121" i="3"/>
  <c r="E120" i="3"/>
  <c r="D120" i="3"/>
  <c r="G120" i="3" s="1"/>
  <c r="C120" i="3"/>
  <c r="B120" i="3"/>
  <c r="A120" i="3"/>
  <c r="E119" i="3"/>
  <c r="D119" i="3"/>
  <c r="G119" i="3" s="1"/>
  <c r="C119" i="3"/>
  <c r="B119" i="3"/>
  <c r="A119" i="3"/>
  <c r="E118" i="3"/>
  <c r="D118" i="3"/>
  <c r="G118" i="3" s="1"/>
  <c r="C118" i="3"/>
  <c r="B118" i="3"/>
  <c r="A118" i="3"/>
  <c r="E117" i="3"/>
  <c r="D117" i="3"/>
  <c r="G117" i="3" s="1"/>
  <c r="C117" i="3"/>
  <c r="B117" i="3"/>
  <c r="A117" i="3"/>
  <c r="E116" i="3"/>
  <c r="D116" i="3"/>
  <c r="G116" i="3" s="1"/>
  <c r="C116" i="3"/>
  <c r="B116" i="3"/>
  <c r="A116" i="3"/>
  <c r="E115" i="3"/>
  <c r="D115" i="3"/>
  <c r="G115" i="3" s="1"/>
  <c r="C115" i="3"/>
  <c r="B115" i="3"/>
  <c r="A115" i="3"/>
  <c r="E114" i="3"/>
  <c r="D114" i="3"/>
  <c r="G114" i="3" s="1"/>
  <c r="C114" i="3"/>
  <c r="B114" i="3"/>
  <c r="A114" i="3"/>
  <c r="E113" i="3"/>
  <c r="D113" i="3"/>
  <c r="G113" i="3" s="1"/>
  <c r="C113" i="3"/>
  <c r="B113" i="3"/>
  <c r="A113" i="3"/>
  <c r="E112" i="3"/>
  <c r="D112" i="3"/>
  <c r="G112" i="3" s="1"/>
  <c r="C112" i="3"/>
  <c r="B112" i="3"/>
  <c r="A112" i="3"/>
  <c r="E111" i="3"/>
  <c r="D111" i="3"/>
  <c r="G111" i="3" s="1"/>
  <c r="C111" i="3"/>
  <c r="B111" i="3"/>
  <c r="A111" i="3"/>
  <c r="H111" i="3" s="1"/>
  <c r="E110" i="3"/>
  <c r="D110" i="3"/>
  <c r="G110" i="3" s="1"/>
  <c r="C110" i="3"/>
  <c r="B110" i="3"/>
  <c r="A110" i="3"/>
  <c r="H110" i="3" s="1"/>
  <c r="E109" i="3"/>
  <c r="D109" i="3"/>
  <c r="G109" i="3" s="1"/>
  <c r="C109" i="3"/>
  <c r="B109" i="3"/>
  <c r="A109" i="3"/>
  <c r="H109" i="3" s="1"/>
  <c r="E108" i="3"/>
  <c r="D108" i="3"/>
  <c r="G108" i="3" s="1"/>
  <c r="C108" i="3"/>
  <c r="B108" i="3"/>
  <c r="A108" i="3"/>
  <c r="H108" i="3" s="1"/>
  <c r="E107" i="3"/>
  <c r="D107" i="3"/>
  <c r="G107" i="3" s="1"/>
  <c r="C107" i="3"/>
  <c r="B107" i="3"/>
  <c r="A107" i="3"/>
  <c r="H107" i="3" s="1"/>
  <c r="E106" i="3"/>
  <c r="D106" i="3"/>
  <c r="G106" i="3" s="1"/>
  <c r="C106" i="3"/>
  <c r="B106" i="3"/>
  <c r="A106" i="3"/>
  <c r="E105" i="3"/>
  <c r="D105" i="3"/>
  <c r="G105" i="3" s="1"/>
  <c r="C105" i="3"/>
  <c r="B105" i="3"/>
  <c r="A105" i="3"/>
  <c r="E104" i="3"/>
  <c r="D104" i="3"/>
  <c r="G104" i="3" s="1"/>
  <c r="C104" i="3"/>
  <c r="B104" i="3"/>
  <c r="A104" i="3"/>
  <c r="E103" i="3"/>
  <c r="D103" i="3"/>
  <c r="G103" i="3" s="1"/>
  <c r="C103" i="3"/>
  <c r="B103" i="3"/>
  <c r="A103" i="3"/>
  <c r="E102" i="3"/>
  <c r="D102" i="3"/>
  <c r="G102" i="3" s="1"/>
  <c r="C102" i="3"/>
  <c r="B102" i="3"/>
  <c r="A102" i="3"/>
  <c r="E101" i="3"/>
  <c r="D101" i="3"/>
  <c r="G101" i="3" s="1"/>
  <c r="C101" i="3"/>
  <c r="B101" i="3"/>
  <c r="A101" i="3"/>
  <c r="E100" i="3"/>
  <c r="D100" i="3"/>
  <c r="G100" i="3" s="1"/>
  <c r="C100" i="3"/>
  <c r="B100" i="3"/>
  <c r="A100" i="3"/>
  <c r="E99" i="3"/>
  <c r="D99" i="3"/>
  <c r="G99" i="3" s="1"/>
  <c r="C99" i="3"/>
  <c r="B99" i="3"/>
  <c r="A99" i="3"/>
  <c r="E98" i="3"/>
  <c r="D98" i="3"/>
  <c r="G98" i="3" s="1"/>
  <c r="C98" i="3"/>
  <c r="B98" i="3"/>
  <c r="A98" i="3"/>
  <c r="E97" i="3"/>
  <c r="D97" i="3"/>
  <c r="G97" i="3" s="1"/>
  <c r="C97" i="3"/>
  <c r="B97" i="3"/>
  <c r="A97" i="3"/>
  <c r="E96" i="3"/>
  <c r="D96" i="3"/>
  <c r="G96" i="3" s="1"/>
  <c r="C96" i="3"/>
  <c r="B96" i="3"/>
  <c r="A96" i="3"/>
  <c r="E95" i="3"/>
  <c r="D95" i="3"/>
  <c r="G95" i="3" s="1"/>
  <c r="C95" i="3"/>
  <c r="B95" i="3"/>
  <c r="A95" i="3"/>
  <c r="E94" i="3"/>
  <c r="D94" i="3"/>
  <c r="G94" i="3" s="1"/>
  <c r="C94" i="3"/>
  <c r="B94" i="3"/>
  <c r="A94" i="3"/>
  <c r="E93" i="3"/>
  <c r="D93" i="3"/>
  <c r="G93" i="3" s="1"/>
  <c r="C93" i="3"/>
  <c r="B93" i="3"/>
  <c r="A93" i="3"/>
  <c r="E92" i="3"/>
  <c r="D92" i="3"/>
  <c r="G92" i="3" s="1"/>
  <c r="C92" i="3"/>
  <c r="B92" i="3"/>
  <c r="A92" i="3"/>
  <c r="E91" i="3"/>
  <c r="D91" i="3"/>
  <c r="G91" i="3" s="1"/>
  <c r="C91" i="3"/>
  <c r="B91" i="3"/>
  <c r="A91" i="3"/>
  <c r="E90" i="3"/>
  <c r="D90" i="3"/>
  <c r="G90" i="3" s="1"/>
  <c r="C90" i="3"/>
  <c r="B90" i="3"/>
  <c r="A90" i="3"/>
  <c r="E89" i="3"/>
  <c r="D89" i="3"/>
  <c r="G89" i="3" s="1"/>
  <c r="C89" i="3"/>
  <c r="B89" i="3"/>
  <c r="A89" i="3"/>
  <c r="E88" i="3"/>
  <c r="D88" i="3"/>
  <c r="G88" i="3" s="1"/>
  <c r="C88" i="3"/>
  <c r="B88" i="3"/>
  <c r="A88" i="3"/>
  <c r="E87" i="3"/>
  <c r="D87" i="3"/>
  <c r="G87" i="3" s="1"/>
  <c r="C87" i="3"/>
  <c r="B87" i="3"/>
  <c r="A87" i="3"/>
  <c r="E86" i="3"/>
  <c r="D86" i="3"/>
  <c r="G86" i="3" s="1"/>
  <c r="C86" i="3"/>
  <c r="B86" i="3"/>
  <c r="A86" i="3"/>
  <c r="E85" i="3"/>
  <c r="D85" i="3"/>
  <c r="G85" i="3" s="1"/>
  <c r="C85" i="3"/>
  <c r="B85" i="3"/>
  <c r="A85" i="3"/>
  <c r="E84" i="3"/>
  <c r="D84" i="3"/>
  <c r="G84" i="3" s="1"/>
  <c r="C84" i="3"/>
  <c r="B84" i="3"/>
  <c r="A84" i="3"/>
  <c r="E83" i="3"/>
  <c r="D83" i="3"/>
  <c r="G83" i="3" s="1"/>
  <c r="C83" i="3"/>
  <c r="B83" i="3"/>
  <c r="A83" i="3"/>
  <c r="E82" i="3"/>
  <c r="D82" i="3"/>
  <c r="G82" i="3" s="1"/>
  <c r="C82" i="3"/>
  <c r="B82" i="3"/>
  <c r="A82" i="3"/>
  <c r="E81" i="3"/>
  <c r="D81" i="3"/>
  <c r="G81" i="3" s="1"/>
  <c r="C81" i="3"/>
  <c r="B81" i="3"/>
  <c r="A81" i="3"/>
  <c r="E80" i="3"/>
  <c r="D80" i="3"/>
  <c r="G80" i="3" s="1"/>
  <c r="C80" i="3"/>
  <c r="B80" i="3"/>
  <c r="A80" i="3"/>
  <c r="E79" i="3"/>
  <c r="D79" i="3"/>
  <c r="G79" i="3" s="1"/>
  <c r="C79" i="3"/>
  <c r="B79" i="3"/>
  <c r="A79" i="3"/>
  <c r="E78" i="3"/>
  <c r="D78" i="3"/>
  <c r="G78" i="3" s="1"/>
  <c r="C78" i="3"/>
  <c r="B78" i="3"/>
  <c r="A78" i="3"/>
  <c r="E77" i="3"/>
  <c r="D77" i="3"/>
  <c r="G77" i="3" s="1"/>
  <c r="C77" i="3"/>
  <c r="B77" i="3"/>
  <c r="A77" i="3"/>
  <c r="E76" i="3"/>
  <c r="D76" i="3"/>
  <c r="G76" i="3" s="1"/>
  <c r="C76" i="3"/>
  <c r="B76" i="3"/>
  <c r="A76" i="3"/>
  <c r="E75" i="3"/>
  <c r="D75" i="3"/>
  <c r="G75" i="3" s="1"/>
  <c r="C75" i="3"/>
  <c r="B75" i="3"/>
  <c r="A75" i="3"/>
  <c r="E74" i="3"/>
  <c r="D74" i="3"/>
  <c r="G74" i="3" s="1"/>
  <c r="C74" i="3"/>
  <c r="B74" i="3"/>
  <c r="A74" i="3"/>
  <c r="E73" i="3"/>
  <c r="D73" i="3"/>
  <c r="G73" i="3" s="1"/>
  <c r="C73" i="3"/>
  <c r="B73" i="3"/>
  <c r="A73" i="3"/>
  <c r="E72" i="3"/>
  <c r="D72" i="3"/>
  <c r="G72" i="3" s="1"/>
  <c r="C72" i="3"/>
  <c r="B72" i="3"/>
  <c r="A72" i="3"/>
  <c r="E71" i="3"/>
  <c r="D71" i="3"/>
  <c r="G71" i="3" s="1"/>
  <c r="C71" i="3"/>
  <c r="B71" i="3"/>
  <c r="A71" i="3"/>
  <c r="E70" i="3"/>
  <c r="D70" i="3"/>
  <c r="G70" i="3" s="1"/>
  <c r="C70" i="3"/>
  <c r="B70" i="3"/>
  <c r="A70" i="3"/>
  <c r="E69" i="3"/>
  <c r="D69" i="3"/>
  <c r="G69" i="3" s="1"/>
  <c r="C69" i="3"/>
  <c r="B69" i="3"/>
  <c r="A69" i="3"/>
  <c r="E68" i="3"/>
  <c r="D68" i="3"/>
  <c r="G68" i="3" s="1"/>
  <c r="C68" i="3"/>
  <c r="B68" i="3"/>
  <c r="A68" i="3"/>
  <c r="E67" i="3"/>
  <c r="D67" i="3"/>
  <c r="G67" i="3" s="1"/>
  <c r="C67" i="3"/>
  <c r="B67" i="3"/>
  <c r="A67" i="3"/>
  <c r="E66" i="3"/>
  <c r="D66" i="3"/>
  <c r="G66" i="3" s="1"/>
  <c r="C66" i="3"/>
  <c r="B66" i="3"/>
  <c r="A66" i="3"/>
  <c r="E65" i="3"/>
  <c r="D65" i="3"/>
  <c r="G65" i="3" s="1"/>
  <c r="C65" i="3"/>
  <c r="B65" i="3"/>
  <c r="A65" i="3"/>
  <c r="E64" i="3"/>
  <c r="D64" i="3"/>
  <c r="G64" i="3" s="1"/>
  <c r="C64" i="3"/>
  <c r="B64" i="3"/>
  <c r="A64" i="3"/>
  <c r="E63" i="3"/>
  <c r="D63" i="3"/>
  <c r="G63" i="3" s="1"/>
  <c r="C63" i="3"/>
  <c r="B63" i="3"/>
  <c r="A63" i="3"/>
  <c r="E62" i="3"/>
  <c r="D62" i="3"/>
  <c r="G62" i="3" s="1"/>
  <c r="C62" i="3"/>
  <c r="B62" i="3"/>
  <c r="A62" i="3"/>
  <c r="E61" i="3"/>
  <c r="D61" i="3"/>
  <c r="G61" i="3" s="1"/>
  <c r="C61" i="3"/>
  <c r="B61" i="3"/>
  <c r="A61" i="3"/>
  <c r="E60" i="3"/>
  <c r="D60" i="3"/>
  <c r="G60" i="3" s="1"/>
  <c r="C60" i="3"/>
  <c r="B60" i="3"/>
  <c r="A60" i="3"/>
  <c r="E59" i="3"/>
  <c r="D59" i="3"/>
  <c r="G59" i="3" s="1"/>
  <c r="C59" i="3"/>
  <c r="B59" i="3"/>
  <c r="A59" i="3"/>
  <c r="E58" i="3"/>
  <c r="D58" i="3"/>
  <c r="G58" i="3" s="1"/>
  <c r="C58" i="3"/>
  <c r="B58" i="3"/>
  <c r="A58" i="3"/>
  <c r="E57" i="3"/>
  <c r="D57" i="3"/>
  <c r="G57" i="3" s="1"/>
  <c r="C57" i="3"/>
  <c r="B57" i="3"/>
  <c r="A57" i="3"/>
  <c r="H57" i="3" s="1"/>
  <c r="E56" i="3"/>
  <c r="D56" i="3"/>
  <c r="G56" i="3" s="1"/>
  <c r="C56" i="3"/>
  <c r="B56" i="3"/>
  <c r="A56" i="3"/>
  <c r="H56" i="3" s="1"/>
  <c r="E55" i="3"/>
  <c r="D55" i="3"/>
  <c r="G55" i="3" s="1"/>
  <c r="C55" i="3"/>
  <c r="B55" i="3"/>
  <c r="A55" i="3"/>
  <c r="H55" i="3" s="1"/>
  <c r="E54" i="3"/>
  <c r="D54" i="3"/>
  <c r="G54" i="3" s="1"/>
  <c r="C54" i="3"/>
  <c r="B54" i="3"/>
  <c r="A54" i="3"/>
  <c r="H54" i="3" s="1"/>
  <c r="E53" i="3"/>
  <c r="D53" i="3"/>
  <c r="G53" i="3" s="1"/>
  <c r="C53" i="3"/>
  <c r="B53" i="3"/>
  <c r="A53" i="3"/>
  <c r="H53" i="3" s="1"/>
  <c r="E52" i="3"/>
  <c r="D52" i="3"/>
  <c r="G52" i="3" s="1"/>
  <c r="C52" i="3"/>
  <c r="B52" i="3"/>
  <c r="A52" i="3"/>
  <c r="H52" i="3" s="1"/>
  <c r="E51" i="3"/>
  <c r="D51" i="3"/>
  <c r="G51" i="3" s="1"/>
  <c r="C51" i="3"/>
  <c r="B51" i="3"/>
  <c r="A51" i="3"/>
  <c r="E50" i="3"/>
  <c r="D50" i="3"/>
  <c r="G50" i="3" s="1"/>
  <c r="C50" i="3"/>
  <c r="B50" i="3"/>
  <c r="A50" i="3"/>
  <c r="E49" i="3"/>
  <c r="D49" i="3"/>
  <c r="G49" i="3" s="1"/>
  <c r="C49" i="3"/>
  <c r="B49" i="3"/>
  <c r="A49" i="3"/>
  <c r="E48" i="3"/>
  <c r="D48" i="3"/>
  <c r="G48" i="3" s="1"/>
  <c r="C48" i="3"/>
  <c r="B48" i="3"/>
  <c r="A48" i="3"/>
  <c r="E47" i="3"/>
  <c r="D47" i="3"/>
  <c r="G47" i="3" s="1"/>
  <c r="C47" i="3"/>
  <c r="B47" i="3"/>
  <c r="A47" i="3"/>
  <c r="E46" i="3"/>
  <c r="D46" i="3"/>
  <c r="G46" i="3" s="1"/>
  <c r="C46" i="3"/>
  <c r="B46" i="3"/>
  <c r="A46" i="3"/>
  <c r="E45" i="3"/>
  <c r="D45" i="3"/>
  <c r="G45" i="3" s="1"/>
  <c r="C45" i="3"/>
  <c r="B45" i="3"/>
  <c r="A45" i="3"/>
  <c r="E44" i="3"/>
  <c r="D44" i="3"/>
  <c r="G44" i="3" s="1"/>
  <c r="C44" i="3"/>
  <c r="B44" i="3"/>
  <c r="A44" i="3"/>
  <c r="E43" i="3"/>
  <c r="D43" i="3"/>
  <c r="G43" i="3" s="1"/>
  <c r="C43" i="3"/>
  <c r="B43" i="3"/>
  <c r="A43" i="3"/>
  <c r="E42" i="3"/>
  <c r="D42" i="3"/>
  <c r="G42" i="3" s="1"/>
  <c r="C42" i="3"/>
  <c r="B42" i="3"/>
  <c r="A42" i="3"/>
  <c r="E41" i="3"/>
  <c r="D41" i="3"/>
  <c r="G41" i="3" s="1"/>
  <c r="C41" i="3"/>
  <c r="B41" i="3"/>
  <c r="A41" i="3"/>
  <c r="E40" i="3"/>
  <c r="D40" i="3"/>
  <c r="G40" i="3" s="1"/>
  <c r="C40" i="3"/>
  <c r="B40" i="3"/>
  <c r="A40" i="3"/>
  <c r="E39" i="3"/>
  <c r="D39" i="3"/>
  <c r="G39" i="3" s="1"/>
  <c r="C39" i="3"/>
  <c r="B39" i="3"/>
  <c r="A39" i="3"/>
  <c r="E38" i="3"/>
  <c r="D38" i="3"/>
  <c r="G38" i="3" s="1"/>
  <c r="C38" i="3"/>
  <c r="B38" i="3"/>
  <c r="A38" i="3"/>
  <c r="E37" i="3"/>
  <c r="D37" i="3"/>
  <c r="G37" i="3" s="1"/>
  <c r="C37" i="3"/>
  <c r="B37" i="3"/>
  <c r="A37" i="3"/>
  <c r="E36" i="3"/>
  <c r="D36" i="3"/>
  <c r="G36" i="3" s="1"/>
  <c r="C36" i="3"/>
  <c r="B36" i="3"/>
  <c r="A36" i="3"/>
  <c r="E35" i="3"/>
  <c r="D35" i="3"/>
  <c r="G35" i="3" s="1"/>
  <c r="C35" i="3"/>
  <c r="B35" i="3"/>
  <c r="A35" i="3"/>
  <c r="E34" i="3"/>
  <c r="D34" i="3"/>
  <c r="G34" i="3" s="1"/>
  <c r="C34" i="3"/>
  <c r="B34" i="3"/>
  <c r="A34" i="3"/>
  <c r="E33" i="3"/>
  <c r="D33" i="3"/>
  <c r="G33" i="3" s="1"/>
  <c r="C33" i="3"/>
  <c r="B33" i="3"/>
  <c r="A33" i="3"/>
  <c r="E32" i="3"/>
  <c r="D32" i="3"/>
  <c r="G32" i="3" s="1"/>
  <c r="C32" i="3"/>
  <c r="B32" i="3"/>
  <c r="A32" i="3"/>
  <c r="E31" i="3"/>
  <c r="D31" i="3"/>
  <c r="G31" i="3" s="1"/>
  <c r="C31" i="3"/>
  <c r="B31" i="3"/>
  <c r="A31" i="3"/>
  <c r="E30" i="3"/>
  <c r="D30" i="3"/>
  <c r="G30" i="3" s="1"/>
  <c r="C30" i="3"/>
  <c r="B30" i="3"/>
  <c r="A30" i="3"/>
  <c r="E29" i="3"/>
  <c r="D29" i="3"/>
  <c r="G29" i="3" s="1"/>
  <c r="C29" i="3"/>
  <c r="B29" i="3"/>
  <c r="A29" i="3"/>
  <c r="E28" i="3"/>
  <c r="D28" i="3"/>
  <c r="G28" i="3" s="1"/>
  <c r="C28" i="3"/>
  <c r="B28" i="3"/>
  <c r="A28" i="3"/>
  <c r="E27" i="3"/>
  <c r="D27" i="3"/>
  <c r="G27" i="3" s="1"/>
  <c r="C27" i="3"/>
  <c r="B27" i="3"/>
  <c r="A27" i="3"/>
  <c r="E26" i="3"/>
  <c r="D26" i="3"/>
  <c r="G26" i="3" s="1"/>
  <c r="C26" i="3"/>
  <c r="B26" i="3"/>
  <c r="A26" i="3"/>
  <c r="E25" i="3"/>
  <c r="D25" i="3"/>
  <c r="G25" i="3" s="1"/>
  <c r="C25" i="3"/>
  <c r="B25" i="3"/>
  <c r="A25" i="3"/>
  <c r="E24" i="3"/>
  <c r="D24" i="3"/>
  <c r="G24" i="3" s="1"/>
  <c r="C24" i="3"/>
  <c r="B24" i="3"/>
  <c r="A24" i="3"/>
  <c r="E23" i="3"/>
  <c r="D23" i="3"/>
  <c r="G23" i="3" s="1"/>
  <c r="C23" i="3"/>
  <c r="B23" i="3"/>
  <c r="A23" i="3"/>
  <c r="E22" i="3"/>
  <c r="D22" i="3"/>
  <c r="G22" i="3" s="1"/>
  <c r="C22" i="3"/>
  <c r="B22" i="3"/>
  <c r="A22" i="3"/>
  <c r="E21" i="3"/>
  <c r="D21" i="3"/>
  <c r="G21" i="3" s="1"/>
  <c r="C21" i="3"/>
  <c r="B21" i="3"/>
  <c r="A21" i="3"/>
  <c r="E20" i="3"/>
  <c r="D20" i="3"/>
  <c r="G20" i="3" s="1"/>
  <c r="C20" i="3"/>
  <c r="B20" i="3"/>
  <c r="A20" i="3"/>
  <c r="E19" i="3"/>
  <c r="D19" i="3"/>
  <c r="G19" i="3" s="1"/>
  <c r="C19" i="3"/>
  <c r="B19" i="3"/>
  <c r="A19" i="3"/>
  <c r="E18" i="3"/>
  <c r="D18" i="3"/>
  <c r="G18" i="3" s="1"/>
  <c r="C18" i="3"/>
  <c r="B18" i="3"/>
  <c r="A18" i="3"/>
  <c r="E17" i="3"/>
  <c r="D17" i="3"/>
  <c r="G17" i="3" s="1"/>
  <c r="C17" i="3"/>
  <c r="B17" i="3"/>
  <c r="A17" i="3"/>
  <c r="E16" i="3"/>
  <c r="D16" i="3"/>
  <c r="G16" i="3" s="1"/>
  <c r="C16" i="3"/>
  <c r="B16" i="3"/>
  <c r="A16" i="3"/>
  <c r="E15" i="3"/>
  <c r="D15" i="3"/>
  <c r="G15" i="3" s="1"/>
  <c r="C15" i="3"/>
  <c r="B15" i="3"/>
  <c r="A15" i="3"/>
  <c r="E14" i="3"/>
  <c r="D14" i="3"/>
  <c r="G14" i="3" s="1"/>
  <c r="C14" i="3"/>
  <c r="B14" i="3"/>
  <c r="A14" i="3"/>
  <c r="E13" i="3"/>
  <c r="D13" i="3"/>
  <c r="G13" i="3" s="1"/>
  <c r="C13" i="3"/>
  <c r="B13" i="3"/>
  <c r="A13" i="3"/>
  <c r="E12" i="3"/>
  <c r="D12" i="3"/>
  <c r="G12" i="3" s="1"/>
  <c r="C12" i="3"/>
  <c r="B12" i="3"/>
  <c r="A12" i="3"/>
  <c r="E11" i="3"/>
  <c r="D11" i="3"/>
  <c r="G11" i="3" s="1"/>
  <c r="C11" i="3"/>
  <c r="B11" i="3"/>
  <c r="A11" i="3"/>
  <c r="E10" i="3"/>
  <c r="D10" i="3"/>
  <c r="G10" i="3" s="1"/>
  <c r="C10" i="3"/>
  <c r="B10" i="3"/>
  <c r="A10" i="3"/>
  <c r="E9" i="3"/>
  <c r="D9" i="3"/>
  <c r="G9" i="3" s="1"/>
  <c r="C9" i="3"/>
  <c r="B9" i="3"/>
  <c r="A9" i="3"/>
  <c r="E8" i="3"/>
  <c r="D8" i="3"/>
  <c r="G8" i="3" s="1"/>
  <c r="C8" i="3"/>
  <c r="B8" i="3"/>
  <c r="A8" i="3"/>
  <c r="E7" i="3"/>
  <c r="D7" i="3"/>
  <c r="G7" i="3" s="1"/>
  <c r="C7" i="3"/>
  <c r="B7" i="3"/>
  <c r="A7" i="3"/>
  <c r="E6" i="3"/>
  <c r="D6" i="3"/>
  <c r="G6" i="3" s="1"/>
  <c r="C6" i="3"/>
  <c r="B6" i="3"/>
  <c r="A6" i="3"/>
  <c r="E5" i="3"/>
  <c r="D5" i="3"/>
  <c r="G5" i="3" s="1"/>
  <c r="C5" i="3"/>
  <c r="B5" i="3"/>
  <c r="A5" i="3"/>
  <c r="E4" i="3"/>
  <c r="D4" i="3"/>
  <c r="G4" i="3" s="1"/>
  <c r="C4" i="3"/>
  <c r="B4" i="3"/>
  <c r="A4" i="3"/>
  <c r="E3" i="3"/>
  <c r="D3" i="3"/>
  <c r="G3" i="3" s="1"/>
  <c r="C3" i="3"/>
  <c r="B3" i="3"/>
  <c r="A3" i="3"/>
  <c r="E2" i="3"/>
  <c r="D2" i="3"/>
  <c r="C2" i="3"/>
  <c r="B2" i="3"/>
  <c r="A2" i="3"/>
  <c r="P2629" i="33" a="1"/>
  <c r="G2" i="3" l="1"/>
  <c r="E34" i="7"/>
  <c r="F34" i="7" s="1"/>
  <c r="H34" i="7" s="1"/>
  <c r="E31" i="7"/>
  <c r="F31" i="7" s="1"/>
  <c r="H31" i="7" s="1"/>
  <c r="E30" i="7"/>
  <c r="F30" i="7" s="1"/>
  <c r="E33" i="7"/>
  <c r="F33" i="7" s="1"/>
  <c r="H33" i="7" s="1"/>
  <c r="E32" i="7"/>
  <c r="F32" i="7" s="1"/>
  <c r="H32" i="7" s="1"/>
  <c r="F19" i="19"/>
  <c r="BS76" i="4"/>
  <c r="CA74" i="4"/>
  <c r="BY77" i="4"/>
  <c r="BM74" i="4"/>
  <c r="BQ73" i="4"/>
  <c r="BM76" i="4"/>
  <c r="BO75" i="4"/>
  <c r="BR75" i="4"/>
  <c r="BN73" i="4"/>
  <c r="BP100" i="4"/>
  <c r="BR104" i="4"/>
  <c r="BM104" i="4"/>
  <c r="BM102" i="4"/>
  <c r="BS103" i="4"/>
  <c r="BM100" i="4"/>
  <c r="CB100" i="4"/>
  <c r="BX103" i="4"/>
  <c r="BW101" i="4"/>
  <c r="BY94" i="4"/>
  <c r="BO95" i="4"/>
  <c r="BN93" i="4"/>
  <c r="CA92" i="4"/>
  <c r="CA94" i="4"/>
  <c r="BO91" i="4"/>
  <c r="BM95" i="4"/>
  <c r="BY91" i="4"/>
  <c r="CC95" i="4"/>
  <c r="BY82" i="4"/>
  <c r="BW84" i="4"/>
  <c r="BR82" i="4"/>
  <c r="BS84" i="4"/>
  <c r="BN85" i="4"/>
  <c r="BZ85" i="4"/>
  <c r="CC86" i="4"/>
  <c r="BM84" i="4"/>
  <c r="BX84" i="4"/>
  <c r="BN77" i="4"/>
  <c r="BY74" i="4"/>
  <c r="CC76" i="4"/>
  <c r="CA76" i="4"/>
  <c r="BR74" i="4"/>
  <c r="BP74" i="4"/>
  <c r="BR73" i="4"/>
  <c r="BZ76" i="4"/>
  <c r="BP75" i="4"/>
  <c r="BO100" i="4"/>
  <c r="BO104" i="4"/>
  <c r="CC104" i="4"/>
  <c r="BW103" i="4"/>
  <c r="BQ104" i="4"/>
  <c r="BS102" i="4"/>
  <c r="BX101" i="4"/>
  <c r="CC100" i="4"/>
  <c r="CA102" i="4"/>
  <c r="BW94" i="4"/>
  <c r="BS91" i="4"/>
  <c r="BQ91" i="4"/>
  <c r="CB92" i="4"/>
  <c r="CB93" i="4"/>
  <c r="BM92" i="4"/>
  <c r="BN94" i="4"/>
  <c r="CB95" i="4"/>
  <c r="CB94" i="4"/>
  <c r="BW82" i="4"/>
  <c r="BP83" i="4"/>
  <c r="BP86" i="4"/>
  <c r="BO85" i="4"/>
  <c r="BW85" i="4"/>
  <c r="BS74" i="4"/>
  <c r="CB73" i="4"/>
  <c r="BX77" i="4"/>
  <c r="CB76" i="4"/>
  <c r="BW77" i="4"/>
  <c r="BO77" i="4"/>
  <c r="BP76" i="4"/>
  <c r="BW74" i="4"/>
  <c r="BY75" i="4"/>
  <c r="BY100" i="4"/>
  <c r="BW100" i="4"/>
  <c r="CA104" i="4"/>
  <c r="CC103" i="4"/>
  <c r="BY104" i="4"/>
  <c r="BQ103" i="4"/>
  <c r="BR101" i="4"/>
  <c r="CA100" i="4"/>
  <c r="BZ102" i="4"/>
  <c r="BZ93" i="4"/>
  <c r="CA95" i="4"/>
  <c r="BO93" i="4"/>
  <c r="BZ95" i="4"/>
  <c r="BW91" i="4"/>
  <c r="BY92" i="4"/>
  <c r="CA91" i="4"/>
  <c r="BP91" i="4"/>
  <c r="BR86" i="4"/>
  <c r="BX82" i="4"/>
  <c r="BO86" i="4"/>
  <c r="BQ85" i="4"/>
  <c r="BY86" i="4"/>
  <c r="BM86" i="4"/>
  <c r="BP82" i="4"/>
  <c r="CC84" i="4"/>
  <c r="CA86" i="4"/>
  <c r="BM77" i="4"/>
  <c r="BM73" i="4"/>
  <c r="CC73" i="4"/>
  <c r="CA75" i="4"/>
  <c r="CB75" i="4"/>
  <c r="BY76" i="4"/>
  <c r="BW76" i="4"/>
  <c r="CC74" i="4"/>
  <c r="BW75" i="4"/>
  <c r="CC101" i="4"/>
  <c r="BZ100" i="4"/>
  <c r="BZ104" i="4"/>
  <c r="BZ103" i="4"/>
  <c r="BY102" i="4"/>
  <c r="CA103" i="4"/>
  <c r="BR103" i="4"/>
  <c r="CB103" i="4"/>
  <c r="CB102" i="4"/>
  <c r="BR93" i="4"/>
  <c r="BX95" i="4"/>
  <c r="BM94" i="4"/>
  <c r="BZ91" i="4"/>
  <c r="CC91" i="4"/>
  <c r="CC93" i="4"/>
  <c r="BW92" i="4"/>
  <c r="BN95" i="4"/>
  <c r="BN86" i="4"/>
  <c r="BN84" i="4"/>
  <c r="BR84" i="4"/>
  <c r="BN82" i="4"/>
  <c r="BW86" i="4"/>
  <c r="BS85" i="4"/>
  <c r="BO82" i="4"/>
  <c r="CA84" i="4"/>
  <c r="BX83" i="4"/>
  <c r="BQ76" i="4"/>
  <c r="BR76" i="4"/>
  <c r="CA73" i="4"/>
  <c r="BN76" i="4"/>
  <c r="BZ75" i="4"/>
  <c r="CC77" i="4"/>
  <c r="CC75" i="4"/>
  <c r="BR77" i="4"/>
  <c r="BY73" i="4"/>
  <c r="CB101" i="4"/>
  <c r="BR102" i="4"/>
  <c r="BX104" i="4"/>
  <c r="BN103" i="4"/>
  <c r="BW102" i="4"/>
  <c r="BW104" i="4"/>
  <c r="BS101" i="4"/>
  <c r="BX100" i="4"/>
  <c r="BP94" i="4"/>
  <c r="BM91" i="4"/>
  <c r="CA93" i="4"/>
  <c r="CC94" i="4"/>
  <c r="BP92" i="4"/>
  <c r="CB91" i="4"/>
  <c r="BX91" i="4"/>
  <c r="BN92" i="4"/>
  <c r="BQ93" i="4"/>
  <c r="BS83" i="4"/>
  <c r="BP85" i="4"/>
  <c r="BQ82" i="4"/>
  <c r="BQ86" i="4"/>
  <c r="CB86" i="4"/>
  <c r="BZ86" i="4"/>
  <c r="BP84" i="4"/>
  <c r="CB83" i="4"/>
  <c r="BW83" i="4"/>
  <c r="CB82" i="4"/>
  <c r="BO74" i="4"/>
  <c r="BS75" i="4"/>
  <c r="BW73" i="4"/>
  <c r="BN75" i="4"/>
  <c r="BX74" i="4"/>
  <c r="BX73" i="4"/>
  <c r="BX76" i="4"/>
  <c r="BQ77" i="4"/>
  <c r="BZ74" i="4"/>
  <c r="BZ101" i="4"/>
  <c r="BO102" i="4"/>
  <c r="BN100" i="4"/>
  <c r="BS100" i="4"/>
  <c r="BX102" i="4"/>
  <c r="CA101" i="4"/>
  <c r="BQ102" i="4"/>
  <c r="BN101" i="4"/>
  <c r="BS92" i="4"/>
  <c r="BR95" i="4"/>
  <c r="BY93" i="4"/>
  <c r="BY95" i="4"/>
  <c r="BO92" i="4"/>
  <c r="BX94" i="4"/>
  <c r="BX93" i="4"/>
  <c r="BO94" i="4"/>
  <c r="BR92" i="4"/>
  <c r="BY84" i="4"/>
  <c r="BS82" i="4"/>
  <c r="BQ83" i="4"/>
  <c r="CA82" i="4"/>
  <c r="BX85" i="4"/>
  <c r="CA85" i="4"/>
  <c r="BO83" i="4"/>
  <c r="BZ84" i="4"/>
  <c r="CC83" i="4"/>
  <c r="BM75" i="4"/>
  <c r="CB77" i="4"/>
  <c r="BS77" i="4"/>
  <c r="BP73" i="4"/>
  <c r="BX75" i="4"/>
  <c r="CB74" i="4"/>
  <c r="BO76" i="4"/>
  <c r="BQ75" i="4"/>
  <c r="BN104" i="4"/>
  <c r="BP103" i="4"/>
  <c r="BN102" i="4"/>
  <c r="BQ101" i="4"/>
  <c r="BR100" i="4"/>
  <c r="BP102" i="4"/>
  <c r="BY101" i="4"/>
  <c r="CC102" i="4"/>
  <c r="BQ100" i="4"/>
  <c r="BS93" i="4"/>
  <c r="BQ92" i="4"/>
  <c r="BZ92" i="4"/>
  <c r="BZ94" i="4"/>
  <c r="BM93" i="4"/>
  <c r="BP95" i="4"/>
  <c r="BX92" i="4"/>
  <c r="BP93" i="4"/>
  <c r="BS94" i="4"/>
  <c r="CC85" i="4"/>
  <c r="BS86" i="4"/>
  <c r="CC82" i="4"/>
  <c r="BX86" i="4"/>
  <c r="BN83" i="4"/>
  <c r="BY85" i="4"/>
  <c r="BM85" i="4"/>
  <c r="BR83" i="4"/>
  <c r="CB85" i="4"/>
  <c r="BZ77" i="4"/>
  <c r="CA77" i="4"/>
  <c r="BN74" i="4"/>
  <c r="BO73" i="4"/>
  <c r="BP77" i="4"/>
  <c r="BZ73" i="4"/>
  <c r="BQ74" i="4"/>
  <c r="BS73" i="4"/>
  <c r="BS104" i="4"/>
  <c r="BM103" i="4"/>
  <c r="BO103" i="4"/>
  <c r="BP101" i="4"/>
  <c r="BM101" i="4"/>
  <c r="BP104" i="4"/>
  <c r="CB104" i="4"/>
  <c r="BY103" i="4"/>
  <c r="BO101" i="4"/>
  <c r="BQ95" i="4"/>
  <c r="BQ94" i="4"/>
  <c r="BN91" i="4"/>
  <c r="CC92" i="4"/>
  <c r="BW93" i="4"/>
  <c r="BR91" i="4"/>
  <c r="BR94" i="4"/>
  <c r="BS95" i="4"/>
  <c r="BW95" i="4"/>
  <c r="BZ82" i="4"/>
  <c r="CA83" i="4"/>
  <c r="BY83" i="4"/>
  <c r="BR85" i="4"/>
  <c r="BM83" i="4"/>
  <c r="CB84" i="4"/>
  <c r="BQ84" i="4"/>
  <c r="BM82" i="4"/>
  <c r="BZ83" i="4"/>
  <c r="BO84" i="4"/>
  <c r="AO104" i="4"/>
  <c r="AM104" i="4"/>
  <c r="AL104" i="4"/>
  <c r="AK100" i="4"/>
  <c r="AN102" i="4"/>
  <c r="AJ100" i="4"/>
  <c r="AX104" i="4"/>
  <c r="AW100" i="4"/>
  <c r="AT104" i="4"/>
  <c r="AU100" i="4"/>
  <c r="AD104" i="4"/>
  <c r="AA104" i="4"/>
  <c r="Z104" i="4"/>
  <c r="AE101" i="4"/>
  <c r="Y100" i="4"/>
  <c r="Y103" i="4"/>
  <c r="BC84" i="4"/>
  <c r="BI84" i="4"/>
  <c r="BD94" i="4"/>
  <c r="BG92" i="4"/>
  <c r="BE92" i="4"/>
  <c r="BH95" i="4"/>
  <c r="BD83" i="4"/>
  <c r="BF95" i="4"/>
  <c r="BE73" i="4"/>
  <c r="BH86" i="4"/>
  <c r="BI74" i="4"/>
  <c r="AI103" i="4"/>
  <c r="AO103" i="4"/>
  <c r="AN103" i="4"/>
  <c r="AN101" i="4"/>
  <c r="AT102" i="4"/>
  <c r="AV103" i="4"/>
  <c r="Z102" i="4"/>
  <c r="AC103" i="4"/>
  <c r="AB103" i="4"/>
  <c r="AE100" i="4"/>
  <c r="AE104" i="4"/>
  <c r="Y102" i="4"/>
  <c r="BE95" i="4"/>
  <c r="BE83" i="4"/>
  <c r="BC95" i="4"/>
  <c r="BC83" i="4"/>
  <c r="BF93" i="4"/>
  <c r="BI91" i="4"/>
  <c r="BG91" i="4"/>
  <c r="BH94" i="4"/>
  <c r="BD76" i="4"/>
  <c r="BF94" i="4"/>
  <c r="BI76" i="4"/>
  <c r="BH83" i="4"/>
  <c r="BH85" i="4"/>
  <c r="BC73" i="4"/>
  <c r="AK102" i="4"/>
  <c r="AI102" i="4"/>
  <c r="AJ101" i="4"/>
  <c r="AN100" i="4"/>
  <c r="AV101" i="4"/>
  <c r="AX102" i="4"/>
  <c r="AW101" i="4"/>
  <c r="AB101" i="4"/>
  <c r="AE102" i="4"/>
  <c r="AD102" i="4"/>
  <c r="AE103" i="4"/>
  <c r="BG94" i="4"/>
  <c r="BG82" i="4"/>
  <c r="BE94" i="4"/>
  <c r="BE82" i="4"/>
  <c r="BH92" i="4"/>
  <c r="BC86" i="4"/>
  <c r="BI86" i="4"/>
  <c r="BH93" i="4"/>
  <c r="BF75" i="4"/>
  <c r="BD93" i="4"/>
  <c r="BC75" i="4"/>
  <c r="BH82" i="4"/>
  <c r="BF84" i="4"/>
  <c r="BG74" i="4"/>
  <c r="AM101" i="4"/>
  <c r="AK101" i="4"/>
  <c r="AL100" i="4"/>
  <c r="AI104" i="4"/>
  <c r="AJ104" i="4"/>
  <c r="AX100" i="4"/>
  <c r="AT100" i="4"/>
  <c r="AY102" i="4"/>
  <c r="AU104" i="4"/>
  <c r="AD100" i="4"/>
  <c r="Y101" i="4"/>
  <c r="Z100" i="4"/>
  <c r="AC102" i="4"/>
  <c r="BI93" i="4"/>
  <c r="BI77" i="4"/>
  <c r="BG93" i="4"/>
  <c r="BG77" i="4"/>
  <c r="BD86" i="4"/>
  <c r="BE85" i="4"/>
  <c r="BC85" i="4"/>
  <c r="BF92" i="4"/>
  <c r="BH74" i="4"/>
  <c r="BD92" i="4"/>
  <c r="BD95" i="4"/>
  <c r="BE74" i="4"/>
  <c r="BH77" i="4"/>
  <c r="BF83" i="4"/>
  <c r="BD74" i="4"/>
  <c r="AO100" i="4"/>
  <c r="AM100" i="4"/>
  <c r="AK104" i="4"/>
  <c r="AK103" i="4"/>
  <c r="AJ103" i="4"/>
  <c r="AN104" i="4"/>
  <c r="AT103" i="4"/>
  <c r="AW104" i="4"/>
  <c r="AV104" i="4"/>
  <c r="AY101" i="4"/>
  <c r="AU103" i="4"/>
  <c r="AS104" i="4"/>
  <c r="AB104" i="4"/>
  <c r="AA100" i="4"/>
  <c r="Z103" i="4"/>
  <c r="AC101" i="4"/>
  <c r="AC104" i="4"/>
  <c r="BC92" i="4"/>
  <c r="BI92" i="4"/>
  <c r="BF85" i="4"/>
  <c r="BG84" i="4"/>
  <c r="BE84" i="4"/>
  <c r="BF91" i="4"/>
  <c r="BD91" i="4"/>
  <c r="BD75" i="4"/>
  <c r="BG73" i="4"/>
  <c r="BF76" i="4"/>
  <c r="BF82" i="4"/>
  <c r="BI73" i="4"/>
  <c r="AM103" i="4"/>
  <c r="AM102" i="4"/>
  <c r="AJ102" i="4"/>
  <c r="AL103" i="4"/>
  <c r="AV102" i="4"/>
  <c r="AY103" i="4"/>
  <c r="AX103" i="4"/>
  <c r="AY104" i="4"/>
  <c r="AY100" i="4"/>
  <c r="AU102" i="4"/>
  <c r="AS103" i="4"/>
  <c r="AD103" i="4"/>
  <c r="AB102" i="4"/>
  <c r="AC100" i="4"/>
  <c r="AA103" i="4"/>
  <c r="BE91" i="4"/>
  <c r="BC91" i="4"/>
  <c r="BH84" i="4"/>
  <c r="BI95" i="4"/>
  <c r="BI83" i="4"/>
  <c r="BG95" i="4"/>
  <c r="BG83" i="4"/>
  <c r="BF86" i="4"/>
  <c r="BC76" i="4"/>
  <c r="BF74" i="4"/>
  <c r="BG76" i="4"/>
  <c r="BH75" i="4"/>
  <c r="BD77" i="4"/>
  <c r="BF73" i="4"/>
  <c r="AO102" i="4"/>
  <c r="AO101" i="4"/>
  <c r="AL102" i="4"/>
  <c r="AX101" i="4"/>
  <c r="AS102" i="4"/>
  <c r="AT101" i="4"/>
  <c r="AW103" i="4"/>
  <c r="AS101" i="4"/>
  <c r="Z101" i="4"/>
  <c r="AD101" i="4"/>
  <c r="AA102" i="4"/>
  <c r="BG86" i="4"/>
  <c r="BE86" i="4"/>
  <c r="BD82" i="4"/>
  <c r="BC94" i="4"/>
  <c r="BC82" i="4"/>
  <c r="BI94" i="4"/>
  <c r="BI82" i="4"/>
  <c r="BD85" i="4"/>
  <c r="BH73" i="4"/>
  <c r="BI75" i="4"/>
  <c r="BD73" i="4"/>
  <c r="BE76" i="4"/>
  <c r="BH76" i="4"/>
  <c r="AI101" i="4"/>
  <c r="AI100" i="4"/>
  <c r="AL101" i="4"/>
  <c r="AU101" i="4"/>
  <c r="AV100" i="4"/>
  <c r="AW102" i="4"/>
  <c r="AS100" i="4"/>
  <c r="AB100" i="4"/>
  <c r="AA101" i="4"/>
  <c r="Y104" i="4"/>
  <c r="BI85" i="4"/>
  <c r="BG85" i="4"/>
  <c r="BF77" i="4"/>
  <c r="BE93" i="4"/>
  <c r="BE77" i="4"/>
  <c r="BC93" i="4"/>
  <c r="BC77" i="4"/>
  <c r="BD84" i="4"/>
  <c r="BC74" i="4"/>
  <c r="BH91" i="4"/>
  <c r="BG75" i="4"/>
  <c r="BE75" i="4"/>
  <c r="P2629" i="33"/>
  <c r="L2631" i="33"/>
  <c r="M2630" i="33"/>
  <c r="F495" i="3"/>
  <c r="F328" i="3"/>
  <c r="F384" i="3"/>
  <c r="F440" i="3"/>
  <c r="F496" i="3"/>
  <c r="F439" i="3"/>
  <c r="F327" i="3"/>
  <c r="F383" i="3"/>
  <c r="F385" i="3"/>
  <c r="F272" i="3"/>
  <c r="F56" i="3"/>
  <c r="F221" i="3"/>
  <c r="F162" i="3"/>
  <c r="F167" i="3"/>
  <c r="F164" i="3"/>
  <c r="F217" i="3"/>
  <c r="F55" i="3"/>
  <c r="F111" i="3"/>
  <c r="F220" i="3"/>
  <c r="F441" i="3"/>
  <c r="F54" i="3"/>
  <c r="F110" i="3"/>
  <c r="H7" i="3"/>
  <c r="F7" i="3" s="1"/>
  <c r="H3" i="3"/>
  <c r="F3" i="3" s="1"/>
  <c r="H8" i="3"/>
  <c r="F8" i="3" s="1"/>
  <c r="H16" i="3"/>
  <c r="F16" i="3" s="1"/>
  <c r="H24" i="3"/>
  <c r="F24" i="3" s="1"/>
  <c r="H32" i="3"/>
  <c r="F32" i="3" s="1"/>
  <c r="H40" i="3"/>
  <c r="F40" i="3" s="1"/>
  <c r="H48" i="3"/>
  <c r="F48" i="3" s="1"/>
  <c r="H64" i="3"/>
  <c r="F64" i="3" s="1"/>
  <c r="H72" i="3"/>
  <c r="F72" i="3" s="1"/>
  <c r="H80" i="3"/>
  <c r="F80" i="3" s="1"/>
  <c r="H88" i="3"/>
  <c r="F88" i="3" s="1"/>
  <c r="H96" i="3"/>
  <c r="F96" i="3" s="1"/>
  <c r="H104" i="3"/>
  <c r="F104" i="3" s="1"/>
  <c r="F107" i="3"/>
  <c r="H112" i="3"/>
  <c r="F112" i="3" s="1"/>
  <c r="H120" i="3"/>
  <c r="F120" i="3" s="1"/>
  <c r="H128" i="3"/>
  <c r="F128" i="3" s="1"/>
  <c r="H136" i="3"/>
  <c r="F136" i="3" s="1"/>
  <c r="H144" i="3"/>
  <c r="F144" i="3" s="1"/>
  <c r="H152" i="3"/>
  <c r="F152" i="3" s="1"/>
  <c r="H160" i="3"/>
  <c r="F160" i="3" s="1"/>
  <c r="F163" i="3"/>
  <c r="H173" i="3"/>
  <c r="F173" i="3" s="1"/>
  <c r="H181" i="3"/>
  <c r="F181" i="3" s="1"/>
  <c r="H189" i="3"/>
  <c r="F189" i="3" s="1"/>
  <c r="H197" i="3"/>
  <c r="F197" i="3" s="1"/>
  <c r="H205" i="3"/>
  <c r="F205" i="3" s="1"/>
  <c r="H213" i="3"/>
  <c r="F213" i="3" s="1"/>
  <c r="H229" i="3"/>
  <c r="F229" i="3" s="1"/>
  <c r="H237" i="3"/>
  <c r="F237" i="3" s="1"/>
  <c r="H245" i="3"/>
  <c r="F245" i="3" s="1"/>
  <c r="H253" i="3"/>
  <c r="F253" i="3" s="1"/>
  <c r="H261" i="3"/>
  <c r="F261" i="3" s="1"/>
  <c r="H269" i="3"/>
  <c r="F269" i="3" s="1"/>
  <c r="H277" i="3"/>
  <c r="F277" i="3" s="1"/>
  <c r="H285" i="3"/>
  <c r="F285" i="3" s="1"/>
  <c r="H293" i="3"/>
  <c r="F293" i="3" s="1"/>
  <c r="H301" i="3"/>
  <c r="F301" i="3" s="1"/>
  <c r="H309" i="3"/>
  <c r="F309" i="3" s="1"/>
  <c r="H317" i="3"/>
  <c r="F317" i="3" s="1"/>
  <c r="H325" i="3"/>
  <c r="F325" i="3" s="1"/>
  <c r="H333" i="3"/>
  <c r="F333" i="3" s="1"/>
  <c r="H341" i="3"/>
  <c r="F341" i="3" s="1"/>
  <c r="H349" i="3"/>
  <c r="F349" i="3" s="1"/>
  <c r="H357" i="3"/>
  <c r="F357" i="3" s="1"/>
  <c r="H365" i="3"/>
  <c r="F365" i="3" s="1"/>
  <c r="H373" i="3"/>
  <c r="F373" i="3" s="1"/>
  <c r="H381" i="3"/>
  <c r="F381" i="3" s="1"/>
  <c r="H389" i="3"/>
  <c r="F389" i="3" s="1"/>
  <c r="H397" i="3"/>
  <c r="F397" i="3" s="1"/>
  <c r="H405" i="3"/>
  <c r="F405" i="3" s="1"/>
  <c r="H413" i="3"/>
  <c r="F413" i="3" s="1"/>
  <c r="H421" i="3"/>
  <c r="F421" i="3" s="1"/>
  <c r="H429" i="3"/>
  <c r="F429" i="3" s="1"/>
  <c r="H5" i="3"/>
  <c r="F5" i="3" s="1"/>
  <c r="H13" i="3"/>
  <c r="F13" i="3" s="1"/>
  <c r="H29" i="3"/>
  <c r="F29" i="3" s="1"/>
  <c r="H37" i="3"/>
  <c r="F37" i="3" s="1"/>
  <c r="H45" i="3"/>
  <c r="F45" i="3" s="1"/>
  <c r="H61" i="3"/>
  <c r="F61" i="3" s="1"/>
  <c r="H69" i="3"/>
  <c r="F69" i="3" s="1"/>
  <c r="H77" i="3"/>
  <c r="F77" i="3" s="1"/>
  <c r="H85" i="3"/>
  <c r="F85" i="3" s="1"/>
  <c r="H93" i="3"/>
  <c r="F93" i="3" s="1"/>
  <c r="H101" i="3"/>
  <c r="F101" i="3" s="1"/>
  <c r="H117" i="3"/>
  <c r="F117" i="3" s="1"/>
  <c r="H125" i="3"/>
  <c r="F125" i="3" s="1"/>
  <c r="H133" i="3"/>
  <c r="F133" i="3" s="1"/>
  <c r="H141" i="3"/>
  <c r="F141" i="3" s="1"/>
  <c r="H149" i="3"/>
  <c r="F149" i="3" s="1"/>
  <c r="H157" i="3"/>
  <c r="F157" i="3" s="1"/>
  <c r="H170" i="3"/>
  <c r="F170" i="3" s="1"/>
  <c r="H178" i="3"/>
  <c r="F178" i="3" s="1"/>
  <c r="H186" i="3"/>
  <c r="F186" i="3" s="1"/>
  <c r="H194" i="3"/>
  <c r="F194" i="3" s="1"/>
  <c r="H202" i="3"/>
  <c r="F202" i="3" s="1"/>
  <c r="H210" i="3"/>
  <c r="F210" i="3" s="1"/>
  <c r="H226" i="3"/>
  <c r="F226" i="3" s="1"/>
  <c r="H234" i="3"/>
  <c r="F234" i="3" s="1"/>
  <c r="H242" i="3"/>
  <c r="F242" i="3" s="1"/>
  <c r="H250" i="3"/>
  <c r="F250" i="3" s="1"/>
  <c r="H258" i="3"/>
  <c r="F258" i="3" s="1"/>
  <c r="H266" i="3"/>
  <c r="F266" i="3" s="1"/>
  <c r="H282" i="3"/>
  <c r="F282" i="3" s="1"/>
  <c r="H290" i="3"/>
  <c r="F290" i="3" s="1"/>
  <c r="H298" i="3"/>
  <c r="F298" i="3" s="1"/>
  <c r="H306" i="3"/>
  <c r="F306" i="3" s="1"/>
  <c r="H314" i="3"/>
  <c r="F314" i="3" s="1"/>
  <c r="H322" i="3"/>
  <c r="F322" i="3" s="1"/>
  <c r="H338" i="3"/>
  <c r="F338" i="3" s="1"/>
  <c r="H346" i="3"/>
  <c r="F346" i="3" s="1"/>
  <c r="H354" i="3"/>
  <c r="F354" i="3" s="1"/>
  <c r="H362" i="3"/>
  <c r="F362" i="3" s="1"/>
  <c r="H370" i="3"/>
  <c r="F370" i="3" s="1"/>
  <c r="H378" i="3"/>
  <c r="F378" i="3" s="1"/>
  <c r="H394" i="3"/>
  <c r="F394" i="3" s="1"/>
  <c r="H402" i="3"/>
  <c r="F402" i="3" s="1"/>
  <c r="H410" i="3"/>
  <c r="F410" i="3" s="1"/>
  <c r="H418" i="3"/>
  <c r="F418" i="3" s="1"/>
  <c r="H426" i="3"/>
  <c r="F426" i="3" s="1"/>
  <c r="H434" i="3"/>
  <c r="F434" i="3" s="1"/>
  <c r="F437" i="3"/>
  <c r="F493" i="3"/>
  <c r="H538" i="3"/>
  <c r="F538" i="3" s="1"/>
  <c r="H546" i="3"/>
  <c r="F546" i="3" s="1"/>
  <c r="F549" i="3"/>
  <c r="H21" i="3"/>
  <c r="F21" i="3" s="1"/>
  <c r="H2" i="3"/>
  <c r="F2" i="3" s="1"/>
  <c r="H10" i="3"/>
  <c r="F10" i="3" s="1"/>
  <c r="H18" i="3"/>
  <c r="F18" i="3" s="1"/>
  <c r="H26" i="3"/>
  <c r="F26" i="3" s="1"/>
  <c r="H34" i="3"/>
  <c r="F34" i="3" s="1"/>
  <c r="H42" i="3"/>
  <c r="F42" i="3" s="1"/>
  <c r="H50" i="3"/>
  <c r="F50" i="3" s="1"/>
  <c r="F53" i="3"/>
  <c r="H58" i="3"/>
  <c r="F58" i="3" s="1"/>
  <c r="H66" i="3"/>
  <c r="F66" i="3" s="1"/>
  <c r="H74" i="3"/>
  <c r="F74" i="3" s="1"/>
  <c r="H82" i="3"/>
  <c r="F82" i="3" s="1"/>
  <c r="H90" i="3"/>
  <c r="F90" i="3" s="1"/>
  <c r="H98" i="3"/>
  <c r="F98" i="3" s="1"/>
  <c r="H106" i="3"/>
  <c r="F106" i="3" s="1"/>
  <c r="F109" i="3"/>
  <c r="H114" i="3"/>
  <c r="F114" i="3" s="1"/>
  <c r="H122" i="3"/>
  <c r="F122" i="3" s="1"/>
  <c r="H130" i="3"/>
  <c r="F130" i="3" s="1"/>
  <c r="H138" i="3"/>
  <c r="F138" i="3" s="1"/>
  <c r="H146" i="3"/>
  <c r="F146" i="3" s="1"/>
  <c r="H154" i="3"/>
  <c r="F154" i="3" s="1"/>
  <c r="F165" i="3"/>
  <c r="H175" i="3"/>
  <c r="F175" i="3" s="1"/>
  <c r="H183" i="3"/>
  <c r="F183" i="3" s="1"/>
  <c r="H191" i="3"/>
  <c r="F191" i="3" s="1"/>
  <c r="H199" i="3"/>
  <c r="F199" i="3" s="1"/>
  <c r="H207" i="3"/>
  <c r="F207" i="3" s="1"/>
  <c r="H215" i="3"/>
  <c r="F215" i="3" s="1"/>
  <c r="F218" i="3"/>
  <c r="H223" i="3"/>
  <c r="F223" i="3" s="1"/>
  <c r="H231" i="3"/>
  <c r="F231" i="3" s="1"/>
  <c r="H239" i="3"/>
  <c r="F239" i="3" s="1"/>
  <c r="H247" i="3"/>
  <c r="F247" i="3" s="1"/>
  <c r="H255" i="3"/>
  <c r="F255" i="3" s="1"/>
  <c r="H263" i="3"/>
  <c r="F263" i="3" s="1"/>
  <c r="H271" i="3"/>
  <c r="F271" i="3" s="1"/>
  <c r="F274" i="3"/>
  <c r="H279" i="3"/>
  <c r="F279" i="3" s="1"/>
  <c r="H287" i="3"/>
  <c r="F287" i="3" s="1"/>
  <c r="H295" i="3"/>
  <c r="F295" i="3" s="1"/>
  <c r="H303" i="3"/>
  <c r="F303" i="3" s="1"/>
  <c r="H311" i="3"/>
  <c r="F311" i="3" s="1"/>
  <c r="H319" i="3"/>
  <c r="F319" i="3" s="1"/>
  <c r="F330" i="3"/>
  <c r="H335" i="3"/>
  <c r="F335" i="3" s="1"/>
  <c r="H343" i="3"/>
  <c r="F343" i="3" s="1"/>
  <c r="H351" i="3"/>
  <c r="F351" i="3" s="1"/>
  <c r="H359" i="3"/>
  <c r="F359" i="3" s="1"/>
  <c r="H367" i="3"/>
  <c r="F367" i="3" s="1"/>
  <c r="H375" i="3"/>
  <c r="F375" i="3" s="1"/>
  <c r="F386" i="3"/>
  <c r="H391" i="3"/>
  <c r="F391" i="3" s="1"/>
  <c r="H399" i="3"/>
  <c r="F399" i="3" s="1"/>
  <c r="H407" i="3"/>
  <c r="F407" i="3" s="1"/>
  <c r="H415" i="3"/>
  <c r="F415" i="3" s="1"/>
  <c r="H423" i="3"/>
  <c r="F423" i="3" s="1"/>
  <c r="H431" i="3"/>
  <c r="F431" i="3" s="1"/>
  <c r="H447" i="3"/>
  <c r="F447" i="3" s="1"/>
  <c r="H455" i="3"/>
  <c r="F455" i="3" s="1"/>
  <c r="H23" i="3"/>
  <c r="F23" i="3" s="1"/>
  <c r="H31" i="3"/>
  <c r="F31" i="3" s="1"/>
  <c r="H39" i="3"/>
  <c r="F39" i="3" s="1"/>
  <c r="H47" i="3"/>
  <c r="F47" i="3" s="1"/>
  <c r="H63" i="3"/>
  <c r="F63" i="3" s="1"/>
  <c r="H71" i="3"/>
  <c r="F71" i="3" s="1"/>
  <c r="H79" i="3"/>
  <c r="F79" i="3" s="1"/>
  <c r="H87" i="3"/>
  <c r="F87" i="3" s="1"/>
  <c r="H95" i="3"/>
  <c r="F95" i="3" s="1"/>
  <c r="H103" i="3"/>
  <c r="F103" i="3" s="1"/>
  <c r="H119" i="3"/>
  <c r="F119" i="3" s="1"/>
  <c r="H127" i="3"/>
  <c r="F127" i="3" s="1"/>
  <c r="H135" i="3"/>
  <c r="F135" i="3" s="1"/>
  <c r="H143" i="3"/>
  <c r="F143" i="3" s="1"/>
  <c r="H151" i="3"/>
  <c r="F151" i="3" s="1"/>
  <c r="H159" i="3"/>
  <c r="F159" i="3" s="1"/>
  <c r="H172" i="3"/>
  <c r="F172" i="3" s="1"/>
  <c r="H180" i="3"/>
  <c r="F180" i="3" s="1"/>
  <c r="H188" i="3"/>
  <c r="F188" i="3" s="1"/>
  <c r="H196" i="3"/>
  <c r="F196" i="3" s="1"/>
  <c r="H204" i="3"/>
  <c r="F204" i="3" s="1"/>
  <c r="H212" i="3"/>
  <c r="F212" i="3" s="1"/>
  <c r="H228" i="3"/>
  <c r="F228" i="3" s="1"/>
  <c r="H236" i="3"/>
  <c r="F236" i="3" s="1"/>
  <c r="H244" i="3"/>
  <c r="F244" i="3" s="1"/>
  <c r="H252" i="3"/>
  <c r="F252" i="3" s="1"/>
  <c r="H260" i="3"/>
  <c r="F260" i="3" s="1"/>
  <c r="H268" i="3"/>
  <c r="F268" i="3" s="1"/>
  <c r="H284" i="3"/>
  <c r="F284" i="3" s="1"/>
  <c r="H292" i="3"/>
  <c r="F292" i="3" s="1"/>
  <c r="H300" i="3"/>
  <c r="F300" i="3" s="1"/>
  <c r="H308" i="3"/>
  <c r="F308" i="3" s="1"/>
  <c r="H316" i="3"/>
  <c r="F316" i="3" s="1"/>
  <c r="H324" i="3"/>
  <c r="F324" i="3" s="1"/>
  <c r="H332" i="3"/>
  <c r="F332" i="3" s="1"/>
  <c r="H340" i="3"/>
  <c r="F340" i="3" s="1"/>
  <c r="H348" i="3"/>
  <c r="F348" i="3" s="1"/>
  <c r="H356" i="3"/>
  <c r="F356" i="3" s="1"/>
  <c r="H364" i="3"/>
  <c r="F364" i="3" s="1"/>
  <c r="H372" i="3"/>
  <c r="F372" i="3" s="1"/>
  <c r="H380" i="3"/>
  <c r="F380" i="3" s="1"/>
  <c r="H388" i="3"/>
  <c r="F388" i="3" s="1"/>
  <c r="H396" i="3"/>
  <c r="F396" i="3" s="1"/>
  <c r="H404" i="3"/>
  <c r="F404" i="3" s="1"/>
  <c r="H412" i="3"/>
  <c r="F412" i="3" s="1"/>
  <c r="H420" i="3"/>
  <c r="F420" i="3" s="1"/>
  <c r="H428" i="3"/>
  <c r="F428" i="3" s="1"/>
  <c r="H436" i="3"/>
  <c r="F436" i="3" s="1"/>
  <c r="F551" i="3"/>
  <c r="H12" i="3"/>
  <c r="F12" i="3" s="1"/>
  <c r="H20" i="3"/>
  <c r="F20" i="3" s="1"/>
  <c r="H28" i="3"/>
  <c r="F28" i="3" s="1"/>
  <c r="H36" i="3"/>
  <c r="F36" i="3" s="1"/>
  <c r="H44" i="3"/>
  <c r="F44" i="3" s="1"/>
  <c r="H60" i="3"/>
  <c r="F60" i="3" s="1"/>
  <c r="H68" i="3"/>
  <c r="F68" i="3" s="1"/>
  <c r="H76" i="3"/>
  <c r="F76" i="3" s="1"/>
  <c r="H84" i="3"/>
  <c r="F84" i="3" s="1"/>
  <c r="H92" i="3"/>
  <c r="F92" i="3" s="1"/>
  <c r="H100" i="3"/>
  <c r="F100" i="3" s="1"/>
  <c r="H116" i="3"/>
  <c r="F116" i="3" s="1"/>
  <c r="H124" i="3"/>
  <c r="F124" i="3" s="1"/>
  <c r="H132" i="3"/>
  <c r="F132" i="3" s="1"/>
  <c r="H140" i="3"/>
  <c r="F140" i="3" s="1"/>
  <c r="H148" i="3"/>
  <c r="F148" i="3" s="1"/>
  <c r="H156" i="3"/>
  <c r="F156" i="3" s="1"/>
  <c r="H169" i="3"/>
  <c r="F169" i="3" s="1"/>
  <c r="H177" i="3"/>
  <c r="F177" i="3" s="1"/>
  <c r="H185" i="3"/>
  <c r="F185" i="3" s="1"/>
  <c r="H193" i="3"/>
  <c r="F193" i="3" s="1"/>
  <c r="H201" i="3"/>
  <c r="F201" i="3" s="1"/>
  <c r="H209" i="3"/>
  <c r="F209" i="3" s="1"/>
  <c r="H225" i="3"/>
  <c r="F225" i="3" s="1"/>
  <c r="H233" i="3"/>
  <c r="F233" i="3" s="1"/>
  <c r="H241" i="3"/>
  <c r="F241" i="3" s="1"/>
  <c r="H249" i="3"/>
  <c r="F249" i="3" s="1"/>
  <c r="H257" i="3"/>
  <c r="F257" i="3" s="1"/>
  <c r="H265" i="3"/>
  <c r="F265" i="3" s="1"/>
  <c r="F276" i="3"/>
  <c r="H281" i="3"/>
  <c r="F281" i="3" s="1"/>
  <c r="H289" i="3"/>
  <c r="F289" i="3" s="1"/>
  <c r="H297" i="3"/>
  <c r="F297" i="3" s="1"/>
  <c r="H305" i="3"/>
  <c r="F305" i="3" s="1"/>
  <c r="H313" i="3"/>
  <c r="F313" i="3" s="1"/>
  <c r="H321" i="3"/>
  <c r="F321" i="3" s="1"/>
  <c r="H337" i="3"/>
  <c r="F337" i="3" s="1"/>
  <c r="H345" i="3"/>
  <c r="F345" i="3" s="1"/>
  <c r="H353" i="3"/>
  <c r="F353" i="3" s="1"/>
  <c r="H361" i="3"/>
  <c r="F361" i="3" s="1"/>
  <c r="H369" i="3"/>
  <c r="F369" i="3" s="1"/>
  <c r="H377" i="3"/>
  <c r="F377" i="3" s="1"/>
  <c r="H393" i="3"/>
  <c r="F393" i="3" s="1"/>
  <c r="H401" i="3"/>
  <c r="F401" i="3" s="1"/>
  <c r="H409" i="3"/>
  <c r="F409" i="3" s="1"/>
  <c r="H417" i="3"/>
  <c r="F417" i="3" s="1"/>
  <c r="H425" i="3"/>
  <c r="F425" i="3" s="1"/>
  <c r="H433" i="3"/>
  <c r="F433" i="3" s="1"/>
  <c r="H449" i="3"/>
  <c r="F449" i="3" s="1"/>
  <c r="H457" i="3"/>
  <c r="F457" i="3" s="1"/>
  <c r="H465" i="3"/>
  <c r="F465" i="3" s="1"/>
  <c r="H473" i="3"/>
  <c r="F473" i="3" s="1"/>
  <c r="H481" i="3"/>
  <c r="F481" i="3" s="1"/>
  <c r="H489" i="3"/>
  <c r="F489" i="3" s="1"/>
  <c r="F492" i="3"/>
  <c r="H505" i="3"/>
  <c r="F505" i="3" s="1"/>
  <c r="H513" i="3"/>
  <c r="F513" i="3" s="1"/>
  <c r="H521" i="3"/>
  <c r="F521" i="3" s="1"/>
  <c r="H529" i="3"/>
  <c r="F529" i="3" s="1"/>
  <c r="H537" i="3"/>
  <c r="F537" i="3" s="1"/>
  <c r="H545" i="3"/>
  <c r="F545" i="3" s="1"/>
  <c r="F548" i="3"/>
  <c r="H15" i="3"/>
  <c r="F15" i="3" s="1"/>
  <c r="H9" i="3"/>
  <c r="F9" i="3" s="1"/>
  <c r="H17" i="3"/>
  <c r="F17" i="3" s="1"/>
  <c r="H25" i="3"/>
  <c r="F25" i="3" s="1"/>
  <c r="H33" i="3"/>
  <c r="F33" i="3" s="1"/>
  <c r="H41" i="3"/>
  <c r="F41" i="3" s="1"/>
  <c r="H49" i="3"/>
  <c r="F49" i="3" s="1"/>
  <c r="F52" i="3"/>
  <c r="H65" i="3"/>
  <c r="F65" i="3" s="1"/>
  <c r="H73" i="3"/>
  <c r="F73" i="3" s="1"/>
  <c r="H81" i="3"/>
  <c r="F81" i="3" s="1"/>
  <c r="H89" i="3"/>
  <c r="F89" i="3" s="1"/>
  <c r="H97" i="3"/>
  <c r="F97" i="3" s="1"/>
  <c r="H105" i="3"/>
  <c r="F105" i="3" s="1"/>
  <c r="F108" i="3"/>
  <c r="H113" i="3"/>
  <c r="F113" i="3" s="1"/>
  <c r="H121" i="3"/>
  <c r="F121" i="3" s="1"/>
  <c r="H129" i="3"/>
  <c r="F129" i="3" s="1"/>
  <c r="H137" i="3"/>
  <c r="F137" i="3" s="1"/>
  <c r="H145" i="3"/>
  <c r="F145" i="3" s="1"/>
  <c r="H153" i="3"/>
  <c r="F153" i="3" s="1"/>
  <c r="H161" i="3"/>
  <c r="F161" i="3" s="1"/>
  <c r="H174" i="3"/>
  <c r="F174" i="3" s="1"/>
  <c r="H182" i="3"/>
  <c r="F182" i="3" s="1"/>
  <c r="H190" i="3"/>
  <c r="F190" i="3" s="1"/>
  <c r="H198" i="3"/>
  <c r="F198" i="3" s="1"/>
  <c r="H206" i="3"/>
  <c r="F206" i="3" s="1"/>
  <c r="H214" i="3"/>
  <c r="F214" i="3" s="1"/>
  <c r="H222" i="3"/>
  <c r="F222" i="3" s="1"/>
  <c r="H230" i="3"/>
  <c r="F230" i="3" s="1"/>
  <c r="H238" i="3"/>
  <c r="F238" i="3" s="1"/>
  <c r="H246" i="3"/>
  <c r="F246" i="3" s="1"/>
  <c r="H254" i="3"/>
  <c r="F254" i="3" s="1"/>
  <c r="H262" i="3"/>
  <c r="F262" i="3" s="1"/>
  <c r="H270" i="3"/>
  <c r="F270" i="3" s="1"/>
  <c r="F273" i="3"/>
  <c r="H278" i="3"/>
  <c r="F278" i="3" s="1"/>
  <c r="H286" i="3"/>
  <c r="F286" i="3" s="1"/>
  <c r="H294" i="3"/>
  <c r="F294" i="3" s="1"/>
  <c r="H302" i="3"/>
  <c r="F302" i="3" s="1"/>
  <c r="H310" i="3"/>
  <c r="F310" i="3" s="1"/>
  <c r="H318" i="3"/>
  <c r="F318" i="3" s="1"/>
  <c r="H326" i="3"/>
  <c r="F326" i="3" s="1"/>
  <c r="F329" i="3"/>
  <c r="H334" i="3"/>
  <c r="F334" i="3" s="1"/>
  <c r="H342" i="3"/>
  <c r="F342" i="3" s="1"/>
  <c r="H350" i="3"/>
  <c r="F350" i="3" s="1"/>
  <c r="H358" i="3"/>
  <c r="F358" i="3" s="1"/>
  <c r="H366" i="3"/>
  <c r="F366" i="3" s="1"/>
  <c r="H374" i="3"/>
  <c r="F374" i="3" s="1"/>
  <c r="H390" i="3"/>
  <c r="F390" i="3" s="1"/>
  <c r="H398" i="3"/>
  <c r="F398" i="3" s="1"/>
  <c r="H406" i="3"/>
  <c r="F406" i="3" s="1"/>
  <c r="H414" i="3"/>
  <c r="F414" i="3" s="1"/>
  <c r="H422" i="3"/>
  <c r="F422" i="3" s="1"/>
  <c r="H430" i="3"/>
  <c r="F430" i="3" s="1"/>
  <c r="H4" i="3"/>
  <c r="F4" i="3" s="1"/>
  <c r="H6" i="3"/>
  <c r="F6" i="3" s="1"/>
  <c r="H14" i="3"/>
  <c r="F14" i="3" s="1"/>
  <c r="H22" i="3"/>
  <c r="F22" i="3" s="1"/>
  <c r="H30" i="3"/>
  <c r="F30" i="3" s="1"/>
  <c r="H38" i="3"/>
  <c r="F38" i="3" s="1"/>
  <c r="H46" i="3"/>
  <c r="F46" i="3" s="1"/>
  <c r="H62" i="3"/>
  <c r="F62" i="3" s="1"/>
  <c r="H70" i="3"/>
  <c r="F70" i="3" s="1"/>
  <c r="H78" i="3"/>
  <c r="F78" i="3" s="1"/>
  <c r="H86" i="3"/>
  <c r="F86" i="3" s="1"/>
  <c r="H94" i="3"/>
  <c r="F94" i="3" s="1"/>
  <c r="H102" i="3"/>
  <c r="F102" i="3" s="1"/>
  <c r="H118" i="3"/>
  <c r="F118" i="3" s="1"/>
  <c r="H126" i="3"/>
  <c r="F126" i="3" s="1"/>
  <c r="H134" i="3"/>
  <c r="F134" i="3" s="1"/>
  <c r="H142" i="3"/>
  <c r="F142" i="3" s="1"/>
  <c r="H150" i="3"/>
  <c r="F150" i="3" s="1"/>
  <c r="H158" i="3"/>
  <c r="F158" i="3" s="1"/>
  <c r="H171" i="3"/>
  <c r="F171" i="3" s="1"/>
  <c r="H179" i="3"/>
  <c r="F179" i="3" s="1"/>
  <c r="H187" i="3"/>
  <c r="F187" i="3" s="1"/>
  <c r="H195" i="3"/>
  <c r="F195" i="3" s="1"/>
  <c r="H203" i="3"/>
  <c r="F203" i="3" s="1"/>
  <c r="H211" i="3"/>
  <c r="F211" i="3" s="1"/>
  <c r="H227" i="3"/>
  <c r="F227" i="3" s="1"/>
  <c r="H235" i="3"/>
  <c r="F235" i="3" s="1"/>
  <c r="H243" i="3"/>
  <c r="F243" i="3" s="1"/>
  <c r="H251" i="3"/>
  <c r="F251" i="3" s="1"/>
  <c r="H259" i="3"/>
  <c r="F259" i="3" s="1"/>
  <c r="H267" i="3"/>
  <c r="F267" i="3" s="1"/>
  <c r="H283" i="3"/>
  <c r="F283" i="3" s="1"/>
  <c r="H291" i="3"/>
  <c r="F291" i="3" s="1"/>
  <c r="H299" i="3"/>
  <c r="F299" i="3" s="1"/>
  <c r="H307" i="3"/>
  <c r="F307" i="3" s="1"/>
  <c r="H315" i="3"/>
  <c r="F315" i="3" s="1"/>
  <c r="H323" i="3"/>
  <c r="F323" i="3" s="1"/>
  <c r="H339" i="3"/>
  <c r="F339" i="3" s="1"/>
  <c r="H347" i="3"/>
  <c r="F347" i="3" s="1"/>
  <c r="H355" i="3"/>
  <c r="F355" i="3" s="1"/>
  <c r="H363" i="3"/>
  <c r="F363" i="3" s="1"/>
  <c r="H371" i="3"/>
  <c r="F371" i="3" s="1"/>
  <c r="H379" i="3"/>
  <c r="F379" i="3" s="1"/>
  <c r="F382" i="3"/>
  <c r="H387" i="3"/>
  <c r="F387" i="3" s="1"/>
  <c r="H395" i="3"/>
  <c r="F395" i="3" s="1"/>
  <c r="H403" i="3"/>
  <c r="F403" i="3" s="1"/>
  <c r="H411" i="3"/>
  <c r="F411" i="3" s="1"/>
  <c r="H419" i="3"/>
  <c r="F419" i="3" s="1"/>
  <c r="H427" i="3"/>
  <c r="F427" i="3" s="1"/>
  <c r="H435" i="3"/>
  <c r="F435" i="3" s="1"/>
  <c r="F438" i="3"/>
  <c r="H451" i="3"/>
  <c r="F451" i="3" s="1"/>
  <c r="H459" i="3"/>
  <c r="F459" i="3" s="1"/>
  <c r="H467" i="3"/>
  <c r="F467" i="3" s="1"/>
  <c r="H475" i="3"/>
  <c r="F475" i="3" s="1"/>
  <c r="H483" i="3"/>
  <c r="F483" i="3" s="1"/>
  <c r="H491" i="3"/>
  <c r="F491" i="3" s="1"/>
  <c r="F494" i="3"/>
  <c r="F550" i="3"/>
  <c r="H11" i="3"/>
  <c r="F11" i="3" s="1"/>
  <c r="H19" i="3"/>
  <c r="F19" i="3" s="1"/>
  <c r="H27" i="3"/>
  <c r="F27" i="3" s="1"/>
  <c r="H35" i="3"/>
  <c r="F35" i="3" s="1"/>
  <c r="H43" i="3"/>
  <c r="F43" i="3" s="1"/>
  <c r="H51" i="3"/>
  <c r="F51" i="3" s="1"/>
  <c r="H59" i="3"/>
  <c r="F59" i="3" s="1"/>
  <c r="H67" i="3"/>
  <c r="F67" i="3" s="1"/>
  <c r="H75" i="3"/>
  <c r="F75" i="3" s="1"/>
  <c r="H83" i="3"/>
  <c r="F83" i="3" s="1"/>
  <c r="H91" i="3"/>
  <c r="F91" i="3" s="1"/>
  <c r="H99" i="3"/>
  <c r="F99" i="3" s="1"/>
  <c r="H115" i="3"/>
  <c r="F115" i="3" s="1"/>
  <c r="H123" i="3"/>
  <c r="F123" i="3" s="1"/>
  <c r="H131" i="3"/>
  <c r="F131" i="3" s="1"/>
  <c r="H139" i="3"/>
  <c r="F139" i="3" s="1"/>
  <c r="H147" i="3"/>
  <c r="F147" i="3" s="1"/>
  <c r="H155" i="3"/>
  <c r="F155" i="3" s="1"/>
  <c r="F166" i="3"/>
  <c r="H176" i="3"/>
  <c r="F176" i="3" s="1"/>
  <c r="H184" i="3"/>
  <c r="F184" i="3" s="1"/>
  <c r="H192" i="3"/>
  <c r="F192" i="3" s="1"/>
  <c r="H200" i="3"/>
  <c r="F200" i="3" s="1"/>
  <c r="H208" i="3"/>
  <c r="F208" i="3" s="1"/>
  <c r="H216" i="3"/>
  <c r="F216" i="3" s="1"/>
  <c r="F219" i="3"/>
  <c r="H224" i="3"/>
  <c r="F224" i="3" s="1"/>
  <c r="H232" i="3"/>
  <c r="F232" i="3" s="1"/>
  <c r="H240" i="3"/>
  <c r="F240" i="3" s="1"/>
  <c r="H248" i="3"/>
  <c r="F248" i="3" s="1"/>
  <c r="H256" i="3"/>
  <c r="F256" i="3" s="1"/>
  <c r="H264" i="3"/>
  <c r="F264" i="3" s="1"/>
  <c r="F275" i="3"/>
  <c r="H280" i="3"/>
  <c r="F280" i="3" s="1"/>
  <c r="H288" i="3"/>
  <c r="F288" i="3" s="1"/>
  <c r="H296" i="3"/>
  <c r="F296" i="3" s="1"/>
  <c r="H304" i="3"/>
  <c r="F304" i="3" s="1"/>
  <c r="H312" i="3"/>
  <c r="F312" i="3" s="1"/>
  <c r="H320" i="3"/>
  <c r="F320" i="3" s="1"/>
  <c r="F331" i="3"/>
  <c r="H336" i="3"/>
  <c r="F336" i="3" s="1"/>
  <c r="H344" i="3"/>
  <c r="F344" i="3" s="1"/>
  <c r="H352" i="3"/>
  <c r="F352" i="3" s="1"/>
  <c r="H360" i="3"/>
  <c r="F360" i="3" s="1"/>
  <c r="H368" i="3"/>
  <c r="F368" i="3" s="1"/>
  <c r="H376" i="3"/>
  <c r="F376" i="3" s="1"/>
  <c r="H392" i="3"/>
  <c r="F392" i="3" s="1"/>
  <c r="H400" i="3"/>
  <c r="F400" i="3" s="1"/>
  <c r="H408" i="3"/>
  <c r="F408" i="3" s="1"/>
  <c r="H416" i="3"/>
  <c r="F416" i="3" s="1"/>
  <c r="H424" i="3"/>
  <c r="F424" i="3" s="1"/>
  <c r="H432" i="3"/>
  <c r="F432" i="3" s="1"/>
  <c r="F547" i="3"/>
  <c r="F503" i="3"/>
  <c r="F511" i="3"/>
  <c r="F519" i="3"/>
  <c r="F527" i="3"/>
  <c r="F535" i="3"/>
  <c r="F501" i="3"/>
  <c r="F509" i="3"/>
  <c r="F517" i="3"/>
  <c r="F525" i="3"/>
  <c r="F533" i="3"/>
  <c r="F541" i="3"/>
  <c r="F463" i="3"/>
  <c r="F471" i="3"/>
  <c r="F479" i="3"/>
  <c r="F487" i="3"/>
  <c r="F498" i="3"/>
  <c r="F506" i="3"/>
  <c r="F514" i="3"/>
  <c r="F522" i="3"/>
  <c r="F530" i="3"/>
  <c r="F543" i="3"/>
  <c r="F500" i="3"/>
  <c r="F508" i="3"/>
  <c r="F516" i="3"/>
  <c r="F524" i="3"/>
  <c r="F532" i="3"/>
  <c r="F540" i="3"/>
  <c r="F502" i="3"/>
  <c r="F510" i="3"/>
  <c r="F518" i="3"/>
  <c r="F526" i="3"/>
  <c r="F534" i="3"/>
  <c r="F542" i="3"/>
  <c r="F499" i="3"/>
  <c r="F507" i="3"/>
  <c r="F515" i="3"/>
  <c r="F523" i="3"/>
  <c r="F531" i="3"/>
  <c r="F539" i="3"/>
  <c r="F504" i="3"/>
  <c r="F512" i="3"/>
  <c r="F520" i="3"/>
  <c r="F528" i="3"/>
  <c r="F536" i="3"/>
  <c r="F544" i="3"/>
  <c r="F497" i="3"/>
  <c r="F445" i="3"/>
  <c r="F453" i="3"/>
  <c r="F461" i="3"/>
  <c r="F469" i="3"/>
  <c r="F477" i="3"/>
  <c r="F485" i="3"/>
  <c r="F450" i="3"/>
  <c r="F458" i="3"/>
  <c r="F466" i="3"/>
  <c r="F474" i="3"/>
  <c r="F482" i="3"/>
  <c r="F490" i="3"/>
  <c r="F444" i="3"/>
  <c r="F452" i="3"/>
  <c r="F460" i="3"/>
  <c r="F468" i="3"/>
  <c r="F476" i="3"/>
  <c r="F484" i="3"/>
  <c r="F446" i="3"/>
  <c r="F454" i="3"/>
  <c r="F462" i="3"/>
  <c r="F470" i="3"/>
  <c r="F478" i="3"/>
  <c r="F486" i="3"/>
  <c r="F448" i="3"/>
  <c r="F456" i="3"/>
  <c r="F464" i="3"/>
  <c r="F472" i="3"/>
  <c r="F480" i="3"/>
  <c r="F488" i="3"/>
  <c r="F443" i="3"/>
  <c r="F442" i="3"/>
  <c r="L137" i="10"/>
  <c r="J137" i="10"/>
  <c r="N137" i="10"/>
  <c r="D87" i="4"/>
  <c r="D96" i="4"/>
  <c r="D78" i="4"/>
  <c r="F168" i="3"/>
  <c r="F57" i="3"/>
  <c r="F11" i="4"/>
  <c r="F47" i="27" s="1"/>
  <c r="N45" i="10"/>
  <c r="G9" i="4"/>
  <c r="J45" i="10"/>
  <c r="E9" i="4"/>
  <c r="H45" i="10"/>
  <c r="D9" i="4"/>
  <c r="R57" i="27"/>
  <c r="J140" i="10" s="1"/>
  <c r="Q57" i="27"/>
  <c r="H140" i="10" s="1"/>
  <c r="T57" i="27"/>
  <c r="N140" i="10" s="1"/>
  <c r="S57" i="27"/>
  <c r="L140" i="10" s="1"/>
  <c r="L45" i="10"/>
  <c r="U106" i="40" a="1"/>
  <c r="P2630" i="33" a="1"/>
  <c r="AE109" i="40" a="1"/>
  <c r="U109" i="40" a="1"/>
  <c r="Z106" i="40" a="1"/>
  <c r="Z109" i="40" a="1"/>
  <c r="AE106" i="40" a="1"/>
  <c r="H19" i="19" l="1"/>
  <c r="G19" i="19"/>
  <c r="Z82" i="4"/>
  <c r="AY92" i="4"/>
  <c r="AW75" i="4"/>
  <c r="AD93" i="4"/>
  <c r="Z73" i="4"/>
  <c r="Y86" i="4"/>
  <c r="AX91" i="4"/>
  <c r="AE74" i="4"/>
  <c r="AO94" i="4"/>
  <c r="AB95" i="4"/>
  <c r="AN77" i="4"/>
  <c r="BF103" i="4"/>
  <c r="AL85" i="4"/>
  <c r="AU77" i="4"/>
  <c r="AT82" i="4"/>
  <c r="AS75" i="4"/>
  <c r="AL92" i="4"/>
  <c r="AJ82" i="4"/>
  <c r="AK91" i="4"/>
  <c r="AN74" i="4"/>
  <c r="AT86" i="4"/>
  <c r="AY73" i="4"/>
  <c r="AI93" i="4"/>
  <c r="AL83" i="4"/>
  <c r="AV74" i="4"/>
  <c r="BH100" i="4"/>
  <c r="AD84" i="4"/>
  <c r="AT83" i="4"/>
  <c r="AX76" i="4"/>
  <c r="AU84" i="4"/>
  <c r="AC74" i="4"/>
  <c r="AX93" i="4"/>
  <c r="AU82" i="4"/>
  <c r="AS95" i="4"/>
  <c r="AC77" i="4"/>
  <c r="AI85" i="4"/>
  <c r="AU86" i="4"/>
  <c r="AN76" i="4"/>
  <c r="Y83" i="4"/>
  <c r="AL75" i="4"/>
  <c r="AX85" i="4"/>
  <c r="BG101" i="4"/>
  <c r="AB94" i="4"/>
  <c r="AC75" i="4"/>
  <c r="AK95" i="4"/>
  <c r="AC76" i="4"/>
  <c r="Y91" i="4"/>
  <c r="AK73" i="4"/>
  <c r="BI102" i="4"/>
  <c r="J64" i="4" s="1"/>
  <c r="AB91" i="4"/>
  <c r="AS94" i="4"/>
  <c r="AB92" i="4"/>
  <c r="AC85" i="4"/>
  <c r="AN86" i="4"/>
  <c r="BF100" i="4"/>
  <c r="BI103" i="4"/>
  <c r="BH104" i="4"/>
  <c r="AO84" i="4"/>
  <c r="AD74" i="4"/>
  <c r="AA94" i="4"/>
  <c r="Z77" i="4"/>
  <c r="AW94" i="4"/>
  <c r="AU85" i="4"/>
  <c r="AJ91" i="4"/>
  <c r="AB73" i="4"/>
  <c r="AA91" i="4"/>
  <c r="AD92" i="4"/>
  <c r="AU83" i="4"/>
  <c r="AX92" i="4"/>
  <c r="AL86" i="4"/>
  <c r="AI82" i="4"/>
  <c r="Y76" i="4"/>
  <c r="AW77" i="4"/>
  <c r="AY77" i="4"/>
  <c r="AI83" i="4"/>
  <c r="BH103" i="4"/>
  <c r="AE75" i="4"/>
  <c r="AA84" i="4"/>
  <c r="AT85" i="4"/>
  <c r="AK75" i="4"/>
  <c r="AD91" i="4"/>
  <c r="AU93" i="4"/>
  <c r="AL95" i="4"/>
  <c r="AJ77" i="4"/>
  <c r="Z75" i="4"/>
  <c r="AE95" i="4"/>
  <c r="AW91" i="4"/>
  <c r="AN94" i="4"/>
  <c r="AI86" i="4"/>
  <c r="BD101" i="4"/>
  <c r="E63" i="4" s="1"/>
  <c r="AE84" i="4"/>
  <c r="Z84" i="4"/>
  <c r="AS73" i="4"/>
  <c r="AT84" i="4"/>
  <c r="AL77" i="4"/>
  <c r="AM82" i="4"/>
  <c r="AI91" i="4"/>
  <c r="BI100" i="4"/>
  <c r="AA92" i="4"/>
  <c r="AT74" i="4"/>
  <c r="AX95" i="4"/>
  <c r="AK84" i="4"/>
  <c r="BI101" i="4"/>
  <c r="AA74" i="4"/>
  <c r="AI73" i="4"/>
  <c r="AN91" i="4"/>
  <c r="AC84" i="4"/>
  <c r="AB82" i="4"/>
  <c r="AS92" i="4"/>
  <c r="AW82" i="4"/>
  <c r="AV82" i="4"/>
  <c r="AM76" i="4"/>
  <c r="AI94" i="4"/>
  <c r="BD102" i="4"/>
  <c r="Z76" i="4"/>
  <c r="AD94" i="4"/>
  <c r="AX94" i="4"/>
  <c r="AL82" i="4"/>
  <c r="AM86" i="4"/>
  <c r="AI95" i="4"/>
  <c r="BI104" i="4"/>
  <c r="AS85" i="4"/>
  <c r="AK92" i="4"/>
  <c r="BC101" i="4"/>
  <c r="Z74" i="4"/>
  <c r="Y82" i="4"/>
  <c r="AB77" i="4"/>
  <c r="AU74" i="4"/>
  <c r="AV77" i="4"/>
  <c r="AI77" i="4"/>
  <c r="BC102" i="4"/>
  <c r="AE92" i="4"/>
  <c r="Z91" i="4"/>
  <c r="AX73" i="4"/>
  <c r="AY86" i="4"/>
  <c r="AT91" i="4"/>
  <c r="AJ74" i="4"/>
  <c r="AV76" i="4"/>
  <c r="AL76" i="4"/>
  <c r="AM94" i="4"/>
  <c r="AA93" i="4"/>
  <c r="AW93" i="4"/>
  <c r="AW84" i="4"/>
  <c r="AJ86" i="4"/>
  <c r="AA86" i="4"/>
  <c r="AK77" i="4"/>
  <c r="AA75" i="4"/>
  <c r="AS91" i="4"/>
  <c r="AS76" i="4"/>
  <c r="AJ75" i="4"/>
  <c r="AK82" i="4"/>
  <c r="BH102" i="4"/>
  <c r="Y74" i="4"/>
  <c r="AC83" i="4"/>
  <c r="AV84" i="4"/>
  <c r="AM74" i="4"/>
  <c r="Z85" i="4"/>
  <c r="AW92" i="4"/>
  <c r="AL94" i="4"/>
  <c r="AB74" i="4"/>
  <c r="AC94" i="4"/>
  <c r="AW86" i="4"/>
  <c r="AN93" i="4"/>
  <c r="AK85" i="4"/>
  <c r="BD100" i="4"/>
  <c r="AE83" i="4"/>
  <c r="AB83" i="4"/>
  <c r="AT76" i="4"/>
  <c r="AV83" i="4"/>
  <c r="AK74" i="4"/>
  <c r="AO77" i="4"/>
  <c r="AK86" i="4"/>
  <c r="Y95" i="4"/>
  <c r="AC91" i="4"/>
  <c r="AV73" i="4"/>
  <c r="AT93" i="4"/>
  <c r="AJ95" i="4"/>
  <c r="AM83" i="4"/>
  <c r="BC100" i="4"/>
  <c r="AC73" i="4"/>
  <c r="AD95" i="4"/>
  <c r="AJ85" i="4"/>
  <c r="Z86" i="4"/>
  <c r="AA83" i="4"/>
  <c r="AD77" i="4"/>
  <c r="AW76" i="4"/>
  <c r="AY94" i="4"/>
  <c r="AX77" i="4"/>
  <c r="AO75" i="4"/>
  <c r="AK93" i="4"/>
  <c r="BF104" i="4"/>
  <c r="BF101" i="4"/>
  <c r="AB75" i="4"/>
  <c r="Z92" i="4"/>
  <c r="AU76" i="4"/>
  <c r="AT92" i="4"/>
  <c r="AN75" i="4"/>
  <c r="AO85" i="4"/>
  <c r="AK94" i="4"/>
  <c r="BC103" i="4"/>
  <c r="AC95" i="4"/>
  <c r="AS84" i="4"/>
  <c r="AM91" i="4"/>
  <c r="BE100" i="4"/>
  <c r="BC104" i="4"/>
  <c r="AA77" i="4"/>
  <c r="AW73" i="4"/>
  <c r="AK76" i="4"/>
  <c r="AN95" i="4"/>
  <c r="BE101" i="4"/>
  <c r="AE91" i="4"/>
  <c r="AB86" i="4"/>
  <c r="AU73" i="4"/>
  <c r="AY85" i="4"/>
  <c r="AV86" i="4"/>
  <c r="AL73" i="4"/>
  <c r="AB76" i="4"/>
  <c r="AX75" i="4"/>
  <c r="AJ73" i="4"/>
  <c r="AO93" i="4"/>
  <c r="Y92" i="4"/>
  <c r="AU92" i="4"/>
  <c r="AY83" i="4"/>
  <c r="AJ76" i="4"/>
  <c r="AM95" i="4"/>
  <c r="BE104" i="4"/>
  <c r="AA76" i="4"/>
  <c r="AA85" i="4"/>
  <c r="AB85" i="4"/>
  <c r="AS77" i="4"/>
  <c r="AV85" i="4"/>
  <c r="AJ84" i="4"/>
  <c r="BD104" i="4"/>
  <c r="Z95" i="4"/>
  <c r="AY75" i="4"/>
  <c r="AU75" i="4"/>
  <c r="AT95" i="4"/>
  <c r="AL74" i="4"/>
  <c r="AM77" i="4"/>
  <c r="BH101" i="4"/>
  <c r="AA73" i="4"/>
  <c r="AE82" i="4"/>
  <c r="AX83" i="4"/>
  <c r="AO73" i="4"/>
  <c r="AB84" i="4"/>
  <c r="AY91" i="4"/>
  <c r="AL93" i="4"/>
  <c r="AD73" i="4"/>
  <c r="AC93" i="4"/>
  <c r="Z94" i="4"/>
  <c r="AW85" i="4"/>
  <c r="AT94" i="4"/>
  <c r="AN92" i="4"/>
  <c r="AM84" i="4"/>
  <c r="AC82" i="4"/>
  <c r="AD82" i="4"/>
  <c r="AV75" i="4"/>
  <c r="AX82" i="4"/>
  <c r="AM73" i="4"/>
  <c r="AM85" i="4"/>
  <c r="Y94" i="4"/>
  <c r="AE86" i="4"/>
  <c r="AV92" i="4"/>
  <c r="AJ94" i="4"/>
  <c r="AO82" i="4"/>
  <c r="Z93" i="4"/>
  <c r="AU95" i="4"/>
  <c r="AY95" i="4"/>
  <c r="AL84" i="4"/>
  <c r="AA82" i="4"/>
  <c r="AY93" i="4"/>
  <c r="AI74" i="4"/>
  <c r="AM92" i="4"/>
  <c r="AV91" i="4"/>
  <c r="AI75" i="4"/>
  <c r="AI84" i="4"/>
  <c r="AM93" i="4"/>
  <c r="BE102" i="4"/>
  <c r="AE94" i="4"/>
  <c r="AS83" i="4"/>
  <c r="AO86" i="4"/>
  <c r="BE103" i="4"/>
  <c r="AE76" i="4"/>
  <c r="AM75" i="4"/>
  <c r="AJ93" i="4"/>
  <c r="BG100" i="4"/>
  <c r="AC86" i="4"/>
  <c r="AD85" i="4"/>
  <c r="AS93" i="4"/>
  <c r="AY84" i="4"/>
  <c r="AN82" i="4"/>
  <c r="AD75" i="4"/>
  <c r="AT73" i="4"/>
  <c r="AN84" i="4"/>
  <c r="AI92" i="4"/>
  <c r="AU91" i="4"/>
  <c r="AS82" i="4"/>
  <c r="BG103" i="4"/>
  <c r="Y73" i="4"/>
  <c r="Y84" i="4"/>
  <c r="AY76" i="4"/>
  <c r="AX84" i="4"/>
  <c r="AJ83" i="4"/>
  <c r="BD103" i="4"/>
  <c r="BG104" i="4"/>
  <c r="AE73" i="4"/>
  <c r="AT75" i="4"/>
  <c r="AW74" i="4"/>
  <c r="AV94" i="4"/>
  <c r="AN73" i="4"/>
  <c r="Y77" i="4"/>
  <c r="AT77" i="4"/>
  <c r="AO76" i="4"/>
  <c r="AA95" i="4"/>
  <c r="AD83" i="4"/>
  <c r="AW95" i="4"/>
  <c r="AS86" i="4"/>
  <c r="AJ92" i="4"/>
  <c r="AD76" i="4"/>
  <c r="AC92" i="4"/>
  <c r="AB93" i="4"/>
  <c r="AV93" i="4"/>
  <c r="AL91" i="4"/>
  <c r="AO83" i="4"/>
  <c r="AE77" i="4"/>
  <c r="AX74" i="4"/>
  <c r="AY82" i="4"/>
  <c r="Y85" i="4"/>
  <c r="AI76" i="4"/>
  <c r="AU94" i="4"/>
  <c r="AN83" i="4"/>
  <c r="AO91" i="4"/>
  <c r="BF102" i="4"/>
  <c r="AE85" i="4"/>
  <c r="AD86" i="4"/>
  <c r="AY74" i="4"/>
  <c r="AX86" i="4"/>
  <c r="AN85" i="4"/>
  <c r="AK83" i="4"/>
  <c r="AO92" i="4"/>
  <c r="Y93" i="4"/>
  <c r="BG102" i="4"/>
  <c r="Y75" i="4"/>
  <c r="AO74" i="4"/>
  <c r="Z83" i="4"/>
  <c r="AS74" i="4"/>
  <c r="AW83" i="4"/>
  <c r="AO95" i="4"/>
  <c r="AV95" i="4"/>
  <c r="AE93" i="4"/>
  <c r="P2630" i="33"/>
  <c r="M2631" i="33"/>
  <c r="L2632" i="33"/>
  <c r="BW96" i="4"/>
  <c r="BW87" i="4"/>
  <c r="BW78" i="4"/>
  <c r="BM105" i="4"/>
  <c r="BM96" i="4"/>
  <c r="BM87" i="4"/>
  <c r="BM78" i="4"/>
  <c r="BW105" i="4"/>
  <c r="U106" i="40"/>
  <c r="Z106" i="40"/>
  <c r="Z109" i="40"/>
  <c r="AE109" i="40"/>
  <c r="U109" i="40"/>
  <c r="AE106" i="40"/>
  <c r="D107" i="4"/>
  <c r="F35" i="7"/>
  <c r="Q77" i="1" s="1"/>
  <c r="H30" i="7"/>
  <c r="O105" i="4"/>
  <c r="D11" i="4"/>
  <c r="D47" i="27" s="1"/>
  <c r="E11" i="4"/>
  <c r="E47" i="27" s="1"/>
  <c r="G11" i="4"/>
  <c r="G47" i="27" s="1"/>
  <c r="O78" i="4"/>
  <c r="O96" i="4"/>
  <c r="O87" i="4"/>
  <c r="P2631" i="33" a="1"/>
  <c r="G852" i="1" l="1"/>
  <c r="J392" i="1"/>
  <c r="T390" i="1" s="1"/>
  <c r="J19" i="19"/>
  <c r="F57" i="19"/>
  <c r="D66" i="4"/>
  <c r="I66" i="4"/>
  <c r="P2631" i="33"/>
  <c r="L2633" i="33"/>
  <c r="M2632" i="33"/>
  <c r="E66" i="4"/>
  <c r="J56" i="4"/>
  <c r="E64" i="4"/>
  <c r="G64" i="4"/>
  <c r="H62" i="4"/>
  <c r="H63" i="4"/>
  <c r="I56" i="4"/>
  <c r="E65" i="4"/>
  <c r="O107" i="4"/>
  <c r="Q118" i="1" s="1"/>
  <c r="G56" i="4"/>
  <c r="G55" i="4"/>
  <c r="G62" i="4"/>
  <c r="I63" i="4"/>
  <c r="I141" i="4" s="1"/>
  <c r="E62" i="4"/>
  <c r="F56" i="4"/>
  <c r="J62" i="4"/>
  <c r="H66" i="4"/>
  <c r="E57" i="4"/>
  <c r="D65" i="4"/>
  <c r="D56" i="4"/>
  <c r="AK134" i="4" s="1"/>
  <c r="I57" i="4"/>
  <c r="F65" i="4"/>
  <c r="F62" i="4"/>
  <c r="D57" i="4"/>
  <c r="G38" i="4"/>
  <c r="G116" i="4" s="1"/>
  <c r="H56" i="4"/>
  <c r="G63" i="4"/>
  <c r="F66" i="4"/>
  <c r="D64" i="4"/>
  <c r="F54" i="4"/>
  <c r="I65" i="4"/>
  <c r="D62" i="4"/>
  <c r="F57" i="4"/>
  <c r="Q135" i="4" s="1"/>
  <c r="J63" i="4"/>
  <c r="H65" i="4"/>
  <c r="I62" i="4"/>
  <c r="J38" i="4"/>
  <c r="AF116" i="4" s="1"/>
  <c r="E47" i="4"/>
  <c r="E38" i="4"/>
  <c r="H54" i="4"/>
  <c r="H132" i="4" s="1"/>
  <c r="G57" i="4"/>
  <c r="F39" i="4"/>
  <c r="F117" i="4" s="1"/>
  <c r="H64" i="4"/>
  <c r="F47" i="4"/>
  <c r="Q125" i="4" s="1"/>
  <c r="J57" i="4"/>
  <c r="J135" i="4" s="1"/>
  <c r="G48" i="4"/>
  <c r="G126" i="4" s="1"/>
  <c r="I54" i="4"/>
  <c r="AE132" i="4" s="1"/>
  <c r="D55" i="4"/>
  <c r="O133" i="4" s="1"/>
  <c r="J55" i="4"/>
  <c r="I64" i="4"/>
  <c r="D48" i="4"/>
  <c r="D126" i="4" s="1"/>
  <c r="J44" i="4"/>
  <c r="D44" i="4"/>
  <c r="F46" i="4"/>
  <c r="F124" i="4" s="1"/>
  <c r="H44" i="4"/>
  <c r="H122" i="4" s="1"/>
  <c r="D63" i="4"/>
  <c r="G36" i="4"/>
  <c r="F38" i="4"/>
  <c r="Q116" i="4" s="1"/>
  <c r="H38" i="4"/>
  <c r="H116" i="4" s="1"/>
  <c r="D46" i="4"/>
  <c r="H55" i="4"/>
  <c r="D45" i="4"/>
  <c r="D123" i="4" s="1"/>
  <c r="I46" i="4"/>
  <c r="AE124" i="4" s="1"/>
  <c r="I44" i="4"/>
  <c r="T122" i="4" s="1"/>
  <c r="I37" i="4"/>
  <c r="J65" i="4"/>
  <c r="J45" i="4"/>
  <c r="U123" i="4" s="1"/>
  <c r="H36" i="4"/>
  <c r="AD114" i="4" s="1"/>
  <c r="F36" i="4"/>
  <c r="I53" i="4"/>
  <c r="E46" i="4"/>
  <c r="I39" i="4"/>
  <c r="E45" i="4"/>
  <c r="P123" i="4" s="1"/>
  <c r="H57" i="4"/>
  <c r="J36" i="4"/>
  <c r="D54" i="4"/>
  <c r="J53" i="4"/>
  <c r="D36" i="4"/>
  <c r="D114" i="4" s="1"/>
  <c r="D38" i="4"/>
  <c r="I36" i="4"/>
  <c r="AP114" i="4" s="1"/>
  <c r="J66" i="4"/>
  <c r="G54" i="4"/>
  <c r="D53" i="4"/>
  <c r="F64" i="4"/>
  <c r="H48" i="4"/>
  <c r="AD126" i="4" s="1"/>
  <c r="G47" i="4"/>
  <c r="G125" i="4" s="1"/>
  <c r="E36" i="4"/>
  <c r="J54" i="4"/>
  <c r="J48" i="4"/>
  <c r="AF126" i="4" s="1"/>
  <c r="H47" i="4"/>
  <c r="AD125" i="4" s="1"/>
  <c r="I45" i="4"/>
  <c r="T123" i="4" s="1"/>
  <c r="I47" i="4"/>
  <c r="AE125" i="4" s="1"/>
  <c r="D37" i="4"/>
  <c r="Z115" i="4" s="1"/>
  <c r="E54" i="4"/>
  <c r="G66" i="4"/>
  <c r="E55" i="4"/>
  <c r="AA133" i="4" s="1"/>
  <c r="F44" i="4"/>
  <c r="AB122" i="4" s="1"/>
  <c r="I38" i="4"/>
  <c r="I116" i="4" s="1"/>
  <c r="H53" i="4"/>
  <c r="AD131" i="4" s="1"/>
  <c r="E53" i="4"/>
  <c r="F55" i="4"/>
  <c r="J46" i="4"/>
  <c r="AQ124" i="4" s="1"/>
  <c r="G44" i="4"/>
  <c r="AN122" i="4" s="1"/>
  <c r="I55" i="4"/>
  <c r="I48" i="4"/>
  <c r="T126" i="4" s="1"/>
  <c r="E44" i="4"/>
  <c r="F53" i="4"/>
  <c r="E56" i="4"/>
  <c r="P134" i="4" s="1"/>
  <c r="F48" i="4"/>
  <c r="AM126" i="4" s="1"/>
  <c r="G45" i="4"/>
  <c r="AC123" i="4" s="1"/>
  <c r="F63" i="4"/>
  <c r="BW107" i="4"/>
  <c r="G37" i="4"/>
  <c r="R115" i="4" s="1"/>
  <c r="H45" i="4"/>
  <c r="AD123" i="4" s="1"/>
  <c r="J47" i="4"/>
  <c r="AF125" i="4" s="1"/>
  <c r="D39" i="4"/>
  <c r="O117" i="4" s="1"/>
  <c r="F37" i="4"/>
  <c r="F115" i="4" s="1"/>
  <c r="F35" i="4"/>
  <c r="Q113" i="4" s="1"/>
  <c r="H37" i="4"/>
  <c r="H115" i="4" s="1"/>
  <c r="G53" i="4"/>
  <c r="H46" i="4"/>
  <c r="AD124" i="4" s="1"/>
  <c r="G35" i="4"/>
  <c r="D47" i="4"/>
  <c r="O125" i="4" s="1"/>
  <c r="F45" i="4"/>
  <c r="F123" i="4" s="1"/>
  <c r="E39" i="4"/>
  <c r="AL117" i="4" s="1"/>
  <c r="I35" i="4"/>
  <c r="AP113" i="4" s="1"/>
  <c r="E37" i="4"/>
  <c r="AA115" i="4" s="1"/>
  <c r="G65" i="4"/>
  <c r="E48" i="4"/>
  <c r="E126" i="4" s="1"/>
  <c r="J35" i="4"/>
  <c r="AQ113" i="4" s="1"/>
  <c r="H35" i="4"/>
  <c r="D35" i="4"/>
  <c r="J39" i="4"/>
  <c r="J37" i="4"/>
  <c r="U115" i="4" s="1"/>
  <c r="BM107" i="4"/>
  <c r="E35" i="4"/>
  <c r="AA113" i="4" s="1"/>
  <c r="G39" i="4"/>
  <c r="G117" i="4" s="1"/>
  <c r="G46" i="4"/>
  <c r="AC124" i="4" s="1"/>
  <c r="H39" i="4"/>
  <c r="H117" i="4" s="1"/>
  <c r="T430" i="1"/>
  <c r="BC96" i="4"/>
  <c r="BC78" i="4"/>
  <c r="BC87" i="4"/>
  <c r="BC105" i="4"/>
  <c r="H35" i="7"/>
  <c r="AS105" i="4"/>
  <c r="Y105" i="4"/>
  <c r="AI105" i="4"/>
  <c r="AI87" i="4"/>
  <c r="AS78" i="4"/>
  <c r="Y87" i="4"/>
  <c r="AI78" i="4"/>
  <c r="AS87" i="4"/>
  <c r="Y78" i="4"/>
  <c r="AS96" i="4"/>
  <c r="Y96" i="4"/>
  <c r="AI96" i="4"/>
  <c r="P1872" i="33" a="1"/>
  <c r="P2011" i="33" a="1"/>
  <c r="P2632" i="33" a="1"/>
  <c r="E21" i="19" l="1"/>
  <c r="F21" i="19" s="1"/>
  <c r="P2632" i="33"/>
  <c r="L2634" i="33"/>
  <c r="M2633" i="33"/>
  <c r="P2011" i="33"/>
  <c r="N862" i="1"/>
  <c r="F852" i="1"/>
  <c r="E54" i="7"/>
  <c r="AB50" i="7" s="1"/>
  <c r="P1872" i="33"/>
  <c r="T431" i="1"/>
  <c r="T432" i="1" s="1"/>
  <c r="S432" i="1" s="1"/>
  <c r="H77" i="1" s="1"/>
  <c r="T391" i="1"/>
  <c r="T392" i="1" s="1"/>
  <c r="S392" i="1" s="1"/>
  <c r="H365" i="1" s="1"/>
  <c r="Y107" i="4"/>
  <c r="AI107" i="4"/>
  <c r="AS107" i="4"/>
  <c r="BC107" i="4"/>
  <c r="F122" i="4"/>
  <c r="Q122" i="4"/>
  <c r="AM122" i="4"/>
  <c r="T141" i="4"/>
  <c r="I843" i="1"/>
  <c r="Z142" i="4"/>
  <c r="AK142" i="4"/>
  <c r="Q141" i="4"/>
  <c r="AB141" i="4"/>
  <c r="AM141" i="4"/>
  <c r="R142" i="4"/>
  <c r="AC142" i="4"/>
  <c r="AN142" i="4"/>
  <c r="R141" i="4"/>
  <c r="AC141" i="4"/>
  <c r="AN141" i="4"/>
  <c r="AA144" i="4"/>
  <c r="AL144" i="4"/>
  <c r="E142" i="4"/>
  <c r="AL142" i="4"/>
  <c r="AA142" i="4"/>
  <c r="T143" i="4"/>
  <c r="AP143" i="4"/>
  <c r="AE143" i="4"/>
  <c r="P143" i="4"/>
  <c r="AA143" i="4"/>
  <c r="AL143" i="4"/>
  <c r="U140" i="4"/>
  <c r="AF140" i="4"/>
  <c r="AQ140" i="4"/>
  <c r="F143" i="4"/>
  <c r="AB143" i="4"/>
  <c r="AM143" i="4"/>
  <c r="Z143" i="4"/>
  <c r="AK143" i="4"/>
  <c r="I140" i="4"/>
  <c r="AP140" i="4"/>
  <c r="AE140" i="4"/>
  <c r="F142" i="4"/>
  <c r="AB142" i="4"/>
  <c r="AM142" i="4"/>
  <c r="AA140" i="4"/>
  <c r="AL140" i="4"/>
  <c r="R143" i="4"/>
  <c r="AC143" i="4"/>
  <c r="AN143" i="4"/>
  <c r="S141" i="4"/>
  <c r="AO141" i="4"/>
  <c r="AD141" i="4"/>
  <c r="AE144" i="4"/>
  <c r="AP144" i="4"/>
  <c r="S143" i="4"/>
  <c r="AO143" i="4"/>
  <c r="AD143" i="4"/>
  <c r="AQ143" i="4"/>
  <c r="AF143" i="4"/>
  <c r="AB144" i="4"/>
  <c r="AM144" i="4"/>
  <c r="J142" i="4"/>
  <c r="AQ142" i="4"/>
  <c r="AF142" i="4"/>
  <c r="AC144" i="4"/>
  <c r="AN144" i="4"/>
  <c r="AO144" i="4"/>
  <c r="AD144" i="4"/>
  <c r="AF144" i="4"/>
  <c r="AQ144" i="4"/>
  <c r="Z144" i="4"/>
  <c r="AK144" i="4"/>
  <c r="Z141" i="4"/>
  <c r="AK141" i="4"/>
  <c r="S140" i="4"/>
  <c r="AO140" i="4"/>
  <c r="AD140" i="4"/>
  <c r="AQ141" i="4"/>
  <c r="AF141" i="4"/>
  <c r="AE142" i="4"/>
  <c r="AP142" i="4"/>
  <c r="R140" i="4"/>
  <c r="AC140" i="4"/>
  <c r="AN140" i="4"/>
  <c r="AB140" i="4"/>
  <c r="AM140" i="4"/>
  <c r="AA141" i="4"/>
  <c r="AL141" i="4"/>
  <c r="S142" i="4"/>
  <c r="AO142" i="4"/>
  <c r="AD142" i="4"/>
  <c r="AE141" i="4"/>
  <c r="AP141" i="4"/>
  <c r="O143" i="4"/>
  <c r="D113" i="4"/>
  <c r="D40" i="4"/>
  <c r="D131" i="4"/>
  <c r="D58" i="4"/>
  <c r="D140" i="4"/>
  <c r="D67" i="4"/>
  <c r="O122" i="4"/>
  <c r="D49" i="4"/>
  <c r="D143" i="4"/>
  <c r="I142" i="4"/>
  <c r="T142" i="4"/>
  <c r="O141" i="4"/>
  <c r="D141" i="4"/>
  <c r="H140" i="4"/>
  <c r="U141" i="4"/>
  <c r="F140" i="4"/>
  <c r="E140" i="4"/>
  <c r="G143" i="4"/>
  <c r="J141" i="4"/>
  <c r="Q140" i="4"/>
  <c r="Q143" i="4"/>
  <c r="E141" i="4"/>
  <c r="Z140" i="4"/>
  <c r="H141" i="4"/>
  <c r="AK140" i="4"/>
  <c r="O140" i="4"/>
  <c r="P140" i="4"/>
  <c r="G140" i="4"/>
  <c r="H142" i="4"/>
  <c r="J143" i="4"/>
  <c r="G141" i="4"/>
  <c r="G142" i="4"/>
  <c r="P142" i="4"/>
  <c r="F141" i="4"/>
  <c r="U143" i="4"/>
  <c r="H143" i="4"/>
  <c r="J140" i="4"/>
  <c r="Q142" i="4"/>
  <c r="I143" i="4"/>
  <c r="T140" i="4"/>
  <c r="E143" i="4"/>
  <c r="O142" i="4"/>
  <c r="P141" i="4"/>
  <c r="D142" i="4"/>
  <c r="U142" i="4"/>
  <c r="E115" i="4"/>
  <c r="AO124" i="4"/>
  <c r="H124" i="4"/>
  <c r="S124" i="4"/>
  <c r="G122" i="4"/>
  <c r="AC122" i="4"/>
  <c r="R122" i="4"/>
  <c r="S115" i="4"/>
  <c r="AD115" i="4"/>
  <c r="AO115" i="4"/>
  <c r="Z117" i="4"/>
  <c r="D117" i="4"/>
  <c r="AK117" i="4"/>
  <c r="AC125" i="4"/>
  <c r="AC116" i="4"/>
  <c r="AN125" i="4"/>
  <c r="R125" i="4"/>
  <c r="AK126" i="4"/>
  <c r="F116" i="4"/>
  <c r="P126" i="4"/>
  <c r="AA126" i="4"/>
  <c r="AL126" i="4"/>
  <c r="AB116" i="4"/>
  <c r="AM116" i="4"/>
  <c r="I122" i="4"/>
  <c r="AP122" i="4"/>
  <c r="AE122" i="4"/>
  <c r="O126" i="4"/>
  <c r="Z126" i="4"/>
  <c r="F125" i="4"/>
  <c r="AE126" i="4"/>
  <c r="AL115" i="4"/>
  <c r="P115" i="4"/>
  <c r="AM125" i="4"/>
  <c r="AB125" i="4"/>
  <c r="AP126" i="4"/>
  <c r="I126" i="4"/>
  <c r="J123" i="4"/>
  <c r="AF123" i="4"/>
  <c r="AQ123" i="4"/>
  <c r="U126" i="4"/>
  <c r="AQ126" i="4"/>
  <c r="J126" i="4"/>
  <c r="Q126" i="4"/>
  <c r="S123" i="4"/>
  <c r="AQ115" i="4"/>
  <c r="AE123" i="4"/>
  <c r="AQ125" i="4"/>
  <c r="AP123" i="4"/>
  <c r="AM123" i="4"/>
  <c r="U124" i="4"/>
  <c r="J124" i="4"/>
  <c r="AF124" i="4"/>
  <c r="I123" i="4"/>
  <c r="AF115" i="4"/>
  <c r="J115" i="4"/>
  <c r="Z122" i="4"/>
  <c r="F113" i="4"/>
  <c r="AK122" i="4"/>
  <c r="D122" i="4"/>
  <c r="AN126" i="4"/>
  <c r="AC126" i="4"/>
  <c r="R126" i="4"/>
  <c r="U125" i="4"/>
  <c r="J125" i="4"/>
  <c r="AM117" i="4"/>
  <c r="H125" i="4"/>
  <c r="AO125" i="4"/>
  <c r="S125" i="4"/>
  <c r="O113" i="4"/>
  <c r="AB117" i="4"/>
  <c r="G124" i="4"/>
  <c r="T124" i="4"/>
  <c r="Q117" i="4"/>
  <c r="AK123" i="4"/>
  <c r="AK125" i="4"/>
  <c r="F126" i="4"/>
  <c r="Q123" i="4"/>
  <c r="AB126" i="4"/>
  <c r="I124" i="4"/>
  <c r="AP124" i="4"/>
  <c r="AN117" i="4"/>
  <c r="AB123" i="4"/>
  <c r="AN124" i="4"/>
  <c r="R124" i="4"/>
  <c r="H123" i="4"/>
  <c r="AO123" i="4"/>
  <c r="E123" i="4"/>
  <c r="O123" i="4"/>
  <c r="Z123" i="4"/>
  <c r="AD116" i="4"/>
  <c r="AO116" i="4"/>
  <c r="S116" i="4"/>
  <c r="R123" i="4"/>
  <c r="AN123" i="4"/>
  <c r="G123" i="4"/>
  <c r="Z113" i="4"/>
  <c r="AK113" i="4"/>
  <c r="D125" i="4"/>
  <c r="Z125" i="4"/>
  <c r="R117" i="4"/>
  <c r="Q115" i="4"/>
  <c r="AC117" i="4"/>
  <c r="T125" i="4"/>
  <c r="AP125" i="4"/>
  <c r="AP132" i="4"/>
  <c r="I125" i="4"/>
  <c r="R116" i="4"/>
  <c r="AN116" i="4"/>
  <c r="AE116" i="4"/>
  <c r="AM113" i="4"/>
  <c r="AQ116" i="4"/>
  <c r="J116" i="4"/>
  <c r="AB113" i="4"/>
  <c r="AK115" i="4"/>
  <c r="O115" i="4"/>
  <c r="D115" i="4"/>
  <c r="AA123" i="4"/>
  <c r="AO114" i="4"/>
  <c r="AL123" i="4"/>
  <c r="I113" i="4"/>
  <c r="S114" i="4"/>
  <c r="AM135" i="4"/>
  <c r="AO126" i="4"/>
  <c r="D134" i="4"/>
  <c r="H114" i="4"/>
  <c r="T113" i="4"/>
  <c r="U116" i="4"/>
  <c r="AL133" i="4"/>
  <c r="P113" i="4"/>
  <c r="Z134" i="4"/>
  <c r="P117" i="4"/>
  <c r="AB135" i="4"/>
  <c r="E117" i="4"/>
  <c r="O134" i="4"/>
  <c r="F135" i="4"/>
  <c r="H126" i="4"/>
  <c r="E113" i="4"/>
  <c r="J113" i="4"/>
  <c r="AA117" i="4"/>
  <c r="AC115" i="4"/>
  <c r="S126" i="4"/>
  <c r="U113" i="4"/>
  <c r="AD117" i="4"/>
  <c r="AF113" i="4"/>
  <c r="S122" i="4"/>
  <c r="AE114" i="4"/>
  <c r="AO122" i="4"/>
  <c r="AD122" i="4"/>
  <c r="G115" i="4"/>
  <c r="AN115" i="4"/>
  <c r="AO132" i="4"/>
  <c r="U135" i="4"/>
  <c r="S117" i="4"/>
  <c r="T116" i="4"/>
  <c r="AD132" i="4"/>
  <c r="AB115" i="4"/>
  <c r="I132" i="4"/>
  <c r="AQ135" i="4"/>
  <c r="AO117" i="4"/>
  <c r="AP116" i="4"/>
  <c r="AF135" i="4"/>
  <c r="AM115" i="4"/>
  <c r="T132" i="4"/>
  <c r="S132" i="4"/>
  <c r="AL113" i="4"/>
  <c r="P133" i="4"/>
  <c r="E133" i="4"/>
  <c r="AO131" i="4"/>
  <c r="H131" i="4"/>
  <c r="AA134" i="4"/>
  <c r="I114" i="4"/>
  <c r="AL134" i="4"/>
  <c r="AM124" i="4"/>
  <c r="E134" i="4"/>
  <c r="S131" i="4"/>
  <c r="T114" i="4"/>
  <c r="AB124" i="4"/>
  <c r="Q124" i="4"/>
  <c r="Z133" i="4"/>
  <c r="AK133" i="4"/>
  <c r="D133" i="4"/>
  <c r="AE113" i="4"/>
  <c r="AK114" i="4"/>
  <c r="O114" i="4"/>
  <c r="Z114" i="4"/>
  <c r="AM134" i="4"/>
  <c r="AB134" i="4"/>
  <c r="F134" i="4"/>
  <c r="Q134" i="4"/>
  <c r="AM131" i="4"/>
  <c r="AB131" i="4"/>
  <c r="F131" i="4"/>
  <c r="Q131" i="4"/>
  <c r="E116" i="4"/>
  <c r="P116" i="4"/>
  <c r="AL116" i="4"/>
  <c r="AA116" i="4"/>
  <c r="U131" i="4"/>
  <c r="AQ131" i="4"/>
  <c r="AF131" i="4"/>
  <c r="J131" i="4"/>
  <c r="AN131" i="4"/>
  <c r="AC131" i="4"/>
  <c r="R131" i="4"/>
  <c r="G131" i="4"/>
  <c r="AB133" i="4"/>
  <c r="AM133" i="4"/>
  <c r="Q133" i="4"/>
  <c r="F133" i="4"/>
  <c r="AL132" i="4"/>
  <c r="AA132" i="4"/>
  <c r="P132" i="4"/>
  <c r="E132" i="4"/>
  <c r="AO134" i="4"/>
  <c r="AD134" i="4"/>
  <c r="S134" i="4"/>
  <c r="H134" i="4"/>
  <c r="Z131" i="4"/>
  <c r="AK131" i="4"/>
  <c r="O131" i="4"/>
  <c r="AK132" i="4"/>
  <c r="Z132" i="4"/>
  <c r="D132" i="4"/>
  <c r="O132" i="4"/>
  <c r="AQ134" i="4"/>
  <c r="AF134" i="4"/>
  <c r="J134" i="4"/>
  <c r="U134" i="4"/>
  <c r="G114" i="4"/>
  <c r="AN114" i="4"/>
  <c r="AC114" i="4"/>
  <c r="R114" i="4"/>
  <c r="AC134" i="4"/>
  <c r="AN134" i="4"/>
  <c r="R134" i="4"/>
  <c r="G134" i="4"/>
  <c r="E131" i="4"/>
  <c r="AL131" i="4"/>
  <c r="AA131" i="4"/>
  <c r="P131" i="4"/>
  <c r="T131" i="4"/>
  <c r="I131" i="4"/>
  <c r="AP131" i="4"/>
  <c r="AE131" i="4"/>
  <c r="J114" i="4"/>
  <c r="U114" i="4"/>
  <c r="AQ114" i="4"/>
  <c r="AF114" i="4"/>
  <c r="P122" i="4"/>
  <c r="AA122" i="4"/>
  <c r="E122" i="4"/>
  <c r="AL122" i="4"/>
  <c r="AK124" i="4"/>
  <c r="Z124" i="4"/>
  <c r="O124" i="4"/>
  <c r="D124" i="4"/>
  <c r="G113" i="4"/>
  <c r="R113" i="4"/>
  <c r="AN113" i="4"/>
  <c r="AC113" i="4"/>
  <c r="J117" i="4"/>
  <c r="AQ117" i="4"/>
  <c r="AF117" i="4"/>
  <c r="U117" i="4"/>
  <c r="H133" i="4"/>
  <c r="AO133" i="4"/>
  <c r="S133" i="4"/>
  <c r="AD133" i="4"/>
  <c r="AN133" i="4"/>
  <c r="AC133" i="4"/>
  <c r="R133" i="4"/>
  <c r="G133" i="4"/>
  <c r="AP135" i="4"/>
  <c r="AE135" i="4"/>
  <c r="T135" i="4"/>
  <c r="I135" i="4"/>
  <c r="Z135" i="4"/>
  <c r="O135" i="4"/>
  <c r="D135" i="4"/>
  <c r="AK135" i="4"/>
  <c r="AF133" i="4"/>
  <c r="U133" i="4"/>
  <c r="J133" i="4"/>
  <c r="AQ133" i="4"/>
  <c r="G132" i="4"/>
  <c r="R132" i="4"/>
  <c r="AN132" i="4"/>
  <c r="AC132" i="4"/>
  <c r="AO135" i="4"/>
  <c r="AD135" i="4"/>
  <c r="S135" i="4"/>
  <c r="H135" i="4"/>
  <c r="AQ122" i="4"/>
  <c r="J122" i="4"/>
  <c r="U122" i="4"/>
  <c r="AF122" i="4"/>
  <c r="E114" i="4"/>
  <c r="AL114" i="4"/>
  <c r="AA114" i="4"/>
  <c r="P114" i="4"/>
  <c r="AM132" i="4"/>
  <c r="AB132" i="4"/>
  <c r="Q132" i="4"/>
  <c r="F132" i="4"/>
  <c r="H113" i="4"/>
  <c r="S113" i="4"/>
  <c r="AO113" i="4"/>
  <c r="AD113" i="4"/>
  <c r="I134" i="4"/>
  <c r="AP134" i="4"/>
  <c r="AE134" i="4"/>
  <c r="T134" i="4"/>
  <c r="F114" i="4"/>
  <c r="AM114" i="4"/>
  <c r="Q114" i="4"/>
  <c r="AB114" i="4"/>
  <c r="O116" i="4"/>
  <c r="AK116" i="4"/>
  <c r="Z116" i="4"/>
  <c r="AL125" i="4"/>
  <c r="P125" i="4"/>
  <c r="AA125" i="4"/>
  <c r="E125" i="4"/>
  <c r="I115" i="4"/>
  <c r="AP115" i="4"/>
  <c r="AE115" i="4"/>
  <c r="T115" i="4"/>
  <c r="AP133" i="4"/>
  <c r="AE133" i="4"/>
  <c r="I133" i="4"/>
  <c r="T133" i="4"/>
  <c r="U132" i="4"/>
  <c r="J132" i="4"/>
  <c r="AQ132" i="4"/>
  <c r="AF132" i="4"/>
  <c r="AN135" i="4"/>
  <c r="AC135" i="4"/>
  <c r="G135" i="4"/>
  <c r="R135" i="4"/>
  <c r="I117" i="4"/>
  <c r="T117" i="4"/>
  <c r="AP117" i="4"/>
  <c r="AE117" i="4"/>
  <c r="P124" i="4"/>
  <c r="AA124" i="4"/>
  <c r="AL124" i="4"/>
  <c r="E124" i="4"/>
  <c r="P135" i="4"/>
  <c r="E135" i="4"/>
  <c r="AL135" i="4"/>
  <c r="AA135" i="4"/>
  <c r="D116" i="4"/>
  <c r="P1868" i="33" a="1"/>
  <c r="P2633" i="33" a="1"/>
  <c r="U16" i="40" a="1"/>
  <c r="H21" i="19" l="1"/>
  <c r="H23" i="19" s="1"/>
  <c r="G21" i="19"/>
  <c r="P2633" i="33"/>
  <c r="M2634" i="33"/>
  <c r="L2635" i="33"/>
  <c r="P1868" i="33"/>
  <c r="F54" i="7"/>
  <c r="X50" i="7"/>
  <c r="X48" i="7" s="1"/>
  <c r="AD50" i="7"/>
  <c r="AD49" i="7" s="1"/>
  <c r="Z50" i="7"/>
  <c r="Z49" i="7" s="1"/>
  <c r="AB48" i="7"/>
  <c r="AB49" i="7"/>
  <c r="AB47" i="7" s="1"/>
  <c r="U16" i="40"/>
  <c r="L30" i="10"/>
  <c r="Z127" i="4"/>
  <c r="O118" i="4"/>
  <c r="AK118" i="4"/>
  <c r="AK127" i="4"/>
  <c r="Z118" i="4"/>
  <c r="O127" i="4"/>
  <c r="O136" i="4"/>
  <c r="AK136" i="4"/>
  <c r="AK145" i="4"/>
  <c r="Z136" i="4"/>
  <c r="Z145" i="4"/>
  <c r="D127" i="4"/>
  <c r="D136" i="4"/>
  <c r="M35" i="4"/>
  <c r="D118" i="4"/>
  <c r="G144" i="4"/>
  <c r="R144" i="4"/>
  <c r="S144" i="4"/>
  <c r="H144" i="4"/>
  <c r="E144" i="4"/>
  <c r="P144" i="4"/>
  <c r="Z16" i="40" a="1"/>
  <c r="P2634" i="33" a="1"/>
  <c r="G23" i="19" l="1"/>
  <c r="F59" i="19"/>
  <c r="J21" i="19"/>
  <c r="J23" i="19" s="1"/>
  <c r="F58" i="19"/>
  <c r="P2634" i="33"/>
  <c r="M2635" i="33"/>
  <c r="L2636" i="33"/>
  <c r="R54" i="7"/>
  <c r="U54" i="7" s="1"/>
  <c r="AD48" i="7"/>
  <c r="AD47" i="7" s="1"/>
  <c r="X49" i="7"/>
  <c r="X47" i="7" s="1"/>
  <c r="Z48" i="7"/>
  <c r="Z47" i="7" s="1"/>
  <c r="Z16" i="40"/>
  <c r="N30" i="10"/>
  <c r="Q78" i="1"/>
  <c r="T338" i="1" s="1"/>
  <c r="D144" i="4"/>
  <c r="O144" i="4"/>
  <c r="F144" i="4"/>
  <c r="Q144" i="4"/>
  <c r="U144" i="4"/>
  <c r="J144" i="4"/>
  <c r="T144" i="4"/>
  <c r="I144" i="4"/>
  <c r="AE16" i="40" a="1"/>
  <c r="P2635" i="33" a="1"/>
  <c r="F56" i="19" l="1"/>
  <c r="F64" i="19" s="1"/>
  <c r="V54" i="7"/>
  <c r="P2635" i="33"/>
  <c r="M2636" i="33"/>
  <c r="L2637" i="33"/>
  <c r="T339" i="1"/>
  <c r="T340" i="1" s="1"/>
  <c r="S340" i="1" s="1"/>
  <c r="AE16" i="40"/>
  <c r="O145" i="4"/>
  <c r="E22" i="4" s="1"/>
  <c r="E21" i="4" s="1"/>
  <c r="D145" i="4"/>
  <c r="D22" i="4" s="1"/>
  <c r="D21" i="4" s="1"/>
  <c r="G22" i="4"/>
  <c r="G21" i="4" s="1"/>
  <c r="F22" i="4"/>
  <c r="F21" i="4" s="1"/>
  <c r="P2636" i="33" a="1"/>
  <c r="H78" i="1" l="1"/>
  <c r="N3" i="10"/>
  <c r="H26" i="10"/>
  <c r="P2636" i="33"/>
  <c r="L2638" i="33"/>
  <c r="M2637" i="33"/>
  <c r="N37" i="10"/>
  <c r="J37" i="10"/>
  <c r="H37" i="10"/>
  <c r="L37" i="10"/>
  <c r="Z19" i="40" a="1"/>
  <c r="U19" i="40" a="1"/>
  <c r="AE19" i="40" a="1"/>
  <c r="P19" i="40" a="1"/>
  <c r="P2637" i="33" a="1"/>
  <c r="P12" i="40" a="1"/>
  <c r="P12" i="40" l="1"/>
  <c r="H31" i="10"/>
  <c r="J26" i="10"/>
  <c r="L26" i="10" s="1"/>
  <c r="P2637" i="33"/>
  <c r="L2639" i="33"/>
  <c r="M2638" i="33"/>
  <c r="P19" i="40"/>
  <c r="U19" i="40"/>
  <c r="AE19" i="40"/>
  <c r="Z19" i="40"/>
  <c r="N36" i="10"/>
  <c r="G30" i="4"/>
  <c r="G22" i="27" s="1"/>
  <c r="P17" i="40" a="1"/>
  <c r="Z12" i="40" a="1"/>
  <c r="U12" i="40" a="1"/>
  <c r="P2638" i="33" a="1"/>
  <c r="AE18" i="40" a="1"/>
  <c r="J31" i="10" l="1"/>
  <c r="J9" i="10" s="1"/>
  <c r="U12" i="40"/>
  <c r="P17" i="40"/>
  <c r="D174" i="10"/>
  <c r="I26" i="10"/>
  <c r="I20" i="10"/>
  <c r="Q15" i="1"/>
  <c r="H9" i="10"/>
  <c r="I24" i="10"/>
  <c r="I17" i="10"/>
  <c r="I25" i="10"/>
  <c r="I29" i="10"/>
  <c r="I19" i="10"/>
  <c r="I28" i="10"/>
  <c r="I30" i="10"/>
  <c r="I21" i="10"/>
  <c r="I22" i="10"/>
  <c r="I27" i="10"/>
  <c r="I18" i="10"/>
  <c r="I23" i="10"/>
  <c r="Z12" i="40"/>
  <c r="N26" i="10"/>
  <c r="L31" i="10"/>
  <c r="P2638" i="33"/>
  <c r="M2639" i="33"/>
  <c r="L2640" i="33"/>
  <c r="AE18" i="40"/>
  <c r="T109" i="27"/>
  <c r="T125" i="27" s="1"/>
  <c r="G109" i="27"/>
  <c r="G143" i="27" s="1"/>
  <c r="AE12" i="40" a="1"/>
  <c r="Z17" i="40" a="1"/>
  <c r="U17" i="40" a="1"/>
  <c r="P2639" i="33" a="1"/>
  <c r="U17" i="40" l="1"/>
  <c r="K22" i="10"/>
  <c r="M22" i="10" s="1"/>
  <c r="O22" i="10" s="1"/>
  <c r="D165" i="10"/>
  <c r="K24" i="10"/>
  <c r="M24" i="10" s="1"/>
  <c r="O24" i="10" s="1"/>
  <c r="D167" i="10"/>
  <c r="K21" i="10"/>
  <c r="M21" i="10" s="1"/>
  <c r="O21" i="10" s="1"/>
  <c r="D164" i="10"/>
  <c r="K30" i="10"/>
  <c r="M30" i="10" s="1"/>
  <c r="O30" i="10" s="1"/>
  <c r="D173" i="10"/>
  <c r="K27" i="10"/>
  <c r="M27" i="10" s="1"/>
  <c r="O27" i="10" s="1"/>
  <c r="D170" i="10"/>
  <c r="K20" i="10"/>
  <c r="M20" i="10" s="1"/>
  <c r="O20" i="10" s="1"/>
  <c r="D163" i="10"/>
  <c r="D160" i="10"/>
  <c r="K17" i="10"/>
  <c r="M17" i="10" s="1"/>
  <c r="O17" i="10" s="1"/>
  <c r="K28" i="10"/>
  <c r="M28" i="10" s="1"/>
  <c r="O28" i="10" s="1"/>
  <c r="D171" i="10"/>
  <c r="D162" i="10"/>
  <c r="K19" i="10"/>
  <c r="M19" i="10" s="1"/>
  <c r="O19" i="10" s="1"/>
  <c r="K26" i="10"/>
  <c r="M26" i="10" s="1"/>
  <c r="O26" i="10" s="1"/>
  <c r="D169" i="10"/>
  <c r="D166" i="10"/>
  <c r="K23" i="10"/>
  <c r="M23" i="10" s="1"/>
  <c r="O23" i="10" s="1"/>
  <c r="D172" i="10"/>
  <c r="K29" i="10"/>
  <c r="M29" i="10" s="1"/>
  <c r="O29" i="10" s="1"/>
  <c r="D161" i="10"/>
  <c r="K18" i="10"/>
  <c r="M18" i="10" s="1"/>
  <c r="O18" i="10" s="1"/>
  <c r="D168" i="10"/>
  <c r="K25" i="10"/>
  <c r="M25" i="10" s="1"/>
  <c r="O25" i="10" s="1"/>
  <c r="Z17" i="40"/>
  <c r="AE12" i="40"/>
  <c r="L9" i="10"/>
  <c r="N31" i="10"/>
  <c r="P2639" i="33"/>
  <c r="L2641" i="33"/>
  <c r="M2640" i="33"/>
  <c r="H852" i="1"/>
  <c r="I852" i="1" s="1"/>
  <c r="P2640" i="33" a="1"/>
  <c r="AE17" i="40" a="1"/>
  <c r="AE17" i="40" l="1"/>
  <c r="N9" i="10"/>
  <c r="P2640" i="33"/>
  <c r="M2641" i="33"/>
  <c r="L2642" i="33"/>
  <c r="P2641" i="33" a="1"/>
  <c r="P2641" i="33" l="1"/>
  <c r="L2643" i="33"/>
  <c r="M2642" i="33"/>
  <c r="H836" i="1"/>
  <c r="I54" i="7"/>
  <c r="W50" i="7" s="1"/>
  <c r="M54" i="7"/>
  <c r="AA50" i="7" s="1"/>
  <c r="O54" i="7"/>
  <c r="AC50" i="7" s="1"/>
  <c r="K54" i="7"/>
  <c r="Y50" i="7" s="1"/>
  <c r="P2642" i="33" a="1"/>
  <c r="P2642" i="33" l="1"/>
  <c r="M2643" i="33"/>
  <c r="L2644" i="33"/>
  <c r="Y48" i="7"/>
  <c r="Y49" i="7"/>
  <c r="Y47" i="7" s="1"/>
  <c r="AC49" i="7"/>
  <c r="AC48" i="7"/>
  <c r="AA48" i="7"/>
  <c r="AA49" i="7"/>
  <c r="W48" i="7"/>
  <c r="W49" i="7"/>
  <c r="W47" i="7" s="1"/>
  <c r="AB54" i="7"/>
  <c r="AB51" i="7" s="1"/>
  <c r="Z54" i="7"/>
  <c r="Z51" i="7" s="1"/>
  <c r="Y54" i="7"/>
  <c r="Y51" i="7" s="1"/>
  <c r="AC54" i="7"/>
  <c r="AC51" i="7" s="1"/>
  <c r="AA54" i="7"/>
  <c r="AA51" i="7" s="1"/>
  <c r="W54" i="7"/>
  <c r="W51" i="7" s="1"/>
  <c r="X54" i="7"/>
  <c r="X51" i="7" s="1"/>
  <c r="AD54" i="7"/>
  <c r="AD51" i="7" s="1"/>
  <c r="P2643" i="33" a="1"/>
  <c r="AC47" i="7" l="1"/>
  <c r="AC46" i="7" s="1"/>
  <c r="AA47" i="7"/>
  <c r="AA46" i="7" s="1"/>
  <c r="P2643" i="33"/>
  <c r="M2644" i="33"/>
  <c r="L2645" i="33"/>
  <c r="W46" i="7"/>
  <c r="Y46" i="7"/>
  <c r="P2644" i="33" a="1"/>
  <c r="P2644" i="33" l="1"/>
  <c r="M2645" i="33"/>
  <c r="L2646" i="33"/>
  <c r="F13" i="4"/>
  <c r="F5" i="4" s="1"/>
  <c r="F7" i="4" s="1"/>
  <c r="D13" i="4"/>
  <c r="D15" i="4" s="1"/>
  <c r="D49" i="27" s="1"/>
  <c r="D53" i="27" s="1"/>
  <c r="N47" i="10"/>
  <c r="N44" i="10" s="1"/>
  <c r="E13" i="4"/>
  <c r="E5" i="4" s="1"/>
  <c r="E7" i="4" s="1"/>
  <c r="AE27" i="40" a="1"/>
  <c r="AE29" i="40" a="1"/>
  <c r="P2645" i="33" a="1"/>
  <c r="P2645" i="33" l="1"/>
  <c r="L2647" i="33"/>
  <c r="M2646" i="33"/>
  <c r="AE27" i="40"/>
  <c r="AE29" i="40"/>
  <c r="L47" i="10"/>
  <c r="L44" i="10" s="1"/>
  <c r="F15" i="4"/>
  <c r="F49" i="27" s="1"/>
  <c r="F53" i="27" s="1"/>
  <c r="D5" i="4"/>
  <c r="D7" i="4" s="1"/>
  <c r="H47" i="10"/>
  <c r="H44" i="10" s="1"/>
  <c r="J47" i="10"/>
  <c r="J44" i="10" s="1"/>
  <c r="E15" i="4"/>
  <c r="E49" i="27" s="1"/>
  <c r="E53" i="27" s="1"/>
  <c r="G13" i="4"/>
  <c r="G5" i="4" s="1"/>
  <c r="G7" i="4" s="1"/>
  <c r="D55" i="27" a="1"/>
  <c r="D55" i="27" s="1"/>
  <c r="D21" i="27" s="1"/>
  <c r="D108" i="27" s="1"/>
  <c r="P2646" i="33" a="1"/>
  <c r="Z29" i="40" a="1"/>
  <c r="U29" i="40" a="1"/>
  <c r="P27" i="40" a="1"/>
  <c r="Z27" i="40" a="1"/>
  <c r="P29" i="40" a="1"/>
  <c r="AE26" i="40" a="1"/>
  <c r="U27" i="40" a="1"/>
  <c r="AE26" i="40" l="1"/>
  <c r="P2646" i="33"/>
  <c r="M2647" i="33"/>
  <c r="L2648" i="33"/>
  <c r="Z27" i="40"/>
  <c r="U27" i="40"/>
  <c r="P27" i="40"/>
  <c r="U29" i="40"/>
  <c r="P29" i="40"/>
  <c r="Z29" i="40"/>
  <c r="F55" i="27" a="1"/>
  <c r="F55" i="27" s="1"/>
  <c r="F21" i="27" s="1"/>
  <c r="E55" i="27" a="1"/>
  <c r="E55" i="27" s="1"/>
  <c r="E21" i="27" s="1"/>
  <c r="G15" i="4"/>
  <c r="G49" i="27" s="1"/>
  <c r="G55" i="27" s="1" a="1"/>
  <c r="G55" i="27" s="1"/>
  <c r="G21" i="27" s="1"/>
  <c r="D54" i="27"/>
  <c r="H136" i="10" s="1"/>
  <c r="Q108" i="27"/>
  <c r="P109" i="40" a="1"/>
  <c r="P26" i="40" a="1"/>
  <c r="P2647" i="33" a="1"/>
  <c r="U26" i="40" a="1"/>
  <c r="Z26" i="40" a="1"/>
  <c r="Z26" i="40" l="1"/>
  <c r="P2647" i="33"/>
  <c r="M2648" i="33"/>
  <c r="L2649" i="33"/>
  <c r="P26" i="40"/>
  <c r="U26" i="40"/>
  <c r="P109" i="40"/>
  <c r="G30" i="27" a="1"/>
  <c r="G30" i="27" s="1"/>
  <c r="T108" i="27"/>
  <c r="T120" i="27" s="1" a="1"/>
  <c r="T120" i="27" s="1"/>
  <c r="R108" i="27"/>
  <c r="R124" i="27" s="1"/>
  <c r="F108" i="27"/>
  <c r="F142" i="27" s="1"/>
  <c r="S108" i="27"/>
  <c r="F54" i="27"/>
  <c r="L136" i="10" s="1"/>
  <c r="E54" i="27"/>
  <c r="J136" i="10" s="1"/>
  <c r="E108" i="27"/>
  <c r="E142" i="27" s="1"/>
  <c r="G53" i="27"/>
  <c r="G54" i="27" s="1"/>
  <c r="N136" i="10" s="1"/>
  <c r="G28" i="27"/>
  <c r="G108" i="27"/>
  <c r="G118" i="27" s="1" a="1"/>
  <c r="G118" i="27" s="1"/>
  <c r="D142" i="27"/>
  <c r="Q124" i="27"/>
  <c r="P2648" i="33" a="1"/>
  <c r="U105" i="40" a="1"/>
  <c r="Z105" i="40" a="1"/>
  <c r="AE105" i="40" a="1"/>
  <c r="P2648" i="33" l="1"/>
  <c r="L2650" i="33"/>
  <c r="M2649" i="33"/>
  <c r="AE105" i="40"/>
  <c r="Z105" i="40"/>
  <c r="U105" i="40"/>
  <c r="T140" i="27"/>
  <c r="G151" i="27"/>
  <c r="T124" i="27"/>
  <c r="T137" i="27" s="1" a="1"/>
  <c r="T137" i="27" s="1"/>
  <c r="S124" i="27"/>
  <c r="G142" i="27"/>
  <c r="G148" i="27" s="1" a="1"/>
  <c r="G148" i="27" s="1"/>
  <c r="P2649" i="33" a="1"/>
  <c r="P2649" i="33" l="1"/>
  <c r="M2650" i="33"/>
  <c r="L2651" i="33"/>
  <c r="T141" i="27"/>
  <c r="T142" i="27" s="1"/>
  <c r="G152" i="27"/>
  <c r="G153" i="27" s="1"/>
  <c r="P2650" i="33" a="1"/>
  <c r="P2650" i="33" l="1"/>
  <c r="L2652" i="33"/>
  <c r="M2651" i="33"/>
  <c r="G31" i="27"/>
  <c r="G29" i="27" s="1"/>
  <c r="P2651" i="33" a="1"/>
  <c r="P2651" i="33" l="1"/>
  <c r="M2652" i="33"/>
  <c r="L2653" i="33"/>
  <c r="G32" i="27"/>
  <c r="G33" i="27" s="1"/>
  <c r="P2652" i="33" a="1"/>
  <c r="U32" i="40" a="1"/>
  <c r="P2652" i="33" l="1"/>
  <c r="M2653" i="33"/>
  <c r="L2654" i="33"/>
  <c r="N131" i="10"/>
  <c r="G34" i="27"/>
  <c r="G35" i="27" s="1"/>
  <c r="N141" i="10" s="1"/>
  <c r="U32" i="40"/>
  <c r="J51" i="10"/>
  <c r="N51" i="10"/>
  <c r="AE77" i="40" a="1"/>
  <c r="U30" i="40" a="1"/>
  <c r="AE75" i="40" a="1"/>
  <c r="Z77" i="40" a="1"/>
  <c r="Z75" i="40" a="1"/>
  <c r="U31" i="40" a="1"/>
  <c r="U78" i="40" a="1"/>
  <c r="P2653" i="33" a="1"/>
  <c r="U77" i="40" a="1"/>
  <c r="Z78" i="40" a="1"/>
  <c r="Z74" i="40" a="1"/>
  <c r="U74" i="40" a="1"/>
  <c r="Z76" i="40" a="1"/>
  <c r="AE32" i="40" a="1"/>
  <c r="U75" i="40" a="1"/>
  <c r="AE76" i="40" a="1"/>
  <c r="AE78" i="40" a="1"/>
  <c r="AE110" i="40" a="1"/>
  <c r="U76" i="40" a="1"/>
  <c r="AE74" i="40" a="1"/>
  <c r="Z32" i="40" a="1"/>
  <c r="AE30" i="40" a="1"/>
  <c r="P2653" i="33" l="1"/>
  <c r="L2655" i="33"/>
  <c r="M2654" i="33"/>
  <c r="AE30" i="40"/>
  <c r="U30" i="40"/>
  <c r="N60" i="10"/>
  <c r="U78" i="40"/>
  <c r="Z78" i="40"/>
  <c r="AE78" i="40"/>
  <c r="Z77" i="40"/>
  <c r="U77" i="40"/>
  <c r="AE77" i="40"/>
  <c r="U76" i="40"/>
  <c r="Z76" i="40"/>
  <c r="AE76" i="40"/>
  <c r="U75" i="40"/>
  <c r="Z75" i="40"/>
  <c r="AE75" i="40"/>
  <c r="N151" i="10"/>
  <c r="AE110" i="40"/>
  <c r="N143" i="10"/>
  <c r="U74" i="40"/>
  <c r="AE74" i="40"/>
  <c r="AE32" i="40"/>
  <c r="Z74" i="40"/>
  <c r="Z32" i="40"/>
  <c r="L51" i="10"/>
  <c r="U31" i="40"/>
  <c r="Z31" i="40" a="1"/>
  <c r="AE104" i="40" a="1"/>
  <c r="AE111" i="40" a="1"/>
  <c r="AE31" i="40" a="1"/>
  <c r="P2654" i="33" a="1"/>
  <c r="Z30" i="40" a="1"/>
  <c r="AE38" i="40" a="1"/>
  <c r="P2654" i="33" l="1"/>
  <c r="L2656" i="33"/>
  <c r="M2655" i="33"/>
  <c r="N144" i="10"/>
  <c r="Z30" i="40"/>
  <c r="AE38" i="40"/>
  <c r="N150" i="10"/>
  <c r="N149" i="10" s="1"/>
  <c r="AE111" i="40"/>
  <c r="AE31" i="40"/>
  <c r="AE104" i="40"/>
  <c r="Z31" i="40"/>
  <c r="AE39" i="40" a="1"/>
  <c r="P2655" i="33" a="1"/>
  <c r="AE112" i="40" a="1"/>
  <c r="P2655" i="33" l="1"/>
  <c r="M2656" i="33"/>
  <c r="L2657" i="33"/>
  <c r="AE112" i="40"/>
  <c r="N145" i="10"/>
  <c r="O145" i="10" s="1"/>
  <c r="O129" i="10"/>
  <c r="O128" i="10"/>
  <c r="O89" i="10"/>
  <c r="O121" i="10"/>
  <c r="O120" i="10"/>
  <c r="O93" i="10"/>
  <c r="O90" i="10"/>
  <c r="O155" i="10"/>
  <c r="O56" i="10"/>
  <c r="O137" i="10"/>
  <c r="O101" i="10"/>
  <c r="O107" i="10"/>
  <c r="O127" i="10"/>
  <c r="O140" i="10"/>
  <c r="O144" i="10"/>
  <c r="O45" i="10"/>
  <c r="O58" i="10"/>
  <c r="O44" i="10"/>
  <c r="O41" i="10"/>
  <c r="O81" i="10"/>
  <c r="O85" i="10"/>
  <c r="O106" i="10"/>
  <c r="O55" i="10"/>
  <c r="O122" i="10"/>
  <c r="O70" i="10"/>
  <c r="O95" i="10"/>
  <c r="O38" i="10"/>
  <c r="O150" i="10"/>
  <c r="O42" i="10"/>
  <c r="O97" i="10"/>
  <c r="O65" i="10"/>
  <c r="O69" i="10"/>
  <c r="O47" i="10"/>
  <c r="O113" i="10"/>
  <c r="O36" i="10"/>
  <c r="O117" i="10"/>
  <c r="O77" i="10"/>
  <c r="O109" i="10"/>
  <c r="O115" i="10"/>
  <c r="O91" i="10"/>
  <c r="O87" i="10"/>
  <c r="O53" i="10"/>
  <c r="O96" i="10"/>
  <c r="O71" i="10"/>
  <c r="O104" i="10"/>
  <c r="O74" i="10"/>
  <c r="O98" i="10"/>
  <c r="O82" i="10"/>
  <c r="O67" i="10"/>
  <c r="O124" i="10"/>
  <c r="O88" i="10"/>
  <c r="O126" i="10"/>
  <c r="O118" i="10"/>
  <c r="O52" i="10"/>
  <c r="O57" i="10"/>
  <c r="O79" i="10"/>
  <c r="O105" i="10"/>
  <c r="O103" i="10"/>
  <c r="O114" i="10"/>
  <c r="O83" i="10"/>
  <c r="O110" i="10"/>
  <c r="O86" i="10"/>
  <c r="O78" i="10"/>
  <c r="O66" i="10"/>
  <c r="O112" i="10"/>
  <c r="O49" i="10"/>
  <c r="O40" i="10"/>
  <c r="O136" i="10"/>
  <c r="O141" i="10"/>
  <c r="O68" i="10"/>
  <c r="O116" i="10"/>
  <c r="O100" i="10"/>
  <c r="O108" i="10"/>
  <c r="O131" i="10"/>
  <c r="O46" i="10"/>
  <c r="O51" i="10"/>
  <c r="O154" i="10"/>
  <c r="O138" i="10"/>
  <c r="O75" i="10"/>
  <c r="O60" i="10"/>
  <c r="O153" i="10"/>
  <c r="O76" i="10"/>
  <c r="O80" i="10"/>
  <c r="O43" i="10"/>
  <c r="O102" i="10"/>
  <c r="O92" i="10"/>
  <c r="O111" i="10"/>
  <c r="O54" i="10"/>
  <c r="O151" i="10"/>
  <c r="O73" i="10"/>
  <c r="O143" i="10"/>
  <c r="O123" i="10"/>
  <c r="O94" i="10"/>
  <c r="O139" i="10"/>
  <c r="O84" i="10"/>
  <c r="O119" i="10"/>
  <c r="O72" i="10"/>
  <c r="O39" i="10"/>
  <c r="O125" i="10"/>
  <c r="O37" i="10"/>
  <c r="O149" i="10"/>
  <c r="AE39" i="40"/>
  <c r="AE114" i="40" a="1"/>
  <c r="AE113" i="40" a="1"/>
  <c r="P2656" i="33" a="1"/>
  <c r="P2656" i="33" l="1"/>
  <c r="M2657" i="33"/>
  <c r="L2658" i="33"/>
  <c r="AE113" i="40"/>
  <c r="N152" i="10"/>
  <c r="AE114" i="40"/>
  <c r="P2657" i="33" a="1"/>
  <c r="P2657" i="33" l="1"/>
  <c r="M2658" i="33"/>
  <c r="L2659" i="33"/>
  <c r="N156" i="10"/>
  <c r="O152" i="10"/>
  <c r="P2658" i="33" a="1"/>
  <c r="AE118" i="40" a="1"/>
  <c r="P2658" i="33" l="1"/>
  <c r="M2659" i="33"/>
  <c r="L2660" i="33"/>
  <c r="AE118" i="40"/>
  <c r="N10" i="10"/>
  <c r="O156" i="10"/>
  <c r="D131" i="27"/>
  <c r="H137" i="10"/>
  <c r="D145" i="27"/>
  <c r="P2659" i="33" a="1"/>
  <c r="P2659" i="33" l="1"/>
  <c r="L2661" i="33"/>
  <c r="M2660" i="33"/>
  <c r="N11" i="10"/>
  <c r="D110" i="27"/>
  <c r="P2660" i="33" a="1"/>
  <c r="AE119" i="40" a="1"/>
  <c r="P2660" i="33" l="1"/>
  <c r="M2661" i="33"/>
  <c r="L2662" i="33"/>
  <c r="AE119" i="40"/>
  <c r="N12" i="10"/>
  <c r="P2661" i="33" a="1"/>
  <c r="AE120" i="40" a="1"/>
  <c r="P2661" i="33" l="1"/>
  <c r="L2663" i="33"/>
  <c r="M2662" i="33"/>
  <c r="AE120" i="40"/>
  <c r="P2662" i="33" a="1"/>
  <c r="P32" i="40" a="1"/>
  <c r="P35" i="40" a="1"/>
  <c r="P2662" i="33" l="1"/>
  <c r="M2663" i="33"/>
  <c r="L2664" i="33"/>
  <c r="P32" i="40"/>
  <c r="P35" i="40"/>
  <c r="H51" i="10"/>
  <c r="P78" i="40" a="1"/>
  <c r="P76" i="40" a="1"/>
  <c r="P105" i="40" a="1"/>
  <c r="P108" i="40" a="1"/>
  <c r="P75" i="40" a="1"/>
  <c r="P74" i="40" a="1"/>
  <c r="P106" i="40" a="1"/>
  <c r="P77" i="40" a="1"/>
  <c r="P31" i="40" a="1"/>
  <c r="P33" i="40" a="1"/>
  <c r="P34" i="40" a="1"/>
  <c r="P2663" i="33" a="1"/>
  <c r="P30" i="40" a="1"/>
  <c r="P107" i="40" a="1"/>
  <c r="P2663" i="33" l="1"/>
  <c r="M2664" i="33"/>
  <c r="L2665" i="33"/>
  <c r="P30" i="40"/>
  <c r="P78" i="40"/>
  <c r="P77" i="40"/>
  <c r="P76" i="40"/>
  <c r="P75" i="40"/>
  <c r="P74" i="40"/>
  <c r="P105" i="40"/>
  <c r="P106" i="40"/>
  <c r="P107" i="40"/>
  <c r="P108" i="40"/>
  <c r="P31" i="40"/>
  <c r="P33" i="40"/>
  <c r="P34" i="40"/>
  <c r="P2664" i="33" a="1"/>
  <c r="P115" i="40" a="1"/>
  <c r="P2664" i="33" l="1"/>
  <c r="M2665" i="33"/>
  <c r="L2666" i="33"/>
  <c r="P115" i="40"/>
  <c r="P117" i="40" a="1"/>
  <c r="P2665" i="33" a="1"/>
  <c r="P116" i="40" a="1"/>
  <c r="P2665" i="33" l="1"/>
  <c r="M2666" i="33"/>
  <c r="L2667" i="33"/>
  <c r="P116" i="40"/>
  <c r="P117" i="40"/>
  <c r="P2666" i="33" a="1"/>
  <c r="P2666" i="33" l="1"/>
  <c r="M2667" i="33"/>
  <c r="L2668" i="33"/>
  <c r="P2667" i="33" a="1"/>
  <c r="P2667" i="33" l="1"/>
  <c r="M2668" i="33"/>
  <c r="L2669" i="33"/>
  <c r="P2668" i="33" a="1"/>
  <c r="P2668" i="33" l="1"/>
  <c r="L2670" i="33"/>
  <c r="M2669" i="33"/>
  <c r="P2669" i="33" a="1"/>
  <c r="P2669" i="33" l="1"/>
  <c r="L2671" i="33"/>
  <c r="M2670" i="33"/>
  <c r="P2670" i="33" a="1"/>
  <c r="P2670" i="33" l="1"/>
  <c r="M2671" i="33"/>
  <c r="L2672" i="33"/>
  <c r="P2671" i="33" a="1"/>
  <c r="P2671" i="33" l="1"/>
  <c r="M2672" i="33"/>
  <c r="L2673" i="33"/>
  <c r="P2672" i="33" a="1"/>
  <c r="P2672" i="33" l="1"/>
  <c r="M2673" i="33"/>
  <c r="L2674" i="33"/>
  <c r="P2673" i="33" a="1"/>
  <c r="P2673" i="33" l="1"/>
  <c r="L2675" i="33"/>
  <c r="M2674" i="33"/>
  <c r="P2674" i="33" a="1"/>
  <c r="P2674" i="33" l="1"/>
  <c r="M2675" i="33"/>
  <c r="L2676" i="33"/>
  <c r="P2675" i="33" a="1"/>
  <c r="P2675" i="33" l="1"/>
  <c r="M2676" i="33"/>
  <c r="L2677" i="33"/>
  <c r="P2676" i="33" a="1"/>
  <c r="P2676" i="33" l="1"/>
  <c r="M2677" i="33"/>
  <c r="L2678" i="33"/>
  <c r="P2677" i="33" a="1"/>
  <c r="P2677" i="33" l="1"/>
  <c r="L2679" i="33"/>
  <c r="M2678" i="33"/>
  <c r="P2678" i="33" a="1"/>
  <c r="P2678" i="33" l="1"/>
  <c r="M2679" i="33"/>
  <c r="L2680" i="33"/>
  <c r="P2679" i="33" a="1"/>
  <c r="P2679" i="33" l="1"/>
  <c r="M2680" i="33"/>
  <c r="L2681" i="33"/>
  <c r="P2680" i="33" a="1"/>
  <c r="P2680" i="33" l="1"/>
  <c r="L2682" i="33"/>
  <c r="M2681" i="33"/>
  <c r="P2681" i="33" a="1"/>
  <c r="P2681" i="33" l="1"/>
  <c r="M2682" i="33"/>
  <c r="L2683" i="33"/>
  <c r="P2682" i="33" a="1"/>
  <c r="P2682" i="33" l="1"/>
  <c r="L2684" i="33"/>
  <c r="M2683" i="33"/>
  <c r="P2683" i="33" a="1"/>
  <c r="P2683" i="33" l="1"/>
  <c r="M2684" i="33"/>
  <c r="L2685" i="33"/>
  <c r="P2684" i="33" a="1"/>
  <c r="P2684" i="33" l="1"/>
  <c r="M2685" i="33"/>
  <c r="L2686" i="33"/>
  <c r="P2685" i="33" a="1"/>
  <c r="P2685" i="33" l="1"/>
  <c r="L2687" i="33"/>
  <c r="M2686" i="33"/>
  <c r="P2686" i="33" a="1"/>
  <c r="P2686" i="33" l="1"/>
  <c r="L2688" i="33"/>
  <c r="M2687" i="33"/>
  <c r="P2687" i="33" a="1"/>
  <c r="P2687" i="33" l="1"/>
  <c r="M2688" i="33"/>
  <c r="L2689" i="33"/>
  <c r="P2688" i="33" a="1"/>
  <c r="P2688" i="33" l="1"/>
  <c r="M2689" i="33"/>
  <c r="L2690" i="33"/>
  <c r="P2689" i="33" a="1"/>
  <c r="P2689" i="33" l="1"/>
  <c r="M2690" i="33"/>
  <c r="L2691" i="33"/>
  <c r="P2690" i="33" a="1"/>
  <c r="P2690" i="33" l="1"/>
  <c r="M2691" i="33"/>
  <c r="L2692" i="33"/>
  <c r="P2691" i="33" a="1"/>
  <c r="P2691" i="33" l="1"/>
  <c r="L2693" i="33"/>
  <c r="M2692" i="33"/>
  <c r="P2692" i="33" a="1"/>
  <c r="P2692" i="33" l="1"/>
  <c r="M2693" i="33"/>
  <c r="L2694" i="33"/>
  <c r="P2693" i="33" a="1"/>
  <c r="P2693" i="33" l="1"/>
  <c r="L2695" i="33"/>
  <c r="M2694" i="33"/>
  <c r="P2694" i="33" a="1"/>
  <c r="P2694" i="33" l="1"/>
  <c r="M2695" i="33"/>
  <c r="L2696" i="33"/>
  <c r="P2695" i="33" a="1"/>
  <c r="P2695" i="33" l="1"/>
  <c r="M2696" i="33"/>
  <c r="L2697" i="33"/>
  <c r="P2696" i="33" a="1"/>
  <c r="P2696" i="33" l="1"/>
  <c r="L2698" i="33"/>
  <c r="M2697" i="33"/>
  <c r="P2697" i="33" a="1"/>
  <c r="P2697" i="33" l="1"/>
  <c r="M2698" i="33"/>
  <c r="L2699" i="33"/>
  <c r="P2698" i="33" a="1"/>
  <c r="P2698" i="33" l="1"/>
  <c r="M2699" i="33"/>
  <c r="L2700" i="33"/>
  <c r="P2699" i="33" a="1"/>
  <c r="P2699" i="33" l="1"/>
  <c r="M2700" i="33"/>
  <c r="L2701" i="33"/>
  <c r="P2700" i="33" a="1"/>
  <c r="P2700" i="33" l="1"/>
  <c r="L2702" i="33"/>
  <c r="M2701" i="33"/>
  <c r="P2701" i="33" a="1"/>
  <c r="P2701" i="33" l="1"/>
  <c r="L2703" i="33"/>
  <c r="M2702" i="33"/>
  <c r="P2702" i="33" a="1"/>
  <c r="P2702" i="33" l="1"/>
  <c r="M2703" i="33"/>
  <c r="L2704" i="33"/>
  <c r="P2703" i="33" a="1"/>
  <c r="P2703" i="33" l="1"/>
  <c r="M2704" i="33"/>
  <c r="L2705" i="33"/>
  <c r="P2704" i="33" a="1"/>
  <c r="P2704" i="33" l="1"/>
  <c r="M2705" i="33"/>
  <c r="L2706" i="33"/>
  <c r="P2705" i="33" a="1"/>
  <c r="P2705" i="33" l="1"/>
  <c r="L2707" i="33"/>
  <c r="M2706" i="33"/>
  <c r="P2706" i="33" a="1"/>
  <c r="P2706" i="33" l="1"/>
  <c r="L2708" i="33"/>
  <c r="M2707" i="33"/>
  <c r="P2707" i="33" a="1"/>
  <c r="P2707" i="33" l="1"/>
  <c r="L2709" i="33"/>
  <c r="M2708" i="33"/>
  <c r="P2708" i="33" a="1"/>
  <c r="P2708" i="33" l="1"/>
  <c r="L2710" i="33"/>
  <c r="M2709" i="33"/>
  <c r="P2709" i="33" a="1"/>
  <c r="P2709" i="33" l="1"/>
  <c r="L2711" i="33"/>
  <c r="M2710" i="33"/>
  <c r="P2710" i="33" a="1"/>
  <c r="P2710" i="33" l="1"/>
  <c r="L2712" i="33"/>
  <c r="M2711" i="33"/>
  <c r="P2711" i="33" a="1"/>
  <c r="P2711" i="33" l="1"/>
  <c r="L2713" i="33"/>
  <c r="M2712" i="33"/>
  <c r="P2712" i="33" a="1"/>
  <c r="P2712" i="33" l="1"/>
  <c r="M2713" i="33"/>
  <c r="L2714" i="33"/>
  <c r="P2713" i="33" a="1"/>
  <c r="P2713" i="33" l="1"/>
  <c r="M2714" i="33"/>
  <c r="L2715" i="33"/>
  <c r="P2714" i="33" a="1"/>
  <c r="P2714" i="33" l="1"/>
  <c r="L2716" i="33"/>
  <c r="M2715" i="33"/>
  <c r="P2715" i="33" a="1"/>
  <c r="P2715" i="33" l="1"/>
  <c r="L2717" i="33"/>
  <c r="M2716" i="33"/>
  <c r="P2716" i="33" a="1"/>
  <c r="P2716" i="33" l="1"/>
  <c r="M2717" i="33"/>
  <c r="L2718" i="33"/>
  <c r="P2717" i="33" a="1"/>
  <c r="P2717" i="33" l="1"/>
  <c r="M2718" i="33"/>
  <c r="L2719" i="33"/>
  <c r="P2718" i="33" a="1"/>
  <c r="P2718" i="33" l="1"/>
  <c r="M2719" i="33"/>
  <c r="L2720" i="33"/>
  <c r="P2719" i="33" a="1"/>
  <c r="P2719" i="33" l="1"/>
  <c r="M2720" i="33"/>
  <c r="L2721" i="33"/>
  <c r="P2720" i="33" a="1"/>
  <c r="P2720" i="33" l="1"/>
  <c r="M2721" i="33"/>
  <c r="L2722" i="33"/>
  <c r="P2721" i="33" a="1"/>
  <c r="P2721" i="33" l="1"/>
  <c r="L2723" i="33"/>
  <c r="M2722" i="33"/>
  <c r="P2722" i="33" a="1"/>
  <c r="P2722" i="33" l="1"/>
  <c r="L2724" i="33"/>
  <c r="M2723" i="33"/>
  <c r="P2723" i="33" a="1"/>
  <c r="P2723" i="33" l="1"/>
  <c r="L2725" i="33"/>
  <c r="M2724" i="33"/>
  <c r="P2724" i="33" a="1"/>
  <c r="P2724" i="33" l="1"/>
  <c r="M2725" i="33"/>
  <c r="L2726" i="33"/>
  <c r="P2725" i="33" a="1"/>
  <c r="P2725" i="33" l="1"/>
  <c r="L2727" i="33"/>
  <c r="M2726" i="33"/>
  <c r="P2726" i="33" a="1"/>
  <c r="P2726" i="33" l="1"/>
  <c r="M2727" i="33"/>
  <c r="L2728" i="33"/>
  <c r="P2727" i="33" a="1"/>
  <c r="P2727" i="33" l="1"/>
  <c r="M2728" i="33"/>
  <c r="L2729" i="33"/>
  <c r="P2728" i="33" a="1"/>
  <c r="P2728" i="33" l="1"/>
  <c r="L2730" i="33"/>
  <c r="M2729" i="33"/>
  <c r="P2729" i="33" a="1"/>
  <c r="P2729" i="33" l="1"/>
  <c r="L2731" i="33"/>
  <c r="M2730" i="33"/>
  <c r="P2730" i="33" a="1"/>
  <c r="P2730" i="33" l="1"/>
  <c r="L2732" i="33"/>
  <c r="M2731" i="33"/>
  <c r="P2731" i="33" a="1"/>
  <c r="P2731" i="33" l="1"/>
  <c r="M2732" i="33"/>
  <c r="L2733" i="33"/>
  <c r="P2732" i="33" a="1"/>
  <c r="P2732" i="33" l="1"/>
  <c r="M2733" i="33"/>
  <c r="L2734" i="33"/>
  <c r="P2733" i="33" a="1"/>
  <c r="P2733" i="33" l="1"/>
  <c r="M2734" i="33"/>
  <c r="L2735" i="33"/>
  <c r="P2734" i="33" a="1"/>
  <c r="P2734" i="33" l="1"/>
  <c r="M2735" i="33"/>
  <c r="L2736" i="33"/>
  <c r="P2735" i="33" a="1"/>
  <c r="P2735" i="33" l="1"/>
  <c r="M2736" i="33"/>
  <c r="L2737" i="33"/>
  <c r="P2736" i="33" a="1"/>
  <c r="P2736" i="33" l="1"/>
  <c r="L2738" i="33"/>
  <c r="M2737" i="33"/>
  <c r="P2737" i="33" a="1"/>
  <c r="P2737" i="33" l="1"/>
  <c r="M2738" i="33"/>
  <c r="L2739" i="33"/>
  <c r="P2738" i="33" a="1"/>
  <c r="P2738" i="33" l="1"/>
  <c r="M2739" i="33"/>
  <c r="L2740" i="33"/>
  <c r="P2739" i="33" a="1"/>
  <c r="P2739" i="33" l="1"/>
  <c r="M2740" i="33"/>
  <c r="L2741" i="33"/>
  <c r="P2740" i="33" a="1"/>
  <c r="P2740" i="33" l="1"/>
  <c r="L2742" i="33"/>
  <c r="M2741" i="33"/>
  <c r="P2741" i="33" a="1"/>
  <c r="P2741" i="33" l="1"/>
  <c r="L2743" i="33"/>
  <c r="M2742" i="33"/>
  <c r="P2742" i="33" a="1"/>
  <c r="P2742" i="33" l="1"/>
  <c r="M2743" i="33"/>
  <c r="L2744" i="33"/>
  <c r="P2743" i="33" a="1"/>
  <c r="P2743" i="33" l="1"/>
  <c r="L2745" i="33"/>
  <c r="M2744" i="33"/>
  <c r="P2744" i="33" a="1"/>
  <c r="P2744" i="33" l="1"/>
  <c r="L2746" i="33"/>
  <c r="M2745" i="33"/>
  <c r="P2745" i="33" a="1"/>
  <c r="P2745" i="33" l="1"/>
  <c r="L2747" i="33"/>
  <c r="M2746" i="33"/>
  <c r="P2746" i="33" a="1"/>
  <c r="P2746" i="33" l="1"/>
  <c r="M2747" i="33"/>
  <c r="L2748" i="33"/>
  <c r="P2747" i="33" a="1"/>
  <c r="P2747" i="33" l="1"/>
  <c r="M2748" i="33"/>
  <c r="L2749" i="33"/>
  <c r="P2748" i="33" a="1"/>
  <c r="P2748" i="33" l="1"/>
  <c r="M2749" i="33"/>
  <c r="L2750" i="33"/>
  <c r="P2749" i="33" a="1"/>
  <c r="P2749" i="33" l="1"/>
  <c r="L2751" i="33"/>
  <c r="M2750" i="33"/>
  <c r="P2750" i="33" a="1"/>
  <c r="P2750" i="33" l="1"/>
  <c r="M2751" i="33"/>
  <c r="L2752" i="33"/>
  <c r="P2751" i="33" a="1"/>
  <c r="P2751" i="33" l="1"/>
  <c r="M2752" i="33"/>
  <c r="L2753" i="33"/>
  <c r="P2752" i="33" a="1"/>
  <c r="P2752" i="33" l="1"/>
  <c r="L2754" i="33"/>
  <c r="M2753" i="33"/>
  <c r="P2753" i="33" a="1"/>
  <c r="P2753" i="33" l="1"/>
  <c r="L2755" i="33"/>
  <c r="M2754" i="33"/>
  <c r="P2754" i="33" a="1"/>
  <c r="P2754" i="33" l="1"/>
  <c r="M2755" i="33"/>
  <c r="L2756" i="33"/>
  <c r="P2755" i="33" a="1"/>
  <c r="P2755" i="33" l="1"/>
  <c r="M2756" i="33"/>
  <c r="L2757" i="33"/>
  <c r="P2756" i="33" a="1"/>
  <c r="P2756" i="33" l="1"/>
  <c r="M2757" i="33"/>
  <c r="L2758" i="33"/>
  <c r="P2757" i="33" a="1"/>
  <c r="P2757" i="33" l="1"/>
  <c r="L2759" i="33"/>
  <c r="M2758" i="33"/>
  <c r="P2758" i="33" a="1"/>
  <c r="P2758" i="33" l="1"/>
  <c r="M2759" i="33"/>
  <c r="L2760" i="33"/>
  <c r="P2759" i="33" a="1"/>
  <c r="P2759" i="33" l="1"/>
  <c r="M2760" i="33"/>
  <c r="L2761" i="33"/>
  <c r="P2760" i="33" a="1"/>
  <c r="P2760" i="33" l="1"/>
  <c r="L2762" i="33"/>
  <c r="M2761" i="33"/>
  <c r="P2761" i="33" a="1"/>
  <c r="P2761" i="33" l="1"/>
  <c r="L2763" i="33"/>
  <c r="M2762" i="33"/>
  <c r="P2762" i="33" a="1"/>
  <c r="P2762" i="33" l="1"/>
  <c r="M2763" i="33"/>
  <c r="L2764" i="33"/>
  <c r="P2763" i="33" a="1"/>
  <c r="P2763" i="33" l="1"/>
  <c r="L2765" i="33"/>
  <c r="M2764" i="33"/>
  <c r="P2764" i="33" a="1"/>
  <c r="P2764" i="33" l="1"/>
  <c r="M2765" i="33"/>
  <c r="L2766" i="33"/>
  <c r="P2765" i="33" a="1"/>
  <c r="P2765" i="33" l="1"/>
  <c r="M2766" i="33"/>
  <c r="L2767" i="33"/>
  <c r="P2766" i="33" a="1"/>
  <c r="P2766" i="33" l="1"/>
  <c r="M2767" i="33"/>
  <c r="L2768" i="33"/>
  <c r="P2767" i="33" a="1"/>
  <c r="P2767" i="33" l="1"/>
  <c r="L2769" i="33"/>
  <c r="M2768" i="33"/>
  <c r="P2768" i="33" a="1"/>
  <c r="P2768" i="33" l="1"/>
  <c r="L2770" i="33"/>
  <c r="M2769" i="33"/>
  <c r="E34" i="31"/>
  <c r="E36" i="31" s="1"/>
  <c r="E23" i="27" s="1"/>
  <c r="F34" i="31"/>
  <c r="F36" i="31" s="1"/>
  <c r="F23" i="27" s="1"/>
  <c r="D34" i="31"/>
  <c r="D36" i="31" s="1"/>
  <c r="D23" i="27" s="1"/>
  <c r="P2769" i="33" a="1"/>
  <c r="P2769" i="33" l="1"/>
  <c r="L2771" i="33"/>
  <c r="M2770" i="33"/>
  <c r="F30" i="4"/>
  <c r="F22" i="27" s="1"/>
  <c r="F30" i="27" s="1" a="1"/>
  <c r="F30" i="27" s="1"/>
  <c r="L85" i="10"/>
  <c r="D30" i="4"/>
  <c r="D22" i="27" s="1"/>
  <c r="Q109" i="27" s="1"/>
  <c r="H85" i="10"/>
  <c r="J85" i="10"/>
  <c r="H36" i="10"/>
  <c r="E30" i="4"/>
  <c r="E22" i="27" s="1"/>
  <c r="J36" i="10"/>
  <c r="P2770" i="33" a="1"/>
  <c r="U60" i="40" a="1"/>
  <c r="P60" i="40" a="1"/>
  <c r="U62" i="40" a="1"/>
  <c r="Z60" i="40" a="1"/>
  <c r="U18" i="40" a="1"/>
  <c r="P18" i="40" a="1"/>
  <c r="P62" i="40" a="1"/>
  <c r="Z62" i="40" a="1"/>
  <c r="P60" i="40" l="1"/>
  <c r="U60" i="40"/>
  <c r="Z60" i="40"/>
  <c r="P2770" i="33"/>
  <c r="M2771" i="33"/>
  <c r="L2772" i="33"/>
  <c r="S109" i="27"/>
  <c r="S125" i="27" s="1"/>
  <c r="S137" i="27" s="1" a="1"/>
  <c r="S137" i="27" s="1"/>
  <c r="F109" i="27"/>
  <c r="F118" i="27" s="1" a="1"/>
  <c r="F118" i="27" s="1"/>
  <c r="D109" i="27"/>
  <c r="D118" i="27" s="1" a="1"/>
  <c r="D118" i="27" s="1"/>
  <c r="D28" i="27"/>
  <c r="U62" i="40"/>
  <c r="P62" i="40"/>
  <c r="Z62" i="40"/>
  <c r="K108" i="27"/>
  <c r="K118" i="27" s="1" a="1"/>
  <c r="K118" i="27" s="1"/>
  <c r="X108" i="27"/>
  <c r="X120" i="27" s="1" a="1"/>
  <c r="X120" i="27" s="1"/>
  <c r="J83" i="10"/>
  <c r="W108" i="27"/>
  <c r="W120" i="27" s="1" a="1"/>
  <c r="W120" i="27" s="1"/>
  <c r="J108" i="27"/>
  <c r="J118" i="27" s="1" a="1"/>
  <c r="J118" i="27" s="1"/>
  <c r="H83" i="10"/>
  <c r="D30" i="27" a="1"/>
  <c r="D30" i="27" s="1"/>
  <c r="Y108" i="27"/>
  <c r="Y120" i="27" s="1" a="1"/>
  <c r="Y120" i="27" s="1"/>
  <c r="L108" i="27"/>
  <c r="L118" i="27" s="1" a="1"/>
  <c r="L118" i="27" s="1"/>
  <c r="L83" i="10"/>
  <c r="F28" i="27"/>
  <c r="E28" i="27"/>
  <c r="E109" i="27"/>
  <c r="E143" i="27" s="1"/>
  <c r="E148" i="27" s="1" a="1"/>
  <c r="E148" i="27" s="1"/>
  <c r="E30" i="27" a="1"/>
  <c r="E30" i="27" s="1"/>
  <c r="R109" i="27"/>
  <c r="R120" i="27" s="1" a="1"/>
  <c r="R120" i="27" s="1"/>
  <c r="P18" i="40"/>
  <c r="U18" i="40"/>
  <c r="L36" i="10"/>
  <c r="H60" i="10"/>
  <c r="Q120" i="27" a="1"/>
  <c r="Q120" i="27" s="1"/>
  <c r="Q125" i="27"/>
  <c r="Q137" i="27" s="1" a="1"/>
  <c r="Q137" i="27" s="1"/>
  <c r="J60" i="10"/>
  <c r="U58" i="40" a="1"/>
  <c r="U39" i="40" a="1"/>
  <c r="Z18" i="40" a="1"/>
  <c r="Z58" i="40" a="1"/>
  <c r="P2771" i="33" a="1"/>
  <c r="P58" i="40" a="1"/>
  <c r="P38" i="40" a="1"/>
  <c r="U38" i="40" a="1"/>
  <c r="P39" i="40" a="1"/>
  <c r="F143" i="27" l="1"/>
  <c r="F148" i="27" s="1" a="1"/>
  <c r="F148" i="27" s="1"/>
  <c r="P2771" i="33"/>
  <c r="M2772" i="33"/>
  <c r="L2773" i="33"/>
  <c r="D143" i="27"/>
  <c r="D148" i="27" s="1" a="1"/>
  <c r="D148" i="27" s="1"/>
  <c r="S120" i="27" a="1"/>
  <c r="S120" i="27" s="1"/>
  <c r="S140" i="27" s="1"/>
  <c r="S141" i="27" s="1"/>
  <c r="S142" i="27" s="1"/>
  <c r="D151" i="27"/>
  <c r="F151" i="27"/>
  <c r="Q140" i="27"/>
  <c r="Q141" i="27" s="1"/>
  <c r="Q142" i="27" s="1"/>
  <c r="U58" i="40"/>
  <c r="Z58" i="40"/>
  <c r="P58" i="40"/>
  <c r="J131" i="10"/>
  <c r="L131" i="10"/>
  <c r="H131" i="10"/>
  <c r="P38" i="40"/>
  <c r="U38" i="40"/>
  <c r="R125" i="27"/>
  <c r="R137" i="27" s="1" a="1"/>
  <c r="R137" i="27" s="1"/>
  <c r="E118" i="27" a="1"/>
  <c r="E118" i="27" s="1"/>
  <c r="E151" i="27" s="1"/>
  <c r="E152" i="27" s="1"/>
  <c r="E153" i="27" s="1"/>
  <c r="R140" i="27"/>
  <c r="P39" i="40"/>
  <c r="U39" i="40"/>
  <c r="Z18" i="40"/>
  <c r="H150" i="10"/>
  <c r="J150" i="10"/>
  <c r="L60" i="10"/>
  <c r="Z38" i="40" a="1"/>
  <c r="Z104" i="40" a="1"/>
  <c r="U104" i="40" a="1"/>
  <c r="P2772" i="33" a="1"/>
  <c r="P104" i="40" a="1"/>
  <c r="Z39" i="40" a="1"/>
  <c r="F152" i="27" l="1"/>
  <c r="F153" i="27" s="1"/>
  <c r="F31" i="27" s="1"/>
  <c r="F29" i="27" s="1"/>
  <c r="P104" i="40"/>
  <c r="U104" i="40"/>
  <c r="Z104" i="40"/>
  <c r="P2772" i="33"/>
  <c r="L2774" i="33"/>
  <c r="M2773" i="33"/>
  <c r="D152" i="27"/>
  <c r="D153" i="27" s="1"/>
  <c r="D31" i="27" s="1"/>
  <c r="D29" i="27" s="1"/>
  <c r="D32" i="27" s="1"/>
  <c r="J151" i="10"/>
  <c r="J149" i="10" s="1"/>
  <c r="K43" i="10" s="1"/>
  <c r="H151" i="10"/>
  <c r="H149" i="10" s="1"/>
  <c r="L151" i="10"/>
  <c r="Z38" i="40"/>
  <c r="R141" i="27"/>
  <c r="R142" i="27" s="1"/>
  <c r="Z39" i="40"/>
  <c r="L150" i="10"/>
  <c r="P114" i="40" a="1"/>
  <c r="U114" i="40" a="1"/>
  <c r="P2773" i="33" a="1"/>
  <c r="P2773" i="33" l="1"/>
  <c r="M2774" i="33"/>
  <c r="L2775" i="33"/>
  <c r="K54" i="10"/>
  <c r="K106" i="10"/>
  <c r="K68" i="10"/>
  <c r="L149" i="10"/>
  <c r="M129" i="10" s="1"/>
  <c r="I89" i="10"/>
  <c r="K52" i="10"/>
  <c r="K116" i="10"/>
  <c r="K110" i="10"/>
  <c r="K136" i="10"/>
  <c r="K114" i="10"/>
  <c r="K84" i="10"/>
  <c r="K111" i="10"/>
  <c r="K39" i="10"/>
  <c r="K100" i="10"/>
  <c r="K138" i="10"/>
  <c r="K46" i="10"/>
  <c r="K93" i="10"/>
  <c r="K77" i="10"/>
  <c r="K98" i="10"/>
  <c r="K151" i="10"/>
  <c r="K67" i="10"/>
  <c r="K109" i="10"/>
  <c r="K90" i="10"/>
  <c r="K119" i="10"/>
  <c r="K108" i="10"/>
  <c r="K102" i="10"/>
  <c r="K75" i="10"/>
  <c r="K103" i="10"/>
  <c r="K87" i="10"/>
  <c r="K91" i="10"/>
  <c r="K113" i="10"/>
  <c r="K41" i="10"/>
  <c r="K81" i="10"/>
  <c r="K47" i="10"/>
  <c r="K88" i="10"/>
  <c r="K137" i="10"/>
  <c r="K55" i="10"/>
  <c r="K101" i="10"/>
  <c r="K89" i="10"/>
  <c r="K94" i="10"/>
  <c r="K60" i="10"/>
  <c r="K79" i="10"/>
  <c r="K105" i="10"/>
  <c r="K36" i="10"/>
  <c r="K73" i="10"/>
  <c r="K123" i="10"/>
  <c r="K78" i="10"/>
  <c r="K122" i="10"/>
  <c r="K45" i="10"/>
  <c r="K92" i="10"/>
  <c r="K85" i="10"/>
  <c r="K56" i="10"/>
  <c r="K117" i="10"/>
  <c r="K82" i="10"/>
  <c r="K154" i="10"/>
  <c r="K71" i="10"/>
  <c r="K96" i="10"/>
  <c r="K124" i="10"/>
  <c r="K65" i="10"/>
  <c r="K153" i="10"/>
  <c r="K70" i="10"/>
  <c r="K112" i="10"/>
  <c r="K40" i="10"/>
  <c r="K80" i="10"/>
  <c r="K83" i="10"/>
  <c r="K127" i="10"/>
  <c r="K107" i="10"/>
  <c r="K74" i="10"/>
  <c r="K150" i="10"/>
  <c r="K51" i="10"/>
  <c r="K86" i="10"/>
  <c r="K131" i="10"/>
  <c r="K53" i="10"/>
  <c r="K140" i="10"/>
  <c r="K58" i="10"/>
  <c r="K104" i="10"/>
  <c r="K149" i="10"/>
  <c r="K72" i="10"/>
  <c r="K115" i="10"/>
  <c r="K37" i="10"/>
  <c r="K44" i="10"/>
  <c r="K69" i="10"/>
  <c r="K97" i="10"/>
  <c r="K42" i="10"/>
  <c r="K57" i="10"/>
  <c r="K66" i="10"/>
  <c r="K126" i="10"/>
  <c r="K139" i="10"/>
  <c r="K76" i="10"/>
  <c r="K118" i="10"/>
  <c r="K38" i="10"/>
  <c r="K125" i="10"/>
  <c r="K49" i="10"/>
  <c r="K95" i="10"/>
  <c r="K155" i="10"/>
  <c r="I129" i="10"/>
  <c r="I128" i="10"/>
  <c r="K129" i="10"/>
  <c r="K128" i="10"/>
  <c r="I90" i="10"/>
  <c r="I121" i="10"/>
  <c r="I120" i="10"/>
  <c r="K120" i="10"/>
  <c r="K121" i="10"/>
  <c r="I124" i="10"/>
  <c r="I69" i="10"/>
  <c r="I47" i="10"/>
  <c r="I136" i="10"/>
  <c r="I42" i="10"/>
  <c r="I111" i="10"/>
  <c r="I60" i="10"/>
  <c r="I101" i="10"/>
  <c r="I103" i="10"/>
  <c r="I114" i="10"/>
  <c r="I44" i="10"/>
  <c r="I91" i="10"/>
  <c r="I96" i="10"/>
  <c r="I76" i="10"/>
  <c r="I131" i="10"/>
  <c r="I110" i="10"/>
  <c r="I53" i="10"/>
  <c r="I36" i="10"/>
  <c r="I115" i="10"/>
  <c r="I71" i="10"/>
  <c r="I98" i="10"/>
  <c r="I43" i="10"/>
  <c r="I80" i="10"/>
  <c r="I104" i="10"/>
  <c r="I84" i="10"/>
  <c r="I92" i="10"/>
  <c r="I88" i="10"/>
  <c r="I37" i="10"/>
  <c r="I75" i="10"/>
  <c r="I39" i="10"/>
  <c r="I102" i="10"/>
  <c r="I106" i="10"/>
  <c r="I109" i="10"/>
  <c r="I94" i="10"/>
  <c r="I126" i="10"/>
  <c r="I154" i="10"/>
  <c r="I56" i="10"/>
  <c r="I93" i="10"/>
  <c r="I123" i="10"/>
  <c r="I78" i="10"/>
  <c r="I151" i="10"/>
  <c r="I67" i="10"/>
  <c r="I97" i="10"/>
  <c r="I52" i="10"/>
  <c r="I82" i="10"/>
  <c r="I116" i="10"/>
  <c r="I138" i="10"/>
  <c r="I46" i="10"/>
  <c r="I81" i="10"/>
  <c r="I153" i="10"/>
  <c r="I70" i="10"/>
  <c r="I137" i="10"/>
  <c r="I55" i="10"/>
  <c r="I85" i="10"/>
  <c r="I68" i="10"/>
  <c r="I155" i="10"/>
  <c r="I87" i="10"/>
  <c r="I139" i="10"/>
  <c r="I74" i="10"/>
  <c r="I108" i="10"/>
  <c r="I113" i="10"/>
  <c r="I41" i="10"/>
  <c r="I73" i="10"/>
  <c r="I140" i="10"/>
  <c r="I58" i="10"/>
  <c r="I122" i="10"/>
  <c r="I45" i="10"/>
  <c r="I83" i="10"/>
  <c r="I51" i="10"/>
  <c r="I117" i="10"/>
  <c r="I77" i="10"/>
  <c r="I149" i="10"/>
  <c r="I66" i="10"/>
  <c r="I100" i="10"/>
  <c r="I105" i="10"/>
  <c r="I150" i="10"/>
  <c r="I65" i="10"/>
  <c r="I125" i="10"/>
  <c r="I49" i="10"/>
  <c r="I112" i="10"/>
  <c r="I40" i="10"/>
  <c r="I72" i="10"/>
  <c r="I57" i="10"/>
  <c r="I119" i="10"/>
  <c r="I54" i="10"/>
  <c r="I79" i="10"/>
  <c r="I86" i="10"/>
  <c r="I118" i="10"/>
  <c r="I38" i="10"/>
  <c r="I107" i="10"/>
  <c r="I127" i="10"/>
  <c r="I95" i="10"/>
  <c r="U114" i="40"/>
  <c r="P114" i="40"/>
  <c r="E31" i="27"/>
  <c r="E29" i="27" s="1"/>
  <c r="E32" i="27" s="1"/>
  <c r="D34" i="27"/>
  <c r="D33" i="27"/>
  <c r="F32" i="27"/>
  <c r="Z114" i="40" a="1"/>
  <c r="P2774" i="33" a="1"/>
  <c r="P2774" i="33" l="1"/>
  <c r="M2775" i="33"/>
  <c r="L2776" i="33"/>
  <c r="M109" i="10"/>
  <c r="M114" i="10"/>
  <c r="M121" i="10"/>
  <c r="M36" i="10"/>
  <c r="M96" i="10"/>
  <c r="M51" i="10"/>
  <c r="M38" i="10"/>
  <c r="M115" i="10"/>
  <c r="M149" i="10"/>
  <c r="M53" i="10"/>
  <c r="M122" i="10"/>
  <c r="M71" i="10"/>
  <c r="M155" i="10"/>
  <c r="M74" i="10"/>
  <c r="M78" i="10"/>
  <c r="M72" i="10"/>
  <c r="M120" i="10"/>
  <c r="M112" i="10"/>
  <c r="M76" i="10"/>
  <c r="M106" i="10"/>
  <c r="M46" i="10"/>
  <c r="M84" i="10"/>
  <c r="M77" i="10"/>
  <c r="M44" i="10"/>
  <c r="M154" i="10"/>
  <c r="M45" i="10"/>
  <c r="M42" i="10"/>
  <c r="M90" i="10"/>
  <c r="M82" i="10"/>
  <c r="M119" i="10"/>
  <c r="M41" i="10"/>
  <c r="M88" i="10"/>
  <c r="M55" i="10"/>
  <c r="M80" i="10"/>
  <c r="M47" i="10"/>
  <c r="M110" i="10"/>
  <c r="M40" i="10"/>
  <c r="M60" i="10"/>
  <c r="M89" i="10"/>
  <c r="M126" i="10"/>
  <c r="M113" i="10"/>
  <c r="M103" i="10"/>
  <c r="M123" i="10"/>
  <c r="M70" i="10"/>
  <c r="M116" i="10"/>
  <c r="M93" i="10"/>
  <c r="M43" i="10"/>
  <c r="M111" i="10"/>
  <c r="M100" i="10"/>
  <c r="M105" i="10"/>
  <c r="M65" i="10"/>
  <c r="M137" i="10"/>
  <c r="M140" i="10"/>
  <c r="M124" i="10"/>
  <c r="M150" i="10"/>
  <c r="M131" i="10"/>
  <c r="M58" i="10"/>
  <c r="M104" i="10"/>
  <c r="M127" i="10"/>
  <c r="M52" i="10"/>
  <c r="M97" i="10"/>
  <c r="M85" i="10"/>
  <c r="M108" i="10"/>
  <c r="M94" i="10"/>
  <c r="M86" i="10"/>
  <c r="M102" i="10"/>
  <c r="M153" i="10"/>
  <c r="M49" i="10"/>
  <c r="M95" i="10"/>
  <c r="M136" i="10"/>
  <c r="M117" i="10"/>
  <c r="M37" i="10"/>
  <c r="M87" i="10"/>
  <c r="M83" i="10"/>
  <c r="M68" i="10"/>
  <c r="M125" i="10"/>
  <c r="M101" i="10"/>
  <c r="M69" i="10"/>
  <c r="M128" i="10"/>
  <c r="M91" i="10"/>
  <c r="M39" i="10"/>
  <c r="M81" i="10"/>
  <c r="M107" i="10"/>
  <c r="M75" i="10"/>
  <c r="M66" i="10"/>
  <c r="M54" i="10"/>
  <c r="M79" i="10"/>
  <c r="M138" i="10"/>
  <c r="M56" i="10"/>
  <c r="M73" i="10"/>
  <c r="M98" i="10"/>
  <c r="M151" i="10"/>
  <c r="M67" i="10"/>
  <c r="M118" i="10"/>
  <c r="M92" i="10"/>
  <c r="M139" i="10"/>
  <c r="M57" i="10"/>
  <c r="Z114" i="40"/>
  <c r="D35" i="27"/>
  <c r="H141" i="10" s="1"/>
  <c r="H143" i="10" s="1"/>
  <c r="F33" i="27"/>
  <c r="F34" i="27"/>
  <c r="E33" i="27"/>
  <c r="E34" i="27"/>
  <c r="P2775" i="33" a="1"/>
  <c r="P110" i="40" a="1"/>
  <c r="P111" i="40" a="1"/>
  <c r="P2775" i="33" l="1"/>
  <c r="M2776" i="33"/>
  <c r="L2777" i="33"/>
  <c r="I141" i="10"/>
  <c r="P110" i="40"/>
  <c r="E35" i="27"/>
  <c r="J141" i="10" s="1"/>
  <c r="J143" i="10" s="1"/>
  <c r="P111" i="40"/>
  <c r="H144" i="10"/>
  <c r="I143" i="10"/>
  <c r="F35" i="27"/>
  <c r="L141" i="10" s="1"/>
  <c r="Z110" i="40" a="1"/>
  <c r="U111" i="40" a="1"/>
  <c r="U110" i="40" a="1"/>
  <c r="P112" i="40" a="1"/>
  <c r="P2776" i="33" a="1"/>
  <c r="P2776" i="33" l="1"/>
  <c r="L2778" i="33"/>
  <c r="M2777" i="33"/>
  <c r="H145" i="10"/>
  <c r="H152" i="10" s="1"/>
  <c r="K141" i="10"/>
  <c r="U110" i="40"/>
  <c r="Z110" i="40"/>
  <c r="P112" i="40"/>
  <c r="U111" i="40"/>
  <c r="L143" i="10"/>
  <c r="M141" i="10"/>
  <c r="I144" i="10"/>
  <c r="J144" i="10"/>
  <c r="K143" i="10"/>
  <c r="P113" i="40" a="1"/>
  <c r="P2777" i="33" a="1"/>
  <c r="Z111" i="40" a="1"/>
  <c r="U112" i="40" a="1"/>
  <c r="P2777" i="33" l="1"/>
  <c r="L2779" i="33"/>
  <c r="M2778" i="33"/>
  <c r="I145" i="10"/>
  <c r="P113" i="40"/>
  <c r="Z111" i="40"/>
  <c r="U112" i="40"/>
  <c r="L144" i="10"/>
  <c r="M143" i="10"/>
  <c r="I152" i="10"/>
  <c r="H156" i="10"/>
  <c r="K144" i="10"/>
  <c r="J145" i="10"/>
  <c r="Z112" i="40" a="1"/>
  <c r="P118" i="40" a="1"/>
  <c r="U113" i="40" a="1"/>
  <c r="P2778" i="33" a="1"/>
  <c r="P2778" i="33" l="1"/>
  <c r="L2780" i="33"/>
  <c r="M2779" i="33"/>
  <c r="P118" i="40"/>
  <c r="Z112" i="40"/>
  <c r="U113" i="40"/>
  <c r="H10" i="10"/>
  <c r="I156" i="10"/>
  <c r="M144" i="10"/>
  <c r="L145" i="10"/>
  <c r="J152" i="10"/>
  <c r="K145" i="10"/>
  <c r="P2779" i="33" a="1"/>
  <c r="Z113" i="40" a="1"/>
  <c r="P2779" i="33" l="1"/>
  <c r="M2780" i="33"/>
  <c r="L2781" i="33"/>
  <c r="Z113" i="40"/>
  <c r="J156" i="10"/>
  <c r="K152" i="10"/>
  <c r="L152" i="10"/>
  <c r="M145" i="10"/>
  <c r="H11" i="10"/>
  <c r="U118" i="40" a="1"/>
  <c r="P119" i="40" a="1"/>
  <c r="P2780" i="33" a="1"/>
  <c r="P2780" i="33" l="1"/>
  <c r="M2781" i="33"/>
  <c r="L2782" i="33"/>
  <c r="H12" i="10"/>
  <c r="P119" i="40"/>
  <c r="U118" i="40"/>
  <c r="M152" i="10"/>
  <c r="L156" i="10"/>
  <c r="J10" i="10"/>
  <c r="K156" i="10"/>
  <c r="P120" i="40" a="1"/>
  <c r="Z118" i="40" a="1"/>
  <c r="P2781" i="33" a="1"/>
  <c r="P2781" i="33" l="1"/>
  <c r="M2782" i="33"/>
  <c r="L2783" i="33"/>
  <c r="P120" i="40"/>
  <c r="Z118" i="40"/>
  <c r="J11" i="10"/>
  <c r="L10" i="10"/>
  <c r="M156" i="10"/>
  <c r="P2782" i="33" a="1"/>
  <c r="U119" i="40" a="1"/>
  <c r="P2782" i="33" l="1"/>
  <c r="M2783" i="33"/>
  <c r="L2784" i="33"/>
  <c r="J12" i="10"/>
  <c r="U119" i="40"/>
  <c r="L11" i="10"/>
  <c r="Z119" i="40" a="1"/>
  <c r="P2783" i="33" a="1"/>
  <c r="U120" i="40" a="1"/>
  <c r="P2783" i="33" l="1"/>
  <c r="M2784" i="33"/>
  <c r="L2785" i="33"/>
  <c r="U120" i="40"/>
  <c r="L12" i="10"/>
  <c r="Z119" i="40"/>
  <c r="P2784" i="33" a="1"/>
  <c r="Z120" i="40" a="1"/>
  <c r="P2784" i="33" l="1"/>
  <c r="L2786" i="33"/>
  <c r="M2785" i="33"/>
  <c r="Z120" i="40"/>
  <c r="P2785" i="33" a="1"/>
  <c r="P2785" i="33" l="1"/>
  <c r="L2787" i="33"/>
  <c r="M2786" i="33"/>
  <c r="P2786" i="33" a="1"/>
  <c r="P2786" i="33" l="1"/>
  <c r="M2787" i="33"/>
  <c r="L2788" i="33"/>
  <c r="P2787" i="33" a="1"/>
  <c r="P2787" i="33" l="1"/>
  <c r="M2788" i="33"/>
  <c r="L2789" i="33"/>
  <c r="P2788" i="33" a="1"/>
  <c r="P2788" i="33" l="1"/>
  <c r="M2789" i="33"/>
  <c r="L2790" i="33"/>
  <c r="P2789" i="33" a="1"/>
  <c r="P2789" i="33" l="1"/>
  <c r="M2790" i="33"/>
  <c r="L2791" i="33"/>
  <c r="P2790" i="33" a="1"/>
  <c r="P2790" i="33" l="1"/>
  <c r="M2791" i="33"/>
  <c r="L2792" i="33"/>
  <c r="P2791" i="33" a="1"/>
  <c r="P2791" i="33" l="1"/>
  <c r="M2792" i="33"/>
  <c r="L2793" i="33"/>
  <c r="P2792" i="33" a="1"/>
  <c r="P2792" i="33" l="1"/>
  <c r="L2794" i="33"/>
  <c r="M2793" i="33"/>
  <c r="P2793" i="33" a="1"/>
  <c r="P2793" i="33" l="1"/>
  <c r="L2795" i="33"/>
  <c r="M2794" i="33"/>
  <c r="P2794" i="33" a="1"/>
  <c r="P2794" i="33" l="1"/>
  <c r="M2795" i="33"/>
  <c r="L2796" i="33"/>
  <c r="P2795" i="33" a="1"/>
  <c r="P2795" i="33" l="1"/>
  <c r="M2796" i="33"/>
  <c r="L2797" i="33"/>
  <c r="P2796" i="33" a="1"/>
  <c r="P2796" i="33" l="1"/>
  <c r="M2797" i="33"/>
  <c r="L2798" i="33"/>
  <c r="P2797" i="33" a="1"/>
  <c r="P2797" i="33" l="1"/>
  <c r="M2798" i="33"/>
  <c r="L2799" i="33"/>
  <c r="P2798" i="33" a="1"/>
  <c r="P2798" i="33" l="1"/>
  <c r="M2799" i="33"/>
  <c r="L2800" i="33"/>
  <c r="P2799" i="33" a="1"/>
  <c r="P2799" i="33" l="1"/>
  <c r="M2800" i="33"/>
  <c r="L2801" i="33"/>
  <c r="P2800" i="33" a="1"/>
  <c r="P2800" i="33" l="1"/>
  <c r="L2802" i="33"/>
  <c r="M2801" i="33"/>
  <c r="P2801" i="33" a="1"/>
  <c r="P2801" i="33" l="1"/>
  <c r="L2803" i="33"/>
  <c r="M2802" i="33"/>
  <c r="P2802" i="33" a="1"/>
  <c r="P2802" i="33" l="1"/>
  <c r="M2803" i="33"/>
  <c r="L2804" i="33"/>
  <c r="P2803" i="33" a="1"/>
  <c r="P2803" i="33" l="1"/>
  <c r="M2804" i="33"/>
  <c r="L2805" i="33"/>
  <c r="P2804" i="33" a="1"/>
  <c r="P2804" i="33" l="1"/>
  <c r="M2805" i="33"/>
  <c r="L2806" i="33"/>
  <c r="P2805" i="33" a="1"/>
  <c r="P2805" i="33" l="1"/>
  <c r="M2806" i="33"/>
  <c r="L2807" i="33"/>
  <c r="P2806" i="33" a="1"/>
  <c r="P2806" i="33" l="1"/>
  <c r="M2807" i="33"/>
  <c r="L2808" i="33"/>
  <c r="P2807" i="33" a="1"/>
  <c r="P2807" i="33" l="1"/>
  <c r="M2808" i="33"/>
  <c r="L2809" i="33"/>
  <c r="P2808" i="33" a="1"/>
  <c r="P2808" i="33" l="1"/>
  <c r="L2810" i="33"/>
  <c r="M2809" i="33"/>
  <c r="P2809" i="33" a="1"/>
  <c r="P2809" i="33" l="1"/>
  <c r="L2811" i="33"/>
  <c r="M2810" i="33"/>
  <c r="P2810" i="33" a="1"/>
  <c r="P2810" i="33" l="1"/>
  <c r="M2811" i="33"/>
  <c r="L2812" i="33"/>
  <c r="P2811" i="33" a="1"/>
  <c r="P2811" i="33" l="1"/>
  <c r="M2812" i="33"/>
  <c r="L2813" i="33"/>
  <c r="P2812" i="33" a="1"/>
  <c r="P2812" i="33" l="1"/>
  <c r="M2813" i="33"/>
  <c r="L2814" i="33"/>
  <c r="P2813" i="33" a="1"/>
  <c r="P2813" i="33" l="1"/>
  <c r="M2814" i="33"/>
  <c r="L2815" i="33"/>
  <c r="P2814" i="33" a="1"/>
  <c r="P2814" i="33" l="1"/>
  <c r="M2815" i="33"/>
  <c r="L2816" i="33"/>
  <c r="P2815" i="33" a="1"/>
  <c r="P2815" i="33" l="1"/>
  <c r="M2816" i="33"/>
  <c r="L2817" i="33"/>
  <c r="P2816" i="33" a="1"/>
  <c r="P2816" i="33" l="1"/>
  <c r="L2818" i="33"/>
  <c r="M2817" i="33"/>
  <c r="P2817" i="33" a="1"/>
  <c r="P2817" i="33" l="1"/>
  <c r="L2819" i="33"/>
  <c r="M2818" i="33"/>
  <c r="P2818" i="33" a="1"/>
  <c r="P2818" i="33" l="1"/>
  <c r="L2820" i="33"/>
  <c r="M2819" i="33"/>
  <c r="P2819" i="33" a="1"/>
  <c r="P2819" i="33" l="1"/>
  <c r="M2820" i="33"/>
  <c r="L2821" i="33"/>
  <c r="P2820" i="33" a="1"/>
  <c r="P2820" i="33" l="1"/>
  <c r="M2821" i="33"/>
  <c r="L2822" i="33"/>
  <c r="P2821" i="33" a="1"/>
  <c r="P2821" i="33" l="1"/>
  <c r="M2822" i="33"/>
  <c r="L2823" i="33"/>
  <c r="P2822" i="33" a="1"/>
  <c r="P2822" i="33" l="1"/>
  <c r="M2823" i="33"/>
  <c r="L2824" i="33"/>
  <c r="P2823" i="33" a="1"/>
  <c r="P2823" i="33" l="1"/>
  <c r="L2825" i="33"/>
  <c r="M2824" i="33"/>
  <c r="P2824" i="33" a="1"/>
  <c r="P2824" i="33" l="1"/>
  <c r="L2826" i="33"/>
  <c r="M2825" i="33"/>
  <c r="P2825" i="33" a="1"/>
  <c r="P2825" i="33" l="1"/>
  <c r="L2827" i="33"/>
  <c r="M2826" i="33"/>
  <c r="P2826" i="33" a="1"/>
  <c r="P2826" i="33" l="1"/>
  <c r="L2828" i="33"/>
  <c r="M2827" i="33"/>
  <c r="P2827" i="33" a="1"/>
  <c r="P2827" i="33" l="1"/>
  <c r="M2828" i="33"/>
  <c r="L2829" i="33"/>
  <c r="P2828" i="33" a="1"/>
  <c r="P2828" i="33" l="1"/>
  <c r="M2829" i="33"/>
  <c r="L2830" i="33"/>
  <c r="P2829" i="33" a="1"/>
  <c r="P2829" i="33" l="1"/>
  <c r="M2830" i="33"/>
  <c r="L2831" i="33"/>
  <c r="P2830" i="33" a="1"/>
  <c r="P2830" i="33" l="1"/>
  <c r="L2832" i="33"/>
  <c r="M2831" i="33"/>
  <c r="P2831" i="33" a="1"/>
  <c r="P2831" i="33" l="1"/>
  <c r="L2833" i="33"/>
  <c r="M2832" i="33"/>
  <c r="P2832" i="33" a="1"/>
  <c r="P2832" i="33" l="1"/>
  <c r="L2834" i="33"/>
  <c r="M2833" i="33"/>
  <c r="P2833" i="33" a="1"/>
  <c r="P2833" i="33" l="1"/>
  <c r="L2835" i="33"/>
  <c r="M2834" i="33"/>
  <c r="P2834" i="33" a="1"/>
  <c r="P2834" i="33" l="1"/>
  <c r="L2836" i="33"/>
  <c r="M2835" i="33"/>
  <c r="P2835" i="33" a="1"/>
  <c r="P2835" i="33" l="1"/>
  <c r="M2836" i="33"/>
  <c r="L2837" i="33"/>
  <c r="P2836" i="33" a="1"/>
  <c r="P2836" i="33" l="1"/>
  <c r="M2837" i="33"/>
  <c r="L2838" i="33"/>
  <c r="P2837" i="33" a="1"/>
  <c r="P2837" i="33" l="1"/>
  <c r="M2838" i="33"/>
  <c r="L2839" i="33"/>
  <c r="P2838" i="33" a="1"/>
  <c r="P2838" i="33" l="1"/>
  <c r="M2839" i="33"/>
  <c r="L2840" i="33"/>
  <c r="P2839" i="33" a="1"/>
  <c r="P2839" i="33" l="1"/>
  <c r="M2840" i="33"/>
  <c r="L2841" i="33"/>
  <c r="P2840" i="33" a="1"/>
  <c r="P2840" i="33" l="1"/>
  <c r="M2841" i="33"/>
  <c r="L2842" i="33"/>
  <c r="P2841" i="33" a="1"/>
  <c r="P2841" i="33" l="1"/>
  <c r="M2842" i="33"/>
  <c r="L2843" i="33"/>
  <c r="P2842" i="33" a="1"/>
  <c r="P2842" i="33" l="1"/>
  <c r="L2844" i="33"/>
  <c r="M2843" i="33"/>
  <c r="P2843" i="33" a="1"/>
  <c r="P2843" i="33" l="1"/>
  <c r="L2845" i="33"/>
  <c r="M2844" i="33"/>
  <c r="P2844" i="33" a="1"/>
  <c r="P2844" i="33" l="1"/>
  <c r="M2845" i="33"/>
  <c r="L2846" i="33"/>
  <c r="P2845" i="33" a="1"/>
  <c r="P2845" i="33" l="1"/>
  <c r="L2847" i="33"/>
  <c r="M2846" i="33"/>
  <c r="P2846" i="33" a="1"/>
  <c r="P2846" i="33" l="1"/>
  <c r="M2847" i="33"/>
  <c r="L2848" i="33"/>
  <c r="P2847" i="33" a="1"/>
  <c r="P2847" i="33" l="1"/>
  <c r="L2849" i="33"/>
  <c r="M2848" i="33"/>
  <c r="P2848" i="33" a="1"/>
  <c r="P2848" i="33" l="1"/>
  <c r="M2849" i="33"/>
  <c r="L2850" i="33"/>
  <c r="P2849" i="33" a="1"/>
  <c r="P2849" i="33" l="1"/>
  <c r="L2851" i="33"/>
  <c r="M2850" i="33"/>
  <c r="P2850" i="33" a="1"/>
  <c r="P2850" i="33" l="1"/>
  <c r="M2851" i="33"/>
  <c r="L2852" i="33"/>
  <c r="P2851" i="33" a="1"/>
  <c r="P2851" i="33" l="1"/>
  <c r="M2852" i="33"/>
  <c r="L2853" i="33"/>
  <c r="P2852" i="33" a="1"/>
  <c r="P2852" i="33" l="1"/>
  <c r="L2854" i="33"/>
  <c r="M2853" i="33"/>
  <c r="P2853" i="33" a="1"/>
  <c r="P2853" i="33" l="1"/>
  <c r="M2854" i="33"/>
  <c r="L2855" i="33"/>
  <c r="P2854" i="33" a="1"/>
  <c r="P2854" i="33" l="1"/>
  <c r="M2855" i="33"/>
  <c r="L2856" i="33"/>
  <c r="P2855" i="33" a="1"/>
  <c r="P2855" i="33" l="1"/>
  <c r="M2856" i="33"/>
  <c r="L2857" i="33"/>
  <c r="P2856" i="33" a="1"/>
  <c r="P2856" i="33" l="1"/>
  <c r="L2858" i="33"/>
  <c r="M2857" i="33"/>
  <c r="P2857" i="33" a="1"/>
  <c r="P2857" i="33" l="1"/>
  <c r="M2858" i="33"/>
  <c r="L2859" i="33"/>
  <c r="P2858" i="33" a="1"/>
  <c r="P2858" i="33" l="1"/>
  <c r="L2860" i="33"/>
  <c r="M2859" i="33"/>
  <c r="P2859" i="33" a="1"/>
  <c r="P2859" i="33" l="1"/>
  <c r="M2860" i="33"/>
  <c r="L2861" i="33"/>
  <c r="P2860" i="33" a="1"/>
  <c r="P2860" i="33" l="1"/>
  <c r="M2861" i="33"/>
  <c r="L2862" i="33"/>
  <c r="P2861" i="33" a="1"/>
  <c r="P2861" i="33" l="1"/>
  <c r="L2863" i="33"/>
  <c r="M2862" i="33"/>
  <c r="P2862" i="33" a="1"/>
  <c r="P2862" i="33" l="1"/>
  <c r="L2864" i="33"/>
  <c r="M2863" i="33"/>
  <c r="P2863" i="33" a="1"/>
  <c r="P2863" i="33" l="1"/>
  <c r="M2864" i="33"/>
  <c r="L2865" i="33"/>
  <c r="P2864" i="33" a="1"/>
  <c r="P2864" i="33" l="1"/>
  <c r="L2866" i="33"/>
  <c r="M2865" i="33"/>
  <c r="P2865" i="33" a="1"/>
  <c r="P2865" i="33" l="1"/>
  <c r="M2866" i="33"/>
  <c r="L2867" i="33"/>
  <c r="P2866" i="33" a="1"/>
  <c r="P2866" i="33" l="1"/>
  <c r="L2868" i="33"/>
  <c r="M2867" i="33"/>
  <c r="P2867" i="33" a="1"/>
  <c r="P2867" i="33" l="1"/>
  <c r="L2869" i="33"/>
  <c r="M2868" i="33"/>
  <c r="P2868" i="33" a="1"/>
  <c r="P2868" i="33" l="1"/>
  <c r="M2869" i="33"/>
  <c r="L2870" i="33"/>
  <c r="P2869" i="33" a="1"/>
  <c r="P2869" i="33" l="1"/>
  <c r="L2871" i="33"/>
  <c r="M2870" i="33"/>
  <c r="P2870" i="33" a="1"/>
  <c r="P2870" i="33" l="1"/>
  <c r="M2871" i="33"/>
  <c r="L2872" i="33"/>
  <c r="P2871" i="33" a="1"/>
  <c r="P2871" i="33" l="1"/>
  <c r="L2873" i="33"/>
  <c r="M2872" i="33"/>
  <c r="P2872" i="33" a="1"/>
  <c r="P2872" i="33" l="1"/>
  <c r="L2874" i="33"/>
  <c r="M2873" i="33"/>
  <c r="P2873" i="33" a="1"/>
  <c r="P2873" i="33" l="1"/>
  <c r="L2875" i="33"/>
  <c r="M2874" i="33"/>
  <c r="P2874" i="33" a="1"/>
  <c r="P2874" i="33" l="1"/>
  <c r="M2875" i="33"/>
  <c r="L2876" i="33"/>
  <c r="L2877" i="33" s="1"/>
  <c r="P2875" i="33" a="1"/>
  <c r="M2877" i="33" l="1"/>
  <c r="L2878" i="33"/>
  <c r="P2875" i="33"/>
  <c r="M2876" i="33"/>
  <c r="P2877" i="33" a="1"/>
  <c r="P2876" i="33" a="1"/>
  <c r="P2877" i="33" l="1"/>
  <c r="P2876" i="33"/>
  <c r="L2879" i="33"/>
  <c r="M2878" i="33"/>
  <c r="P2878" i="33" a="1"/>
  <c r="P2878" i="33" l="1"/>
  <c r="M2879" i="33"/>
  <c r="L2880" i="33"/>
  <c r="P2879" i="33" a="1"/>
  <c r="P2879" i="33" l="1"/>
  <c r="L2881" i="33"/>
  <c r="M2880" i="33"/>
  <c r="P2880" i="33" a="1"/>
  <c r="P2880" i="33" l="1"/>
  <c r="L2882" i="33"/>
  <c r="M2881" i="33"/>
  <c r="P2881" i="33" a="1"/>
  <c r="P2881" i="33" l="1"/>
  <c r="M2882" i="33"/>
  <c r="L2883" i="33"/>
  <c r="P2882" i="33" a="1"/>
  <c r="P2882" i="33" l="1"/>
  <c r="M2883" i="33"/>
  <c r="L2884" i="33"/>
  <c r="P2883" i="33" a="1"/>
  <c r="P2883" i="33" l="1"/>
  <c r="M2884" i="33"/>
  <c r="L2885" i="33"/>
  <c r="P2884" i="33" a="1"/>
  <c r="P2884" i="33" l="1"/>
  <c r="L2886" i="33"/>
  <c r="M2885" i="33"/>
  <c r="P2885" i="33" a="1"/>
  <c r="P2885" i="33" l="1"/>
  <c r="L2887" i="33"/>
  <c r="M2886" i="33"/>
  <c r="P2886" i="33" a="1"/>
  <c r="P2886" i="33" l="1"/>
  <c r="M2887" i="33"/>
  <c r="L2888" i="33"/>
  <c r="P2887" i="33" a="1"/>
  <c r="P2887" i="33" l="1"/>
  <c r="M2888" i="33"/>
  <c r="L2889" i="33"/>
  <c r="P2888" i="33" a="1"/>
  <c r="P2888" i="33" l="1"/>
  <c r="M2889" i="33"/>
  <c r="L2890" i="33"/>
  <c r="P2889" i="33" a="1"/>
  <c r="P2889" i="33" l="1"/>
  <c r="L2891" i="33"/>
  <c r="M2890" i="33"/>
  <c r="P2890" i="33" a="1"/>
  <c r="P2890" i="33" l="1"/>
  <c r="M2891" i="33"/>
  <c r="L2892" i="33"/>
  <c r="P2891" i="33" a="1"/>
  <c r="P2891" i="33" l="1"/>
  <c r="L2893" i="33"/>
  <c r="M2892" i="33"/>
  <c r="P2892" i="33" a="1"/>
  <c r="P2892" i="33" l="1"/>
  <c r="L2894" i="33"/>
  <c r="M2893" i="33"/>
  <c r="P2893" i="33" a="1"/>
  <c r="P2893" i="33" l="1"/>
  <c r="L2895" i="33"/>
  <c r="M2894" i="33"/>
  <c r="P2894" i="33" a="1"/>
  <c r="P2894" i="33" l="1"/>
  <c r="L2896" i="33"/>
  <c r="M2895" i="33"/>
  <c r="P2895" i="33" a="1"/>
  <c r="P2895" i="33" l="1"/>
  <c r="M2896" i="33"/>
  <c r="L2897" i="33"/>
  <c r="P2896" i="33" a="1"/>
  <c r="P2896" i="33" l="1"/>
  <c r="L2898" i="33"/>
  <c r="M2897" i="33"/>
  <c r="P2897" i="33" a="1"/>
  <c r="P2897" i="33" l="1"/>
  <c r="L2899" i="33"/>
  <c r="M2898" i="33"/>
  <c r="P2898" i="33" a="1"/>
  <c r="P2898" i="33" l="1"/>
  <c r="M2899" i="33"/>
  <c r="L2900" i="33"/>
  <c r="P2899" i="33" a="1"/>
  <c r="P2899" i="33" l="1"/>
  <c r="L2901" i="33"/>
  <c r="M2900" i="33"/>
  <c r="P2900" i="33" a="1"/>
  <c r="P2900" i="33" l="1"/>
  <c r="M2901" i="33"/>
  <c r="L2902" i="33"/>
  <c r="P2901" i="33" a="1"/>
  <c r="P2901" i="33" l="1"/>
  <c r="L2903" i="33"/>
  <c r="M2902" i="33"/>
  <c r="P2902" i="33" a="1"/>
  <c r="P2902" i="33" l="1"/>
  <c r="L2904" i="33"/>
  <c r="M2903" i="33"/>
  <c r="P2903" i="33" a="1"/>
  <c r="P2903" i="33" l="1"/>
  <c r="M2904" i="33"/>
  <c r="L2905" i="33"/>
  <c r="P2904" i="33" a="1"/>
  <c r="P2904" i="33" l="1"/>
  <c r="L2906" i="33"/>
  <c r="M2905" i="33"/>
  <c r="P2905" i="33" a="1"/>
  <c r="P2905" i="33" l="1"/>
  <c r="M2906" i="33"/>
  <c r="L2907" i="33"/>
  <c r="P2906" i="33" a="1"/>
  <c r="P2906" i="33" l="1"/>
  <c r="L2908" i="33"/>
  <c r="M2907" i="33"/>
  <c r="P2907" i="33" a="1"/>
  <c r="P2907" i="33" l="1"/>
  <c r="L2909" i="33"/>
  <c r="M2908" i="33"/>
  <c r="P2908" i="33" a="1"/>
  <c r="P2908" i="33" l="1"/>
  <c r="M2909" i="33"/>
  <c r="L2910" i="33"/>
  <c r="P2909" i="33" a="1"/>
  <c r="P2909" i="33" l="1"/>
  <c r="L2911" i="33"/>
  <c r="M2910" i="33"/>
  <c r="P2910" i="33" a="1"/>
  <c r="P2910" i="33" l="1"/>
  <c r="L2912" i="33"/>
  <c r="M2911" i="33"/>
  <c r="P2911" i="33" a="1"/>
  <c r="P2911" i="33" l="1"/>
  <c r="M2912" i="33"/>
  <c r="L2913" i="33"/>
  <c r="P2912" i="33" a="1"/>
  <c r="P2912" i="33" l="1"/>
  <c r="L2914" i="33"/>
  <c r="L2915" i="33" s="1"/>
  <c r="M2913" i="33"/>
  <c r="P2913" i="33" a="1"/>
  <c r="M2915" i="33" l="1"/>
  <c r="L2916" i="33"/>
  <c r="P2913" i="33"/>
  <c r="M2914" i="33"/>
  <c r="P2915" i="33" a="1"/>
  <c r="P2914" i="33" a="1"/>
  <c r="P2915" i="33" l="1"/>
  <c r="P2914" i="33"/>
  <c r="L2917" i="33"/>
  <c r="M2916" i="33"/>
  <c r="P2916" i="33" a="1"/>
  <c r="P2916" i="33" l="1"/>
  <c r="M2917" i="33"/>
  <c r="L2918" i="33"/>
  <c r="P2917" i="33" a="1"/>
  <c r="P2917" i="33" l="1"/>
  <c r="M2918" i="33"/>
  <c r="L2919" i="33"/>
  <c r="P2918" i="33" a="1"/>
  <c r="P2918" i="33" l="1"/>
  <c r="L2920" i="33"/>
  <c r="M2919" i="33"/>
  <c r="P2919" i="33" a="1"/>
  <c r="P2919" i="33" l="1"/>
  <c r="L2921" i="33"/>
  <c r="M2920" i="33"/>
  <c r="P2920" i="33" a="1"/>
  <c r="P2920" i="33" l="1"/>
  <c r="M2921" i="33"/>
  <c r="L2922" i="33"/>
  <c r="P2921" i="33" a="1"/>
  <c r="P2921" i="33" l="1"/>
  <c r="L2923" i="33"/>
  <c r="M2922" i="33"/>
  <c r="P2922" i="33" a="1"/>
  <c r="P2922" i="33" l="1"/>
  <c r="L2924" i="33"/>
  <c r="M2923" i="33"/>
  <c r="P2923" i="33" a="1"/>
  <c r="P2923" i="33" l="1"/>
  <c r="M2924" i="33"/>
  <c r="L2925" i="33"/>
  <c r="P2924" i="33" a="1"/>
  <c r="P2924" i="33" l="1"/>
  <c r="M2925" i="33"/>
  <c r="L2926" i="33"/>
  <c r="P2925" i="33" a="1"/>
  <c r="P2925" i="33" l="1"/>
  <c r="M2926" i="33"/>
  <c r="L2927" i="33"/>
  <c r="P2926" i="33" a="1"/>
  <c r="P2926" i="33" l="1"/>
  <c r="M2927" i="33"/>
  <c r="L2928" i="33"/>
  <c r="P2927" i="33" a="1"/>
  <c r="P2927" i="33" l="1"/>
  <c r="L2929" i="33"/>
  <c r="M2928" i="33"/>
  <c r="P2928" i="33" a="1"/>
  <c r="P2928" i="33" l="1"/>
  <c r="L2930" i="33"/>
  <c r="M2929" i="33"/>
  <c r="P2929" i="33" a="1"/>
  <c r="P2929" i="33" l="1"/>
  <c r="L2931" i="33"/>
  <c r="M2930" i="33"/>
  <c r="P2930" i="33" a="1"/>
  <c r="P2930" i="33" l="1"/>
  <c r="L2932" i="33"/>
  <c r="M2931" i="33"/>
  <c r="P2931" i="33" a="1"/>
  <c r="P2931" i="33" l="1"/>
  <c r="L2933" i="33"/>
  <c r="M2932" i="33"/>
  <c r="P2932" i="33" a="1"/>
  <c r="P2932" i="33" l="1"/>
  <c r="L2934" i="33"/>
  <c r="M2933" i="33"/>
  <c r="P2933" i="33" a="1"/>
  <c r="P2933" i="33" l="1"/>
  <c r="L2935" i="33"/>
  <c r="M2934" i="33"/>
  <c r="P2934" i="33" a="1"/>
  <c r="P2934" i="33" l="1"/>
  <c r="L2936" i="33"/>
  <c r="M2935" i="33"/>
  <c r="P2935" i="33" a="1"/>
  <c r="P2935" i="33" l="1"/>
  <c r="L2937" i="33"/>
  <c r="M2936" i="33"/>
  <c r="P2936" i="33" a="1"/>
  <c r="P2936" i="33" l="1"/>
  <c r="L2938" i="33"/>
  <c r="M2937" i="33"/>
  <c r="P2937" i="33" a="1"/>
  <c r="P2937" i="33" l="1"/>
  <c r="M2938" i="33"/>
  <c r="L2939" i="33"/>
  <c r="P2938" i="33" a="1"/>
  <c r="P2938" i="33" l="1"/>
  <c r="L2940" i="33"/>
  <c r="M2939" i="33"/>
  <c r="P2939" i="33" a="1"/>
  <c r="P2939" i="33" l="1"/>
  <c r="L2941" i="33"/>
  <c r="M2940" i="33"/>
  <c r="P2940" i="33" a="1"/>
  <c r="P2940" i="33" l="1"/>
  <c r="L2942" i="33"/>
  <c r="M2941" i="33"/>
  <c r="P2941" i="33" a="1"/>
  <c r="P2941" i="33" l="1"/>
  <c r="M2942" i="33"/>
  <c r="L2943" i="33"/>
  <c r="P2942" i="33" a="1"/>
  <c r="P2942" i="33" l="1"/>
  <c r="L2944" i="33"/>
  <c r="M2943" i="33"/>
  <c r="P2943" i="33" a="1"/>
  <c r="P2943" i="33" l="1"/>
  <c r="M2944" i="33"/>
  <c r="L2945" i="33"/>
  <c r="P2944" i="33" a="1"/>
  <c r="P2944" i="33" l="1"/>
  <c r="M2945" i="33"/>
  <c r="L2946" i="33"/>
  <c r="P2945" i="33" a="1"/>
  <c r="P2945" i="33" l="1"/>
  <c r="L2947" i="33"/>
  <c r="M2946" i="33"/>
  <c r="P2946" i="33" a="1"/>
  <c r="P2946" i="33" l="1"/>
  <c r="L2948" i="33"/>
  <c r="M2947" i="33"/>
  <c r="P2947" i="33" a="1"/>
  <c r="P2947" i="33" l="1"/>
  <c r="L2949" i="33"/>
  <c r="M2948" i="33"/>
  <c r="P2948" i="33" a="1"/>
  <c r="P2948" i="33" l="1"/>
  <c r="M2949" i="33"/>
  <c r="L2950" i="33"/>
  <c r="P2949" i="33" a="1"/>
  <c r="P2949" i="33" l="1"/>
  <c r="M2950" i="33"/>
  <c r="L2951" i="33"/>
  <c r="P2950" i="33" a="1"/>
  <c r="P2950" i="33" l="1"/>
  <c r="M2951" i="33"/>
  <c r="L2952" i="33"/>
  <c r="P2951" i="33" a="1"/>
  <c r="P2951" i="33" l="1"/>
  <c r="M2952" i="33"/>
  <c r="L2953" i="33"/>
  <c r="P2952" i="33" a="1"/>
  <c r="P2952" i="33" l="1"/>
  <c r="M2953" i="33"/>
  <c r="L2954" i="33"/>
  <c r="M2954" i="33" s="1"/>
  <c r="P2953" i="33" a="1"/>
  <c r="P2954" i="33" a="1"/>
  <c r="P2953" i="33" l="1"/>
  <c r="P295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Garg, Anoop (Analytical)</author>
  </authors>
  <commentList>
    <comment ref="J11" authorId="0" shapeId="0" xr:uid="{D36167E2-FA31-482B-BC4A-960C4C982041}">
      <text>
        <r>
          <rPr>
            <sz val="9"/>
            <color indexed="81"/>
            <rFont val="Tahoma"/>
            <family val="2"/>
          </rPr>
          <t>These filters apply to the company/group names list only.</t>
        </r>
      </text>
    </comment>
    <comment ref="M11" authorId="0" shapeId="0" xr:uid="{D6228761-8656-43C1-BC17-28ABC8A782B2}">
      <text>
        <r>
          <rPr>
            <sz val="9"/>
            <color indexed="81"/>
            <rFont val="Tahoma"/>
            <family val="2"/>
          </rPr>
          <t>These filters apply to the company/group names list only.</t>
        </r>
      </text>
    </comment>
    <comment ref="F54" authorId="0" shapeId="0" xr:uid="{783CFA08-41EA-42EA-A48F-18F9230CAB9E}">
      <text>
        <r>
          <rPr>
            <sz val="9"/>
            <color indexed="81"/>
            <rFont val="Tahoma"/>
            <family val="2"/>
          </rPr>
          <t>Please select curreny code on the Input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Garg, Anoop (Analytical)</author>
    <author>Delpuech, Charles-Marie (Analytical)</author>
    <author>buttonm</author>
    <author>Mark Button</author>
    <author>Forbes, Michael (Analytical)</author>
    <author>David Ingram</author>
  </authors>
  <commentList>
    <comment ref="G12" authorId="0" shapeId="0" xr:uid="{55680A11-F70F-4534-9B81-201B41BF7871}">
      <text>
        <r>
          <rPr>
            <sz val="9"/>
            <color indexed="81"/>
            <rFont val="Tahoma"/>
            <family val="2"/>
          </rPr>
          <t>The input value should reflect the number of units of the selected currency that 1 US Dollar can buy.
For example JPY for Year-end 2021,
1 USD = 115.10 JPY
you would input 115.10.</t>
        </r>
      </text>
    </comment>
    <comment ref="E17" authorId="1" shapeId="0" xr:uid="{7B556E0B-0CF5-495D-8A0E-EC1C9436F124}">
      <text>
        <r>
          <rPr>
            <sz val="9"/>
            <color indexed="81"/>
            <rFont val="Tahoma"/>
            <family val="2"/>
          </rPr>
          <t>Common shareholders’ equity (or regulatory surplus where we use the regulatory financial statements) is the starting point for determining ACE and TAC. 
For mutual companies, we may use policyholders’ surplus or net assets. Common shareholders’ equity excludes any minority interests, preferred stock, or hybrid securities that are included in total equity. 
Where we use regulatory surplus, we also exclude items that do not relate to common shareholders’ equity, such as the policyholder dividend liability. 
For group capital models that are not based on consolidated financial statements (for example, if the financial statements do not include the group parent), we deduct from common shareholders’ equity the total amount of hybrid equity and debt-funded capital that is funding the capital of the insurance entities (see the section on hybrid capital and debt-funded capital).
For capital models that are not based on consolidated financials, we typically deduct intragroup transactions from common shareholders’ equity (for example, a loan from a subsidiary to its parent in lieu of a dividend)
We include adjustments for other entities, such as the group parent, to ensure our capital analysis fully captures the resources and risks of the consolidated group.</t>
        </r>
      </text>
    </comment>
    <comment ref="E21" authorId="2" shapeId="0" xr:uid="{A9190945-933F-4BF2-AFB3-FC6FAAF23464}">
      <text>
        <r>
          <rPr>
            <sz val="9"/>
            <color indexed="81"/>
            <rFont val="Tahoma"/>
            <family val="2"/>
          </rPr>
          <t xml:space="preserve">We deduct from shareholders’ equity the expected dividend relating to the most recent financial year that is not accrued on the balance sheet to recognize capital expected to be paid out (including any expected distributions on other capital instruments included in equity). If an entity has not formally announced a dividend or if that information is otherwise unavailable, we deduct our estimate, based on factors such as the company's stated dividend policy or historical payouts. We also deduct dividends that will be paid in the form of ordinary shares unless there is a clear strategy not to eliminate the dilutive effect. If a company has withdrawn its proposed dividend (in effect canceling the proposed dividend), we will not deduct this amount from shareholders’ equity. But if a dividend has been proposed and then deferred, we will deduct this amount if we expect payment will be made within a year; otherwise, we will capture the deferred payment in our forecasts.
</t>
        </r>
      </text>
    </comment>
    <comment ref="E25" authorId="2" shapeId="0" xr:uid="{25A0D853-BE4D-49FB-8B99-D378B62D0D22}">
      <text>
        <r>
          <rPr>
            <sz val="9"/>
            <color indexed="81"/>
            <rFont val="Tahoma"/>
            <family val="2"/>
          </rPr>
          <t>Include only if shown as an asset on the balance sheet.</t>
        </r>
      </text>
    </comment>
    <comment ref="E29" authorId="3" shapeId="0" xr:uid="{9A234FC5-D762-40D0-8F30-63F3B5286190}">
      <text>
        <r>
          <rPr>
            <sz val="9"/>
            <color indexed="81"/>
            <rFont val="Tahoma"/>
            <family val="2"/>
          </rPr>
          <t>Exclude VOBA that may be allowed in Life VIF</t>
        </r>
        <r>
          <rPr>
            <sz val="8"/>
            <color indexed="81"/>
            <rFont val="Tahoma"/>
            <family val="2"/>
          </rPr>
          <t xml:space="preserve">
</t>
        </r>
      </text>
    </comment>
    <comment ref="E32" authorId="0" shapeId="0" xr:uid="{12030E19-6A35-43BF-B26A-CEEF2604A4E6}">
      <text>
        <r>
          <rPr>
            <sz val="9"/>
            <color indexed="81"/>
            <rFont val="Tahoma"/>
            <family val="2"/>
          </rPr>
          <t>We add to shareholders' equity unrealized investment gains (or deduct unrealized investment
losses) that are not included in reported equity (or surplus). This adjustment ensures we capture
the full market or fair value of investments in ACE and to align the valuation with the exposures we
use to determine capital requirements.
We may adjust the value of assets if we have doubts about the valuation of certain investments or
asset classes. For example, for property investments, we may consider factors such as the
frequency of conducting property valuations, whether the valuation is conducted by independent
parties, and whether the property is income producing. We are more likely to haircut the value if it
relates to development property or land that is not yet income generating.
For life insurers, we may exclude from ACE the unrealized gains and losses on fixed-income assets
if all or a meaningful portion of the life liabilities are valued at fixed discount rates and we do not
have sufficient information to determine or estimate their value based on nonfixed discount
curves.</t>
        </r>
      </text>
    </comment>
    <comment ref="E33" authorId="1" shapeId="0" xr:uid="{0827986F-9D9E-4F45-BEF5-70BC8B72B713}">
      <text>
        <r>
          <rPr>
            <sz val="9"/>
            <color indexed="81"/>
            <rFont val="Tahoma"/>
            <family val="2"/>
          </rPr>
          <t xml:space="preserve">We include the difference between the market value and book value of the group's shareholdings in listed associates and joint ventures that we determine the group does not control
</t>
        </r>
      </text>
    </comment>
    <comment ref="E34" authorId="1" shapeId="0" xr:uid="{A740BBD9-37FF-4512-95DB-84BE20F16EA2}">
      <text>
        <r>
          <rPr>
            <sz val="9"/>
            <color indexed="81"/>
            <rFont val="Tahoma"/>
            <family val="2"/>
          </rPr>
          <t xml:space="preserve">We include the difference between the market value and book value of the group's shareholdings in listed associates and joint ventures that we determine the group does not control
</t>
        </r>
      </text>
    </comment>
    <comment ref="E37" authorId="1" shapeId="0" xr:uid="{D2BAB7F4-1BCA-4FF2-B119-5EA979B55A08}">
      <text>
        <r>
          <rPr>
            <sz val="9"/>
            <color indexed="81"/>
            <rFont val="Tahoma"/>
            <family val="2"/>
          </rPr>
          <t>Insert amount of non-life technical reserves that is reported on an undiscounted basis. 
Non-life technical reserves are undiscounted reserves net of reinsurers' share of technical reserves and  excluding other equity like non-life reserves. It includes both outstanding claims and premium provisions and is net of non-life deferred acquisition costs. We also typically deduct premium receivables.</t>
        </r>
      </text>
    </comment>
    <comment ref="E38" authorId="1" shapeId="0" xr:uid="{FE98B29B-0CA6-4B1B-B79B-10F6B6A1ABAD}">
      <text>
        <r>
          <rPr>
            <sz val="9"/>
            <color indexed="81"/>
            <rFont val="Tahoma"/>
            <family val="2"/>
          </rPr>
          <t xml:space="preserve">Insert amount of non-life technical reserves that is reported on a discounted basis. 
Non-life technical reserves are undiscounted reserves net of reinsurers' share of technical reserves and  excluding other equity like non-life reserves. It includes both outstanding claims and premium provisions and is net of non-life deferred acquisition costs. We also typically deduct premium receivables.
 </t>
        </r>
      </text>
    </comment>
    <comment ref="E40" authorId="2" shapeId="0" xr:uid="{8C0E5E29-043D-4787-A72A-42187E7A96B3}">
      <text>
        <r>
          <rPr>
            <sz val="9"/>
            <color indexed="81"/>
            <rFont val="Tahoma"/>
            <family val="2"/>
          </rPr>
          <t xml:space="preserve">Include the difference between the undiscounted and the discounted non-life loss reserves included on-balance sheet.
</t>
        </r>
      </text>
    </comment>
    <comment ref="E41" authorId="1" shapeId="0" xr:uid="{DFB328EC-D5DD-4E74-9FD6-D008352409CD}">
      <text>
        <r>
          <rPr>
            <sz val="9"/>
            <color indexed="81"/>
            <rFont val="Tahoma"/>
            <family val="2"/>
          </rPr>
          <t xml:space="preserve">We typically use the yield to maturity on a government bond of a term that is the closest available to the mean term of the technical reserves. The applicable government bond yield is the one that we believe is most relevant given the currency of the technical reserves (this is not necessarily the reporting currency). Where material, we may apply a weighted average government bond yield for technical reserves denominated in different currencies.
</t>
        </r>
      </text>
    </comment>
    <comment ref="E42" authorId="1" shapeId="0" xr:uid="{B75EAEEC-208E-4FAC-BF74-9E10365A91F5}">
      <text>
        <r>
          <rPr>
            <sz val="9"/>
            <color indexed="81"/>
            <rFont val="Tahoma"/>
            <family val="2"/>
          </rPr>
          <t xml:space="preserve">Only calculated on undiscounted reserves as per amount in F37.
</t>
        </r>
      </text>
    </comment>
    <comment ref="E43" authorId="0" shapeId="0" xr:uid="{1127C69D-5490-451F-BC8F-6F4D15748602}">
      <text>
        <r>
          <rPr>
            <sz val="9"/>
            <color indexed="81"/>
            <rFont val="Tahoma"/>
            <family val="2"/>
          </rPr>
          <t>Where we determine that a company's reserves are either deficient or in surplus compared with our view of the best estimate (for example, by our own reserve analysis, external actuarial review, or explicit margins required by regulation), we will include an adjustment for the surplus or deficit in ACE</t>
        </r>
      </text>
    </comment>
    <comment ref="E44" authorId="2" shapeId="0" xr:uid="{1B401416-B293-440A-B659-901268CAF99E}">
      <text>
        <r>
          <rPr>
            <sz val="9"/>
            <color indexed="81"/>
            <rFont val="Tahoma"/>
            <family val="2"/>
          </rPr>
          <t>Other equity-like reserves that are available to absorb future unexpected non-life losses, such as equalization, catastrophe reserves, Contractual service margin and Risk adjustment (IFRS 17)
We include these reserves net of any associated on-balance-sheet tax impact (e.g., a related deferred tax asset) or tax-adjust them otherwise. We do not typically tax-adjust equity-like reserves that are tax deductible</t>
        </r>
      </text>
    </comment>
    <comment ref="E45" authorId="2" shapeId="0" xr:uid="{1F9532CE-E714-496C-862E-6F07D7913566}">
      <text>
        <r>
          <rPr>
            <sz val="9"/>
            <color indexed="81"/>
            <rFont val="Tahoma"/>
            <family val="2"/>
          </rPr>
          <t xml:space="preserve">Only include when another amount than on balance sheet loss reserve discount as entered in F40 shoud be used. Please enter the discount amount to be used instead.
</t>
        </r>
      </text>
    </comment>
    <comment ref="E48" authorId="1" shapeId="0" xr:uid="{550D9039-678B-4FFA-AAFC-E0B3644F346D}">
      <text>
        <r>
          <rPr>
            <sz val="9"/>
            <color indexed="81"/>
            <rFont val="Tahoma"/>
            <family val="2"/>
          </rPr>
          <t xml:space="preserve">Amount value of Life Value  in force in excess of On-balance sheet life DAC/VOBA/VIF (net of tax).
</t>
        </r>
      </text>
    </comment>
    <comment ref="E49" authorId="1" shapeId="0" xr:uid="{EE2FFE04-3FD5-4433-8EBA-74494F24D3DD}">
      <text>
        <r>
          <rPr>
            <sz val="9"/>
            <color indexed="81"/>
            <rFont val="Tahoma"/>
            <family val="2"/>
          </rPr>
          <t xml:space="preserve">Include items that are reported as asset and are viewed as Life Value in Force e.g. DAC/VOBA/VIF
</t>
        </r>
      </text>
    </comment>
    <comment ref="E50" authorId="2" shapeId="0" xr:uid="{D7D15B9A-2869-4AD2-A8DA-6595B02B020A}">
      <text>
        <r>
          <rPr>
            <sz val="9"/>
            <color indexed="81"/>
            <rFont val="Tahoma"/>
            <family val="2"/>
          </rPr>
          <t>We include in ACE other equity-like life reserves that we determine are available to absorb future unexpected losses. We include these reserves when they are explicitly identified as a reserve item in excess of best estimate reserves in the reported financial statements that we use for our capital analysis. These explicit reserves are typically required to be established under the relevant regulatory rules or accounting standards. When not explicitly identified, we may use information that is reported under different reporting standards (e.g., regulatory solvency statements) to determine the excess over best estimate, but only to the extent the excess does not result from future profits related to future fees or investment income, but rather from conservatism in other assumptions (e.g. mortality assumptions). We include these reserves net of any associated on-balance-sheet tax impact (e.g., related deferred tax assets), or tax adjust them otherwise. We do not typically tax-adjust equity-like reserves that are tax
deductible.
E.g include Contractual service margin (IFRS 17), Risk adjustment (IFRS 17), Excess XXX/AXXX reserves (U.S. statutory); Provision for adverse deviations (PfADs), Excess liability reserves (Japanese GAAP), Contingency reserves, Asset valuation reserves (U.S. statutory), and Interest maintenance reserves (U.S. statutory).</t>
        </r>
      </text>
    </comment>
    <comment ref="E51" authorId="2" shapeId="0" xr:uid="{9CD31E7F-1524-459F-ACE3-FFF5D14A355F}">
      <text>
        <r>
          <rPr>
            <sz val="9"/>
            <color indexed="81"/>
            <rFont val="Tahoma"/>
            <family val="2"/>
          </rPr>
          <t xml:space="preserve">Enter a negative value in case where valuation of reserves is deemed to underestimate the impact of current interest rate.
A negative value will reduce TAC.
Enter a positive value in case where valuation of reserves is deemed to overestimate the impact of current interest rate.
A positive value will increase TAC.
Life reserve valuation adjustment: When there is a mismatch between the valuations of assets and liabilities, we apply an adjustment to the life reserves to determine ACE. This usually occurs when we have included in ACE the unrealized gains and losses on fixed income assets some or all of the life liabilities are valued at fixed discount rates (i.e., they are not sensitive to current market interest rates)
Where we have excluded from ACE the unrealized gains and losses on fixed income assets, we may also apply an adjustment to the value of life liabilities (if any) that are based on non-fixed discount curves, to be consistent with the valuation bases for the rest of the liabilities and the fixed income assets.  
We also include in the life reserve valuation adjustment the unrealized gains and losses on all investments backing participating policyholders' liabilities when we include them in the adjustment for unrealized gains and losses to determine ACE. 
</t>
        </r>
      </text>
    </comment>
    <comment ref="E53" authorId="1" shapeId="0" xr:uid="{71F84484-7A80-444C-A782-93A08C518AF7}">
      <text>
        <r>
          <rPr>
            <b/>
            <sz val="9"/>
            <color indexed="81"/>
            <rFont val="Tahoma"/>
            <family val="2"/>
          </rPr>
          <t xml:space="preserve">For non-mutual only.
</t>
        </r>
        <r>
          <rPr>
            <sz val="9"/>
            <color indexed="81"/>
            <rFont val="Tahoma"/>
            <family val="2"/>
          </rPr>
          <t xml:space="preserve">For mutual, policyholder's surplus should be entered in cell F17.
We include policyholder capital in TAC when, in our view, it meets all the following conditions:
• It relates to life insurance (or savings) business;
• It is available to absorb losses across the entity;
• It is not restricted to absorbing losses in a segregated, or ring-fenced, fund (see also the section on capital charges for participating life business in ring-fenced funds); and
• It does not relate to the expected value of future discretionary benefits included in technical provisions.
We include policyholder capital net of any associated on-balance sheet tax impact, but we do not otherwise apply tax-effect adjustments
</t>
        </r>
      </text>
    </comment>
    <comment ref="E55" authorId="0" shapeId="0" xr:uid="{0008E3EB-C94B-4568-AAC4-1AE3FAD3F775}">
      <text>
        <r>
          <rPr>
            <sz val="9"/>
            <color indexed="81"/>
            <rFont val="Tahoma"/>
            <family val="2"/>
          </rPr>
          <t>We include unrealized gains on investments backing participating policyholders’ liabilities where we determine that they
 i) are available to absorb losses;
 ii) would not otherwise be recognized in TAC; and
 iii) do not relate to participating life business in ring-fenced funds.
We do not typically view unrealized gains on bonds backing participating life business as available to absorb losses.</t>
        </r>
      </text>
    </comment>
    <comment ref="E60" authorId="0" shapeId="0" xr:uid="{6E0E9908-A332-40AF-98D3-D3310C1E57C6}">
      <text>
        <r>
          <rPr>
            <sz val="9"/>
            <color indexed="81"/>
            <rFont val="Tahoma"/>
            <family val="2"/>
          </rPr>
          <t>Include all no equity content hybrids even if eligible as debt funded capital</t>
        </r>
      </text>
    </comment>
    <comment ref="E61" authorId="1" shapeId="0" xr:uid="{E1469177-74DC-43A5-95FF-E14C148C3D31}">
      <text>
        <r>
          <rPr>
            <sz val="9"/>
            <color indexed="81"/>
            <rFont val="Tahoma"/>
            <family val="2"/>
          </rPr>
          <t xml:space="preserve">Needed to calculate F70
Amount is also included in F60, F64 and/or F65
</t>
        </r>
      </text>
    </comment>
    <comment ref="E63" authorId="0" shapeId="0" xr:uid="{68EA6DD7-2829-493F-97DB-EC72052647BF}">
      <text>
        <r>
          <rPr>
            <b/>
            <sz val="9"/>
            <color indexed="81"/>
            <rFont val="Tahoma"/>
            <family val="2"/>
          </rPr>
          <t xml:space="preserve">Debt instruments that are issued by an NOHC (or a financing subsidiary of an NOHC) are eligible as debt-funded capital where, in addition to all the conditions in the following paragraph being met, either:
</t>
        </r>
        <r>
          <rPr>
            <sz val="9"/>
            <color indexed="81"/>
            <rFont val="Tahoma"/>
            <family val="2"/>
          </rPr>
          <t xml:space="preserve">- There is high structural subordination of creditors of the NOHC relative to senior creditors of the regulated operating entities (we consider structural subordination high when potential regulatory restrictions to payment are high between regulated operating entities and the NOHC--typically this is when the NOHC is outside the regulatory perimeter); or
- If there is low structural subordination of creditors of the NOHC relative to senior creditors of the regulated operating entities, the NOHC debt instrument is available and able to absorb losses through coupon deferral or cancellation or through principal deferral, write-down, or conversion without causing an event of default.
</t>
        </r>
        <r>
          <rPr>
            <b/>
            <sz val="9"/>
            <color indexed="81"/>
            <rFont val="Tahoma"/>
            <family val="2"/>
          </rPr>
          <t xml:space="preserve">Debt instruments are eligible as debt-funded capital only where all the following conditions are met:
</t>
        </r>
        <r>
          <rPr>
            <sz val="9"/>
            <color indexed="81"/>
            <rFont val="Tahoma"/>
            <family val="2"/>
          </rPr>
          <t xml:space="preserve">- The regulator allows NOHC debt to fund operating company capital (we exclude amounts that exceed any regulatory tolerance limits);
- If the NOHC is inside the regulatory perimeter, the debt instrument is included as regulatory capital in group solvency calculations (we exclude any portion of the instrument that is not included as regulatory capital);
- The residual time until the effective maturity exceeds one year (we apply the definition of effective maturity from our hybrid capital criteria);
- The NOHC directly or indirectly owns the regulated operating entities and is not owned directly or indirectly by regulated insurance operating entities (and any financing subsidiary is not owned directly or indirectly by regulated insurance operating entities);
- None of the NOHC's (or financing subsidiary of the NOHC's) financial obligations are guaranteed by regulated operating entities;
- In our view, the proceeds from the debt instrument are available to the regulated operating entities to absorb losses on a going-concern basis (for example, debt raised to fund nonregulated activities or debt that we define as operational leverage is not eligible as debt-funded capital); and
- The debt instrument is not an eligible intermediate- or high-equity-content hybrid capital instrument.
</t>
        </r>
      </text>
    </comment>
    <comment ref="E64" authorId="0" shapeId="0" xr:uid="{658A70A4-B39C-421E-A3C7-8E9951C54CF6}">
      <text>
        <r>
          <rPr>
            <sz val="9"/>
            <color indexed="81"/>
            <rFont val="Tahoma"/>
            <family val="2"/>
          </rPr>
          <t xml:space="preserve">Where there is high structural subordination, include NOHC debt eligible as debt-funded capital. This includes no-equity-content hybrid capital instrument included in cell F61 and that are eligible as debt-funded capital.
</t>
        </r>
      </text>
    </comment>
    <comment ref="E65" authorId="0" shapeId="0" xr:uid="{3C720F4E-24E5-43F9-85CF-12D3A1E290F5}">
      <text>
        <r>
          <rPr>
            <sz val="9"/>
            <color indexed="81"/>
            <rFont val="Tahoma"/>
            <family val="2"/>
          </rPr>
          <t xml:space="preserve">Where there is high structural subordination, include NOHC debt eligible as debt-funded capital. This includes no-equity-content hybrid capital instrument included in cell F61 and that are eligible as debt-funded capital.
</t>
        </r>
      </text>
    </comment>
    <comment ref="E67" authorId="0" shapeId="0" xr:uid="{50712E03-0D18-4D7C-989E-A3C523736E9D}">
      <text>
        <r>
          <rPr>
            <sz val="9"/>
            <color indexed="81"/>
            <rFont val="Tahoma"/>
            <family val="2"/>
          </rPr>
          <t xml:space="preserve">A key factor in including the proceeds from NOHC debt issuances in TAC is our view that these resources are available to absorb losses in regulated operating entities. Cash and investments retained on the balance sheet of an NOHC indicate that the group's capital resources are not fully deployed in regulated operating entities. Where  there
is high structural subordination, we apply a 20% haircut to the value of these NOHC assets to determine the amount to include in our calculation of TAC. We may apply a higher haircut if we have heightened doubts about the availability of the group's capital resources to absorb losses in operating entities--for example, we may apply a 50% haircut when the group stand-alone credit profile is 'bb+' or lower. We may also adjust the value of NOHC assets that are subject to the haircut--for example, to exclude NOHC assets that i) are being held to pay an external dividend that we have already deducted from shareholders' equity, or ii) relate to debt that is not eligible as debt-funded capital. We limit the total value of the haircut to the amount of eligible debt-funded capital included in TAC, but only to the extent the debt-funded capital relates to debt issued by an NOHC, where there is high structural subordination
</t>
        </r>
      </text>
    </comment>
    <comment ref="E68" authorId="0" shapeId="0" xr:uid="{A72B7D7C-7D62-4AFE-826E-8A11E5F45416}">
      <text>
        <r>
          <rPr>
            <sz val="9"/>
            <color indexed="81"/>
            <rFont val="Tahoma"/>
            <family val="2"/>
          </rPr>
          <t>Where there is high structural subordination, we apply a 20% haircut to the value of these NOHC assets to determine the amount to include in our calculation of TAC</t>
        </r>
      </text>
    </comment>
    <comment ref="E73" authorId="1" shapeId="0" xr:uid="{01A213B7-6CAE-4A3E-8035-6EF3A18F73AD}">
      <text>
        <r>
          <rPr>
            <sz val="9"/>
            <color indexed="81"/>
            <rFont val="Tahoma"/>
            <family val="2"/>
          </rPr>
          <t xml:space="preserve">Subject to adjustment
</t>
        </r>
      </text>
    </comment>
    <comment ref="E74" authorId="1" shapeId="0" xr:uid="{20CD2531-8FC3-4795-9752-D8029B2A3A58}">
      <text>
        <r>
          <rPr>
            <sz val="9"/>
            <color indexed="81"/>
            <rFont val="Tahoma"/>
            <family val="2"/>
          </rPr>
          <t>Subject to adjustment
We typically consolidate material unconsolidated insurance entities that we determine are group members (i.e., entities that are controlled by the group). Where the data is otherwise unavailable or the entity is immaterial, we deduct the investment in the unconsolidated insurance entity from ACE to determine TAC. We may adjust for any under- or overcapitalization of the entity.</t>
        </r>
      </text>
    </comment>
    <comment ref="F81" authorId="0" shapeId="0" xr:uid="{2DAA076A-F627-46F7-B805-FCA0D6634430}">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F89" authorId="0" shapeId="0" xr:uid="{7D213E22-9804-46EA-8648-F3468864F66B}">
      <text>
        <r>
          <rPr>
            <sz val="9"/>
            <color indexed="81"/>
            <rFont val="Tahoma"/>
            <family val="2"/>
          </rPr>
          <t>Senior unsecured bonds and loans (corporates, financials, and non-LRG public-sector obligors)</t>
        </r>
      </text>
    </comment>
    <comment ref="F97" authorId="0" shapeId="0" xr:uid="{9193D349-4A11-479B-B0E2-BAB19FDF5A8A}">
      <text>
        <r>
          <rPr>
            <sz val="9"/>
            <color indexed="81"/>
            <rFont val="Tahoma"/>
            <family val="2"/>
          </rPr>
          <t>Subordinated bonds and loans, and preferred stock (corporates, financials, non-LRG public sector obligors, and infrastructure)</t>
        </r>
      </text>
    </comment>
    <comment ref="F105" authorId="0" shapeId="0" xr:uid="{5D2D4914-9345-46DD-9F2C-8F65DECB13F7}">
      <text>
        <r>
          <rPr>
            <sz val="9"/>
            <color indexed="81"/>
            <rFont val="Tahoma"/>
            <family val="2"/>
          </rPr>
          <t>Structured finance, including non-agency RMBS, non-agency CMBS, CLO, CDO, and ABS.   </t>
        </r>
      </text>
    </comment>
    <comment ref="F121" authorId="0" shapeId="0" xr:uid="{D6A712CC-BCF5-4A9A-9592-24AF9F39D88E}">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F129" authorId="0" shapeId="0" xr:uid="{B7CEC532-E9C4-4E11-9740-FCD44BF30DA2}">
      <text>
        <r>
          <rPr>
            <sz val="9"/>
            <color indexed="81"/>
            <rFont val="Tahoma"/>
            <family val="2"/>
          </rPr>
          <t>Senior unsecured bonds and loans (corporates, financials, and non-LRG public-sector obligors)</t>
        </r>
      </text>
    </comment>
    <comment ref="F137" authorId="0" shapeId="0" xr:uid="{62F73DD8-F186-4F6E-A820-6F47F23ECBA7}">
      <text>
        <r>
          <rPr>
            <sz val="9"/>
            <color indexed="81"/>
            <rFont val="Tahoma"/>
            <family val="2"/>
          </rPr>
          <t>Subordinated bonds and loans, and preferred stock (corporates, financials, non-LRG public sector obligors, and infrastructure)</t>
        </r>
      </text>
    </comment>
    <comment ref="F145" authorId="0" shapeId="0" xr:uid="{55FCEC68-05D4-4AF9-80F0-0A00EF7DDFF4}">
      <text>
        <r>
          <rPr>
            <sz val="9"/>
            <color indexed="81"/>
            <rFont val="Tahoma"/>
            <family val="2"/>
          </rPr>
          <t>Structured finance, including non-agency RMBS, non-agency CMBS, CLO, CDO, and ABS.   </t>
        </r>
      </text>
    </comment>
    <comment ref="F154" authorId="0" shapeId="0" xr:uid="{6F689DF1-4F02-4DAF-890F-81940FE144F2}">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F162" authorId="0" shapeId="0" xr:uid="{D49FCBC5-B922-45F1-9D00-0A5294F055B8}">
      <text>
        <r>
          <rPr>
            <sz val="9"/>
            <color indexed="81"/>
            <rFont val="Tahoma"/>
            <family val="2"/>
          </rPr>
          <t>Senior unsecured bonds and loans (corporates, financials, and non-LRG public-sector obligors)</t>
        </r>
      </text>
    </comment>
    <comment ref="F170" authorId="0" shapeId="0" xr:uid="{6D839E73-EBEB-4FCD-AEF8-9D26A3026CB3}">
      <text>
        <r>
          <rPr>
            <sz val="9"/>
            <color indexed="81"/>
            <rFont val="Tahoma"/>
            <family val="2"/>
          </rPr>
          <t>Subordinated bonds and loans, and preferred stock (corporates, financials, non-LRG public sector obligors, and infrastructure)</t>
        </r>
      </text>
    </comment>
    <comment ref="F178" authorId="0" shapeId="0" xr:uid="{0F6679FE-0C6A-4D98-9D76-E53B6FB4C5D2}">
      <text>
        <r>
          <rPr>
            <sz val="9"/>
            <color indexed="81"/>
            <rFont val="Tahoma"/>
            <family val="2"/>
          </rPr>
          <t>Structured finance, including non-agency RMBS, non-agency CMBS, CLO, CDO, and ABS.   </t>
        </r>
      </text>
    </comment>
    <comment ref="B187" authorId="0" shapeId="0" xr:uid="{D45CB92F-2143-41EA-A8A0-5FBAC50A8FD0}">
      <text>
        <r>
          <rPr>
            <sz val="9"/>
            <color indexed="81"/>
            <rFont val="Tahoma"/>
            <family val="2"/>
          </rPr>
          <t>Please use the "NA" column when BICRA is not available or when we determine that a bond or loan is vulnerable to non-payment.</t>
        </r>
      </text>
    </comment>
    <comment ref="E189" authorId="0" shapeId="0" xr:uid="{1C6E42AC-D860-481F-8168-60F793B05A09}">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E199" authorId="0" shapeId="0" xr:uid="{E1CD2AC1-7840-411B-9A21-4DE6A6B3EB8A}">
      <text>
        <r>
          <rPr>
            <sz val="9"/>
            <color indexed="81"/>
            <rFont val="Tahoma"/>
            <family val="2"/>
          </rPr>
          <t>Senior unsecured bonds and loans (corporates, financials, and non-LRG public-sector obligors)</t>
        </r>
      </text>
    </comment>
    <comment ref="E209" authorId="0" shapeId="0" xr:uid="{72D97A3D-01CF-44DD-B1EB-59BF7E7627D9}">
      <text>
        <r>
          <rPr>
            <sz val="9"/>
            <color indexed="81"/>
            <rFont val="Tahoma"/>
            <family val="2"/>
          </rPr>
          <t>Subordinated bonds and loans, and preferred stock (corporates, financials, non-LRG public sector obligors, and infrastructure)</t>
        </r>
      </text>
    </comment>
    <comment ref="E219" authorId="0" shapeId="0" xr:uid="{ABBE11DC-D286-4166-A9C8-2EDEEC422EF1}">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E229" authorId="0" shapeId="0" xr:uid="{25DEEC0D-2998-4F10-BBE2-91340EAEF209}">
      <text>
        <r>
          <rPr>
            <sz val="9"/>
            <color indexed="81"/>
            <rFont val="Tahoma"/>
            <family val="2"/>
          </rPr>
          <t>Senior unsecured bonds and loans (corporates, financials, and non-LRG public-sector obligors)</t>
        </r>
      </text>
    </comment>
    <comment ref="E239" authorId="0" shapeId="0" xr:uid="{9C5ED42E-18D0-4E4E-ABCC-2884F6D66D0E}">
      <text>
        <r>
          <rPr>
            <sz val="9"/>
            <color indexed="81"/>
            <rFont val="Tahoma"/>
            <family val="2"/>
          </rPr>
          <t>Subordinated bonds and loans, and preferred stock (corporates, financials, non-LRG public sector obligors, and infrastructure)</t>
        </r>
      </text>
    </comment>
    <comment ref="E249" authorId="0" shapeId="0" xr:uid="{293F6EA6-7368-4C8E-8844-79944AA518E0}">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E259" authorId="0" shapeId="0" xr:uid="{30658094-F30D-48A1-9362-CBD78DD5FA71}">
      <text>
        <r>
          <rPr>
            <sz val="9"/>
            <color indexed="81"/>
            <rFont val="Tahoma"/>
            <family val="2"/>
          </rPr>
          <t>Senior unsecured bonds and loans (corporates, financials, and non-LRG public-sector obligors)</t>
        </r>
      </text>
    </comment>
    <comment ref="E269" authorId="0" shapeId="0" xr:uid="{FFDE73CB-E684-4340-A830-A1A317A4838F}">
      <text>
        <r>
          <rPr>
            <sz val="9"/>
            <color indexed="81"/>
            <rFont val="Tahoma"/>
            <family val="2"/>
          </rPr>
          <t>Subordinated bonds and loans, and preferred stock (corporates, financials, non-LRG public sector obligors, and infrastructure)</t>
        </r>
      </text>
    </comment>
    <comment ref="E279" authorId="0" shapeId="0" xr:uid="{BDB008A0-7F30-467F-86A0-924CDFC1D4A9}">
      <text>
        <r>
          <rPr>
            <sz val="9"/>
            <color indexed="81"/>
            <rFont val="Tahoma"/>
            <family val="2"/>
          </rPr>
          <t>Structured finance, including non-agency RMBS, non-agency CMBS, CLO, CDO, and ABS.   </t>
        </r>
      </text>
    </comment>
    <comment ref="H279" authorId="0" shapeId="0" xr:uid="{4C6698DB-1739-416A-A234-6880AF261E9E}">
      <text>
        <r>
          <rPr>
            <sz val="9"/>
            <color indexed="81"/>
            <rFont val="Tahoma"/>
            <family val="2"/>
          </rPr>
          <t>Includes the senior most tranche of a securitization.</t>
        </r>
      </text>
    </comment>
    <comment ref="E289" authorId="0" shapeId="0" xr:uid="{D1585C00-3575-4CE8-A357-A191DD038369}">
      <text>
        <r>
          <rPr>
            <sz val="9"/>
            <color indexed="81"/>
            <rFont val="Tahoma"/>
            <family val="2"/>
          </rPr>
          <t>Structured finance, including non-agency RMBS, non-agency CMBS, CLO, CDO, and ABS.   </t>
        </r>
      </text>
    </comment>
    <comment ref="H289" authorId="0" shapeId="0" xr:uid="{E2D9D97D-D3FD-4384-BDB6-303AAE279ED8}">
      <text>
        <r>
          <rPr>
            <sz val="9"/>
            <color indexed="81"/>
            <rFont val="Tahoma"/>
            <family val="2"/>
          </rPr>
          <t>Includes all tranches between the senior and junior tranches.</t>
        </r>
      </text>
    </comment>
    <comment ref="E299" authorId="0" shapeId="0" xr:uid="{00798AD0-D397-4E08-9068-FC2B5789B7A9}">
      <text>
        <r>
          <rPr>
            <sz val="9"/>
            <color indexed="81"/>
            <rFont val="Tahoma"/>
            <family val="2"/>
          </rPr>
          <t>Structured finance, including non-agency RMBS, non-agency CMBS, CLO, CDO, and ABS.   </t>
        </r>
      </text>
    </comment>
    <comment ref="H299" authorId="0" shapeId="0" xr:uid="{8584C5D4-B89B-457E-98E6-189D47062A3E}">
      <text>
        <r>
          <rPr>
            <sz val="9"/>
            <color indexed="81"/>
            <rFont val="Tahoma"/>
            <family val="2"/>
          </rPr>
          <t>Includes the junior-most debt tranche of a securitization (and any equity tranche). We typically include all tranches of re-securitizations in this category, such as CLO combo notes.</t>
        </r>
      </text>
    </comment>
    <comment ref="B315" authorId="1" shapeId="0" xr:uid="{8E62C016-8B81-4B4C-B0BC-3518A30CFB6E}">
      <text>
        <r>
          <rPr>
            <sz val="9"/>
            <color indexed="81"/>
            <rFont val="Tahoma"/>
            <family val="2"/>
          </rPr>
          <t xml:space="preserve">Relevant credit rating used for assessing credit risk on Bonds and loans unrated by S&amp;P, without alternative rating measure and where BICRA available. 
</t>
        </r>
      </text>
    </comment>
    <comment ref="B319" authorId="1" shapeId="0" xr:uid="{D92447F6-0D5B-42F3-AFD8-DD6E936400C7}">
      <text>
        <r>
          <rPr>
            <sz val="9"/>
            <color indexed="81"/>
            <rFont val="Tahoma"/>
            <family val="2"/>
          </rPr>
          <t xml:space="preserve">Relevant credit rating used for assessing credit risk on Bonds and loans unrated by S&amp;P, without alternative rating measure and where BICRA available. 
</t>
        </r>
      </text>
    </comment>
    <comment ref="B323" authorId="1" shapeId="0" xr:uid="{64C40043-0FA9-47A2-AEE6-81246DD1F4C6}">
      <text>
        <r>
          <rPr>
            <sz val="9"/>
            <color indexed="81"/>
            <rFont val="Tahoma"/>
            <family val="2"/>
          </rPr>
          <t xml:space="preserve">Relevant credit rating used for assessing credit risk on Bonds and loans unrated by S&amp;P, without alternative rating measure and where BICRA available. 
</t>
        </r>
      </text>
    </comment>
    <comment ref="B327" authorId="1" shapeId="0" xr:uid="{C96A7E46-445E-4ADB-AF50-53228ADFB763}">
      <text>
        <r>
          <rPr>
            <sz val="9"/>
            <color indexed="81"/>
            <rFont val="Tahoma"/>
            <family val="2"/>
          </rPr>
          <t xml:space="preserve">Relevant credit rating used for assessing credit risk on Bonds and loans unrated by S&amp;P, without alternative rating measure and where BICRA available. 
</t>
        </r>
      </text>
    </comment>
    <comment ref="B331" authorId="1" shapeId="0" xr:uid="{566DFCC6-0B94-4A88-B36B-33ACB2A67A3E}">
      <text>
        <r>
          <rPr>
            <sz val="9"/>
            <color indexed="81"/>
            <rFont val="Tahoma"/>
            <family val="2"/>
          </rPr>
          <t xml:space="preserve">Relevant credit rating used for assessing credit risk on Bonds and loans unrated by S&amp;P, without alternative rating measure and where BICRA available. 
</t>
        </r>
      </text>
    </comment>
    <comment ref="B335" authorId="1" shapeId="0" xr:uid="{0E17066B-1168-4BF8-AA2C-04B4FAC3DE7C}">
      <text>
        <r>
          <rPr>
            <sz val="9"/>
            <color indexed="81"/>
            <rFont val="Tahoma"/>
            <family val="2"/>
          </rPr>
          <t xml:space="preserve">Relevant credit rating used for assessing credit risk on Bonds and loans unrated by S&amp;P, without alternative rating measure and where BICRA available. 
</t>
        </r>
      </text>
    </comment>
    <comment ref="H343" authorId="0" shapeId="0" xr:uid="{7AB4718B-A90F-4138-A4B1-ECBAE61A19A2}">
      <text>
        <r>
          <rPr>
            <sz val="9"/>
            <color indexed="81"/>
            <rFont val="Tahoma"/>
            <family val="2"/>
          </rPr>
          <t xml:space="preserve">Please check inputs in cells Listed (F), Unlisted (G) and Infrastructure (L) columns. The total should match Total Equity input in column F.
</t>
        </r>
      </text>
    </comment>
    <comment ref="H345" authorId="0" shapeId="0" xr:uid="{56555CF4-6347-4BD3-90BE-1CDDB471CCA1}">
      <text>
        <r>
          <rPr>
            <sz val="9"/>
            <color indexed="81"/>
            <rFont val="Tahoma"/>
            <family val="2"/>
          </rPr>
          <t xml:space="preserve">Input if equity exposure is relevant
For instance, for Associates purely engaged in Real Estate activities, consider input under Property holding 
</t>
        </r>
      </text>
    </comment>
    <comment ref="I345" authorId="0" shapeId="0" xr:uid="{B5A62064-4D67-4F01-9564-FC53EC8855B8}">
      <text>
        <r>
          <rPr>
            <sz val="9"/>
            <color indexed="81"/>
            <rFont val="Tahoma"/>
            <family val="2"/>
          </rPr>
          <t xml:space="preserve">Input if equity exposure is relevant
For instance, for Associates purely engaged in Real Estate activities, consider input under Property holding 
</t>
        </r>
      </text>
    </comment>
    <comment ref="L345" authorId="0" shapeId="0" xr:uid="{65C6AFC3-8220-4D8A-9FE1-DFF432A4CD20}">
      <text>
        <r>
          <rPr>
            <sz val="9"/>
            <color indexed="81"/>
            <rFont val="Tahoma"/>
            <family val="2"/>
          </rPr>
          <t xml:space="preserve">Eligible infrastructure equities that are
 i) in the operational phase;
 ii) regulated or contractually protected so that they generate predictable operational cash flows; and
 iii) part of a diverse infrastructure equity portfolio.
</t>
        </r>
      </text>
    </comment>
    <comment ref="E346" authorId="0" shapeId="0" xr:uid="{75F58D27-FD4B-4448-AD73-CD72277FBF75}">
      <text>
        <r>
          <rPr>
            <sz val="9"/>
            <color indexed="81"/>
            <rFont val="Tahoma"/>
            <family val="2"/>
          </rPr>
          <t>Switzerland, U.K., U.S.</t>
        </r>
      </text>
    </comment>
    <comment ref="K346" authorId="0" shapeId="0" xr:uid="{55377D5A-AED1-4E50-A005-2680FA66D476}">
      <text>
        <r>
          <rPr>
            <sz val="9"/>
            <color indexed="81"/>
            <rFont val="Tahoma"/>
            <family val="2"/>
          </rPr>
          <t>Australia, Canada, Chile, EU, Hong Kong, Israel, Japan, Malaysia, New Zealand, Norway, Switzerland, Singapore, South Korea, Taiwan, UK, US</t>
        </r>
      </text>
    </comment>
    <comment ref="E347" authorId="0" shapeId="0" xr:uid="{F90B8DBB-6A56-4B22-859D-B8E2C09BA7A1}">
      <text>
        <r>
          <rPr>
            <sz val="9"/>
            <color indexed="81"/>
            <rFont val="Tahoma"/>
            <family val="2"/>
          </rPr>
          <t>Australia, Austria, Belgium, Canada, Chile, Colombia, Denmark, France, Germany, Hong Kong, Israel, Italy, Japan, Mexico, Netherlands, New Zealand, Norway, Portugal, Singapore, South Korea, Spain, Sweden</t>
        </r>
      </text>
    </comment>
    <comment ref="K347" authorId="0" shapeId="0" xr:uid="{624697FF-08C3-4944-97C7-9796A02A8E9C}">
      <text>
        <r>
          <rPr>
            <sz val="9"/>
            <color indexed="81"/>
            <rFont val="Tahoma"/>
            <family val="2"/>
          </rPr>
          <t>Other world</t>
        </r>
      </text>
    </comment>
    <comment ref="E348" authorId="0" shapeId="0" xr:uid="{D3DC40A9-4347-4E35-8771-A62805FCE975}">
      <text>
        <r>
          <rPr>
            <sz val="9"/>
            <color indexed="81"/>
            <rFont val="Tahoma"/>
            <family val="2"/>
          </rPr>
          <t>Bahrain, Brazil, China, Czech Republic, Finland, Hungary, India, Ireland, Kuwait, Latvia, Lithuania, Luxembourg, Malaysia, Malta, Poland, Qatar, Saudi Arabia, Slovakia, Slovenia, South Africa, Taiwan, Turkey, UAE</t>
        </r>
      </text>
    </comment>
    <comment ref="E349" authorId="0" shapeId="0" xr:uid="{10E0145E-2980-4276-9527-3AE854CFABF1}">
      <text>
        <r>
          <rPr>
            <sz val="9"/>
            <color indexed="81"/>
            <rFont val="Tahoma"/>
            <family val="2"/>
          </rPr>
          <t>Other World</t>
        </r>
      </text>
    </comment>
    <comment ref="E351" authorId="1" shapeId="0" xr:uid="{F22397ED-AD52-4615-943F-F2428BFCABF7}">
      <text>
        <r>
          <rPr>
            <sz val="9"/>
            <color indexed="81"/>
            <rFont val="Tahoma"/>
            <family val="2"/>
          </rPr>
          <t>Excludes investment in associates from this total</t>
        </r>
      </text>
    </comment>
    <comment ref="K351" authorId="0" shapeId="0" xr:uid="{DB6F6EEB-3DE8-4BAE-922E-808455CF638D}">
      <text>
        <r>
          <rPr>
            <sz val="9"/>
            <color indexed="81"/>
            <rFont val="Tahoma"/>
            <family val="2"/>
          </rPr>
          <t>Unrealised gains and losses should be Included in equity exposure if relevant</t>
        </r>
      </text>
    </comment>
    <comment ref="E357" authorId="0" shapeId="0" xr:uid="{9CA5CF52-148C-445D-8887-792EA6DDAF9C}">
      <text>
        <r>
          <rPr>
            <sz val="9"/>
            <color indexed="81"/>
            <rFont val="Tahoma"/>
            <family val="2"/>
          </rPr>
          <t>Germany, Japan, Switzerland</t>
        </r>
      </text>
    </comment>
    <comment ref="E358" authorId="0" shapeId="0" xr:uid="{0829EB7C-3D99-4741-9BC1-0E7ADAF28830}">
      <text>
        <r>
          <rPr>
            <sz val="9"/>
            <color indexed="81"/>
            <rFont val="Tahoma"/>
            <family val="2"/>
          </rPr>
          <t>Australia, New Zealand, Taiwan, other Europe</t>
        </r>
      </text>
    </comment>
    <comment ref="E359" authorId="0" shapeId="0" xr:uid="{D8A5D346-DB4A-4C2E-B17F-E67FDCA87E50}">
      <text>
        <r>
          <rPr>
            <sz val="9"/>
            <color indexed="81"/>
            <rFont val="Tahoma"/>
            <family val="2"/>
          </rPr>
          <t>Canada, China, U.S.</t>
        </r>
      </text>
    </comment>
    <comment ref="E360" authorId="0" shapeId="0" xr:uid="{D5F9108D-1E2F-441A-BC22-BCA05DCB8C33}">
      <text>
        <r>
          <rPr>
            <sz val="9"/>
            <color indexed="81"/>
            <rFont val="Tahoma"/>
            <family val="2"/>
          </rPr>
          <t>Spain, U.K., other world</t>
        </r>
      </text>
    </comment>
    <comment ref="E384" authorId="2" shapeId="0" xr:uid="{D9F239C1-12DC-4EEF-AE76-2BE189AFA66E}">
      <text>
        <r>
          <rPr>
            <sz val="9"/>
            <color indexed="81"/>
            <rFont val="Tahoma"/>
            <family val="2"/>
          </rPr>
          <t>The sovereign rating should be used as a proxy for credit risk.</t>
        </r>
      </text>
    </comment>
    <comment ref="H398" authorId="1" shapeId="0" xr:uid="{0270C57D-E74E-4B17-86E6-9356C3CE79DB}">
      <text>
        <r>
          <rPr>
            <sz val="9"/>
            <color indexed="81"/>
            <rFont val="Tahoma"/>
            <family val="2"/>
          </rPr>
          <t>If letters of credit from a financially secure financial institution, reinsurance deposits, or suitable trust assets are available to offset the counterparty credit risk relating to reinsurers, we include credit for up to 100% of the collateral to offset the reinsurance counterparty credit risk charge. We may reduce the value of collateral to reflect risk where this is material (for example, by applying the relevant asset risk charge to the collateral).</t>
        </r>
      </text>
    </comment>
    <comment ref="E409" authorId="0" shapeId="0" xr:uid="{010A4541-CAA0-4EB7-A999-88A34BA1CA50}">
      <text>
        <r>
          <rPr>
            <sz val="9"/>
            <color indexed="81"/>
            <rFont val="Tahoma"/>
            <family val="2"/>
          </rPr>
          <t xml:space="preserve">To determine the rating input for reinsurance counterparties, we apply steps 2-3  for Bonds and loans. For any reinsurance counterparties for which we cannot determine the rating input based on steps 2-3, assume a 'B' rating input. You may adjust this assumption down to ‘CCC’ if we believe payments from a reinsurer are vulnerable to nonpayment. 
</t>
        </r>
      </text>
    </comment>
    <comment ref="H409" authorId="1" shapeId="0" xr:uid="{CD03F46E-A304-4D83-82B4-BECC3AD3906C}">
      <text>
        <r>
          <rPr>
            <sz val="9"/>
            <color indexed="81"/>
            <rFont val="Tahoma"/>
            <family val="2"/>
          </rPr>
          <t xml:space="preserve">If letters of credit from a financially secure financial institution, reinsurance deposits, or suitable trust assets are available to offset the counterparty credit risk relating to reinsurers, we include credit for up to 100% of the collateral to offset the reinsurance counterparty credit risk charge. We may reduce the value of collateral to reflect risk where this is material (for example, by applying the relevant asset risk charge to the collateral).
</t>
        </r>
      </text>
    </comment>
    <comment ref="E422" authorId="1" shapeId="0" xr:uid="{C7B3D047-592B-4C2E-86A2-E2F877AFB072}">
      <text>
        <r>
          <rPr>
            <sz val="9"/>
            <color indexed="81"/>
            <rFont val="Tahoma"/>
            <family val="2"/>
          </rPr>
          <t>Receivables under U.S. administrative services only (ASO) and administrative services contracts (ASCs)</t>
        </r>
      </text>
    </comment>
    <comment ref="E423" authorId="4" shapeId="0" xr:uid="{EF072314-72BA-4419-837A-57666EDD2B16}">
      <text>
        <r>
          <rPr>
            <sz val="9"/>
            <color indexed="81"/>
            <rFont val="Tahoma"/>
            <family val="2"/>
          </rPr>
          <t>e.g. low-income housing tax credits, prepaid expenses, third party administrator (TPA) fees</t>
        </r>
      </text>
    </comment>
    <comment ref="D424" authorId="0" shapeId="0" xr:uid="{9A98F882-DAD3-4487-AE46-6607ED6D9B4B}">
      <text>
        <r>
          <rPr>
            <sz val="9"/>
            <color indexed="81"/>
            <rFont val="Tahoma"/>
            <family val="2"/>
          </rPr>
          <t>Other reported assets not captured in the credit or market risk charges or for which treatment is otherwise not defined elsewhere in these criteria are typically subject to a 100% charge at each confidence level. The 100% risk charge recognizes the significant uncertainty over the realizable value of the asset in stress scenarios. This applies, for example, to fixed assets.</t>
        </r>
      </text>
    </comment>
    <comment ref="E428" authorId="2" shapeId="0" xr:uid="{DDC54157-C75E-4163-A47D-708026A2B4C5}">
      <text>
        <r>
          <rPr>
            <sz val="9"/>
            <color indexed="81"/>
            <rFont val="Tahoma"/>
            <family val="2"/>
          </rPr>
          <t>The following assets are exempt from credit, market, and other asset risk charges: non-life deferred acquisition costs, deferred tax assets, policy loans, investment income due, and accrued interest. We also typically consider exposures under repurchase agreements as exempt assets, unless the collateral margin is insufficient, in our view, to mitigate risk in our stress scenarios.</t>
        </r>
        <r>
          <rPr>
            <sz val="8"/>
            <color indexed="81"/>
            <rFont val="Tahoma"/>
            <family val="2"/>
          </rPr>
          <t xml:space="preserve">
Also include Unit-linked assets.</t>
        </r>
      </text>
    </comment>
    <comment ref="B437" authorId="1" shapeId="0" xr:uid="{C730D825-DCDC-4363-8E3B-03D423538F07}">
      <text>
        <r>
          <rPr>
            <b/>
            <sz val="9"/>
            <color indexed="81"/>
            <rFont val="Tahoma"/>
            <family val="2"/>
          </rPr>
          <t>We generally apply capital charges to non-life net written premiums (net of business ceded to reinsurers)</t>
        </r>
        <r>
          <rPr>
            <sz val="9"/>
            <color indexed="81"/>
            <rFont val="Tahoma"/>
            <family val="2"/>
          </rPr>
          <t xml:space="preserve">
We may use the net unearned premium reserve (or an equivalent) as the exposure base if this is higher than net written premiums (such as for insurers writing multiyear contracts).</t>
        </r>
      </text>
    </comment>
    <comment ref="F440" authorId="1" shapeId="0" xr:uid="{803A773B-8AA3-424A-9CCD-E14D2B1CE9DE}">
      <text>
        <r>
          <rPr>
            <sz val="9"/>
            <color indexed="81"/>
            <rFont val="Tahoma"/>
            <family val="2"/>
          </rPr>
          <t>We differentiate risk by product line and country or region, generally based on the location of the insured risk</t>
        </r>
      </text>
    </comment>
    <comment ref="F455" authorId="1" shapeId="0" xr:uid="{C26F740B-505B-4ED5-9BA0-E2337F0F736A}">
      <text>
        <r>
          <rPr>
            <sz val="9"/>
            <color indexed="81"/>
            <rFont val="Tahoma"/>
            <family val="2"/>
          </rPr>
          <t>We differentiate risk by product line and country or region, generally based on the location of the insured risk</t>
        </r>
      </text>
    </comment>
    <comment ref="E477" authorId="0" shapeId="0" xr:uid="{F3D783D1-BB9C-4900-94B4-41CF484C3B66}">
      <text>
        <r>
          <rPr>
            <sz val="9"/>
            <color indexed="81"/>
            <rFont val="Tahoma"/>
            <family val="2"/>
          </rPr>
          <t>Please provide administrative expenses for ASO/ASC arrangements.</t>
        </r>
      </text>
    </comment>
    <comment ref="F493" authorId="1" shapeId="0" xr:uid="{859D4CCA-AE9A-45B5-810D-3C2C002583B8}">
      <text>
        <r>
          <rPr>
            <sz val="9"/>
            <color indexed="81"/>
            <rFont val="Tahoma"/>
            <family val="2"/>
          </rPr>
          <t>We differentiate risk by product line and country or region, generally based on the location of the insured risk</t>
        </r>
      </text>
    </comment>
    <comment ref="F516" authorId="1" shapeId="0" xr:uid="{622A9A01-7168-4FDD-8C15-6EE5F0437D9D}">
      <text>
        <r>
          <rPr>
            <sz val="9"/>
            <color indexed="81"/>
            <rFont val="Tahoma"/>
            <family val="2"/>
          </rPr>
          <t>We differentiate risk by product line and country or region, generally based on the location of the insured risk</t>
        </r>
      </text>
    </comment>
    <comment ref="F538" authorId="1" shapeId="0" xr:uid="{2B7A60F5-BCFE-42E0-A07F-4C1C9F78DBB7}">
      <text>
        <r>
          <rPr>
            <sz val="9"/>
            <color indexed="81"/>
            <rFont val="Tahoma"/>
            <family val="2"/>
          </rPr>
          <t>We differentiate risk by product line and country or region, generally based on the location of the insured risk</t>
        </r>
      </text>
    </comment>
    <comment ref="K567" authorId="1" shapeId="0" xr:uid="{C35828C2-6719-42CE-ACE3-7279D08ECC11}">
      <text>
        <r>
          <rPr>
            <sz val="9"/>
            <color indexed="81"/>
            <rFont val="Tahoma"/>
            <family val="2"/>
          </rPr>
          <t>Nat cat premium as calculated in I568 should not be included in the above NWP to avoid double counting the nat cat risk. Nat Cat Premium I568 should be allocated and removed from the relevant lines of bunisses above.</t>
        </r>
      </text>
    </comment>
    <comment ref="E568" authorId="1" shapeId="0" xr:uid="{E9E91710-B42F-45F2-95A3-653AF6EC51E4}">
      <text>
        <r>
          <rPr>
            <b/>
            <sz val="9"/>
            <color indexed="81"/>
            <rFont val="Tahoma"/>
            <family val="2"/>
          </rPr>
          <t xml:space="preserve">Enter total net written premium before any adjustment for nat cat premium
We generally apply capital charges to non-life net written premiums (net of business ceded to reinsurers)
</t>
        </r>
        <r>
          <rPr>
            <sz val="9"/>
            <color indexed="81"/>
            <rFont val="Tahoma"/>
            <family val="2"/>
          </rPr>
          <t>We may use the net unearned premium reserve (or an equivalent) as the exposure base if this is higher than net written premiums (such as for insurers writing multiyear contracts).</t>
        </r>
      </text>
    </comment>
    <comment ref="F573" authorId="1" shapeId="0" xr:uid="{3D26B7D7-6D10-477C-8B31-2F376F5F761E}">
      <text>
        <r>
          <rPr>
            <sz val="9"/>
            <color indexed="81"/>
            <rFont val="Tahoma"/>
            <family val="2"/>
          </rPr>
          <t xml:space="preserve">Enter net loss reserves as reported and exclude non-life other equity like reserve if relevant
Adjustment for other non-life adjustment made in TAC are made within the model (discounting and reserve surpluses/(deficits)).
</t>
        </r>
      </text>
    </comment>
    <comment ref="G573" authorId="1" shapeId="0" xr:uid="{5D0AA8A0-F407-40AD-8924-135092BE61A7}">
      <text>
        <r>
          <rPr>
            <sz val="9"/>
            <color indexed="81"/>
            <rFont val="Tahoma"/>
            <family val="2"/>
          </rPr>
          <t xml:space="preserve">Enter net loss reserves as reported and exclude non-life other equity like reserve if relevant
Adjustment for other non-life adjustment made in TAC are made within the model (discounting and reserve surpluses/(deficits)).
</t>
        </r>
      </text>
    </comment>
    <comment ref="F574" authorId="1" shapeId="0" xr:uid="{5B269468-91AA-4D70-82CB-BE97648A9B77}">
      <text>
        <r>
          <rPr>
            <sz val="9"/>
            <color indexed="81"/>
            <rFont val="Tahoma"/>
            <family val="2"/>
          </rPr>
          <t>We differentiate risk by product line and country or region, generally based on the location of the insured risk</t>
        </r>
      </text>
    </comment>
    <comment ref="F589" authorId="1" shapeId="0" xr:uid="{48C2E5E3-6247-4FC0-898C-61F6CE3DD253}">
      <text>
        <r>
          <rPr>
            <sz val="9"/>
            <color indexed="81"/>
            <rFont val="Tahoma"/>
            <family val="2"/>
          </rPr>
          <t>We differentiate risk by product line and country or region, generally based on the location of the insured risk</t>
        </r>
      </text>
    </comment>
    <comment ref="F615" authorId="1" shapeId="0" xr:uid="{D26ED0FC-F8F4-4699-986E-07D646903FC2}">
      <text>
        <r>
          <rPr>
            <sz val="9"/>
            <color indexed="81"/>
            <rFont val="Tahoma"/>
            <family val="2"/>
          </rPr>
          <t>We differentiate risk by product line and country or region, generally based on the location of the insured risk</t>
        </r>
      </text>
    </comment>
    <comment ref="F638" authorId="1" shapeId="0" xr:uid="{19AFB433-7F8D-4A94-B547-6A04C65C53DE}">
      <text>
        <r>
          <rPr>
            <sz val="9"/>
            <color indexed="81"/>
            <rFont val="Tahoma"/>
            <family val="2"/>
          </rPr>
          <t>We differentiate risk by product line and country or region, generally based on the location of the insured risk</t>
        </r>
      </text>
    </comment>
    <comment ref="F660" authorId="1" shapeId="0" xr:uid="{1272D72B-02AC-44CE-8DCC-1281BF8C79F8}">
      <text>
        <r>
          <rPr>
            <sz val="9"/>
            <color indexed="81"/>
            <rFont val="Tahoma"/>
            <family val="2"/>
          </rPr>
          <t>We differentiate risk by product line and country or region, generally based on the location of the insured risk</t>
        </r>
      </text>
    </comment>
    <comment ref="E690" authorId="1" shapeId="0" xr:uid="{4E9D1A1B-86E5-4E8E-89A2-C37BE055C364}">
      <text>
        <r>
          <rPr>
            <sz val="9"/>
            <color indexed="81"/>
            <rFont val="Tahoma"/>
            <family val="2"/>
          </rPr>
          <t xml:space="preserve">Enter net loss reserves as reported
Adjustment for any non-life adjustment made in TAC are made within the model.
</t>
        </r>
      </text>
    </comment>
    <comment ref="E696" authorId="1" shapeId="0" xr:uid="{9C19EC5F-4DE5-4377-8B85-974D063BD05E}">
      <text>
        <r>
          <rPr>
            <sz val="9"/>
            <color indexed="81"/>
            <rFont val="Tahoma"/>
            <family val="2"/>
          </rPr>
          <t xml:space="preserve">In the absence of net written premiums and the net unearned premium reserve, we may use 100% of net earned premium as our measure of exposure where we consider this appropriate.
</t>
        </r>
      </text>
    </comment>
    <comment ref="E697" authorId="0" shapeId="0" xr:uid="{AAA4FA42-7251-4D30-8AF6-F3142ABD052D}">
      <text>
        <r>
          <rPr>
            <sz val="9"/>
            <color indexed="81"/>
            <rFont val="Tahoma"/>
            <family val="2"/>
          </rPr>
          <t>Net unearned premium reserve is the unearned premiums less outward reinsurance expense, and the liability for remaining coverage (under IFRS standards) is treated the same as unearned premium reserve</t>
        </r>
      </text>
    </comment>
    <comment ref="E703" authorId="0" shapeId="0" xr:uid="{3339B80A-25B9-4169-B096-20EEF494BE79}">
      <text>
        <r>
          <rPr>
            <sz val="9"/>
            <color indexed="81"/>
            <rFont val="Tahoma"/>
            <family val="2"/>
          </rPr>
          <t xml:space="preserve">If Yes, please follow step 1 or step 2 per criteria.
If No, follow step 3 and step 4 by completing only cell F716.
</t>
        </r>
        <r>
          <rPr>
            <b/>
            <sz val="9"/>
            <color indexed="81"/>
            <rFont val="Tahoma"/>
            <family val="2"/>
          </rPr>
          <t xml:space="preserve">Step 1
</t>
        </r>
        <r>
          <rPr>
            <sz val="9"/>
            <color indexed="81"/>
            <rFont val="Tahoma"/>
            <family val="2"/>
          </rPr>
          <t xml:space="preserve">Use the AEP curve, subject to any adjustments.
</t>
        </r>
        <r>
          <rPr>
            <b/>
            <sz val="9"/>
            <color indexed="81"/>
            <rFont val="Tahoma"/>
            <family val="2"/>
          </rPr>
          <t xml:space="preserve">Step 2
</t>
        </r>
        <r>
          <rPr>
            <sz val="9"/>
            <color indexed="81"/>
            <rFont val="Tahoma"/>
            <family val="2"/>
          </rPr>
          <t xml:space="preserve">Use the OEP curve, subject to any adjustments.
We typically increase the adjusted OEP losses by 30% to estimate the aggregate losses. This is based on the assumption of a well-diversified portfolio by  geography and peril.
The typical 30% increase should be applied outside the model .
</t>
        </r>
        <r>
          <rPr>
            <b/>
            <sz val="9"/>
            <color indexed="81"/>
            <rFont val="Tahoma"/>
            <family val="2"/>
          </rPr>
          <t>Aggregate exceedance probability (AEP) curve:</t>
        </r>
        <r>
          <rPr>
            <sz val="9"/>
            <color indexed="81"/>
            <rFont val="Tahoma"/>
            <family val="2"/>
          </rPr>
          <t xml:space="preserve"> Output from a model that details losses from
multiple events and the related attachment probability
</t>
        </r>
        <r>
          <rPr>
            <b/>
            <sz val="9"/>
            <color indexed="81"/>
            <rFont val="Tahoma"/>
            <family val="2"/>
          </rPr>
          <t>Occurrence exceedance probability (OEP) curve:</t>
        </r>
        <r>
          <rPr>
            <sz val="9"/>
            <color indexed="81"/>
            <rFont val="Tahoma"/>
            <family val="2"/>
          </rPr>
          <t xml:space="preserve"> Output from a model that details losses from individual events and the related attachment probability.</t>
        </r>
      </text>
    </comment>
    <comment ref="F704" authorId="0" shapeId="0" xr:uid="{775974B8-A4EA-41A8-AC75-F0CDE9B99638}">
      <text>
        <r>
          <rPr>
            <sz val="9"/>
            <color indexed="81"/>
            <rFont val="Tahoma"/>
            <family val="2"/>
          </rPr>
          <t xml:space="preserve"> Input values for both 200 &amp; 500 year return periods and if available,  250 &amp; 333 year return periods</t>
        </r>
      </text>
    </comment>
    <comment ref="F705" authorId="0" shapeId="0" xr:uid="{E2BDD349-5279-4D74-B77C-84338E462DB9}">
      <text>
        <r>
          <rPr>
            <sz val="9"/>
            <color indexed="81"/>
            <rFont val="Tahoma"/>
            <family val="2"/>
          </rPr>
          <t xml:space="preserve"> Input values for both 200 &amp; 500 year return periods and if available,  250 &amp; 333 year return periods</t>
        </r>
      </text>
    </comment>
    <comment ref="G705" authorId="0" shapeId="0" xr:uid="{9EEB0452-6294-4C4C-8439-BD1C48388906}">
      <text>
        <r>
          <rPr>
            <sz val="9"/>
            <color indexed="81"/>
            <rFont val="Tahoma"/>
            <family val="2"/>
          </rPr>
          <t xml:space="preserve"> Input values for both 200 &amp; 500 year return periods and if available,  250 &amp; 333 year return periods</t>
        </r>
      </text>
    </comment>
    <comment ref="H705" authorId="0" shapeId="0" xr:uid="{495E028E-D43C-4CFF-95B2-8836A49B9981}">
      <text>
        <r>
          <rPr>
            <sz val="9"/>
            <color indexed="81"/>
            <rFont val="Tahoma"/>
            <family val="2"/>
          </rPr>
          <t xml:space="preserve"> Input values for both 200 &amp; 500 year return periods and if available,  250 &amp; 333 year return periods</t>
        </r>
      </text>
    </comment>
    <comment ref="I705" authorId="0" shapeId="0" xr:uid="{69654705-69F7-4A44-B30A-8436738D29A3}">
      <text>
        <r>
          <rPr>
            <sz val="9"/>
            <color indexed="81"/>
            <rFont val="Tahoma"/>
            <family val="2"/>
          </rPr>
          <t xml:space="preserve"> Input values for both 200 &amp; 500 year return periods and if available,  250 &amp; 333 year return periods</t>
        </r>
      </text>
    </comment>
    <comment ref="E706" authorId="0" shapeId="0" xr:uid="{598F26A3-0161-49BF-8C38-813EE41A38A8}">
      <text>
        <r>
          <rPr>
            <sz val="9"/>
            <color indexed="81"/>
            <rFont val="Tahoma"/>
            <family val="2"/>
          </rPr>
          <t>Please add pretax aggregate loss estimate from natural disasters across all lines of business. We expect the loss estimate to include demand surge, fire following (attached to earthquake and fire policies), sprinkler leakage, storm surge, and secondary uncertainty losses. The capital charge covers exposures to global natural disasters including hurricanes (wind), flood, earthquake, tornadoes, winter storms (extratropical cyclones), wildfire, and hail. We expect the loss estimate to capture an insurer's expected exposure over the next year. We include in the loss estimate all investments and exposures to natural catastrophe risk, such as investments by the insurer in catastrophe bonds.</t>
        </r>
      </text>
    </comment>
    <comment ref="E707" authorId="0" shapeId="0" xr:uid="{7BC12780-B564-4624-8283-127E120B2529}">
      <text>
        <r>
          <rPr>
            <sz val="9"/>
            <color indexed="81"/>
            <rFont val="Tahoma"/>
            <family val="2"/>
          </rPr>
          <t>Please add pretax aggregate loss estimate from natural disasters across all lines of business. The loss estimate is calculated net of reinsurance and other forms of mitigation, such as catastrophe bonds. We expect the loss estimate to include demand surge, fire following (attached to earthquake and fire policies), sprinkler leakage, storm surge, and secondary uncertainty losses. The capital charge covers exposures to global natural disasters including hurricanes (wind), flood, earthquake, tornadoes, winter storms (extratropical cyclones), wildfire, and hail. We expect the loss estimate to capture an insurer's expected exposure over the next year. We include in the loss estimate all investments and exposures to natural catastrophe risk, such as investments by the insurer in catastrophe bonds.</t>
        </r>
      </text>
    </comment>
    <comment ref="E708" authorId="1" shapeId="0" xr:uid="{3A43FEF0-5DAD-47CC-8BAF-13D36C16269C}">
      <text>
        <r>
          <rPr>
            <sz val="9"/>
            <color indexed="81"/>
            <rFont val="Tahoma"/>
            <family val="2"/>
          </rPr>
          <t>Balancing item- to reconcile the net aggregate and gross aggregate which are calculated independently
= Gross aggregate - Net aggregate - collateralized recoveries.</t>
        </r>
      </text>
    </comment>
    <comment ref="E709" authorId="1" shapeId="0" xr:uid="{650E7F34-D244-4F65-B19D-755BBF8B9BB5}">
      <text>
        <r>
          <rPr>
            <sz val="9"/>
            <color indexed="81"/>
            <rFont val="Tahoma"/>
            <family val="2"/>
          </rPr>
          <t xml:space="preserve">Expected collateralized recoveries as per the net aggregate AEP/OEP distribution
</t>
        </r>
      </text>
    </comment>
    <comment ref="E714" authorId="1" shapeId="0" xr:uid="{B4E2AF3C-195F-40D8-8CFB-23BF6600485E}">
      <text>
        <r>
          <rPr>
            <sz val="9"/>
            <color indexed="81"/>
            <rFont val="Tahoma"/>
            <family val="2"/>
          </rPr>
          <t xml:space="preserve">Net Aggregate annual average loss as calculated from catastrophe models. Exposure should be consistent with net aggregate exposure in row 707.
</t>
        </r>
      </text>
    </comment>
    <comment ref="E716" authorId="0" shapeId="0" xr:uid="{7B309DEB-433E-47AE-974A-50F749CBAF1F}">
      <text>
        <r>
          <rPr>
            <sz val="9"/>
            <color indexed="81"/>
            <rFont val="Tahoma"/>
            <family val="2"/>
          </rPr>
          <t xml:space="preserve">Please follow step 3 and step 4 per criteria.
</t>
        </r>
        <r>
          <rPr>
            <b/>
            <sz val="9"/>
            <color indexed="81"/>
            <rFont val="Tahoma"/>
            <family val="2"/>
          </rPr>
          <t xml:space="preserve">Step 3
</t>
        </r>
        <r>
          <rPr>
            <sz val="9"/>
            <color indexed="81"/>
            <rFont val="Tahoma"/>
            <family val="2"/>
          </rPr>
          <t xml:space="preserve">We estimate the one-in-200-year net aggregate loss as the higher of:
i) 40% ot total property net premium written; or
ii) 10% of the total net premium written
We also estimate the contingent reinsurance credit risk.
</t>
        </r>
        <r>
          <rPr>
            <b/>
            <sz val="9"/>
            <color indexed="81"/>
            <rFont val="Tahoma"/>
            <family val="2"/>
          </rPr>
          <t xml:space="preserve">Step 4
</t>
        </r>
        <r>
          <rPr>
            <sz val="9"/>
            <color indexed="81"/>
            <rFont val="Tahoma"/>
            <family val="2"/>
          </rPr>
          <t>If we determine that the results based on Step 1, 2, or 3 are not refliective of the risk we apply Step 4. We estimate the one-in-200 year net aggreagate loss (and contingent reinsurance credit risk) typically based on one or more of the following:
 - Regulatory disclosures;
 - An insurer's assessment of their exposure;
 - An insurer's reinsurance program; or
 - Historical losses.</t>
        </r>
      </text>
    </comment>
    <comment ref="I716" authorId="0" shapeId="0" xr:uid="{2AC289E7-B6A5-498B-8934-5563CB5D65BA}">
      <text>
        <r>
          <rPr>
            <sz val="9"/>
            <color indexed="81"/>
            <rFont val="Tahoma"/>
            <family val="2"/>
          </rPr>
          <t xml:space="preserve">Please follow step 3 and step 4 per criteria.
</t>
        </r>
        <r>
          <rPr>
            <b/>
            <sz val="9"/>
            <color indexed="81"/>
            <rFont val="Tahoma"/>
            <family val="2"/>
          </rPr>
          <t xml:space="preserve">Step 3
</t>
        </r>
        <r>
          <rPr>
            <sz val="9"/>
            <color indexed="81"/>
            <rFont val="Tahoma"/>
            <family val="2"/>
          </rPr>
          <t xml:space="preserve">We estimate the one-in-200-year net aggregate loss as the higher of:
i) 40% ot total property net premium written; or
ii) 10% of the total net premium written
We also estimate the contingent reinsurance credit risk.
</t>
        </r>
        <r>
          <rPr>
            <b/>
            <sz val="9"/>
            <color indexed="81"/>
            <rFont val="Tahoma"/>
            <family val="2"/>
          </rPr>
          <t xml:space="preserve">Step 4
</t>
        </r>
        <r>
          <rPr>
            <sz val="9"/>
            <color indexed="81"/>
            <rFont val="Tahoma"/>
            <family val="2"/>
          </rPr>
          <t>If we determine that the results based on Step 1, 2, or 3 are not refliective of the risk we apply Step 4. We estimate the one-in-200 year net aggreagate loss (and contingent reinsurance credit risk) typically based on one or more of the following:
 - Regulatory disclosures;
 - An insurer's assessment of their exposure;
 - An insurer's reinsurance program; or
 - Historical losses.</t>
        </r>
      </text>
    </comment>
    <comment ref="E724" authorId="5" shapeId="0" xr:uid="{E18C9796-7665-4B9C-A66E-18F6EC7834A2}">
      <text>
        <r>
          <rPr>
            <b/>
            <sz val="9"/>
            <color indexed="81"/>
            <rFont val="Arial"/>
            <family val="2"/>
          </rPr>
          <t xml:space="preserve">We define highly developed life markets as: 
</t>
        </r>
        <r>
          <rPr>
            <sz val="9"/>
            <color indexed="81"/>
            <rFont val="Arial"/>
            <family val="2"/>
          </rPr>
          <t>Australia, Austria, Belgium, Canada, Chile, Cyprus, Czech Republic, Denmark, Finland, France, Germany, Greece, Hong Kong, Hungary, Ireland, Israel, Italy, Japan, Liechtenstein, Luxembourg, Macao, Malta, the Netherlands, New Zealand, Norway, Poland, Portugal, Singapore, Slovakia, Slovenia, South Korea, Spain, Sweden, Switzerland, Taiwan, the U.K., and the U.S.</t>
        </r>
      </text>
    </comment>
    <comment ref="E725" authorId="5" shapeId="0" xr:uid="{4531A03D-7A18-4F38-A773-6CBF7218BDE0}">
      <text>
        <r>
          <rPr>
            <sz val="9"/>
            <color indexed="81"/>
            <rFont val="Arial"/>
            <family val="2"/>
          </rPr>
          <t>All Others</t>
        </r>
      </text>
    </comment>
    <comment ref="E729" authorId="1" shapeId="0" xr:uid="{00A199E1-6053-4216-AEBC-27C7E0A26E41}">
      <text>
        <r>
          <rPr>
            <sz val="9"/>
            <color indexed="81"/>
            <rFont val="Tahoma"/>
            <family val="2"/>
          </rPr>
          <t xml:space="preserve">Relevant to assess Contingent Reinsurance Counterparty Risk on Pandemic Risk.
</t>
        </r>
      </text>
    </comment>
    <comment ref="E735" authorId="5" shapeId="0" xr:uid="{8462DF07-DD72-4EB0-96B3-C64024CDFF84}">
      <text>
        <r>
          <rPr>
            <b/>
            <sz val="9"/>
            <color indexed="81"/>
            <rFont val="Arial"/>
            <family val="2"/>
          </rPr>
          <t xml:space="preserve">We define highly developed life markets as: 
</t>
        </r>
        <r>
          <rPr>
            <sz val="9"/>
            <color indexed="81"/>
            <rFont val="Arial"/>
            <family val="2"/>
          </rPr>
          <t>Australia, Austria, Belgium, Canada, Chile, Cyprus, Czech Republic, Denmark, Finland, France, Germany, Greece, Hong Kong, Hungary, Ireland, Israel, Italy, Japan, Liechtenstein, Luxembourg, Macao, Malta, the Netherlands, New Zealand, Norway, Poland, Portugal, Singapore, Slovakia, Slovenia, South Korea, Spain, Sweden, Switzerland, Taiwan, the U.K., and the U.S.</t>
        </r>
      </text>
    </comment>
    <comment ref="E736" authorId="5" shapeId="0" xr:uid="{35B6F9AD-1677-4384-B0C1-5DECE732DB99}">
      <text>
        <r>
          <rPr>
            <sz val="9"/>
            <color indexed="81"/>
            <rFont val="Arial"/>
            <family val="2"/>
          </rPr>
          <t>All Others</t>
        </r>
      </text>
    </comment>
    <comment ref="F741" authorId="2" shapeId="0" xr:uid="{A7BAC6A1-5584-48C9-80D1-799DB880633E}">
      <text>
        <r>
          <rPr>
            <sz val="8"/>
            <color indexed="81"/>
            <rFont val="Tahoma"/>
            <family val="2"/>
          </rPr>
          <t>Applied to net earned
premiums (or net written premiums in the absence of earned premium).</t>
        </r>
      </text>
    </comment>
    <comment ref="E742" authorId="1" shapeId="0" xr:uid="{E30B420C-ED99-4441-9881-C839E5B0FDCA}">
      <text>
        <r>
          <rPr>
            <sz val="9"/>
            <color indexed="81"/>
            <rFont val="Tahoma"/>
            <family val="2"/>
          </rPr>
          <t>Where we do not have a split by product, we typically assume products are noncancellable disability income.
An individual policy designed to compensate insured individuals for a portion of the income they lose because of a (partial) disabling injury or illness. Benefits are usually paid out as an annuity (monthly or weekly income benefit) and not as a lump sum. There is a fixed end date for the annuity payments in the contract. The policy premiums cannot be changed by the insurer.</t>
        </r>
      </text>
    </comment>
    <comment ref="E743" authorId="0" shapeId="0" xr:uid="{237ED604-D27A-44CA-AF2C-A51DC33058ED}">
      <text>
        <r>
          <rPr>
            <sz val="9"/>
            <color indexed="81"/>
            <rFont val="Tahoma"/>
            <family val="2"/>
          </rPr>
          <t>Individual policies that provide a weekly or monthly income benefit for up to two years for full or partial disability arising from an accident and/or sickness. Policies other than noncancelable are included in this category.</t>
        </r>
      </text>
    </comment>
    <comment ref="E744" authorId="0" shapeId="0" xr:uid="{20254516-1699-4181-92B8-8FF4C7348582}">
      <text>
        <r>
          <rPr>
            <sz val="9"/>
            <color indexed="81"/>
            <rFont val="Tahoma"/>
            <family val="2"/>
          </rPr>
          <t>Policies offered through employers or organizations that provide a weekly or monthly income benefit for more than one year for full or partial disability arising from accident and/or sickness.</t>
        </r>
      </text>
    </comment>
    <comment ref="E745" authorId="0" shapeId="0" xr:uid="{61F2738F-7CB1-4EBF-8269-41FED24CF48F}">
      <text>
        <r>
          <rPr>
            <sz val="9"/>
            <color indexed="81"/>
            <rFont val="Tahoma"/>
            <family val="2"/>
          </rPr>
          <t>Policies provided through employers or organizations that provide a weekly or monthly
income benefit for up to one year for full or partial disability arising from accident and/or sickness.</t>
        </r>
      </text>
    </comment>
    <comment ref="E746" authorId="0" shapeId="0" xr:uid="{43E7A40B-88C6-4D8F-BE90-933C9F5A8B7A}">
      <text>
        <r>
          <rPr>
            <sz val="9"/>
            <color indexed="81"/>
            <rFont val="Tahoma"/>
            <family val="2"/>
          </rPr>
          <t>Covers the monthly loan or credit payments to the creditor upon the disablement of an insured debtor. Monthly premiums are paid based on the balance of the debt amount.</t>
        </r>
      </text>
    </comment>
    <comment ref="E747" authorId="0" shapeId="0" xr:uid="{F09E9AB1-2EE9-4E41-8B26-07730976B28A}">
      <text>
        <r>
          <rPr>
            <sz val="9"/>
            <color indexed="81"/>
            <rFont val="Tahoma"/>
            <family val="2"/>
          </rPr>
          <t>Covers the monthly loan or credit payments to the creditor upon the disablement of an insured debtor. A single premium is added to the initial debt balance.</t>
        </r>
      </text>
    </comment>
    <comment ref="E748" authorId="0" shapeId="0" xr:uid="{0BE6A711-7F53-42A9-AB4D-07F0B91E72DC}">
      <text>
        <r>
          <rPr>
            <sz val="9"/>
            <color indexed="81"/>
            <rFont val="Tahoma"/>
            <family val="2"/>
          </rPr>
          <t>Covers the monthly loan or credit payments to the creditor upon the disablement of an insured debtor. A single premium is added to the initial debt balance.</t>
        </r>
      </text>
    </comment>
    <comment ref="E749" authorId="0" shapeId="0" xr:uid="{457EB3A5-95E8-4B9F-A847-31734E62FD1D}">
      <text>
        <r>
          <rPr>
            <sz val="9"/>
            <color indexed="81"/>
            <rFont val="Tahoma"/>
            <family val="2"/>
          </rPr>
          <t>Policies that do not fit into the other categories.</t>
        </r>
      </text>
    </comment>
    <comment ref="E760" authorId="1" shapeId="0" xr:uid="{79744BBF-15C9-4E3E-B076-CF8020CF6298}">
      <text>
        <r>
          <rPr>
            <sz val="9"/>
            <color indexed="81"/>
            <rFont val="Tahoma"/>
            <family val="2"/>
          </rPr>
          <t xml:space="preserve">Claims are calculated by taking an average of the current- and prior-year loss ratios (incurred claims divided by earned premiums) and multiplying that ratio by the current year's earned premium. In situations where there is no positive earned premium or one of the loss ratios is negative, actual incurred claims for the current year are used. Incurred claims are defined as paid claims plus the change in claim reserves during a calendar year.
</t>
        </r>
      </text>
    </comment>
    <comment ref="E762" authorId="1" shapeId="0" xr:uid="{706407CF-6F43-4F63-9EC6-2AAEE9D264EB}">
      <text>
        <r>
          <rPr>
            <sz val="9"/>
            <color indexed="81"/>
            <rFont val="Tahoma"/>
            <family val="2"/>
          </rPr>
          <t>Reserves for policyholders currently collecting benefits</t>
        </r>
      </text>
    </comment>
    <comment ref="E763" authorId="1" shapeId="0" xr:uid="{09727106-8E31-46B6-9E08-DD00F46E4222}">
      <text>
        <r>
          <rPr>
            <sz val="9"/>
            <color indexed="81"/>
            <rFont val="Tahoma"/>
            <family val="2"/>
          </rPr>
          <t>Present Value of future claims. Exposure used for Interest Rate Risk calculation only. See Interest Rate Risk sheet cell E89. This amount should not be input in the Interest Rate section below.</t>
        </r>
      </text>
    </comment>
    <comment ref="E767" authorId="1" shapeId="0" xr:uid="{8E5E706F-E57D-4EAC-9E0C-86B4633F3217}">
      <text>
        <r>
          <rPr>
            <sz val="9"/>
            <color indexed="81"/>
            <rFont val="Tahoma"/>
            <family val="2"/>
          </rPr>
          <t>We apply the capital charges to the net present value of future claims payments. The exposure is net of the reinsurers’ share of the net present value of future claims payments. For life contingent products where the premium is paid upfront, we typically use the reserve (or liability) as our measure of exposure. For products where the premium is not paid upfront (e.g., longevity swaps), we typically use the floating leg benefit payments as our measure of exposure.</t>
        </r>
      </text>
    </comment>
    <comment ref="E768" authorId="1" shapeId="0" xr:uid="{BCA0103C-678B-49B6-92FB-C917F74B23C1}">
      <text>
        <r>
          <rPr>
            <sz val="9"/>
            <color indexed="81"/>
            <rFont val="Tahoma"/>
            <family val="2"/>
          </rPr>
          <t xml:space="preserve">We include products with the highest longevity risk in category 1. These are usually products with no or limited lump-sum optionality for policyholders.
</t>
        </r>
      </text>
    </comment>
    <comment ref="E771" authorId="1" shapeId="0" xr:uid="{65AF2974-8431-4E88-8EBE-1E93ADCC10D6}">
      <text>
        <r>
          <rPr>
            <sz val="9"/>
            <color indexed="81"/>
            <rFont val="Tahoma"/>
            <family val="2"/>
          </rPr>
          <t>We include in category 3 products for which we determine there is immaterial longevity risk. These are usually products with limited and economically unattractive annuitization options for policyholders.</t>
        </r>
      </text>
    </comment>
    <comment ref="E772" authorId="0" shapeId="0" xr:uid="{93ED6983-9CB2-4003-AFAD-5CA798FEEA67}">
      <text>
        <r>
          <rPr>
            <sz val="9"/>
            <color indexed="81"/>
            <rFont val="Tahoma"/>
            <family val="2"/>
          </rPr>
          <t xml:space="preserve">Where we determine that reported reserves for products exposed to longevity risk are significantly in excess of best estimate, we reduce the longevity charges. The assessment of reserve adequacy is typically based on the stated minimum reserving level under the relevant accounting or regulatory standards but may also reflect our determination based on a company’s reserving policy and independent audit reports. The reduction we apply varies based on the confidence level of the reported reserves:
- 90% or higher - 45% reduction in charges;
- At least 80%, but less than 90% - 35% reduction in charges
- At least 70%, but less than 80% - 25% reduction in charges
- Less than 70% - 0% reduction in charges.
</t>
        </r>
      </text>
    </comment>
    <comment ref="F779" authorId="0" shapeId="0" xr:uid="{88E5301B-5BC9-4DD3-A8F5-26465E3E5D4B}">
      <text>
        <r>
          <rPr>
            <sz val="9"/>
            <color indexed="81"/>
            <rFont val="Tahoma"/>
            <family val="2"/>
          </rPr>
          <t>Enter reported amounts including policyholder capital as a liability and including those captured under Longevity and Disability Risk.
Where we include in TAC a life reserve adjustment, policyholder capital, or unrealized gains on investments backing participating life business, an adjustment to reported exposure is made in the model for the risk charge calculation</t>
        </r>
      </text>
    </comment>
    <comment ref="G779" authorId="1" shapeId="0" xr:uid="{4003D73D-8581-4F1B-BA1D-E75EF487631B}">
      <text>
        <r>
          <rPr>
            <sz val="9"/>
            <color indexed="81"/>
            <rFont val="Tahoma"/>
            <family val="2"/>
          </rPr>
          <t xml:space="preserve">Enter proportion of reserves where there are material risk-mitigating features embedded in the products that significantly reduce the financial impact of lapses for the insurer.
</t>
        </r>
      </text>
    </comment>
    <comment ref="H779" authorId="1" shapeId="0" xr:uid="{FA1B17A5-5BE7-4D19-B4BA-F024C63B34BC}">
      <text>
        <r>
          <rPr>
            <sz val="9"/>
            <color indexed="81"/>
            <rFont val="Tahoma"/>
            <family val="2"/>
          </rPr>
          <t xml:space="preserve">Enter proportion of reserves that is not exposed to lapse risk.
</t>
        </r>
      </text>
    </comment>
    <comment ref="E794" authorId="1" shapeId="0" xr:uid="{46A15063-38E2-46BA-BE44-3C97763DE9A7}">
      <text>
        <r>
          <rPr>
            <sz val="9"/>
            <color indexed="81"/>
            <rFont val="Tahoma"/>
            <family val="2"/>
          </rPr>
          <t xml:space="preserve">Excludes variable annuity where risk is captured under product specific risks.
</t>
        </r>
      </text>
    </comment>
    <comment ref="E795" authorId="1" shapeId="0" xr:uid="{BE6BCA98-5C1D-4A14-9E75-EE3EAE20F8C5}">
      <text>
        <r>
          <rPr>
            <sz val="9"/>
            <color indexed="81"/>
            <rFont val="Tahoma"/>
            <family val="2"/>
          </rPr>
          <t xml:space="preserve">Excludes variable annuity where risk is captured under product specific risks.
</t>
        </r>
      </text>
    </comment>
    <comment ref="E802" authorId="0" shapeId="0" xr:uid="{AD7E1747-34E9-4AFD-9D4D-2250976702FB}">
      <text>
        <r>
          <rPr>
            <sz val="9"/>
            <color indexed="81"/>
            <rFont val="Tahoma"/>
            <family val="2"/>
          </rPr>
          <t xml:space="preserve">Excluding Long Term Care, Variable Annuities, Long-term health business with aging reserves and participating business in ring-fenced funds
</t>
        </r>
      </text>
    </comment>
    <comment ref="F809" authorId="1" shapeId="0" xr:uid="{041E6BAE-0647-4B41-A54D-63CD4F12B29A}">
      <text>
        <r>
          <rPr>
            <sz val="9"/>
            <color indexed="81"/>
            <rFont val="Tahoma"/>
            <family val="2"/>
          </rPr>
          <t xml:space="preserve">Best-effort set of scenarios that assume a fully functioning dynamic hedging program throughout the length of the simulation (which can be very long).
</t>
        </r>
      </text>
    </comment>
    <comment ref="G809" authorId="1" shapeId="0" xr:uid="{A8D2D741-A687-4A9D-B1EB-CE81078ACE42}">
      <text>
        <r>
          <rPr>
            <sz val="9"/>
            <color indexed="81"/>
            <rFont val="Tahoma"/>
            <family val="2"/>
          </rPr>
          <t xml:space="preserve">Adjusted set of scenarios that are identical to the best-effort set except for the hedging. The second set assumes the insurer can make use of the hedging contracts and securities on its balance sheet at the start of the simulation but does not allow for future management actions.
</t>
        </r>
      </text>
    </comment>
    <comment ref="E810" authorId="1" shapeId="0" xr:uid="{5B05BCEA-EE2F-4B1A-B5A1-DD0ABD8A82E0}">
      <text>
        <r>
          <rPr>
            <sz val="9"/>
            <color indexed="81"/>
            <rFont val="Tahoma"/>
            <family val="2"/>
          </rPr>
          <t xml:space="preserve">Stressed NPVs for each stress level are the pretax values from the stochastic simulations.
</t>
        </r>
      </text>
    </comment>
    <comment ref="B820" authorId="1" shapeId="0" xr:uid="{62155EFC-F9EF-403F-8C88-3D5171D3AD42}">
      <text>
        <r>
          <rPr>
            <sz val="9"/>
            <color indexed="81"/>
            <rFont val="Tahoma"/>
            <family val="2"/>
          </rPr>
          <t xml:space="preserve">Where we determine participating business is written in a ring-fenced fund within a legal entity,
we typically exclude the related policyholder capital from TAC and exclude the related assets and
liabilities from the inputs we use to determine the risk-category-specific capital requirements.
Instead, we assess the residual risk posed by the ring-fenced participating business to the insurer
in stress scenarios. We usually measure the residual risk as the amount of capital that the insurer
may be required to provide to the ring-fenced fund in stress scenarios to ensure liabilities in the
ring-fenced fund are met. For insurers that operate more than one ring-fenced fund, we make this
assessment for each fund and sum the results at each confidence level.
</t>
        </r>
      </text>
    </comment>
    <comment ref="F822" authorId="1" shapeId="0" xr:uid="{BB756BCA-AB96-40DD-89A2-0BB17F3916FA}">
      <text>
        <r>
          <rPr>
            <sz val="9"/>
            <color indexed="81"/>
            <rFont val="Tahoma"/>
            <family val="2"/>
          </rPr>
          <t xml:space="preserve">Enter a positive value or zero.
</t>
        </r>
      </text>
    </comment>
    <comment ref="E840" authorId="1" shapeId="0" xr:uid="{2B518107-DCEB-480F-B8FC-3232CCC39B6E}">
      <text>
        <r>
          <rPr>
            <sz val="9"/>
            <color indexed="81"/>
            <rFont val="Tahoma"/>
            <family val="2"/>
          </rPr>
          <t xml:space="preserve">Down if liabilities are longer than assets
Up if assets are longer than liabilities.
</t>
        </r>
      </text>
    </comment>
    <comment ref="E842" authorId="1" shapeId="0" xr:uid="{FD151417-4206-4BCA-96F2-35C395C1C5ED}">
      <text>
        <r>
          <rPr>
            <sz val="9"/>
            <color indexed="81"/>
            <rFont val="Tahoma"/>
            <family val="2"/>
          </rPr>
          <t xml:space="preserve">should capture all non-life net reserves
</t>
        </r>
      </text>
    </comment>
    <comment ref="E843" authorId="1" shapeId="0" xr:uid="{EC36EF87-91EB-48F3-B741-FEB48C0924A4}">
      <text>
        <r>
          <rPr>
            <sz val="9"/>
            <color indexed="81"/>
            <rFont val="Tahoma"/>
            <family val="2"/>
          </rPr>
          <t xml:space="preserve">In the absence of duration, we use the weighted average maturity of all bonds and loans.
</t>
        </r>
      </text>
    </comment>
    <comment ref="H843" authorId="1" shapeId="0" xr:uid="{CDCDA8A9-E96B-49C2-A599-18A24ED8FC1E}">
      <text>
        <r>
          <rPr>
            <sz val="9"/>
            <color indexed="81"/>
            <rFont val="Tahoma"/>
            <family val="2"/>
          </rPr>
          <t xml:space="preserve">Weighted average duration estimate based on inputs of the capital model.
</t>
        </r>
      </text>
    </comment>
    <comment ref="E847" authorId="1" shapeId="0" xr:uid="{D99AD951-EF0D-40D0-8486-479CA1F1C304}">
      <text>
        <r>
          <rPr>
            <b/>
            <sz val="9"/>
            <color indexed="81"/>
            <rFont val="Tahoma"/>
            <family val="2"/>
          </rPr>
          <t>Down</t>
        </r>
        <r>
          <rPr>
            <sz val="9"/>
            <color indexed="81"/>
            <rFont val="Tahoma"/>
            <family val="2"/>
          </rPr>
          <t xml:space="preserve"> if liabilities are longer than assets
</t>
        </r>
        <r>
          <rPr>
            <b/>
            <sz val="9"/>
            <color indexed="81"/>
            <rFont val="Tahoma"/>
            <family val="2"/>
          </rPr>
          <t>Up</t>
        </r>
        <r>
          <rPr>
            <sz val="9"/>
            <color indexed="81"/>
            <rFont val="Tahoma"/>
            <family val="2"/>
          </rPr>
          <t xml:space="preserve"> if assets are longer than liabilities
</t>
        </r>
        <r>
          <rPr>
            <b/>
            <sz val="9"/>
            <color indexed="81"/>
            <rFont val="Tahoma"/>
            <family val="2"/>
          </rPr>
          <t>Unknown</t>
        </r>
        <r>
          <rPr>
            <sz val="9"/>
            <color indexed="81"/>
            <rFont val="Tahoma"/>
            <family val="2"/>
          </rPr>
          <t xml:space="preserve"> otherwise.
</t>
        </r>
      </text>
    </comment>
    <comment ref="F851" authorId="1" shapeId="0" xr:uid="{21958C24-9535-43EE-BA1A-A03E7C11FFC9}">
      <text>
        <r>
          <rPr>
            <sz val="9"/>
            <color indexed="81"/>
            <rFont val="Tahoma"/>
            <family val="2"/>
          </rPr>
          <t xml:space="preserve">Based on adjusted exposure amount in column G of table below.
</t>
        </r>
      </text>
    </comment>
    <comment ref="G851" authorId="1" shapeId="0" xr:uid="{E8B7570F-19DC-4CE5-BCEA-5AAFAFA83EE5}">
      <text>
        <r>
          <rPr>
            <sz val="9"/>
            <color indexed="81"/>
            <rFont val="Tahoma"/>
            <family val="2"/>
          </rPr>
          <t xml:space="preserve">Check against other inputs above: TAC, investments, non-life and Life sections.
</t>
        </r>
      </text>
    </comment>
    <comment ref="E852" authorId="1" shapeId="0" xr:uid="{48FEC569-44A5-40C7-91EB-68F4405CE69E}">
      <text>
        <r>
          <rPr>
            <sz val="9"/>
            <color indexed="81"/>
            <rFont val="Tahoma"/>
            <family val="2"/>
          </rPr>
          <t xml:space="preserve">We define capital as the excess, if any, of interest-sensitive assets over the sum of relevant life and non-life insurance liabilities (excluding, for the purposes of this calculation, any unit-linked assets and liabilities).
</t>
        </r>
      </text>
    </comment>
    <comment ref="E853" authorId="0" shapeId="0" xr:uid="{0FC9BCAD-DAB3-4485-A6A9-3E8271B349CA}">
      <text>
        <r>
          <rPr>
            <sz val="9"/>
            <color indexed="81"/>
            <rFont val="Tahoma"/>
            <family val="2"/>
          </rPr>
          <t>Excluding Unit Linked with Investment Guarantee, US Long-term Care and Long-term health with aging reservers.</t>
        </r>
      </text>
    </comment>
    <comment ref="C861" authorId="1" shapeId="0" xr:uid="{1F3EF7CC-DF91-4EB2-96F1-82A523444B40}">
      <text>
        <r>
          <rPr>
            <sz val="9"/>
            <color indexed="81"/>
            <rFont val="Tahoma"/>
            <family val="2"/>
          </rPr>
          <t xml:space="preserve">For life liabilities, input where business is written or targeted market for cross border business.
For non-life liabilities - the relevant country is based on the currency of the liabilities
For capital, typically input country of domicile. Where an insurer operates in a financial center, the relevant country for the interest rate stress is the one we believe is most relevant for its operations (for example, where it writes most business).
</t>
        </r>
      </text>
    </comment>
    <comment ref="D861" authorId="1" shapeId="0" xr:uid="{A497BE60-70E4-42F5-8AF3-47D502E5EEDD}">
      <text>
        <r>
          <rPr>
            <sz val="9"/>
            <color indexed="81"/>
            <rFont val="Tahoma"/>
            <family val="2"/>
          </rPr>
          <t xml:space="preserve">Relevant if an insurer sells foreign currency products to domestic policyholders.
We apply the yield stress for the currency of the liabilities and the duration mismatch assumption for the domestic market. For example, we apply the yield stress for the U.S. and duration mismatch assumption for Japan to the U.S. dollar-denominated domestic liabilities of an insurer based in Japan.  
</t>
        </r>
      </text>
    </comment>
    <comment ref="F861" authorId="1" shapeId="0" xr:uid="{4275E3DB-9BBD-4D88-8569-FA698E727F12}">
      <text>
        <r>
          <rPr>
            <b/>
            <sz val="9"/>
            <color indexed="81"/>
            <rFont val="Tahoma"/>
            <family val="2"/>
          </rPr>
          <t xml:space="preserve">Please provide reported exposure
</t>
        </r>
        <r>
          <rPr>
            <sz val="9"/>
            <color indexed="81"/>
            <rFont val="Tahoma"/>
            <family val="2"/>
          </rPr>
          <t xml:space="preserve">
</t>
        </r>
        <r>
          <rPr>
            <b/>
            <sz val="9"/>
            <color indexed="81"/>
            <rFont val="Tahoma"/>
            <family val="2"/>
          </rPr>
          <t>Capital (based on reported liabilities)</t>
        </r>
        <r>
          <rPr>
            <sz val="9"/>
            <color indexed="81"/>
            <rFont val="Tahoma"/>
            <family val="2"/>
          </rPr>
          <t xml:space="preserve"> report the excess, if any, of interest-sensitive assets over the sum of reported life and non-life insurance liabilities (excluding, for the purposes of this calculation, any unit-linked assets and liabilities)
</t>
        </r>
        <r>
          <rPr>
            <b/>
            <sz val="9"/>
            <color indexed="81"/>
            <rFont val="Tahoma"/>
            <family val="2"/>
          </rPr>
          <t>Reported non-life liabilities:</t>
        </r>
        <r>
          <rPr>
            <sz val="9"/>
            <color indexed="81"/>
            <rFont val="Tahoma"/>
            <family val="2"/>
          </rPr>
          <t xml:space="preserve"> Reported non-life life technical reserves  include both outstanding claims and premium provisions (e.g., unearned premium reserve) and is net of non-life deferred acquisition costs. We also typically deduct premium receivables.
</t>
        </r>
        <r>
          <rPr>
            <b/>
            <sz val="9"/>
            <color indexed="81"/>
            <rFont val="Tahoma"/>
            <family val="2"/>
          </rPr>
          <t>Reported life liabilities:</t>
        </r>
        <r>
          <rPr>
            <sz val="9"/>
            <color indexed="81"/>
            <rFont val="Tahoma"/>
            <family val="2"/>
          </rPr>
          <t xml:space="preserve"> Reported life technical reserves including policyholder capital reported as a liability
</t>
        </r>
      </text>
    </comment>
    <comment ref="G861" authorId="1" shapeId="0" xr:uid="{F4F90FDB-A0A5-48D9-8EBF-C2DEE59CA043}">
      <text>
        <r>
          <rPr>
            <b/>
            <sz val="9"/>
            <color indexed="81"/>
            <rFont val="Tahoma"/>
            <family val="2"/>
          </rPr>
          <t xml:space="preserve">Please enter adjusted amount if available.
Capital: </t>
        </r>
        <r>
          <rPr>
            <sz val="9"/>
            <color indexed="81"/>
            <rFont val="Tahoma"/>
            <family val="2"/>
          </rPr>
          <t xml:space="preserve">For this section, we define capital as the excess, if any, of interest-sensitive assets over the sum of relevant life and non-life insurance liabilities (excluding, for the purposes of this calculation, any unit-linked assets and liabilities). This is based on either the amount of interest-sensitive assets that we determine are not backing relevant insurance liabilities or an estimate based on the assumption that interest-sensitive assets are held to back relevant insurance liabilities. We use the value of this excess as the relevant exposure amount. We include bonds, loans, and mortgages in interest-sensitive assets.
</t>
        </r>
        <r>
          <rPr>
            <b/>
            <sz val="9"/>
            <color indexed="81"/>
            <rFont val="Tahoma"/>
            <family val="2"/>
          </rPr>
          <t>Relevant non-life liabilities:</t>
        </r>
        <r>
          <rPr>
            <sz val="9"/>
            <color indexed="81"/>
            <rFont val="Tahoma"/>
            <family val="2"/>
          </rPr>
          <t xml:space="preserve"> The exposure amount is the reported non-life technical reserves by country, adjusted for any non-life reserve adjustment we make in TAC (we may apply the adjustment proportionally). The exposure amount includes both outstanding claims and premium provisions (e.g., unearned premium reserve) and is net of non-life deferred acquisition costs. We also typically deduct premium receivables. Further, we adjust reported non-life technical reserves for any products that we have reclassified either from, or to, a life product risk.
</t>
        </r>
        <r>
          <rPr>
            <b/>
            <sz val="9"/>
            <color indexed="81"/>
            <rFont val="Tahoma"/>
            <family val="2"/>
          </rPr>
          <t>Relevant life liabilities</t>
        </r>
        <r>
          <rPr>
            <sz val="9"/>
            <color indexed="81"/>
            <rFont val="Tahoma"/>
            <family val="2"/>
          </rPr>
          <t xml:space="preserve">: The exposure amount is reported life technical reserves by country, adjusted for any life reserve adjustment we make in TAC (we may apply the adjustment proportionally). We also exclude from the exposure amount any policyholder capital and unrealized gains on investments backing participating life business that we include in TAC, and the liabilities for products that are not in scope of this section of the criteria. We also adjust reported life technical reserves for any products that we have reclassified either from, or to, a non-life product risk.
</t>
        </r>
      </text>
    </comment>
    <comment ref="H861" authorId="0" shapeId="0" xr:uid="{FD785C7F-EE04-475F-9554-F3A809E5A02F}">
      <text>
        <r>
          <rPr>
            <sz val="9"/>
            <color indexed="81"/>
            <rFont val="Tahoma"/>
            <family val="2"/>
          </rPr>
          <t>For any country not listed, we typically use the sovereign foreign currency rating to determine the relevant category. If the sovereign foreign currency rating is 'BBB-' or higher, we typically include the country in category 4. If the sovereign foreign currency rating is 'BB+' or lower (or unrated), we typically include the country in category 5.</t>
        </r>
      </text>
    </comment>
    <comment ref="I861" authorId="0" shapeId="0" xr:uid="{A89422EE-BFFE-4B7D-9C90-37D030842E18}">
      <text>
        <r>
          <rPr>
            <sz val="9"/>
            <color indexed="81"/>
            <rFont val="Tahoma"/>
            <family val="2"/>
          </rPr>
          <t>Any country not listed is typically included in group 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Garg, Anoop (Analytical)</author>
  </authors>
  <commentList>
    <comment ref="V48" authorId="0" shapeId="0" xr:uid="{7948139E-4FC7-4097-AAA7-98BA0DC1AAD5}">
      <text>
        <r>
          <rPr>
            <sz val="9"/>
            <color indexed="81"/>
            <rFont val="Tahoma"/>
            <family val="2"/>
          </rPr>
          <t>Subject to a floor of 1 year applied to the total of the relevant exposures for life, non-life and capital.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Garg, Anoop (Analytical)</author>
  </authors>
  <commentList>
    <comment ref="P64" authorId="0" shapeId="0" xr:uid="{B1ED7706-FDAB-4A4F-9FFB-C3CADA4CEFD6}">
      <text>
        <r>
          <rPr>
            <sz val="9"/>
            <color indexed="81"/>
            <rFont val="Tahoma"/>
            <family val="2"/>
          </rPr>
          <t>This implied correlation between pandemic and life risks is calculated using life risk level 2 correlation matrix and then applied in the across risks level 3 diversification.</t>
        </r>
      </text>
    </comment>
    <comment ref="B93" authorId="0" shapeId="0" xr:uid="{477A2E66-26CD-4CC6-88A6-E7405707D444}">
      <text>
        <r>
          <rPr>
            <sz val="9"/>
            <color indexed="81"/>
            <rFont val="Tahoma"/>
            <family val="2"/>
          </rPr>
          <t>We assume these adjustments are entered after accounting for diversification benefit exposure to multiple lines of business (layer 2) but do not have the diversification between premium and reserve (layer 1) benefit applied.
Here we calculate the % benefit from layer 1 and apply this to the input analyst adjustments.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Garg, Anoop (Analytical)</author>
  </authors>
  <commentList>
    <comment ref="B7" authorId="0" shapeId="0" xr:uid="{DA39B785-0542-4E79-8DE4-DECD9ABE723A}">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M7" authorId="0" shapeId="0" xr:uid="{8396C9F8-A926-4D25-9494-F0673DFF054F}">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X7" authorId="0" shapeId="0" xr:uid="{E260812D-9843-4064-A82F-200EE836890E}">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AI7" authorId="0" shapeId="0" xr:uid="{782F8DA8-1D6F-4EAC-89F8-1BEF61925782}">
      <text>
        <r>
          <rPr>
            <sz val="9"/>
            <color indexed="81"/>
            <rFont val="Tahoma"/>
            <family val="2"/>
          </rPr>
          <t xml:space="preserve">- Sovereign, local and regional governments (LRGs), and U.S. municipal debt (including multilateral lending institutions)
- Government-related entities (GREs) with an almost certain likelihood of extraordinary government support where we equalize the rating with the relevant sovereign
- Senior secured bonds and loans (corporates, financials, and non-LRG public-sector obligors)
- Infrastructure corporates and project finance (other than subordinated exposures)
- Covered bonds
</t>
        </r>
      </text>
    </comment>
    <comment ref="B15" authorId="0" shapeId="0" xr:uid="{F231398E-10DA-476C-8AD9-F5B8030705D5}">
      <text>
        <r>
          <rPr>
            <sz val="9"/>
            <color indexed="81"/>
            <rFont val="Tahoma"/>
            <family val="2"/>
          </rPr>
          <t>Senior unsecured bonds and loans (corporates, financials, and non-LRG public-sector obligors)</t>
        </r>
      </text>
    </comment>
    <comment ref="M15" authorId="0" shapeId="0" xr:uid="{D627BA2E-F35D-4A9C-97F7-3822DA2FAEED}">
      <text>
        <r>
          <rPr>
            <sz val="9"/>
            <color indexed="81"/>
            <rFont val="Tahoma"/>
            <family val="2"/>
          </rPr>
          <t>Senior unsecured bonds and loans (corporates, financials, and non-LRG public-sector obligors)</t>
        </r>
      </text>
    </comment>
    <comment ref="X15" authorId="0" shapeId="0" xr:uid="{390FDC9C-3AE4-4DE1-A47D-084F57B43905}">
      <text>
        <r>
          <rPr>
            <sz val="9"/>
            <color indexed="81"/>
            <rFont val="Tahoma"/>
            <family val="2"/>
          </rPr>
          <t>Senior unsecured bonds and loans (corporates, financials, and non-LRG public-sector obligors)</t>
        </r>
      </text>
    </comment>
    <comment ref="AI15" authorId="0" shapeId="0" xr:uid="{F1504D9F-D680-4294-8C4E-E362E72E324C}">
      <text>
        <r>
          <rPr>
            <sz val="9"/>
            <color indexed="81"/>
            <rFont val="Tahoma"/>
            <family val="2"/>
          </rPr>
          <t>Senior unsecured bonds and loans (corporates, financials, and non-LRG public-sector obligors)</t>
        </r>
      </text>
    </comment>
    <comment ref="B23" authorId="0" shapeId="0" xr:uid="{509D1BAF-CEB6-4B92-BA16-CFB9FF1F2674}">
      <text>
        <r>
          <rPr>
            <sz val="9"/>
            <color indexed="81"/>
            <rFont val="Tahoma"/>
            <family val="2"/>
          </rPr>
          <t>Subordinated bonds and loans, and preferred stock (corporates, financials, non-LRG public sector obligors, and infrastructure)</t>
        </r>
      </text>
    </comment>
    <comment ref="M23" authorId="0" shapeId="0" xr:uid="{87673BE0-828D-40CE-A508-9F903AA2457C}">
      <text>
        <r>
          <rPr>
            <sz val="9"/>
            <color indexed="81"/>
            <rFont val="Tahoma"/>
            <family val="2"/>
          </rPr>
          <t>Subordinated bonds and loans, and preferred stock (corporates, financials, non-LRG public sector obligors, and infrastructure)</t>
        </r>
      </text>
    </comment>
    <comment ref="X23" authorId="0" shapeId="0" xr:uid="{83B36350-C458-45F2-A66C-D3594B446797}">
      <text>
        <r>
          <rPr>
            <sz val="9"/>
            <color indexed="81"/>
            <rFont val="Tahoma"/>
            <family val="2"/>
          </rPr>
          <t>Subordinated bonds and loans, and preferred stock (corporates, financials, non-LRG public sector obligors, and infrastructure)</t>
        </r>
      </text>
    </comment>
    <comment ref="AI23" authorId="0" shapeId="0" xr:uid="{663E7B0A-5791-4FAB-88B8-BA8319F895EB}">
      <text>
        <r>
          <rPr>
            <sz val="9"/>
            <color indexed="81"/>
            <rFont val="Tahoma"/>
            <family val="2"/>
          </rPr>
          <t>Subordinated bonds and loans, and preferred stock (corporates, financials, non-LRG public sector obligors, and infrastructure)</t>
        </r>
      </text>
    </comment>
    <comment ref="B31" authorId="0" shapeId="0" xr:uid="{3C779146-3BD9-4037-B56A-BED0AA579A1A}">
      <text>
        <r>
          <rPr>
            <sz val="9"/>
            <color indexed="81"/>
            <rFont val="Tahoma"/>
            <family val="2"/>
          </rPr>
          <t>Structured finance, including non-agency RMBS, non-agency CMBS, CLO, CDO, and ABS.   </t>
        </r>
      </text>
    </comment>
    <comment ref="M31" authorId="0" shapeId="0" xr:uid="{FD1E8B27-876B-48BA-8FED-7B418FB38787}">
      <text>
        <r>
          <rPr>
            <sz val="9"/>
            <color indexed="81"/>
            <rFont val="Tahoma"/>
            <family val="2"/>
          </rPr>
          <t>Structured finance, including non-agency RMBS, non-agency CMBS, CLO, CDO, and ABS.   </t>
        </r>
      </text>
    </comment>
    <comment ref="X31" authorId="0" shapeId="0" xr:uid="{7D51B5C2-8C6A-444B-A2B5-1C6F72C42D78}">
      <text>
        <r>
          <rPr>
            <sz val="9"/>
            <color indexed="81"/>
            <rFont val="Tahoma"/>
            <family val="2"/>
          </rPr>
          <t>Structured finance, including non-agency RMBS, non-agency CMBS, CLO, CDO, and ABS.   </t>
        </r>
      </text>
    </comment>
    <comment ref="AI31" authorId="0" shapeId="0" xr:uid="{D9777B0A-CF94-48F3-A9F9-AC614F6D2894}">
      <text>
        <r>
          <rPr>
            <sz val="9"/>
            <color indexed="81"/>
            <rFont val="Tahoma"/>
            <family val="2"/>
          </rPr>
          <t>Structured finance, including non-agency RMBS, non-agency CMBS, CLO, CDO, and ABS.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Garg, Anoop (Analytical)</author>
  </authors>
  <commentList>
    <comment ref="J2" authorId="0" shapeId="0" xr:uid="{E588B9D3-B5A6-4469-9120-F831089F55EB}">
      <text>
        <r>
          <rPr>
            <sz val="9"/>
            <color indexed="81"/>
            <rFont val="Tahoma"/>
            <family val="2"/>
          </rPr>
          <t>Currently this list contains all countres listed in column E in addition to Bermuda</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Garg, Anoop (Analytical)</author>
  </authors>
  <commentList>
    <comment ref="R2" authorId="0" shapeId="0" xr:uid="{3B52562A-8233-454E-A66E-36FECF9F368B}">
      <text>
        <r>
          <rPr>
            <b/>
            <sz val="9"/>
            <color indexed="81"/>
            <rFont val="Tahoma"/>
            <family val="2"/>
          </rPr>
          <t>Garg, Anoop (Analytical):</t>
        </r>
        <r>
          <rPr>
            <sz val="9"/>
            <color indexed="81"/>
            <rFont val="Tahoma"/>
            <family val="2"/>
          </rPr>
          <t xml:space="preserve">
Before 10/3/2023 when Data team provided the mnemonic definitions.</t>
        </r>
      </text>
    </comment>
    <comment ref="B1652" authorId="0" shapeId="0" xr:uid="{6394C24E-18C1-4CD7-902F-6E7ACCFFBB26}">
      <text>
        <r>
          <rPr>
            <b/>
            <sz val="9"/>
            <color indexed="81"/>
            <rFont val="Tahoma"/>
            <family val="2"/>
          </rPr>
          <t>Garg, Anoop (Analytical):</t>
        </r>
        <r>
          <rPr>
            <sz val="9"/>
            <color indexed="81"/>
            <rFont val="Tahoma"/>
            <family val="2"/>
          </rPr>
          <t xml:space="preserve">
Was LEGEX</t>
        </r>
      </text>
    </comment>
    <comment ref="B1674" authorId="0" shapeId="0" xr:uid="{01692AD4-DEA1-496E-94C4-08F2BA60FD09}">
      <text>
        <r>
          <rPr>
            <b/>
            <sz val="9"/>
            <color indexed="81"/>
            <rFont val="Tahoma"/>
            <family val="2"/>
          </rPr>
          <t>Garg, Anoop (Analytical):</t>
        </r>
        <r>
          <rPr>
            <sz val="9"/>
            <color indexed="81"/>
            <rFont val="Tahoma"/>
            <family val="2"/>
          </rPr>
          <t xml:space="preserve">
Was LEGEX</t>
        </r>
      </text>
    </comment>
    <comment ref="A2787" authorId="0" shapeId="0" xr:uid="{BCBBD516-9FCA-4870-82EC-E45D920FCDBF}">
      <text>
        <r>
          <rPr>
            <b/>
            <sz val="9"/>
            <color indexed="81"/>
            <rFont val="Tahoma"/>
            <family val="2"/>
          </rPr>
          <t>Garg, Anoop (Analytical):</t>
        </r>
        <r>
          <rPr>
            <sz val="9"/>
            <color indexed="81"/>
            <rFont val="Tahoma"/>
            <family val="2"/>
          </rPr>
          <t xml:space="preserve">
Was LEGEX</t>
        </r>
      </text>
    </comment>
    <comment ref="B2787" authorId="0" shapeId="0" xr:uid="{BF1DA1B8-B335-4955-B421-26DB9279DE4B}">
      <text>
        <r>
          <rPr>
            <b/>
            <sz val="9"/>
            <color indexed="81"/>
            <rFont val="Tahoma"/>
            <family val="2"/>
          </rPr>
          <t>Garg, Anoop (Analytical):</t>
        </r>
        <r>
          <rPr>
            <sz val="9"/>
            <color indexed="81"/>
            <rFont val="Tahoma"/>
            <family val="2"/>
          </rPr>
          <t xml:space="preserve">
Was LEGEX</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<sst xmlns="http://schemas.openxmlformats.org/spreadsheetml/2006/main" count="16559" uniqueCount="4728">
  <si>
    <t>AAA</t>
  </si>
  <si>
    <t>AA</t>
  </si>
  <si>
    <t>A</t>
  </si>
  <si>
    <t>BBB</t>
  </si>
  <si>
    <t>BB</t>
  </si>
  <si>
    <t>B</t>
  </si>
  <si>
    <t>Total</t>
  </si>
  <si>
    <t>Assigned Rating</t>
  </si>
  <si>
    <t>Sector</t>
  </si>
  <si>
    <t>Financial</t>
  </si>
  <si>
    <t>Economic risk group</t>
  </si>
  <si>
    <t>NA</t>
  </si>
  <si>
    <t>CCC</t>
  </si>
  <si>
    <t>Economic Risk Group</t>
  </si>
  <si>
    <t>Term Index</t>
  </si>
  <si>
    <t>Mapping Row#</t>
  </si>
  <si>
    <t xml:space="preserve">  Equity holdings</t>
  </si>
  <si>
    <t>Required Capital - Credit risk Bond</t>
  </si>
  <si>
    <t>Exposure</t>
  </si>
  <si>
    <t>Term</t>
  </si>
  <si>
    <t>Direction</t>
  </si>
  <si>
    <t>Lookup Key</t>
  </si>
  <si>
    <t>Up</t>
  </si>
  <si>
    <t>Down</t>
  </si>
  <si>
    <t>Life</t>
  </si>
  <si>
    <t>Non-life</t>
  </si>
  <si>
    <t>Unknown</t>
  </si>
  <si>
    <t>No</t>
  </si>
  <si>
    <t>Country of exposure</t>
  </si>
  <si>
    <t>Exposure amount</t>
  </si>
  <si>
    <t>Canada</t>
  </si>
  <si>
    <t>Norway</t>
  </si>
  <si>
    <t>Japan</t>
  </si>
  <si>
    <t>Yes/No</t>
  </si>
  <si>
    <t>Mismatch Direction</t>
  </si>
  <si>
    <t>Afghanistan</t>
  </si>
  <si>
    <t>Yes</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</si>
  <si>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</si>
  <si>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</si>
  <si>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</si>
  <si>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</si>
  <si>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</si>
  <si>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</si>
  <si>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</si>
  <si>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</si>
  <si>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</si>
  <si>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</si>
  <si>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</si>
  <si>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</si>
  <si>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</si>
  <si>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</si>
  <si>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</si>
  <si>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</si>
  <si>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</si>
  <si>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</si>
  <si>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</si>
  <si>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</si>
  <si>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</si>
  <si>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</si>
  <si>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</si>
  <si>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</si>
  <si>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</si>
  <si>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</si>
  <si>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</si>
  <si>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Cambodia</t>
  </si>
  <si>
    <t>Cameroon</t>
  </si>
  <si>
    <t>Cape Verde</t>
  </si>
  <si>
    <t>Central African Republic</t>
  </si>
  <si>
    <t>Chad</t>
  </si>
  <si>
    <t>Chile</t>
  </si>
  <si>
    <t>China</t>
  </si>
  <si>
    <t>Colombia</t>
  </si>
  <si>
    <t>Comoros</t>
  </si>
  <si>
    <t>Congo, Republic of the</t>
  </si>
  <si>
    <t>Congo, Democratic Republic of the</t>
  </si>
  <si>
    <t>Costa Rica</t>
  </si>
  <si>
    <t>Cote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</si>
  <si>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</si>
  <si>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</si>
  <si>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</si>
  <si>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</si>
  <si>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</si>
  <si>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</si>
  <si>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</si>
  <si>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</si>
  <si>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</si>
  <si>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</si>
  <si>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</si>
  <si>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</si>
  <si>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</si>
  <si>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</si>
  <si>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</si>
  <si>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</si>
  <si>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</si>
  <si>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</si>
  <si>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</si>
  <si>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</si>
  <si>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</si>
  <si>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</si>
  <si>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</si>
  <si>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</si>
  <si>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</si>
  <si>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</si>
  <si>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</si>
  <si>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</si>
  <si>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</si>
  <si>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</si>
  <si>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</si>
  <si>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</si>
  <si>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</si>
  <si>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</si>
  <si>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</si>
  <si>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</si>
  <si>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</si>
  <si>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</si>
  <si>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</si>
  <si>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</si>
  <si>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</si>
  <si>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</si>
  <si>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</si>
  <si>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</si>
  <si>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</si>
  <si>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</si>
  <si>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</si>
  <si>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</si>
  <si>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</si>
  <si>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</si>
  <si>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</si>
  <si>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</si>
  <si>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</si>
  <si>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</si>
  <si>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</si>
  <si>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</si>
  <si>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</si>
  <si>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</si>
  <si>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</si>
  <si>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</si>
  <si>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</si>
  <si>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</si>
  <si>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</si>
  <si>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</si>
  <si>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</si>
  <si>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</si>
  <si>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</si>
  <si>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</si>
  <si>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</si>
  <si>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</si>
  <si>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</si>
  <si>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</si>
  <si>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</si>
  <si>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</si>
  <si>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</si>
  <si>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</si>
  <si>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</si>
  <si>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</si>
  <si>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</si>
  <si>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</si>
  <si>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</si>
  <si>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</si>
  <si>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</si>
  <si>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</si>
  <si>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</si>
  <si>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</si>
  <si>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</si>
  <si>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</si>
  <si>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</si>
  <si>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</si>
  <si>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</si>
  <si>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</si>
  <si>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</si>
  <si>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</si>
  <si>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</si>
  <si>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</si>
  <si>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</si>
  <si>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</si>
  <si>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</si>
  <si>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</si>
  <si>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</si>
  <si>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</si>
  <si>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</si>
  <si>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</si>
  <si>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</si>
  <si>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</si>
  <si>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</si>
  <si>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</si>
  <si>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</si>
  <si>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</si>
  <si>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</si>
  <si>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</si>
  <si>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</si>
  <si>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</si>
  <si>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</si>
  <si>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</si>
  <si>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</si>
  <si>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</si>
  <si>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Sudan</t>
  </si>
  <si>
    <t>Spain</t>
  </si>
  <si>
    <t>Sri Lanka</t>
  </si>
  <si>
    <t>Sudan</t>
  </si>
  <si>
    <t>Suriname</t>
  </si>
  <si>
    <t>Swaziland</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</si>
  <si>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</si>
  <si>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</si>
  <si>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</si>
  <si>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</si>
  <si>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</si>
  <si>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</si>
  <si>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</si>
  <si>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</si>
  <si>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</si>
  <si>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</si>
  <si>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</si>
  <si>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</si>
  <si>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</si>
  <si>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</si>
  <si>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</si>
  <si>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</si>
  <si>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</si>
  <si>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</si>
  <si>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 of America</t>
  </si>
  <si>
    <t>Uruguay</t>
  </si>
  <si>
    <t>Uzbekistan</t>
  </si>
  <si>
    <t>Vanuatu</t>
  </si>
  <si>
    <t>Vatican City (Holy See)</t>
  </si>
  <si>
    <t>Venezuela</t>
  </si>
  <si>
    <t>Vietnam</t>
  </si>
  <si>
    <t>Yemen</t>
  </si>
  <si>
    <t>Zambia</t>
  </si>
  <si>
    <t>Zimbabwe</t>
  </si>
  <si>
    <t>Investment Property</t>
  </si>
  <si>
    <t>Owner Occupied</t>
  </si>
  <si>
    <t>Owner 
Occupied</t>
  </si>
  <si>
    <t>Asset risks</t>
  </si>
  <si>
    <t>Credit risk</t>
  </si>
  <si>
    <t xml:space="preserve">   -  Bonds</t>
  </si>
  <si>
    <t>Market risk</t>
  </si>
  <si>
    <t>Other asset risks</t>
  </si>
  <si>
    <t>Available capital</t>
  </si>
  <si>
    <t>TAC</t>
  </si>
  <si>
    <t>Required Capital -  Real Estate Risk</t>
  </si>
  <si>
    <t xml:space="preserve"> Adjustment to Economic Risk Group mapping</t>
  </si>
  <si>
    <t>Equity adjustments</t>
  </si>
  <si>
    <t>Intangible adjustments</t>
  </si>
  <si>
    <t>Non-life reserve adjustments</t>
  </si>
  <si>
    <t>Hybrid equity adjustments</t>
  </si>
  <si>
    <t/>
  </si>
  <si>
    <t>Company/Group:</t>
  </si>
  <si>
    <t>Adjusted</t>
  </si>
  <si>
    <t>SUMMARY</t>
  </si>
  <si>
    <t>Total Adjusted Capital (TAC)</t>
  </si>
  <si>
    <t>Non-life loss reserve related adjustments</t>
  </si>
  <si>
    <t xml:space="preserve">Plus </t>
  </si>
  <si>
    <t>Plus</t>
  </si>
  <si>
    <t>Minus</t>
  </si>
  <si>
    <t xml:space="preserve">Plus/Minus </t>
  </si>
  <si>
    <t xml:space="preserve">Minus </t>
  </si>
  <si>
    <t xml:space="preserve">   -  Mortgage risk</t>
  </si>
  <si>
    <t>Business Line</t>
  </si>
  <si>
    <t>Property</t>
  </si>
  <si>
    <t>Motor</t>
  </si>
  <si>
    <t>Liability</t>
  </si>
  <si>
    <t>Health</t>
  </si>
  <si>
    <t>Other</t>
  </si>
  <si>
    <t xml:space="preserve">  Required Capital - Non-Life Premium Risk</t>
  </si>
  <si>
    <t xml:space="preserve">  Required Capital - Non-Life Reserve Risk</t>
  </si>
  <si>
    <t>Liability risks</t>
  </si>
  <si>
    <t>Non-life premium (net of reinsurance) risk</t>
  </si>
  <si>
    <t>Non-life reserve (net of reinsurance) risk</t>
  </si>
  <si>
    <t>Total Capital Charge - Premium</t>
  </si>
  <si>
    <t>Total Capital Charge - Reserve</t>
  </si>
  <si>
    <t xml:space="preserve">   -  Property</t>
  </si>
  <si>
    <t xml:space="preserve">   -  Motor</t>
  </si>
  <si>
    <t xml:space="preserve">   -  Liability</t>
  </si>
  <si>
    <t xml:space="preserve">   -  Financial</t>
  </si>
  <si>
    <t xml:space="preserve">   -  Health</t>
  </si>
  <si>
    <t xml:space="preserve">   -  Other</t>
  </si>
  <si>
    <t>Adjustment</t>
  </si>
  <si>
    <t>Debt Type</t>
  </si>
  <si>
    <t>Secured</t>
  </si>
  <si>
    <t>Senior unsecured</t>
  </si>
  <si>
    <t>Subordinated</t>
  </si>
  <si>
    <t>Total Equity</t>
  </si>
  <si>
    <t>Primary and proportional reinsurance business</t>
  </si>
  <si>
    <t>Non-proportional reinsurance (treaty and facultative)</t>
  </si>
  <si>
    <t>Forecast</t>
  </si>
  <si>
    <t>Units</t>
  </si>
  <si>
    <t>Actual</t>
  </si>
  <si>
    <t>Estimate</t>
  </si>
  <si>
    <t>Millions</t>
  </si>
  <si>
    <t>Thousands</t>
  </si>
  <si>
    <t>Billions</t>
  </si>
  <si>
    <t xml:space="preserve">Company/Group: </t>
  </si>
  <si>
    <t>Net Reserves</t>
  </si>
  <si>
    <t xml:space="preserve">  Mortgage Insurance Risk Required Capital</t>
  </si>
  <si>
    <t xml:space="preserve">   -  Mortgage Insurance</t>
  </si>
  <si>
    <t>Morbidity</t>
  </si>
  <si>
    <t>Diversified charges</t>
  </si>
  <si>
    <t>Premium</t>
  </si>
  <si>
    <t>Reserve</t>
  </si>
  <si>
    <t>Life risks</t>
  </si>
  <si>
    <t xml:space="preserve">   -  Morbidity</t>
  </si>
  <si>
    <t xml:space="preserve">   -  Longevity</t>
  </si>
  <si>
    <t xml:space="preserve">Linked business with investment guarantees  </t>
  </si>
  <si>
    <t>Life - Longevity risk charges</t>
  </si>
  <si>
    <t>Expense ratio (Industry average)</t>
  </si>
  <si>
    <t>Catastrophe loss ratio (Industry average)</t>
  </si>
  <si>
    <t xml:space="preserve">Letters of credit and reinsurance deposits held as security against reinsurance recoverables  </t>
  </si>
  <si>
    <t>Scaling</t>
  </si>
  <si>
    <t xml:space="preserve">Highly developed markets  </t>
  </si>
  <si>
    <t xml:space="preserve">Less developed markets  </t>
  </si>
  <si>
    <t>Highly developed markets</t>
  </si>
  <si>
    <t>Less developed markets</t>
  </si>
  <si>
    <t>Natural catastrophe risk</t>
  </si>
  <si>
    <t xml:space="preserve">  Correlation Matrix</t>
  </si>
  <si>
    <t>Market 
risk</t>
  </si>
  <si>
    <t>Credit/
default 
risk</t>
  </si>
  <si>
    <t>Nat Cat 
risk</t>
  </si>
  <si>
    <t>Non-life 
technical risk</t>
  </si>
  <si>
    <t>Life 
technical risk</t>
  </si>
  <si>
    <t>Credit/default  risk</t>
  </si>
  <si>
    <t>Nat Cat risk</t>
  </si>
  <si>
    <t>Non-life technical risk</t>
  </si>
  <si>
    <t>Life technical risk</t>
  </si>
  <si>
    <t>Undiversified charges</t>
  </si>
  <si>
    <t>Diversification benefits</t>
  </si>
  <si>
    <t>EMEA Risks</t>
  </si>
  <si>
    <t>US Risks</t>
  </si>
  <si>
    <t>Canadian Risks</t>
  </si>
  <si>
    <t>Latin American Risks</t>
  </si>
  <si>
    <t xml:space="preserve">  Required Capital - Non-Life Premium Risk (proportional)</t>
  </si>
  <si>
    <t xml:space="preserve">  Required Capital - Non-Life Premium Risk (non-proportional)</t>
  </si>
  <si>
    <t xml:space="preserve">  Required Capital - Non-Life Reserve Risk (proportional)</t>
  </si>
  <si>
    <t xml:space="preserve">  Required Capital - Non-Life Reserve Risk (non-proportional)</t>
  </si>
  <si>
    <t>Total Capital Charge - Premium (proportional)</t>
  </si>
  <si>
    <t>Total Capital Charge - Premium (non-proportional)</t>
  </si>
  <si>
    <t>Total Capital Charge - Reserve (non-proportional)</t>
  </si>
  <si>
    <t>Total Capital Charge - Reserve (proportional)</t>
  </si>
  <si>
    <t>Equity</t>
  </si>
  <si>
    <t>Real Estate</t>
  </si>
  <si>
    <t>Interest Rate</t>
  </si>
  <si>
    <t>Interest 
Rate</t>
  </si>
  <si>
    <t>Real 
Estate</t>
  </si>
  <si>
    <t xml:space="preserve">   -  Interest rate risk</t>
  </si>
  <si>
    <t>Non-life risk diversification</t>
  </si>
  <si>
    <t>Life risk diversification</t>
  </si>
  <si>
    <t>Market Risk</t>
  </si>
  <si>
    <t>Diversification benefit</t>
  </si>
  <si>
    <t>Longevity</t>
  </si>
  <si>
    <t>Mortality</t>
  </si>
  <si>
    <t>Pandemic</t>
  </si>
  <si>
    <t>Region</t>
  </si>
  <si>
    <t>Input summary</t>
  </si>
  <si>
    <t>Category</t>
  </si>
  <si>
    <t>Description</t>
  </si>
  <si>
    <t>Adjustment To</t>
  </si>
  <si>
    <t>Exposure Amt.</t>
  </si>
  <si>
    <t>Adjusted total</t>
  </si>
  <si>
    <t>Summary</t>
  </si>
  <si>
    <t>Equity risk</t>
  </si>
  <si>
    <t>Real estate</t>
  </si>
  <si>
    <t xml:space="preserve">  Summary</t>
  </si>
  <si>
    <t>Total Adjustment to Non-life technical risk</t>
  </si>
  <si>
    <t>Adjusted total Non-life technical risk</t>
  </si>
  <si>
    <t xml:space="preserve">   -  Credit risk</t>
  </si>
  <si>
    <t xml:space="preserve">   -  Market risk</t>
  </si>
  <si>
    <t xml:space="preserve">   -  Non-life premium risk</t>
  </si>
  <si>
    <t xml:space="preserve">   -  Non-life reserve risk</t>
  </si>
  <si>
    <t xml:space="preserve">   -  Non-life technical risk</t>
  </si>
  <si>
    <t xml:space="preserve">   -  Life technical risk</t>
  </si>
  <si>
    <t xml:space="preserve">   -  Nat Cat risk</t>
  </si>
  <si>
    <t>Interest rate risk</t>
  </si>
  <si>
    <t>Total discount credit</t>
  </si>
  <si>
    <t>Life reserve adjustments</t>
  </si>
  <si>
    <t>Mortgage</t>
  </si>
  <si>
    <t>Credit</t>
  </si>
  <si>
    <t>Fidelity</t>
  </si>
  <si>
    <t>Surety</t>
  </si>
  <si>
    <t>Aircraft</t>
  </si>
  <si>
    <t>Commercial multi-peril</t>
  </si>
  <si>
    <t>Excess workers compensation</t>
  </si>
  <si>
    <t>Warranty</t>
  </si>
  <si>
    <t>Assistance</t>
  </si>
  <si>
    <t>Travel</t>
  </si>
  <si>
    <t>Hail</t>
  </si>
  <si>
    <t>Marine</t>
  </si>
  <si>
    <t>Title</t>
  </si>
  <si>
    <t>Engineering</t>
  </si>
  <si>
    <t>Asia-Pacific Risks</t>
  </si>
  <si>
    <t>Asia-Pacific</t>
  </si>
  <si>
    <t>ACE</t>
  </si>
  <si>
    <t>Reinsurer Rating</t>
  </si>
  <si>
    <t>Stress Level</t>
  </si>
  <si>
    <t>Reinsurance Recoverables (Same as bonds of 5-10 year maturity and medium recovery)</t>
  </si>
  <si>
    <t>Required Capital -  Reinsurance Recoverables</t>
  </si>
  <si>
    <t>Net Amount</t>
  </si>
  <si>
    <t>Bank Deposit</t>
  </si>
  <si>
    <t>Non-chargeable assets</t>
  </si>
  <si>
    <t>Business Line to Class Map - Reserve Risks</t>
  </si>
  <si>
    <t>Business Line to Class Map - Premium Risks</t>
  </si>
  <si>
    <t>Fidelity/Surety</t>
  </si>
  <si>
    <t>Commercial auto liability</t>
  </si>
  <si>
    <t>Medical malpractice - occurrence</t>
  </si>
  <si>
    <t>Medical malpractice - claims made</t>
  </si>
  <si>
    <t>Other liability - occurrence</t>
  </si>
  <si>
    <t>Other liability - claims made</t>
  </si>
  <si>
    <t>Product liability - occurrence</t>
  </si>
  <si>
    <t>Product liability - claims made</t>
  </si>
  <si>
    <t>Public and product liability</t>
  </si>
  <si>
    <t>Life -Critical Illness risk charges</t>
  </si>
  <si>
    <t>Insurance Receivables</t>
  </si>
  <si>
    <t>Hong Kong</t>
  </si>
  <si>
    <t>MAT</t>
  </si>
  <si>
    <t>Life - Mortality and pandemic risk charges</t>
  </si>
  <si>
    <t xml:space="preserve">   -  Pandemic</t>
  </si>
  <si>
    <t>Afghani</t>
  </si>
  <si>
    <t>AFN</t>
  </si>
  <si>
    <t>Euro</t>
  </si>
  <si>
    <t>EUR</t>
  </si>
  <si>
    <t>Lek</t>
  </si>
  <si>
    <t>ALL</t>
  </si>
  <si>
    <t>Algerian Dinar</t>
  </si>
  <si>
    <t>DZD</t>
  </si>
  <si>
    <t>US Dollar</t>
  </si>
  <si>
    <t>USD</t>
  </si>
  <si>
    <t>Kwanza</t>
  </si>
  <si>
    <t>AOA</t>
  </si>
  <si>
    <t>Argentine Peso</t>
  </si>
  <si>
    <t>ARS</t>
  </si>
  <si>
    <t>Armenian Dram</t>
  </si>
  <si>
    <t>AMD</t>
  </si>
  <si>
    <t>Aruban Florin</t>
  </si>
  <si>
    <t>AWG</t>
  </si>
  <si>
    <t>Australian Dollar</t>
  </si>
  <si>
    <t>AUD</t>
  </si>
  <si>
    <t>Azerbaijan Manat</t>
  </si>
  <si>
    <t>AZN</t>
  </si>
  <si>
    <t>Bahamian Dollar</t>
  </si>
  <si>
    <t>BSD</t>
  </si>
  <si>
    <t>Bahraini Dinar</t>
  </si>
  <si>
    <t>BHD</t>
  </si>
  <si>
    <t>Taka</t>
  </si>
  <si>
    <t>BDT</t>
  </si>
  <si>
    <t>Barbados Dollar</t>
  </si>
  <si>
    <t>BBD</t>
  </si>
  <si>
    <t>Belarusian Ruble</t>
  </si>
  <si>
    <t>BYN</t>
  </si>
  <si>
    <t>Belize Dollar</t>
  </si>
  <si>
    <t>BZD</t>
  </si>
  <si>
    <t>Bermudian Dollar</t>
  </si>
  <si>
    <t>BMD</t>
  </si>
  <si>
    <t>Indian Rupee</t>
  </si>
  <si>
    <t>INR</t>
  </si>
  <si>
    <t>Ngultrum</t>
  </si>
  <si>
    <t>BTN</t>
  </si>
  <si>
    <t>Boliviano</t>
  </si>
  <si>
    <t>BOB</t>
  </si>
  <si>
    <t>Mvdol</t>
  </si>
  <si>
    <t>BOV</t>
  </si>
  <si>
    <t>Convertible Mark</t>
  </si>
  <si>
    <t>BAM</t>
  </si>
  <si>
    <t>Pula</t>
  </si>
  <si>
    <t>BWP</t>
  </si>
  <si>
    <t>Norwegian Krone</t>
  </si>
  <si>
    <t>NOK</t>
  </si>
  <si>
    <t>Brazilian Real</t>
  </si>
  <si>
    <t>BRL</t>
  </si>
  <si>
    <t>Brunei Dollar</t>
  </si>
  <si>
    <t>BND</t>
  </si>
  <si>
    <t>Bulgarian Lev</t>
  </si>
  <si>
    <t>BGN</t>
  </si>
  <si>
    <t>Burundi Franc</t>
  </si>
  <si>
    <t>BIF</t>
  </si>
  <si>
    <t>Cabo Verde Escudo</t>
  </si>
  <si>
    <t>CVE</t>
  </si>
  <si>
    <t>Riel</t>
  </si>
  <si>
    <t>KHR</t>
  </si>
  <si>
    <t>Canadian Dollar</t>
  </si>
  <si>
    <t>CAD</t>
  </si>
  <si>
    <t>Cayman Islands Dollar</t>
  </si>
  <si>
    <t>KYD</t>
  </si>
  <si>
    <t>Chilean Peso</t>
  </si>
  <si>
    <t>CLP</t>
  </si>
  <si>
    <t>Unidad de Fomento</t>
  </si>
  <si>
    <t>CLF</t>
  </si>
  <si>
    <t>Yuan Renminbi</t>
  </si>
  <si>
    <t>CNY</t>
  </si>
  <si>
    <t>Colombian Peso</t>
  </si>
  <si>
    <t>COP</t>
  </si>
  <si>
    <t>Unidad de Valor Real</t>
  </si>
  <si>
    <t>COU</t>
  </si>
  <si>
    <t>Comorian Franc</t>
  </si>
  <si>
    <t>KMF</t>
  </si>
  <si>
    <t>Congolese Franc</t>
  </si>
  <si>
    <t>CDF</t>
  </si>
  <si>
    <t>New Zealand Dollar</t>
  </si>
  <si>
    <t>NZD</t>
  </si>
  <si>
    <t>Costa Rican Colon</t>
  </si>
  <si>
    <t>CRC</t>
  </si>
  <si>
    <t>Kuna</t>
  </si>
  <si>
    <t>HRK</t>
  </si>
  <si>
    <t>Cuban Peso</t>
  </si>
  <si>
    <t>CUP</t>
  </si>
  <si>
    <t>Peso Convertible</t>
  </si>
  <si>
    <t>CUC</t>
  </si>
  <si>
    <t>Netherlands Antillean Guilder</t>
  </si>
  <si>
    <t>ANG</t>
  </si>
  <si>
    <t>Czech Koruna</t>
  </si>
  <si>
    <t>CZK</t>
  </si>
  <si>
    <t>Danish Krone</t>
  </si>
  <si>
    <t>DKK</t>
  </si>
  <si>
    <t>Djibouti Franc</t>
  </si>
  <si>
    <t>DJF</t>
  </si>
  <si>
    <t>Dominican Peso</t>
  </si>
  <si>
    <t>DOP</t>
  </si>
  <si>
    <t>Egyptian Pound</t>
  </si>
  <si>
    <t>EGP</t>
  </si>
  <si>
    <t>El Salvador Colon</t>
  </si>
  <si>
    <t>SVC</t>
  </si>
  <si>
    <t>Nakfa</t>
  </si>
  <si>
    <t>ERN</t>
  </si>
  <si>
    <t>Lilangeni</t>
  </si>
  <si>
    <t>SZL</t>
  </si>
  <si>
    <t>Ethiopian Birr</t>
  </si>
  <si>
    <t>ETB</t>
  </si>
  <si>
    <t>Falkland Islands Pound</t>
  </si>
  <si>
    <t>FKP</t>
  </si>
  <si>
    <t>Fiji Dollar</t>
  </si>
  <si>
    <t>FJD</t>
  </si>
  <si>
    <t>Dalasi</t>
  </si>
  <si>
    <t>GMD</t>
  </si>
  <si>
    <t>Lari</t>
  </si>
  <si>
    <t>GEL</t>
  </si>
  <si>
    <t>Ghana Cedi</t>
  </si>
  <si>
    <t>GHS</t>
  </si>
  <si>
    <t>Gibraltar Pound</t>
  </si>
  <si>
    <t>GIP</t>
  </si>
  <si>
    <t>Quetzal</t>
  </si>
  <si>
    <t>GTQ</t>
  </si>
  <si>
    <t>Pound Sterling</t>
  </si>
  <si>
    <t>GBP</t>
  </si>
  <si>
    <t>Guinean Franc</t>
  </si>
  <si>
    <t>GNF</t>
  </si>
  <si>
    <t>Guyana Dollar</t>
  </si>
  <si>
    <t>GYD</t>
  </si>
  <si>
    <t>Gourde</t>
  </si>
  <si>
    <t>HTG</t>
  </si>
  <si>
    <t>Lempira</t>
  </si>
  <si>
    <t>HNL</t>
  </si>
  <si>
    <t>Hong Kong Dollar</t>
  </si>
  <si>
    <t>HKD</t>
  </si>
  <si>
    <t>Forint</t>
  </si>
  <si>
    <t>HUF</t>
  </si>
  <si>
    <t>Iceland Krona</t>
  </si>
  <si>
    <t>ISK</t>
  </si>
  <si>
    <t>Rupiah</t>
  </si>
  <si>
    <t>IDR</t>
  </si>
  <si>
    <t>Iranian Rial</t>
  </si>
  <si>
    <t>IRR</t>
  </si>
  <si>
    <t>Iraqi Dinar</t>
  </si>
  <si>
    <t>IQD</t>
  </si>
  <si>
    <t>New Israeli Sheqel</t>
  </si>
  <si>
    <t>ILS</t>
  </si>
  <si>
    <t>Jamaican Dollar</t>
  </si>
  <si>
    <t>JMD</t>
  </si>
  <si>
    <t>Yen</t>
  </si>
  <si>
    <t>JPY</t>
  </si>
  <si>
    <t>Jordanian Dinar</t>
  </si>
  <si>
    <t>JOD</t>
  </si>
  <si>
    <t>Tenge</t>
  </si>
  <si>
    <t>KZT</t>
  </si>
  <si>
    <t>Kenyan Shilling</t>
  </si>
  <si>
    <t>KES</t>
  </si>
  <si>
    <t>North Korean Won</t>
  </si>
  <si>
    <t>KPW</t>
  </si>
  <si>
    <t>Won</t>
  </si>
  <si>
    <t>KRW</t>
  </si>
  <si>
    <t>Kuwaiti Dinar</t>
  </si>
  <si>
    <t>KWD</t>
  </si>
  <si>
    <t>Som</t>
  </si>
  <si>
    <t>KGS</t>
  </si>
  <si>
    <t>Lao Kip</t>
  </si>
  <si>
    <t>LAK</t>
  </si>
  <si>
    <t>Lebanese Pound</t>
  </si>
  <si>
    <t>LBP</t>
  </si>
  <si>
    <t>Loti</t>
  </si>
  <si>
    <t>LSL</t>
  </si>
  <si>
    <t>Rand</t>
  </si>
  <si>
    <t>ZAR</t>
  </si>
  <si>
    <t>Liberian Dollar</t>
  </si>
  <si>
    <t>LRD</t>
  </si>
  <si>
    <t>Libyan Dinar</t>
  </si>
  <si>
    <t>LYD</t>
  </si>
  <si>
    <t>Swiss Franc</t>
  </si>
  <si>
    <t>CHF</t>
  </si>
  <si>
    <t>Pataca</t>
  </si>
  <si>
    <t>MOP</t>
  </si>
  <si>
    <t>Denar</t>
  </si>
  <si>
    <t>MKD</t>
  </si>
  <si>
    <t>Malagasy Ariary</t>
  </si>
  <si>
    <t>MGA</t>
  </si>
  <si>
    <t>Malawi Kwacha</t>
  </si>
  <si>
    <t>MWK</t>
  </si>
  <si>
    <t>Malaysian Ringgit</t>
  </si>
  <si>
    <t>MYR</t>
  </si>
  <si>
    <t>Rufiyaa</t>
  </si>
  <si>
    <t>MVR</t>
  </si>
  <si>
    <t>Ouguiya</t>
  </si>
  <si>
    <t>MRU</t>
  </si>
  <si>
    <t>Mauritius Rupee</t>
  </si>
  <si>
    <t>MUR</t>
  </si>
  <si>
    <t>Mexican Peso</t>
  </si>
  <si>
    <t>MXN</t>
  </si>
  <si>
    <t>Mexican Unidad de Inversion (UDI)</t>
  </si>
  <si>
    <t>MXV</t>
  </si>
  <si>
    <t>Moldovan Leu</t>
  </si>
  <si>
    <t>MDL</t>
  </si>
  <si>
    <t>Tugrik</t>
  </si>
  <si>
    <t>MNT</t>
  </si>
  <si>
    <t>Moroccan Dirham</t>
  </si>
  <si>
    <t>MAD</t>
  </si>
  <si>
    <t>Mozambique Metical</t>
  </si>
  <si>
    <t>MZN</t>
  </si>
  <si>
    <t>Kyat</t>
  </si>
  <si>
    <t>MMK</t>
  </si>
  <si>
    <t>Namibia Dollar</t>
  </si>
  <si>
    <t>NAD</t>
  </si>
  <si>
    <t>Nepalese Rupee</t>
  </si>
  <si>
    <t>NPR</t>
  </si>
  <si>
    <t>Cordoba Oro</t>
  </si>
  <si>
    <t>NIO</t>
  </si>
  <si>
    <t>Naira</t>
  </si>
  <si>
    <t>NGN</t>
  </si>
  <si>
    <t>Rial Omani</t>
  </si>
  <si>
    <t>OMR</t>
  </si>
  <si>
    <t>Pakistan Rupee</t>
  </si>
  <si>
    <t>PKR</t>
  </si>
  <si>
    <t>Balboa</t>
  </si>
  <si>
    <t>PAB</t>
  </si>
  <si>
    <t>Kina</t>
  </si>
  <si>
    <t>PGK</t>
  </si>
  <si>
    <t>Guarani</t>
  </si>
  <si>
    <t>PYG</t>
  </si>
  <si>
    <t>Sol</t>
  </si>
  <si>
    <t>PEN</t>
  </si>
  <si>
    <t>Philippine Peso</t>
  </si>
  <si>
    <t>PHP</t>
  </si>
  <si>
    <t>Zloty</t>
  </si>
  <si>
    <t>PLN</t>
  </si>
  <si>
    <t>Qatari Rial</t>
  </si>
  <si>
    <t>QAR</t>
  </si>
  <si>
    <t>Romanian Leu</t>
  </si>
  <si>
    <t>RON</t>
  </si>
  <si>
    <t>Russian Ruble</t>
  </si>
  <si>
    <t>RUB</t>
  </si>
  <si>
    <t>Rwanda Franc</t>
  </si>
  <si>
    <t>RWF</t>
  </si>
  <si>
    <t>Saint Helena Pound</t>
  </si>
  <si>
    <t>SHP</t>
  </si>
  <si>
    <t>Tala</t>
  </si>
  <si>
    <t>WST</t>
  </si>
  <si>
    <t>Dobra</t>
  </si>
  <si>
    <t>STN</t>
  </si>
  <si>
    <t>Saudi Riyal</t>
  </si>
  <si>
    <t>SAR</t>
  </si>
  <si>
    <t>Serbian Dinar</t>
  </si>
  <si>
    <t>RSD</t>
  </si>
  <si>
    <t>Seychelles Rupee</t>
  </si>
  <si>
    <t>SCR</t>
  </si>
  <si>
    <t>Leone</t>
  </si>
  <si>
    <t>SLL</t>
  </si>
  <si>
    <t>Singapore Dollar</t>
  </si>
  <si>
    <t>SGD</t>
  </si>
  <si>
    <t>Sucre</t>
  </si>
  <si>
    <t>XSU</t>
  </si>
  <si>
    <t>Solomon Islands Dollar</t>
  </si>
  <si>
    <t>SBD</t>
  </si>
  <si>
    <t>Somali Shilling</t>
  </si>
  <si>
    <t>SOS</t>
  </si>
  <si>
    <t>South Sudanese Pound</t>
  </si>
  <si>
    <t>SSP</t>
  </si>
  <si>
    <t>Sri Lanka Rupee</t>
  </si>
  <si>
    <t>LKR</t>
  </si>
  <si>
    <t>Sudanese Pound</t>
  </si>
  <si>
    <t>SDG</t>
  </si>
  <si>
    <t>Surinam Dollar</t>
  </si>
  <si>
    <t>SRD</t>
  </si>
  <si>
    <t>Swedish Krona</t>
  </si>
  <si>
    <t>SEK</t>
  </si>
  <si>
    <t>WIR Euro</t>
  </si>
  <si>
    <t>CHE</t>
  </si>
  <si>
    <t>WIR Franc</t>
  </si>
  <si>
    <t>CHW</t>
  </si>
  <si>
    <t>Syrian Pound</t>
  </si>
  <si>
    <t>SYP</t>
  </si>
  <si>
    <t>New Taiwan Dollar</t>
  </si>
  <si>
    <t>TWD</t>
  </si>
  <si>
    <t>Somoni</t>
  </si>
  <si>
    <t>TJS</t>
  </si>
  <si>
    <t>Tanzanian Shilling</t>
  </si>
  <si>
    <t>TZS</t>
  </si>
  <si>
    <t>Baht</t>
  </si>
  <si>
    <t>THB</t>
  </si>
  <si>
    <t>Pa'anga</t>
  </si>
  <si>
    <t>TOP</t>
  </si>
  <si>
    <t>Trinidad and Tobago Dollar</t>
  </si>
  <si>
    <t>TTD</t>
  </si>
  <si>
    <t>Tunisian Dinar</t>
  </si>
  <si>
    <t>TND</t>
  </si>
  <si>
    <t>Turkish Lira</t>
  </si>
  <si>
    <t>TRY</t>
  </si>
  <si>
    <t>Turkmenistan New Manat</t>
  </si>
  <si>
    <t>TMT</t>
  </si>
  <si>
    <t>Uganda Shilling</t>
  </si>
  <si>
    <t>UGX</t>
  </si>
  <si>
    <t>Hryvnia</t>
  </si>
  <si>
    <t>UAH</t>
  </si>
  <si>
    <t>UAE Dirham</t>
  </si>
  <si>
    <t>AED</t>
  </si>
  <si>
    <t>Peso Uruguayo</t>
  </si>
  <si>
    <t>UYU</t>
  </si>
  <si>
    <t>Uruguay Peso en Unidades Indexadas (UI)</t>
  </si>
  <si>
    <t>UYI</t>
  </si>
  <si>
    <t>Unidad Previsional</t>
  </si>
  <si>
    <t>UYW</t>
  </si>
  <si>
    <t>Uzbekistan Sum</t>
  </si>
  <si>
    <t>UZS</t>
  </si>
  <si>
    <t>Vatu</t>
  </si>
  <si>
    <t>VUV</t>
  </si>
  <si>
    <t>BolÃ­var Soberano</t>
  </si>
  <si>
    <t>VES</t>
  </si>
  <si>
    <t>Dong</t>
  </si>
  <si>
    <t>VND</t>
  </si>
  <si>
    <t>Yemeni Rial</t>
  </si>
  <si>
    <t>YER</t>
  </si>
  <si>
    <t>Zambian Kwacha</t>
  </si>
  <si>
    <t>ZMW</t>
  </si>
  <si>
    <t>Zimbabwe Dollar</t>
  </si>
  <si>
    <t>ZWL</t>
  </si>
  <si>
    <t>Currency Code</t>
  </si>
  <si>
    <t>Currency Description</t>
  </si>
  <si>
    <t>Regions</t>
  </si>
  <si>
    <t>APAC</t>
  </si>
  <si>
    <t>EMEA</t>
  </si>
  <si>
    <t>LATAM</t>
  </si>
  <si>
    <t>P&amp;C</t>
  </si>
  <si>
    <t>P&amp;I</t>
  </si>
  <si>
    <t>Multi-Line</t>
  </si>
  <si>
    <t>Reinsurance</t>
  </si>
  <si>
    <t>Insurance Sectors</t>
  </si>
  <si>
    <t>Policyholder capital available to absorb losses</t>
  </si>
  <si>
    <t>Pandemic risk</t>
  </si>
  <si>
    <t>Life excluding pandemic</t>
  </si>
  <si>
    <t>Life including pandemic</t>
  </si>
  <si>
    <t>Life &amp; pandemic diversifcation</t>
  </si>
  <si>
    <t>Life - Other life risk charges</t>
  </si>
  <si>
    <t>Other life</t>
  </si>
  <si>
    <t>Non-participating business</t>
  </si>
  <si>
    <t>General account</t>
  </si>
  <si>
    <t>Protection / Term</t>
  </si>
  <si>
    <t>Non-linked savings* (eg Permanent Life insurance/ Fixed indexed annuity / RILA )</t>
  </si>
  <si>
    <t xml:space="preserve">Immediate payout annuities  </t>
  </si>
  <si>
    <t xml:space="preserve">Deferred payout annuities (without crediting guarantees)  </t>
  </si>
  <si>
    <t xml:space="preserve">Deferred payout annuities (with crediting guarantees)  </t>
  </si>
  <si>
    <t>GIC</t>
  </si>
  <si>
    <t>Separate account</t>
  </si>
  <si>
    <t xml:space="preserve">Linked business without guarantees (eg Variable unniversal life)  </t>
  </si>
  <si>
    <t>Participating business</t>
  </si>
  <si>
    <t xml:space="preserve">Participating business (excluding payout annuities)  </t>
  </si>
  <si>
    <t xml:space="preserve">Participating immediate payout annuities  </t>
  </si>
  <si>
    <t xml:space="preserve">Participating deferred annuities  </t>
  </si>
  <si>
    <t>Total longevity exposure</t>
  </si>
  <si>
    <t>Weighted Maturity / Duration</t>
  </si>
  <si>
    <t>Other Individual Income</t>
  </si>
  <si>
    <t>Group Long Term</t>
  </si>
  <si>
    <t>Group Short Term</t>
  </si>
  <si>
    <t>Credit Monthly O/S balance</t>
  </si>
  <si>
    <t>Credit Single Premium with UPR</t>
  </si>
  <si>
    <t>Credit Single Premium without UPR</t>
  </si>
  <si>
    <t>Other Disability Income</t>
  </si>
  <si>
    <t>Less than $50 million</t>
  </si>
  <si>
    <t>Greater than $50 million</t>
  </si>
  <si>
    <t>Life -Disability risk charges</t>
  </si>
  <si>
    <t>USD Millions Conversion Factor (Multiplier)</t>
  </si>
  <si>
    <t>Conversion Factor</t>
  </si>
  <si>
    <t>&lt; $50 Million</t>
  </si>
  <si>
    <t>&gt; $50 Million</t>
  </si>
  <si>
    <t>Reserving Risks</t>
  </si>
  <si>
    <t>Primary business</t>
  </si>
  <si>
    <t xml:space="preserve">   -  Other life</t>
  </si>
  <si>
    <t xml:space="preserve">   -  Reinsurance Recoverables</t>
  </si>
  <si>
    <t xml:space="preserve">   -  Bank Deposits</t>
  </si>
  <si>
    <t>Disability Products</t>
  </si>
  <si>
    <t>Total Pricing Risk</t>
  </si>
  <si>
    <t>Total Reserve Risk</t>
  </si>
  <si>
    <t>Total Disability</t>
  </si>
  <si>
    <t>Critcal Illness</t>
  </si>
  <si>
    <t>Disability</t>
  </si>
  <si>
    <t>In good standing</t>
  </si>
  <si>
    <t>In process of foreclosure</t>
  </si>
  <si>
    <t>Is debt funded capital eligible in TAC?</t>
  </si>
  <si>
    <t>Total Debt/Hybrid</t>
  </si>
  <si>
    <t>TAC- Total Adjusted capital</t>
  </si>
  <si>
    <t>Amount</t>
  </si>
  <si>
    <t>Tolerance</t>
  </si>
  <si>
    <t>Within tolerance</t>
  </si>
  <si>
    <t>In excess</t>
  </si>
  <si>
    <t>Ratio</t>
  </si>
  <si>
    <t>Debt-funded capital</t>
  </si>
  <si>
    <t>Domicile</t>
  </si>
  <si>
    <t>Currency</t>
  </si>
  <si>
    <t>Company/Group</t>
  </si>
  <si>
    <t>Non-Cancelable Disability Income</t>
  </si>
  <si>
    <t>US</t>
  </si>
  <si>
    <t>Non-US</t>
  </si>
  <si>
    <t xml:space="preserve">       -  Critical Illness</t>
  </si>
  <si>
    <t xml:space="preserve">       -  Disability</t>
  </si>
  <si>
    <t>Total Mortgages</t>
  </si>
  <si>
    <t>Claim Reserves</t>
  </si>
  <si>
    <t>Claims</t>
  </si>
  <si>
    <t>Earned Premiums</t>
  </si>
  <si>
    <t>Life - Long term care risk charges</t>
  </si>
  <si>
    <t>Net Premiums Written - Recurring Business</t>
  </si>
  <si>
    <t>Mortgage Insurance Risk Charge Assumptions</t>
  </si>
  <si>
    <t>Life -Value In Force risk charges</t>
  </si>
  <si>
    <t>Value In Force (VIF)</t>
  </si>
  <si>
    <t>Cat premium income</t>
  </si>
  <si>
    <t>Credit risk on Nat Cat recoveries</t>
  </si>
  <si>
    <t xml:space="preserve">   -  Mortality</t>
  </si>
  <si>
    <t>Property(premium)</t>
  </si>
  <si>
    <t>Motor(premium)</t>
  </si>
  <si>
    <t>Financial(premium)</t>
  </si>
  <si>
    <t>Health(premium)</t>
  </si>
  <si>
    <t>Property(reserve)</t>
  </si>
  <si>
    <t>Motor(reserve)</t>
  </si>
  <si>
    <t>Financial(reserve)</t>
  </si>
  <si>
    <t>Health(reserve)</t>
  </si>
  <si>
    <t>Adjustment: Property(premium)</t>
  </si>
  <si>
    <t>Adjustment: Motor(premium)</t>
  </si>
  <si>
    <t>Adjustment: Liability(premium)</t>
  </si>
  <si>
    <t>Adjustment: Health(premium)</t>
  </si>
  <si>
    <t>Adjustment: Financial(premium)</t>
  </si>
  <si>
    <t>Adjustment: Other(premium)</t>
  </si>
  <si>
    <t>Adjustment: Property(reserve)</t>
  </si>
  <si>
    <t>Adjustment: Motor(reserve)</t>
  </si>
  <si>
    <t>Adjustment: Liability(reserve)</t>
  </si>
  <si>
    <t>Adjustment: Health(reserve)</t>
  </si>
  <si>
    <t>Adjustment: Financial(reserve)</t>
  </si>
  <si>
    <t>Adjustment: Other(reserve)</t>
  </si>
  <si>
    <t>Other(premium)</t>
  </si>
  <si>
    <t>Other(reserve)</t>
  </si>
  <si>
    <t>Adjusted Property</t>
  </si>
  <si>
    <t>Adjusted Motor</t>
  </si>
  <si>
    <t>Adjusted Liability</t>
  </si>
  <si>
    <t>Adjusted Health</t>
  </si>
  <si>
    <t>Adjusted Financial</t>
  </si>
  <si>
    <t>Adjusted Other</t>
  </si>
  <si>
    <t>Adjusted total - Premium</t>
  </si>
  <si>
    <t>Adjusted: Other life risk</t>
  </si>
  <si>
    <t>Adjusted: Longevity</t>
  </si>
  <si>
    <t>Adjusted: Mortality</t>
  </si>
  <si>
    <t>Adjusted: Pandemic</t>
  </si>
  <si>
    <t>Adjusted: Morbidity</t>
  </si>
  <si>
    <t>Adjustment: life technical risk</t>
  </si>
  <si>
    <t xml:space="preserve">Adjusted total </t>
  </si>
  <si>
    <t xml:space="preserve">   Bond risk</t>
  </si>
  <si>
    <t xml:space="preserve">   Reinsurance Recoverables</t>
  </si>
  <si>
    <t xml:space="preserve">   Mortgage risk</t>
  </si>
  <si>
    <t xml:space="preserve">   Bank Deposits</t>
  </si>
  <si>
    <t xml:space="preserve">        -  Property</t>
  </si>
  <si>
    <t xml:space="preserve">        -  Motor</t>
  </si>
  <si>
    <t xml:space="preserve">        -  Liability</t>
  </si>
  <si>
    <t xml:space="preserve">        -  Financial</t>
  </si>
  <si>
    <t xml:space="preserve">        -  Health</t>
  </si>
  <si>
    <t xml:space="preserve">        -  Other</t>
  </si>
  <si>
    <t>Construction Loans</t>
  </si>
  <si>
    <t>HDM</t>
  </si>
  <si>
    <t>LDM</t>
  </si>
  <si>
    <t>Deposits with Cedents</t>
  </si>
  <si>
    <t>Lognormal scaling</t>
  </si>
  <si>
    <t>Leases</t>
  </si>
  <si>
    <t>Deposits with cedents</t>
  </si>
  <si>
    <t xml:space="preserve">   -  Deposits with cedents</t>
  </si>
  <si>
    <t>Total bond exposure</t>
  </si>
  <si>
    <t xml:space="preserve">   Deposits with cedents</t>
  </si>
  <si>
    <t>Nat Cat Premium -S&amp;P estimate</t>
  </si>
  <si>
    <t>Check</t>
  </si>
  <si>
    <t>Difference</t>
  </si>
  <si>
    <t>Best Efforts</t>
  </si>
  <si>
    <t>Error Factor (e-factor)</t>
  </si>
  <si>
    <t>Life - Variable Annuities Assumptions</t>
  </si>
  <si>
    <t>Minimum Error Factor (e-factor)</t>
  </si>
  <si>
    <t>Adjusted minimum Error Factor (e-factor)</t>
  </si>
  <si>
    <t>Best effort weight</t>
  </si>
  <si>
    <t>Ajdusted weight</t>
  </si>
  <si>
    <t>Variable Annuities Initial</t>
  </si>
  <si>
    <t>Variable Annuities Final</t>
  </si>
  <si>
    <t xml:space="preserve">   -  Variable Annuities</t>
  </si>
  <si>
    <t>Deferred Tax Assets</t>
  </si>
  <si>
    <t xml:space="preserve">  BB  or B</t>
  </si>
  <si>
    <t>Reserves surplus adjustment</t>
  </si>
  <si>
    <t>Reserves discount adjustment</t>
  </si>
  <si>
    <t>Reported total net reserves</t>
  </si>
  <si>
    <t>Discounted total net reserves</t>
  </si>
  <si>
    <t>Discounting Adjustment</t>
  </si>
  <si>
    <t>Reported net claim reserves</t>
  </si>
  <si>
    <t>Discounted reported net claim reserves</t>
  </si>
  <si>
    <t>Net loss reserve surpluses/(deficits) (discounted)</t>
  </si>
  <si>
    <t>Adjusted total - Reserve</t>
  </si>
  <si>
    <t>Financial lines vs market and credit risk diversification adjustment</t>
  </si>
  <si>
    <t>Diversified Redundancy/(Deficiency)</t>
  </si>
  <si>
    <t>Diversified Redundancy/(Deficiency) %</t>
  </si>
  <si>
    <t>Non-life technical risk excl Financial</t>
  </si>
  <si>
    <t>Market Risk - Non-LIfe - Credit risk</t>
  </si>
  <si>
    <t>Diversified charges (incl financials)</t>
  </si>
  <si>
    <t>Liabilities</t>
  </si>
  <si>
    <t>Plus Risk on Value in force</t>
  </si>
  <si>
    <t>LTC</t>
  </si>
  <si>
    <t>Variable annuities</t>
  </si>
  <si>
    <t xml:space="preserve">   -  Other asset risk</t>
  </si>
  <si>
    <t>Other asset risk</t>
  </si>
  <si>
    <t xml:space="preserve">   -  Equity risk</t>
  </si>
  <si>
    <t>Variable annuities vs market and credit risk diversification adjustment</t>
  </si>
  <si>
    <t>Life technical risk excl Variable annuities</t>
  </si>
  <si>
    <t>Diversified charges (incl VA)</t>
  </si>
  <si>
    <t>Market Risk - LIfe - Credit risk</t>
  </si>
  <si>
    <t xml:space="preserve">  BBB</t>
  </si>
  <si>
    <t>CCC+  or lower</t>
  </si>
  <si>
    <t>Total property exposure</t>
  </si>
  <si>
    <t>Total other invested assets</t>
  </si>
  <si>
    <t>Credit Risk on Pandemic Recoveries</t>
  </si>
  <si>
    <t>Haircut</t>
  </si>
  <si>
    <t>Regulatory Solvency Ratio</t>
  </si>
  <si>
    <t>Non-Life DAC</t>
  </si>
  <si>
    <t>Net UPR</t>
  </si>
  <si>
    <t>Upto 1</t>
  </si>
  <si>
    <t>1.01 to 5</t>
  </si>
  <si>
    <t>5.01 to 10</t>
  </si>
  <si>
    <t>10.01 to 20</t>
  </si>
  <si>
    <t>More than 20</t>
  </si>
  <si>
    <t>Term (years)</t>
  </si>
  <si>
    <t>Listed</t>
  </si>
  <si>
    <t>GCC State</t>
  </si>
  <si>
    <t>Eurozone</t>
  </si>
  <si>
    <t>Nordics</t>
  </si>
  <si>
    <t>Unlisted</t>
  </si>
  <si>
    <t>Duration Mismatch Group</t>
  </si>
  <si>
    <t>IR Volatility Category</t>
  </si>
  <si>
    <t>Other Assets</t>
  </si>
  <si>
    <t>Exempt Assets</t>
  </si>
  <si>
    <t>Reserve risk (primary and proportional)</t>
  </si>
  <si>
    <t>Reserve risk (non-proportional)</t>
  </si>
  <si>
    <t>Premium risk factor (proportional)</t>
  </si>
  <si>
    <t>Premium risk factor (non-proportional)</t>
  </si>
  <si>
    <t>Premium Risk (proportional)</t>
  </si>
  <si>
    <t>Premium Risk (non-proportional)</t>
  </si>
  <si>
    <t>Premium Risk - Total</t>
  </si>
  <si>
    <t>Reserve Risk (proportional)</t>
  </si>
  <si>
    <t>Reserve Risk (non-proportional)</t>
  </si>
  <si>
    <t>Reserve Risk - Total</t>
  </si>
  <si>
    <t>Adjusted Reserve Risk - Total</t>
  </si>
  <si>
    <t>Base exposure</t>
  </si>
  <si>
    <t>Homeowner/Farmowner multi-peril</t>
  </si>
  <si>
    <t>Medicare supplemental</t>
  </si>
  <si>
    <t>Is AEP/OEP Curve Available?</t>
  </si>
  <si>
    <t>Error Message</t>
  </si>
  <si>
    <t>ERROR - Check inputs.</t>
  </si>
  <si>
    <t>As of</t>
  </si>
  <si>
    <t>Section Total</t>
  </si>
  <si>
    <t xml:space="preserve"> Product-Specific Risks</t>
  </si>
  <si>
    <t>Calculated TAC</t>
  </si>
  <si>
    <t>Total balance sheet assets</t>
  </si>
  <si>
    <t>Adjusted MAT</t>
  </si>
  <si>
    <t>MAT(premium)</t>
  </si>
  <si>
    <t>MAT(reserve)</t>
  </si>
  <si>
    <t>Adjustment: MAT(reserve)</t>
  </si>
  <si>
    <t>Adjustment: MAT(premium)</t>
  </si>
  <si>
    <t xml:space="preserve">   -  MAT</t>
  </si>
  <si>
    <t xml:space="preserve">        -  MAT</t>
  </si>
  <si>
    <t>General liability</t>
  </si>
  <si>
    <t>Workers compensation</t>
  </si>
  <si>
    <t>Fire &amp; other damage to property</t>
  </si>
  <si>
    <t>Motor vehicle liability</t>
  </si>
  <si>
    <t>Other motor</t>
  </si>
  <si>
    <t>Credit &amp; suretyship </t>
  </si>
  <si>
    <t>Miscellaneous financial loss</t>
  </si>
  <si>
    <t>Health &amp; medical expense insurance</t>
  </si>
  <si>
    <t>Marine, aviation and transport</t>
  </si>
  <si>
    <t>Income protection</t>
  </si>
  <si>
    <t>Legal expense</t>
  </si>
  <si>
    <t>Boiler &amp; machinery</t>
  </si>
  <si>
    <t>Auto physical damage</t>
  </si>
  <si>
    <t>Private passenger auto liability</t>
  </si>
  <si>
    <t>Financial guaranty </t>
  </si>
  <si>
    <t>A&amp;H stop loss reinsurance</t>
  </si>
  <si>
    <t>Accident &amp; health</t>
  </si>
  <si>
    <t>Federal employee health benefit program</t>
  </si>
  <si>
    <t>Ocean marine</t>
  </si>
  <si>
    <t>Commercial property</t>
  </si>
  <si>
    <t>Personal property</t>
  </si>
  <si>
    <t>Auto - liability</t>
  </si>
  <si>
    <t>Auto - other</t>
  </si>
  <si>
    <t>Auto - personal accident</t>
  </si>
  <si>
    <t>Credit protection</t>
  </si>
  <si>
    <t>Other approved products</t>
  </si>
  <si>
    <t>Employers liability</t>
  </si>
  <si>
    <t>Professional indemnity</t>
  </si>
  <si>
    <t>Domestic property</t>
  </si>
  <si>
    <t>Motor - all inclusive</t>
  </si>
  <si>
    <t>Third party liability motor</t>
  </si>
  <si>
    <t>Consumer credit</t>
  </si>
  <si>
    <t>Marine, aviation - cargo</t>
  </si>
  <si>
    <t>Marine, aviation - hull</t>
  </si>
  <si>
    <t>Mexico farm &amp; ranch</t>
  </si>
  <si>
    <t>Property all inclusive</t>
  </si>
  <si>
    <t>Motor all inclusive</t>
  </si>
  <si>
    <t>Health &amp; medical exp</t>
  </si>
  <si>
    <t>Marine, Aviation - all inclusive</t>
  </si>
  <si>
    <t>Marine, Aviation - cargo</t>
  </si>
  <si>
    <t>Credit &amp; suretyship</t>
  </si>
  <si>
    <t>Marine, aviation, and transport</t>
  </si>
  <si>
    <t>Financial guaranty</t>
  </si>
  <si>
    <t>US health reserves</t>
  </si>
  <si>
    <t>Accident and health</t>
  </si>
  <si>
    <t>Marine aviation - all inclusive</t>
  </si>
  <si>
    <t>Marine aviation - cargo</t>
  </si>
  <si>
    <t>Full risk and experience rated group and individual health</t>
  </si>
  <si>
    <t>Dental and vision</t>
  </si>
  <si>
    <t>Commercial motor - Australia and New Zealand</t>
  </si>
  <si>
    <t>Domestic motor - Australia and New Zealand</t>
  </si>
  <si>
    <t>Administrative services only/administrative services contract</t>
  </si>
  <si>
    <t>Performing</t>
  </si>
  <si>
    <t>Non-performing</t>
  </si>
  <si>
    <t>Debt Service Coverage Ratio</t>
  </si>
  <si>
    <t>Commercial Mortgages</t>
  </si>
  <si>
    <t>Residential Mortgages</t>
  </si>
  <si>
    <t>Non Performing</t>
  </si>
  <si>
    <t>Delinquent</t>
  </si>
  <si>
    <t>Non-mortgage</t>
  </si>
  <si>
    <t xml:space="preserve">  Non-invested Assets</t>
  </si>
  <si>
    <t>Non-chargeable Assets</t>
  </si>
  <si>
    <t>ASO/ASC Receivables</t>
  </si>
  <si>
    <t>Other Chargeable Assets</t>
  </si>
  <si>
    <t xml:space="preserve">  Other Invested and Non-invested Asset Charges</t>
  </si>
  <si>
    <t xml:space="preserve">   -  Other Chargeable Assets</t>
  </si>
  <si>
    <t xml:space="preserve">  Real Estate holdings</t>
  </si>
  <si>
    <t xml:space="preserve">  Other Invested Assets</t>
  </si>
  <si>
    <t>Deficit at 99.5%</t>
  </si>
  <si>
    <t>Best Efforts Pretax CTE 90</t>
  </si>
  <si>
    <t>99.99% Scenario</t>
  </si>
  <si>
    <t>Bank Deposits</t>
  </si>
  <si>
    <t>99.95% Scenario</t>
  </si>
  <si>
    <t>99.8% Scenario</t>
  </si>
  <si>
    <t>99.5% Scenario</t>
  </si>
  <si>
    <t>Investment</t>
  </si>
  <si>
    <t>1.1x to 1.4x</t>
  </si>
  <si>
    <t>Sovereign local currency rating</t>
  </si>
  <si>
    <t>Tenor (years)</t>
  </si>
  <si>
    <t>Stress Scenario</t>
  </si>
  <si>
    <t>Credit risk charges - Bond &amp; Loans</t>
  </si>
  <si>
    <t>Recovery Category</t>
  </si>
  <si>
    <t>Financials</t>
  </si>
  <si>
    <t>Non-financial Corporates</t>
  </si>
  <si>
    <t>Mapped rating category</t>
  </si>
  <si>
    <t>Review Type</t>
  </si>
  <si>
    <t>OTC Derivatives</t>
  </si>
  <si>
    <t xml:space="preserve">   -  OTC Derivatives</t>
  </si>
  <si>
    <t xml:space="preserve">  A- or higher</t>
  </si>
  <si>
    <t>LTV (%)</t>
  </si>
  <si>
    <t>&lt; 60</t>
  </si>
  <si>
    <t>&gt;80</t>
  </si>
  <si>
    <t>&gt; 1.4x</t>
  </si>
  <si>
    <t>&lt; 1.1x</t>
  </si>
  <si>
    <t>Duration Mismatch Groups</t>
  </si>
  <si>
    <t>60-80</t>
  </si>
  <si>
    <t>Group 1</t>
  </si>
  <si>
    <t>Group 2</t>
  </si>
  <si>
    <t>Group 3</t>
  </si>
  <si>
    <t>Group 4</t>
  </si>
  <si>
    <t>Net Loss Reserves</t>
  </si>
  <si>
    <t>IR Exposure Category</t>
  </si>
  <si>
    <t>Unit Linked with Investment Guarantee</t>
  </si>
  <si>
    <t>Exposure category</t>
  </si>
  <si>
    <t>Is complete input?</t>
  </si>
  <si>
    <t>Pandemic Risk</t>
  </si>
  <si>
    <t>Recovery Category 1</t>
  </si>
  <si>
    <t>Recovery Category 2</t>
  </si>
  <si>
    <t>Recovery Category 3</t>
  </si>
  <si>
    <t>Recovery Category 4</t>
  </si>
  <si>
    <t>Exposure with no mitigant</t>
  </si>
  <si>
    <t>Exposure with mitigant</t>
  </si>
  <si>
    <t>Product</t>
  </si>
  <si>
    <t>Product Category</t>
  </si>
  <si>
    <t>Category 1</t>
  </si>
  <si>
    <t>Category 2</t>
  </si>
  <si>
    <t>Category 3</t>
  </si>
  <si>
    <t>Group</t>
  </si>
  <si>
    <t>Mismatch Assumption (Years)</t>
  </si>
  <si>
    <t>Interest Rate Stress</t>
  </si>
  <si>
    <t>Duration Mismatch Assumption</t>
  </si>
  <si>
    <t>Applied Duration Mismatch</t>
  </si>
  <si>
    <t>Non-life duration mismatch scaling</t>
  </si>
  <si>
    <t>Interest Rate Risk - Required Capital</t>
  </si>
  <si>
    <t>Interest Rate Risk Assumptions</t>
  </si>
  <si>
    <t>Total Exposure</t>
  </si>
  <si>
    <t>Error Check Precision</t>
  </si>
  <si>
    <t>Adjustment Amount</t>
  </si>
  <si>
    <t>Input Total Invested assets</t>
  </si>
  <si>
    <t>Total invested assets</t>
  </si>
  <si>
    <t>VA</t>
  </si>
  <si>
    <t>Model Results</t>
  </si>
  <si>
    <t>Regulatory Solvency Ratio as of</t>
  </si>
  <si>
    <t>Adjustment Amt.</t>
  </si>
  <si>
    <t>IR Risk Category</t>
  </si>
  <si>
    <t>TAC Adj Type</t>
  </si>
  <si>
    <t>IR Risk Categories</t>
  </si>
  <si>
    <t>Can we determine a company-specific duration mismatch?</t>
  </si>
  <si>
    <t>Do you know the most onerous duration mismatch direction for life and non-life business?</t>
  </si>
  <si>
    <t>Interest Rate Risk Category</t>
  </si>
  <si>
    <t>Input error check</t>
  </si>
  <si>
    <t>Transposed table</t>
  </si>
  <si>
    <t>USD Exchange Rate</t>
  </si>
  <si>
    <t>C</t>
  </si>
  <si>
    <t>E</t>
  </si>
  <si>
    <t>D</t>
  </si>
  <si>
    <t>F</t>
  </si>
  <si>
    <t>Reporting Year</t>
  </si>
  <si>
    <t>Company/Group Information</t>
  </si>
  <si>
    <t>mnemonic</t>
  </si>
  <si>
    <t>lob</t>
  </si>
  <si>
    <t>geo</t>
  </si>
  <si>
    <t>data_type</t>
  </si>
  <si>
    <t>values</t>
  </si>
  <si>
    <t>Num Returned</t>
  </si>
  <si>
    <t>Num Success</t>
  </si>
  <si>
    <t>Sheet</t>
  </si>
  <si>
    <t>Row</t>
  </si>
  <si>
    <t>Column</t>
  </si>
  <si>
    <t>Input</t>
  </si>
  <si>
    <t>Value</t>
  </si>
  <si>
    <t>Destination cell address</t>
  </si>
  <si>
    <t>key</t>
  </si>
  <si>
    <t>Section</t>
  </si>
  <si>
    <t>Company Info</t>
  </si>
  <si>
    <t>Label</t>
  </si>
  <si>
    <t>H</t>
  </si>
  <si>
    <t>G</t>
  </si>
  <si>
    <t>Most onerous mismatch direction - Life</t>
  </si>
  <si>
    <t>Most onerous mismatch direction - Non-life</t>
  </si>
  <si>
    <t>Step 1</t>
  </si>
  <si>
    <t>Steps 2 &amp; 3</t>
  </si>
  <si>
    <t>Steps 1, 2 and 3</t>
  </si>
  <si>
    <t>Life Adjustment</t>
  </si>
  <si>
    <t>Reported reserves</t>
  </si>
  <si>
    <t>Adjusted reserves</t>
  </si>
  <si>
    <t>Adjustment Factor</t>
  </si>
  <si>
    <t>USD Exchange Rate (blank input defaults to 1.0)</t>
  </si>
  <si>
    <t>Immediate payout annuities</t>
  </si>
  <si>
    <t>Deferred payout annuities (without crediting guarantees)</t>
  </si>
  <si>
    <t>Deferred payout annuities (with crediting guarantees)</t>
  </si>
  <si>
    <t>Participating business (excluding payout annuities)</t>
  </si>
  <si>
    <t>Participating immediate payout annuities</t>
  </si>
  <si>
    <t>Participating deferred annuities</t>
  </si>
  <si>
    <t>ERG Mapped Rating</t>
  </si>
  <si>
    <t>Bond Rating Buckets</t>
  </si>
  <si>
    <t>Adjusted rating bucket</t>
  </si>
  <si>
    <t>inp_nat_cat_is_aep_curve_available</t>
  </si>
  <si>
    <t>inp_summary_review_type</t>
  </si>
  <si>
    <t>inp_summary_units</t>
  </si>
  <si>
    <t>inp_summary_usd_fx</t>
  </si>
  <si>
    <t>inp_summary_currency</t>
  </si>
  <si>
    <t>inp_tac_is_debt_eligible</t>
  </si>
  <si>
    <t>inp_erg_adj_corp</t>
  </si>
  <si>
    <t>inp_erg_adj_sov</t>
  </si>
  <si>
    <t>inp_erg_adj_fin</t>
  </si>
  <si>
    <t>Destination cell address or range name</t>
  </si>
  <si>
    <t>Natural Catastrophe Risk</t>
  </si>
  <si>
    <t>Interest Rate Risk</t>
  </si>
  <si>
    <t>duration_mismatch_bespoke</t>
  </si>
  <si>
    <t>inp_ir_mismatch_directiion_bespoke</t>
  </si>
  <si>
    <t>inp_ir_mismatch_directiion_life</t>
  </si>
  <si>
    <t>inp_ir_mismatch_directiion_non_life</t>
  </si>
  <si>
    <t>Lapse Risk
Mitigants (%)</t>
  </si>
  <si>
    <t>Range name</t>
  </si>
  <si>
    <t>Cell address</t>
  </si>
  <si>
    <t>SUCMTACPHS</t>
  </si>
  <si>
    <t>SUCMEQMINCONSSUB</t>
  </si>
  <si>
    <t>SUCMPROPSHDVDNOTACC</t>
  </si>
  <si>
    <t>SUCMOFFBALPENSDEFAFTER</t>
  </si>
  <si>
    <t>SUCMINVOWNTREASSHRS</t>
  </si>
  <si>
    <t>SUCMGOODWILL</t>
  </si>
  <si>
    <t>SUCMOTHINTANGASST</t>
  </si>
  <si>
    <t>SUCMOFFUNREALNOLIFEBNDS</t>
  </si>
  <si>
    <t>SUCMNOLIFENOTDISC</t>
  </si>
  <si>
    <t>SUCMNOLIFEDISC</t>
  </si>
  <si>
    <t>SUCMONBALLOSSRESDISC</t>
  </si>
  <si>
    <t>SUCMRELEGVTBONDYIELD</t>
  </si>
  <si>
    <t>SUCMMEANTERMUNDISC</t>
  </si>
  <si>
    <t>SUCMPCLRSURPDEFUNDISC</t>
  </si>
  <si>
    <t>SUCMOFFBALLIFEVIFNET</t>
  </si>
  <si>
    <t>SUCMONBALDACVOBAVIF</t>
  </si>
  <si>
    <t>SUCMLIFERESMVADJ</t>
  </si>
  <si>
    <t>SUCMPHCAPAVAIL</t>
  </si>
  <si>
    <t>SUCMHYBEQHIGH</t>
  </si>
  <si>
    <t>SUCMHYBEQINTERM</t>
  </si>
  <si>
    <t>SUCMHYBEQNONE</t>
  </si>
  <si>
    <t>SUCMHYBELIGDFC</t>
  </si>
  <si>
    <t>SUCMDEBTCAPELIG</t>
  </si>
  <si>
    <t>SUCMDEBTELIGDFC</t>
  </si>
  <si>
    <t>SUCMDEBTNOELIGSFC</t>
  </si>
  <si>
    <t>SUCMINVSUBDECONS</t>
  </si>
  <si>
    <t>SUCMUNCONSSUBSNOCONS</t>
  </si>
  <si>
    <t>SUCMUNCONASSJOINTMV</t>
  </si>
  <si>
    <t>SUCMUNCONASSJOINTBV</t>
  </si>
  <si>
    <t>SUCMCGHRAAA_LESS1</t>
  </si>
  <si>
    <t>SUCMCGHRAAA_1TO5</t>
  </si>
  <si>
    <t>SUCMCGHRAAA_5TO10</t>
  </si>
  <si>
    <t>SUCMCGHRAAA_10TO20</t>
  </si>
  <si>
    <t>SUCMCGHRAAA_GRTR20</t>
  </si>
  <si>
    <t>SUCMCGHRAA_LESS1</t>
  </si>
  <si>
    <t>SUCMCGHRAA_1TO5</t>
  </si>
  <si>
    <t>SUCMCGHRAA_5TO10</t>
  </si>
  <si>
    <t>SUCMCGHRAA_10TO20</t>
  </si>
  <si>
    <t>SUCMCGHRAA_GRTR20</t>
  </si>
  <si>
    <t>SUCMCGHRA_LESS1</t>
  </si>
  <si>
    <t>SUCMCGHRA_1TO5</t>
  </si>
  <si>
    <t>SUCMCGHRA_5TO10</t>
  </si>
  <si>
    <t>SUCMCGHRA_10TO20</t>
  </si>
  <si>
    <t>SUCMCGHRA_GRTR20</t>
  </si>
  <si>
    <t>SUCMCGHRBBB_LESS1</t>
  </si>
  <si>
    <t>SUCMCGHRBBB_1TO5</t>
  </si>
  <si>
    <t>SUCMCGHRBBB_5TO10</t>
  </si>
  <si>
    <t>SUCMCGHRBBB_10TO20</t>
  </si>
  <si>
    <t>SUCMCGHRBBB_GRTR20</t>
  </si>
  <si>
    <t>SUCMCGHRBB_LESS1</t>
  </si>
  <si>
    <t>SUCMCGHRBB_1TO5</t>
  </si>
  <si>
    <t>SUCMCGHRBB_5TO10</t>
  </si>
  <si>
    <t>SUCMCGHRBB_10TO20</t>
  </si>
  <si>
    <t>SUCMCGHRBB_GRTR20</t>
  </si>
  <si>
    <t>SUCMCGHRB_LESS1</t>
  </si>
  <si>
    <t>SUCMCGHRB_1TO5</t>
  </si>
  <si>
    <t>SUCMCGHRB_5TO10</t>
  </si>
  <si>
    <t>SUCMCGHRB_10TO20</t>
  </si>
  <si>
    <t>SUCMCGHRB_GRTR20</t>
  </si>
  <si>
    <t>SUCMCGHRCCC_LESS1</t>
  </si>
  <si>
    <t>SUCMCGHRCCC_1TO5</t>
  </si>
  <si>
    <t>SUCMCGHRCCC_5TO10</t>
  </si>
  <si>
    <t>SUCMCGHRCCC_10TO20</t>
  </si>
  <si>
    <t>SUCMCGHRCCC_GRTR20</t>
  </si>
  <si>
    <t>SUCMCGHRD_LESS1</t>
  </si>
  <si>
    <t>SUCMCGHRD_1TO5</t>
  </si>
  <si>
    <t>SUCMCGHRD_5TO10</t>
  </si>
  <si>
    <t>SUCMCGHRD_10TO20</t>
  </si>
  <si>
    <t>SUCMCGHRD_GRTR20</t>
  </si>
  <si>
    <t>SUCMCGMRAAA_LESS1</t>
  </si>
  <si>
    <t>SUCMCGMRAAA_1TO5</t>
  </si>
  <si>
    <t>SUCMCGMRAAA_5TO10</t>
  </si>
  <si>
    <t>SUCMCGMRAAA_10TO20</t>
  </si>
  <si>
    <t>SUCMCGMRAAA_GRTR20</t>
  </si>
  <si>
    <t>SUCMCGMRAA_LESS1</t>
  </si>
  <si>
    <t>SUCMCGMRAA_1TO5</t>
  </si>
  <si>
    <t>SUCMCGMRAA_5TO10</t>
  </si>
  <si>
    <t>SUCMCGMRAA_10TO20</t>
  </si>
  <si>
    <t>SUCMCGMRAA_GRTR20</t>
  </si>
  <si>
    <t>SUCMCGMRA_LESS1</t>
  </si>
  <si>
    <t>SUCMCGMRA_1TO5</t>
  </si>
  <si>
    <t>SUCMCGMRA_5TO10</t>
  </si>
  <si>
    <t>SUCMCGMRA_10TO20</t>
  </si>
  <si>
    <t>SUCMCGMRA_GRTR20</t>
  </si>
  <si>
    <t>SUCMCGMRBBB_LESS1</t>
  </si>
  <si>
    <t>SUCMCGMRBBB_1TO5</t>
  </si>
  <si>
    <t>SUCMCGMRBBB_5TO10</t>
  </si>
  <si>
    <t>SUCMCGMRBBB_10TO20</t>
  </si>
  <si>
    <t>SUCMCGMRBBB_GRTR20</t>
  </si>
  <si>
    <t>SUCMCGMRBB_LESS1</t>
  </si>
  <si>
    <t>SUCMCGMRBB_1TO5</t>
  </si>
  <si>
    <t>SUCMCGMRBB_5TO10</t>
  </si>
  <si>
    <t>SUCMCGMRBB_10TO20</t>
  </si>
  <si>
    <t>SUCMCGMRBB_GRTR20</t>
  </si>
  <si>
    <t>SUCMCGMRB_LESS1</t>
  </si>
  <si>
    <t>SUCMCGMRB_1TO5</t>
  </si>
  <si>
    <t>SUCMCGMRB_5TO10</t>
  </si>
  <si>
    <t>SUCMCGMRB_10TO20</t>
  </si>
  <si>
    <t>SUCMCGMRB_GRTR20</t>
  </si>
  <si>
    <t>SUCMCGMRCCC_LESS1</t>
  </si>
  <si>
    <t>SUCMCGMRCCC_1TO5</t>
  </si>
  <si>
    <t>SUCMCGMRCCC_5TO10</t>
  </si>
  <si>
    <t>SUCMCGMRCCC_10TO20</t>
  </si>
  <si>
    <t>SUCMCGMRCCC_GRTR20</t>
  </si>
  <si>
    <t>SUCMCGMRD_LESS1</t>
  </si>
  <si>
    <t>SUCMCGMRD_1TO5</t>
  </si>
  <si>
    <t>SUCMCGMRD_5TO10</t>
  </si>
  <si>
    <t>SUCMCGMRD_10TO20</t>
  </si>
  <si>
    <t>SUCMCGMRD_GRTR20</t>
  </si>
  <si>
    <t>SUCMCGLRAAA_LESS1</t>
  </si>
  <si>
    <t>SUCMCGLRAAA_1TO5</t>
  </si>
  <si>
    <t>SUCMCGLRAAA_5TO10</t>
  </si>
  <si>
    <t>SUCMCGLRAAA_10TO20</t>
  </si>
  <si>
    <t>SUCMCGLRAAA_GRTR20</t>
  </si>
  <si>
    <t>SUCMCGLRAA_LESS1</t>
  </si>
  <si>
    <t>SUCMCGLRAA_1TO5</t>
  </si>
  <si>
    <t>SUCMCGLRAA_5TO10</t>
  </si>
  <si>
    <t>SUCMCGLRAA_10TO20</t>
  </si>
  <si>
    <t>SUCMCGLRAA_GRTR20</t>
  </si>
  <si>
    <t>SUCMCGLRA_LESS1</t>
  </si>
  <si>
    <t>SUCMCGLRA_1TO5</t>
  </si>
  <si>
    <t>SUCMCGLRA_5TO10</t>
  </si>
  <si>
    <t>SUCMCGLRA_10TO20</t>
  </si>
  <si>
    <t>SUCMCGLRA_GRTR20</t>
  </si>
  <si>
    <t>SUCMCGLRBBB_LESS1</t>
  </si>
  <si>
    <t>SUCMCGLRBBB_1TO5</t>
  </si>
  <si>
    <t>SUCMCGLRBBB_5TO10</t>
  </si>
  <si>
    <t>SUCMCGLRBBB_10TO20</t>
  </si>
  <si>
    <t>SUCMCGLRBBB_GRTR20</t>
  </si>
  <si>
    <t>SUCMCGLRBB_LESS1</t>
  </si>
  <si>
    <t>SUCMCGLRBB_1TO5</t>
  </si>
  <si>
    <t>SUCMCGLRBB_5TO10</t>
  </si>
  <si>
    <t>SUCMCGLRBB_10TO20</t>
  </si>
  <si>
    <t>SUCMCGLRBB_GRTR20</t>
  </si>
  <si>
    <t>SUCMCGLRB_LESS1</t>
  </si>
  <si>
    <t>SUCMCGLRB_1TO5</t>
  </si>
  <si>
    <t>SUCMCGLRB_5TO10</t>
  </si>
  <si>
    <t>SUCMCGLRB_10TO20</t>
  </si>
  <si>
    <t>SUCMCGLRB_GRTR20</t>
  </si>
  <si>
    <t>SUCMCGLRCCC_LESS1</t>
  </si>
  <si>
    <t>SUCMCGLRCCC_1TO5</t>
  </si>
  <si>
    <t>SUCMCGLRCCC_5TO10</t>
  </si>
  <si>
    <t>SUCMCGLRCCC_10TO20</t>
  </si>
  <si>
    <t>SUCMCGLRCCC_GRTR20</t>
  </si>
  <si>
    <t>SUCMCGLRD_LESS1</t>
  </si>
  <si>
    <t>SUCMCGLRD_1TO5</t>
  </si>
  <si>
    <t>SUCMCGLRD_5TO10</t>
  </si>
  <si>
    <t>SUCMCGLRD_10TO20</t>
  </si>
  <si>
    <t>SUCMCGLRD_GRTR20</t>
  </si>
  <si>
    <t>SUCMCGSFAAA_LESS1</t>
  </si>
  <si>
    <t>SUCMCGSFAAA_1TO5</t>
  </si>
  <si>
    <t>SUCMCGSFAAA_5TO10</t>
  </si>
  <si>
    <t>SUCMCGSFAAA_10TO20</t>
  </si>
  <si>
    <t>SUCMCGSFAAA_GRTR20</t>
  </si>
  <si>
    <t>SUCMCGSFAA_LESS1</t>
  </si>
  <si>
    <t>SUCMCGSFAA_1TO5</t>
  </si>
  <si>
    <t>SUCMCGSFAA_5TO10</t>
  </si>
  <si>
    <t>SUCMCGSFAA_10TO20</t>
  </si>
  <si>
    <t>SUCMCGSFAA_GRTR20</t>
  </si>
  <si>
    <t>SUCMCGSFA_LESS1</t>
  </si>
  <si>
    <t>SUCMCGSFA_1TO5</t>
  </si>
  <si>
    <t>SUCMCGSFA_5TO10</t>
  </si>
  <si>
    <t>SUCMCGSFA_10TO20</t>
  </si>
  <si>
    <t>SUCMCGSFA_GRTR20</t>
  </si>
  <si>
    <t>SUCMCGSFBBB_LESS1</t>
  </si>
  <si>
    <t>SUCMCGSFBBB_1TO5</t>
  </si>
  <si>
    <t>SUCMCGSFBBB_5TO10</t>
  </si>
  <si>
    <t>SUCMCGSFBBB_10TO20</t>
  </si>
  <si>
    <t>SUCMCGSFBBB_GRTR20</t>
  </si>
  <si>
    <t>SUCMCGSFBB_LESS1</t>
  </si>
  <si>
    <t>SUCMCGSFBB_1TO5</t>
  </si>
  <si>
    <t>SUCMCGSFBB_5TO10</t>
  </si>
  <si>
    <t>SUCMCGSFBB_10TO20</t>
  </si>
  <si>
    <t>SUCMCGSFBB_GRTR20</t>
  </si>
  <si>
    <t>SUCMCGSFB_LESS1</t>
  </si>
  <si>
    <t>SUCMCGSFB_1TO5</t>
  </si>
  <si>
    <t>SUCMCGSFB_5TO10</t>
  </si>
  <si>
    <t>SUCMCGSFB_10TO20</t>
  </si>
  <si>
    <t>SUCMCGSFB_GRTR20</t>
  </si>
  <si>
    <t>SUCMCGSFCCC_LESS1</t>
  </si>
  <si>
    <t>SUCMCGSFCCC_1TO5</t>
  </si>
  <si>
    <t>SUCMCGSFCCC_5TO10</t>
  </si>
  <si>
    <t>SUCMCGSFCCC_10TO20</t>
  </si>
  <si>
    <t>SUCMCGSFCCC_GRTR20</t>
  </si>
  <si>
    <t>SUCMCGSFD_LESS1</t>
  </si>
  <si>
    <t>SUCMCGSFD_1TO5</t>
  </si>
  <si>
    <t>SUCMCGSFD_5TO10</t>
  </si>
  <si>
    <t>SUCMCGSFD_10TO20</t>
  </si>
  <si>
    <t>SUCMCGSFD_GRTR20</t>
  </si>
  <si>
    <t>SUCMTOTRATEDBNDS</t>
  </si>
  <si>
    <t>M</t>
  </si>
  <si>
    <t>I</t>
  </si>
  <si>
    <t>J</t>
  </si>
  <si>
    <t>K</t>
  </si>
  <si>
    <t>L</t>
  </si>
  <si>
    <t>On-balance sheet loss reserve discount</t>
  </si>
  <si>
    <t>Mean term of non-life undiscounted technical reserves (years)</t>
  </si>
  <si>
    <t>(Minus) Life reserves Adjustment</t>
  </si>
  <si>
    <t>(Plus) Analyst Adjustment</t>
  </si>
  <si>
    <t>Off-balance sheet pension deficits (post-tax)</t>
  </si>
  <si>
    <t>Hybrid equity - high equity content</t>
  </si>
  <si>
    <t>Hybrid equity - intermediate equity content</t>
  </si>
  <si>
    <t>Hybrid equity - no equity content</t>
  </si>
  <si>
    <t>Other life products       
˗ Structured settlements
˗ Repurchase Agreements 
˗ Securities Lending Transactions
˗ Funding agreements</t>
  </si>
  <si>
    <t>Hybrid Capital/Debt-Funded Capital Tolerance Limits</t>
  </si>
  <si>
    <t>No equity content</t>
  </si>
  <si>
    <t>High equity content</t>
  </si>
  <si>
    <t>Intermediate equity content</t>
  </si>
  <si>
    <t>IR Risk related Countries</t>
  </si>
  <si>
    <t>Domicile Countries</t>
  </si>
  <si>
    <t>Bermuda</t>
  </si>
  <si>
    <t>Non-life (premium)</t>
  </si>
  <si>
    <t>Non-life (reserve)</t>
  </si>
  <si>
    <t>Asset risk</t>
  </si>
  <si>
    <t>Liability risk</t>
  </si>
  <si>
    <t>Adjustment: Non-life (premium)</t>
  </si>
  <si>
    <t>Diversification benefits (%)</t>
  </si>
  <si>
    <t>-  Asset risk</t>
  </si>
  <si>
    <t>-  Liability risk</t>
  </si>
  <si>
    <t>Equity noncontrolling interests</t>
  </si>
  <si>
    <t>ACE - Adjusted Common Equity (before analyst adjustments)</t>
  </si>
  <si>
    <t>ACE - Adjusted Common Equity</t>
  </si>
  <si>
    <t>Company-specific analytical adjustments to determine ACE</t>
  </si>
  <si>
    <t>Common shareholders' equity/policyholders’ surplus</t>
  </si>
  <si>
    <t>Shareholder distributions not accrued</t>
  </si>
  <si>
    <t>Company-specific analytical adjustments to determine TAC</t>
  </si>
  <si>
    <t xml:space="preserve">  -  Goodwill</t>
  </si>
  <si>
    <t xml:space="preserve">  -  Other intangible assets</t>
  </si>
  <si>
    <t xml:space="preserve">  -  Off-balance sheet pension deficits</t>
  </si>
  <si>
    <t xml:space="preserve">  -  On-balance sheet pension surpluses</t>
  </si>
  <si>
    <t xml:space="preserve">  -  Non-life loss reserve surpluses/(deficits) </t>
  </si>
  <si>
    <t xml:space="preserve">  -  Other equity-like non-life reserves</t>
  </si>
  <si>
    <t xml:space="preserve">  -  Life reserves valuation adjustment</t>
  </si>
  <si>
    <t xml:space="preserve">  -  Other equity-like life reserves</t>
  </si>
  <si>
    <t xml:space="preserve">  -  Debt-funded capital</t>
  </si>
  <si>
    <t xml:space="preserve">  -  Hybrid capital</t>
  </si>
  <si>
    <t xml:space="preserve">  -  Non-life reserve discounting</t>
  </si>
  <si>
    <t>Adjustment: Non-life (reserve)</t>
  </si>
  <si>
    <t xml:space="preserve">Off-balance sheet Life Value in Force (post-tax) </t>
  </si>
  <si>
    <t xml:space="preserve">  -  Off-balance sheet pension surplus</t>
  </si>
  <si>
    <t>Section Start Row</t>
  </si>
  <si>
    <t>Row Offset</t>
  </si>
  <si>
    <t>error_code</t>
  </si>
  <si>
    <t>source_type</t>
  </si>
  <si>
    <t>Non-life premium and reserve analyst adjustments</t>
  </si>
  <si>
    <t>Post-diversification Adjustment: Non-life premium and reserve</t>
  </si>
  <si>
    <t>Correlation matrix</t>
  </si>
  <si>
    <t>Total adjustments</t>
  </si>
  <si>
    <t>Liability(premium)</t>
  </si>
  <si>
    <t>Liability(reserve)</t>
  </si>
  <si>
    <t>Service Host</t>
  </si>
  <si>
    <t>Service 1</t>
  </si>
  <si>
    <t>Path</t>
  </si>
  <si>
    <t>Param 1</t>
  </si>
  <si>
    <t>Value 1 prefix</t>
  </si>
  <si>
    <t>Value 1</t>
  </si>
  <si>
    <t>Param 2</t>
  </si>
  <si>
    <t>Value 2</t>
  </si>
  <si>
    <t>Param 3</t>
  </si>
  <si>
    <t>Value 3</t>
  </si>
  <si>
    <t>Param 4</t>
  </si>
  <si>
    <t>Value 4</t>
  </si>
  <si>
    <t>Full URL</t>
  </si>
  <si>
    <t>Service 2</t>
  </si>
  <si>
    <t>Proportional</t>
  </si>
  <si>
    <t>Non-proportional</t>
  </si>
  <si>
    <t>Level 1 diversification benefit %</t>
  </si>
  <si>
    <t>Total level 1 diversification benefit</t>
  </si>
  <si>
    <t>Level 3: Between risk categories: Diversification across risks</t>
  </si>
  <si>
    <t>Level 2: Within risk categories: Market risk diversification</t>
  </si>
  <si>
    <t>Level 2: Within risk categories: Life technical risk diversification</t>
  </si>
  <si>
    <t xml:space="preserve">  -  Level 1: Premium-Reserve</t>
  </si>
  <si>
    <t xml:space="preserve">  -  Level 2: Lines of Business</t>
  </si>
  <si>
    <t>CCC-C</t>
  </si>
  <si>
    <t>Total diversification (pre haircut)</t>
  </si>
  <si>
    <t>Diversification haircut</t>
  </si>
  <si>
    <t>Total diversification (post haircut)</t>
  </si>
  <si>
    <t>Mortality and Pandemic Required Capital</t>
  </si>
  <si>
    <t>Critical Illness Risk Required Capital</t>
  </si>
  <si>
    <t>Disability Risk Required Capital</t>
  </si>
  <si>
    <t>Long term care risk charges</t>
  </si>
  <si>
    <t>Longevity Risk Required Capital</t>
  </si>
  <si>
    <t>Other life Risk Required Capital</t>
  </si>
  <si>
    <t>Variable Annuities Required Capital</t>
  </si>
  <si>
    <t>Value In Force risk charges</t>
  </si>
  <si>
    <t>Long term care</t>
  </si>
  <si>
    <t>Morbidity - Critical Illness, Disability &amp; Long term care Risk Required Capital</t>
  </si>
  <si>
    <t xml:space="preserve">       -  Long term care</t>
  </si>
  <si>
    <t>Life IR Exposure Risk Category</t>
  </si>
  <si>
    <t>Country of IR risk exposure (if different)</t>
  </si>
  <si>
    <t>Diversification</t>
  </si>
  <si>
    <t>Minus Diversification</t>
  </si>
  <si>
    <t>Diversification across risks (Level 3)</t>
  </si>
  <si>
    <t>Is there exposure to foreign currency products?</t>
  </si>
  <si>
    <t>SUCMRUR1NFCERG1_LESS1</t>
  </si>
  <si>
    <t>SUCMRUR1NFCERG2_LESS1</t>
  </si>
  <si>
    <t>SUCMRUR1NFCERG3_LESS1</t>
  </si>
  <si>
    <t>SUCMRUR1NFCERG4_LESS1</t>
  </si>
  <si>
    <t>SUCMRUR1NFCERG5_LESS1</t>
  </si>
  <si>
    <t>SUCMRUR1NFCERG6_LESS1</t>
  </si>
  <si>
    <t>SUCMRUR1NFCERG7_LESS1</t>
  </si>
  <si>
    <t>SUCMRUR1NFCERG8_LESS1</t>
  </si>
  <si>
    <t>SUCMRUR1NFCERG9_LESS1</t>
  </si>
  <si>
    <t>SUCMRUR1NFCERG10_LESS1</t>
  </si>
  <si>
    <t>SUCMRUR1NFCERGNA_LESS1</t>
  </si>
  <si>
    <t>SUCMRUR1NFCERG1_1TO5</t>
  </si>
  <si>
    <t>SUCMRUR1NFCERG1_5TO10</t>
  </si>
  <si>
    <t>SUCMRUR1NFCERG1_10TO20</t>
  </si>
  <si>
    <t>SUCMRUR1NFCERG1_GRTR20</t>
  </si>
  <si>
    <t>SUCMRUR1NFCERG2_1TO5</t>
  </si>
  <si>
    <t>SUCMRUR1NFCERG2_5TO10</t>
  </si>
  <si>
    <t>SUCMRUR1NFCERG2_10TO20</t>
  </si>
  <si>
    <t>SUCMRUR1NFCERG2_GRTR20</t>
  </si>
  <si>
    <t>SUCMRUR1NFCERG3_1TO5</t>
  </si>
  <si>
    <t>SUCMRUR1NFCERG3_5TO10</t>
  </si>
  <si>
    <t>SUCMRUR1NFCERG3_10TO20</t>
  </si>
  <si>
    <t>SUCMRUR1NFCERG3_GRTR20</t>
  </si>
  <si>
    <t>SUCMRUR1NFCERG4_1TO5</t>
  </si>
  <si>
    <t>SUCMRUR1NFCERG4_5TO10</t>
  </si>
  <si>
    <t>SUCMRUR1NFCERG4_10TO20</t>
  </si>
  <si>
    <t>SUCMRUR1NFCERG4_GRTR20</t>
  </si>
  <si>
    <t>SUCMRUR1NFCERG5_1TO5</t>
  </si>
  <si>
    <t>SUCMRUR1NFCERG5_5TO10</t>
  </si>
  <si>
    <t>SUCMRUR1NFCERG5_10TO20</t>
  </si>
  <si>
    <t>SUCMRUR1NFCERG5_GRTR20</t>
  </si>
  <si>
    <t>SUCMRUR1NFCERG6_1TO5</t>
  </si>
  <si>
    <t>SUCMRUR1NFCERG6_5TO10</t>
  </si>
  <si>
    <t>SUCMRUR1NFCERG6_10TO20</t>
  </si>
  <si>
    <t>SUCMRUR1NFCERG6_GRTR20</t>
  </si>
  <si>
    <t>SUCMRUR1NFCERG7_1TO5</t>
  </si>
  <si>
    <t>SUCMRUR1NFCERG7_5TO10</t>
  </si>
  <si>
    <t>SUCMRUR1NFCERG7_10TO20</t>
  </si>
  <si>
    <t>SUCMRUR1NFCERG7_GRTR20</t>
  </si>
  <si>
    <t>SUCMRUR1NFCERG8_1TO5</t>
  </si>
  <si>
    <t>SUCMRUR1NFCERG8_5TO10</t>
  </si>
  <si>
    <t>SUCMRUR1NFCERG8_10TO20</t>
  </si>
  <si>
    <t>SUCMRUR1NFCERG8_GRTR20</t>
  </si>
  <si>
    <t>SUCMRUR1NFCERG9_1TO5</t>
  </si>
  <si>
    <t>SUCMRUR1NFCERG9_5TO10</t>
  </si>
  <si>
    <t>SUCMRUR1NFCERG9_10TO20</t>
  </si>
  <si>
    <t>SUCMRUR1NFCERG9_GRTR20</t>
  </si>
  <si>
    <t>SUCMRUR1NFCERG10_1TO5</t>
  </si>
  <si>
    <t>SUCMRUR1NFCERG10_5TO10</t>
  </si>
  <si>
    <t>SUCMRUR1NFCERG10_10TO20</t>
  </si>
  <si>
    <t>SUCMRUR1NFCERG10_GRTR20</t>
  </si>
  <si>
    <t>SUCMRUR1NFCERGNA_1TO5</t>
  </si>
  <si>
    <t>SUCMRUR1NFCERGNA_5TO10</t>
  </si>
  <si>
    <t>SUCMRUR1NFCERGNA_10TO20</t>
  </si>
  <si>
    <t>SUCMRUR1NFCERGNA_GRTR20</t>
  </si>
  <si>
    <t>SUCMRUR2NFCERG1_LESS1</t>
  </si>
  <si>
    <t>SUCMRUR2NFCERG1_1TO5</t>
  </si>
  <si>
    <t>SUCMRUR2NFCERG1_5TO10</t>
  </si>
  <si>
    <t>SUCMRUR2NFCERG1_10TO20</t>
  </si>
  <si>
    <t>SUCMRUR2NFCERG1_GRTR20</t>
  </si>
  <si>
    <t>SUCMRUR2NFCERG2_LESS1</t>
  </si>
  <si>
    <t>SUCMRUR2NFCERG2_1TO5</t>
  </si>
  <si>
    <t>SUCMRUR2NFCERG2_5TO10</t>
  </si>
  <si>
    <t>SUCMRUR2NFCERG2_10TO20</t>
  </si>
  <si>
    <t>SUCMRUR2NFCERG2_GRTR20</t>
  </si>
  <si>
    <t>SUCMRUR2NFCERG3_LESS1</t>
  </si>
  <si>
    <t>SUCMRUR2NFCERG3_1TO5</t>
  </si>
  <si>
    <t>SUCMRUR2NFCERG3_5TO10</t>
  </si>
  <si>
    <t>SUCMRUR2NFCERG3_10TO20</t>
  </si>
  <si>
    <t>SUCMRUR2NFCERG3_GRTR20</t>
  </si>
  <si>
    <t>SUCMRUR2NFCERG4_LESS1</t>
  </si>
  <si>
    <t>SUCMRUR2NFCERG4_1TO5</t>
  </si>
  <si>
    <t>SUCMRUR2NFCERG4_5TO10</t>
  </si>
  <si>
    <t>SUCMRUR2NFCERG4_10TO20</t>
  </si>
  <si>
    <t>SUCMRUR2NFCERG4_GRTR20</t>
  </si>
  <si>
    <t>SUCMRUR2NFCERG5_LESS1</t>
  </si>
  <si>
    <t>SUCMRUR2NFCERG5_1TO5</t>
  </si>
  <si>
    <t>SUCMRUR2NFCERG5_5TO10</t>
  </si>
  <si>
    <t>SUCMRUR2NFCERG5_10TO20</t>
  </si>
  <si>
    <t>SUCMRUR2NFCERG5_GRTR20</t>
  </si>
  <si>
    <t>SUCMRUR2NFCERG6_LESS1</t>
  </si>
  <si>
    <t>SUCMRUR2NFCERG6_1TO5</t>
  </si>
  <si>
    <t>SUCMRUR2NFCERG6_5TO10</t>
  </si>
  <si>
    <t>SUCMRUR2NFCERG6_10TO20</t>
  </si>
  <si>
    <t>SUCMRUR2NFCERG6_GRTR20</t>
  </si>
  <si>
    <t>SUCMRUR2NFCERG7_LESS1</t>
  </si>
  <si>
    <t>SUCMRUR2NFCERG7_1TO5</t>
  </si>
  <si>
    <t>SUCMRUR2NFCERG7_5TO10</t>
  </si>
  <si>
    <t>SUCMRUR2NFCERG7_10TO20</t>
  </si>
  <si>
    <t>SUCMRUR2NFCERG7_GRTR20</t>
  </si>
  <si>
    <t>SUCMRUR2NFCERG8_LESS1</t>
  </si>
  <si>
    <t>SUCMRUR2NFCERG8_1TO5</t>
  </si>
  <si>
    <t>SUCMRUR2NFCERG8_5TO10</t>
  </si>
  <si>
    <t>SUCMRUR2NFCERG8_10TO20</t>
  </si>
  <si>
    <t>SUCMRUR2NFCERG8_GRTR20</t>
  </si>
  <si>
    <t>SUCMRUR2NFCERG9_LESS1</t>
  </si>
  <si>
    <t>SUCMRUR2NFCERG9_1TO5</t>
  </si>
  <si>
    <t>SUCMRUR2NFCERG9_5TO10</t>
  </si>
  <si>
    <t>SUCMRUR2NFCERG9_10TO20</t>
  </si>
  <si>
    <t>SUCMRUR2NFCERG9_GRTR20</t>
  </si>
  <si>
    <t>SUCMRUR2NFCERG10_LESS1</t>
  </si>
  <si>
    <t>SUCMRUR2NFCERG10_1TO5</t>
  </si>
  <si>
    <t>SUCMRUR2NFCERG10_5TO10</t>
  </si>
  <si>
    <t>SUCMRUR2NFCERG10_10TO20</t>
  </si>
  <si>
    <t>SUCMRUR2NFCERG10_GRTR20</t>
  </si>
  <si>
    <t>SUCMRUR2NFCERGNA_LESS1</t>
  </si>
  <si>
    <t>SUCMRUR2NFCERGNA_1TO5</t>
  </si>
  <si>
    <t>SUCMRUR2NFCERGNA_5TO10</t>
  </si>
  <si>
    <t>SUCMRUR2NFCERGNA_10TO20</t>
  </si>
  <si>
    <t>SUCMRUR2NFCERGNA_GRTR20</t>
  </si>
  <si>
    <t>SUCMRUR3NFCERG1_LESS1</t>
  </si>
  <si>
    <t>SUCMRUR3NFCERG1_1TO5</t>
  </si>
  <si>
    <t>SUCMRUR3NFCERG1_5TO10</t>
  </si>
  <si>
    <t>SUCMRUR3NFCERG1_10TO20</t>
  </si>
  <si>
    <t>SUCMRUR3NFCERG1_GRTR20</t>
  </si>
  <si>
    <t>SUCMRUR3NFCERG2_LESS1</t>
  </si>
  <si>
    <t>SUCMRUR3NFCERG2_1TO5</t>
  </si>
  <si>
    <t>SUCMRUR3NFCERG2_5TO10</t>
  </si>
  <si>
    <t>SUCMRUR3NFCERG2_10TO20</t>
  </si>
  <si>
    <t>SUCMRUR3NFCERG2_GRTR20</t>
  </si>
  <si>
    <t>SUCMRUR3NFCERG3_LESS1</t>
  </si>
  <si>
    <t>SUCMRUR3NFCERG3_1TO5</t>
  </si>
  <si>
    <t>SUCMRUR3NFCERG3_5TO10</t>
  </si>
  <si>
    <t>SUCMRUR3NFCERG3_10TO20</t>
  </si>
  <si>
    <t>SUCMRUR3NFCERG3_GRTR20</t>
  </si>
  <si>
    <t>SUCMRUR3NFCERG4_LESS1</t>
  </si>
  <si>
    <t>SUCMRUR3NFCERG4_1TO5</t>
  </si>
  <si>
    <t>SUCMRUR3NFCERG4_5TO10</t>
  </si>
  <si>
    <t>SUCMRUR3NFCERG4_10TO20</t>
  </si>
  <si>
    <t>SUCMRUR3NFCERG4_GRTR20</t>
  </si>
  <si>
    <t>SUCMRUR3NFCERG5_LESS1</t>
  </si>
  <si>
    <t>SUCMRUR3NFCERG5_1TO5</t>
  </si>
  <si>
    <t>SUCMRUR3NFCERG5_5TO10</t>
  </si>
  <si>
    <t>SUCMRUR3NFCERG5_10TO20</t>
  </si>
  <si>
    <t>SUCMRUR3NFCERG5_GRTR20</t>
  </si>
  <si>
    <t>SUCMRUR3NFCERG6_LESS1</t>
  </si>
  <si>
    <t>SUCMRUR3NFCERG6_1TO5</t>
  </si>
  <si>
    <t>SUCMRUR3NFCERG6_5TO10</t>
  </si>
  <si>
    <t>SUCMRUR3NFCERG6_10TO20</t>
  </si>
  <si>
    <t>SUCMRUR3NFCERG6_GRTR20</t>
  </si>
  <si>
    <t>SUCMRUR3NFCERG7_LESS1</t>
  </si>
  <si>
    <t>SUCMRUR3NFCERG7_1TO5</t>
  </si>
  <si>
    <t>SUCMRUR3NFCERG7_5TO10</t>
  </si>
  <si>
    <t>SUCMRUR3NFCERG7_10TO20</t>
  </si>
  <si>
    <t>SUCMRUR3NFCERG7_GRTR20</t>
  </si>
  <si>
    <t>SUCMRUR3NFCERG8_LESS1</t>
  </si>
  <si>
    <t>SUCMRUR3NFCERG8_1TO5</t>
  </si>
  <si>
    <t>SUCMRUR3NFCERG8_5TO10</t>
  </si>
  <si>
    <t>SUCMRUR3NFCERG8_10TO20</t>
  </si>
  <si>
    <t>SUCMRUR3NFCERG8_GRTR20</t>
  </si>
  <si>
    <t>SUCMRUR3NFCERG9_LESS1</t>
  </si>
  <si>
    <t>SUCMRUR3NFCERG9_1TO5</t>
  </si>
  <si>
    <t>SUCMRUR3NFCERG9_5TO10</t>
  </si>
  <si>
    <t>SUCMRUR3NFCERG9_10TO20</t>
  </si>
  <si>
    <t>SUCMRUR3NFCERG9_GRTR20</t>
  </si>
  <si>
    <t>SUCMRUR3NFCERG10_LESS1</t>
  </si>
  <si>
    <t>SUCMRUR3NFCERG10_1TO5</t>
  </si>
  <si>
    <t>SUCMRUR3NFCERG10_5TO10</t>
  </si>
  <si>
    <t>SUCMRUR3NFCERG10_10TO20</t>
  </si>
  <si>
    <t>SUCMRUR3NFCERG10_GRTR20</t>
  </si>
  <si>
    <t>SUCMRUR3NFCERGNA_LESS1</t>
  </si>
  <si>
    <t>SUCMRUR3NFCERGNA_1TO5</t>
  </si>
  <si>
    <t>SUCMRUR3NFCERGNA_5TO10</t>
  </si>
  <si>
    <t>SUCMRUR3NFCERGNA_10TO20</t>
  </si>
  <si>
    <t>SUCMRUR3NFCERGNA_GRTR20</t>
  </si>
  <si>
    <t>SUCMRUR1FINERG1_LESS1</t>
  </si>
  <si>
    <t>SUCMRUR1FINERG1_1TO5</t>
  </si>
  <si>
    <t>SUCMRUR1FINERG1_5TO10</t>
  </si>
  <si>
    <t>SUCMRUR1FINERG1_10TO20</t>
  </si>
  <si>
    <t>SUCMRUR1FINERG1_GRTR20</t>
  </si>
  <si>
    <t>SUCMRUR1FINERG2_LESS1</t>
  </si>
  <si>
    <t>SUCMRUR1FINERG2_1TO5</t>
  </si>
  <si>
    <t>SUCMRUR1FINERG2_5TO10</t>
  </si>
  <si>
    <t>SUCMRUR1FINERG2_10TO20</t>
  </si>
  <si>
    <t>SUCMRUR1FINERG2_GRTR20</t>
  </si>
  <si>
    <t>SUCMRUR1FINERG3_LESS1</t>
  </si>
  <si>
    <t>SUCMRUR1FINERG3_1TO5</t>
  </si>
  <si>
    <t>SUCMRUR1FINERG3_5TO10</t>
  </si>
  <si>
    <t>SUCMRUR1FINERG3_10TO20</t>
  </si>
  <si>
    <t>SUCMRUR1FINERG3_GRTR20</t>
  </si>
  <si>
    <t>SUCMRUR1FINERG4_LESS1</t>
  </si>
  <si>
    <t>SUCMRUR1FINERG4_1TO5</t>
  </si>
  <si>
    <t>SUCMRUR1FINERG4_5TO10</t>
  </si>
  <si>
    <t>SUCMRUR1FINERG4_10TO20</t>
  </si>
  <si>
    <t>SUCMRUR1FINERG4_GRTR20</t>
  </si>
  <si>
    <t>SUCMRUR1FINERG5_LESS1</t>
  </si>
  <si>
    <t>SUCMRUR1FINERG5_1TO5</t>
  </si>
  <si>
    <t>SUCMRUR1FINERG5_5TO10</t>
  </si>
  <si>
    <t>SUCMRUR1FINERG5_10TO20</t>
  </si>
  <si>
    <t>SUCMRUR1FINERG5_GRTR20</t>
  </si>
  <si>
    <t>SUCMRUR1FINERG6_LESS1</t>
  </si>
  <si>
    <t>SUCMRUR1FINERG6_1TO5</t>
  </si>
  <si>
    <t>SUCMRUR1FINERG6_5TO10</t>
  </si>
  <si>
    <t>SUCMRUR1FINERG6_10TO20</t>
  </si>
  <si>
    <t>SUCMRUR1FINERG6_GRTR20</t>
  </si>
  <si>
    <t>SUCMRUR1FINERG7_LESS1</t>
  </si>
  <si>
    <t>SUCMRUR1FINERG7_1TO5</t>
  </si>
  <si>
    <t>SUCMRUR1FINERG7_5TO10</t>
  </si>
  <si>
    <t>SUCMRUR1FINERG7_10TO20</t>
  </si>
  <si>
    <t>SUCMRUR1FINERG7_GRTR20</t>
  </si>
  <si>
    <t>SUCMRUR1FINERG8_LESS1</t>
  </si>
  <si>
    <t>SUCMRUR1FINERG8_1TO5</t>
  </si>
  <si>
    <t>SUCMRUR1FINERG8_5TO10</t>
  </si>
  <si>
    <t>SUCMRUR1FINERG8_10TO20</t>
  </si>
  <si>
    <t>SUCMRUR1FINERG8_GRTR20</t>
  </si>
  <si>
    <t>SUCMRUR1FINERG9_LESS1</t>
  </si>
  <si>
    <t>SUCMRUR1FINERG9_1TO5</t>
  </si>
  <si>
    <t>SUCMRUR1FINERG9_5TO10</t>
  </si>
  <si>
    <t>SUCMRUR1FINERG9_10TO20</t>
  </si>
  <si>
    <t>SUCMRUR1FINERG9_GRTR20</t>
  </si>
  <si>
    <t>SUCMRUR1FINERG10_LESS1</t>
  </si>
  <si>
    <t>SUCMRUR1FINERG10_1TO5</t>
  </si>
  <si>
    <t>SUCMRUR1FINERG10_5TO10</t>
  </si>
  <si>
    <t>SUCMRUR1FINERG10_10TO20</t>
  </si>
  <si>
    <t>SUCMRUR1FINERG10_GRTR20</t>
  </si>
  <si>
    <t>SUCMRUR1FINERGNA_LESS1</t>
  </si>
  <si>
    <t>SUCMRUR1FINERGNA_1TO5</t>
  </si>
  <si>
    <t>SUCMRUR1FINERGNA_5TO10</t>
  </si>
  <si>
    <t>SUCMRUR1FINERGNA_10TO20</t>
  </si>
  <si>
    <t>SUCMRUR1FINERGNA_GRTR20</t>
  </si>
  <si>
    <t>SUCMRUR2FINERG1_LESS1</t>
  </si>
  <si>
    <t>SUCMRUR2FINERG1_1TO5</t>
  </si>
  <si>
    <t>SUCMRUR2FINERG1_5TO10</t>
  </si>
  <si>
    <t>SUCMRUR2FINERG1_10TO20</t>
  </si>
  <si>
    <t>SUCMRUR2FINERG1_GRTR20</t>
  </si>
  <si>
    <t>SUCMRUR2FINERG2_LESS1</t>
  </si>
  <si>
    <t>SUCMRUR2FINERG2_1TO5</t>
  </si>
  <si>
    <t>SUCMRUR2FINERG2_5TO10</t>
  </si>
  <si>
    <t>SUCMRUR2FINERG2_10TO20</t>
  </si>
  <si>
    <t>SUCMRUR2FINERG2_GRTR20</t>
  </si>
  <si>
    <t>SUCMRUR2FINERG3_LESS1</t>
  </si>
  <si>
    <t>SUCMRUR2FINERG3_1TO5</t>
  </si>
  <si>
    <t>SUCMRUR2FINERG3_5TO10</t>
  </si>
  <si>
    <t>SUCMRUR2FINERG3_10TO20</t>
  </si>
  <si>
    <t>SUCMRUR2FINERG3_GRTR20</t>
  </si>
  <si>
    <t>SUCMRUR2FINERG4_LESS1</t>
  </si>
  <si>
    <t>SUCMRUR2FINERG4_1TO5</t>
  </si>
  <si>
    <t>SUCMRUR2FINERG4_5TO10</t>
  </si>
  <si>
    <t>SUCMRUR2FINERG4_10TO20</t>
  </si>
  <si>
    <t>SUCMRUR2FINERG4_GRTR20</t>
  </si>
  <si>
    <t>SUCMRUR2FINERG5_LESS1</t>
  </si>
  <si>
    <t>SUCMRUR2FINERG5_1TO5</t>
  </si>
  <si>
    <t>SUCMRUR2FINERG5_5TO10</t>
  </si>
  <si>
    <t>SUCMRUR2FINERG5_10TO20</t>
  </si>
  <si>
    <t>SUCMRUR2FINERG5_GRTR20</t>
  </si>
  <si>
    <t>SUCMRUR2FINERG6_LESS1</t>
  </si>
  <si>
    <t>SUCMRUR2FINERG6_1TO5</t>
  </si>
  <si>
    <t>SUCMRUR2FINERG6_5TO10</t>
  </si>
  <si>
    <t>SUCMRUR2FINERG6_10TO20</t>
  </si>
  <si>
    <t>SUCMRUR2FINERG6_GRTR20</t>
  </si>
  <si>
    <t>SUCMRUR2FINERG7_LESS1</t>
  </si>
  <si>
    <t>SUCMRUR2FINERG7_1TO5</t>
  </si>
  <si>
    <t>SUCMRUR2FINERG7_5TO10</t>
  </si>
  <si>
    <t>SUCMRUR2FINERG7_10TO20</t>
  </si>
  <si>
    <t>SUCMRUR2FINERG7_GRTR20</t>
  </si>
  <si>
    <t>SUCMRUR2FINERG8_LESS1</t>
  </si>
  <si>
    <t>SUCMRUR2FINERG8_1TO5</t>
  </si>
  <si>
    <t>SUCMRUR2FINERG8_5TO10</t>
  </si>
  <si>
    <t>SUCMRUR2FINERG8_10TO20</t>
  </si>
  <si>
    <t>SUCMRUR2FINERG8_GRTR20</t>
  </si>
  <si>
    <t>SUCMRUR2FINERG9_LESS1</t>
  </si>
  <si>
    <t>SUCMRUR2FINERG9_1TO5</t>
  </si>
  <si>
    <t>SUCMRUR2FINERG9_5TO10</t>
  </si>
  <si>
    <t>SUCMRUR2FINERG9_10TO20</t>
  </si>
  <si>
    <t>SUCMRUR2FINERG9_GRTR20</t>
  </si>
  <si>
    <t>SUCMRUR2FINERG10_LESS1</t>
  </si>
  <si>
    <t>SUCMRUR2FINERG10_1TO5</t>
  </si>
  <si>
    <t>SUCMRUR2FINERG10_5TO10</t>
  </si>
  <si>
    <t>SUCMRUR2FINERG10_10TO20</t>
  </si>
  <si>
    <t>SUCMRUR2FINERG10_GRTR20</t>
  </si>
  <si>
    <t>SUCMRUR2FINERGNA_LESS1</t>
  </si>
  <si>
    <t>SUCMRUR2FINERGNA_1TO5</t>
  </si>
  <si>
    <t>SUCMRUR2FINERGNA_5TO10</t>
  </si>
  <si>
    <t>SUCMRUR2FINERGNA_10TO20</t>
  </si>
  <si>
    <t>SUCMRUR2FINERGNA_GRTR20</t>
  </si>
  <si>
    <t>SUCMRUR3FINERG1_LESS1</t>
  </si>
  <si>
    <t>SUCMRUR3FINERG1_1TO5</t>
  </si>
  <si>
    <t>SUCMRUR3FINERG1_5TO10</t>
  </si>
  <si>
    <t>SUCMRUR3FINERG1_10TO20</t>
  </si>
  <si>
    <t>SUCMRUR3FINERG1_GRTR20</t>
  </si>
  <si>
    <t>SUCMRUR3FINERG2_LESS1</t>
  </si>
  <si>
    <t>SUCMRUR3FINERG2_1TO5</t>
  </si>
  <si>
    <t>SUCMRUR3FINERG2_5TO10</t>
  </si>
  <si>
    <t>SUCMRUR3FINERG2_10TO20</t>
  </si>
  <si>
    <t>SUCMRUR3FINERG2_GRTR20</t>
  </si>
  <si>
    <t>SUCMRUR3FINERG3_LESS1</t>
  </si>
  <si>
    <t>SUCMRUR3FINERG3_1TO5</t>
  </si>
  <si>
    <t>SUCMRUR3FINERG3_5TO10</t>
  </si>
  <si>
    <t>SUCMRUR3FINERG3_10TO20</t>
  </si>
  <si>
    <t>SUCMRUR3FINERG3_GRTR20</t>
  </si>
  <si>
    <t>SUCMRUR3FINERG4_LESS1</t>
  </si>
  <si>
    <t>SUCMRUR3FINERG4_1TO5</t>
  </si>
  <si>
    <t>SUCMRUR3FINERG4_5TO10</t>
  </si>
  <si>
    <t>SUCMRUR3FINERG4_10TO20</t>
  </si>
  <si>
    <t>SUCMRUR3FINERG4_GRTR20</t>
  </si>
  <si>
    <t>SUCMRUR3FINERG5_LESS1</t>
  </si>
  <si>
    <t>SUCMRUR3FINERG5_1TO5</t>
  </si>
  <si>
    <t>SUCMRUR3FINERG5_5TO10</t>
  </si>
  <si>
    <t>SUCMRUR3FINERG5_10TO20</t>
  </si>
  <si>
    <t>SUCMRUR3FINERG5_GRTR20</t>
  </si>
  <si>
    <t>SUCMRUR3FINERG6_LESS1</t>
  </si>
  <si>
    <t>SUCMRUR3FINERG6_1TO5</t>
  </si>
  <si>
    <t>SUCMRUR3FINERG6_5TO10</t>
  </si>
  <si>
    <t>SUCMRUR3FINERG6_10TO20</t>
  </si>
  <si>
    <t>SUCMRUR3FINERG6_GRTR20</t>
  </si>
  <si>
    <t>SUCMRUR3FINERG7_LESS1</t>
  </si>
  <si>
    <t>SUCMRUR3FINERG7_1TO5</t>
  </si>
  <si>
    <t>SUCMRUR3FINERG7_5TO10</t>
  </si>
  <si>
    <t>SUCMRUR3FINERG7_10TO20</t>
  </si>
  <si>
    <t>SUCMRUR3FINERG7_GRTR20</t>
  </si>
  <si>
    <t>SUCMRUR3FINERG8_LESS1</t>
  </si>
  <si>
    <t>SUCMRUR3FINERG8_1TO5</t>
  </si>
  <si>
    <t>SUCMRUR3FINERG8_5TO10</t>
  </si>
  <si>
    <t>SUCMRUR3FINERG8_10TO20</t>
  </si>
  <si>
    <t>SUCMRUR3FINERG8_GRTR20</t>
  </si>
  <si>
    <t>SUCMRUR3FINERG9_LESS1</t>
  </si>
  <si>
    <t>SUCMRUR3FINERG9_1TO5</t>
  </si>
  <si>
    <t>SUCMRUR3FINERG9_5TO10</t>
  </si>
  <si>
    <t>SUCMRUR3FINERG9_10TO20</t>
  </si>
  <si>
    <t>SUCMRUR3FINERG9_GRTR20</t>
  </si>
  <si>
    <t>SUCMRUR3FINERG10_LESS1</t>
  </si>
  <si>
    <t>SUCMRUR3FINERG10_1TO5</t>
  </si>
  <si>
    <t>SUCMRUR3FINERG10_5TO10</t>
  </si>
  <si>
    <t>SUCMRUR3FINERG10_10TO20</t>
  </si>
  <si>
    <t>SUCMRUR3FINERG10_GRTR20</t>
  </si>
  <si>
    <t>SUCMRUR3FINERGNA_LESS1</t>
  </si>
  <si>
    <t>SUCMRUR3FINERGNA_1TO5</t>
  </si>
  <si>
    <t>SUCMRUR3FINERGNA_5TO10</t>
  </si>
  <si>
    <t>SUCMRUR3FINERGNA_10TO20</t>
  </si>
  <si>
    <t>SUCMRUR3FINERGNA_GRTR20</t>
  </si>
  <si>
    <t>SUCMRUR1SOVERG1_LESS1</t>
  </si>
  <si>
    <t>SUCMRUR1SOVERG1_1TO5</t>
  </si>
  <si>
    <t>SUCMRUR1SOVERG1_5TO10</t>
  </si>
  <si>
    <t>SUCMRUR1SOVERG1_10TO20</t>
  </si>
  <si>
    <t>SUCMRUR1SOVERG1_GRTR20</t>
  </si>
  <si>
    <t>SUCMRUR1SOVERG2_LESS1</t>
  </si>
  <si>
    <t>SUCMRUR1SOVERG2_1TO5</t>
  </si>
  <si>
    <t>SUCMRUR1SOVERG2_5TO10</t>
  </si>
  <si>
    <t>SUCMRUR1SOVERG2_10TO20</t>
  </si>
  <si>
    <t>SUCMRUR1SOVERG2_GRTR20</t>
  </si>
  <si>
    <t>SUCMRUR1SOVERG3_LESS1</t>
  </si>
  <si>
    <t>SUCMRUR1SOVERG3_1TO5</t>
  </si>
  <si>
    <t>SUCMRUR1SOVERG3_5TO10</t>
  </si>
  <si>
    <t>SUCMRUR1SOVERG3_10TO20</t>
  </si>
  <si>
    <t>SUCMRUR1SOVERG3_GRTR20</t>
  </si>
  <si>
    <t>SUCMRUR1SOVERG4_LESS1</t>
  </si>
  <si>
    <t>SUCMRUR1SOVERG4_1TO5</t>
  </si>
  <si>
    <t>SUCMRUR1SOVERG4_5TO10</t>
  </si>
  <si>
    <t>SUCMRUR1SOVERG4_10TO20</t>
  </si>
  <si>
    <t>SUCMRUR1SOVERG4_GRTR20</t>
  </si>
  <si>
    <t>SUCMRUR1SOVERG5_LESS1</t>
  </si>
  <si>
    <t>SUCMRUR1SOVERG5_1TO5</t>
  </si>
  <si>
    <t>SUCMRUR1SOVERG5_5TO10</t>
  </si>
  <si>
    <t>SUCMRUR1SOVERG5_10TO20</t>
  </si>
  <si>
    <t>SUCMRUR1SOVERG5_GRTR20</t>
  </si>
  <si>
    <t>SUCMRUR1SOVERG6_LESS1</t>
  </si>
  <si>
    <t>SUCMRUR1SOVERG6_1TO5</t>
  </si>
  <si>
    <t>SUCMRUR1SOVERG6_5TO10</t>
  </si>
  <si>
    <t>SUCMRUR1SOVERG6_10TO20</t>
  </si>
  <si>
    <t>SUCMRUR1SOVERG6_GRTR20</t>
  </si>
  <si>
    <t>SUCMRUR1SOVERG7_LESS1</t>
  </si>
  <si>
    <t>SUCMRUR1SOVERG7_1TO5</t>
  </si>
  <si>
    <t>SUCMRUR1SOVERG7_5TO10</t>
  </si>
  <si>
    <t>SUCMRUR1SOVERG7_10TO20</t>
  </si>
  <si>
    <t>SUCMRUR1SOVERG7_GRTR20</t>
  </si>
  <si>
    <t>SUCMRUR1SOVERG8_LESS1</t>
  </si>
  <si>
    <t>SUCMRUR1SOVERG8_1TO5</t>
  </si>
  <si>
    <t>SUCMRUR1SOVERG8_5TO10</t>
  </si>
  <si>
    <t>SUCMRUR1SOVERG8_10TO20</t>
  </si>
  <si>
    <t>SUCMRUR1SOVERG8_GRTR20</t>
  </si>
  <si>
    <t>SUCMRUR1SOVERG9_LESS1</t>
  </si>
  <si>
    <t>SUCMRUR1SOVERG9_1TO5</t>
  </si>
  <si>
    <t>SUCMRUR1SOVERG9_5TO10</t>
  </si>
  <si>
    <t>SUCMRUR1SOVERG9_10TO20</t>
  </si>
  <si>
    <t>SUCMRUR1SOVERG9_GRTR20</t>
  </si>
  <si>
    <t>SUCMRUR1SOVERG10_LESS1</t>
  </si>
  <si>
    <t>SUCMRUR1SOVERG10_1TO5</t>
  </si>
  <si>
    <t>SUCMRUR1SOVERG10_5TO10</t>
  </si>
  <si>
    <t>SUCMRUR1SOVERG10_10TO20</t>
  </si>
  <si>
    <t>SUCMRUR1SOVERG10_GRTR20</t>
  </si>
  <si>
    <t>SUCMRUR1SOVERGNA_LESS1</t>
  </si>
  <si>
    <t>SUCMRUR1SOVERGNA_1TO5</t>
  </si>
  <si>
    <t>SUCMRUR1SOVERGNA_5TO10</t>
  </si>
  <si>
    <t>SUCMRUR1SOVERGNA_10TO20</t>
  </si>
  <si>
    <t>SUCMRUR1SOVERGNA_GRTR20</t>
  </si>
  <si>
    <t>SUCMRUR2SOVERG1_LESS1</t>
  </si>
  <si>
    <t>SUCMRUR2SOVERG1_1TO5</t>
  </si>
  <si>
    <t>SUCMRUR2SOVERG1_5TO10</t>
  </si>
  <si>
    <t>SUCMRUR2SOVERG1_10TO20</t>
  </si>
  <si>
    <t>SUCMRUR2SOVERG1_GRTR20</t>
  </si>
  <si>
    <t>SUCMRUR2SOVERG2_LESS1</t>
  </si>
  <si>
    <t>SUCMRUR2SOVERG2_1TO5</t>
  </si>
  <si>
    <t>SUCMRUR2SOVERG2_5TO10</t>
  </si>
  <si>
    <t>SUCMRUR2SOVERG2_10TO20</t>
  </si>
  <si>
    <t>SUCMRUR2SOVERG2_GRTR20</t>
  </si>
  <si>
    <t>SUCMRUR2SOVERG3_LESS1</t>
  </si>
  <si>
    <t>SUCMRUR2SOVERG3_1TO5</t>
  </si>
  <si>
    <t>SUCMRUR2SOVERG3_5TO10</t>
  </si>
  <si>
    <t>SUCMRUR2SOVERG3_10TO20</t>
  </si>
  <si>
    <t>SUCMRUR2SOVERG3_GRTR20</t>
  </si>
  <si>
    <t>SUCMRUR2SOVERG4_LESS1</t>
  </si>
  <si>
    <t>SUCMRUR2SOVERG4_1TO5</t>
  </si>
  <si>
    <t>SUCMRUR2SOVERG4_5TO10</t>
  </si>
  <si>
    <t>SUCMRUR2SOVERG4_10TO20</t>
  </si>
  <si>
    <t>SUCMRUR2SOVERG4_GRTR20</t>
  </si>
  <si>
    <t>SUCMRUR2SOVERG5_LESS1</t>
  </si>
  <si>
    <t>SUCMRUR2SOVERG5_1TO5</t>
  </si>
  <si>
    <t>SUCMRUR2SOVERG5_5TO10</t>
  </si>
  <si>
    <t>SUCMRUR2SOVERG5_10TO20</t>
  </si>
  <si>
    <t>SUCMRUR2SOVERG5_GRTR20</t>
  </si>
  <si>
    <t>SUCMRUR2SOVERG6_LESS1</t>
  </si>
  <si>
    <t>SUCMRUR2SOVERG6_1TO5</t>
  </si>
  <si>
    <t>SUCMRUR2SOVERG6_5TO10</t>
  </si>
  <si>
    <t>SUCMRUR2SOVERG6_10TO20</t>
  </si>
  <si>
    <t>SUCMRUR2SOVERG6_GRTR20</t>
  </si>
  <si>
    <t>SUCMRUR2SOVERG7_LESS1</t>
  </si>
  <si>
    <t>SUCMRUR2SOVERG7_1TO5</t>
  </si>
  <si>
    <t>SUCMRUR2SOVERG7_5TO10</t>
  </si>
  <si>
    <t>SUCMRUR2SOVERG7_10TO20</t>
  </si>
  <si>
    <t>SUCMRUR2SOVERG7_GRTR20</t>
  </si>
  <si>
    <t>SUCMRUR2SOVERG8_LESS1</t>
  </si>
  <si>
    <t>SUCMRUR2SOVERG8_1TO5</t>
  </si>
  <si>
    <t>SUCMRUR2SOVERG8_5TO10</t>
  </si>
  <si>
    <t>SUCMRUR2SOVERG8_10TO20</t>
  </si>
  <si>
    <t>SUCMRUR2SOVERG8_GRTR20</t>
  </si>
  <si>
    <t>SUCMRUR2SOVERG9_LESS1</t>
  </si>
  <si>
    <t>SUCMRUR2SOVERG9_1TO5</t>
  </si>
  <si>
    <t>SUCMRUR2SOVERG9_5TO10</t>
  </si>
  <si>
    <t>SUCMRUR2SOVERG9_10TO20</t>
  </si>
  <si>
    <t>SUCMRUR2SOVERG9_GRTR20</t>
  </si>
  <si>
    <t>SUCMRUR2SOVERG10_LESS1</t>
  </si>
  <si>
    <t>SUCMRUR2SOVERG10_1TO5</t>
  </si>
  <si>
    <t>SUCMRUR2SOVERG10_5TO10</t>
  </si>
  <si>
    <t>SUCMRUR2SOVERG10_10TO20</t>
  </si>
  <si>
    <t>SUCMRUR2SOVERG10_GRTR20</t>
  </si>
  <si>
    <t>SUCMRUR2SOVERGNA_LESS1</t>
  </si>
  <si>
    <t>SUCMRUR2SOVERGNA_1TO5</t>
  </si>
  <si>
    <t>SUCMRUR2SOVERGNA_5TO10</t>
  </si>
  <si>
    <t>SUCMRUR2SOVERGNA_10TO20</t>
  </si>
  <si>
    <t>SUCMRUR2SOVERGNA_GRTR20</t>
  </si>
  <si>
    <t>SUCMRUR3SOVERG1_LESS1</t>
  </si>
  <si>
    <t>SUCMRUR3SOVERG1_1TO5</t>
  </si>
  <si>
    <t>SUCMRUR3SOVERG1_5TO10</t>
  </si>
  <si>
    <t>SUCMRUR3SOVERG1_10TO20</t>
  </si>
  <si>
    <t>SUCMRUR3SOVERG1_GRTR20</t>
  </si>
  <si>
    <t>SUCMRUR3SOVERG2_LESS1</t>
  </si>
  <si>
    <t>SUCMRUR3SOVERG2_1TO5</t>
  </si>
  <si>
    <t>SUCMRUR3SOVERG2_5TO10</t>
  </si>
  <si>
    <t>SUCMRUR3SOVERG2_10TO20</t>
  </si>
  <si>
    <t>SUCMRUR3SOVERG2_GRTR20</t>
  </si>
  <si>
    <t>SUCMRUR3SOVERG3_LESS1</t>
  </si>
  <si>
    <t>SUCMRUR3SOVERG3_1TO5</t>
  </si>
  <si>
    <t>SUCMRUR3SOVERG3_5TO10</t>
  </si>
  <si>
    <t>SUCMRUR3SOVERG3_10TO20</t>
  </si>
  <si>
    <t>SUCMRUR3SOVERG3_GRTR20</t>
  </si>
  <si>
    <t>SUCMRUR3SOVERG4_LESS1</t>
  </si>
  <si>
    <t>SUCMRUR3SOVERG4_1TO5</t>
  </si>
  <si>
    <t>SUCMRUR3SOVERG4_5TO10</t>
  </si>
  <si>
    <t>SUCMRUR3SOVERG4_10TO20</t>
  </si>
  <si>
    <t>SUCMRUR3SOVERG4_GRTR20</t>
  </si>
  <si>
    <t>SUCMRUR3SOVERG5_LESS1</t>
  </si>
  <si>
    <t>SUCMRUR3SOVERG5_1TO5</t>
  </si>
  <si>
    <t>SUCMRUR3SOVERG5_5TO10</t>
  </si>
  <si>
    <t>SUCMRUR3SOVERG5_10TO20</t>
  </si>
  <si>
    <t>SUCMRUR3SOVERG5_GRTR20</t>
  </si>
  <si>
    <t>SUCMRUR3SOVERG6_LESS1</t>
  </si>
  <si>
    <t>SUCMRUR3SOVERG6_1TO5</t>
  </si>
  <si>
    <t>SUCMRUR3SOVERG6_5TO10</t>
  </si>
  <si>
    <t>SUCMRUR3SOVERG6_10TO20</t>
  </si>
  <si>
    <t>SUCMRUR3SOVERG6_GRTR20</t>
  </si>
  <si>
    <t>SUCMRUR3SOVERG7_LESS1</t>
  </si>
  <si>
    <t>SUCMRUR3SOVERG7_1TO5</t>
  </si>
  <si>
    <t>SUCMRUR3SOVERG7_5TO10</t>
  </si>
  <si>
    <t>SUCMRUR3SOVERG7_10TO20</t>
  </si>
  <si>
    <t>SUCMRUR3SOVERG7_GRTR20</t>
  </si>
  <si>
    <t>SUCMRUR3SOVERG8_LESS1</t>
  </si>
  <si>
    <t>SUCMRUR3SOVERG8_1TO5</t>
  </si>
  <si>
    <t>SUCMRUR3SOVERG8_5TO10</t>
  </si>
  <si>
    <t>SUCMRUR3SOVERG8_10TO20</t>
  </si>
  <si>
    <t>SUCMRUR3SOVERG8_GRTR20</t>
  </si>
  <si>
    <t>SUCMRUR3SOVERG9_LESS1</t>
  </si>
  <si>
    <t>SUCMRUR3SOVERG9_1TO5</t>
  </si>
  <si>
    <t>SUCMRUR3SOVERG9_5TO10</t>
  </si>
  <si>
    <t>SUCMRUR3SOVERG9_10TO20</t>
  </si>
  <si>
    <t>SUCMRUR3SOVERG9_GRTR20</t>
  </si>
  <si>
    <t>SUCMRUR3SOVERG10_LESS1</t>
  </si>
  <si>
    <t>SUCMRUR3SOVERG10_1TO5</t>
  </si>
  <si>
    <t>SUCMRUR3SOVERG10_5TO10</t>
  </si>
  <si>
    <t>SUCMRUR3SOVERG10_10TO20</t>
  </si>
  <si>
    <t>SUCMRUR3SOVERG10_GRTR20</t>
  </si>
  <si>
    <t>SUCMRUR3SOVERGNA_LESS1</t>
  </si>
  <si>
    <t>SUCMRUR3SOVERGNA_1TO5</t>
  </si>
  <si>
    <t>SUCMRUR3SOVERGNA_5TO10</t>
  </si>
  <si>
    <t>SUCMRUR3SOVERGNA_10TO20</t>
  </si>
  <si>
    <t>SUCMRUR3SOVERGNA_GRTR20</t>
  </si>
  <si>
    <t>SUCMEQHOLDGR1LIST</t>
  </si>
  <si>
    <t>SUCMEQHOLDGR1UNLIST</t>
  </si>
  <si>
    <t>SUCMEQHOLDINVGR1LIST</t>
  </si>
  <si>
    <t>SUCMEQHOLDINVGR1UNLIST</t>
  </si>
  <si>
    <t>SUCMEQHOLDGR2LIST</t>
  </si>
  <si>
    <t>SUCMEQHOLDGR2UNLIST</t>
  </si>
  <si>
    <t>SUCMEQHOLDINVGR2LIST</t>
  </si>
  <si>
    <t>SUCMEQHOLDINVGR2UNLIST</t>
  </si>
  <si>
    <t>SUCMEQHOLDGR3LIST</t>
  </si>
  <si>
    <t>SUCMEQHOLDGR3UNLIST</t>
  </si>
  <si>
    <t>SUCMEQHOLDINVGR3LIST</t>
  </si>
  <si>
    <t>SUCMEQHOLDINVGR3UNLIST</t>
  </si>
  <si>
    <t>SUCMEQHOLDGR4LIST</t>
  </si>
  <si>
    <t>SUCMEQHOLDGR4UNLIST</t>
  </si>
  <si>
    <t>SUCMEQHOLDINVGR4LIST</t>
  </si>
  <si>
    <t>SUCMEQHOLDINVGR4UNLIST</t>
  </si>
  <si>
    <t>SUCMTOTEQHOLD</t>
  </si>
  <si>
    <t>SUCMREINVPROPGR1</t>
  </si>
  <si>
    <t>SUCMREOWNOCCGR1</t>
  </si>
  <si>
    <t>SUCMREINVPROPGR2</t>
  </si>
  <si>
    <t>SUCMREOWNOCCGR2</t>
  </si>
  <si>
    <t>SUCMREINVPROPGR3</t>
  </si>
  <si>
    <t>SUCMREOWNOCCGR3</t>
  </si>
  <si>
    <t>SUCMREINVPROPGR4</t>
  </si>
  <si>
    <t>SUCMREOWNOCCGR4</t>
  </si>
  <si>
    <t>SUCMREHOLDTOT</t>
  </si>
  <si>
    <t>SUCMCMIG14XLESS60</t>
  </si>
  <si>
    <t>SUCMCMIG11_14XLESS60</t>
  </si>
  <si>
    <t>SUCMCMIG11XLESS60</t>
  </si>
  <si>
    <t>SUCMCMIGDELINQLESS60</t>
  </si>
  <si>
    <t>SUCMCMIGFORECLLESS60</t>
  </si>
  <si>
    <t>SUCMCMIGCONSTRLESS60</t>
  </si>
  <si>
    <t>SUCMCMIGS14X60_80</t>
  </si>
  <si>
    <t>SUCMCMIGS11_14X60_80</t>
  </si>
  <si>
    <t>SUCMCMIGS11X60_80</t>
  </si>
  <si>
    <t>SUCMCMIGSDELINQ60_80</t>
  </si>
  <si>
    <t>SUCMCMIGSFORECL60_80</t>
  </si>
  <si>
    <t>SUCMCMIGSCONSTR60_80</t>
  </si>
  <si>
    <t>SUCMCMIGS14XGREAT80</t>
  </si>
  <si>
    <t>SUCMCMIGS11_14XGREAT80</t>
  </si>
  <si>
    <t>SUCMCMIGS11XGREAT80</t>
  </si>
  <si>
    <t>SUCMCMIGSDELINQGREAT80</t>
  </si>
  <si>
    <t>SUCMCMIGSFORECLGREAT80</t>
  </si>
  <si>
    <t>SUCMCMIGSCONSTRGREAT80</t>
  </si>
  <si>
    <t>SUCMCMPERFORMLESS60</t>
  </si>
  <si>
    <t>SUCMCMNONPERLESS60</t>
  </si>
  <si>
    <t>SUCMCMPERFORM60_80</t>
  </si>
  <si>
    <t>SUCMCMNONPER60_80</t>
  </si>
  <si>
    <t>SUCMCMPERFORMGREAT80</t>
  </si>
  <si>
    <t>SUCMCMNONPERGREAT80</t>
  </si>
  <si>
    <t>SUCMOTCDERIV</t>
  </si>
  <si>
    <t>SUCMBANKDEPA</t>
  </si>
  <si>
    <t>SUCMBANKDEPBBB</t>
  </si>
  <si>
    <t>SUCMBANKDEPBB</t>
  </si>
  <si>
    <t>SUCMBANKDEPCCC</t>
  </si>
  <si>
    <t>SUCMBANKDEPCED</t>
  </si>
  <si>
    <t>SUCMTOTINVASST</t>
  </si>
  <si>
    <t>SUCMRUR4SFERG1_LESS1</t>
  </si>
  <si>
    <t>SUCMRUR4SFERG1_1TO5</t>
  </si>
  <si>
    <t>SUCMRUR4SFERG1_5TO10</t>
  </si>
  <si>
    <t>SUCMRUR4SFERG1_10TO20</t>
  </si>
  <si>
    <t>SUCMRUR4SFERG1_GRTR20</t>
  </si>
  <si>
    <t>SUCMRUR4SFERG2_LESS1</t>
  </si>
  <si>
    <t>SUCMRUR4SFERG2_1TO5</t>
  </si>
  <si>
    <t>SUCMRUR4SFERG2_5TO10</t>
  </si>
  <si>
    <t>SUCMRUR4SFERG2_10TO20</t>
  </si>
  <si>
    <t>SUCMRUR4SFERG2_GRTR20</t>
  </si>
  <si>
    <t>SUCMRUR4SFERG3_LESS1</t>
  </si>
  <si>
    <t>SUCMRUR4SFERG3_1TO5</t>
  </si>
  <si>
    <t>SUCMRUR4SFERG3_5TO10</t>
  </si>
  <si>
    <t>SUCMRUR4SFERG3_10TO20</t>
  </si>
  <si>
    <t>SUCMRUR4SFERG3_GRTR20</t>
  </si>
  <si>
    <t>SUCMRUR4SFERG4_LESS1</t>
  </si>
  <si>
    <t>SUCMRUR4SFERG4_1TO5</t>
  </si>
  <si>
    <t>SUCMRUR4SFERG4_5TO10</t>
  </si>
  <si>
    <t>SUCMRUR4SFERG4_10TO20</t>
  </si>
  <si>
    <t>SUCMRUR4SFERG4_GRTR20</t>
  </si>
  <si>
    <t>SUCMRUR4SFERG5_LESS1</t>
  </si>
  <si>
    <t>SUCMRUR4SFERG5_1TO5</t>
  </si>
  <si>
    <t>SUCMRUR4SFERG5_5TO10</t>
  </si>
  <si>
    <t>SUCMRUR4SFERG5_10TO20</t>
  </si>
  <si>
    <t>SUCMRUR4SFERG5_GRTR20</t>
  </si>
  <si>
    <t>SUCMRUR4SFERG6_LESS1</t>
  </si>
  <si>
    <t>SUCMRUR4SFERG6_1TO5</t>
  </si>
  <si>
    <t>SUCMRUR4SFERG6_5TO10</t>
  </si>
  <si>
    <t>SUCMRUR4SFERG6_10TO20</t>
  </si>
  <si>
    <t>SUCMRUR4SFERG6_GRTR20</t>
  </si>
  <si>
    <t>SUCMRUR4SFERG7_LESS1</t>
  </si>
  <si>
    <t>SUCMRUR4SFERG7_1TO5</t>
  </si>
  <si>
    <t>SUCMRUR4SFERG7_5TO10</t>
  </si>
  <si>
    <t>SUCMRUR4SFERG7_10TO20</t>
  </si>
  <si>
    <t>SUCMRUR4SFERG7_GRTR20</t>
  </si>
  <si>
    <t>SUCMRUR4SFERG8_LESS1</t>
  </si>
  <si>
    <t>SUCMRUR4SFERG8_1TO5</t>
  </si>
  <si>
    <t>SUCMRUR4SFERG8_5TO10</t>
  </si>
  <si>
    <t>SUCMRUR4SFERG8_10TO20</t>
  </si>
  <si>
    <t>SUCMRUR4SFERG8_GRTR20</t>
  </si>
  <si>
    <t>SUCMRUR4SFERG9_LESS1</t>
  </si>
  <si>
    <t>SUCMRUR4SFERG9_1TO5</t>
  </si>
  <si>
    <t>SUCMRUR4SFERG9_5TO10</t>
  </si>
  <si>
    <t>SUCMRUR4SFERG9_10TO20</t>
  </si>
  <si>
    <t>SUCMRUR4SFERG9_GRTR20</t>
  </si>
  <si>
    <t>SUCMRUR4SFERG10_LESS1</t>
  </si>
  <si>
    <t>SUCMRUR4SFERG10_1TO5</t>
  </si>
  <si>
    <t>SUCMRUR4SFERG10_5TO10</t>
  </si>
  <si>
    <t>SUCMRUR4SFERG10_10TO20</t>
  </si>
  <si>
    <t>SUCMRUR4SFERG10_GRTR20</t>
  </si>
  <si>
    <t>SUCMRUR4SFERGNA_LESS1</t>
  </si>
  <si>
    <t>SUCMRUR4SFERGNA_1TO5</t>
  </si>
  <si>
    <t>SUCMRUR4SFERGNA_5TO10</t>
  </si>
  <si>
    <t>SUCMRUR4SFERGNA_10TO20</t>
  </si>
  <si>
    <t>SUCMRUR4SFERGNA_GRTR20</t>
  </si>
  <si>
    <t>inp_ir_exposure_to_fx</t>
  </si>
  <si>
    <t>Calculated Charge</t>
  </si>
  <si>
    <t>h</t>
  </si>
  <si>
    <t>Conditional Multiplier</t>
  </si>
  <si>
    <t>Capital Charge for 100 bps change</t>
  </si>
  <si>
    <t>Step 2 floor</t>
  </si>
  <si>
    <t>Investments in own shares or treasury shares</t>
  </si>
  <si>
    <t>Goodwill (post-tax)</t>
  </si>
  <si>
    <t>Other intangible assets (post-tax)</t>
  </si>
  <si>
    <t>Other equity-like non-life reserves (post-tax)</t>
  </si>
  <si>
    <t xml:space="preserve">On-balance sheet Life Value in Force  (post-tax) </t>
  </si>
  <si>
    <t>Other equity like life reserves (post-tax)</t>
  </si>
  <si>
    <t>Credit Risk Recovery Category 1</t>
  </si>
  <si>
    <t>Credit Risk Recovery Category 2</t>
  </si>
  <si>
    <t>Credit Risk Recovery Category 3</t>
  </si>
  <si>
    <t>Credit Risk Recovery Category 4</t>
  </si>
  <si>
    <t>Credit Risk Recovery Category</t>
  </si>
  <si>
    <t>Equity Market Group</t>
  </si>
  <si>
    <t>Real estate group</t>
  </si>
  <si>
    <t xml:space="preserve">Real Estate Investment </t>
  </si>
  <si>
    <t>Commercial Mortgage Loans</t>
  </si>
  <si>
    <t>Residential Mortgage Loans</t>
  </si>
  <si>
    <t>Deposits with credit institutions</t>
  </si>
  <si>
    <t>Reinsurer Rating (based on S&amp;P)</t>
  </si>
  <si>
    <t>Net exposure</t>
  </si>
  <si>
    <t>Has Nat Cat premium been removed from premium risk exposure?</t>
  </si>
  <si>
    <t>Total non-life net loss reserves</t>
  </si>
  <si>
    <t>Total non-life net written premiums</t>
  </si>
  <si>
    <t>99.5% Natural catastrophe charge</t>
  </si>
  <si>
    <t>Reinsurance / retrocession recoveries (uncollateralised)</t>
  </si>
  <si>
    <t>Inward reinstatement premiums</t>
  </si>
  <si>
    <t>Outward reinstatement premiums</t>
  </si>
  <si>
    <t>Net Loss</t>
  </si>
  <si>
    <t xml:space="preserve">Highly developed life markets  </t>
  </si>
  <si>
    <t xml:space="preserve">Less developed life  markets  </t>
  </si>
  <si>
    <t>Premium Risk</t>
  </si>
  <si>
    <t>Reserve Risk</t>
  </si>
  <si>
    <t>Net earned premium</t>
  </si>
  <si>
    <t>Claims Reserves</t>
  </si>
  <si>
    <t>Longevity risk category</t>
  </si>
  <si>
    <t>Category 1- immediate payout annuities</t>
  </si>
  <si>
    <t>Category 1- other</t>
  </si>
  <si>
    <t>Reported life net reserves</t>
  </si>
  <si>
    <t>Not exposed to lapse risk (%)</t>
  </si>
  <si>
    <t>Risk Category</t>
  </si>
  <si>
    <t>Pretax CTE 99.75%</t>
  </si>
  <si>
    <t>Pretax CTE 98.75%</t>
  </si>
  <si>
    <t>Pretax CTE 96.5%</t>
  </si>
  <si>
    <t>Pretax CTE 92%</t>
  </si>
  <si>
    <t>Deficiency</t>
  </si>
  <si>
    <t xml:space="preserve">Net aging reserves  </t>
  </si>
  <si>
    <t>Company-specific most onerous stress</t>
  </si>
  <si>
    <t>Do you know the most onerous stress for life and non-life business?</t>
  </si>
  <si>
    <t>Most onerous stress</t>
  </si>
  <si>
    <t>Interest rate risk - relevant exposure validation</t>
  </si>
  <si>
    <t>Relevant exposure validation</t>
  </si>
  <si>
    <t>Capital</t>
  </si>
  <si>
    <t>Segment/product</t>
  </si>
  <si>
    <t>User Selected (when default not available)</t>
  </si>
  <si>
    <t>Final Selected</t>
  </si>
  <si>
    <t>Default Category and Group</t>
  </si>
  <si>
    <t>Duration of bonds and loans</t>
  </si>
  <si>
    <t>Total Bonds &amp; Loans</t>
  </si>
  <si>
    <t>Required Capital Company Specific Adjustments</t>
  </si>
  <si>
    <t>TAC/ACE Company Specific Adjustments</t>
  </si>
  <si>
    <t xml:space="preserve">   -  Real Estate risk</t>
  </si>
  <si>
    <t>Company-Specific Analytical adjustments (Liabilities)</t>
  </si>
  <si>
    <t>Company-Specific Analytical adjustments (Assets)</t>
  </si>
  <si>
    <t>Plus deficiency in ring-fenced funds</t>
  </si>
  <si>
    <t>Plus company-specific analytical adjustments (Other)</t>
  </si>
  <si>
    <t xml:space="preserve">Deduct: Discount on Non-life loss reserve surpluses/(deficits) </t>
  </si>
  <si>
    <t>Non-life reserve discounting adjustment</t>
  </si>
  <si>
    <t>Residual risk at</t>
  </si>
  <si>
    <t>Version</t>
  </si>
  <si>
    <t>Total Real Estate</t>
  </si>
  <si>
    <t>1. Common shareholders' equity/policyholders’ surplus</t>
  </si>
  <si>
    <t>2. Equity noncontrolling interests</t>
  </si>
  <si>
    <t xml:space="preserve">3. Investments in own shares/treasury shares </t>
  </si>
  <si>
    <t>4. Shareholder distributions not accrued</t>
  </si>
  <si>
    <t>5. Intangible Assets</t>
  </si>
  <si>
    <t>6. Postretirement employee benefits</t>
  </si>
  <si>
    <t>8. Non-life reserve adjustments</t>
  </si>
  <si>
    <t>9. Life reserve adjustments</t>
  </si>
  <si>
    <t>10. Hybrid capital/debt-funded capital (subject to tolerance limits)</t>
  </si>
  <si>
    <t>TAC - Total Adjusted Capital</t>
  </si>
  <si>
    <t>Implied correlation - Life &amp; Pandemic</t>
  </si>
  <si>
    <t>Implied Correlation</t>
  </si>
  <si>
    <t>Nat Cat - Life - Pandemic</t>
  </si>
  <si>
    <t>Diversified charges using implied correlation</t>
  </si>
  <si>
    <t>All risks</t>
  </si>
  <si>
    <t>Nat Cat - Non-life - Pandemic</t>
  </si>
  <si>
    <t>Market Risk - Credit risk - Life</t>
  </si>
  <si>
    <t>Gross aggregate exposure</t>
  </si>
  <si>
    <t>Net aggregate exposure</t>
  </si>
  <si>
    <t>Net Annual Average Loss (AAL)</t>
  </si>
  <si>
    <t>Undiversified capital</t>
  </si>
  <si>
    <t>Level 1:  Non life risk, within business lines: Premium-Reserve</t>
  </si>
  <si>
    <t>Level 2: Non-life risk, within risk categories: Lines of Business</t>
  </si>
  <si>
    <t>Disclaimer and Limited Warranty</t>
  </si>
  <si>
    <t>Risk category</t>
  </si>
  <si>
    <t>First $50 billion</t>
  </si>
  <si>
    <t>Next  $200 billion</t>
  </si>
  <si>
    <t>In excess of $250 billion</t>
  </si>
  <si>
    <t>Duration Mismatch Assumptions (Life)</t>
  </si>
  <si>
    <t>Contingent Reinsurance Counterparty Risk Required Capital</t>
  </si>
  <si>
    <t>Diversification Adjustments</t>
  </si>
  <si>
    <t>Natural Catastrophe Risk Required Capital</t>
  </si>
  <si>
    <t>Equity Risk</t>
  </si>
  <si>
    <t>Other invested assets - Commercial Mortgage</t>
  </si>
  <si>
    <t>Other invested assets - Residential Mortgage</t>
  </si>
  <si>
    <t>Other invested assets - Non-mortgage</t>
  </si>
  <si>
    <t>SUCMSPRRDUEAAA</t>
  </si>
  <si>
    <t>SUCMSPRRDUEAA</t>
  </si>
  <si>
    <t>SUCMSPRRDUEA</t>
  </si>
  <si>
    <t>SUCMSPRRDUEBBB</t>
  </si>
  <si>
    <t>SUCMSPRRDUEBB</t>
  </si>
  <si>
    <t>SUCMSPRRDUEB</t>
  </si>
  <si>
    <t>SUCMSPRRDUECCC</t>
  </si>
  <si>
    <t>SUCMSPRRDUED</t>
  </si>
  <si>
    <t>SUCMSPRROSIBNRAAA</t>
  </si>
  <si>
    <t>SUCMSPRROSIBNRAA</t>
  </si>
  <si>
    <t>SUCMSPRROSIBNRA</t>
  </si>
  <si>
    <t>SUCMSPRROSIBNRBBB</t>
  </si>
  <si>
    <t>SUCMSPRROSIBNRBB</t>
  </si>
  <si>
    <t>SUCMSPRROSIBNRB</t>
  </si>
  <si>
    <t>SUCMSPRROSIBNRCCC</t>
  </si>
  <si>
    <t>SUCMSPRROSIBNRD</t>
  </si>
  <si>
    <t>SUCMSPRRLOCREINAAA</t>
  </si>
  <si>
    <t>SUCMSPRRLOCREINAA</t>
  </si>
  <si>
    <t>SUCMSPRRLOCREINA</t>
  </si>
  <si>
    <t>SUCMSPRRLOCREINBBB</t>
  </si>
  <si>
    <t>SUCMSPRRLOCREINBB</t>
  </si>
  <si>
    <t>SUCMSPRRLOCREINB</t>
  </si>
  <si>
    <t>SUCMSPRRLOCREINCCC</t>
  </si>
  <si>
    <t>SUCMSPRRLOCREIND</t>
  </si>
  <si>
    <t>SUCMALTRRDUEAAA</t>
  </si>
  <si>
    <t>SUCMALTRRDUEAA</t>
  </si>
  <si>
    <t>SUCMALTRRDUEA</t>
  </si>
  <si>
    <t>SUCMALTRRDUEBBB</t>
  </si>
  <si>
    <t>SUCMALTRRDUEBB</t>
  </si>
  <si>
    <t>SUCMALTRRDUEB</t>
  </si>
  <si>
    <t>SUCMALTRRDUECCC</t>
  </si>
  <si>
    <t>SUCMALTRRDUED</t>
  </si>
  <si>
    <t>SUCMALTRROSIBNRAAA</t>
  </si>
  <si>
    <t>SUCMALTRROSIBNRAA</t>
  </si>
  <si>
    <t>SUCMALTRROSIBNRA</t>
  </si>
  <si>
    <t>SUCMALTRROSIBNRBBB</t>
  </si>
  <si>
    <t>SUCMALTRROSIBNRBB</t>
  </si>
  <si>
    <t>SUCMALTRROSIBNRB</t>
  </si>
  <si>
    <t>SUCMALTRROSIBNRCCC</t>
  </si>
  <si>
    <t>SUCMALTRROSIBNRD</t>
  </si>
  <si>
    <t>SUCMALTRRLOCREINAAA</t>
  </si>
  <si>
    <t>SUCMALTRRLOCREINAA</t>
  </si>
  <si>
    <t>SUCMALTRRLOCREINA</t>
  </si>
  <si>
    <t>SUCMALTRRLOCREINBBB</t>
  </si>
  <si>
    <t>SUCMALTRRLOCREINBB</t>
  </si>
  <si>
    <t>SUCMALTRRLOCREINB</t>
  </si>
  <si>
    <t>SUCMALTRRLOCREINCCC</t>
  </si>
  <si>
    <t>SUCMALTRRLOCREIND</t>
  </si>
  <si>
    <t>SUCMRRINSREC</t>
  </si>
  <si>
    <t>SUCMRRLEASE</t>
  </si>
  <si>
    <t>SUCMRRASOASC</t>
  </si>
  <si>
    <t>SUCMRROTHASST</t>
  </si>
  <si>
    <t>SUCMRRDEFTAX</t>
  </si>
  <si>
    <t>SUCMRREXASST</t>
  </si>
  <si>
    <t>SUCMTOTBSASST</t>
  </si>
  <si>
    <t>Non-invested assets - Reinsurance Recoverables</t>
  </si>
  <si>
    <t>status</t>
  </si>
  <si>
    <t>Non-invested assets -Other chargeable</t>
  </si>
  <si>
    <t>Non-invested assets -Other assets</t>
  </si>
  <si>
    <t>Non-invested assets -non-cargeable</t>
  </si>
  <si>
    <t>SUCMPROPORRSK_EMEA</t>
  </si>
  <si>
    <t>SUCMNONPROPORRSK_EMEA</t>
  </si>
  <si>
    <t>Non-life premium - US</t>
  </si>
  <si>
    <t>Non-life premium - EMEA</t>
  </si>
  <si>
    <t>SUCMPROPORRSK_US</t>
  </si>
  <si>
    <t>SUCMNONPROPORRSK_US</t>
  </si>
  <si>
    <t>SUCMPROPORRSK_CN</t>
  </si>
  <si>
    <t>SUCMNONPROPORRSK_CN</t>
  </si>
  <si>
    <t>Non-life premium - Canada</t>
  </si>
  <si>
    <t>SUCMPROPORRSK_AP</t>
  </si>
  <si>
    <t>SUCMNONPROPORRSK_AP</t>
  </si>
  <si>
    <t>Non-life premium - Asia Pacific</t>
  </si>
  <si>
    <t>Non-life premium - Latin America</t>
  </si>
  <si>
    <t>SUCMPROPORRSK_LAM</t>
  </si>
  <si>
    <t>SUCMNONPROPORRSK_LAM</t>
  </si>
  <si>
    <t>LIA</t>
  </si>
  <si>
    <t>WCP</t>
  </si>
  <si>
    <t>FIR</t>
  </si>
  <si>
    <t>ALB</t>
  </si>
  <si>
    <t>OTHM</t>
  </si>
  <si>
    <t>CRDS</t>
  </si>
  <si>
    <t>MSFL</t>
  </si>
  <si>
    <t>HMEI</t>
  </si>
  <si>
    <t>MAVT</t>
  </si>
  <si>
    <t>ASST</t>
  </si>
  <si>
    <t>INPR</t>
  </si>
  <si>
    <t>LEGEX</t>
  </si>
  <si>
    <t>OCAH</t>
  </si>
  <si>
    <t>EWCP</t>
  </si>
  <si>
    <t>MEC</t>
  </si>
  <si>
    <t>MEO</t>
  </si>
  <si>
    <t>OLC</t>
  </si>
  <si>
    <t>OLO</t>
  </si>
  <si>
    <t>PLC</t>
  </si>
  <si>
    <t>PLO</t>
  </si>
  <si>
    <t>BLM</t>
  </si>
  <si>
    <t>CMP</t>
  </si>
  <si>
    <t>HFM</t>
  </si>
  <si>
    <t>SPP</t>
  </si>
  <si>
    <t>APB</t>
  </si>
  <si>
    <t>CAL</t>
  </si>
  <si>
    <t>PPA</t>
  </si>
  <si>
    <t>CRD</t>
  </si>
  <si>
    <t>FIDSUR</t>
  </si>
  <si>
    <t>FIG</t>
  </si>
  <si>
    <t>TITLE</t>
  </si>
  <si>
    <t>STPR</t>
  </si>
  <si>
    <t>AAH</t>
  </si>
  <si>
    <t>ADSADC</t>
  </si>
  <si>
    <t>FLRS</t>
  </si>
  <si>
    <t>DENVIS</t>
  </si>
  <si>
    <t>FEP</t>
  </si>
  <si>
    <t>HMDO</t>
  </si>
  <si>
    <t>MDMID</t>
  </si>
  <si>
    <t>MEDDO</t>
  </si>
  <si>
    <t>MEDDRO</t>
  </si>
  <si>
    <t>MEDDRR</t>
  </si>
  <si>
    <t>MDS</t>
  </si>
  <si>
    <t>OLBF</t>
  </si>
  <si>
    <t>AIR</t>
  </si>
  <si>
    <t>OCM</t>
  </si>
  <si>
    <t>WAR</t>
  </si>
  <si>
    <t>CMPR</t>
  </si>
  <si>
    <t>HAIL</t>
  </si>
  <si>
    <t>PPR</t>
  </si>
  <si>
    <t>ATOTH</t>
  </si>
  <si>
    <t>ATPAC</t>
  </si>
  <si>
    <t>CRPR</t>
  </si>
  <si>
    <t>FID</t>
  </si>
  <si>
    <t>SUR</t>
  </si>
  <si>
    <t>ACSK</t>
  </si>
  <si>
    <t>OAPR</t>
  </si>
  <si>
    <t>EMLIB</t>
  </si>
  <si>
    <t>PRIND</t>
  </si>
  <si>
    <t>PAPL</t>
  </si>
  <si>
    <t>HMP</t>
  </si>
  <si>
    <t>CALANZ</t>
  </si>
  <si>
    <t>PALANZ</t>
  </si>
  <si>
    <t>TPLM</t>
  </si>
  <si>
    <t>CONCR</t>
  </si>
  <si>
    <t>HLTH</t>
  </si>
  <si>
    <t>MAVC</t>
  </si>
  <si>
    <t>MAVH</t>
  </si>
  <si>
    <t>ENG</t>
  </si>
  <si>
    <t>TRV</t>
  </si>
  <si>
    <t>MEXFR</t>
  </si>
  <si>
    <t>PLM</t>
  </si>
  <si>
    <t>HMEDEX</t>
  </si>
  <si>
    <t>MAVA</t>
  </si>
  <si>
    <t>USHRES</t>
  </si>
  <si>
    <t>SUCMPROPORESRSK_EMEA</t>
  </si>
  <si>
    <t>SUCMNOPROPORESRSK_EMEA</t>
  </si>
  <si>
    <t>SUCMPROPORESRSK_US</t>
  </si>
  <si>
    <t>SUCMNOPROPORESRSK_US</t>
  </si>
  <si>
    <t>SUCMPROPORESRSK_CN</t>
  </si>
  <si>
    <t>SUCMNOPROPORESRSK_CN</t>
  </si>
  <si>
    <t>SUCMPROPORESRSK_AP</t>
  </si>
  <si>
    <t>SUCMNOPROPORESRSK_AP</t>
  </si>
  <si>
    <t>SUCMPROPORESRSK_LAM</t>
  </si>
  <si>
    <t>SUCMNOPROPORESRSK_LAM</t>
  </si>
  <si>
    <t>Non-life reserve - EMEA</t>
  </si>
  <si>
    <t>Non-life reserve - US</t>
  </si>
  <si>
    <t>Non-life reserve - Latin America</t>
  </si>
  <si>
    <t>Non-life reserve - Asia Pacific</t>
  </si>
  <si>
    <t>Non-life reserve - Canada</t>
  </si>
  <si>
    <t>SUCMAEPOEPCURVE</t>
  </si>
  <si>
    <t>SUCMNCRGROSS_200</t>
  </si>
  <si>
    <t>SUCMNCRNET_200</t>
  </si>
  <si>
    <t>SUCMNCRRECUNCOLL_200</t>
  </si>
  <si>
    <t>SUCMNCRRECCOLL_200</t>
  </si>
  <si>
    <t>SUCMNCPINWARD_200</t>
  </si>
  <si>
    <t>SUCMNCPOUTWARD_200</t>
  </si>
  <si>
    <t>SUCMNCRGROSS_500</t>
  </si>
  <si>
    <t>SUCMNCRNET_500</t>
  </si>
  <si>
    <t>SUCMNCRRECUNCOLL_500</t>
  </si>
  <si>
    <t>SUCMNCRRECCOLL_500</t>
  </si>
  <si>
    <t>SUCMNCPINWARD_500</t>
  </si>
  <si>
    <t>SUCMNCPOUTWARD_500</t>
  </si>
  <si>
    <t>SUCMNCRAAL</t>
  </si>
  <si>
    <t>Natural catastrophe</t>
  </si>
  <si>
    <t>SUCMMORTCIRITHDM</t>
  </si>
  <si>
    <t>SUCMMORTCIRITLDM</t>
  </si>
  <si>
    <t>SUCMMORTGROSSTOT</t>
  </si>
  <si>
    <t>SUCMMORBCIRITHDM</t>
  </si>
  <si>
    <t>SUCMMORBCIRITLDM</t>
  </si>
  <si>
    <t>SUCMDISPRDISNONCANCEL</t>
  </si>
  <si>
    <t>SUCMDISPRDISOII</t>
  </si>
  <si>
    <t>SUCMDISPRDISGLT</t>
  </si>
  <si>
    <t>SUCMDISPRGST</t>
  </si>
  <si>
    <t>SUCMDISPRCROSBAL</t>
  </si>
  <si>
    <t>SUCMDISPRCSRWITH</t>
  </si>
  <si>
    <t>SUCMDISPRCSRWITHOUT</t>
  </si>
  <si>
    <t>SUCMDISPROTHERDISB</t>
  </si>
  <si>
    <t>SUCMDISRESERPROD</t>
  </si>
  <si>
    <t>SUCMLTCLAIB_NONUS</t>
  </si>
  <si>
    <t>SUCMLTCCLAIMS_US</t>
  </si>
  <si>
    <t>SUCMLTCEARNPREM_US</t>
  </si>
  <si>
    <t>SUCMLTCCLAIMRES_US</t>
  </si>
  <si>
    <t>SUCMLONGOTHER_CAT3</t>
  </si>
  <si>
    <t>SUCMLONGOTHER_CAT1</t>
  </si>
  <si>
    <t>SUCMLONGOTHER_CAT2</t>
  </si>
  <si>
    <t>SUCMOLTRNONGAPROT</t>
  </si>
  <si>
    <t>SUCMOLTRNONGAPHI</t>
  </si>
  <si>
    <t>SUCMOLTRNONGANLS</t>
  </si>
  <si>
    <t>SUCMOLTRNONGAIPA</t>
  </si>
  <si>
    <t>SUCMOLTRNONGADEFWO</t>
  </si>
  <si>
    <t>SUCMOLTRNONGADEFW</t>
  </si>
  <si>
    <t>SUCMOLTRNONGADEFGIC</t>
  </si>
  <si>
    <t>SUCMOLTRNONGADEFOLP</t>
  </si>
  <si>
    <t>SUCMOLTRNONSADEFLBW</t>
  </si>
  <si>
    <t>SUCMOLTRNONSADEFLBINVWO</t>
  </si>
  <si>
    <t>SUCMOLTRNONPBEXPOA</t>
  </si>
  <si>
    <t>SUCMOLTRNONPBCPOA</t>
  </si>
  <si>
    <t>SUCMOLTRNONPBCPDA</t>
  </si>
  <si>
    <t>SUCMOLTRTOTLR</t>
  </si>
  <si>
    <t>SUCMOLTRNONGANLS_LAP</t>
  </si>
  <si>
    <t>SUCMOLTRNONGADEFW_LAP</t>
  </si>
  <si>
    <t>SUCMOLTRNONSADEFLBW_LAP</t>
  </si>
  <si>
    <t>SUCMOLTRNONPBEXPOA_LAP</t>
  </si>
  <si>
    <t>SUCMOLTRNONPBCPDA_LAP</t>
  </si>
  <si>
    <t>SUCMOLTRNONGANLS_NO</t>
  </si>
  <si>
    <t>SUCMOLTRNONGADEFWO_NO</t>
  </si>
  <si>
    <t>SUCMOLTRNONGADEFW_NO</t>
  </si>
  <si>
    <t>SUCMOLTRNONGADEFGIC_NO</t>
  </si>
  <si>
    <t>SUCMOLTRNONSADEFLBW_NO</t>
  </si>
  <si>
    <t>SUCMOLTRNONPBEXPOA_NO</t>
  </si>
  <si>
    <t>SUCMOLTRNONPBCPDA_NO</t>
  </si>
  <si>
    <t>SUCMVABE995_AAA</t>
  </si>
  <si>
    <t>SUCMVABE98_AA</t>
  </si>
  <si>
    <t>SUCMVABE95_A</t>
  </si>
  <si>
    <t>SUCMVABE90_BBB</t>
  </si>
  <si>
    <t>SUCMVAADJ995_AAA</t>
  </si>
  <si>
    <t>SUCMVAADJ98_AA</t>
  </si>
  <si>
    <t>SUCMVAADJ95_A</t>
  </si>
  <si>
    <t>SUCMVAADJ90_BBB</t>
  </si>
  <si>
    <t>SUCMVAERROR</t>
  </si>
  <si>
    <t>SUCMVASTATNETREINS</t>
  </si>
  <si>
    <t>SUCMSEGFUND_9999</t>
  </si>
  <si>
    <t>SUCMSEGFUND_9995</t>
  </si>
  <si>
    <t>SUCMSEGFUND_9980</t>
  </si>
  <si>
    <t>SUCMSEGFUND_9950</t>
  </si>
  <si>
    <t>SUCMGERMANAGE</t>
  </si>
  <si>
    <t>Life - Mortality and Pandemic</t>
  </si>
  <si>
    <t>Life - Morbidity -- critical illness</t>
  </si>
  <si>
    <t>Life - Morbidity -- disability</t>
  </si>
  <si>
    <t>Life - Morbidity -- long-term care</t>
  </si>
  <si>
    <t>Life - Morbidity -- longevity</t>
  </si>
  <si>
    <t>Life - Other</t>
  </si>
  <si>
    <t>Product specific - Variable Annuities</t>
  </si>
  <si>
    <t>Product specific -German health</t>
  </si>
  <si>
    <t>Product specific - Ring-fenced funds</t>
  </si>
  <si>
    <t>SUCMALT1AAA_LESS1</t>
  </si>
  <si>
    <t>SUCMALT1AAA_1TO5</t>
  </si>
  <si>
    <t>SUCMALT1AAA_5TO10</t>
  </si>
  <si>
    <t>SUCMALT1AAA_10TO20</t>
  </si>
  <si>
    <t>SUCMALT1AAA_GRTR20</t>
  </si>
  <si>
    <t>SUCMALT2AAA_LESS1</t>
  </si>
  <si>
    <t>SUCMALT2AAA_1TO5</t>
  </si>
  <si>
    <t>SUCMALT2AAA_5TO10</t>
  </si>
  <si>
    <t>SUCMALT2AAA_10TO20</t>
  </si>
  <si>
    <t>SUCMALT2AAA_GRTR20</t>
  </si>
  <si>
    <t>SUCMALT3AAA_LESS1</t>
  </si>
  <si>
    <t>SUCMALT3AAA_1TO5</t>
  </si>
  <si>
    <t>SUCMALT3AAA_5TO10</t>
  </si>
  <si>
    <t>SUCMALT3AAA_10TO20</t>
  </si>
  <si>
    <t>SUCMALT3AAA_GRTR20</t>
  </si>
  <si>
    <t>SUCMALT4AAA_LESS1</t>
  </si>
  <si>
    <t>SUCMALT4AAA_1TO5</t>
  </si>
  <si>
    <t>SUCMALT4AAA_5TO10</t>
  </si>
  <si>
    <t>SUCMALT4AAA_10TO20</t>
  </si>
  <si>
    <t>SUCMALT4AAA_GRTR20</t>
  </si>
  <si>
    <t>SUCMALT1AA_LESS1</t>
  </si>
  <si>
    <t>SUCMALT1AA_1TO5</t>
  </si>
  <si>
    <t>SUCMALT1AA_5TO10</t>
  </si>
  <si>
    <t>SUCMALT1AA_10TO20</t>
  </si>
  <si>
    <t>SUCMALT1AA_GRTR20</t>
  </si>
  <si>
    <t>SUCMALT2AA_LESS1</t>
  </si>
  <si>
    <t>SUCMALT2AA_1TO5</t>
  </si>
  <si>
    <t>SUCMALT2AA_5TO10</t>
  </si>
  <si>
    <t>SUCMALT2AA_10TO20</t>
  </si>
  <si>
    <t>SUCMALT2AA_GRTR20</t>
  </si>
  <si>
    <t>SUCMALT3AA_LESS1</t>
  </si>
  <si>
    <t>SUCMALT3AA_1TO5</t>
  </si>
  <si>
    <t>SUCMALT3AA_5TO10</t>
  </si>
  <si>
    <t>SUCMALT3AA_10TO20</t>
  </si>
  <si>
    <t>SUCMALT3AA_GRTR20</t>
  </si>
  <si>
    <t>SUCMALT4AA_LESS1</t>
  </si>
  <si>
    <t>SUCMALT4AA_1TO5</t>
  </si>
  <si>
    <t>SUCMALT4AA_5TO10</t>
  </si>
  <si>
    <t>SUCMALT4AA_10TO20</t>
  </si>
  <si>
    <t>SUCMALT4AA_GRTR20</t>
  </si>
  <si>
    <t>SUCMALT1A_LESS1</t>
  </si>
  <si>
    <t>SUCMALT1A_1TO5</t>
  </si>
  <si>
    <t>SUCMALT1A_5TO10</t>
  </si>
  <si>
    <t>SUCMALT1A_10TO20</t>
  </si>
  <si>
    <t>SUCMALT1A_GRTR20</t>
  </si>
  <si>
    <t>SUCMALT2A_LESS1</t>
  </si>
  <si>
    <t>SUCMALT2A_1TO5</t>
  </si>
  <si>
    <t>SUCMALT2A_5TO10</t>
  </si>
  <si>
    <t>SUCMALT2A_10TO20</t>
  </si>
  <si>
    <t>SUCMALT2A_GRTR20</t>
  </si>
  <si>
    <t>SUCMALT3A_LESS1</t>
  </si>
  <si>
    <t>SUCMALT3A_1TO5</t>
  </si>
  <si>
    <t>SUCMALT3A_5TO10</t>
  </si>
  <si>
    <t>SUCMALT3A_10TO20</t>
  </si>
  <si>
    <t>SUCMALT3A_GRTR20</t>
  </si>
  <si>
    <t>SUCMALT4A_LESS1</t>
  </si>
  <si>
    <t>SUCMALT4A_1TO5</t>
  </si>
  <si>
    <t>SUCMALT4A_5TO10</t>
  </si>
  <si>
    <t>SUCMALT4A_10TO20</t>
  </si>
  <si>
    <t>SUCMALT4A_GRTR20</t>
  </si>
  <si>
    <t>SUCMALT1BBB_LESS1</t>
  </si>
  <si>
    <t>SUCMALT1BBB_1TO5</t>
  </si>
  <si>
    <t>SUCMALT1BBB_5TO10</t>
  </si>
  <si>
    <t>SUCMALT1BBB_10TO20</t>
  </si>
  <si>
    <t>SUCMALT1BBB_GRTR20</t>
  </si>
  <si>
    <t>SUCMALT2BBB_LESS1</t>
  </si>
  <si>
    <t>SUCMALT2BBB_1TO5</t>
  </si>
  <si>
    <t>SUCMALT2BBB_5TO10</t>
  </si>
  <si>
    <t>SUCMALT2BBB_10TO20</t>
  </si>
  <si>
    <t>SUCMALT2BBB_GRTR20</t>
  </si>
  <si>
    <t>SUCMALT3BBB_LESS1</t>
  </si>
  <si>
    <t>SUCMALT3BBB_1TO5</t>
  </si>
  <si>
    <t>SUCMALT3BBB_5TO10</t>
  </si>
  <si>
    <t>SUCMALT3BBB_10TO20</t>
  </si>
  <si>
    <t>SUCMALT3BBB_GRTR20</t>
  </si>
  <si>
    <t>SUCMALT4BBB_LESS1</t>
  </si>
  <si>
    <t>SUCMALT4BBB_1TO5</t>
  </si>
  <si>
    <t>SUCMALT4BBB_5TO10</t>
  </si>
  <si>
    <t>SUCMALT4BBB_10TO20</t>
  </si>
  <si>
    <t>SUCMALT4BBB_GRTR20</t>
  </si>
  <si>
    <t>SUCMALT1BB_LESS1</t>
  </si>
  <si>
    <t>SUCMALT1BB_1TO5</t>
  </si>
  <si>
    <t>SUCMALT1BB_5TO10</t>
  </si>
  <si>
    <t>SUCMALT1BB_10TO20</t>
  </si>
  <si>
    <t>SUCMALT1BB_GRTR20</t>
  </si>
  <si>
    <t>SUCMALT2BB_LESS1</t>
  </si>
  <si>
    <t>SUCMALT2BB_1TO5</t>
  </si>
  <si>
    <t>SUCMALT2BB_5TO10</t>
  </si>
  <si>
    <t>SUCMALT2BB_10TO20</t>
  </si>
  <si>
    <t>SUCMALT2BB_GRTR20</t>
  </si>
  <si>
    <t>SUCMALT3BB_LESS1</t>
  </si>
  <si>
    <t>SUCMALT3BB_1TO5</t>
  </si>
  <si>
    <t>SUCMALT3BB_5TO10</t>
  </si>
  <si>
    <t>SUCMALT3BB_10TO20</t>
  </si>
  <si>
    <t>SUCMALT3BB_GRTR20</t>
  </si>
  <si>
    <t>SUCMALT4BB_LESS1</t>
  </si>
  <si>
    <t>SUCMALT4BB_1TO5</t>
  </si>
  <si>
    <t>SUCMALT4BB_5TO10</t>
  </si>
  <si>
    <t>SUCMALT4BB_10TO20</t>
  </si>
  <si>
    <t>SUCMALT4BB_GRTR20</t>
  </si>
  <si>
    <t>SUCMALT1B_LESS1</t>
  </si>
  <si>
    <t>SUCMALT1B_1TO5</t>
  </si>
  <si>
    <t>SUCMALT1B_5TO10</t>
  </si>
  <si>
    <t>SUCMALT1B_10TO20</t>
  </si>
  <si>
    <t>SUCMALT1B_GRTR20</t>
  </si>
  <si>
    <t>SUCMALT2B_LESS1</t>
  </si>
  <si>
    <t>SUCMALT2B_1TO5</t>
  </si>
  <si>
    <t>SUCMALT2B_5TO10</t>
  </si>
  <si>
    <t>SUCMALT2B_10TO20</t>
  </si>
  <si>
    <t>SUCMALT2B_GRTR20</t>
  </si>
  <si>
    <t>SUCMALT3B_LESS1</t>
  </si>
  <si>
    <t>SUCMALT3B_1TO5</t>
  </si>
  <si>
    <t>SUCMALT3B_5TO10</t>
  </si>
  <si>
    <t>SUCMALT3B_10TO20</t>
  </si>
  <si>
    <t>SUCMALT3B_GRTR20</t>
  </si>
  <si>
    <t>SUCMALT4B_LESS1</t>
  </si>
  <si>
    <t>SUCMALT4B_1TO5</t>
  </si>
  <si>
    <t>SUCMALT4B_5TO10</t>
  </si>
  <si>
    <t>SUCMALT4B_10TO20</t>
  </si>
  <si>
    <t>SUCMALT4B_GRTR20</t>
  </si>
  <si>
    <t>SUCMALT1CCC_LESS1</t>
  </si>
  <si>
    <t>SUCMALT1CCC_1TO5</t>
  </si>
  <si>
    <t>SUCMALT1CCC_5TO10</t>
  </si>
  <si>
    <t>SUCMALT1CCC_10TO20</t>
  </si>
  <si>
    <t>SUCMALT1CCC_GRTR20</t>
  </si>
  <si>
    <t>SUCMALT2CCC_LESS1</t>
  </si>
  <si>
    <t>SUCMALT2CCC_1TO5</t>
  </si>
  <si>
    <t>SUCMALT2CCC_5TO10</t>
  </si>
  <si>
    <t>SUCMALT2CCC_10TO20</t>
  </si>
  <si>
    <t>SUCMALT2CCC_GRTR20</t>
  </si>
  <si>
    <t>SUCMALT3CCC_LESS1</t>
  </si>
  <si>
    <t>SUCMALT3CCC_1TO5</t>
  </si>
  <si>
    <t>SUCMALT3CCC_5TO10</t>
  </si>
  <si>
    <t>SUCMALT3CCC_10TO20</t>
  </si>
  <si>
    <t>SUCMALT3CCC_GRTR20</t>
  </si>
  <si>
    <t>SUCMALT4CCC_LESS1</t>
  </si>
  <si>
    <t>SUCMALT4CCC_1TO5</t>
  </si>
  <si>
    <t>SUCMALT4CCC_5TO10</t>
  </si>
  <si>
    <t>SUCMALT4CCC_10TO20</t>
  </si>
  <si>
    <t>SUCMALT4CCC_GRTR20</t>
  </si>
  <si>
    <t>SUCMOTH1AAA_LESS1</t>
  </si>
  <si>
    <t>SUCMOTH1AAA_1TO5</t>
  </si>
  <si>
    <t>SUCMOTH1AAA_5TO10</t>
  </si>
  <si>
    <t>SUCMOTH1AAA_10TO20</t>
  </si>
  <si>
    <t>SUCMOTH1AAA_GRTR20</t>
  </si>
  <si>
    <t>SUCMOTH2AAA_LESS1</t>
  </si>
  <si>
    <t>SUCMOTH2AAA_1TO5</t>
  </si>
  <si>
    <t>SUCMOTH2AAA_5TO10</t>
  </si>
  <si>
    <t>SUCMOTH2AAA_10TO20</t>
  </si>
  <si>
    <t>SUCMOTH2AAA_GRTR20</t>
  </si>
  <si>
    <t>SUCMOTH3AAA_LESS1</t>
  </si>
  <si>
    <t>SUCMOTH3AAA_1TO5</t>
  </si>
  <si>
    <t>SUCMOTH3AAA_5TO10</t>
  </si>
  <si>
    <t>SUCMOTH3AAA_10TO20</t>
  </si>
  <si>
    <t>SUCMOTH3AAA_GRTR20</t>
  </si>
  <si>
    <t>SUCMOTH4AAA_LESS1</t>
  </si>
  <si>
    <t>SUCMOTH4AAA_1TO5</t>
  </si>
  <si>
    <t>SUCMOTH4AAA_5TO10</t>
  </si>
  <si>
    <t>SUCMOTH4AAA_10TO20</t>
  </si>
  <si>
    <t>SUCMOTH4AAA_GRTR20</t>
  </si>
  <si>
    <t>SUCMOTH1AA_LESS1</t>
  </si>
  <si>
    <t>SUCMOTH1AA_1TO5</t>
  </si>
  <si>
    <t>SUCMOTH1AA_5TO10</t>
  </si>
  <si>
    <t>SUCMOTH1AA_10TO20</t>
  </si>
  <si>
    <t>SUCMOTH1AA_GRTR20</t>
  </si>
  <si>
    <t>SUCMOTH2AA_LESS1</t>
  </si>
  <si>
    <t>SUCMOTH2AA_1TO5</t>
  </si>
  <si>
    <t>SUCMOTH2AA_5TO10</t>
  </si>
  <si>
    <t>SUCMOTH2AA_10TO20</t>
  </si>
  <si>
    <t>SUCMOTH2AA_GRTR20</t>
  </si>
  <si>
    <t>SUCMOTH3AA_LESS1</t>
  </si>
  <si>
    <t>SUCMOTH3AA_1TO5</t>
  </si>
  <si>
    <t>SUCMOTH3AA_5TO10</t>
  </si>
  <si>
    <t>SUCMOTH3AA_10TO20</t>
  </si>
  <si>
    <t>SUCMOTH3AA_GRTR20</t>
  </si>
  <si>
    <t>SUCMOTH4AA_LESS1</t>
  </si>
  <si>
    <t>SUCMOTH4AA_1TO5</t>
  </si>
  <si>
    <t>SUCMOTH4AA_5TO10</t>
  </si>
  <si>
    <t>SUCMOTH4AA_10TO20</t>
  </si>
  <si>
    <t>SUCMOTH4AA_GRTR20</t>
  </si>
  <si>
    <t>SUCMOTH1A_LESS1</t>
  </si>
  <si>
    <t>SUCMOTH1A_1TO5</t>
  </si>
  <si>
    <t>SUCMOTH1A_5TO10</t>
  </si>
  <si>
    <t>SUCMOTH1A_10TO20</t>
  </si>
  <si>
    <t>SUCMOTH1A_GRTR20</t>
  </si>
  <si>
    <t>SUCMOTH2A_LESS1</t>
  </si>
  <si>
    <t>SUCMOTH2A_1TO5</t>
  </si>
  <si>
    <t>SUCMOTH2A_5TO10</t>
  </si>
  <si>
    <t>SUCMOTH2A_10TO20</t>
  </si>
  <si>
    <t>SUCMOTH2A_GRTR20</t>
  </si>
  <si>
    <t>SUCMOTH3A_LESS1</t>
  </si>
  <si>
    <t>SUCMOTH3A_1TO5</t>
  </si>
  <si>
    <t>SUCMOTH3A_5TO10</t>
  </si>
  <si>
    <t>SUCMOTH3A_10TO20</t>
  </si>
  <si>
    <t>SUCMOTH3A_GRTR20</t>
  </si>
  <si>
    <t>SUCMOTH4A_LESS1</t>
  </si>
  <si>
    <t>SUCMOTH4A_1TO5</t>
  </si>
  <si>
    <t>SUCMOTH4A_5TO10</t>
  </si>
  <si>
    <t>SUCMOTH4A_10TO20</t>
  </si>
  <si>
    <t>SUCMOTH4A_GRTR20</t>
  </si>
  <si>
    <t>SUCMOTH1BBB_LESS1</t>
  </si>
  <si>
    <t>SUCMOTH1BBB_1TO5</t>
  </si>
  <si>
    <t>SUCMOTH1BBB_5TO10</t>
  </si>
  <si>
    <t>SUCMOTH1BBB_10TO20</t>
  </si>
  <si>
    <t>SUCMOTH1BBB_GRTR20</t>
  </si>
  <si>
    <t>SUCMOTH2BBB_LESS1</t>
  </si>
  <si>
    <t>SUCMOTH2BBB_1TO5</t>
  </si>
  <si>
    <t>SUCMOTH2BBB_5TO10</t>
  </si>
  <si>
    <t>SUCMOTH2BBB_10TO20</t>
  </si>
  <si>
    <t>SUCMOTH2BBB_GRTR20</t>
  </si>
  <si>
    <t>SUCMOTH3BBB_LESS1</t>
  </si>
  <si>
    <t>SUCMOTH3BBB_1TO5</t>
  </si>
  <si>
    <t>SUCMOTH3BBB_5TO10</t>
  </si>
  <si>
    <t>SUCMOTH3BBB_10TO20</t>
  </si>
  <si>
    <t>SUCMOTH3BBB_GRTR20</t>
  </si>
  <si>
    <t>SUCMOTH4BBB_LESS1</t>
  </si>
  <si>
    <t>SUCMOTH4BBB_1TO5</t>
  </si>
  <si>
    <t>SUCMOTH4BBB_5TO10</t>
  </si>
  <si>
    <t>SUCMOTH4BBB_10TO20</t>
  </si>
  <si>
    <t>SUCMOTH4BBB_GRTR20</t>
  </si>
  <si>
    <t>SUCMOTH1BB_LESS1</t>
  </si>
  <si>
    <t>SUCMOTH1BB_1TO5</t>
  </si>
  <si>
    <t>SUCMOTH1BB_5TO10</t>
  </si>
  <si>
    <t>SUCMOTH1BB_10TO20</t>
  </si>
  <si>
    <t>SUCMOTH1BB_GRTR20</t>
  </si>
  <si>
    <t>SUCMOTH2BB_LESS1</t>
  </si>
  <si>
    <t>SUCMOTH2BB_1TO5</t>
  </si>
  <si>
    <t>SUCMOTH2BB_5TO10</t>
  </si>
  <si>
    <t>SUCMOTH2BB_10TO20</t>
  </si>
  <si>
    <t>SUCMOTH2BB_GRTR20</t>
  </si>
  <si>
    <t>SUCMOTH3BB_LESS1</t>
  </si>
  <si>
    <t>SUCMOTH3BB_1TO5</t>
  </si>
  <si>
    <t>SUCMOTH3BB_5TO10</t>
  </si>
  <si>
    <t>SUCMOTH3BB_10TO20</t>
  </si>
  <si>
    <t>SUCMOTH3BB_GRTR20</t>
  </si>
  <si>
    <t>SUCMOTH4BB_LESS1</t>
  </si>
  <si>
    <t>SUCMOTH4BB_1TO5</t>
  </si>
  <si>
    <t>SUCMOTH4BB_5TO10</t>
  </si>
  <si>
    <t>SUCMOTH4BB_10TO20</t>
  </si>
  <si>
    <t>SUCMOTH4BB_GRTR20</t>
  </si>
  <si>
    <t>SUCMOTH1B_LESS1</t>
  </si>
  <si>
    <t>SUCMOTH1B_1TO5</t>
  </si>
  <si>
    <t>SUCMOTH1B_5TO10</t>
  </si>
  <si>
    <t>SUCMOTH1B_10TO20</t>
  </si>
  <si>
    <t>SUCMOTH1B_GRTR20</t>
  </si>
  <si>
    <t>SUCMOTH2B_LESS1</t>
  </si>
  <si>
    <t>SUCMOTH2B_1TO5</t>
  </si>
  <si>
    <t>SUCMOTH2B_5TO10</t>
  </si>
  <si>
    <t>SUCMOTH2B_10TO20</t>
  </si>
  <si>
    <t>SUCMOTH2B_GRTR20</t>
  </si>
  <si>
    <t>SUCMOTH3B_LESS1</t>
  </si>
  <si>
    <t>SUCMOTH3B_1TO5</t>
  </si>
  <si>
    <t>SUCMOTH3B_5TO10</t>
  </si>
  <si>
    <t>SUCMOTH3B_10TO20</t>
  </si>
  <si>
    <t>SUCMOTH3B_GRTR20</t>
  </si>
  <si>
    <t>SUCMOTH4B_LESS1</t>
  </si>
  <si>
    <t>SUCMOTH4B_1TO5</t>
  </si>
  <si>
    <t>SUCMOTH4B_5TO10</t>
  </si>
  <si>
    <t>SUCMOTH4B_10TO20</t>
  </si>
  <si>
    <t>SUCMOTH4B_GRTR20</t>
  </si>
  <si>
    <t>SUCMOTH1CCC_LESS1</t>
  </si>
  <si>
    <t>SUCMOTH1CCC_1TO5</t>
  </si>
  <si>
    <t>SUCMOTH1CCC_5TO10</t>
  </si>
  <si>
    <t>SUCMOTH1CCC_10TO20</t>
  </si>
  <si>
    <t>SUCMOTH1CCC_GRTR20</t>
  </si>
  <si>
    <t>SUCMOTH2CCC_LESS1</t>
  </si>
  <si>
    <t>SUCMOTH2CCC_1TO5</t>
  </si>
  <si>
    <t>SUCMOTH2CCC_5TO10</t>
  </si>
  <si>
    <t>SUCMOTH2CCC_10TO20</t>
  </si>
  <si>
    <t>SUCMOTH2CCC_GRTR20</t>
  </si>
  <si>
    <t>SUCMOTH3CCC_LESS1</t>
  </si>
  <si>
    <t>SUCMOTH3CCC_1TO5</t>
  </si>
  <si>
    <t>SUCMOTH3CCC_5TO10</t>
  </si>
  <si>
    <t>SUCMOTH3CCC_10TO20</t>
  </si>
  <si>
    <t>SUCMOTH3CCC_GRTR20</t>
  </si>
  <si>
    <t>SUCMOTH4CCC_LESS1</t>
  </si>
  <si>
    <t>SUCMOTH4CCC_1TO5</t>
  </si>
  <si>
    <t>SUCMOTH4CCC_5TO10</t>
  </si>
  <si>
    <t>SUCMOTH4CCC_10TO20</t>
  </si>
  <si>
    <t>SUCMOTH4CCC_GRTR20</t>
  </si>
  <si>
    <t>Credit / default  risk</t>
  </si>
  <si>
    <t>Credit /
default 
risk</t>
  </si>
  <si>
    <t>entities service</t>
  </si>
  <si>
    <t>get_entities</t>
  </si>
  <si>
    <t>entities url</t>
  </si>
  <si>
    <t>server address</t>
  </si>
  <si>
    <t>scenarios service</t>
  </si>
  <si>
    <t>get_scenarios</t>
  </si>
  <si>
    <t>scenarios url</t>
  </si>
  <si>
    <t>model data url</t>
  </si>
  <si>
    <t>model data service</t>
  </si>
  <si>
    <t>Value from DB</t>
  </si>
  <si>
    <t>Value from model</t>
  </si>
  <si>
    <t>model_id</t>
  </si>
  <si>
    <t>model_version</t>
  </si>
  <si>
    <t>init service</t>
  </si>
  <si>
    <t>init_package</t>
  </si>
  <si>
    <t>init url</t>
  </si>
  <si>
    <t>save service</t>
  </si>
  <si>
    <t>save_model_data</t>
  </si>
  <si>
    <t>save url</t>
  </si>
  <si>
    <t>record status</t>
  </si>
  <si>
    <t>Year-End Date</t>
  </si>
  <si>
    <t>Reporting Years</t>
  </si>
  <si>
    <t>get_analysis_years</t>
  </si>
  <si>
    <t>years service</t>
  </si>
  <si>
    <t>years url</t>
  </si>
  <si>
    <t>Reporting year</t>
  </si>
  <si>
    <t>Issuer Provided Data</t>
  </si>
  <si>
    <t>S&amp;P Analyst Data</t>
  </si>
  <si>
    <t>Filter By</t>
  </si>
  <si>
    <t>File name</t>
  </si>
  <si>
    <t>Upload final submission</t>
  </si>
  <si>
    <t>Download model inputs</t>
  </si>
  <si>
    <t>Upload file</t>
  </si>
  <si>
    <t>Upload model inputs and outputs</t>
  </si>
  <si>
    <t>Identifying information from Input sheet</t>
  </si>
  <si>
    <t>My uploads only</t>
  </si>
  <si>
    <t>Level 1</t>
  </si>
  <si>
    <t>Level 3</t>
  </si>
  <si>
    <t>Level 4</t>
  </si>
  <si>
    <t>Level 5</t>
  </si>
  <si>
    <t>tac</t>
  </si>
  <si>
    <t>shareholders_equity</t>
  </si>
  <si>
    <t>equity_non_control_interests</t>
  </si>
  <si>
    <t>invest_own_shares</t>
  </si>
  <si>
    <t>shareholder_distrib</t>
  </si>
  <si>
    <t>intangible_assets</t>
  </si>
  <si>
    <t>employee_benefits</t>
  </si>
  <si>
    <t>unrealized_gains</t>
  </si>
  <si>
    <t>reserve_adj_non_life</t>
  </si>
  <si>
    <t>reserve_adj_life</t>
  </si>
  <si>
    <t>hybrid_capital</t>
  </si>
  <si>
    <t>invest_subsidiaries</t>
  </si>
  <si>
    <t>polycyholder_capital</t>
  </si>
  <si>
    <t>adjustments</t>
  </si>
  <si>
    <t>total</t>
  </si>
  <si>
    <t>99_99</t>
  </si>
  <si>
    <t>asset_risk</t>
  </si>
  <si>
    <t>credit_risk</t>
  </si>
  <si>
    <t>bonds</t>
  </si>
  <si>
    <t>reins_recov</t>
  </si>
  <si>
    <t>mortgage</t>
  </si>
  <si>
    <t>bank_deposits</t>
  </si>
  <si>
    <t>otc_derivatives</t>
  </si>
  <si>
    <t>other_chargeables</t>
  </si>
  <si>
    <t>deposit_with_cedents</t>
  </si>
  <si>
    <t>market_risk</t>
  </si>
  <si>
    <t>equity</t>
  </si>
  <si>
    <t>real_estate</t>
  </si>
  <si>
    <t>interest_rate</t>
  </si>
  <si>
    <t>other_assets_risk</t>
  </si>
  <si>
    <t>required_capital</t>
  </si>
  <si>
    <t>liability_risk</t>
  </si>
  <si>
    <t>non_life</t>
  </si>
  <si>
    <t>premium</t>
  </si>
  <si>
    <t>liability</t>
  </si>
  <si>
    <t>property</t>
  </si>
  <si>
    <t>motor</t>
  </si>
  <si>
    <t>financial</t>
  </si>
  <si>
    <t>health</t>
  </si>
  <si>
    <t>marine_aviation_transport</t>
  </si>
  <si>
    <t>other</t>
  </si>
  <si>
    <t>mortgage_insurance</t>
  </si>
  <si>
    <t>reserve</t>
  </si>
  <si>
    <t>nat_cat</t>
  </si>
  <si>
    <t>life</t>
  </si>
  <si>
    <t>mortality</t>
  </si>
  <si>
    <t>morbidity</t>
  </si>
  <si>
    <t>critical_illness</t>
  </si>
  <si>
    <t>disability</t>
  </si>
  <si>
    <t>long_term_care</t>
  </si>
  <si>
    <t>longevity</t>
  </si>
  <si>
    <t>other_life</t>
  </si>
  <si>
    <t>variable_annuities</t>
  </si>
  <si>
    <t>value</t>
  </si>
  <si>
    <t>other life</t>
  </si>
  <si>
    <t>pandemic</t>
  </si>
  <si>
    <t>diversification</t>
  </si>
  <si>
    <t>premium_reserve</t>
  </si>
  <si>
    <t>lines_of_business</t>
  </si>
  <si>
    <t>across_risks</t>
  </si>
  <si>
    <t>pre_haircut</t>
  </si>
  <si>
    <t>haircut</t>
  </si>
  <si>
    <t>undiversified</t>
  </si>
  <si>
    <t>value_in_force</t>
  </si>
  <si>
    <t>ring_fenced_funds</t>
  </si>
  <si>
    <t>diversified</t>
  </si>
  <si>
    <t>redundancy</t>
  </si>
  <si>
    <t>amount</t>
  </si>
  <si>
    <t>percentage</t>
  </si>
  <si>
    <t>level 6</t>
  </si>
  <si>
    <t>level 7</t>
  </si>
  <si>
    <t>Output</t>
  </si>
  <si>
    <t>Level 2.2</t>
  </si>
  <si>
    <t>99_95</t>
  </si>
  <si>
    <t>Level 2.3</t>
  </si>
  <si>
    <t>Level 2.1</t>
  </si>
  <si>
    <t>Key</t>
  </si>
  <si>
    <t>99_80</t>
  </si>
  <si>
    <t>Level 2.4</t>
  </si>
  <si>
    <t>99_50</t>
  </si>
  <si>
    <t>N</t>
  </si>
  <si>
    <t>Invested asset adjustments</t>
  </si>
  <si>
    <t>Investments in unconsolidated insurance and non-insurance subsidiaries</t>
  </si>
  <si>
    <t>Permanent Health Insurance / Disability / Critical Illness</t>
  </si>
  <si>
    <t>Guaranteed Investment Contract (GIC)</t>
  </si>
  <si>
    <t>Other life products ˗ Structured settlements ˗ Funding agreements</t>
  </si>
  <si>
    <t>Total life reserves</t>
  </si>
  <si>
    <t>Non-life technical reserve not discounted On-balance sheet</t>
  </si>
  <si>
    <t>Non-life technical reserve discounted On-balance sheet</t>
  </si>
  <si>
    <t>Off-balance sheet pension surplus if fungible and sustainable (post-tax)</t>
  </si>
  <si>
    <t>Applicable Tax Rate(%)</t>
  </si>
  <si>
    <t>Applicable government bond yield (%)</t>
  </si>
  <si>
    <t>Linked business without guarantees (e.g. Variable universal life)</t>
  </si>
  <si>
    <t>reference entities service</t>
  </si>
  <si>
    <t>reference entities url</t>
  </si>
  <si>
    <t>Reference entity names</t>
  </si>
  <si>
    <t>get_request_headers</t>
  </si>
  <si>
    <t>request headers service</t>
  </si>
  <si>
    <t>request headers url</t>
  </si>
  <si>
    <t>SUCMCONAME</t>
  </si>
  <si>
    <t>SUCMPROPORNPW_MI</t>
  </si>
  <si>
    <t>SUCMPROPORUEP_MI</t>
  </si>
  <si>
    <t>SUCMPROPORNLR_MI</t>
  </si>
  <si>
    <t>SUCMNOPROPORNPW_MI</t>
  </si>
  <si>
    <t>SUCMNOPROPORUEP_MI</t>
  </si>
  <si>
    <t>SUCMNOPROPORNLR_MI</t>
  </si>
  <si>
    <t>SUCMDOMCNTRY</t>
  </si>
  <si>
    <t>SUCMCURRENCY</t>
  </si>
  <si>
    <t>SUCMUNITS</t>
  </si>
  <si>
    <t>SUCMINFO</t>
  </si>
  <si>
    <t>SUCMAPPTAXRATE</t>
  </si>
  <si>
    <t>SUCMGTTOTRATEDBNDS</t>
  </si>
  <si>
    <t>SUCMNATCATCHG_995</t>
  </si>
  <si>
    <t>SUCMCOMDURMISMATCH</t>
  </si>
  <si>
    <t>SUCMONEROUSSTRESS</t>
  </si>
  <si>
    <t>SUCMDURNONLIFELIAB</t>
  </si>
  <si>
    <t>SUCMDURXSASSETYEARS</t>
  </si>
  <si>
    <t>SUCMONEROUSSTRESS_LIF</t>
  </si>
  <si>
    <t>SUCMONEROUSSTRESS_NON</t>
  </si>
  <si>
    <t>SUCMFORCURRCTRY1</t>
  </si>
  <si>
    <t>SUCMFORCURRCTRY2</t>
  </si>
  <si>
    <t>SUCMFORCURRCTRY3</t>
  </si>
  <si>
    <t>SUCMFORCURRCTRY4</t>
  </si>
  <si>
    <t>SUCMFORCURRCTRY5</t>
  </si>
  <si>
    <t>SUCMFORCURRCTRY6</t>
  </si>
  <si>
    <t>SUCMFORCURRCTRY7</t>
  </si>
  <si>
    <t>SUCMFORCURRCTRY8</t>
  </si>
  <si>
    <t>SUCMFORCURRCTRY9</t>
  </si>
  <si>
    <t>SUCMFORCURRCTRY10</t>
  </si>
  <si>
    <t>SUCMFORCURRCTRY11</t>
  </si>
  <si>
    <t>SUCMFORCURRCTRY12</t>
  </si>
  <si>
    <t>SUCMFORCURRCTRY13</t>
  </si>
  <si>
    <t>SUCMFORCURRCTRY14</t>
  </si>
  <si>
    <t>SUCMFORCURRCTRY15</t>
  </si>
  <si>
    <t>SUCMFORCURRCTRY_IRRSK2</t>
  </si>
  <si>
    <t>SUCMFORCURRCTRY_IRRSK3</t>
  </si>
  <si>
    <t>SUCMFORCURRCTRY_IRRSK4</t>
  </si>
  <si>
    <t>SUCMFORCURRCTRY_IRRSK5</t>
  </si>
  <si>
    <t>SUCMFORCURRCTRY_IRRSK6</t>
  </si>
  <si>
    <t>SUCMFORCURRCTRY_IRRSK7</t>
  </si>
  <si>
    <t>SUCMFORCURRCTRY_IRRSK8</t>
  </si>
  <si>
    <t>SUCMFORCURRCTRY_IRRSK9</t>
  </si>
  <si>
    <t>SUCMFORCURRCTRY_IRRSK10</t>
  </si>
  <si>
    <t>SUCMFORCURRCTRY_IRRSK11</t>
  </si>
  <si>
    <t>SUCMFORCURRCTRY_IRRSK12</t>
  </si>
  <si>
    <t>SUCMFORCURRCTRY_IRRSK13</t>
  </si>
  <si>
    <t>SUCMFORCURRCTRY_IRRSK14</t>
  </si>
  <si>
    <t>SUCMFORCURRCTRY_IRRSK15</t>
  </si>
  <si>
    <t>SUCMFORCURRPRODSEG2</t>
  </si>
  <si>
    <t>SUCMFORCURRPRODSEG3</t>
  </si>
  <si>
    <t>SUCMFORCURRPRODSEG4</t>
  </si>
  <si>
    <t>SUCMFORCURRPRODSEG5</t>
  </si>
  <si>
    <t>SUCMFORCURRPRODSEG6</t>
  </si>
  <si>
    <t>SUCMFORCURRPRODSEG7</t>
  </si>
  <si>
    <t>SUCMFORCURRPRODSEG8</t>
  </si>
  <si>
    <t>SUCMFORCURRPRODSEG9</t>
  </si>
  <si>
    <t>SUCMFORCURRPRODSEG10</t>
  </si>
  <si>
    <t>SUCMFORCURRPRODSEG11</t>
  </si>
  <si>
    <t>SUCMFORCURRPRODSEG12</t>
  </si>
  <si>
    <t>SUCMFORCURRPRODSEG13</t>
  </si>
  <si>
    <t>SUCMFORCURRPRODSEG14</t>
  </si>
  <si>
    <t>SUCMFORCURRPRODSEG15</t>
  </si>
  <si>
    <t>SUCMFORCURREXPAMT1</t>
  </si>
  <si>
    <t>SUCMFORCURREXPAMT2</t>
  </si>
  <si>
    <t>SUCMFORCURREXPAMT3</t>
  </si>
  <si>
    <t>SUCMFORCURREXPAMT4</t>
  </si>
  <si>
    <t>SUCMFORCURREXPAMT5</t>
  </si>
  <si>
    <t>SUCMFORCURREXPAMT6</t>
  </si>
  <si>
    <t>SUCMFORCURREXPAMT7</t>
  </si>
  <si>
    <t>SUCMFORCURREXPAMT8</t>
  </si>
  <si>
    <t>SUCMFORCURREXPAMT9</t>
  </si>
  <si>
    <t>SUCMFORCURREXPAMT10</t>
  </si>
  <si>
    <t>SUCMFORCURREXPAMT11</t>
  </si>
  <si>
    <t>SUCMFORCURREXPAMT12</t>
  </si>
  <si>
    <t>SUCMFORCURREXPAMT13</t>
  </si>
  <si>
    <t>SUCMFORCURREXPAMT14</t>
  </si>
  <si>
    <t>SUCMFORCURREXPAMT15</t>
  </si>
  <si>
    <t>SUCMFORCURRADJAMT1</t>
  </si>
  <si>
    <t>SUCMFORCURRADJAMT2</t>
  </si>
  <si>
    <t>SUCMFORCURRADJAMT3</t>
  </si>
  <si>
    <t>SUCMFORCURRADJAMT4</t>
  </si>
  <si>
    <t>SUCMFORCURRADJAMT5</t>
  </si>
  <si>
    <t>SUCMFORCURRADJAMT6</t>
  </si>
  <si>
    <t>SUCMFORCURRADJAMT7</t>
  </si>
  <si>
    <t>SUCMFORCURRADJAMT8</t>
  </si>
  <si>
    <t>SUCMFORCURRADJAMT9</t>
  </si>
  <si>
    <t>SUCMFORCURRADJAMT10</t>
  </si>
  <si>
    <t>SUCMFORCURRADJAMT11</t>
  </si>
  <si>
    <t>SUCMFORCURRADJAMT12</t>
  </si>
  <si>
    <t>SUCMFORCURRADJAMT13</t>
  </si>
  <si>
    <t>SUCMFORCURRADJAMT14</t>
  </si>
  <si>
    <t>SUCMFORCURRADJAMT15</t>
  </si>
  <si>
    <t>Mortgage Insurance</t>
  </si>
  <si>
    <t>SUCMFORCURRCTRY16</t>
  </si>
  <si>
    <t>SUCMFORCURRCTRY17</t>
  </si>
  <si>
    <t>SUCMFORCURRCTRY18</t>
  </si>
  <si>
    <t>SUCMFORCURRCTRY19</t>
  </si>
  <si>
    <t>SUCMFORCURRCTRY20</t>
  </si>
  <si>
    <t>SUCMFORCURRCTRY21</t>
  </si>
  <si>
    <t>SUCMFORCURRCTRY22</t>
  </si>
  <si>
    <t>SUCMFORCURRCTRY23</t>
  </si>
  <si>
    <t>SUCMFORCURRCTRY24</t>
  </si>
  <si>
    <t>SUCMFORCURRCTRY25</t>
  </si>
  <si>
    <t>SUCMFORCURRCTRY26</t>
  </si>
  <si>
    <t>SUCMFORCURRCTRY27</t>
  </si>
  <si>
    <t>SUCMFORCURRCTRY28</t>
  </si>
  <si>
    <t>SUCMFORCURRCTRY29</t>
  </si>
  <si>
    <t>SUCMFORCURRCTRY30</t>
  </si>
  <si>
    <t>SUCMFORCURRCTRY31</t>
  </si>
  <si>
    <t>SUCMFORCURRCTRY32</t>
  </si>
  <si>
    <t>SUCMFORCURRCTRY33</t>
  </si>
  <si>
    <t>SUCMFORCURRCTRY34</t>
  </si>
  <si>
    <t>SUCMFORCURRCTRY35</t>
  </si>
  <si>
    <t>SUCMFORCURRCTRY_IRRSK16</t>
  </si>
  <si>
    <t>SUCMFORCURRCTRY_IRRSK17</t>
  </si>
  <si>
    <t>SUCMFORCURRCTRY_IRRSK18</t>
  </si>
  <si>
    <t>SUCMFORCURRCTRY_IRRSK19</t>
  </si>
  <si>
    <t>SUCMFORCURRCTRY_IRRSK20</t>
  </si>
  <si>
    <t>SUCMFORCURRCTRY_IRRSK21</t>
  </si>
  <si>
    <t>SUCMFORCURRCTRY_IRRSK22</t>
  </si>
  <si>
    <t>SUCMFORCURRCTRY_IRRSK23</t>
  </si>
  <si>
    <t>SUCMFORCURRCTRY_IRRSK24</t>
  </si>
  <si>
    <t>SUCMFORCURRCTRY_IRRSK25</t>
  </si>
  <si>
    <t>SUCMFORCURRCTRY_IRRSK26</t>
  </si>
  <si>
    <t>SUCMFORCURRCTRY_IRRSK27</t>
  </si>
  <si>
    <t>SUCMFORCURRCTRY_IRRSK28</t>
  </si>
  <si>
    <t>SUCMFORCURRCTRY_IRRSK29</t>
  </si>
  <si>
    <t>SUCMFORCURRCTRY_IRRSK30</t>
  </si>
  <si>
    <t>SUCMFORCURRCTRY_IRRSK31</t>
  </si>
  <si>
    <t>SUCMFORCURRCTRY_IRRSK32</t>
  </si>
  <si>
    <t>SUCMFORCURRCTRY_IRRSK33</t>
  </si>
  <si>
    <t>SUCMFORCURRCTRY_IRRSK34</t>
  </si>
  <si>
    <t>SUCMFORCURRCTRY_IRRSK35</t>
  </si>
  <si>
    <t>SUCMFORCURRPRODSEG16</t>
  </si>
  <si>
    <t>SUCMFORCURRPRODSEG17</t>
  </si>
  <si>
    <t>SUCMFORCURRPRODSEG18</t>
  </si>
  <si>
    <t>SUCMFORCURRPRODSEG19</t>
  </si>
  <si>
    <t>SUCMFORCURRPRODSEG20</t>
  </si>
  <si>
    <t>SUCMFORCURRPRODSEG21</t>
  </si>
  <si>
    <t>SUCMFORCURRPRODSEG22</t>
  </si>
  <si>
    <t>SUCMFORCURRPRODSEG23</t>
  </si>
  <si>
    <t>SUCMFORCURRPRODSEG24</t>
  </si>
  <si>
    <t>SUCMFORCURRPRODSEG25</t>
  </si>
  <si>
    <t>SUCMFORCURRPRODSEG26</t>
  </si>
  <si>
    <t>SUCMFORCURRPRODSEG27</t>
  </si>
  <si>
    <t>SUCMFORCURRPRODSEG28</t>
  </si>
  <si>
    <t>SUCMFORCURRPRODSEG29</t>
  </si>
  <si>
    <t>SUCMFORCURRPRODSEG30</t>
  </si>
  <si>
    <t>SUCMFORCURRPRODSEG31</t>
  </si>
  <si>
    <t>SUCMFORCURRPRODSEG32</t>
  </si>
  <si>
    <t>SUCMFORCURRPRODSEG33</t>
  </si>
  <si>
    <t>SUCMFORCURRPRODSEG34</t>
  </si>
  <si>
    <t>SUCMFORCURRPRODSEG35</t>
  </si>
  <si>
    <t>SUCMFORCURREXPAMT16</t>
  </si>
  <si>
    <t>SUCMFORCURREXPAMT17</t>
  </si>
  <si>
    <t>SUCMFORCURREXPAMT18</t>
  </si>
  <si>
    <t>SUCMFORCURREXPAMT19</t>
  </si>
  <si>
    <t>SUCMFORCURREXPAMT20</t>
  </si>
  <si>
    <t>SUCMFORCURREXPAMT21</t>
  </si>
  <si>
    <t>SUCMFORCURREXPAMT22</t>
  </si>
  <si>
    <t>SUCMFORCURREXPAMT23</t>
  </si>
  <si>
    <t>SUCMFORCURREXPAMT24</t>
  </si>
  <si>
    <t>SUCMFORCURREXPAMT25</t>
  </si>
  <si>
    <t>SUCMFORCURREXPAMT26</t>
  </si>
  <si>
    <t>SUCMFORCURREXPAMT27</t>
  </si>
  <si>
    <t>SUCMFORCURREXPAMT28</t>
  </si>
  <si>
    <t>SUCMFORCURREXPAMT29</t>
  </si>
  <si>
    <t>SUCMFORCURREXPAMT30</t>
  </si>
  <si>
    <t>SUCMFORCURREXPAMT31</t>
  </si>
  <si>
    <t>SUCMFORCURREXPAMT32</t>
  </si>
  <si>
    <t>SUCMFORCURREXPAMT33</t>
  </si>
  <si>
    <t>SUCMFORCURREXPAMT34</t>
  </si>
  <si>
    <t>SUCMFORCURREXPAMT35</t>
  </si>
  <si>
    <t>Adjustments - Required Capital</t>
  </si>
  <si>
    <t>Adjustments - TAC</t>
  </si>
  <si>
    <t>O</t>
  </si>
  <si>
    <t>Comments - Summary</t>
  </si>
  <si>
    <t>Comments - TAC</t>
  </si>
  <si>
    <t>versions service</t>
  </si>
  <si>
    <t>get_versions</t>
  </si>
  <si>
    <t>versions url</t>
  </si>
  <si>
    <t>model data service2</t>
  </si>
  <si>
    <t>model data url2</t>
  </si>
  <si>
    <t>get_model_data_by_key</t>
  </si>
  <si>
    <t>get_model_data_by_scenario</t>
  </si>
  <si>
    <t>The upload will replace the latest version of file with the same name, uploaded for the selected company and reporting year.</t>
  </si>
  <si>
    <t>The File name will be updated to "Final". The upload will replace the latest version of the final submission for the selected company and reporting year.</t>
  </si>
  <si>
    <t>Company/Group Code</t>
  </si>
  <si>
    <t>Investment in noninsurance subsidiaries and insulated subsidiaries deconsolidated by S&amp;P</t>
  </si>
  <si>
    <t>Medicare and Medicaid</t>
  </si>
  <si>
    <t>Medicare Part D (all other)</t>
  </si>
  <si>
    <t>Medicare Part D (risk corridor only)</t>
  </si>
  <si>
    <t>Medicare Part D (risk corridor and reinsurance)</t>
  </si>
  <si>
    <t>Reported Exposure amount</t>
  </si>
  <si>
    <t>Adjusted Exposure amount</t>
  </si>
  <si>
    <t>SUCMFORCURRADJAMT16</t>
  </si>
  <si>
    <t>SUCMFORCURRADJAMT17</t>
  </si>
  <si>
    <t>SUCMFORCURRADJAMT18</t>
  </si>
  <si>
    <t>SUCMFORCURRADJAMT19</t>
  </si>
  <si>
    <t>SUCMFORCURRADJAMT20</t>
  </si>
  <si>
    <t>SUCMFORCURRADJAMT21</t>
  </si>
  <si>
    <t>SUCMFORCURRADJAMT22</t>
  </si>
  <si>
    <t>SUCMFORCURRADJAMT23</t>
  </si>
  <si>
    <t>SUCMFORCURRADJAMT24</t>
  </si>
  <si>
    <t>SUCMFORCURRADJAMT25</t>
  </si>
  <si>
    <t>SUCMFORCURRADJAMT26</t>
  </si>
  <si>
    <t>SUCMFORCURRADJAMT27</t>
  </si>
  <si>
    <t>SUCMFORCURRADJAMT28</t>
  </si>
  <si>
    <t>SUCMFORCURRADJAMT29</t>
  </si>
  <si>
    <t>SUCMFORCURRADJAMT30</t>
  </si>
  <si>
    <t>SUCMFORCURRADJAMT31</t>
  </si>
  <si>
    <t>SUCMFORCURRADJAMT32</t>
  </si>
  <si>
    <t>SUCMFORCURRADJAMT33</t>
  </si>
  <si>
    <t>SUCMFORCURRADJAMT34</t>
  </si>
  <si>
    <t>SUCMFORCURRADJAMT35</t>
  </si>
  <si>
    <t>Reference Id</t>
  </si>
  <si>
    <t>Reinsurance / retrocession recoveries (uncollateralized)</t>
  </si>
  <si>
    <t>Reinsurance / retrocession recoveries (collateralized)</t>
  </si>
  <si>
    <t>On-balance sheet loss reserve discounted adjusted</t>
  </si>
  <si>
    <t>Computed technical reserve discount</t>
  </si>
  <si>
    <t>Adjusted Diversified charges</t>
  </si>
  <si>
    <t>Div. benefit  on Asset Risk Analytical Adj.</t>
  </si>
  <si>
    <t>Div. benefit  on Liability Risk Analytical Adj.</t>
  </si>
  <si>
    <t>Total Diversification benefits</t>
  </si>
  <si>
    <t>Diversification Haircut</t>
  </si>
  <si>
    <t>Credit Risk Charges For Contingent Reinsurance Counterparty Risks</t>
  </si>
  <si>
    <t>Scenario</t>
  </si>
  <si>
    <t>For use by S&amp;P analysts only</t>
  </si>
  <si>
    <t>Non-blank entities</t>
  </si>
  <si>
    <t>Non-blank years</t>
  </si>
  <si>
    <t>Non-blank files</t>
  </si>
  <si>
    <t>Non-blank versions</t>
  </si>
  <si>
    <t>Non-blank reference entities</t>
  </si>
  <si>
    <t>Comments</t>
  </si>
  <si>
    <t>On-balance sheet pension surpluses if not fungible or not sustainable (post-tax)</t>
  </si>
  <si>
    <t xml:space="preserve">  -  Off balance sheet value of in-force life business</t>
  </si>
  <si>
    <t>Representative maturity for the tenor bucket</t>
  </si>
  <si>
    <t>Nat Cat AEP/OEP</t>
  </si>
  <si>
    <t>Yes, AEP</t>
  </si>
  <si>
    <t>Yes, OEP</t>
  </si>
  <si>
    <t>code</t>
  </si>
  <si>
    <t>year</t>
  </si>
  <si>
    <t>Service name</t>
  </si>
  <si>
    <t>get_irsdb_entity</t>
  </si>
  <si>
    <t>Comments - Equity</t>
  </si>
  <si>
    <t>Comments - Real Estate</t>
  </si>
  <si>
    <t>Comments - Other Invested Assets</t>
  </si>
  <si>
    <t>Comments - Non-invested Assets</t>
  </si>
  <si>
    <t>Comments - Non-life Premium</t>
  </si>
  <si>
    <t>Comments - Non-life Reserves</t>
  </si>
  <si>
    <t>Comments - Mortgage Insurance</t>
  </si>
  <si>
    <t>Comments - Natural Catastrophe</t>
  </si>
  <si>
    <t>Comments - Mortality and Pandemic</t>
  </si>
  <si>
    <t>Comments - Morbidity - Critical Illness</t>
  </si>
  <si>
    <t>Comments - Morbidity - Disability</t>
  </si>
  <si>
    <t>Comments - Morbidity - Long-term Care</t>
  </si>
  <si>
    <t>Comments - Longevity</t>
  </si>
  <si>
    <t>Comments - Other Life</t>
  </si>
  <si>
    <t>Comments - Variable Annuities</t>
  </si>
  <si>
    <t>Comments - Ring Fenced Funds</t>
  </si>
  <si>
    <t>Comments - German Health</t>
  </si>
  <si>
    <t>Comments - Interest Rate</t>
  </si>
  <si>
    <t>Comments - Additional Info.</t>
  </si>
  <si>
    <t>Ones</t>
  </si>
  <si>
    <t>Additional Information</t>
  </si>
  <si>
    <t>SUCMTACOTHEQRESNON</t>
  </si>
  <si>
    <t>SUCMTACOTHEQRESLIF</t>
  </si>
  <si>
    <t>SUCMPCLRSURPDEFDISC</t>
  </si>
  <si>
    <t>SUCMSUMINFO1_C</t>
  </si>
  <si>
    <t>SUCMSUMINFO2_C</t>
  </si>
  <si>
    <t>SUCMSUMINFO3_C</t>
  </si>
  <si>
    <t>SUCMCRRCAT1_C</t>
  </si>
  <si>
    <t>SUCMCRRCAT1_LESS1_C</t>
  </si>
  <si>
    <t>SUCMCRRCAT1_1TO5_C</t>
  </si>
  <si>
    <t>SUCMCRRCAT1_5TO10_C</t>
  </si>
  <si>
    <t>SUCMCRRCAT1_10TO20_C</t>
  </si>
  <si>
    <t>SUCMCRRCAT1_GRTR20_C</t>
  </si>
  <si>
    <t>SUCMCRRCAT1_TOTAL_C</t>
  </si>
  <si>
    <t>SUCMCRRCAT2_C</t>
  </si>
  <si>
    <t>SUCMCRRCAT2_LESS1_C</t>
  </si>
  <si>
    <t>SUCMCRRCAT2_1TO5_C</t>
  </si>
  <si>
    <t>SUCMCRRCAT2_5TO10_C</t>
  </si>
  <si>
    <t>SUCMCRRCAT2_10TO20_C</t>
  </si>
  <si>
    <t>SUCMCRRCAT2_GRTR20_C</t>
  </si>
  <si>
    <t>SUCMCRRCAT2_TOTAL_C</t>
  </si>
  <si>
    <t>SUCMCRRCAT3_C</t>
  </si>
  <si>
    <t>SUCMCRRCAT3_LESS1_C</t>
  </si>
  <si>
    <t>SUCMCRRCAT3_1TO5_C</t>
  </si>
  <si>
    <t>SUCMCRRCAT3_5TO10_C</t>
  </si>
  <si>
    <t>SUCMCRRCAT3_10TO20_C</t>
  </si>
  <si>
    <t>SUCMCRRCAT3_GRTR20_C</t>
  </si>
  <si>
    <t>SUCMCRRCAT3_TOTAL_C</t>
  </si>
  <si>
    <t>SUCMCRRCAT4_C</t>
  </si>
  <si>
    <t>SUCMCRRCAT4_LESS1_C</t>
  </si>
  <si>
    <t>SUCMCRRCAT4_1TO5_C</t>
  </si>
  <si>
    <t>SUCMCRRCAT4_5TO10_C</t>
  </si>
  <si>
    <t>SUCMCRRCAT4_10TO20_C</t>
  </si>
  <si>
    <t>SUCMCRRCAT4_GRTR20_C</t>
  </si>
  <si>
    <t>SUCMCRRCAT4_TOTAL_C</t>
  </si>
  <si>
    <t>SUCMCRRGRANDTOT_C</t>
  </si>
  <si>
    <t>SUCMALTCAT1_C</t>
  </si>
  <si>
    <t>SUCMALTCAT1_LESS1_C</t>
  </si>
  <si>
    <t>SUCMALTCAT1_1TO5_C</t>
  </si>
  <si>
    <t>SUCMALTCAT1_5TO10_C</t>
  </si>
  <si>
    <t>SUCMALTCAT1_10TO20_C</t>
  </si>
  <si>
    <t>SUCMALTCAT1_GRTR20_C</t>
  </si>
  <si>
    <t>SUCMALTCAT1_TOTAL_C</t>
  </si>
  <si>
    <t>SUCMALTCAT2_C</t>
  </si>
  <si>
    <t>SUCMALTCAT2_LESS1_C</t>
  </si>
  <si>
    <t>SUCMALTCAT2_1TO5_C</t>
  </si>
  <si>
    <t>SUCMALTCAT2_5TO10_C</t>
  </si>
  <si>
    <t>SUCMALTCAT2_10TO20_C</t>
  </si>
  <si>
    <t>SUCMALTCAT2_GRTR20_C</t>
  </si>
  <si>
    <t>SUCMALTCAT2_TOTAL_C</t>
  </si>
  <si>
    <t>SUCMALTCAT3_C</t>
  </si>
  <si>
    <t>SUCMALTCAT3_LESS1_C</t>
  </si>
  <si>
    <t>SUCMALTCAT3_1TO5_C</t>
  </si>
  <si>
    <t>SUCMALTCAT3_5TO10_C</t>
  </si>
  <si>
    <t>SUCMALTCAT3_10TO20_C</t>
  </si>
  <si>
    <t>SUCMALTCAT3_GRTR20_C</t>
  </si>
  <si>
    <t>SUCMALTCAT3_TOTAL_C</t>
  </si>
  <si>
    <t>SUCMALTCAT4_C</t>
  </si>
  <si>
    <t>SUCMALTCAT4_LESS1_C</t>
  </si>
  <si>
    <t>SUCMALTCAT4_1TO5_C</t>
  </si>
  <si>
    <t>SUCMALTCAT4_5TO10_C</t>
  </si>
  <si>
    <t>SUCMALTCAT4_10TO20_C</t>
  </si>
  <si>
    <t>SUCMALTCAT4_GRTR20_C</t>
  </si>
  <si>
    <t>SUCMALTCAT4_TOTAL_C</t>
  </si>
  <si>
    <t>SUCMOTHCAT1_C</t>
  </si>
  <si>
    <t>SUCMOTHCAT1_LESS1_C</t>
  </si>
  <si>
    <t>SUCMOTHCAT1_1TO5_C</t>
  </si>
  <si>
    <t>SUCMOTHCAT1_5TO10_C</t>
  </si>
  <si>
    <t>SUCMOTHCAT1_10TO20_C</t>
  </si>
  <si>
    <t>SUCMOTHCAT1_GRTR20_C</t>
  </si>
  <si>
    <t>SUCMOTHCAT1_TOTAL_C</t>
  </si>
  <si>
    <t>SUCMOTHCAT2_C</t>
  </si>
  <si>
    <t>SUCMOTHCAT2_LESS1_C</t>
  </si>
  <si>
    <t>SUCMOTHCAT2_1TO5_C</t>
  </si>
  <si>
    <t>SUCMOTHCAT2_5TO10_C</t>
  </si>
  <si>
    <t>SUCMOTHCAT2_10TO20_C</t>
  </si>
  <si>
    <t>SUCMOTHCAT2_GRTR20_C</t>
  </si>
  <si>
    <t>SUCMOTHCAT2_TOTAL_C</t>
  </si>
  <si>
    <t>SUCMOTHCAT3_C</t>
  </si>
  <si>
    <t>SUCMOTHCAT3_LESS1_C</t>
  </si>
  <si>
    <t>SUCMOTHCAT3_1TO5_C</t>
  </si>
  <si>
    <t>SUCMOTHCAT3_5TO10_C</t>
  </si>
  <si>
    <t>SUCMOTHCAT3_10TO20_C</t>
  </si>
  <si>
    <t>SUCMOTHCAT3_GRTR20_C</t>
  </si>
  <si>
    <t>SUCMOTHCAT3_TOTAL_C</t>
  </si>
  <si>
    <t>SUCMOTHCAT4_C</t>
  </si>
  <si>
    <t>SUCMOTHCAT4_LESS1_C</t>
  </si>
  <si>
    <t>SUCMOTHCAT4_1TO5_C</t>
  </si>
  <si>
    <t>SUCMOTHCAT4_5TO10_C</t>
  </si>
  <si>
    <t>SUCMOTHCAT4_10TO20_C</t>
  </si>
  <si>
    <t>SUCMOTHCAT4_GRTR20_C</t>
  </si>
  <si>
    <t>SUCMOTHCAT4_TOTAL_C</t>
  </si>
  <si>
    <t>SUCMRUR1NFCTOT_C</t>
  </si>
  <si>
    <t>SUCMRUR1NFCERG_C</t>
  </si>
  <si>
    <t>SUCMRUR1NFCYRS_C</t>
  </si>
  <si>
    <t>SUCMRUR1NFC_LESS1_C</t>
  </si>
  <si>
    <t>SUCMRUR1NFC_1TO5_C</t>
  </si>
  <si>
    <t>SUCMRUR1NFC_5TO10_C</t>
  </si>
  <si>
    <t>SUCMRUR1NFC_10TO20_C</t>
  </si>
  <si>
    <t>SUCMRUR1NFC_GRTR20_C</t>
  </si>
  <si>
    <t>SUCMRUR2NFCTOT_C</t>
  </si>
  <si>
    <t>SUCMRUR2NFCERG_C</t>
  </si>
  <si>
    <t>SUCMRUR2NFCYRS_C</t>
  </si>
  <si>
    <t>SUCMRUR2NFC_LESS1_C</t>
  </si>
  <si>
    <t>SUCMRUR2NFC_1TO5_C</t>
  </si>
  <si>
    <t>SUCMRUR2NFC_5TO10_C</t>
  </si>
  <si>
    <t>SUCMRUR2NFC_10TO20_C</t>
  </si>
  <si>
    <t>SUCMRUR2NFC_GRTR20_C</t>
  </si>
  <si>
    <t>SUCMRUR3NFCTOT_C</t>
  </si>
  <si>
    <t>SUCMRUR3NFCERG_C</t>
  </si>
  <si>
    <t>SUCMRUR3NFCYRS_C</t>
  </si>
  <si>
    <t>SUCMRUR3NFC_LESS1_C</t>
  </si>
  <si>
    <t>SUCMRUR3NFC_1TO5_C</t>
  </si>
  <si>
    <t>SUCMRUR3NFC_5TO10_C</t>
  </si>
  <si>
    <t>SUCMRUR3NFC_10TO20_C</t>
  </si>
  <si>
    <t>SUCMRUR3NFC_GRTR20_C</t>
  </si>
  <si>
    <t>SUCMRUR1FINTOT_C</t>
  </si>
  <si>
    <t>SUCMRUR1FINERG_C</t>
  </si>
  <si>
    <t>SUCMRUR1FINYRS_C</t>
  </si>
  <si>
    <t>SUCMRUR1FIN_LESS1_C</t>
  </si>
  <si>
    <t>SUCMRUR1FIN_1TO5_C</t>
  </si>
  <si>
    <t>SUCMRUR1FIN_5TO10_C</t>
  </si>
  <si>
    <t>SUCMRUR1FIN_10TO20_C</t>
  </si>
  <si>
    <t>SUCMRUR1FIN_GRTR20_C</t>
  </si>
  <si>
    <t>SUCMRUR2FINTOT_C</t>
  </si>
  <si>
    <t>SUCMRUR2FINERG_C</t>
  </si>
  <si>
    <t>SUCMRUR2FINYRS_C</t>
  </si>
  <si>
    <t>SUCMRUR2FIN_LESS1_C</t>
  </si>
  <si>
    <t>SUCMRUR2FIN_1TO5_C</t>
  </si>
  <si>
    <t>SUCMRUR2FIN_5TO10_C</t>
  </si>
  <si>
    <t>SUCMRUR2FIN_10TO20_C</t>
  </si>
  <si>
    <t>SUCMRUR2FIN_GRTR20_C</t>
  </si>
  <si>
    <t>SUCMRUR3FINTOT_C</t>
  </si>
  <si>
    <t>SUCMRUR3FINERG_C</t>
  </si>
  <si>
    <t>SUCMRUR3FINYRS_C</t>
  </si>
  <si>
    <t>SUCMRUR3FIN_LESS1_C</t>
  </si>
  <si>
    <t>SUCMRUR3FIN_1TO5_C</t>
  </si>
  <si>
    <t>SUCMRUR3FIN_5TO10_C</t>
  </si>
  <si>
    <t>SUCMRUR3FIN_10TO20_C</t>
  </si>
  <si>
    <t>SUCMRUR3FIN_GRTR20_C</t>
  </si>
  <si>
    <t>SUCMRUR1SOVERGTOT_C</t>
  </si>
  <si>
    <t>SUCMRUR1SOVERGERG_C</t>
  </si>
  <si>
    <t>SUCMRUR1SOVERGYRS_C</t>
  </si>
  <si>
    <t>SUCMRUR1SOVERG_LESS1_C</t>
  </si>
  <si>
    <t>SUCMRUR1SOVERG_1TO5_C</t>
  </si>
  <si>
    <t>SUCMRUR1SOVERG_5TO10_C</t>
  </si>
  <si>
    <t>SUCMRUR1SOVERG_10TO20_C</t>
  </si>
  <si>
    <t>SUCMRUR1SOVERG_GRTR20_C</t>
  </si>
  <si>
    <t>SUCMRUR2SOVERGTOT_C</t>
  </si>
  <si>
    <t>SUCMRUR2SOVERGERG_C</t>
  </si>
  <si>
    <t>SUCMRUR2SOVERGYRS_C</t>
  </si>
  <si>
    <t>SUCMRUR2SOVERG_LESS1_C</t>
  </si>
  <si>
    <t>SUCMRUR2SOVERG_1TO5_C</t>
  </si>
  <si>
    <t>SUCMRUR2SOVERG_5TO10_C</t>
  </si>
  <si>
    <t>SUCMRUR2SOVERG_10TO20_C</t>
  </si>
  <si>
    <t>SUCMRUR2SOVERG_GRTR20_C</t>
  </si>
  <si>
    <t>SUCMRUR3SOVERGTOT_C</t>
  </si>
  <si>
    <t>SUCMRUR3SOVERGERG_C</t>
  </si>
  <si>
    <t>SUCMRUR3SOVERGYRS_C</t>
  </si>
  <si>
    <t>SUCMRUR3SOVERG_LESS1_C</t>
  </si>
  <si>
    <t>SUCMRUR3SOVERG_1TO5_C</t>
  </si>
  <si>
    <t>SUCMRUR3SOVERG_5TO10_C</t>
  </si>
  <si>
    <t>SUCMRUR3SOVERG_10TO20_C</t>
  </si>
  <si>
    <t>SUCMRUR3SOVERG_GRTR20_C</t>
  </si>
  <si>
    <t>SUCMRUR4SFTOT_C</t>
  </si>
  <si>
    <t>SUCMRUR4SFERG_C</t>
  </si>
  <si>
    <t>SUCMRUR4SFYRS_C</t>
  </si>
  <si>
    <t>SUCMRUR4SF_LESS1_C</t>
  </si>
  <si>
    <t>SUCMRUR4SF_1TO5_C</t>
  </si>
  <si>
    <t>SUCMRUR4SF_5TO10_C</t>
  </si>
  <si>
    <t>SUCMRUR4SF_10TO20_C</t>
  </si>
  <si>
    <t>SUCMRUR4SF_GRTR20_C</t>
  </si>
  <si>
    <t>SUCMERGMRCNFC_C</t>
  </si>
  <si>
    <t>SUCMERGADJNFC_C</t>
  </si>
  <si>
    <t>SUCMERGARBNFC_C</t>
  </si>
  <si>
    <t>SUCMERGMRCFIN_C</t>
  </si>
  <si>
    <t>SUCMERGADJFIN_C</t>
  </si>
  <si>
    <t>SUCMERGARBFIN_C</t>
  </si>
  <si>
    <t>SUCMERGMRCSOVER_C</t>
  </si>
  <si>
    <t>SUCMERGADJSOVER_C</t>
  </si>
  <si>
    <t>SUCMERGARBSOVER_C</t>
  </si>
  <si>
    <t>SUCMERGMRCSF_C</t>
  </si>
  <si>
    <t>SUCMERGADJSF_C</t>
  </si>
  <si>
    <t>SUCMERGARBSF_C</t>
  </si>
  <si>
    <t>SUCMEQHOLDGR1_C</t>
  </si>
  <si>
    <t>SUCMEQHOLDGR2_C</t>
  </si>
  <si>
    <t>SUCMEQHOLDGR3_C</t>
  </si>
  <si>
    <t>SUCMEQHOLDGR4_C</t>
  </si>
  <si>
    <t>SUCMEQHOLDTOT_C</t>
  </si>
  <si>
    <t>SUCMREGR1_C</t>
  </si>
  <si>
    <t>SUCMREGR2_C</t>
  </si>
  <si>
    <t>SUCMREGR3_C</t>
  </si>
  <si>
    <t>SUCMREGR4_C</t>
  </si>
  <si>
    <t>SUCMRETOT_C</t>
  </si>
  <si>
    <t>SUCMCMIG_LESS60_C</t>
  </si>
  <si>
    <t>SUCMCMIG_60_80_C</t>
  </si>
  <si>
    <t>SUCMCMIG_GREAT80_C</t>
  </si>
  <si>
    <t>SUCMRMIG_LESS60_C</t>
  </si>
  <si>
    <t>SUCMRMIG_60_80_C</t>
  </si>
  <si>
    <t>SUCMRMIG_GREAT80_C</t>
  </si>
  <si>
    <t>SUCMOTCDERIV_C</t>
  </si>
  <si>
    <t>SUCMBANKDEPA_C</t>
  </si>
  <si>
    <t>SUCMBANKDEPBBB_C</t>
  </si>
  <si>
    <t>SUCMBANKDEPBB_C</t>
  </si>
  <si>
    <t>SUCMBANKDEPCCC_C</t>
  </si>
  <si>
    <t>SUCMBANKDEPCED_C</t>
  </si>
  <si>
    <t>SUCMTOTINVASST_C</t>
  </si>
  <si>
    <t>SUCMSPRRAAA_C</t>
  </si>
  <si>
    <t>SUCMSPRRAA_C</t>
  </si>
  <si>
    <t>SUCMSPRRA_C</t>
  </si>
  <si>
    <t>SUCMSPRRBBB_C</t>
  </si>
  <si>
    <t>SUCMSPRRBB_C</t>
  </si>
  <si>
    <t>SUCMSPRRB_C</t>
  </si>
  <si>
    <t>SUCMSPRRCCC_C</t>
  </si>
  <si>
    <t>SUCMSPRRD_C</t>
  </si>
  <si>
    <t>SUCMALTRRAAA_C</t>
  </si>
  <si>
    <t>SUCMALTRRAA_C</t>
  </si>
  <si>
    <t>SUCMALTRRA_C</t>
  </si>
  <si>
    <t>SUCMALTRRBBB_C</t>
  </si>
  <si>
    <t>SUCMALTRRBB_C</t>
  </si>
  <si>
    <t>SUCMALTRRB_C</t>
  </si>
  <si>
    <t>SUCMALTRRCCC_C</t>
  </si>
  <si>
    <t>SUCMALTRRD_C</t>
  </si>
  <si>
    <t>SUCMRRINSREC_C</t>
  </si>
  <si>
    <t>SUCMRRLEASE_C</t>
  </si>
  <si>
    <t>SUCMRRASOASC_C</t>
  </si>
  <si>
    <t>SUCMRRDEFTAX_C</t>
  </si>
  <si>
    <t>SUCMRREXASST_C</t>
  </si>
  <si>
    <t>SUCMRROTHASST_C</t>
  </si>
  <si>
    <t>SUCMTOTBSASST_C</t>
  </si>
  <si>
    <t>SUCMPRRSK_EMEA_LIA_C</t>
  </si>
  <si>
    <t>SUCMPRRSK_EMEA_WCP_C</t>
  </si>
  <si>
    <t>SUCMPRRSK_EMEA_FIR_C</t>
  </si>
  <si>
    <t>SUCMPRRSK_EMEA_ALB_C</t>
  </si>
  <si>
    <t>SUCMPRRSK_EMEA_OTHM_C</t>
  </si>
  <si>
    <t>SUCMPRRSK_EMEA_CRDS_C</t>
  </si>
  <si>
    <t>SUCMPRRSK_EMEA_MSFL_C</t>
  </si>
  <si>
    <t>SUCMPRRSK_EMEA_HMEI_C</t>
  </si>
  <si>
    <t>SUCMPRRSK_EMEA_MAVT_C</t>
  </si>
  <si>
    <t>SUCMPRRSK_EMEA_ASST_C</t>
  </si>
  <si>
    <t>SUCMPRRSK_EMEA_INPR_C</t>
  </si>
  <si>
    <t>SUCMPRRSK_EMEA_LEGEX_C</t>
  </si>
  <si>
    <t>SUCMPRRSK_EMEA_OCAH_C</t>
  </si>
  <si>
    <t>SUCMPRRSK_US_EWCP_C</t>
  </si>
  <si>
    <t>SUCMPRRSK_US_MEC_C</t>
  </si>
  <si>
    <t>SUCMPRRSK_US_MEO_C</t>
  </si>
  <si>
    <t>SUCMPRRSK_US_OLC_C</t>
  </si>
  <si>
    <t>SUCMPRRSK_US_OLO_C</t>
  </si>
  <si>
    <t>SUCMPRRSK_US_PLC_C</t>
  </si>
  <si>
    <t>SUCMPRRSK_US_PLO_C</t>
  </si>
  <si>
    <t>SUCMPRRSK_US_WCP_C</t>
  </si>
  <si>
    <t>SUCMPRRSK_US_BLM_C</t>
  </si>
  <si>
    <t>SUCMPRRSK_US_CMP_C</t>
  </si>
  <si>
    <t>SUCMPRRSK_US_HFM_C</t>
  </si>
  <si>
    <t>SUCMPRRSK_US_SPP_C</t>
  </si>
  <si>
    <t>SUCMPRRSK_US_APB_C</t>
  </si>
  <si>
    <t>SUCMPRRSK_US_CAL_C</t>
  </si>
  <si>
    <t>SUCMPRRSK_US_PPA_C</t>
  </si>
  <si>
    <t>SUCMPRRSK_US_CRD_C</t>
  </si>
  <si>
    <t>SUCMPRRSK_US_FIDSUR_C</t>
  </si>
  <si>
    <t>SUCMPRRSK_US_FIG_C</t>
  </si>
  <si>
    <t>SUCMPRRSK_US_TITLE_C</t>
  </si>
  <si>
    <t>SUCMPRRSK_US_STPR_C</t>
  </si>
  <si>
    <t>SUCMPRRSK_US_AAH_C</t>
  </si>
  <si>
    <t>SUCMPRRSK_US_ADSADC_C</t>
  </si>
  <si>
    <t>SUCMPRRSK_US_FLRS_C</t>
  </si>
  <si>
    <t>SUCMPRRSK_US_DENVIS_C</t>
  </si>
  <si>
    <t>SUCMPRRSK_US_FEP_C</t>
  </si>
  <si>
    <t>SUCMPRRSK_US_HMDO_C</t>
  </si>
  <si>
    <t>SUCMPRRSK_US_MDMID_C</t>
  </si>
  <si>
    <t>SUCMPRRSK_US_MEDDO_C</t>
  </si>
  <si>
    <t>SUCMPRRSK_US_MEDDRO_C</t>
  </si>
  <si>
    <t>SUCMPRRSK_US_MEDDRR_C</t>
  </si>
  <si>
    <t>SUCMPRRSK_US_MDS_C</t>
  </si>
  <si>
    <t>SUCMPRRSK_US_OLBF_C</t>
  </si>
  <si>
    <t>SUCMPRRSK_US_AIR_C</t>
  </si>
  <si>
    <t>SUCMPRRSK_US_OCM_C</t>
  </si>
  <si>
    <t>SUCMPRRSK_US_WAR_C</t>
  </si>
  <si>
    <t>SUCMPRRSK_US_OCAH_C</t>
  </si>
  <si>
    <t>SUCMRESRSK_EMEA_LIA_C</t>
  </si>
  <si>
    <t>SUCMRESRSK_EMEA_WCP_C</t>
  </si>
  <si>
    <t>SUCMRESRSK_EMEA_FIR_C</t>
  </si>
  <si>
    <t>SUCMRESRSK_EMEA_ALB_C</t>
  </si>
  <si>
    <t>SUCMRESRSK_EMEA_OTHM_C</t>
  </si>
  <si>
    <t>SUCMRESRSK_EMEA_CRDS_C</t>
  </si>
  <si>
    <t>SUCMRESRSK_EMEA_MSFL_C</t>
  </si>
  <si>
    <t>SUCMRESRSK_EMEA_HMEI_C</t>
  </si>
  <si>
    <t>SUCMRESRSK_EMEA_MAVT_C</t>
  </si>
  <si>
    <t>SUCMRESRSK_EMEA_ASST_C</t>
  </si>
  <si>
    <t>SUCMRESRSK_EMEA_INPR_C</t>
  </si>
  <si>
    <t>SUCMRESRSK_EMEA_LEGEX_C</t>
  </si>
  <si>
    <t>SUCMRESRSK_EMEA_OCAH_C</t>
  </si>
  <si>
    <t>SUCMRESRSK_US_MEC_C</t>
  </si>
  <si>
    <t>SUCMRESRSK_US_MEO_C</t>
  </si>
  <si>
    <t>SUCMRESRSK_US_OLC_C</t>
  </si>
  <si>
    <t>SUCMRESRSK_US_OLO_C</t>
  </si>
  <si>
    <t>SUCMRESRSK_US_PLC_C</t>
  </si>
  <si>
    <t>SUCMRESRSK_US_PLO_C</t>
  </si>
  <si>
    <t>SUCMRESRSK_US_WCP_C</t>
  </si>
  <si>
    <t>SUCMRESRSK_US_BLM_C</t>
  </si>
  <si>
    <t>SUCMRESRSK_US_CMP_C</t>
  </si>
  <si>
    <t>SUCMRESRSK_US_HFM_C</t>
  </si>
  <si>
    <t>SUCMRESRSK_US_SPP_C</t>
  </si>
  <si>
    <t>SUCMRESRSK_US_APB_C</t>
  </si>
  <si>
    <t>SUCMRESRSK_US_CAL_C</t>
  </si>
  <si>
    <t>SUCMRESRSK_US_PPA_C</t>
  </si>
  <si>
    <t>SUCMRESRSK_US_CRD_C</t>
  </si>
  <si>
    <t>SUCMRESRSK_US_FIDSUR_C</t>
  </si>
  <si>
    <t>SUCMRESRSK_US_FIG_C</t>
  </si>
  <si>
    <t>SUCMRESRSK_US_TITLE_C</t>
  </si>
  <si>
    <t>SUCMRESRSK_US_AAH_C</t>
  </si>
  <si>
    <t>SUCMRESRSK_US_OLBF_C</t>
  </si>
  <si>
    <t>SUCMRESRSK_US_AIR_C</t>
  </si>
  <si>
    <t>SUCMRESRSK_US_OCM_C</t>
  </si>
  <si>
    <t>SUCMRESRSK_US_WAR_C</t>
  </si>
  <si>
    <t>SUCMRESRSK_US_OCAH_C</t>
  </si>
  <si>
    <t>SUCMRESRSK_CN_LIA_C</t>
  </si>
  <si>
    <t>SUCMRESRSK_CN_BLM_C</t>
  </si>
  <si>
    <t>SUCMRESRSK_CN_CMPR_C</t>
  </si>
  <si>
    <t>SUCMRESRSK_CN_HAIL_C</t>
  </si>
  <si>
    <t>SUCMRESRSK_CN_PPR_C</t>
  </si>
  <si>
    <t>SUCMRESRSK_CN_ALB_C</t>
  </si>
  <si>
    <t>SUCMRESRSK_CN_ATOTH_C</t>
  </si>
  <si>
    <t>SUCMRESRSK_CN_ATPAC_C</t>
  </si>
  <si>
    <t>SUCMRESRSK_CN_CRD_C</t>
  </si>
  <si>
    <t>SUCMRESRSK_CN_CRPR_C</t>
  </si>
  <si>
    <t>SUCMRESRSK_CN_FID_C</t>
  </si>
  <si>
    <t>SUCMRESRSK_CN_SUR_C</t>
  </si>
  <si>
    <t>SUCMRESRSK_CN_TITLE_C</t>
  </si>
  <si>
    <t>SUCMRESRSK_CN_ACSK_C</t>
  </si>
  <si>
    <t>SUCMRESRSK_CN_AIR_C</t>
  </si>
  <si>
    <t>SUCMRESRSK_CN_OCM_C</t>
  </si>
  <si>
    <t>SUCMRESRSK_CN_OAPR_C</t>
  </si>
  <si>
    <t>SUCMRESRSK_CN_WAR_C</t>
  </si>
  <si>
    <t>SUCMRESRSK_CN_OCAH_C</t>
  </si>
  <si>
    <t>SUCMRESRSK_AP_EMLIB_C</t>
  </si>
  <si>
    <t>SUCMRESRSK_AP_LIA_C</t>
  </si>
  <si>
    <t>SUCMRESRSK_AP_PRIND_C</t>
  </si>
  <si>
    <t>SUCMRESRSK_AP_PAPL_C</t>
  </si>
  <si>
    <t>SUCMRESRSK_AP_CMPR_C</t>
  </si>
  <si>
    <t>SUCMRESRSK_AP_HMP_C</t>
  </si>
  <si>
    <t>SUCMRESRSK_AP_CALANZ_C</t>
  </si>
  <si>
    <t>SUCMRESRSK_AP_PALANZ_C</t>
  </si>
  <si>
    <t>SUCMRESRSK_AP_ALB_C</t>
  </si>
  <si>
    <t>SUCMRESRSK_AP_TPLM_C</t>
  </si>
  <si>
    <t>SUCMRESRSK_AP_CONCR_C</t>
  </si>
  <si>
    <t>SUCMRESRSK_AP_CRD_C</t>
  </si>
  <si>
    <t>SUCMRESRSK_AP_AAH_C</t>
  </si>
  <si>
    <t>SUCMRESRSK_AP_HLTH_C</t>
  </si>
  <si>
    <t>SUCMRESRSK_AP_MAVC_C</t>
  </si>
  <si>
    <t>SUCMRESRSK_AP_MAVH_C</t>
  </si>
  <si>
    <t>SUCMRESRSK_AP_ENG_C</t>
  </si>
  <si>
    <t>SUCMRESRSK_AP_TRV_C</t>
  </si>
  <si>
    <t>SUCMRESRSK_AP_OCAH_C</t>
  </si>
  <si>
    <t>SUCMRESRSK_LAM_EMLIB_C</t>
  </si>
  <si>
    <t>SUCMRESRSK_LAM_LIA_C</t>
  </si>
  <si>
    <t>SUCMRESRSK_LAM_PRIND_C</t>
  </si>
  <si>
    <t>SUCMRESRSK_LAM_CMPR_C</t>
  </si>
  <si>
    <t>SUCMRESRSK_LAM_HMP_C</t>
  </si>
  <si>
    <t>SUCMRESRSK_LAM_MEXFR_C</t>
  </si>
  <si>
    <t>SUCMRESRSK_LAM_PLM_C</t>
  </si>
  <si>
    <t>SUCMRESRSK_LAM_ALB_C</t>
  </si>
  <si>
    <t>SUCMRESRSK_LAM_CRD_C</t>
  </si>
  <si>
    <t>SUCMRESRSK_LAM_FID_C</t>
  </si>
  <si>
    <t>SUCMRESRSK_LAM_SUR_C</t>
  </si>
  <si>
    <t>SUCMRESRSK_LAM_AAH_C</t>
  </si>
  <si>
    <t>SUCMRESRSK_LAM_HMEDEX_C</t>
  </si>
  <si>
    <t>SUCMRESRSK_LAM_MAVA_C</t>
  </si>
  <si>
    <t>SUCMRESRSK_LAM_MAVC_C</t>
  </si>
  <si>
    <t>SUCMRESRSK_LAM_TRV_C</t>
  </si>
  <si>
    <t>SUCMRESRSK_LAM_WAR_C</t>
  </si>
  <si>
    <t>SUCMRESRSK_LAM_OCAH_C</t>
  </si>
  <si>
    <t>SUCMRESRSK_INPUT_C</t>
  </si>
  <si>
    <t>SUCMRESRSK_INPUT_LIA_C</t>
  </si>
  <si>
    <t>SUCMRESRSK_INPUT_PROP_C</t>
  </si>
  <si>
    <t>SUCMRESRSK_INPUT_MOT_C</t>
  </si>
  <si>
    <t>SUCMRESRSK_INPUT_FIN_C</t>
  </si>
  <si>
    <t>SUCMRESRSK_INPUT_HLTH_C</t>
  </si>
  <si>
    <t>SUCMRESRSK_INPUT_MAT_C</t>
  </si>
  <si>
    <t>SUCMRESRSK_INPUT_OTH_C</t>
  </si>
  <si>
    <t>SUCMRESRSK_INPUT_SUM_C</t>
  </si>
  <si>
    <t>SUCMNPW_MI_C</t>
  </si>
  <si>
    <t>SUCMUEP_MI_C</t>
  </si>
  <si>
    <t>SUCMLR_MI_C</t>
  </si>
  <si>
    <t>SUCMAEPOEPCURVE_C</t>
  </si>
  <si>
    <t>SUCMNCRGROSS_C</t>
  </si>
  <si>
    <t>SUCMNCRNET_C</t>
  </si>
  <si>
    <t>SUCMNCRRECUNCOLL_C</t>
  </si>
  <si>
    <t>SUCMNCRRECCOLL_C</t>
  </si>
  <si>
    <t>SUCMNCPINWARD_C</t>
  </si>
  <si>
    <t>SUCMNCPOUTWARD_C</t>
  </si>
  <si>
    <t>SUCMNCNETLOSS_C</t>
  </si>
  <si>
    <t>SUCMNCRAAL_C</t>
  </si>
  <si>
    <t>SUCMNATCATCHG_995_C</t>
  </si>
  <si>
    <t>SUCMMORTCIRITHDM_C</t>
  </si>
  <si>
    <t>SUCMMORTCIRITLDM_C</t>
  </si>
  <si>
    <t>SUCMMORTNETTOT_C</t>
  </si>
  <si>
    <t>SUCMMORTGROSSTOT_C</t>
  </si>
  <si>
    <t>SUCMMORBCIRITHDM_C</t>
  </si>
  <si>
    <t>SUCMMORBCIRITLDM_C</t>
  </si>
  <si>
    <t>SUCMDISPRDISNONCANCEL_C</t>
  </si>
  <si>
    <t>SUCMDISPRDISOII_C</t>
  </si>
  <si>
    <t>SUCMDISPRDISGLT_C</t>
  </si>
  <si>
    <t>SUCMDISPRGST_C</t>
  </si>
  <si>
    <t>SUCMDISPRCROSBAL_C</t>
  </si>
  <si>
    <t>SUCMDISPRCSRWITH_C</t>
  </si>
  <si>
    <t>SUCMDISPRCSRWITHOUT_C</t>
  </si>
  <si>
    <t>SUCMDISPROTHERDISB_C</t>
  </si>
  <si>
    <t>SUCMDISRESERPROD_C</t>
  </si>
  <si>
    <t>SUCMLTCLAIB_NONUS_C</t>
  </si>
  <si>
    <t>SUCMLTCCLAIMS_US_C</t>
  </si>
  <si>
    <t>SUCMLTCEARNPREM_US_C</t>
  </si>
  <si>
    <t>SUCMLTCCLAIMRES_US_C</t>
  </si>
  <si>
    <t>SUCMLONGOTHERIP_CAT1_C</t>
  </si>
  <si>
    <t>SUCMLONGOTHER_CAT1_C</t>
  </si>
  <si>
    <t>SUCMLONGOTHER_CAT2_C</t>
  </si>
  <si>
    <t>SUCMLONGOTHER_CAT3_C</t>
  </si>
  <si>
    <t>SUCMLONGEXPTOT_C</t>
  </si>
  <si>
    <t>SUCMOLTRPROT_C</t>
  </si>
  <si>
    <t>SUCMOLTRPHI_C</t>
  </si>
  <si>
    <t>SUCMOLTRNLS_C</t>
  </si>
  <si>
    <t>SUCMOLTRIPA_C</t>
  </si>
  <si>
    <t>SUCMOLTRDEFWO_C</t>
  </si>
  <si>
    <t>SUCMOLTRDEFW_C</t>
  </si>
  <si>
    <t>SUCMOLTRDEFGIC_C</t>
  </si>
  <si>
    <t>SUCMOLTRDEFOLP_C</t>
  </si>
  <si>
    <t>SUCMOLTRNONSADEFLBW_C</t>
  </si>
  <si>
    <t>SUCMOLTRNONSADEFBINVWO_C</t>
  </si>
  <si>
    <t>SUCMOLTRNONPBEXPOA_C</t>
  </si>
  <si>
    <t>SUCMOLTRNONPBCPOA_C</t>
  </si>
  <si>
    <t>SUCMOLTRNONPBCPDA_C</t>
  </si>
  <si>
    <t>SUCMOLTRTOTLR_C</t>
  </si>
  <si>
    <t>SUCMVA995_C</t>
  </si>
  <si>
    <t>SUCMVA98_C</t>
  </si>
  <si>
    <t>SUCMVA95_C</t>
  </si>
  <si>
    <t>SUCMVA90_C</t>
  </si>
  <si>
    <t>SUCMVAERROR_C</t>
  </si>
  <si>
    <t>SUCMVASTATNETREINS_C</t>
  </si>
  <si>
    <t>SUCMSEGFUND_9999_C</t>
  </si>
  <si>
    <t>SUCMSEGFUND_9995_C</t>
  </si>
  <si>
    <t>SUCMSEGFUND_9980_C</t>
  </si>
  <si>
    <t>SUCMSEGFUND_9950_C</t>
  </si>
  <si>
    <t>SUCMGERMANAGE_C</t>
  </si>
  <si>
    <t>SUCMDETMISMATCH_C</t>
  </si>
  <si>
    <t>SUCMCOMDURMISMATCH_C</t>
  </si>
  <si>
    <t>SUCMONERSTRESS_C</t>
  </si>
  <si>
    <t>SUCMDURNONLIFELIAB_C</t>
  </si>
  <si>
    <t>SUCMDURXSASSETYEARS_C</t>
  </si>
  <si>
    <t>SUCMONSTRESSBOTH_C</t>
  </si>
  <si>
    <t>SUCMONEROUSSTRESS_C</t>
  </si>
  <si>
    <t>SUCMIRRREV_CAP_C</t>
  </si>
  <si>
    <t>SUCMIRRREV_LIFE_C</t>
  </si>
  <si>
    <t>SUCMIRRREV_NOLIFE_C</t>
  </si>
  <si>
    <t>SUCMIRRREV_IG_C</t>
  </si>
  <si>
    <t>SUCMFORCURRPROD_C</t>
  </si>
  <si>
    <t>SUCMFCPROD_1_C</t>
  </si>
  <si>
    <t>SUCMFCPROD_2_C</t>
  </si>
  <si>
    <t>SUCMFCPROD_3_C</t>
  </si>
  <si>
    <t>SUCMFCPROD_4_C</t>
  </si>
  <si>
    <t>SUCMFCPROD_5_C</t>
  </si>
  <si>
    <t>SUCMFCPROD_6_C</t>
  </si>
  <si>
    <t>SUCMFCPROD_7_C</t>
  </si>
  <si>
    <t>SUCMFCPROD_8_C</t>
  </si>
  <si>
    <t>SUCMFCPROD_9_C</t>
  </si>
  <si>
    <t>SUCMFCPROD_10_C</t>
  </si>
  <si>
    <t>SUCMFCPROD_11_C</t>
  </si>
  <si>
    <t>SUCMFCPROD_12_C</t>
  </si>
  <si>
    <t>SUCMFCPROD_13_C</t>
  </si>
  <si>
    <t>SUCMFCPROD_14_C</t>
  </si>
  <si>
    <t>SUCMFCPROD_15_C</t>
  </si>
  <si>
    <t>SUCMFCPROD_16_C</t>
  </si>
  <si>
    <t>SUCMFCPROD_17_C</t>
  </si>
  <si>
    <t>SUCMFCPROD_18_C</t>
  </si>
  <si>
    <t>SUCMFCPROD_19_C</t>
  </si>
  <si>
    <t>SUCMFCPROD_20_C</t>
  </si>
  <si>
    <t>SUCMFCPROD_21_C</t>
  </si>
  <si>
    <t>SUCMFCPROD_22_C</t>
  </si>
  <si>
    <t>SUCMFCPROD_23_C</t>
  </si>
  <si>
    <t>SUCMFCPROD_24_C</t>
  </si>
  <si>
    <t>SUCMFCPROD_25_C</t>
  </si>
  <si>
    <t>SUCMFCPROD_26_C</t>
  </si>
  <si>
    <t>SUCMFCPROD_27_C</t>
  </si>
  <si>
    <t>SUCMFCPROD_28_C</t>
  </si>
  <si>
    <t>SUCMFCPROD_29_C</t>
  </si>
  <si>
    <t>SUCMFCPROD_30_C</t>
  </si>
  <si>
    <t>SUCMFCPROD_31_C</t>
  </si>
  <si>
    <t>SUCMFCPROD_32_C</t>
  </si>
  <si>
    <t>SUCMFCPROD_33_C</t>
  </si>
  <si>
    <t>SUCMFCPROD_34_C</t>
  </si>
  <si>
    <t>SUCMFCPROD_35_C</t>
  </si>
  <si>
    <t>SUCMRSR_C</t>
  </si>
  <si>
    <t>SUCMNONLIFEDAC_C</t>
  </si>
  <si>
    <t>SUCMNETUPR_C</t>
  </si>
  <si>
    <t>SUCMTACPHS_C</t>
  </si>
  <si>
    <t>SUCMEQMINCONSSUB_C</t>
  </si>
  <si>
    <t>SUCMPROPSHDVDNOTACC_C</t>
  </si>
  <si>
    <t>SUCMOFFBALPENSDEFAFT_C</t>
  </si>
  <si>
    <t>SUCMINVOWNTREASSHRS_C</t>
  </si>
  <si>
    <t>SUCMGOODWILL_C</t>
  </si>
  <si>
    <t>SUCMOTHINTANGASST_C</t>
  </si>
  <si>
    <t>SUCMOFFUNRNOLIFEBNDS_C</t>
  </si>
  <si>
    <t>SUCMUNCONASSJOINTMV_C</t>
  </si>
  <si>
    <t>SUCMUNCONASSJOINTBV_C</t>
  </si>
  <si>
    <t>SUCMNOLIFENOTDISC_C</t>
  </si>
  <si>
    <t>SUCMNOLIFEDISC_C</t>
  </si>
  <si>
    <t>SUCMAPPTAXRATE_C</t>
  </si>
  <si>
    <t>SUCMONBALLOSSRESDISC_C</t>
  </si>
  <si>
    <t>SUCMRELEGVTBONDYIELD_C</t>
  </si>
  <si>
    <t>SUCMMEANTERMUNDISC_C</t>
  </si>
  <si>
    <t>SUCMPCLRSURPDEFUNDIS_C</t>
  </si>
  <si>
    <t>SUCMTACOTHEQRESNON_C</t>
  </si>
  <si>
    <t>SUCMOFFBALLIFEVIFNET_C</t>
  </si>
  <si>
    <t>SUCMONBALDACVOBAVIF_C</t>
  </si>
  <si>
    <t>SUCMTACOTHEQRESLIF_C</t>
  </si>
  <si>
    <t>SUCMLIFERESMVADJ_C</t>
  </si>
  <si>
    <t>SUCMPHCAPAVAIL_C</t>
  </si>
  <si>
    <t>SUCMHYBEQHIGH_C</t>
  </si>
  <si>
    <t>SUCMHYBEQINTERM_C</t>
  </si>
  <si>
    <t>SUCMHYBEQNONE_C</t>
  </si>
  <si>
    <t>SUCMHYBELIGDFC_C</t>
  </si>
  <si>
    <t>SUCMDEBTCAPELIG_C</t>
  </si>
  <si>
    <t>SUCMDEBTELIGDFC_C</t>
  </si>
  <si>
    <t>SUCMDEBTNOELIGSFC_C</t>
  </si>
  <si>
    <t>SUCMTOTDEBTHYB_C</t>
  </si>
  <si>
    <t>SUCMINVSUBDECONS_C</t>
  </si>
  <si>
    <t>SUCMUNCONSSUBSNOCONS_C</t>
  </si>
  <si>
    <t>SUCMPCLRSURPDEFDISC_C</t>
  </si>
  <si>
    <t>SUCMONBALPENSURP</t>
  </si>
  <si>
    <t>SUCMOFFBALPENSURP</t>
  </si>
  <si>
    <t>SUCMOFFBALPENSURP_C</t>
  </si>
  <si>
    <t>SUCMONBALPENSURP_C</t>
  </si>
  <si>
    <t>SUCMUSDEXRATE</t>
  </si>
  <si>
    <t>SUCMLONGOTHERIP</t>
  </si>
  <si>
    <t>SUCMFORCURRIRR1</t>
  </si>
  <si>
    <t>SUCMFORCURRIRR2</t>
  </si>
  <si>
    <t>SUCMFORCURRIRR3</t>
  </si>
  <si>
    <t>SUCMFORCURRIRR4</t>
  </si>
  <si>
    <t>SUCMFORCURRIRR5</t>
  </si>
  <si>
    <t>SUCMFORCURRIRR6</t>
  </si>
  <si>
    <t>SUCMFORCURRIRR7</t>
  </si>
  <si>
    <t>SUCMFORCURRIRR8</t>
  </si>
  <si>
    <t>SUCMFORCURRIRR9</t>
  </si>
  <si>
    <t>SUCMFORCURRIRR10</t>
  </si>
  <si>
    <t>SUCMFORCURRIRR11</t>
  </si>
  <si>
    <t>SUCMFORCURRIRR12</t>
  </si>
  <si>
    <t>SUCMFORCURRIRR13</t>
  </si>
  <si>
    <t>SUCMFORCURRIRR14</t>
  </si>
  <si>
    <t>SUCMFORCURRIRR15</t>
  </si>
  <si>
    <t>SUCMFORCURRIRR16</t>
  </si>
  <si>
    <t>SUCMFORCURRIRR17</t>
  </si>
  <si>
    <t>SUCMFORCURRIRR18</t>
  </si>
  <si>
    <t>SUCMFORCURRIRR19</t>
  </si>
  <si>
    <t>SUCMFORCURRIRR20</t>
  </si>
  <si>
    <t>SUCMFORCURRIRR21</t>
  </si>
  <si>
    <t>SUCMFORCURRIRR22</t>
  </si>
  <si>
    <t>SUCMFORCURRIRR23</t>
  </si>
  <si>
    <t>SUCMFORCURRIRR24</t>
  </si>
  <si>
    <t>SUCMFORCURRIRR25</t>
  </si>
  <si>
    <t>SUCMFORCURRIRR26</t>
  </si>
  <si>
    <t>SUCMFORCURRIRR27</t>
  </si>
  <si>
    <t>SUCMFORCURRIRR28</t>
  </si>
  <si>
    <t>SUCMFORCURRIRR29</t>
  </si>
  <si>
    <t>SUCMFORCURRIRR30</t>
  </si>
  <si>
    <t>SUCMFORCURRIRR31</t>
  </si>
  <si>
    <t>SUCMFORCURRIRR32</t>
  </si>
  <si>
    <t>SUCMFORCURRIRR33</t>
  </si>
  <si>
    <t>SUCMFORCURRIRR34</t>
  </si>
  <si>
    <t>SUCMFORCURRIRR35</t>
  </si>
  <si>
    <t>SUCMFORCURRDURMIS1</t>
  </si>
  <si>
    <t>SUCMFORCURRDURMIS2</t>
  </si>
  <si>
    <t>SUCMFORCURRDURMIS3</t>
  </si>
  <si>
    <t>SUCMFORCURRDURMIS4</t>
  </si>
  <si>
    <t>SUCMFORCURRDURMIS5</t>
  </si>
  <si>
    <t>SUCMFORCURRDURMIS6</t>
  </si>
  <si>
    <t>SUCMFORCURRDURMIS7</t>
  </si>
  <si>
    <t>SUCMFORCURRDURMIS8</t>
  </si>
  <si>
    <t>SUCMFORCURRDURMIS9</t>
  </si>
  <si>
    <t>SUCMFORCURRDURMIS10</t>
  </si>
  <si>
    <t>SUCMFORCURRDURMIS11</t>
  </si>
  <si>
    <t>SUCMFORCURRDURMIS12</t>
  </si>
  <si>
    <t>SUCMFORCURRDURMIS13</t>
  </si>
  <si>
    <t>SUCMFORCURRDURMIS14</t>
  </si>
  <si>
    <t>SUCMFORCURRDURMIS15</t>
  </si>
  <si>
    <t>SUCMFORCURRDURMIS16</t>
  </si>
  <si>
    <t>SUCMFORCURRDURMIS17</t>
  </si>
  <si>
    <t>SUCMFORCURRDURMIS18</t>
  </si>
  <si>
    <t>SUCMFORCURRDURMIS19</t>
  </si>
  <si>
    <t>SUCMFORCURRDURMIS20</t>
  </si>
  <si>
    <t>SUCMFORCURRDURMIS21</t>
  </si>
  <si>
    <t>SUCMFORCURRDURMIS22</t>
  </si>
  <si>
    <t>SUCMFORCURRDURMIS23</t>
  </si>
  <si>
    <t>SUCMFORCURRDURMIS24</t>
  </si>
  <si>
    <t>SUCMFORCURRDURMIS25</t>
  </si>
  <si>
    <t>SUCMFORCURRDURMIS26</t>
  </si>
  <si>
    <t>SUCMFORCURRDURMIS27</t>
  </si>
  <si>
    <t>SUCMFORCURRDURMIS28</t>
  </si>
  <si>
    <t>SUCMFORCURRDURMIS29</t>
  </si>
  <si>
    <t>SUCMFORCURRDURMIS30</t>
  </si>
  <si>
    <t>SUCMFORCURRDURMIS31</t>
  </si>
  <si>
    <t>SUCMFORCURRDURMIS32</t>
  </si>
  <si>
    <t>SUCMFORCURRDURMIS33</t>
  </si>
  <si>
    <t>SUCMFORCURRDURMIS34</t>
  </si>
  <si>
    <t>SUCMFORCURRDURMIS35</t>
  </si>
  <si>
    <t>SUCMAIREGSOLVRATIO</t>
  </si>
  <si>
    <t>SUCMAINONLIFEDAC</t>
  </si>
  <si>
    <t>SUCMAINETUPR</t>
  </si>
  <si>
    <t>SUCMAIASOF</t>
  </si>
  <si>
    <t>ADJICMERGNFC1</t>
  </si>
  <si>
    <t>ADJICMERGNFC2</t>
  </si>
  <si>
    <t>ADJICMERGNFC3</t>
  </si>
  <si>
    <t>ADJICMERGNFC4</t>
  </si>
  <si>
    <t>ADJICMERGNFC5</t>
  </si>
  <si>
    <t>ADJICMERGNFC6</t>
  </si>
  <si>
    <t>ADJICMERGNFC7</t>
  </si>
  <si>
    <t>ADJICMERGNFC8</t>
  </si>
  <si>
    <t>ADJICMERGNFC9</t>
  </si>
  <si>
    <t>ADJICMERGNFC10</t>
  </si>
  <si>
    <t>ADJICMERGFIN1</t>
  </si>
  <si>
    <t>ADJICMERGFIN2</t>
  </si>
  <si>
    <t>ADJICMERGFIN3</t>
  </si>
  <si>
    <t>ADJICMERGFIN4</t>
  </si>
  <si>
    <t>ADJICMERGFIN5</t>
  </si>
  <si>
    <t>ADJICMERGFIN6</t>
  </si>
  <si>
    <t>ADJICMERGFIN7</t>
  </si>
  <si>
    <t>ADJICMERGFIN8</t>
  </si>
  <si>
    <t>ADJICMERGFIN9</t>
  </si>
  <si>
    <t>ADJICMERGFIN10</t>
  </si>
  <si>
    <t>ADJICMERGSOV1</t>
  </si>
  <si>
    <t>ADJICMERGSOV2</t>
  </si>
  <si>
    <t>ADJICMERGSOV3</t>
  </si>
  <si>
    <t>ADJICMERGSOV4</t>
  </si>
  <si>
    <t>ADJICMERGSOV5</t>
  </si>
  <si>
    <t>ADJICMERGSOV6</t>
  </si>
  <si>
    <t>ADJICMERGSOV7</t>
  </si>
  <si>
    <t>ADJICMERGSOV8</t>
  </si>
  <si>
    <t>ADJICMERGSOV9</t>
  </si>
  <si>
    <t>ADJICMERGSOV10</t>
  </si>
  <si>
    <t>ADJICMERGSF1</t>
  </si>
  <si>
    <t>ADJICMERGSF2</t>
  </si>
  <si>
    <t>ADJICMERGSF3</t>
  </si>
  <si>
    <t>ADJICMERGSF4</t>
  </si>
  <si>
    <t>ADJICMERGSF5</t>
  </si>
  <si>
    <t>ADJICMERGSF6</t>
  </si>
  <si>
    <t>ADJICMERGSF7</t>
  </si>
  <si>
    <t>ADJICMERGSF8</t>
  </si>
  <si>
    <t>ADJICMERGSF9</t>
  </si>
  <si>
    <t>ADJICMERGSF10</t>
  </si>
  <si>
    <t>SUCMFORCURRPROD</t>
  </si>
  <si>
    <t>SUCMPRRSKTOT</t>
  </si>
  <si>
    <t>SUCMPRNATCAT</t>
  </si>
  <si>
    <t>SUCMRESRSKTOT</t>
  </si>
  <si>
    <t>ADJCAPCOMCAT1</t>
  </si>
  <si>
    <t>ADJCAPCOMCAT2</t>
  </si>
  <si>
    <t>ADJCAPCOMCAT3</t>
  </si>
  <si>
    <t>ADJCAPCOMCAT4</t>
  </si>
  <si>
    <t>ADJCAPCOMCAT5</t>
  </si>
  <si>
    <t>ADJCAPCOMCAT6</t>
  </si>
  <si>
    <t>ADJCAPCOMCAT7</t>
  </si>
  <si>
    <t>ADJCAPCOMCAT8</t>
  </si>
  <si>
    <t>ADJCAPCOMCAT9</t>
  </si>
  <si>
    <t>ADJCAPCOMCAT10</t>
  </si>
  <si>
    <t>ADJCAPCOMCAT11</t>
  </si>
  <si>
    <t>ADJCAPCOMCAT12</t>
  </si>
  <si>
    <t>ADJCAPCOMCAT13</t>
  </si>
  <si>
    <t>ADJCAPCOMCAT14</t>
  </si>
  <si>
    <t>ADJCAPCOMCAT15</t>
  </si>
  <si>
    <t>ADJCAPCOMCAT16</t>
  </si>
  <si>
    <t>ADJCAPCOMCAT17</t>
  </si>
  <si>
    <t>ADJCAPCOMCAT18</t>
  </si>
  <si>
    <t>ADJCAPCOMCAT19</t>
  </si>
  <si>
    <t>ADJCAPCOMCAT20</t>
  </si>
  <si>
    <t>ADJCAPCOMEXPAMT1</t>
  </si>
  <si>
    <t>ADJCAPCOMEXPAMT2</t>
  </si>
  <si>
    <t>ADJCAPCOMEXPAMT3</t>
  </si>
  <si>
    <t>ADJCAPCOMEXPAMT4</t>
  </si>
  <si>
    <t>ADJCAPCOMEXPAMT5</t>
  </si>
  <si>
    <t>ADJCAPCOMEXPAMT6</t>
  </si>
  <si>
    <t>ADJCAPCOMEXPAMT7</t>
  </si>
  <si>
    <t>ADJCAPCOMEXPAMT8</t>
  </si>
  <si>
    <t>ADJCAPCOMEXPAMT9</t>
  </si>
  <si>
    <t>ADJCAPCOMEXPAMT10</t>
  </si>
  <si>
    <t>ADJCAPCOMEXPAMT11</t>
  </si>
  <si>
    <t>ADJCAPCOMEXPAMT12</t>
  </si>
  <si>
    <t>ADJCAPCOMEXPAMT13</t>
  </si>
  <si>
    <t>ADJCAPCOMEXPAMT14</t>
  </si>
  <si>
    <t>ADJCAPCOMEXPAMT15</t>
  </si>
  <si>
    <t>ADJCAPCOMEXPAMT16</t>
  </si>
  <si>
    <t>ADJCAPCOMEXPAMT17</t>
  </si>
  <si>
    <t>ADJCAPCOMEXPAMT18</t>
  </si>
  <si>
    <t>ADJCAPCOMEXPAMT19</t>
  </si>
  <si>
    <t>ADJCAPCOMEXPAMT20</t>
  </si>
  <si>
    <t>ADJCAPCOM9999_1</t>
  </si>
  <si>
    <t>ADJCAPCOM9999_2</t>
  </si>
  <si>
    <t>ADJCAPCOM9999_3</t>
  </si>
  <si>
    <t>ADJCAPCOM9999_4</t>
  </si>
  <si>
    <t>ADJCAPCOM9999_5</t>
  </si>
  <si>
    <t>ADJCAPCOM9999_6</t>
  </si>
  <si>
    <t>ADJCAPCOM9999_7</t>
  </si>
  <si>
    <t>ADJCAPCOM9999_8</t>
  </si>
  <si>
    <t>ADJCAPCOM9999_9</t>
  </si>
  <si>
    <t>ADJCAPCOM9999_10</t>
  </si>
  <si>
    <t>ADJCAPCOM9999_11</t>
  </si>
  <si>
    <t>ADJCAPCOM9999_12</t>
  </si>
  <si>
    <t>ADJCAPCOM9999_13</t>
  </si>
  <si>
    <t>ADJCAPCOM9999_14</t>
  </si>
  <si>
    <t>ADJCAPCOM9999_15</t>
  </si>
  <si>
    <t>ADJCAPCOM9999_16</t>
  </si>
  <si>
    <t>ADJCAPCOM9999_17</t>
  </si>
  <si>
    <t>ADJCAPCOM9999_18</t>
  </si>
  <si>
    <t>ADJCAPCOM9999_19</t>
  </si>
  <si>
    <t>ADJCAPCOM9999_20</t>
  </si>
  <si>
    <t>ADJCAPCOM9995_1</t>
  </si>
  <si>
    <t>ADJCAPCOM9995_2</t>
  </si>
  <si>
    <t>ADJCAPCOM9995_3</t>
  </si>
  <si>
    <t>ADJCAPCOM9995_4</t>
  </si>
  <si>
    <t>ADJCAPCOM9995_5</t>
  </si>
  <si>
    <t>ADJCAPCOM9995_6</t>
  </si>
  <si>
    <t>ADJCAPCOM9995_7</t>
  </si>
  <si>
    <t>ADJCAPCOM9995_8</t>
  </si>
  <si>
    <t>ADJCAPCOM9995_9</t>
  </si>
  <si>
    <t>ADJCAPCOM9995_10</t>
  </si>
  <si>
    <t>ADJCAPCOM9995_11</t>
  </si>
  <si>
    <t>ADJCAPCOM9995_12</t>
  </si>
  <si>
    <t>ADJCAPCOM9995_13</t>
  </si>
  <si>
    <t>ADJCAPCOM9995_14</t>
  </si>
  <si>
    <t>ADJCAPCOM9995_15</t>
  </si>
  <si>
    <t>ADJCAPCOM9995_16</t>
  </si>
  <si>
    <t>ADJCAPCOM9995_17</t>
  </si>
  <si>
    <t>ADJCAPCOM9995_18</t>
  </si>
  <si>
    <t>ADJCAPCOM9995_19</t>
  </si>
  <si>
    <t>ADJCAPCOM9995_20</t>
  </si>
  <si>
    <t>ADJCAPCOM9980_1</t>
  </si>
  <si>
    <t>ADJCAPCOM9980_2</t>
  </si>
  <si>
    <t>ADJCAPCOM9980_3</t>
  </si>
  <si>
    <t>ADJCAPCOM9980_4</t>
  </si>
  <si>
    <t>ADJCAPCOM9980_5</t>
  </si>
  <si>
    <t>ADJCAPCOM9980_6</t>
  </si>
  <si>
    <t>ADJCAPCOM9980_7</t>
  </si>
  <si>
    <t>ADJCAPCOM9980_8</t>
  </si>
  <si>
    <t>ADJCAPCOM9980_9</t>
  </si>
  <si>
    <t>ADJCAPCOM9980_10</t>
  </si>
  <si>
    <t>ADJCAPCOM9980_11</t>
  </si>
  <si>
    <t>ADJCAPCOM9980_12</t>
  </si>
  <si>
    <t>ADJCAPCOM9980_13</t>
  </si>
  <si>
    <t>ADJCAPCOM9980_14</t>
  </si>
  <si>
    <t>ADJCAPCOM9980_15</t>
  </si>
  <si>
    <t>ADJCAPCOM9980_16</t>
  </si>
  <si>
    <t>ADJCAPCOM9980_17</t>
  </si>
  <si>
    <t>ADJCAPCOM9980_18</t>
  </si>
  <si>
    <t>ADJCAPCOM9980_19</t>
  </si>
  <si>
    <t>ADJCAPCOM9980_20</t>
  </si>
  <si>
    <t>ADJCAPCOM9950_1</t>
  </si>
  <si>
    <t>ADJCAPCOM9950_2</t>
  </si>
  <si>
    <t>ADJCAPCOM9950_3</t>
  </si>
  <si>
    <t>ADJCAPCOM9950_4</t>
  </si>
  <si>
    <t>ADJCAPCOM9950_5</t>
  </si>
  <si>
    <t>ADJCAPCOM9950_6</t>
  </si>
  <si>
    <t>ADJCAPCOM9950_7</t>
  </si>
  <si>
    <t>ADJCAPCOM9950_9</t>
  </si>
  <si>
    <t>ADJCAPCOM9950_10</t>
  </si>
  <si>
    <t>ADJCAPCOM9950_11</t>
  </si>
  <si>
    <t>ADJCAPCOM9950_12</t>
  </si>
  <si>
    <t>ADJCAPCOM9950_13</t>
  </si>
  <si>
    <t>ADJCAPCOM9950_14</t>
  </si>
  <si>
    <t>ADJCAPCOM9950_15</t>
  </si>
  <si>
    <t>ADJCAPCOM9950_16</t>
  </si>
  <si>
    <t>ADJCAPCOM9950_17</t>
  </si>
  <si>
    <t>ADJCAPCOM9950_19</t>
  </si>
  <si>
    <t>ADJCAPCOM9950_20</t>
  </si>
  <si>
    <t>ADJCAPCOMDESC1</t>
  </si>
  <si>
    <t>ADJCAPCOMDESC2</t>
  </si>
  <si>
    <t>ADJCAPCOMDESC3</t>
  </si>
  <si>
    <t>ADJCAPCOMDESC4</t>
  </si>
  <si>
    <t>ADJCAPCOMDESC5</t>
  </si>
  <si>
    <t>ADJCAPCOMDESC6</t>
  </si>
  <si>
    <t>ADJCAPCOMDESC7</t>
  </si>
  <si>
    <t>ADJCAPCOMDESC8</t>
  </si>
  <si>
    <t>ADJCAPCOMDESC9</t>
  </si>
  <si>
    <t>ADJCAPCOMDESC10</t>
  </si>
  <si>
    <t>ADJCAPCOMDESC11</t>
  </si>
  <si>
    <t>ADJCAPCOMDESC12</t>
  </si>
  <si>
    <t>ADJCAPCOMDESC13</t>
  </si>
  <si>
    <t>ADJCAPCOMDESC14</t>
  </si>
  <si>
    <t>ADJCAPCOMDESC15</t>
  </si>
  <si>
    <t>ADJCAPCOMDESC16</t>
  </si>
  <si>
    <t>ADJCAPCOMDESC17</t>
  </si>
  <si>
    <t>ADJCAPCOMDESC18</t>
  </si>
  <si>
    <t>ADJCAPCOMDESC19</t>
  </si>
  <si>
    <t>ADJCAPCOMDESC20</t>
  </si>
  <si>
    <t>ADJTACACECAT1</t>
  </si>
  <si>
    <t>ADJTACACECAT2</t>
  </si>
  <si>
    <t>ADJTACACECAT3</t>
  </si>
  <si>
    <t>ADJTACACECAT4</t>
  </si>
  <si>
    <t>ADJTACACECAT5</t>
  </si>
  <si>
    <t>ADJTACACECAT6</t>
  </si>
  <si>
    <t>ADJTACACECAT7</t>
  </si>
  <si>
    <t>ADJTACACECAT8</t>
  </si>
  <si>
    <t>ADJTACACECAT9</t>
  </si>
  <si>
    <t>ADJTACACECAT10</t>
  </si>
  <si>
    <t>ADJTACACECAT11</t>
  </si>
  <si>
    <t>ADJTACACECAT12</t>
  </si>
  <si>
    <t>ADJTACACECAT13</t>
  </si>
  <si>
    <t>ADJTACACECAT14</t>
  </si>
  <si>
    <t>ADJTACACECAT15</t>
  </si>
  <si>
    <t>ADJTACACECAT16</t>
  </si>
  <si>
    <t>ADJTACACECAT17</t>
  </si>
  <si>
    <t>ADJTACACECAT18</t>
  </si>
  <si>
    <t>ADJTACACECAT19</t>
  </si>
  <si>
    <t>ADJTACACECAT20</t>
  </si>
  <si>
    <t>ADJTACACEAMT1</t>
  </si>
  <si>
    <t>ADJTACACEAMT2</t>
  </si>
  <si>
    <t>ADJTACACEAMT3</t>
  </si>
  <si>
    <t>ADJTACACEAMT4</t>
  </si>
  <si>
    <t>ADJTACACEAMT5</t>
  </si>
  <si>
    <t>ADJTACACEAMT6</t>
  </si>
  <si>
    <t>ADJTACACEAMT7</t>
  </si>
  <si>
    <t>ADJTACACEAMT8</t>
  </si>
  <si>
    <t>ADJTACACEAMT9</t>
  </si>
  <si>
    <t>ADJTACACEAMT10</t>
  </si>
  <si>
    <t>ADJTACACEAMT11</t>
  </si>
  <si>
    <t>ADJTACACEAMT12</t>
  </si>
  <si>
    <t>ADJTACACEAMT13</t>
  </si>
  <si>
    <t>ADJTACACEAMT14</t>
  </si>
  <si>
    <t>ADJTACACEAMT15</t>
  </si>
  <si>
    <t>ADJTACACEAMT16</t>
  </si>
  <si>
    <t>ADJTACACEAMT17</t>
  </si>
  <si>
    <t>ADJTACACEAMT18</t>
  </si>
  <si>
    <t>ADJTACACEAMT19</t>
  </si>
  <si>
    <t>ADJTACACEAMT20</t>
  </si>
  <si>
    <t>ADJTACACEDESC1</t>
  </si>
  <si>
    <t>ADJTACACEDESC2</t>
  </si>
  <si>
    <t>ADJTACACEDESC3</t>
  </si>
  <si>
    <t>ADJTACACEDESC4</t>
  </si>
  <si>
    <t>ADJTACACEDESC5</t>
  </si>
  <si>
    <t>ADJTACACEDESC6</t>
  </si>
  <si>
    <t>ADJTACACEDESC7</t>
  </si>
  <si>
    <t>ADJTACACEDESC8</t>
  </si>
  <si>
    <t>ADJTACACEDESC9</t>
  </si>
  <si>
    <t>ADJTACACEDESC10</t>
  </si>
  <si>
    <t>ADJTACACEDESC11</t>
  </si>
  <si>
    <t>ADJTACACEDESC12</t>
  </si>
  <si>
    <t>ADJTACACEDESC13</t>
  </si>
  <si>
    <t>ADJTACACEDESC14</t>
  </si>
  <si>
    <t>ADJTACACEDESC15</t>
  </si>
  <si>
    <t>ADJTACACEDESC16</t>
  </si>
  <si>
    <t>ADJTACACEDESC17</t>
  </si>
  <si>
    <t>ADJTACACEDESC18</t>
  </si>
  <si>
    <t>ADJTACACEDESC19</t>
  </si>
  <si>
    <t>ADJTACACEDESC20</t>
  </si>
  <si>
    <t>ADJCAPCOM9950_8</t>
  </si>
  <si>
    <t>ADJCAPCOM9950_18</t>
  </si>
  <si>
    <t>SUCMIRRMODDUR</t>
  </si>
  <si>
    <t>SUCMONEROUSTOT</t>
  </si>
  <si>
    <t>get_irsdb_data_cm</t>
  </si>
  <si>
    <t>get_entity_list_cmp</t>
  </si>
  <si>
    <t>Core Id</t>
  </si>
  <si>
    <t>IRSDB description</t>
  </si>
  <si>
    <t>Exchange Rates</t>
  </si>
  <si>
    <t>get_fx_rates_latest</t>
  </si>
  <si>
    <t>fx rates url</t>
  </si>
  <si>
    <t>exchange rates service</t>
  </si>
  <si>
    <t>Primary analyst</t>
  </si>
  <si>
    <t>exchange rates service2</t>
  </si>
  <si>
    <t>exchange rates service3</t>
  </si>
  <si>
    <t>get_fx_rates_year_avg</t>
  </si>
  <si>
    <t>fx rates url2</t>
  </si>
  <si>
    <t>fx rates url3</t>
  </si>
  <si>
    <t>Year / Date</t>
  </si>
  <si>
    <t>Rate</t>
  </si>
  <si>
    <t># Data points</t>
  </si>
  <si>
    <t>Start date</t>
  </si>
  <si>
    <t>End Date</t>
  </si>
  <si>
    <t>As of input year-end date</t>
  </si>
  <si>
    <t>As of input reporting year-end</t>
  </si>
  <si>
    <t>Reporting year average</t>
  </si>
  <si>
    <t>get_fx_rates</t>
  </si>
  <si>
    <t>From input sheet</t>
  </si>
  <si>
    <t>SUCMPRRSK_INPUT_MOT_C</t>
  </si>
  <si>
    <t>SUCMPRRSK_LAM_FID_C</t>
  </si>
  <si>
    <t>SUCMPRRSK_LAM_LIA_C</t>
  </si>
  <si>
    <t>SUCMPRRSK_AP_AAH_C</t>
  </si>
  <si>
    <t>SUCMPRRSK_AP_CMPR_C</t>
  </si>
  <si>
    <t>SUCMPRRSK_CN_LEGEX_C</t>
  </si>
  <si>
    <t>SUCMPRRSK_CN_CRD_C</t>
  </si>
  <si>
    <t>SUCMPRRSK_AP_MAVC_C</t>
  </si>
  <si>
    <t>SUCMPRRSK_CN_ATOTH_C</t>
  </si>
  <si>
    <t>SUCMPRRSK_INPUT_PROP_C</t>
  </si>
  <si>
    <t>SUCMPRRSK_LAM_HMEDEX_C</t>
  </si>
  <si>
    <t>SUCMPRRSK_LAM_HMP_C</t>
  </si>
  <si>
    <t>SUCMPRRSK_AP_MAVH_C</t>
  </si>
  <si>
    <t>SUCMPRRSK_AP_PALANZ_C</t>
  </si>
  <si>
    <t>SUCMPRRSK_CN_OCAH_C</t>
  </si>
  <si>
    <t>SUCMPRRSK_CN_SUR_C</t>
  </si>
  <si>
    <t>SUCMPRRSK_CN_HAIL_C</t>
  </si>
  <si>
    <t>SUCMPRRSK_LAM_CMPR_C</t>
  </si>
  <si>
    <t>SUCMPRRSK_AP_PRIND_C</t>
  </si>
  <si>
    <t>SUCMPRRSK_INPUT_MAT_C</t>
  </si>
  <si>
    <t>SUCMPRRSK_LAM_WAR_C</t>
  </si>
  <si>
    <t>SUCMPRRSK_LAM_CRD_C</t>
  </si>
  <si>
    <t>SUCMPRRSK_LAM_EMLIB_C</t>
  </si>
  <si>
    <t>SUCMPRRSK_AP_CRD_C</t>
  </si>
  <si>
    <t>SUCMPRRSK_AP_PAPL_C</t>
  </si>
  <si>
    <t>SUCMPRRSK_CN_OCM_C</t>
  </si>
  <si>
    <t>SUCMPRRSK_CN_ATPAC_C</t>
  </si>
  <si>
    <t>SUCMPRRSK_LAM_AAH_C</t>
  </si>
  <si>
    <t>SUCMPRRSK_AP_CALANZ_C</t>
  </si>
  <si>
    <t>SUCMPRRSK_CN_FID_C</t>
  </si>
  <si>
    <t>SUCMPRRSK_INPUT_HLTH_C</t>
  </si>
  <si>
    <t>SUCMPRRSK_INPUT_LIA_C</t>
  </si>
  <si>
    <t>SUCMPRRSK_LAM_TRV_C</t>
  </si>
  <si>
    <t>SUCMPRRSK_AP_OCAH_C</t>
  </si>
  <si>
    <t>SUCMPRRSK_AP_CONCR_C</t>
  </si>
  <si>
    <t>SUCMPRRSK_CN_AIR_C</t>
  </si>
  <si>
    <t>SUCMPRRSK_INPUT_SUM_C</t>
  </si>
  <si>
    <t>SUCMPRRSK_INPUT_C</t>
  </si>
  <si>
    <t>SUCMPRRSK_LAM_SUR_C</t>
  </si>
  <si>
    <t>SUCMPRRSK_LAM_PRIND_C</t>
  </si>
  <si>
    <t>SUCMPRRSK_AP_HLTH_C</t>
  </si>
  <si>
    <t>SUCMPRRSK_AP_HMP_C</t>
  </si>
  <si>
    <t>SUCMPRRSK_CN_OAPR_C</t>
  </si>
  <si>
    <t>SUCMPRRSK_CN_CRPR_C</t>
  </si>
  <si>
    <t>SUCMPRRSK_CN_BLM_C</t>
  </si>
  <si>
    <t>SUCMPRRSK_INPUT_FIN_C</t>
  </si>
  <si>
    <t>SUCMPRRSK_LAM_MAVC_C</t>
  </si>
  <si>
    <t>SUCMPRRSK_LAM_PLM_C</t>
  </si>
  <si>
    <t>SUCMPRRSK_AP_TRV_C</t>
  </si>
  <si>
    <t>SUCMPRRSK_AP_TPLM_C</t>
  </si>
  <si>
    <t>SUCMPRRSK_AP_LIA_C</t>
  </si>
  <si>
    <t>SUCMPRRSK_CN_ACSK_C</t>
  </si>
  <si>
    <t>SUCMPRRSK_CN_ALB_C</t>
  </si>
  <si>
    <t>SUCMPRRSK_INPUT_OTH_C</t>
  </si>
  <si>
    <t>SUCMPRRSK_LAM_OCAH_C</t>
  </si>
  <si>
    <t>SUCMPRRSK_LAM_MAVA_C</t>
  </si>
  <si>
    <t>SUCMPRRSK_LAM_MEXFR_C</t>
  </si>
  <si>
    <t>SUCMPRRSK_AP_ENG_C</t>
  </si>
  <si>
    <t>SUCMPRRSK_AP_ALB_C</t>
  </si>
  <si>
    <t>SUCMPRRSK_AP_EMLIB_C</t>
  </si>
  <si>
    <t>SUCMPRRSK_CN_TITLE_C</t>
  </si>
  <si>
    <t>SUCMPRRSK_CN_PPR_C</t>
  </si>
  <si>
    <t>SUCMPRRSK_CN_LIA_C</t>
  </si>
  <si>
    <t>SUCMPRRSK_LAM_ALB_C</t>
  </si>
  <si>
    <t>SUCMPRRSK_CN_WAR_C</t>
  </si>
  <si>
    <t>SUCMPRRSK_CN_CMPR_C</t>
  </si>
  <si>
    <t>At a return period of</t>
  </si>
  <si>
    <t>200 years</t>
  </si>
  <si>
    <t>250 years</t>
  </si>
  <si>
    <t>333 years</t>
  </si>
  <si>
    <t>500 years</t>
  </si>
  <si>
    <t xml:space="preserve">Underwriting Loss </t>
  </si>
  <si>
    <t>1-in-500 yr</t>
  </si>
  <si>
    <t>1-in-333 yr</t>
  </si>
  <si>
    <t>1-in-250 yr</t>
  </si>
  <si>
    <t>1-in-200 yr</t>
  </si>
  <si>
    <t>Recoveries</t>
  </si>
  <si>
    <t>Third party - Other CRAs</t>
  </si>
  <si>
    <t xml:space="preserve">  Unrated by S&amp;P with credit quality assessment by third party</t>
  </si>
  <si>
    <t>Regulatory Credit Measures</t>
  </si>
  <si>
    <t>Structured Finance - Senior</t>
  </si>
  <si>
    <t>Structured Finance - Mezz.</t>
  </si>
  <si>
    <t>Structured Finance - Junior</t>
  </si>
  <si>
    <t>Sovereign / Public Finance</t>
  </si>
  <si>
    <t>Supplementary health</t>
  </si>
  <si>
    <t>Motor - Japan and Taiwan</t>
  </si>
  <si>
    <t>In Step 2</t>
  </si>
  <si>
    <t>Step 2 Choices</t>
  </si>
  <si>
    <t>Applied floor</t>
  </si>
  <si>
    <t>Level of Conservatism</t>
  </si>
  <si>
    <t>Default</t>
  </si>
  <si>
    <t>Longevity Risk</t>
  </si>
  <si>
    <t>IR Bespoke Duration Mismatch</t>
  </si>
  <si>
    <t>Yes, Duration Mismatch</t>
  </si>
  <si>
    <t>Yes, NCMV</t>
  </si>
  <si>
    <t>Other health</t>
  </si>
  <si>
    <t>Reserve confidence level</t>
  </si>
  <si>
    <t>Longevity reserve confidence level</t>
  </si>
  <si>
    <t>Life - Longevity reserve confidence level</t>
  </si>
  <si>
    <t>Reduction in Charge</t>
  </si>
  <si>
    <t>70% to less than 80%</t>
  </si>
  <si>
    <t>Reserve Confidence Level</t>
  </si>
  <si>
    <t>Reduction in charge</t>
  </si>
  <si>
    <t>inp_long_reserve_cl</t>
  </si>
  <si>
    <t xml:space="preserve">       -  Pandemic reinsurance recoveries</t>
  </si>
  <si>
    <t xml:space="preserve">       -  Pandemic</t>
  </si>
  <si>
    <t xml:space="preserve">    - Natural catastrophe risk</t>
  </si>
  <si>
    <t xml:space="preserve">    - Natural catastrophe risk reinsurance recoveries</t>
  </si>
  <si>
    <t xml:space="preserve">    Minus</t>
  </si>
  <si>
    <t xml:space="preserve">    Plus</t>
  </si>
  <si>
    <t>Floor using 1 year duration mismatch</t>
  </si>
  <si>
    <t>Company-specific Net Change in Market Value (NCMV)</t>
  </si>
  <si>
    <t>Charge Multiplier</t>
  </si>
  <si>
    <t>Nat Cat Reinsurance Recoveries</t>
  </si>
  <si>
    <t>Pandemic Reinsurance Recoveries</t>
  </si>
  <si>
    <t xml:space="preserve">        - Natural catastrophe risk</t>
  </si>
  <si>
    <t xml:space="preserve">        - Natural catastrophe risk reinsurance recoveries</t>
  </si>
  <si>
    <t>inp_erg_adj_sf_mezz</t>
  </si>
  <si>
    <t>inp_erg_adj_sf_junior</t>
  </si>
  <si>
    <t>inp_erg_adj_sf_senior</t>
  </si>
  <si>
    <t>Marine protection &amp; indemnity</t>
  </si>
  <si>
    <t>Total undiversified charges</t>
  </si>
  <si>
    <t>Diversified charges (excl financials)</t>
  </si>
  <si>
    <t>Haircut on NOHC cash and invested assets (%)</t>
  </si>
  <si>
    <t xml:space="preserve">  -  Haircut on NOHC cash and invested asset</t>
  </si>
  <si>
    <t>90% or above</t>
  </si>
  <si>
    <t>80% to less than 90%</t>
  </si>
  <si>
    <t>Long-term health business with aging reserves</t>
  </si>
  <si>
    <t xml:space="preserve">   -  Health with aging reserves</t>
  </si>
  <si>
    <t>Health with aging reserves</t>
  </si>
  <si>
    <t>Net aging reserves</t>
  </si>
  <si>
    <t xml:space="preserve"> Health with aging reserves</t>
  </si>
  <si>
    <t xml:space="preserve">7. Unrealized gains and losses on investments </t>
  </si>
  <si>
    <t>Special property (fire, allied lines, inland marine, earthquake, burglary and theft)</t>
  </si>
  <si>
    <t>Accident &amp; sickness (excluding supplementary health, disability income)</t>
  </si>
  <si>
    <t>Unrealized gains/(losses) not in reported equity (post-tax)</t>
  </si>
  <si>
    <t>Unrealised gains (URG) on investments backing life participating business</t>
  </si>
  <si>
    <t>Can we determine a company-specific duration mismatch or NCMV?</t>
  </si>
  <si>
    <t>Company-specific duration mismatch value (years)</t>
  </si>
  <si>
    <t>Duration of the excess assets (years)</t>
  </si>
  <si>
    <t>Step 1 floor</t>
  </si>
  <si>
    <t>Risk Charge</t>
  </si>
  <si>
    <t>In Step 1</t>
  </si>
  <si>
    <t>In Step 1a</t>
  </si>
  <si>
    <t>In Step 1b</t>
  </si>
  <si>
    <t>12. Policyholder capital available to absorb losses</t>
  </si>
  <si>
    <t>13. Unrealized gains on investments backing participating life business</t>
  </si>
  <si>
    <t>Active Life Reserves</t>
  </si>
  <si>
    <t>For Reinsurer Unrated by S&amp;P</t>
  </si>
  <si>
    <t>Yield Stress Assumptions (Basis Points)</t>
  </si>
  <si>
    <t>Long-Term Health Business With Aging Reserves</t>
  </si>
  <si>
    <t>Bond &amp; Loans Duration (yrs)</t>
  </si>
  <si>
    <t>Hospital indemnity, accidental death &amp; dismemberment, specified disease, and other limited benefits</t>
  </si>
  <si>
    <t>Minimum Haircut on NOHC assets</t>
  </si>
  <si>
    <t>Amount included in no equity content that is eligible as debt-funded capital</t>
  </si>
  <si>
    <t>Is debt-funded capital eligible in TAC?</t>
  </si>
  <si>
    <t>Debt not eligible as debt-funded capital</t>
  </si>
  <si>
    <t>Debt-funded capital adjustments</t>
  </si>
  <si>
    <t>Hybrid/debt-funded capital adjustments</t>
  </si>
  <si>
    <t>summary_review_type</t>
  </si>
  <si>
    <t>summary_region</t>
  </si>
  <si>
    <t>summary_sector</t>
  </si>
  <si>
    <t>summary_reporting_year</t>
  </si>
  <si>
    <t>tac_urg_on_invest_for_life</t>
  </si>
  <si>
    <t>tac_cash_and_asset_nohc_amt</t>
  </si>
  <si>
    <t>tac_cash_and_asset_nohc_haircut</t>
  </si>
  <si>
    <t>SUCMRUR4SFMERG1_LESS1</t>
  </si>
  <si>
    <t>SUCMRUR4SFMERG2_LESS1</t>
  </si>
  <si>
    <t>SUCMRUR4SFMERG3_LESS1</t>
  </si>
  <si>
    <t>SUCMRUR4SFMERG4_LESS1</t>
  </si>
  <si>
    <t>SUCMRUR4SFMERG5_LESS1</t>
  </si>
  <si>
    <t>SUCMRUR4SFMERG6_LESS1</t>
  </si>
  <si>
    <t>SUCMRUR4SFMERG7_LESS1</t>
  </si>
  <si>
    <t>SUCMRUR4SFMERG8_LESS1</t>
  </si>
  <si>
    <t>SUCMRUR4SFMERG9_LESS1</t>
  </si>
  <si>
    <t>SUCMRUR4SFMERG10_LESS1</t>
  </si>
  <si>
    <t>SUCMRUR4SFMERGNA_LESS1</t>
  </si>
  <si>
    <t>SUCMRUR4SFMERG1_1TO5</t>
  </si>
  <si>
    <t>SUCMRUR4SFMERG2_1TO5</t>
  </si>
  <si>
    <t>SUCMRUR4SFMERG3_1TO5</t>
  </si>
  <si>
    <t>SUCMRUR4SFMERG4_1TO5</t>
  </si>
  <si>
    <t>SUCMRUR4SFMERG5_1TO5</t>
  </si>
  <si>
    <t>SUCMRUR4SFMERG6_1TO5</t>
  </si>
  <si>
    <t>SUCMRUR4SFMERG7_1TO5</t>
  </si>
  <si>
    <t>SUCMRUR4SFMERG8_1TO5</t>
  </si>
  <si>
    <t>SUCMRUR4SFMERG9_1TO5</t>
  </si>
  <si>
    <t>SUCMRUR4SFMERG10_1TO5</t>
  </si>
  <si>
    <t>SUCMRUR4SFMERGNA_1TO5</t>
  </si>
  <si>
    <t>SUCMRUR4SFMERG1_5TO10</t>
  </si>
  <si>
    <t>SUCMRUR4SFMERG2_5TO10</t>
  </si>
  <si>
    <t>SUCMRUR4SFMERG3_5TO10</t>
  </si>
  <si>
    <t>SUCMRUR4SFMERG4_5TO10</t>
  </si>
  <si>
    <t>SUCMRUR4SFMERG5_5TO10</t>
  </si>
  <si>
    <t>SUCMRUR4SFMERG6_5TO10</t>
  </si>
  <si>
    <t>SUCMRUR4SFMERG7_5TO10</t>
  </si>
  <si>
    <t>SUCMRUR4SFMERG8_5TO10</t>
  </si>
  <si>
    <t>SUCMRUR4SFMERG9_5TO10</t>
  </si>
  <si>
    <t>SUCMRUR4SFMERG10_5TO10</t>
  </si>
  <si>
    <t>SUCMRUR4SFMERGNA_5TO10</t>
  </si>
  <si>
    <t>SUCMRUR4SFMERG1_10TO20</t>
  </si>
  <si>
    <t>SUCMRUR4SFMERG2_10TO20</t>
  </si>
  <si>
    <t>SUCMRUR4SFMERG3_10TO20</t>
  </si>
  <si>
    <t>SUCMRUR4SFMERG4_10TO20</t>
  </si>
  <si>
    <t>SUCMRUR4SFMERG5_10TO20</t>
  </si>
  <si>
    <t>SUCMRUR4SFMERG6_10TO20</t>
  </si>
  <si>
    <t>SUCMRUR4SFMERG7_10TO20</t>
  </si>
  <si>
    <t>SUCMRUR4SFMERG8_10TO20</t>
  </si>
  <si>
    <t>SUCMRUR4SFMERG9_10TO20</t>
  </si>
  <si>
    <t>SUCMRUR4SFMERG10_10TO20</t>
  </si>
  <si>
    <t>SUCMRUR4SFMERGNA_10TO20</t>
  </si>
  <si>
    <t>SUCMRUR4SFMERG1_GRTR20</t>
  </si>
  <si>
    <t>SUCMRUR4SFMERG2_GRTR20</t>
  </si>
  <si>
    <t>SUCMRUR4SFMERG3_GRTR20</t>
  </si>
  <si>
    <t>SUCMRUR4SFMERG4_GRTR20</t>
  </si>
  <si>
    <t>SUCMRUR4SFMERG5_GRTR20</t>
  </si>
  <si>
    <t>SUCMRUR4SFMERG6_GRTR20</t>
  </si>
  <si>
    <t>SUCMRUR4SFMERG7_GRTR20</t>
  </si>
  <si>
    <t>SUCMRUR4SFMERG8_GRTR20</t>
  </si>
  <si>
    <t>SUCMRUR4SFMERG9_GRTR20</t>
  </si>
  <si>
    <t>SUCMRUR4SFMERG10_GRTR20</t>
  </si>
  <si>
    <t>SUCMRUR4SFMERGNA_GRTR20</t>
  </si>
  <si>
    <t>SUCMRUR4SFMERG_C</t>
  </si>
  <si>
    <t>SUCMRUR4SFJERG1_LESS1</t>
  </si>
  <si>
    <t>SUCMRUR4SFJERG2_LESS1</t>
  </si>
  <si>
    <t>SUCMRUR4SFJERG3_LESS1</t>
  </si>
  <si>
    <t>SUCMRUR4SFJERG4_LESS1</t>
  </si>
  <si>
    <t>SUCMRUR4SFJERG5_LESS1</t>
  </si>
  <si>
    <t>SUCMRUR4SFJERG6_LESS1</t>
  </si>
  <si>
    <t>SUCMRUR4SFJERG7_LESS1</t>
  </si>
  <si>
    <t>SUCMRUR4SFJERG8_LESS1</t>
  </si>
  <si>
    <t>SUCMRUR4SFJERG9_LESS1</t>
  </si>
  <si>
    <t>SUCMRUR4SFJERG10_LESS1</t>
  </si>
  <si>
    <t>SUCMRUR4SFJERGNA_LESS1</t>
  </si>
  <si>
    <t>SUCMRUR4SFJERG1_1TO5</t>
  </si>
  <si>
    <t>SUCMRUR4SFJERG2_1TO5</t>
  </si>
  <si>
    <t>SUCMRUR4SFJERG3_1TO5</t>
  </si>
  <si>
    <t>SUCMRUR4SFJERG4_1TO5</t>
  </si>
  <si>
    <t>SUCMRUR4SFJERG5_1TO5</t>
  </si>
  <si>
    <t>SUCMRUR4SFJERG6_1TO5</t>
  </si>
  <si>
    <t>SUCMRUR4SFJERG7_1TO5</t>
  </si>
  <si>
    <t>SUCMRUR4SFJERG8_1TO5</t>
  </si>
  <si>
    <t>SUCMRUR4SFJERG9_1TO5</t>
  </si>
  <si>
    <t>SUCMRUR4SFJERG10_1TO5</t>
  </si>
  <si>
    <t>SUCMRUR4SFJERGNA_1TO5</t>
  </si>
  <si>
    <t>SUCMRUR4SFJERG1_5TO10</t>
  </si>
  <si>
    <t>SUCMRUR4SFJERG2_5TO10</t>
  </si>
  <si>
    <t>SUCMRUR4SFJERG3_5TO10</t>
  </si>
  <si>
    <t>SUCMRUR4SFJERG4_5TO10</t>
  </si>
  <si>
    <t>SUCMRUR4SFJERG5_5TO10</t>
  </si>
  <si>
    <t>SUCMRUR4SFJERG6_5TO10</t>
  </si>
  <si>
    <t>SUCMRUR4SFJERG7_5TO10</t>
  </si>
  <si>
    <t>SUCMRUR4SFJERG8_5TO10</t>
  </si>
  <si>
    <t>SUCMRUR4SFJERG9_5TO10</t>
  </si>
  <si>
    <t>SUCMRUR4SFJERG10_5TO10</t>
  </si>
  <si>
    <t>SUCMRUR4SFJERGNA_5TO10</t>
  </si>
  <si>
    <t>SUCMRUR4SFJERG1_10TO20</t>
  </si>
  <si>
    <t>SUCMRUR4SFJERG2_10TO20</t>
  </si>
  <si>
    <t>SUCMRUR4SFJERG3_10TO20</t>
  </si>
  <si>
    <t>SUCMRUR4SFJERG4_10TO20</t>
  </si>
  <si>
    <t>SUCMRUR4SFJERG5_10TO20</t>
  </si>
  <si>
    <t>SUCMRUR4SFJERG6_10TO20</t>
  </si>
  <si>
    <t>SUCMRUR4SFJERG7_10TO20</t>
  </si>
  <si>
    <t>SUCMRUR4SFJERG8_10TO20</t>
  </si>
  <si>
    <t>SUCMRUR4SFJERG9_10TO20</t>
  </si>
  <si>
    <t>SUCMRUR4SFJERG10_10TO20</t>
  </si>
  <si>
    <t>SUCMRUR4SFJERGNA_10TO20</t>
  </si>
  <si>
    <t>SUCMRUR4SFJERG1_GRTR20</t>
  </si>
  <si>
    <t>SUCMRUR4SFJERG2_GRTR20</t>
  </si>
  <si>
    <t>SUCMRUR4SFJERG3_GRTR20</t>
  </si>
  <si>
    <t>SUCMRUR4SFJERG4_GRTR20</t>
  </si>
  <si>
    <t>SUCMRUR4SFJERG5_GRTR20</t>
  </si>
  <si>
    <t>SUCMRUR4SFJERG6_GRTR20</t>
  </si>
  <si>
    <t>SUCMRUR4SFJERG7_GRTR20</t>
  </si>
  <si>
    <t>SUCMRUR4SFJERG8_GRTR20</t>
  </si>
  <si>
    <t>SUCMRUR4SFJERG9_GRTR20</t>
  </si>
  <si>
    <t>SUCMRUR4SFJERG10_GRTR20</t>
  </si>
  <si>
    <t>SUCMRUR4SFJERGNA_GRTR20</t>
  </si>
  <si>
    <t>ADJICMERGSFM1</t>
  </si>
  <si>
    <t>ADJICMERGSFM2</t>
  </si>
  <si>
    <t>ADJICMERGSFM3</t>
  </si>
  <si>
    <t>ADJICMERGSFM4</t>
  </si>
  <si>
    <t>ADJICMERGSFM5</t>
  </si>
  <si>
    <t>ADJICMERGSFM6</t>
  </si>
  <si>
    <t>ADJICMERGSFM7</t>
  </si>
  <si>
    <t>ADJICMERGSFM8</t>
  </si>
  <si>
    <t>ADJICMERGSFM9</t>
  </si>
  <si>
    <t>ADJICMERGSFM10</t>
  </si>
  <si>
    <t>ADJICMERGSFJ1</t>
  </si>
  <si>
    <t>ADJICMERGSFJ2</t>
  </si>
  <si>
    <t>ADJICMERGSFJ3</t>
  </si>
  <si>
    <t>ADJICMERGSFJ4</t>
  </si>
  <si>
    <t>ADJICMERGSFJ5</t>
  </si>
  <si>
    <t>ADJICMERGSFJ6</t>
  </si>
  <si>
    <t>ADJICMERGSFJ7</t>
  </si>
  <si>
    <t>ADJICMERGSFJ8</t>
  </si>
  <si>
    <t>ADJICMERGSFJ9</t>
  </si>
  <si>
    <t>ADJICMERGSFJ10</t>
  </si>
  <si>
    <t>assset_other_chargeable_assets_other</t>
  </si>
  <si>
    <t>MPIN</t>
  </si>
  <si>
    <t>SUPH</t>
  </si>
  <si>
    <t>lob_desc</t>
  </si>
  <si>
    <t>AJPTW</t>
  </si>
  <si>
    <t>SUCMNCRGROSS_250</t>
  </si>
  <si>
    <t>SUCMNCRNET_250</t>
  </si>
  <si>
    <t>SUCMNCRRECUNCOLL_250</t>
  </si>
  <si>
    <t>SUCMNCRRECCOLL_250</t>
  </si>
  <si>
    <t>SUCMNCPINWARD_250</t>
  </si>
  <si>
    <t>SUCMNCPOUTWARD_250</t>
  </si>
  <si>
    <t>SUCMNCRGROSS_333</t>
  </si>
  <si>
    <t>SUCMNCRNET_333</t>
  </si>
  <si>
    <t>SUCMNCRRECUNCOLL_333</t>
  </si>
  <si>
    <t>SUCMNCRRECCOLL_333</t>
  </si>
  <si>
    <t>SUCMNCPINWARD_333</t>
  </si>
  <si>
    <t>SUCMNCPOUTWARD_333</t>
  </si>
  <si>
    <t>SUCMLTCACTLFRES_US</t>
  </si>
  <si>
    <t>SUCMLONGRESCONFLVL</t>
  </si>
  <si>
    <t>tac_urg_on_invest_for_life_c</t>
  </si>
  <si>
    <t>tac_cash_and_asset_nohc_amt_c</t>
  </si>
  <si>
    <t>tac_cash_and_asset_nohc_haircut_c</t>
  </si>
  <si>
    <t>SUCMRUR4SFMTOT_C</t>
  </si>
  <si>
    <t>SUCMRUR4SFMYRS_C</t>
  </si>
  <si>
    <t>SUCMRUR4SFM_LESS1_C</t>
  </si>
  <si>
    <t>SUCMRUR4SFM_1TO5_C</t>
  </si>
  <si>
    <t>SUCMRUR4SFM_5TO10_C</t>
  </si>
  <si>
    <t>SUCMRUR4SFM_10TO20_C</t>
  </si>
  <si>
    <t>SUCMRUR4SFM_GRTR20_C</t>
  </si>
  <si>
    <t>SUCMRUR4SFJTOT_C</t>
  </si>
  <si>
    <t>SUCMRUR4SFJERG_C</t>
  </si>
  <si>
    <t>SUCMRUR4SFJYRS_C</t>
  </si>
  <si>
    <t>SUCMRUR4SFJ_LESS1_C</t>
  </si>
  <si>
    <t>SUCMRUR4SFJ_1TO5_C</t>
  </si>
  <si>
    <t>SUCMRUR4SFJ_5TO10_C</t>
  </si>
  <si>
    <t>SUCMRUR4SFJ_10TO20_C</t>
  </si>
  <si>
    <t>SUCMRUR4SFJ_GRTR20_C</t>
  </si>
  <si>
    <t>SUCMERGMRCSFM_C</t>
  </si>
  <si>
    <t>SUCMERGADJSFM_C</t>
  </si>
  <si>
    <t>SUCMERGARBSFM_C</t>
  </si>
  <si>
    <t>SUCMERGMRCSFJ_C</t>
  </si>
  <si>
    <t>SUCMERGADJSFJ_C</t>
  </si>
  <si>
    <t>SUCMERGARBSFJ_C</t>
  </si>
  <si>
    <t>assset_other_chargeable_assets_other_c</t>
  </si>
  <si>
    <t>SUCMPRRSK_EMEA_MPIN_C</t>
  </si>
  <si>
    <t>SUCMPRRSK_US_MPIN_C</t>
  </si>
  <si>
    <t>SUCMPRRSK_CN_SUPH_C</t>
  </si>
  <si>
    <t>SUCMPRRSK_CN_MPIN_C</t>
  </si>
  <si>
    <t>SUCMPRRSK_AP_MPIN_C</t>
  </si>
  <si>
    <t>SUCMPRRSK_AP_AJPTW_C</t>
  </si>
  <si>
    <t>SUCMPRRSK_LAM_MPIN_C</t>
  </si>
  <si>
    <t>SUCMRESRSK_EMEA_MPIN_C</t>
  </si>
  <si>
    <t>SUCMRESRSK_US_MPIN_C</t>
  </si>
  <si>
    <t>SUCMRESRSK_CN_SUPH_C</t>
  </si>
  <si>
    <t>SUCMRESRSK_CN_MPIN_C</t>
  </si>
  <si>
    <t>SUCMRESRSK_CN_MAVT_C</t>
  </si>
  <si>
    <t>SUCMRESRSK_AP_AJPTW_C</t>
  </si>
  <si>
    <t>SUCMRESRSK_AP_MPIN_C</t>
  </si>
  <si>
    <t>SUCMRESRSK_LAM_MPIN_C</t>
  </si>
  <si>
    <t>SUCMLONGRESCONFLVL_C</t>
  </si>
  <si>
    <t>inp_is_nat_cat_prem_removed</t>
  </si>
  <si>
    <t>ir_ncmv_99_99</t>
  </si>
  <si>
    <t>ir_ncmv_99_95</t>
  </si>
  <si>
    <t>ir_ncmv_99_80</t>
  </si>
  <si>
    <t>ir_ncmv_99_50</t>
  </si>
  <si>
    <t>unrealized_gains_on_inv_backing_life</t>
  </si>
  <si>
    <t>reinsurance_recoveries</t>
  </si>
  <si>
    <t>lt_health_with_aging_reserves</t>
  </si>
  <si>
    <t>Reinsurance recoveries (uncollateralized) Estimate at 99.5%</t>
  </si>
  <si>
    <t>SUCMNATCATREC_995</t>
  </si>
  <si>
    <t>SUCMIRRREV_HLTH_C</t>
  </si>
  <si>
    <t>Is Life?</t>
  </si>
  <si>
    <t>Type</t>
  </si>
  <si>
    <t>c</t>
  </si>
  <si>
    <t>n</t>
  </si>
  <si>
    <t>Total Bonds &amp; Loans (rated by S&amp;P)</t>
  </si>
  <si>
    <t>Reinsurance recoverable and receivables</t>
  </si>
  <si>
    <t>Reinsurance recoverables on outstanding loss reserves</t>
  </si>
  <si>
    <t>Nat cat charge (step 3 or 4)</t>
  </si>
  <si>
    <t>Tolerance (%)</t>
  </si>
  <si>
    <t>Eligible Ratio</t>
  </si>
  <si>
    <t>Debt funded Capital</t>
  </si>
  <si>
    <t>Total Hybrid/debt</t>
  </si>
  <si>
    <t xml:space="preserve">  Bonds &amp; Loans</t>
  </si>
  <si>
    <t xml:space="preserve">  Non-Life Technical Risks</t>
  </si>
  <si>
    <t xml:space="preserve">  Life Technical Risks</t>
  </si>
  <si>
    <t xml:space="preserve">    Premium Risk (net of reinsurance)</t>
  </si>
  <si>
    <t xml:space="preserve">    Reserve Risk (net of reinsurance)</t>
  </si>
  <si>
    <t xml:space="preserve">    Mortgage Insurance</t>
  </si>
  <si>
    <t xml:space="preserve">    Natural Catastrophe Risk</t>
  </si>
  <si>
    <t xml:space="preserve">    Mortality and Pandemic Risk</t>
  </si>
  <si>
    <t xml:space="preserve">    Morbidity Risk - Critical Illness</t>
  </si>
  <si>
    <t xml:space="preserve">    Morbidity Risk - Disability</t>
  </si>
  <si>
    <t xml:space="preserve">    Morbidity Risk - Long-Term Care</t>
  </si>
  <si>
    <t xml:space="preserve">    Longevity Risk</t>
  </si>
  <si>
    <t xml:space="preserve">    Other Life Technical Risks</t>
  </si>
  <si>
    <t xml:space="preserve">    Variable Annuities</t>
  </si>
  <si>
    <t xml:space="preserve">    Participating business in ring-fenced funds (only relevant in some countries)</t>
  </si>
  <si>
    <t xml:space="preserve">    Long-term health business with aging reserves</t>
  </si>
  <si>
    <t xml:space="preserve">    Interest Rate Risk</t>
  </si>
  <si>
    <t xml:space="preserve">    Additional Information</t>
  </si>
  <si>
    <t>Adjusted Exposure Total</t>
  </si>
  <si>
    <t>Infrastructure</t>
  </si>
  <si>
    <t>Total equity exposure (including Infrastructure)</t>
  </si>
  <si>
    <t>equity_infrastructure_cat_1</t>
  </si>
  <si>
    <t>equity_infrastructure_cat_2</t>
  </si>
  <si>
    <t>Adjusted scaling for interpolating 1-in-250 AND 1-in-333 year</t>
  </si>
  <si>
    <t>Adjusted scaling for interpolating 1-in-250 OR 1-in-333 year</t>
  </si>
  <si>
    <t>Nat cat charge (step 1 or 2)</t>
  </si>
  <si>
    <t>Nat cat charge</t>
  </si>
  <si>
    <t>Reinsurance receivables</t>
  </si>
  <si>
    <t xml:space="preserve"> </t>
  </si>
  <si>
    <t>Cash and invested assets at NOHC (subject to haircut)</t>
  </si>
  <si>
    <t>Life reserves valuation adjustment (post-tax)</t>
  </si>
  <si>
    <t>Input total life reserves</t>
  </si>
  <si>
    <t>Real Estate Risk Chages</t>
  </si>
  <si>
    <t>Equity Risk Charges</t>
  </si>
  <si>
    <t>Mortgages Risk Charges</t>
  </si>
  <si>
    <t>Non-Life Premium and Reserve Risk Charges</t>
  </si>
  <si>
    <t>Required Capital -  Equity Risk</t>
  </si>
  <si>
    <t>Required Capital - Mortgages</t>
  </si>
  <si>
    <t>Required Capital - Other Assets</t>
  </si>
  <si>
    <t>SUCMDEBTELIGDFCIN</t>
  </si>
  <si>
    <t>SUCMDEBTELIGDFCIN_C</t>
  </si>
  <si>
    <t xml:space="preserve">We do not give diversification credit for financial lines against credit and market risks. </t>
  </si>
  <si>
    <t>We do not give diversification credit for variable annuities against credit and market risks.</t>
  </si>
  <si>
    <t>Total Adjustment Amount at 99.5% level</t>
  </si>
  <si>
    <t>Total Adjustment Amount</t>
  </si>
  <si>
    <t xml:space="preserve">  Rated by S&amp;P</t>
  </si>
  <si>
    <t xml:space="preserve">  Unrated by S&amp;P without credit quality assessment by third party, with BICRA available</t>
  </si>
  <si>
    <t>Total Bond &amp; Loans Exposure</t>
  </si>
  <si>
    <t>Bond &amp; Loans Exposure  (Step 1)</t>
  </si>
  <si>
    <t>Bond &amp; Loans Exposure (Steps 2 &amp; 3)</t>
  </si>
  <si>
    <t>Bond &amp; Loans Exposure (Step 4: By Economic Risk from BICRA and Tenor)</t>
  </si>
  <si>
    <t>Bond &amp; Loans Exposure  (Steps 2 &amp; 3)</t>
  </si>
  <si>
    <t>Bond &amp; Loans Exposure  (Step 4)</t>
  </si>
  <si>
    <t>S&amp;P Rated Bonds</t>
  </si>
  <si>
    <t>S&amp;P Unrated Steps 2 and 3</t>
  </si>
  <si>
    <t>S&amp;P Unrated Step 4</t>
  </si>
  <si>
    <t>Comments - S&amp;P Rated Bonds</t>
  </si>
  <si>
    <t>Comments - S&amp;P Unrated Steps 2 and 3</t>
  </si>
  <si>
    <t>Comments - S&amp;P Unrated Bonds Step 4</t>
  </si>
  <si>
    <t>Comments - S&amp;P Unrated Bonds ERG to Rating</t>
  </si>
  <si>
    <t>IRSDB description (Please ignore if data downloaded from other sources e.g. analyst data from Amazon S3)</t>
  </si>
  <si>
    <t>Mean term of non-life liabilities (years)</t>
  </si>
  <si>
    <t>Total Exposure Check</t>
  </si>
  <si>
    <t>Help</t>
  </si>
  <si>
    <t>14. Company-specific analytical adjustments</t>
  </si>
  <si>
    <t>Investment in associates and joint ventures (Listed)</t>
  </si>
  <si>
    <t>Investment in associates and joint ventures (Unlisted)</t>
  </si>
  <si>
    <t>Market Value of listed Investment in associates and joint ventures</t>
  </si>
  <si>
    <t>Book Value of listed Investment in associates and joint ventures</t>
  </si>
  <si>
    <t>UPR/LRC Earnings Pattern (%)</t>
  </si>
  <si>
    <t>Net UPR or Equivalent - Single/Upfront Premiums</t>
  </si>
  <si>
    <t>Eligible debt-funded capital (high structural subordination of NOHC)</t>
  </si>
  <si>
    <t>Eligible debt-funded capital (low structural subordination of NOHC)</t>
  </si>
  <si>
    <t>Investment in unconsolidated  insurance subsidiaries and joint ventures not consolidated by S&amp;P</t>
  </si>
  <si>
    <t>Reinsurer Rating (Not rated by S&amp;P)</t>
  </si>
  <si>
    <t>Reserve (net of third party reinsurance)</t>
  </si>
  <si>
    <t>Country of currency of the liabilities (if different)</t>
  </si>
  <si>
    <t>11.Investments in noninsurance subsidiaries and joint ventures</t>
  </si>
  <si>
    <t>inp_mi_upr_earn_pattern</t>
  </si>
  <si>
    <t>Total RBC requirement for asset risks</t>
  </si>
  <si>
    <t>Total RBC requirement for liability risks</t>
  </si>
  <si>
    <t>Undiversified RBC requirement</t>
  </si>
  <si>
    <t xml:space="preserve"> - Total RBC requirement for asset risks</t>
  </si>
  <si>
    <t xml:space="preserve"> - Total RBC requirement for liability risks</t>
  </si>
  <si>
    <t>Diversified total RBC requirement</t>
  </si>
  <si>
    <t>Risk Based Capital Requirements (RBC)</t>
  </si>
  <si>
    <t xml:space="preserve"> Assets</t>
  </si>
  <si>
    <t xml:space="preserve"> Liabilities</t>
  </si>
  <si>
    <t xml:space="preserve"> Interest Rate Risk and Additional Information</t>
  </si>
  <si>
    <t>Unrealized gains/losses on listed Investment in associates and joint ventures</t>
  </si>
  <si>
    <t>Development base URL</t>
  </si>
  <si>
    <t>Produciton base URL</t>
  </si>
  <si>
    <t>https://lrsc.pde.spratingsvpc.com/icm-du-api-prod/</t>
  </si>
  <si>
    <t>SUCMREVTYPE</t>
  </si>
  <si>
    <t>SUCMREGION</t>
  </si>
  <si>
    <t>SUCMSECTOR</t>
  </si>
  <si>
    <t>SUCMREPORTINGYEAR</t>
  </si>
  <si>
    <t>Old mnemonic</t>
  </si>
  <si>
    <t>SUCMURGINVBKLIFE</t>
  </si>
  <si>
    <t>SUCMCASHINVATNOHCAMT</t>
  </si>
  <si>
    <t>SUCMCASHINVATNOHCHC</t>
  </si>
  <si>
    <t>SUCMEQINFRACAT1</t>
  </si>
  <si>
    <t>SUCMEQINFRACAT2</t>
  </si>
  <si>
    <t>SUCMRROTH</t>
  </si>
  <si>
    <t>SUCMUPRLRCEARNPAT_MI</t>
  </si>
  <si>
    <t>SUCMIRRNCMV_9999</t>
  </si>
  <si>
    <t>SUCMIRRNCMV_9995</t>
  </si>
  <si>
    <t>SUCMIRRNCMV_9980</t>
  </si>
  <si>
    <t>SUCMIRRNCMV_9950</t>
  </si>
  <si>
    <t>SUCMURGINVBKLIFE_C</t>
  </si>
  <si>
    <t>SUCMCASHINVATNOHCAMT_C</t>
  </si>
  <si>
    <t>SUCMCASHINVATNOHCHC_C</t>
  </si>
  <si>
    <t>SUCMRROTH_C</t>
  </si>
  <si>
    <t>SUCMPRRSK_EMEA_LIA_C_LIA_</t>
  </si>
  <si>
    <t>SUCMPRRSK_EMEA_WCP_C_WCP_</t>
  </si>
  <si>
    <t>SUCMPRRSK_EMEA_FIR_C_FIR_</t>
  </si>
  <si>
    <t>SUCMPRRSK_EMEA_ALB_C_ALB_</t>
  </si>
  <si>
    <t>SUCMPRRSK_EMEA_OTHM_C_OTHM_</t>
  </si>
  <si>
    <t>SUCMPRRSK_EMEA_CRDS_C_CRDS_</t>
  </si>
  <si>
    <t>SUCMPRRSK_EMEA_MSFL_C_MSFL_</t>
  </si>
  <si>
    <t>SUCMPRRSK_EMEA_HMEI_C_HMEI_</t>
  </si>
  <si>
    <t>SUCMPRRSK_EMEA_MAVT_C_MAVT_</t>
  </si>
  <si>
    <t>SUCMPRRSK_EMEA_MPIN_C_MPIN_</t>
  </si>
  <si>
    <t>SUCMPRRSK_EMEA_ASST_C_ASST_</t>
  </si>
  <si>
    <t>SUCMPRRSK_EMEA_INPR_C_INPR_</t>
  </si>
  <si>
    <t>SUCMPRRSK_EMEA_LEGEX_C_LEGEX_</t>
  </si>
  <si>
    <t>SUCMPRRSK_EMEA_OCAH_C_OCAH_</t>
  </si>
  <si>
    <t>SUCMPRRSK_US_EWCP_C_EWCP_</t>
  </si>
  <si>
    <t>SUCMPRRSK_US_MEC_C_MEC_</t>
  </si>
  <si>
    <t>SUCMPRRSK_US_MEO_C_MEO_</t>
  </si>
  <si>
    <t>SUCMPRRSK_US_OLC_C_OLC_</t>
  </si>
  <si>
    <t>SUCMPRRSK_US_OLO_C_OLO_</t>
  </si>
  <si>
    <t>SUCMPRRSK_US_PLC_C_PLC_</t>
  </si>
  <si>
    <t>SUCMPRRSK_US_PLO_C_PLO_</t>
  </si>
  <si>
    <t>SUCMPRRSK_US_WCP_C_WCP_</t>
  </si>
  <si>
    <t>SUCMPRRSK_US_BLM_C_BLM_</t>
  </si>
  <si>
    <t>SUCMPRRSK_US_CMP_C_CMP_</t>
  </si>
  <si>
    <t>SUCMPRRSK_US_HFM_C_HFM_</t>
  </si>
  <si>
    <t>SUCMPRRSK_US_SPP_C_SPP_</t>
  </si>
  <si>
    <t>SUCMPRRSK_US_APB_C_APB_</t>
  </si>
  <si>
    <t>SUCMPRRSK_US_CAL_C_CAL_</t>
  </si>
  <si>
    <t>SUCMPRRSK_US_PPA_C_PPA_</t>
  </si>
  <si>
    <t>SUCMPRRSK_US_CRD_C_CRD_</t>
  </si>
  <si>
    <t>SUCMPRRSK_US_FIDSUR_C_FIDSUR_</t>
  </si>
  <si>
    <t>SUCMPRRSK_US_FIG_C_FIG_</t>
  </si>
  <si>
    <t>SUCMPRRSK_US_STPR_C_STPR_</t>
  </si>
  <si>
    <t>SUCMPRRSK_US_AAH_C_AAH_</t>
  </si>
  <si>
    <t>SUCMPRRSK_US_ADSADC_C_ADSADC_</t>
  </si>
  <si>
    <t>SUCMPRRSK_US_FLRS_C_FLRS_</t>
  </si>
  <si>
    <t>SUCMPRRSK_US_DENVIS_C_DENVIS_</t>
  </si>
  <si>
    <t>SUCMPRRSK_US_FEP_C_FEP_</t>
  </si>
  <si>
    <t>SUCMPRRSK_US_HMDO_C_HMDO_</t>
  </si>
  <si>
    <t>SUCMPRRSK_US_MDMID_C_MDMID_</t>
  </si>
  <si>
    <t>SUCMPRRSK_US_MEDDO_C_MEDDO_</t>
  </si>
  <si>
    <t>SUCMPRRSK_US_MEDDRO_C_MEDDRO_</t>
  </si>
  <si>
    <t>SUCMPRRSK_US_MEDDRR_C_MEDDRR_</t>
  </si>
  <si>
    <t>SUCMPRRSK_US_MDS_C_MDS_</t>
  </si>
  <si>
    <t>SUCMPRRSK_US_OLBF_C_OLBF_</t>
  </si>
  <si>
    <t>SUCMPRRSK_US_AIR_C_AIR_</t>
  </si>
  <si>
    <t>SUCMPRRSK_US_MPIN_C_MPIN_</t>
  </si>
  <si>
    <t>SUCMPRRSK_US_OCM_C_OCM_</t>
  </si>
  <si>
    <t>SUCMPRRSK_US_TITLE_C_TITLE_</t>
  </si>
  <si>
    <t>SUCMPRRSK_US_WAR_C_WAR_</t>
  </si>
  <si>
    <t>SUCMPRRSK_US_OCAH_C_OCAH_</t>
  </si>
  <si>
    <t>SUCMPRRSK_CN_LIA_C_LIA_</t>
  </si>
  <si>
    <t>SUCMPRRSK_CN_BLM_C_BLM_</t>
  </si>
  <si>
    <t>SUCMPRRSK_CN_CMPR_C_CMPR_</t>
  </si>
  <si>
    <t>SUCMPRRSK_CN_HAIL_C_HAIL_</t>
  </si>
  <si>
    <t>SUCMPRRSK_CN_PPR_C_PPR_</t>
  </si>
  <si>
    <t>SUCMPRRSK_CN_ALB_C_ALB_</t>
  </si>
  <si>
    <t>SUCMPRRSK_CN_ATOTH_C_ATOTH_</t>
  </si>
  <si>
    <t>SUCMPRRSK_CN_ATPAC_C_ATPAC_</t>
  </si>
  <si>
    <t>SUCMPRRSK_CN_CRD_C_CRD_</t>
  </si>
  <si>
    <t>SUCMPRRSK_CN_CRPR_C_CRPR_</t>
  </si>
  <si>
    <t>SUCMPRRSK_CN_FID_C_FID_</t>
  </si>
  <si>
    <t>SUCMPRRSK_CN_SUR_C_SUR_</t>
  </si>
  <si>
    <t>SUCMPRRSK_CN_ACSK_C_ACSK_</t>
  </si>
  <si>
    <t>SUCMPRRSK_CN_SUPH_C_SUPH_</t>
  </si>
  <si>
    <t>SUCMPRRSK_CN_AIR_C_AIR_</t>
  </si>
  <si>
    <t>SUCMPRRSK_CN_OCM_C_OCM_</t>
  </si>
  <si>
    <t>SUCMPRRSK_CN_MPIN_C_MPIN_</t>
  </si>
  <si>
    <t>SUCMPRRSK_CN_LEGEX_C_LEGEX_</t>
  </si>
  <si>
    <t>SUCMPRRSK_CN_OAPR_C_OAPR_</t>
  </si>
  <si>
    <t>SUCMPRRSK_CN_TITLE_C_TITLE_</t>
  </si>
  <si>
    <t>SUCMPRRSK_CN_WAR_C_WAR_</t>
  </si>
  <si>
    <t>SUCMPRRSK_CN_OCAH_C_OCAH_</t>
  </si>
  <si>
    <t>SUCMPRRSK_AP_EMLIB_C_EMLIB_</t>
  </si>
  <si>
    <t>SUCMPRRSK_AP_LIA_C_LIA_</t>
  </si>
  <si>
    <t>SUCMPRRSK_AP_PRIND_C_PRIND_</t>
  </si>
  <si>
    <t>SUCMPRRSK_AP_PAPL_C_PAPL_</t>
  </si>
  <si>
    <t>SUCMPRRSK_AP_CMPR_C_CMPR_</t>
  </si>
  <si>
    <t>SUCMPRRSK_AP_HMP_C_HMP_</t>
  </si>
  <si>
    <t>SUCMPRRSK_AP_ENG_C_ENG_</t>
  </si>
  <si>
    <t>SUCMPRRSK_AP_CALANZ_C_CALANZ_</t>
  </si>
  <si>
    <t>SUCMPRRSK_AP_PALANZ_C_PALANZ_</t>
  </si>
  <si>
    <t>SUCMPRRSK_AP_ALB_C_ALB_</t>
  </si>
  <si>
    <t>SUCMPRRSK_AP_AJPTW_C_AJPTW_</t>
  </si>
  <si>
    <t>SUCMPRRSK_AP_TPLM_C_TPLM_</t>
  </si>
  <si>
    <t>SUCMPRRSK_AP_CONCR_C_CONCR_</t>
  </si>
  <si>
    <t>SUCMPRRSK_AP_CRD_C_CRD_</t>
  </si>
  <si>
    <t>SUCMPRRSK_AP_AAH_C_AAH_</t>
  </si>
  <si>
    <t>SUCMPRRSK_AP_HLTH_C_HLTH_</t>
  </si>
  <si>
    <t>SUCMPRRSK_AP_MAVC_C_MAVC_</t>
  </si>
  <si>
    <t>SUCMPRRSK_AP_MAVH_C_MAVH_</t>
  </si>
  <si>
    <t>SUCMPRRSK_AP_MPIN_C_MPIN_</t>
  </si>
  <si>
    <t>SUCMPRRSK_AP_TRV_C_TRV_</t>
  </si>
  <si>
    <t>SUCMPRRSK_AP_OCAH_C_OCAH_</t>
  </si>
  <si>
    <t>SUCMPRRSK_LAM_EMLIB_C_EMLIB_</t>
  </si>
  <si>
    <t>SUCMPRRSK_LAM_LIA_C_LIA_</t>
  </si>
  <si>
    <t>SUCMPRRSK_LAM_PRIND_C_PRIND_</t>
  </si>
  <si>
    <t>SUCMPRRSK_LAM_CMPR_C_CMPR_</t>
  </si>
  <si>
    <t>SUCMPRRSK_LAM_HMP_C_HMP_</t>
  </si>
  <si>
    <t>SUCMPRRSK_LAM_MEXFR_C_MEXFR_</t>
  </si>
  <si>
    <t>SUCMPRRSK_LAM_PLM_C_PLM_</t>
  </si>
  <si>
    <t>SUCMPRRSK_LAM_ALB_C_ALB_</t>
  </si>
  <si>
    <t>SUCMPRRSK_LAM_CRD_C_CRD_</t>
  </si>
  <si>
    <t>SUCMPRRSK_LAM_FID_C_FID_</t>
  </si>
  <si>
    <t>SUCMPRRSK_LAM_SUR_C_SUR_</t>
  </si>
  <si>
    <t>SUCMPRRSK_LAM_AAH_C_AAH_</t>
  </si>
  <si>
    <t>SUCMPRRSK_LAM_HMEDEX_C_HMEDEX_</t>
  </si>
  <si>
    <t>SUCMPRRSK_LAM_MAVA_C_MAVA_</t>
  </si>
  <si>
    <t>SUCMPRRSK_LAM_MAVC_C_MAVC_</t>
  </si>
  <si>
    <t>SUCMPRRSK_LAM_MPIN_C_MPIN_</t>
  </si>
  <si>
    <t>SUCMPRRSK_LAM_TRV_C_TRV_</t>
  </si>
  <si>
    <t>SUCMPRRSK_LAM_WAR_C_WAR_</t>
  </si>
  <si>
    <t>SUCMPRRSK_LAM_OCAH_C_OCAH_</t>
  </si>
  <si>
    <t>SUCMRESRSK_EMEA_LIA_C_LIA_</t>
  </si>
  <si>
    <t>SUCMRESRSK_EMEA_WCP_C_WCP_</t>
  </si>
  <si>
    <t>SUCMRESRSK_EMEA_FIR_C_FIR_</t>
  </si>
  <si>
    <t>SUCMRESRSK_EMEA_ALB_C_ALB_</t>
  </si>
  <si>
    <t>SUCMRESRSK_EMEA_OTHM_C_OTHM_</t>
  </si>
  <si>
    <t>SUCMRESRSK_EMEA_CRDS_C_CRDS_</t>
  </si>
  <si>
    <t>SUCMRESRSK_EMEA_MSFL_C_MSFL_</t>
  </si>
  <si>
    <t>SUCMRESRSK_EMEA_HMEI_C_HMEI_</t>
  </si>
  <si>
    <t>SUCMRESRSK_EMEA_MAVT_C_MAVT_</t>
  </si>
  <si>
    <t>SUCMRESRSK_EMEA_MPIN_C_MPIN_</t>
  </si>
  <si>
    <t>SUCMRESRSK_EMEA_ASST_C_ASST_</t>
  </si>
  <si>
    <t>SUCMRESRSK_EMEA_INPR_C_INPR_</t>
  </si>
  <si>
    <t>SUCMRESRSK_EMEA_LEGEX_C_LEGEX_</t>
  </si>
  <si>
    <t>SUCMRESRSK_EMEA_OCAH_C_OCAH_</t>
  </si>
  <si>
    <t>SUCMRESRSK_US_MEC_C_MEC_</t>
  </si>
  <si>
    <t>SUCMRESRSK_US_MEO_C_MEO_</t>
  </si>
  <si>
    <t>SUCMRESRSK_US_OLC_C_OLC_</t>
  </si>
  <si>
    <t>SUCMRESRSK_US_OLO_C_OLO_</t>
  </si>
  <si>
    <t>SUCMRESRSK_US_PLC_C_PLC_</t>
  </si>
  <si>
    <t>SUCMRESRSK_US_PLO_C_PLO_</t>
  </si>
  <si>
    <t>SUCMRESRSK_US_WCP_C_WCP_</t>
  </si>
  <si>
    <t>SUCMRESRSK_US_BLM_C_BLM_</t>
  </si>
  <si>
    <t>SUCMRESRSK_US_CMP_C_CMP_</t>
  </si>
  <si>
    <t>SUCMRESRSK_US_HFM_C_HFM_</t>
  </si>
  <si>
    <t>SUCMRESRSK_US_SPP_C_SPP_</t>
  </si>
  <si>
    <t>SUCMRESRSK_US_APB_C_APB_</t>
  </si>
  <si>
    <t>SUCMRESRSK_US_CAL_C_CAL_</t>
  </si>
  <si>
    <t>SUCMRESRSK_US_PPA_C_PPA_</t>
  </si>
  <si>
    <t>SUCMRESRSK_US_CRD_C_CRD_</t>
  </si>
  <si>
    <t>SUCMRESRSK_US_FIDSUR_C_FIDSUR_</t>
  </si>
  <si>
    <t>SUCMRESRSK_US_FIG_C_FIG_</t>
  </si>
  <si>
    <t>SUCMRESRSK_US_AAH_C_AAH_</t>
  </si>
  <si>
    <t>SUCMRESRSK_US_OLBF_C_USHRES_</t>
  </si>
  <si>
    <t>SUCMRESRSK_US_AIR_C_AIR_</t>
  </si>
  <si>
    <t>SUCMRESRSK_US_MPIN_C_MPIN_</t>
  </si>
  <si>
    <t>SUCMRESRSK_US_OCM_C_OCM_</t>
  </si>
  <si>
    <t>SUCMRESRSK_US_TITLE_C_TITLE_</t>
  </si>
  <si>
    <t>SUCMRESRSK_US_WAR_C_WAR_</t>
  </si>
  <si>
    <t>SUCMRESRSK_US_OCAH_C_OCAH_</t>
  </si>
  <si>
    <t>SUCMRESRSK_CN_LIA_C_LIA_</t>
  </si>
  <si>
    <t>SUCMRESRSK_CN_BLM_C_BLM_</t>
  </si>
  <si>
    <t>SUCMRESRSK_CN_CMPR_C_CMPR_</t>
  </si>
  <si>
    <t>SUCMRESRSK_CN_HAIL_C_HAIL_</t>
  </si>
  <si>
    <t>SUCMRESRSK_CN_PPR_C_PPR_</t>
  </si>
  <si>
    <t>SUCMRESRSK_CN_ALB_C_ALB_</t>
  </si>
  <si>
    <t>SUCMRESRSK_CN_ATOTH_C_ATOTH_</t>
  </si>
  <si>
    <t>SUCMRESRSK_CN_ATPAC_C_ATPAC_</t>
  </si>
  <si>
    <t>SUCMRESRSK_CN_CRD_C_CRD_</t>
  </si>
  <si>
    <t>SUCMRESRSK_CN_CRPR_C_CRPR_</t>
  </si>
  <si>
    <t>SUCMRESRSK_CN_FID_C_FID_</t>
  </si>
  <si>
    <t>SUCMRESRSK_CN_SUR_C_SUR_</t>
  </si>
  <si>
    <t>SUCMRESRSK_CN_ACSK_C_ACSK_</t>
  </si>
  <si>
    <t>SUCMRESRSK_CN_SUPH_C_SUPH_</t>
  </si>
  <si>
    <t>SUCMRESRSK_CN_AIR_C_AIR_</t>
  </si>
  <si>
    <t>SUCMRESRSK_CN_OCM_C_OCM_</t>
  </si>
  <si>
    <t>SUCMRESRSK_CN_MPIN_C_MPIN_</t>
  </si>
  <si>
    <t>SUCMRESRSK_CN_MAVT_C_MAVT_</t>
  </si>
  <si>
    <t>SUCMRESRSK_CN_OAPR_C_OAPR_</t>
  </si>
  <si>
    <t>SUCMRESRSK_CN_TITLE_C_TITLE_</t>
  </si>
  <si>
    <t>SUCMRESRSK_CN_WAR_C_WAR_</t>
  </si>
  <si>
    <t>SUCMRESRSK_CN_OCAH_C_OCAH_</t>
  </si>
  <si>
    <t>SUCMRESRSK_AP_EMLIB_C_EMLIB_</t>
  </si>
  <si>
    <t>SUCMRESRSK_AP_LIA_C_LIA_</t>
  </si>
  <si>
    <t>SUCMRESRSK_AP_PRIND_C_PRIND_</t>
  </si>
  <si>
    <t>SUCMRESRSK_AP_PAPL_C_PAPL_</t>
  </si>
  <si>
    <t>SUCMRESRSK_AP_CMPR_C_CMPR_</t>
  </si>
  <si>
    <t>SUCMRESRSK_AP_HMP_C_HMP_</t>
  </si>
  <si>
    <t>SUCMRESRSK_AP_ENG_C_ENG_</t>
  </si>
  <si>
    <t>SUCMRESRSK_AP_CALANZ_C_CALANZ_</t>
  </si>
  <si>
    <t>SUCMRESRSK_AP_PALANZ_C_PALANZ_</t>
  </si>
  <si>
    <t>SUCMRESRSK_AP_ALB_C_ALB_</t>
  </si>
  <si>
    <t>SUCMRESRSK_AP_AJPTW_C_AJPTW_</t>
  </si>
  <si>
    <t>SUCMRESRSK_AP_TPLM_C_TPLM_</t>
  </si>
  <si>
    <t>SUCMRESRSK_AP_CONCR_C_CONCR_</t>
  </si>
  <si>
    <t>SUCMRESRSK_AP_CRD_C_CRD_</t>
  </si>
  <si>
    <t>SUCMRESRSK_AP_AAH_C_AAH_</t>
  </si>
  <si>
    <t>SUCMRESRSK_AP_HLTH_C_HLTH_</t>
  </si>
  <si>
    <t>SUCMRESRSK_AP_MAVC_C_MAVC_</t>
  </si>
  <si>
    <t>SUCMRESRSK_AP_MAVH_C_MAVH_</t>
  </si>
  <si>
    <t>SUCMRESRSK_AP_MPIN_C_MPIN_</t>
  </si>
  <si>
    <t>SUCMRESRSK_AP_TRV_C_TRV_</t>
  </si>
  <si>
    <t>SUCMRESRSK_AP_OCAH_C_OCAH_</t>
  </si>
  <si>
    <t>SUCMRESRSK_LAM_EMLIB_C_EMLIB_</t>
  </si>
  <si>
    <t>SUCMRESRSK_LAM_LIA_C_LIA_</t>
  </si>
  <si>
    <t>SUCMRESRSK_LAM_PRIND_C_PRIND_</t>
  </si>
  <si>
    <t>SUCMRESRSK_LAM_CMPR_C_CMPR_</t>
  </si>
  <si>
    <t>SUCMRESRSK_LAM_HMP_C_HMP_</t>
  </si>
  <si>
    <t>SUCMRESRSK_LAM_MEXFR_C_MEXFR_</t>
  </si>
  <si>
    <t>SUCMRESRSK_LAM_PLM_C_PLM_</t>
  </si>
  <si>
    <t>SUCMRESRSK_LAM_ALB_C_ALB_</t>
  </si>
  <si>
    <t>SUCMRESRSK_LAM_CRD_C_CRD_</t>
  </si>
  <si>
    <t>SUCMRESRSK_LAM_FID_C_FID_</t>
  </si>
  <si>
    <t>SUCMRESRSK_LAM_SUR_C_SUR_</t>
  </si>
  <si>
    <t>SUCMRESRSK_LAM_AAH_C_AAH_</t>
  </si>
  <si>
    <t>SUCMRESRSK_LAM_HMEDEX_C_HMEDEX_</t>
  </si>
  <si>
    <t>SUCMRESRSK_LAM_MAVA_C_MAVA_</t>
  </si>
  <si>
    <t>SUCMRESRSK_LAM_MAVC_C_MAVC_</t>
  </si>
  <si>
    <t>SUCMRESRSK_LAM_MPIN_C_MPIN_</t>
  </si>
  <si>
    <t>SUCMRESRSK_LAM_TRV_C_TRV_</t>
  </si>
  <si>
    <t>SUCMRESRSK_LAM_WAR_C_WAR_</t>
  </si>
  <si>
    <t>SUCMRESRSK_LAM_OCAH_C_OCAH_</t>
  </si>
  <si>
    <t>Non-life reserve surpluses/(deficits) (undiscounted) (post-tax)</t>
  </si>
  <si>
    <r>
      <t xml:space="preserve">Referenced Criteria: </t>
    </r>
    <r>
      <rPr>
        <b/>
        <i/>
        <sz val="11"/>
        <color theme="1"/>
        <rFont val="Calibri"/>
        <family val="2"/>
        <scheme val="minor"/>
      </rPr>
      <t>Insurer Risk-Based Capital Adequacy--Methodology And Assumptions</t>
    </r>
  </si>
  <si>
    <t>Net amount at risk</t>
  </si>
  <si>
    <t>Total net amount at risk</t>
  </si>
  <si>
    <t xml:space="preserve">  </t>
  </si>
  <si>
    <t xml:space="preserve">Total gross amount at risk  </t>
  </si>
  <si>
    <t>Mortality NAR in USD (Billions)</t>
  </si>
  <si>
    <t>NAR in USD Billions</t>
  </si>
  <si>
    <t>https://rscm.dev.spratingsvpc.com/icm-du-api-dev-v3/</t>
  </si>
  <si>
    <t>NAR in USD Millions</t>
  </si>
  <si>
    <t>Model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</si>
</sst>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41" formatCode="_(* #,##0_);_(* \(#,##0\);_(* &quot;-&quot;_);_(@_)"/>
    <numFmt numFmtId="44" formatCode="_(&quot;$&quot;* #,##0.00_);_(&quot;$&quot;* \(#,##0.00\);_(&quot;$&quot;* &quot;-&quot;??_);_(@_)"/>
    <numFmt numFmtId="43" formatCode="_(* #,##0.00_);_(* \(#,##0.00\);_(* &quot;-&quot;??_);_(@_)"/>
    <numFmt numFmtId="164" formatCode="_-* #,##0.00_-;\-* #,##0.00_-;_-* &quot;-&quot;??_-;_-@_-"/>
    <numFmt numFmtId="165" formatCode="#,##0.0"/>
    <numFmt numFmtId="166" formatCode="0.0%"/>
    <numFmt numFmtId="167" formatCode="#,##0.0;[Red]\(#,##0.0\)"/>
    <numFmt numFmtId="168" formatCode="General_)"/>
    <numFmt numFmtId="169" formatCode="#,##0.000_ ;[Red]\-#,##0.000\ "/>
    <numFmt numFmtId="170" formatCode="#,##0.0000_ ;[Red]\-#,##0.0000\ "/>
    <numFmt numFmtId="171" formatCode="#\l&quot;   &quot;"/>
    <numFmt numFmtId="172" formatCode="d\-mmm\-yyyy"/>
    <numFmt numFmtId="173" formatCode="0.0"/>
    <numFmt numFmtId="174" formatCode="#,##0.000"/>
    <numFmt numFmtId="175" formatCode="0.000%"/>
    <numFmt numFmtId="176" formatCode="0.0000"/>
    <numFmt numFmtId="177" formatCode="\ \ \ \ \ 0%"/>
    <numFmt numFmtId="178" formatCode="_(* #,##0_);_(* \(#,##0\);_(* &quot;-&quot;??_);_(@_)"/>
    <numFmt numFmtId="179" formatCode="#,##0;[Red]\(#,##0\)"/>
    <numFmt numFmtId="180" formatCode="0.000"/>
    <numFmt numFmtId="181" formatCode="0;\-0;;@"/>
    <numFmt numFmtId="182" formatCode="0.00;\-0.00;;@"/>
    <numFmt numFmtId="183" formatCode="#,##0.0;[Red]\-#,##0.0;;@"/>
    <numFmt numFmtId="184" formatCode="[Blue]#,##0.0;[Red]\(#,##0.0\)"/>
    <numFmt numFmtId="185" formatCode="#,##0.0_);[Red]\(#,##0.0\)"/>
    <numFmt numFmtId="186" formatCode="#,##0.0;[Red]\(#,##0.0\);;@"/>
    <numFmt numFmtId="187" formatCode="##0.0%;[Red]\(##0.0%\)"/>
    <numFmt numFmtId="188" formatCode="[$-409]m/d/yy\ h:mm\ AM/PM;@"/>
    <numFmt numFmtId="189" formatCode="#,##0.0000000000000_);[Red]\(#,##0.0000000000000\)"/>
    <numFmt numFmtId="190" formatCode="#,##0.00%"/>
  </numFmts>
  <fonts count="110" x14ac:knownFonts="1">
    <font>
      <sz val="11"/>
      <color theme="1"/>
      <name val="Calibri"/>
      <family val="2"/>
      <scheme val="minor"/>
    </font>
    <font>
      <sz val="11"/>
      <color theme="1"/>
      <name val="Calibri"/>
      <family val="2"/>
      <scheme val="minor"/>
    </font>
    <font>
      <b/>
      <sz val="11"/>
      <color rgb="FF3F3F3F"/>
      <name val="Calibri"/>
      <family val="2"/>
      <scheme val="minor"/>
    </font>
    <font>
      <sz val="11"/>
      <color rgb="FFFF0000"/>
      <name val="Calibri"/>
      <family val="2"/>
      <scheme val="minor"/>
    </font>
    <font>
      <b/>
      <sz val="11"/>
      <color theme="1"/>
      <name val="Calibri"/>
      <family val="2"/>
      <scheme val="minor"/>
    </font>
    <font>
      <sz val="10"/>
      <name val="Arial"/>
      <family val="2"/>
    </font>
    <font>
      <b/>
      <sz val="12"/>
      <name val="Arial"/>
      <family val="2"/>
    </font>
    <font>
      <b/>
      <sz val="14"/>
      <color theme="1"/>
      <name val="Calibri"/>
      <family val="2"/>
      <scheme val="minor"/>
    </font>
    <font>
      <b/>
      <sz val="12"/>
      <color theme="1"/>
      <name val="Calibri"/>
      <family val="2"/>
      <scheme val="minor"/>
    </font>
    <font>
      <b/>
      <sz val="11"/>
      <name val="Calibri"/>
      <family val="2"/>
      <scheme val="minor"/>
    </font>
    <font>
      <sz val="10"/>
      <color rgb="FF3F3F3F"/>
      <name val="Calibri"/>
      <family val="2"/>
      <scheme val="minor"/>
    </font>
    <font>
      <sz val="8"/>
      <color indexed="81"/>
      <name val="Tahoma"/>
      <family val="2"/>
    </font>
    <font>
      <sz val="9"/>
      <color indexed="81"/>
      <name val="Tahoma"/>
      <family val="2"/>
    </font>
    <font>
      <sz val="10"/>
      <name val="Arial"/>
      <family val="2"/>
    </font>
    <font>
      <sz val="8"/>
      <name val="Calibri"/>
      <family val="2"/>
      <scheme val="minor"/>
    </font>
    <font>
      <sz val="11"/>
      <name val="Calibri"/>
      <family val="2"/>
      <scheme val="minor"/>
    </font>
    <font>
      <b/>
      <sz val="11"/>
      <color rgb="FFFF0000"/>
      <name val="Calibri"/>
      <family val="2"/>
      <scheme val="minor"/>
    </font>
    <font>
      <i/>
      <sz val="11"/>
      <color theme="1"/>
      <name val="Calibri"/>
      <family val="2"/>
      <scheme val="minor"/>
    </font>
    <font>
      <sz val="9"/>
      <color indexed="81"/>
      <name val="Arial"/>
      <family val="2"/>
    </font>
    <font>
      <sz val="10"/>
      <name val="Calibri"/>
      <family val="2"/>
      <scheme val="minor"/>
    </font>
    <font>
      <b/>
      <sz val="12"/>
      <name val="Calibri"/>
      <family val="2"/>
      <scheme val="minor"/>
    </font>
    <font>
      <b/>
      <sz val="9"/>
      <color indexed="81"/>
      <name val="Tahoma"/>
      <family val="2"/>
    </font>
    <font>
      <i/>
      <sz val="11"/>
      <color theme="2" tint="-0.499984740745262"/>
      <name val="Calibri"/>
      <family val="2"/>
      <scheme val="minor"/>
    </font>
    <font>
      <sz val="11"/>
      <color theme="2" tint="-0.499984740745262"/>
      <name val="Calibri"/>
      <family val="2"/>
      <scheme val="minor"/>
    </font>
    <font>
      <sz val="10"/>
      <color rgb="FFFF0000"/>
      <name val="Calibri"/>
      <family val="2"/>
      <scheme val="minor"/>
    </font>
    <font>
      <sz val="10"/>
      <color theme="1"/>
      <name val="Calibri"/>
      <family val="2"/>
      <scheme val="minor"/>
    </font>
    <font>
      <b/>
      <sz val="10"/>
      <name val="Calibri"/>
      <family val="2"/>
      <scheme val="minor"/>
    </font>
    <font>
      <sz val="11"/>
      <color rgb="FFFFFF00"/>
      <name val="Calibri"/>
      <family val="2"/>
      <scheme val="minor"/>
    </font>
    <font>
      <b/>
      <sz val="11"/>
      <color rgb="FFFFFF00"/>
      <name val="Calibri"/>
      <family val="2"/>
      <scheme val="minor"/>
    </font>
    <font>
      <sz val="10"/>
      <color rgb="FFFFFF00"/>
      <name val="Calibri"/>
      <family val="2"/>
      <scheme val="minor"/>
    </font>
    <font>
      <b/>
      <sz val="10"/>
      <color rgb="FFFF0000"/>
      <name val="Calibri"/>
      <family val="2"/>
      <scheme val="minor"/>
    </font>
    <font>
      <i/>
      <sz val="10"/>
      <name val="Calibri"/>
      <family val="2"/>
      <scheme val="minor"/>
    </font>
    <font>
      <b/>
      <sz val="10"/>
      <color indexed="12"/>
      <name val="Calibri"/>
      <family val="2"/>
      <scheme val="minor"/>
    </font>
    <font>
      <b/>
      <sz val="10"/>
      <color rgb="FF0000FF"/>
      <name val="Calibri"/>
      <family val="2"/>
      <scheme val="minor"/>
    </font>
    <font>
      <b/>
      <sz val="16"/>
      <color theme="7" tint="0.79998168889431442"/>
      <name val="Calibri"/>
      <family val="2"/>
      <scheme val="minor"/>
    </font>
    <font>
      <sz val="10"/>
      <color theme="7" tint="0.79998168889431442"/>
      <name val="Calibri"/>
      <family val="2"/>
      <scheme val="minor"/>
    </font>
    <font>
      <b/>
      <sz val="10"/>
      <color theme="7" tint="0.79998168889431442"/>
      <name val="Calibri"/>
      <family val="2"/>
      <scheme val="minor"/>
    </font>
    <font>
      <sz val="12"/>
      <color theme="7" tint="0.79998168889431442"/>
      <name val="Calibri"/>
      <family val="2"/>
      <scheme val="minor"/>
    </font>
    <font>
      <b/>
      <sz val="10"/>
      <color indexed="8"/>
      <name val="Calibri"/>
      <family val="2"/>
      <scheme val="minor"/>
    </font>
    <font>
      <b/>
      <u/>
      <sz val="10"/>
      <color indexed="12"/>
      <name val="Calibri"/>
      <family val="2"/>
      <scheme val="minor"/>
    </font>
    <font>
      <b/>
      <sz val="5"/>
      <color rgb="FFFF0000"/>
      <name val="Calibri"/>
      <family val="2"/>
      <scheme val="minor"/>
    </font>
    <font>
      <b/>
      <sz val="5"/>
      <color theme="7" tint="0.79998168889431442"/>
      <name val="Calibri"/>
      <family val="2"/>
      <scheme val="minor"/>
    </font>
    <font>
      <b/>
      <sz val="14"/>
      <color rgb="FFFFFF00"/>
      <name val="Calibri"/>
      <family val="2"/>
      <scheme val="minor"/>
    </font>
    <font>
      <b/>
      <sz val="12"/>
      <color rgb="FFFFFF00"/>
      <name val="Calibri"/>
      <family val="2"/>
      <scheme val="minor"/>
    </font>
    <font>
      <b/>
      <sz val="12"/>
      <color theme="0"/>
      <name val="Calibri"/>
      <family val="2"/>
      <scheme val="minor"/>
    </font>
    <font>
      <b/>
      <i/>
      <sz val="12"/>
      <color theme="1"/>
      <name val="Calibri"/>
      <family val="2"/>
      <scheme val="minor"/>
    </font>
    <font>
      <b/>
      <sz val="10"/>
      <color theme="8" tint="-0.249977111117893"/>
      <name val="Calibri"/>
      <family val="2"/>
      <scheme val="minor"/>
    </font>
    <font>
      <sz val="10"/>
      <color indexed="8"/>
      <name val="Calibri"/>
      <family val="2"/>
      <scheme val="minor"/>
    </font>
    <font>
      <b/>
      <i/>
      <sz val="10"/>
      <color indexed="8"/>
      <name val="Calibri"/>
      <family val="2"/>
      <scheme val="minor"/>
    </font>
    <font>
      <sz val="10"/>
      <color indexed="22"/>
      <name val="Calibri"/>
      <family val="2"/>
      <scheme val="minor"/>
    </font>
    <font>
      <b/>
      <sz val="10"/>
      <color theme="1"/>
      <name val="Calibri"/>
      <family val="2"/>
      <scheme val="minor"/>
    </font>
    <font>
      <b/>
      <sz val="18"/>
      <color rgb="FF000000"/>
      <name val="Calibri"/>
      <family val="2"/>
      <scheme val="minor"/>
    </font>
    <font>
      <sz val="10"/>
      <color theme="9"/>
      <name val="Calibri"/>
      <family val="2"/>
      <scheme val="minor"/>
    </font>
    <font>
      <b/>
      <sz val="16"/>
      <color theme="1"/>
      <name val="Calibri"/>
      <family val="2"/>
      <scheme val="minor"/>
    </font>
    <font>
      <sz val="14"/>
      <color theme="1"/>
      <name val="Calibri"/>
      <family val="2"/>
      <scheme val="minor"/>
    </font>
    <font>
      <sz val="12"/>
      <name val="Calibri"/>
      <family val="2"/>
      <scheme val="minor"/>
    </font>
    <font>
      <i/>
      <sz val="10"/>
      <color theme="1"/>
      <name val="Calibri"/>
      <family val="2"/>
      <scheme val="minor"/>
    </font>
    <font>
      <b/>
      <sz val="12"/>
      <color rgb="FFFF0000"/>
      <name val="Calibri"/>
      <family val="2"/>
      <scheme val="minor"/>
    </font>
    <font>
      <i/>
      <sz val="10"/>
      <color rgb="FFFF0000"/>
      <name val="Calibri"/>
      <family val="2"/>
      <scheme val="minor"/>
    </font>
    <font>
      <b/>
      <sz val="10"/>
      <color rgb="FF000000"/>
      <name val="Calibri"/>
      <family val="2"/>
      <scheme val="minor"/>
    </font>
    <font>
      <b/>
      <i/>
      <sz val="10"/>
      <color theme="1"/>
      <name val="Calibri"/>
      <family val="2"/>
      <scheme val="minor"/>
    </font>
    <font>
      <b/>
      <sz val="9"/>
      <name val="Calibri"/>
      <family val="2"/>
      <scheme val="minor"/>
    </font>
    <font>
      <sz val="12"/>
      <color theme="1"/>
      <name val="Calibri"/>
      <family val="2"/>
      <scheme val="minor"/>
    </font>
    <font>
      <b/>
      <sz val="12"/>
      <color theme="7" tint="0.79998168889431442"/>
      <name val="Calibri"/>
      <family val="2"/>
      <scheme val="minor"/>
    </font>
    <font>
      <b/>
      <sz val="20"/>
      <name val="Calibri"/>
      <family val="2"/>
      <scheme val="minor"/>
    </font>
    <font>
      <sz val="16"/>
      <name val="Calibri"/>
      <family val="2"/>
      <scheme val="minor"/>
    </font>
    <font>
      <b/>
      <sz val="16"/>
      <name val="Calibri"/>
      <family val="2"/>
      <scheme val="minor"/>
    </font>
    <font>
      <b/>
      <u/>
      <sz val="12"/>
      <name val="Calibri"/>
      <family val="2"/>
      <scheme val="minor"/>
    </font>
    <font>
      <b/>
      <i/>
      <sz val="10"/>
      <name val="Calibri"/>
      <family val="2"/>
      <scheme val="minor"/>
    </font>
    <font>
      <b/>
      <u/>
      <sz val="10"/>
      <name val="Calibri"/>
      <family val="2"/>
      <scheme val="minor"/>
    </font>
    <font>
      <sz val="10"/>
      <color indexed="10"/>
      <name val="Calibri"/>
      <family val="2"/>
      <scheme val="minor"/>
    </font>
    <font>
      <i/>
      <sz val="11"/>
      <name val="Calibri"/>
      <family val="2"/>
      <scheme val="minor"/>
    </font>
    <font>
      <sz val="11"/>
      <color theme="0"/>
      <name val="Calibri"/>
      <family val="2"/>
      <scheme val="minor"/>
    </font>
    <font>
      <b/>
      <sz val="9"/>
      <color theme="1"/>
      <name val="Calibri"/>
      <family val="2"/>
      <scheme val="minor"/>
    </font>
    <font>
      <b/>
      <sz val="10"/>
      <color theme="0"/>
      <name val="Calibri"/>
      <family val="2"/>
      <scheme val="minor"/>
    </font>
    <font>
      <sz val="10"/>
      <color theme="0"/>
      <name val="Calibri"/>
      <family val="2"/>
      <scheme val="minor"/>
    </font>
    <font>
      <sz val="12"/>
      <color rgb="FF0000FF"/>
      <name val="Calibri"/>
      <family val="2"/>
      <scheme val="minor"/>
    </font>
    <font>
      <sz val="10"/>
      <color rgb="FF0000FF"/>
      <name val="Calibri"/>
      <family val="2"/>
      <scheme val="minor"/>
    </font>
    <font>
      <sz val="10"/>
      <color indexed="12"/>
      <name val="Calibri"/>
      <family val="2"/>
      <scheme val="minor"/>
    </font>
    <font>
      <sz val="11"/>
      <color rgb="FF0000FF"/>
      <name val="Calibri"/>
      <family val="2"/>
      <scheme val="minor"/>
    </font>
    <font>
      <b/>
      <sz val="10"/>
      <name val="Calibri"/>
      <family val="2"/>
    </font>
    <font>
      <b/>
      <sz val="10"/>
      <color rgb="FF0000FF"/>
      <name val="Arial"/>
      <family val="2"/>
    </font>
    <font>
      <b/>
      <sz val="10"/>
      <color rgb="FF0000FF"/>
      <name val="Calibri"/>
      <family val="2"/>
    </font>
    <font>
      <b/>
      <i/>
      <u/>
      <sz val="10"/>
      <color theme="1"/>
      <name val="Calibri"/>
      <family val="2"/>
      <scheme val="minor"/>
    </font>
    <font>
      <i/>
      <u/>
      <sz val="10"/>
      <color theme="1"/>
      <name val="Calibri"/>
      <family val="2"/>
      <scheme val="minor"/>
    </font>
    <font>
      <i/>
      <u/>
      <sz val="10"/>
      <name val="Calibri"/>
      <family val="2"/>
      <scheme val="minor"/>
    </font>
    <font>
      <b/>
      <i/>
      <u/>
      <sz val="10"/>
      <name val="Calibri"/>
      <family val="2"/>
      <scheme val="minor"/>
    </font>
    <font>
      <sz val="10"/>
      <name val="Arial"/>
      <family val="2"/>
    </font>
    <font>
      <sz val="10"/>
      <color theme="0"/>
      <name val="Arial"/>
      <family val="2"/>
    </font>
    <font>
      <b/>
      <u/>
      <sz val="18"/>
      <color theme="0"/>
      <name val="Times New Roman"/>
      <family val="1"/>
    </font>
    <font>
      <sz val="18"/>
      <color rgb="FF000000"/>
      <name val="Calibri"/>
      <family val="2"/>
    </font>
    <font>
      <sz val="10"/>
      <name val="Trebuchet MS"/>
      <family val="2"/>
    </font>
    <font>
      <sz val="11"/>
      <color theme="0" tint="-0.14999847407452621"/>
      <name val="Calibri"/>
      <family val="2"/>
      <scheme val="minor"/>
    </font>
    <font>
      <b/>
      <sz val="10"/>
      <color theme="0" tint="-0.14999847407452621"/>
      <name val="Calibri"/>
      <family val="2"/>
      <scheme val="minor"/>
    </font>
    <font>
      <sz val="12"/>
      <color rgb="FFFF0000"/>
      <name val="Calibri"/>
      <family val="2"/>
    </font>
    <font>
      <sz val="12"/>
      <color rgb="FF000000"/>
      <name val="Calibri"/>
      <family val="2"/>
    </font>
    <font>
      <b/>
      <sz val="9"/>
      <color indexed="81"/>
      <name val="Arial"/>
      <family val="2"/>
    </font>
    <font>
      <sz val="11"/>
      <color theme="4"/>
      <name val="Calibri"/>
      <family val="2"/>
      <scheme val="minor"/>
    </font>
    <font>
      <b/>
      <sz val="14"/>
      <name val="Calibri"/>
      <family val="2"/>
      <scheme val="minor"/>
    </font>
    <font>
      <sz val="14"/>
      <name val="Calibri"/>
      <family val="2"/>
      <scheme val="minor"/>
    </font>
    <font>
      <b/>
      <sz val="10"/>
      <color theme="1" tint="4.9989318521683403E-2"/>
      <name val="Calibri"/>
      <family val="2"/>
      <scheme val="minor"/>
    </font>
    <font>
      <b/>
      <i/>
      <sz val="11"/>
      <color theme="1"/>
      <name val="Calibri"/>
      <family val="2"/>
      <scheme val="minor"/>
    </font>
    <font>
      <b/>
      <sz val="18"/>
      <color theme="0"/>
      <name val="Times New Roman"/>
      <family val="1"/>
    </font>
    <font>
      <b/>
      <sz val="14"/>
      <color theme="7" tint="0.79998168889431442"/>
      <name val="Calibri"/>
      <family val="2"/>
      <scheme val="minor"/>
    </font>
    <font>
      <u/>
      <sz val="11"/>
      <color theme="10"/>
      <name val="Calibri"/>
      <family val="2"/>
      <scheme val="minor"/>
    </font>
    <font>
      <u/>
      <sz val="14"/>
      <color theme="10"/>
      <name val="Calibri"/>
      <family val="2"/>
      <scheme val="minor"/>
    </font>
    <font>
      <b/>
      <sz val="18"/>
      <color theme="7" tint="0.79998168889431442"/>
      <name val="Calibri"/>
      <family val="2"/>
      <scheme val="minor"/>
    </font>
    <font>
      <b/>
      <sz val="20"/>
      <color theme="0" tint="-4.9989318521683403E-2"/>
      <name val="Times New Roman"/>
      <family val="1"/>
    </font>
    <font>
      <b/>
      <sz val="22"/>
      <color theme="0" tint="-4.9989318521683403E-2"/>
      <name val="Times New Roman"/>
      <family val="1"/>
    </font>
    <font>
      <b/>
      <sz val="18"/>
      <color theme="1"/>
      <name val="Times New Roman"/>
      <family val="1"/>
    </font>
  </fonts>
  <fills count="12">
    <fill>
      <patternFill patternType="none"/>
    </fill>
    <fill>
      <patternFill patternType="gray125"/>
    </fill>
    <fill>
      <patternFill patternType="solid">
        <fgColor rgb="FFF2F2F2"/>
      </patternFill>
    </fill>
    <fill>
      <patternFill patternType="solid">
        <fgColor theme="2" tint="-9.9978637043366805E-2"/>
        <bgColor indexed="64"/>
      </patternFill>
    </fill>
    <fill>
      <patternFill patternType="solid">
        <fgColor theme="0"/>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rgb="FFFF0000"/>
        <bgColor indexed="64"/>
      </patternFill>
    </fill>
  </fills>
  <borders count="42">
    <border>
      <left/>
      <right/>
      <top/>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style="hair">
        <color indexed="64"/>
      </top>
      <bottom style="hair">
        <color indexed="64"/>
      </bottom>
      <diagonal/>
    </border>
    <border>
      <left/>
      <right style="hair">
        <color indexed="64"/>
      </right>
      <top/>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right/>
      <top/>
      <bottom style="thin">
        <color indexed="64"/>
      </bottom>
      <diagonal/>
    </border>
    <border>
      <left/>
      <right/>
      <top/>
      <bottom style="medium">
        <color indexed="64"/>
      </bottom>
      <diagonal/>
    </border>
    <border>
      <left style="hair">
        <color auto="1"/>
      </left>
      <right style="hair">
        <color auto="1"/>
      </right>
      <top/>
      <bottom style="hair">
        <color auto="1"/>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bottom/>
      <diagonal/>
    </border>
    <border>
      <left style="hair">
        <color indexed="64"/>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hair">
        <color indexed="64"/>
      </top>
      <bottom style="hair">
        <color indexed="64"/>
      </bottom>
      <diagonal/>
    </border>
    <border>
      <left style="hair">
        <color indexed="64"/>
      </left>
      <right style="hair">
        <color indexed="64"/>
      </right>
      <top/>
      <bottom/>
      <diagonal/>
    </border>
    <border>
      <left/>
      <right/>
      <top style="thin">
        <color indexed="64"/>
      </top>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5">
    <xf numFmtId="0" fontId="0" fillId="0" borderId="0"/>
    <xf numFmtId="9" fontId="1" fillId="0" borderId="0" applyFont="0" applyFill="0" applyBorder="0" applyAlignment="0" applyProtection="0"/>
    <xf numFmtId="0" fontId="2" fillId="2" borderId="1" applyNumberFormat="0" applyAlignment="0" applyProtection="0"/>
    <xf numFmtId="0" fontId="5" fillId="0" borderId="0">
      <alignment vertical="center"/>
    </xf>
    <xf numFmtId="0" fontId="5" fillId="0" borderId="0">
      <alignment vertical="center"/>
    </xf>
    <xf numFmtId="164" fontId="5" fillId="0" borderId="0" applyFont="0" applyFill="0" applyBorder="0" applyAlignment="0" applyProtection="0"/>
    <xf numFmtId="0" fontId="13" fillId="0" borderId="0">
      <alignment vertical="center"/>
    </xf>
    <xf numFmtId="9" fontId="5" fillId="0" borderId="0" applyFont="0" applyFill="0" applyBorder="0" applyAlignment="0" applyProtection="0"/>
    <xf numFmtId="43" fontId="5"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0" fontId="5" fillId="0" borderId="0">
      <alignment vertical="center"/>
    </xf>
    <xf numFmtId="0" fontId="87" fillId="0" borderId="0">
      <alignment vertical="center"/>
    </xf>
    <xf numFmtId="0" fontId="91" fillId="0" borderId="0">
      <alignment vertical="center"/>
    </xf>
    <xf numFmtId="0" fontId="104" fillId="0" borderId="0" applyNumberFormat="0" applyFill="0" applyBorder="0" applyAlignment="0" applyProtection="0"/>
  </cellStyleXfs>
  <cellXfs count="810">
    <xf numFmtId="0" fontId="0" fillId="0" borderId="0" xfId="0"/>
    <xf numFmtId="0" fontId="0" fillId="0" borderId="12" xfId="0" applyBorder="1"/>
    <xf numFmtId="0" fontId="0" fillId="0" borderId="5" xfId="0" applyBorder="1"/>
    <xf numFmtId="0" fontId="0" fillId="0" borderId="6" xfId="0" applyBorder="1"/>
    <xf numFmtId="0" fontId="0" fillId="0" borderId="14" xfId="0" applyBorder="1"/>
    <xf numFmtId="0" fontId="4" fillId="0" borderId="0" xfId="0" applyFont="1" applyAlignment="1">
      <alignment horizontal="right"/>
    </xf>
    <xf numFmtId="0" fontId="0" fillId="0" borderId="15" xfId="0" applyBorder="1"/>
    <xf numFmtId="0" fontId="0" fillId="0" borderId="0" xfId="4" applyFont="1" applyAlignment="1"/>
    <xf numFmtId="0" fontId="15" fillId="0" borderId="0" xfId="0" applyFont="1" applyAlignment="1">
      <alignment horizontal="center"/>
    </xf>
    <xf numFmtId="0" fontId="0" fillId="0" borderId="0" xfId="0" applyAlignment="1">
      <alignment horizontal="center"/>
    </xf>
    <xf numFmtId="0" fontId="19" fillId="0" borderId="5" xfId="4" applyFont="1" applyBorder="1">
      <alignment vertical="center"/>
    </xf>
    <xf numFmtId="0" fontId="19" fillId="0" borderId="0" xfId="4" applyFont="1">
      <alignment vertical="center"/>
    </xf>
    <xf numFmtId="0" fontId="19" fillId="0" borderId="6" xfId="4" applyFont="1" applyBorder="1">
      <alignment vertical="center"/>
    </xf>
    <xf numFmtId="0" fontId="34" fillId="7" borderId="14" xfId="4" applyFont="1" applyFill="1" applyBorder="1">
      <alignment vertical="center"/>
    </xf>
    <xf numFmtId="0" fontId="34" fillId="7" borderId="2" xfId="4" applyFont="1" applyFill="1" applyBorder="1">
      <alignment vertical="center"/>
    </xf>
    <xf numFmtId="0" fontId="19" fillId="0" borderId="0" xfId="4" applyFont="1" applyAlignment="1">
      <alignment horizontal="center" vertical="center"/>
    </xf>
    <xf numFmtId="0" fontId="19" fillId="0" borderId="0" xfId="4" applyFont="1" applyAlignment="1">
      <alignment horizontal="right" vertical="center"/>
    </xf>
    <xf numFmtId="0" fontId="30" fillId="0" borderId="0" xfId="4" applyFont="1" applyAlignment="1">
      <alignment horizontal="left" vertical="center"/>
    </xf>
    <xf numFmtId="0" fontId="26" fillId="0" borderId="0" xfId="4" applyFont="1" applyAlignment="1">
      <alignment horizontal="right" vertical="center"/>
    </xf>
    <xf numFmtId="0" fontId="24" fillId="0" borderId="0" xfId="4" applyFont="1" applyAlignment="1">
      <alignment horizontal="left" vertical="center"/>
    </xf>
    <xf numFmtId="0" fontId="46" fillId="0" borderId="0" xfId="4" applyFont="1" applyAlignment="1">
      <alignment horizontal="left" vertical="center"/>
    </xf>
    <xf numFmtId="165" fontId="32" fillId="4" borderId="0" xfId="5" applyNumberFormat="1" applyFont="1" applyFill="1" applyBorder="1" applyAlignment="1" applyProtection="1">
      <alignment horizontal="center" vertical="center"/>
    </xf>
    <xf numFmtId="0" fontId="0" fillId="5" borderId="0" xfId="0" applyFill="1"/>
    <xf numFmtId="0" fontId="26" fillId="5" borderId="3" xfId="4" applyFont="1" applyFill="1" applyBorder="1">
      <alignment vertical="center"/>
    </xf>
    <xf numFmtId="0" fontId="19" fillId="5" borderId="3" xfId="4" applyFont="1" applyFill="1" applyBorder="1" applyAlignment="1">
      <alignment horizontal="right" vertical="center"/>
    </xf>
    <xf numFmtId="0" fontId="42" fillId="6" borderId="5" xfId="4" applyFont="1" applyFill="1" applyBorder="1">
      <alignment vertical="center"/>
    </xf>
    <xf numFmtId="0" fontId="30" fillId="0" borderId="0" xfId="4" applyFont="1">
      <alignment vertical="center"/>
    </xf>
    <xf numFmtId="0" fontId="19" fillId="0" borderId="0" xfId="4" applyFont="1" applyAlignment="1"/>
    <xf numFmtId="0" fontId="49" fillId="0" borderId="0" xfId="4" applyFont="1">
      <alignment vertical="center"/>
    </xf>
    <xf numFmtId="0" fontId="26" fillId="0" borderId="0" xfId="4" applyFont="1" applyAlignment="1">
      <alignment horizontal="left" vertical="center"/>
    </xf>
    <xf numFmtId="0" fontId="26" fillId="0" borderId="0" xfId="4" applyFont="1" applyAlignment="1">
      <alignment horizontal="center" vertical="center" wrapText="1"/>
    </xf>
    <xf numFmtId="0" fontId="26" fillId="0" borderId="0" xfId="4" applyFont="1" applyAlignment="1">
      <alignment horizontal="center" vertical="center"/>
    </xf>
    <xf numFmtId="0" fontId="26" fillId="5" borderId="0" xfId="4" applyFont="1" applyFill="1" applyAlignment="1">
      <alignment horizontal="center" vertical="center" wrapText="1"/>
    </xf>
    <xf numFmtId="0" fontId="25" fillId="0" borderId="0" xfId="0" applyFont="1" applyAlignment="1">
      <alignment horizontal="right"/>
    </xf>
    <xf numFmtId="0" fontId="25" fillId="0" borderId="0" xfId="0" applyFont="1"/>
    <xf numFmtId="0" fontId="19" fillId="0" borderId="0" xfId="0" applyFont="1"/>
    <xf numFmtId="0" fontId="24" fillId="0" borderId="0" xfId="0" applyFont="1"/>
    <xf numFmtId="0" fontId="4" fillId="0" borderId="0" xfId="0" applyFont="1" applyAlignment="1">
      <alignment horizontal="center"/>
    </xf>
    <xf numFmtId="0" fontId="50" fillId="3" borderId="0" xfId="0" applyFont="1" applyFill="1"/>
    <xf numFmtId="0" fontId="25" fillId="3" borderId="0" xfId="0" applyFont="1" applyFill="1"/>
    <xf numFmtId="0" fontId="25" fillId="3" borderId="0" xfId="0" applyFont="1" applyFill="1" applyAlignment="1">
      <alignment horizontal="center"/>
    </xf>
    <xf numFmtId="0" fontId="50" fillId="0" borderId="0" xfId="0" applyFont="1" applyAlignment="1">
      <alignment horizontal="right"/>
    </xf>
    <xf numFmtId="9" fontId="25" fillId="0" borderId="0" xfId="0" applyNumberFormat="1" applyFont="1"/>
    <xf numFmtId="173" fontId="25" fillId="0" borderId="0" xfId="0" applyNumberFormat="1" applyFont="1"/>
    <xf numFmtId="2" fontId="25" fillId="0" borderId="0" xfId="0" applyNumberFormat="1" applyFont="1"/>
    <xf numFmtId="0" fontId="19" fillId="0" borderId="0" xfId="6" applyFont="1" applyAlignment="1"/>
    <xf numFmtId="0" fontId="26" fillId="3" borderId="0" xfId="0" applyFont="1" applyFill="1"/>
    <xf numFmtId="0" fontId="19" fillId="3" borderId="0" xfId="0" applyFont="1" applyFill="1" applyAlignment="1">
      <alignment horizontal="center"/>
    </xf>
    <xf numFmtId="0" fontId="19" fillId="3" borderId="0" xfId="0" applyFont="1" applyFill="1"/>
    <xf numFmtId="0" fontId="19" fillId="0" borderId="0" xfId="0" applyFont="1" applyAlignment="1">
      <alignment horizontal="right"/>
    </xf>
    <xf numFmtId="0" fontId="26" fillId="0" borderId="0" xfId="0" applyFont="1"/>
    <xf numFmtId="0" fontId="26" fillId="3" borderId="0" xfId="0" applyFont="1" applyFill="1" applyAlignment="1">
      <alignment horizontal="center"/>
    </xf>
    <xf numFmtId="0" fontId="26" fillId="0" borderId="0" xfId="0" applyFont="1" applyAlignment="1">
      <alignment horizontal="right"/>
    </xf>
    <xf numFmtId="2" fontId="19" fillId="0" borderId="0" xfId="2" applyNumberFormat="1" applyFont="1" applyFill="1" applyBorder="1" applyAlignment="1">
      <alignment horizontal="center"/>
    </xf>
    <xf numFmtId="175" fontId="19" fillId="0" borderId="0" xfId="1" applyNumberFormat="1" applyFont="1" applyFill="1" applyBorder="1" applyAlignment="1">
      <alignment horizontal="center"/>
    </xf>
    <xf numFmtId="10" fontId="19" fillId="0" borderId="0" xfId="0" applyNumberFormat="1" applyFont="1" applyAlignment="1">
      <alignment horizontal="center"/>
    </xf>
    <xf numFmtId="10" fontId="19" fillId="0" borderId="0" xfId="1" applyNumberFormat="1" applyFont="1" applyFill="1" applyBorder="1" applyAlignment="1">
      <alignment horizontal="center"/>
    </xf>
    <xf numFmtId="0" fontId="26" fillId="0" borderId="0" xfId="0" applyFont="1" applyAlignment="1">
      <alignment horizontal="center"/>
    </xf>
    <xf numFmtId="10" fontId="26" fillId="0" borderId="0" xfId="0" applyNumberFormat="1" applyFont="1" applyAlignment="1">
      <alignment horizontal="center"/>
    </xf>
    <xf numFmtId="2" fontId="19" fillId="0" borderId="0" xfId="0" applyNumberFormat="1" applyFont="1" applyAlignment="1">
      <alignment horizontal="left"/>
    </xf>
    <xf numFmtId="2" fontId="19" fillId="0" borderId="0" xfId="0" applyNumberFormat="1" applyFont="1" applyAlignment="1">
      <alignment horizontal="center"/>
    </xf>
    <xf numFmtId="0" fontId="50" fillId="0" borderId="0" xfId="0" applyFont="1"/>
    <xf numFmtId="0" fontId="56" fillId="0" borderId="0" xfId="0" applyFont="1"/>
    <xf numFmtId="0" fontId="26" fillId="0" borderId="0" xfId="0" applyFont="1" applyAlignment="1">
      <alignment horizontal="left" vertical="center"/>
    </xf>
    <xf numFmtId="0" fontId="19" fillId="0" borderId="0" xfId="0" applyFont="1" applyAlignment="1">
      <alignment horizontal="left" vertical="center"/>
    </xf>
    <xf numFmtId="0" fontId="19" fillId="0" borderId="0" xfId="0" applyFont="1" applyAlignment="1">
      <alignment vertical="center"/>
    </xf>
    <xf numFmtId="165" fontId="19" fillId="0" borderId="0" xfId="5" applyNumberFormat="1" applyFont="1" applyFill="1" applyBorder="1" applyAlignment="1" applyProtection="1">
      <alignment horizontal="center" vertical="center"/>
    </xf>
    <xf numFmtId="0" fontId="19" fillId="0" borderId="0" xfId="0" applyFont="1" applyAlignment="1">
      <alignment horizontal="center" vertical="center" wrapText="1"/>
    </xf>
    <xf numFmtId="0" fontId="19" fillId="0" borderId="0" xfId="2" applyFont="1" applyFill="1" applyBorder="1" applyAlignment="1">
      <alignment horizont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19" fillId="0" borderId="22" xfId="0" applyFont="1" applyBorder="1" applyAlignment="1">
      <alignment horizontal="center" vertical="center"/>
    </xf>
    <xf numFmtId="0" fontId="19" fillId="0" borderId="20" xfId="0" applyFont="1" applyBorder="1" applyAlignment="1">
      <alignment horizontal="center"/>
    </xf>
    <xf numFmtId="0" fontId="19" fillId="0" borderId="22" xfId="0" applyFont="1" applyBorder="1" applyAlignment="1">
      <alignment horizontal="center"/>
    </xf>
    <xf numFmtId="0" fontId="25" fillId="0" borderId="0" xfId="0" applyFont="1" applyAlignment="1">
      <alignment horizontal="center"/>
    </xf>
    <xf numFmtId="0" fontId="50" fillId="0" borderId="0" xfId="0" applyFont="1" applyAlignment="1">
      <alignment horizontal="center" vertical="center" wrapText="1"/>
    </xf>
    <xf numFmtId="0" fontId="50" fillId="0" borderId="0" xfId="0" applyFont="1" applyAlignment="1">
      <alignment horizontal="right" vertical="center"/>
    </xf>
    <xf numFmtId="0" fontId="19" fillId="0" borderId="0" xfId="0" applyFont="1" applyAlignment="1">
      <alignment horizontal="left"/>
    </xf>
    <xf numFmtId="166" fontId="19" fillId="0" borderId="0" xfId="1" applyNumberFormat="1" applyFont="1" applyFill="1" applyBorder="1" applyAlignment="1">
      <alignment horizontal="center"/>
    </xf>
    <xf numFmtId="175" fontId="19" fillId="0" borderId="0" xfId="0" applyNumberFormat="1" applyFont="1"/>
    <xf numFmtId="10" fontId="19" fillId="0" borderId="0" xfId="0" applyNumberFormat="1" applyFont="1"/>
    <xf numFmtId="10" fontId="19" fillId="0" borderId="0" xfId="1" applyNumberFormat="1" applyFont="1" applyFill="1" applyBorder="1" applyAlignment="1">
      <alignment horizontal="left"/>
    </xf>
    <xf numFmtId="176" fontId="19" fillId="0" borderId="0" xfId="0" applyNumberFormat="1" applyFont="1"/>
    <xf numFmtId="166" fontId="19" fillId="0" borderId="0" xfId="1" applyNumberFormat="1" applyFont="1" applyFill="1" applyBorder="1" applyAlignment="1">
      <alignment horizontal="center" vertical="center"/>
    </xf>
    <xf numFmtId="175" fontId="19" fillId="0" borderId="0" xfId="0" applyNumberFormat="1" applyFont="1" applyAlignment="1">
      <alignment horizontal="center"/>
    </xf>
    <xf numFmtId="9" fontId="19" fillId="0" borderId="0" xfId="1" applyFont="1" applyFill="1" applyBorder="1" applyAlignment="1">
      <alignment horizontal="right"/>
    </xf>
    <xf numFmtId="0" fontId="19" fillId="0" borderId="0" xfId="0" applyFont="1" applyAlignment="1">
      <alignment horizontal="center" textRotation="90"/>
    </xf>
    <xf numFmtId="0" fontId="25" fillId="0" borderId="0" xfId="0" applyFont="1" applyAlignment="1">
      <alignment horizontal="center" vertical="center"/>
    </xf>
    <xf numFmtId="0" fontId="26" fillId="0" borderId="0" xfId="4" applyFont="1">
      <alignment vertical="center"/>
    </xf>
    <xf numFmtId="0" fontId="56" fillId="0" borderId="0" xfId="0" applyFont="1" applyAlignment="1">
      <alignment horizontal="right"/>
    </xf>
    <xf numFmtId="166" fontId="25" fillId="0" borderId="0" xfId="1" applyNumberFormat="1" applyFont="1" applyFill="1" applyBorder="1" applyAlignment="1">
      <alignment horizontal="center"/>
    </xf>
    <xf numFmtId="0" fontId="31" fillId="0" borderId="0" xfId="4" applyFont="1" applyAlignment="1">
      <alignment horizontal="right" vertical="center"/>
    </xf>
    <xf numFmtId="0" fontId="31" fillId="0" borderId="0" xfId="0" applyFont="1" applyAlignment="1">
      <alignment horizontal="right"/>
    </xf>
    <xf numFmtId="0" fontId="24" fillId="0" borderId="0" xfId="0" applyFont="1" applyAlignment="1">
      <alignment horizontal="center"/>
    </xf>
    <xf numFmtId="171" fontId="19" fillId="0" borderId="0" xfId="4" applyNumberFormat="1" applyFont="1" applyAlignment="1">
      <alignment horizontal="right" vertical="center"/>
    </xf>
    <xf numFmtId="41" fontId="25" fillId="0" borderId="0" xfId="9" applyNumberFormat="1" applyFont="1" applyFill="1" applyBorder="1" applyAlignment="1"/>
    <xf numFmtId="0" fontId="58" fillId="0" borderId="0" xfId="0" applyFont="1" applyAlignment="1">
      <alignment horizontal="center"/>
    </xf>
    <xf numFmtId="41" fontId="19" fillId="0" borderId="0" xfId="9" applyNumberFormat="1" applyFont="1" applyFill="1" applyBorder="1" applyAlignment="1"/>
    <xf numFmtId="3" fontId="19" fillId="0" borderId="0" xfId="4" applyNumberFormat="1" applyFont="1" applyAlignment="1">
      <alignment horizontal="right"/>
    </xf>
    <xf numFmtId="0" fontId="60" fillId="0" borderId="0" xfId="0" applyFont="1" applyAlignment="1">
      <alignment horizontal="right"/>
    </xf>
    <xf numFmtId="171" fontId="26" fillId="0" borderId="0" xfId="4" applyNumberFormat="1" applyFont="1" applyAlignment="1">
      <alignment horizontal="right" vertical="center"/>
    </xf>
    <xf numFmtId="10" fontId="50" fillId="0" borderId="0" xfId="0" applyNumberFormat="1" applyFont="1" applyAlignment="1">
      <alignment horizontal="center"/>
    </xf>
    <xf numFmtId="0" fontId="50" fillId="0" borderId="0" xfId="0" applyFont="1" applyAlignment="1">
      <alignment horizontal="right" wrapText="1"/>
    </xf>
    <xf numFmtId="10" fontId="50" fillId="0" borderId="0" xfId="0" applyNumberFormat="1" applyFont="1" applyAlignment="1">
      <alignment horizontal="center" vertical="center"/>
    </xf>
    <xf numFmtId="0" fontId="50" fillId="0" borderId="0" xfId="0" applyFont="1" applyAlignment="1">
      <alignment vertical="center"/>
    </xf>
    <xf numFmtId="0" fontId="59" fillId="0" borderId="0" xfId="6" applyFont="1" applyAlignment="1"/>
    <xf numFmtId="0" fontId="19" fillId="0" borderId="0" xfId="0" applyFont="1" applyAlignment="1">
      <alignment horizontal="center"/>
    </xf>
    <xf numFmtId="3" fontId="26" fillId="0" borderId="0" xfId="4" applyNumberFormat="1" applyFont="1" applyAlignment="1">
      <alignment horizontal="center" vertical="center" wrapText="1"/>
    </xf>
    <xf numFmtId="2" fontId="19" fillId="0" borderId="0" xfId="0" applyNumberFormat="1" applyFont="1"/>
    <xf numFmtId="0" fontId="26" fillId="0" borderId="0" xfId="6" applyFont="1" applyAlignment="1"/>
    <xf numFmtId="10" fontId="26" fillId="0" borderId="0" xfId="0" applyNumberFormat="1" applyFont="1" applyAlignment="1">
      <alignment horizontal="center" vertical="center"/>
    </xf>
    <xf numFmtId="43" fontId="26" fillId="0" borderId="0" xfId="10" applyFont="1" applyFill="1" applyBorder="1" applyAlignment="1">
      <alignment horizontal="center" vertical="center" wrapText="1"/>
    </xf>
    <xf numFmtId="0" fontId="26" fillId="0" borderId="0" xfId="0" applyFont="1" applyAlignment="1">
      <alignment horizontal="right" vertical="center"/>
    </xf>
    <xf numFmtId="0" fontId="0" fillId="0" borderId="7" xfId="0" applyBorder="1" applyAlignment="1">
      <alignment horizontal="center"/>
    </xf>
    <xf numFmtId="0" fontId="3" fillId="0" borderId="0" xfId="0" applyFont="1" applyAlignment="1">
      <alignment horizontal="center"/>
    </xf>
    <xf numFmtId="0" fontId="0" fillId="0" borderId="0" xfId="0" applyAlignment="1">
      <alignment horizontal="left"/>
    </xf>
    <xf numFmtId="0" fontId="4" fillId="0" borderId="0" xfId="0" applyFont="1" applyAlignment="1">
      <alignment horizontal="left"/>
    </xf>
    <xf numFmtId="0" fontId="26" fillId="0" borderId="19" xfId="0" applyFont="1" applyBorder="1" applyAlignment="1">
      <alignment horizontal="center"/>
    </xf>
    <xf numFmtId="0" fontId="26" fillId="0" borderId="21" xfId="0" applyFont="1" applyBorder="1" applyAlignment="1">
      <alignment horizontal="center"/>
    </xf>
    <xf numFmtId="172" fontId="32" fillId="0" borderId="0" xfId="4" applyNumberFormat="1" applyFont="1" applyAlignment="1"/>
    <xf numFmtId="0" fontId="33" fillId="0" borderId="0" xfId="4" applyFont="1" applyAlignment="1">
      <alignment horizontal="center" vertical="center"/>
    </xf>
    <xf numFmtId="0" fontId="19" fillId="0" borderId="0" xfId="4" applyFont="1" applyAlignment="1">
      <alignment horizontal="center" vertical="top"/>
    </xf>
    <xf numFmtId="0" fontId="4" fillId="0" borderId="0" xfId="0" applyFont="1" applyAlignment="1">
      <alignment horizontal="center" vertical="center" wrapText="1"/>
    </xf>
    <xf numFmtId="180" fontId="19" fillId="0" borderId="0" xfId="0" applyNumberFormat="1" applyFont="1" applyAlignment="1">
      <alignment horizontal="center"/>
    </xf>
    <xf numFmtId="173" fontId="19" fillId="0" borderId="0" xfId="0" applyNumberFormat="1" applyFont="1" applyAlignment="1">
      <alignment horizontal="center"/>
    </xf>
    <xf numFmtId="3" fontId="26" fillId="0" borderId="0" xfId="4" applyNumberFormat="1" applyFont="1" applyAlignment="1">
      <alignment horizontal="right" wrapText="1"/>
    </xf>
    <xf numFmtId="0" fontId="26" fillId="0" borderId="0" xfId="0" applyFont="1" applyAlignment="1">
      <alignment wrapText="1"/>
    </xf>
    <xf numFmtId="165" fontId="26" fillId="0" borderId="0" xfId="4" applyNumberFormat="1" applyFont="1" applyAlignment="1">
      <alignment horizontal="right" wrapText="1"/>
    </xf>
    <xf numFmtId="0" fontId="51" fillId="0" borderId="0" xfId="6" applyFont="1" applyAlignment="1"/>
    <xf numFmtId="0" fontId="64" fillId="0" borderId="0" xfId="4" applyFont="1" applyAlignment="1"/>
    <xf numFmtId="0" fontId="65" fillId="0" borderId="0" xfId="4" applyFont="1" applyAlignment="1"/>
    <xf numFmtId="0" fontId="19" fillId="0" borderId="0" xfId="4" applyFont="1" applyAlignment="1">
      <alignment horizontal="left"/>
    </xf>
    <xf numFmtId="0" fontId="19" fillId="0" borderId="0" xfId="4" applyFont="1" applyAlignment="1">
      <alignment horizontal="center"/>
    </xf>
    <xf numFmtId="0" fontId="66" fillId="0" borderId="0" xfId="4" applyFont="1" applyAlignment="1"/>
    <xf numFmtId="0" fontId="64" fillId="0" borderId="0" xfId="4" applyFont="1" applyAlignment="1">
      <alignment horizontal="left"/>
    </xf>
    <xf numFmtId="0" fontId="56" fillId="0" borderId="0" xfId="4" applyFont="1" applyAlignment="1">
      <alignment horizontal="center"/>
    </xf>
    <xf numFmtId="0" fontId="31" fillId="0" borderId="0" xfId="3" applyFont="1" applyAlignment="1">
      <alignment horizontal="center" vertical="center"/>
    </xf>
    <xf numFmtId="177" fontId="1" fillId="0" borderId="0" xfId="4" applyNumberFormat="1" applyFont="1" applyAlignment="1"/>
    <xf numFmtId="2" fontId="19" fillId="0" borderId="0" xfId="4" applyNumberFormat="1" applyFont="1" applyAlignment="1">
      <alignment horizontal="center"/>
    </xf>
    <xf numFmtId="167" fontId="19" fillId="0" borderId="31" xfId="5" applyNumberFormat="1" applyFont="1" applyFill="1" applyBorder="1" applyAlignment="1" applyProtection="1">
      <alignment horizontal="right"/>
    </xf>
    <xf numFmtId="9" fontId="19" fillId="0" borderId="20" xfId="1" applyFont="1" applyFill="1" applyBorder="1" applyAlignment="1">
      <alignment horizontal="center"/>
    </xf>
    <xf numFmtId="0" fontId="19" fillId="0" borderId="31" xfId="4" applyFont="1" applyBorder="1" applyAlignment="1">
      <alignment horizontal="right"/>
    </xf>
    <xf numFmtId="167" fontId="19" fillId="0" borderId="32" xfId="5" applyNumberFormat="1" applyFont="1" applyFill="1" applyBorder="1" applyAlignment="1" applyProtection="1">
      <alignment horizontal="right"/>
    </xf>
    <xf numFmtId="9" fontId="19" fillId="0" borderId="22" xfId="1" applyFont="1" applyFill="1" applyBorder="1" applyAlignment="1">
      <alignment horizontal="center"/>
    </xf>
    <xf numFmtId="0" fontId="19" fillId="0" borderId="2" xfId="4" applyFont="1" applyBorder="1" applyAlignment="1">
      <alignment horizontal="center"/>
    </xf>
    <xf numFmtId="0" fontId="19" fillId="0" borderId="3" xfId="4" applyFont="1" applyBorder="1" applyAlignment="1"/>
    <xf numFmtId="0" fontId="19" fillId="0" borderId="3" xfId="4" applyFont="1" applyBorder="1" applyAlignment="1">
      <alignment horizontal="left"/>
    </xf>
    <xf numFmtId="0" fontId="19" fillId="0" borderId="3" xfId="4" applyFont="1" applyBorder="1" applyAlignment="1">
      <alignment horizontal="center"/>
    </xf>
    <xf numFmtId="0" fontId="19" fillId="0" borderId="4" xfId="4" applyFont="1" applyBorder="1" applyAlignment="1"/>
    <xf numFmtId="0" fontId="19" fillId="0" borderId="5" xfId="4" applyFont="1" applyBorder="1" applyAlignment="1">
      <alignment horizontal="center"/>
    </xf>
    <xf numFmtId="0" fontId="1" fillId="0" borderId="0" xfId="4" applyFont="1" applyAlignment="1"/>
    <xf numFmtId="0" fontId="19" fillId="0" borderId="6" xfId="4" applyFont="1" applyBorder="1" applyAlignment="1"/>
    <xf numFmtId="0" fontId="70" fillId="0" borderId="0" xfId="4" applyFont="1" applyAlignment="1"/>
    <xf numFmtId="0" fontId="19" fillId="0" borderId="14" xfId="4" applyFont="1" applyBorder="1" applyAlignment="1">
      <alignment horizontal="center"/>
    </xf>
    <xf numFmtId="0" fontId="70" fillId="0" borderId="12" xfId="4" applyFont="1" applyBorder="1" applyAlignment="1"/>
    <xf numFmtId="0" fontId="19" fillId="0" borderId="12" xfId="4" applyFont="1" applyBorder="1" applyAlignment="1">
      <alignment horizontal="center"/>
    </xf>
    <xf numFmtId="0" fontId="19" fillId="0" borderId="15" xfId="4" applyFont="1" applyBorder="1" applyAlignment="1"/>
    <xf numFmtId="0" fontId="19" fillId="0" borderId="0" xfId="3" applyFont="1">
      <alignment vertical="center"/>
    </xf>
    <xf numFmtId="0" fontId="19" fillId="0" borderId="0" xfId="0" applyFont="1" applyAlignment="1">
      <alignment horizontal="center" vertical="center"/>
    </xf>
    <xf numFmtId="0" fontId="19" fillId="0" borderId="0" xfId="4" applyFont="1" applyAlignment="1">
      <alignment horizontal="left" vertical="center"/>
    </xf>
    <xf numFmtId="10" fontId="26" fillId="0" borderId="0" xfId="4" applyNumberFormat="1" applyFont="1" applyAlignment="1">
      <alignment horizontal="center"/>
    </xf>
    <xf numFmtId="0" fontId="19" fillId="0" borderId="0" xfId="0" applyFont="1" applyAlignment="1">
      <alignment horizontal="right" vertical="center"/>
    </xf>
    <xf numFmtId="175" fontId="26" fillId="0" borderId="0" xfId="0" applyNumberFormat="1" applyFont="1" applyAlignment="1">
      <alignment horizontal="center"/>
    </xf>
    <xf numFmtId="0" fontId="26" fillId="0" borderId="0" xfId="0" applyFont="1" applyAlignment="1">
      <alignment vertical="center"/>
    </xf>
    <xf numFmtId="0" fontId="26" fillId="0" borderId="0" xfId="4" applyFont="1" applyAlignment="1">
      <alignment horizontal="right" vertical="center" wrapText="1"/>
    </xf>
    <xf numFmtId="10" fontId="19" fillId="0" borderId="20" xfId="1" applyNumberFormat="1" applyFont="1" applyFill="1" applyBorder="1" applyAlignment="1">
      <alignment horizontal="center"/>
    </xf>
    <xf numFmtId="0" fontId="26" fillId="0" borderId="0" xfId="0" applyFont="1" applyAlignment="1">
      <alignment horizontal="center" vertical="center"/>
    </xf>
    <xf numFmtId="0" fontId="26" fillId="0" borderId="0" xfId="0" applyFont="1" applyAlignment="1">
      <alignment horizontal="center" vertical="center" wrapText="1"/>
    </xf>
    <xf numFmtId="0" fontId="19" fillId="0" borderId="0" xfId="0" applyFont="1" applyAlignment="1">
      <alignment wrapText="1"/>
    </xf>
    <xf numFmtId="9" fontId="19" fillId="0" borderId="0" xfId="1" applyFont="1" applyFill="1" applyBorder="1" applyAlignment="1">
      <alignment horizontal="center"/>
    </xf>
    <xf numFmtId="0" fontId="26" fillId="0" borderId="0" xfId="0" applyFont="1" applyAlignment="1">
      <alignment horizontal="left"/>
    </xf>
    <xf numFmtId="0" fontId="31" fillId="0" borderId="0" xfId="0" applyFont="1"/>
    <xf numFmtId="9" fontId="19" fillId="0" borderId="0" xfId="1" applyFont="1" applyFill="1" applyBorder="1" applyAlignment="1">
      <alignment horizontal="center" vertical="center"/>
    </xf>
    <xf numFmtId="9" fontId="19" fillId="0" borderId="0" xfId="0" applyNumberFormat="1" applyFont="1" applyAlignment="1">
      <alignment horizontal="center"/>
    </xf>
    <xf numFmtId="165" fontId="19" fillId="0" borderId="0" xfId="4" applyNumberFormat="1" applyFont="1" applyAlignment="1">
      <alignment horizontal="center"/>
    </xf>
    <xf numFmtId="0" fontId="25" fillId="0" borderId="0" xfId="5" applyNumberFormat="1" applyFont="1" applyFill="1" applyBorder="1" applyAlignment="1" applyProtection="1">
      <alignment horizontal="center" vertical="center"/>
    </xf>
    <xf numFmtId="0" fontId="25" fillId="0" borderId="0" xfId="5" applyNumberFormat="1" applyFont="1" applyFill="1" applyBorder="1" applyAlignment="1" applyProtection="1">
      <alignment horizontal="left" vertical="center"/>
    </xf>
    <xf numFmtId="0" fontId="9" fillId="0" borderId="0" xfId="0" applyFont="1"/>
    <xf numFmtId="0" fontId="34" fillId="0" borderId="0" xfId="4" applyFont="1">
      <alignment vertical="center"/>
    </xf>
    <xf numFmtId="165" fontId="32" fillId="0" borderId="0" xfId="5" applyNumberFormat="1" applyFont="1" applyFill="1" applyBorder="1" applyAlignment="1" applyProtection="1">
      <alignment horizontal="center" vertical="center"/>
      <protection locked="0"/>
    </xf>
    <xf numFmtId="0" fontId="72" fillId="0" borderId="0" xfId="0" applyFont="1"/>
    <xf numFmtId="181" fontId="19" fillId="0" borderId="0" xfId="2" applyNumberFormat="1" applyFont="1" applyFill="1" applyBorder="1" applyAlignment="1">
      <alignment horizontal="center"/>
    </xf>
    <xf numFmtId="182" fontId="19" fillId="0" borderId="0" xfId="2" applyNumberFormat="1" applyFont="1" applyFill="1" applyBorder="1" applyAlignment="1">
      <alignment horizontal="center"/>
    </xf>
    <xf numFmtId="179" fontId="25" fillId="0" borderId="0" xfId="0" applyNumberFormat="1" applyFont="1"/>
    <xf numFmtId="183" fontId="19" fillId="0" borderId="20" xfId="0" applyNumberFormat="1" applyFont="1" applyBorder="1" applyAlignment="1">
      <alignment horizontal="center" vertical="center"/>
    </xf>
    <xf numFmtId="183" fontId="19" fillId="0" borderId="22" xfId="0" applyNumberFormat="1" applyFont="1" applyBorder="1" applyAlignment="1">
      <alignment horizontal="center" vertical="center"/>
    </xf>
    <xf numFmtId="183" fontId="19" fillId="0" borderId="0" xfId="0" applyNumberFormat="1" applyFont="1" applyAlignment="1">
      <alignment horizontal="center" vertical="center"/>
    </xf>
    <xf numFmtId="167" fontId="19" fillId="0" borderId="0" xfId="4" applyNumberFormat="1" applyFont="1" applyAlignment="1">
      <alignment horizontal="center"/>
    </xf>
    <xf numFmtId="167" fontId="19" fillId="0" borderId="0" xfId="4" applyNumberFormat="1" applyFont="1" applyAlignment="1">
      <alignment horizontal="center" vertical="center"/>
    </xf>
    <xf numFmtId="167" fontId="19" fillId="0" borderId="0" xfId="6" applyNumberFormat="1" applyFont="1" applyAlignment="1"/>
    <xf numFmtId="167" fontId="19" fillId="0" borderId="0" xfId="2" applyNumberFormat="1" applyFont="1" applyFill="1" applyBorder="1" applyAlignment="1">
      <alignment horizontal="center"/>
    </xf>
    <xf numFmtId="167" fontId="19" fillId="0" borderId="0" xfId="0" applyNumberFormat="1" applyFont="1"/>
    <xf numFmtId="167" fontId="19" fillId="0" borderId="0" xfId="0" applyNumberFormat="1" applyFont="1" applyAlignment="1">
      <alignment horizontal="center"/>
    </xf>
    <xf numFmtId="167" fontId="10" fillId="0" borderId="0" xfId="2" applyNumberFormat="1" applyFont="1" applyFill="1" applyBorder="1" applyAlignment="1">
      <alignment horizontal="center" vertical="center"/>
    </xf>
    <xf numFmtId="167" fontId="10" fillId="0" borderId="0" xfId="2" applyNumberFormat="1" applyFont="1" applyFill="1" applyBorder="1" applyAlignment="1">
      <alignment horizontal="center"/>
    </xf>
    <xf numFmtId="167" fontId="25" fillId="0" borderId="0" xfId="0" applyNumberFormat="1" applyFont="1" applyAlignment="1">
      <alignment horizontal="center"/>
    </xf>
    <xf numFmtId="167" fontId="25" fillId="0" borderId="0" xfId="10" applyNumberFormat="1" applyFont="1" applyFill="1" applyBorder="1" applyAlignment="1">
      <alignment horizontal="center"/>
    </xf>
    <xf numFmtId="9" fontId="25" fillId="0" borderId="0" xfId="1" applyFont="1" applyFill="1" applyBorder="1" applyAlignment="1">
      <alignment horizontal="center"/>
    </xf>
    <xf numFmtId="14" fontId="77" fillId="0" borderId="34" xfId="4" applyNumberFormat="1" applyFont="1" applyBorder="1" applyAlignment="1" applyProtection="1">
      <alignment horizontal="center"/>
      <protection locked="0"/>
    </xf>
    <xf numFmtId="184" fontId="19" fillId="0" borderId="7" xfId="4" applyNumberFormat="1" applyFont="1" applyBorder="1" applyAlignment="1" applyProtection="1">
      <alignment horizontal="center"/>
      <protection locked="0"/>
    </xf>
    <xf numFmtId="166" fontId="78" fillId="0" borderId="7" xfId="1" applyNumberFormat="1" applyFont="1" applyFill="1" applyBorder="1" applyAlignment="1" applyProtection="1">
      <alignment horizontal="center"/>
      <protection locked="0"/>
    </xf>
    <xf numFmtId="184" fontId="78" fillId="0" borderId="7" xfId="5" applyNumberFormat="1" applyFont="1" applyFill="1" applyBorder="1" applyAlignment="1" applyProtection="1">
      <alignment horizontal="center" vertical="center"/>
      <protection locked="0"/>
    </xf>
    <xf numFmtId="0" fontId="79" fillId="0" borderId="0" xfId="0" applyFont="1" applyAlignment="1" applyProtection="1">
      <alignment horizontal="center"/>
      <protection locked="0"/>
    </xf>
    <xf numFmtId="0" fontId="78" fillId="0" borderId="0" xfId="4" applyFont="1" applyAlignment="1" applyProtection="1">
      <alignment horizontal="center" vertical="center"/>
      <protection locked="0"/>
    </xf>
    <xf numFmtId="166" fontId="78" fillId="0" borderId="0" xfId="1" applyNumberFormat="1" applyFont="1" applyFill="1" applyBorder="1" applyAlignment="1" applyProtection="1">
      <alignment horizontal="center" vertical="center"/>
      <protection locked="0"/>
    </xf>
    <xf numFmtId="9" fontId="78" fillId="0" borderId="0" xfId="1" applyFont="1" applyFill="1" applyBorder="1" applyAlignment="1" applyProtection="1">
      <alignment horizontal="center" vertical="center"/>
      <protection locked="0"/>
    </xf>
    <xf numFmtId="165" fontId="78" fillId="0" borderId="35" xfId="5" applyNumberFormat="1" applyFont="1" applyFill="1" applyBorder="1" applyAlignment="1" applyProtection="1">
      <alignment horizontal="center" vertical="center"/>
      <protection locked="0"/>
    </xf>
    <xf numFmtId="165" fontId="78" fillId="0" borderId="0" xfId="5" applyNumberFormat="1" applyFont="1" applyFill="1" applyBorder="1" applyAlignment="1" applyProtection="1">
      <alignment horizontal="center" vertical="center" wrapText="1"/>
      <protection locked="0"/>
    </xf>
    <xf numFmtId="0" fontId="78" fillId="0" borderId="0" xfId="5" applyNumberFormat="1" applyFont="1" applyFill="1" applyBorder="1" applyAlignment="1" applyProtection="1">
      <alignment horizontal="center" vertical="center"/>
      <protection locked="0"/>
    </xf>
    <xf numFmtId="49" fontId="78" fillId="0" borderId="0" xfId="4" applyNumberFormat="1" applyFont="1" applyAlignment="1" applyProtection="1">
      <alignment horizontal="center"/>
      <protection locked="0"/>
    </xf>
    <xf numFmtId="1" fontId="78" fillId="0" borderId="0" xfId="4" applyNumberFormat="1" applyFont="1" applyAlignment="1" applyProtection="1">
      <alignment horizontal="center"/>
      <protection locked="0"/>
    </xf>
    <xf numFmtId="0" fontId="82" fillId="0" borderId="0" xfId="4" applyFont="1" applyAlignment="1" applyProtection="1">
      <alignment horizontal="center"/>
      <protection locked="0"/>
    </xf>
    <xf numFmtId="10" fontId="82" fillId="0" borderId="0" xfId="1" applyNumberFormat="1" applyFont="1" applyFill="1" applyBorder="1" applyAlignment="1" applyProtection="1">
      <alignment horizontal="center"/>
      <protection locked="0"/>
    </xf>
    <xf numFmtId="0" fontId="82" fillId="0" borderId="0" xfId="4" applyFont="1" applyAlignment="1" applyProtection="1">
      <alignment horizontal="left" wrapText="1"/>
      <protection locked="0"/>
    </xf>
    <xf numFmtId="184" fontId="80" fillId="0" borderId="0" xfId="4" applyNumberFormat="1" applyFont="1" applyAlignment="1" applyProtection="1">
      <alignment horizontal="center"/>
      <protection locked="0"/>
    </xf>
    <xf numFmtId="165" fontId="78" fillId="0" borderId="0" xfId="5" applyNumberFormat="1" applyFont="1" applyFill="1" applyBorder="1" applyAlignment="1" applyProtection="1">
      <alignment horizontal="center" vertical="center"/>
      <protection locked="0"/>
    </xf>
    <xf numFmtId="165" fontId="78" fillId="0" borderId="7" xfId="4" applyNumberFormat="1" applyFont="1" applyBorder="1" applyAlignment="1" applyProtection="1">
      <alignment horizontal="center"/>
      <protection locked="0"/>
    </xf>
    <xf numFmtId="0" fontId="3" fillId="0" borderId="0" xfId="0" applyFont="1"/>
    <xf numFmtId="0" fontId="15" fillId="0" borderId="0" xfId="0" applyFont="1"/>
    <xf numFmtId="0" fontId="0" fillId="0" borderId="3" xfId="0" applyBorder="1"/>
    <xf numFmtId="0" fontId="4" fillId="0" borderId="16" xfId="0" applyFont="1" applyBorder="1" applyAlignment="1">
      <alignment horizontal="center"/>
    </xf>
    <xf numFmtId="10" fontId="4" fillId="0" borderId="16" xfId="0" applyNumberFormat="1" applyFont="1" applyBorder="1" applyAlignment="1">
      <alignment horizontal="center"/>
    </xf>
    <xf numFmtId="0" fontId="0" fillId="0" borderId="4" xfId="0" applyBorder="1"/>
    <xf numFmtId="10" fontId="4" fillId="0" borderId="18" xfId="0" applyNumberFormat="1" applyFont="1" applyBorder="1" applyAlignment="1">
      <alignment horizontal="center"/>
    </xf>
    <xf numFmtId="0" fontId="25" fillId="0" borderId="13" xfId="0" applyFont="1" applyBorder="1" applyAlignment="1">
      <alignment horizontal="center"/>
    </xf>
    <xf numFmtId="0" fontId="25" fillId="0" borderId="7" xfId="0" applyFont="1" applyBorder="1" applyAlignment="1">
      <alignment horizontal="center"/>
    </xf>
    <xf numFmtId="0" fontId="0" fillId="0" borderId="0" xfId="0" applyProtection="1">
      <protection locked="0"/>
    </xf>
    <xf numFmtId="0" fontId="3" fillId="0" borderId="0" xfId="0" applyFont="1" applyProtection="1">
      <protection locked="0"/>
    </xf>
    <xf numFmtId="0" fontId="4" fillId="0" borderId="0" xfId="0" applyFont="1" applyAlignment="1">
      <alignment horizontal="center" vertical="center"/>
    </xf>
    <xf numFmtId="185" fontId="19" fillId="0" borderId="0" xfId="0" applyNumberFormat="1" applyFont="1" applyAlignment="1">
      <alignment horizontal="center"/>
    </xf>
    <xf numFmtId="184" fontId="19" fillId="0" borderId="0" xfId="4" applyNumberFormat="1" applyFont="1" applyAlignment="1" applyProtection="1">
      <alignment horizontal="center"/>
      <protection locked="0"/>
    </xf>
    <xf numFmtId="184" fontId="25" fillId="0" borderId="0" xfId="5" applyNumberFormat="1" applyFont="1" applyFill="1" applyBorder="1" applyAlignment="1" applyProtection="1">
      <alignment horizontal="center" vertical="center"/>
    </xf>
    <xf numFmtId="184" fontId="78" fillId="0" borderId="0" xfId="1" applyNumberFormat="1" applyFont="1" applyFill="1" applyBorder="1" applyAlignment="1" applyProtection="1">
      <alignment horizontal="center" vertical="center"/>
      <protection locked="0"/>
    </xf>
    <xf numFmtId="184" fontId="32" fillId="0" borderId="0" xfId="5" applyNumberFormat="1" applyFont="1" applyFill="1" applyBorder="1" applyAlignment="1" applyProtection="1">
      <alignment horizontal="center" vertical="center"/>
      <protection locked="0"/>
    </xf>
    <xf numFmtId="186" fontId="19" fillId="0" borderId="0" xfId="0" applyNumberFormat="1" applyFont="1" applyAlignment="1">
      <alignment horizontal="center" vertical="center"/>
    </xf>
    <xf numFmtId="186" fontId="19" fillId="0" borderId="0" xfId="2" applyNumberFormat="1" applyFont="1" applyFill="1" applyBorder="1" applyAlignment="1">
      <alignment horizontal="center"/>
    </xf>
    <xf numFmtId="167" fontId="25" fillId="0" borderId="0" xfId="5" applyNumberFormat="1" applyFont="1" applyFill="1" applyBorder="1" applyAlignment="1" applyProtection="1">
      <alignment horizontal="center" vertical="center"/>
    </xf>
    <xf numFmtId="167" fontId="19" fillId="0" borderId="0" xfId="5" applyNumberFormat="1" applyFont="1" applyFill="1" applyBorder="1" applyAlignment="1" applyProtection="1">
      <alignment horizontal="center" vertical="center"/>
    </xf>
    <xf numFmtId="167" fontId="25" fillId="0" borderId="7" xfId="0" applyNumberFormat="1" applyFont="1" applyBorder="1" applyAlignment="1">
      <alignment horizontal="center"/>
    </xf>
    <xf numFmtId="167" fontId="25" fillId="0" borderId="13" xfId="0" applyNumberFormat="1" applyFont="1" applyBorder="1" applyAlignment="1">
      <alignment horizontal="center"/>
    </xf>
    <xf numFmtId="0" fontId="6" fillId="0" borderId="2" xfId="4" applyFont="1" applyBorder="1">
      <alignment vertical="center"/>
    </xf>
    <xf numFmtId="0" fontId="15" fillId="0" borderId="0" xfId="4" applyFont="1" applyAlignment="1">
      <alignment horizontal="center" vertical="center"/>
    </xf>
    <xf numFmtId="9" fontId="25" fillId="0" borderId="0" xfId="1" applyFont="1" applyFill="1"/>
    <xf numFmtId="165" fontId="19" fillId="0" borderId="0" xfId="5" applyNumberFormat="1" applyFont="1" applyFill="1" applyBorder="1" applyAlignment="1" applyProtection="1">
      <alignment horizontal="center" vertical="center" wrapText="1"/>
    </xf>
    <xf numFmtId="187" fontId="19" fillId="0" borderId="0" xfId="1" applyNumberFormat="1" applyFont="1" applyFill="1" applyBorder="1" applyAlignment="1">
      <alignment horizontal="center"/>
    </xf>
    <xf numFmtId="0" fontId="87" fillId="6" borderId="0" xfId="12" applyFill="1" applyAlignment="1"/>
    <xf numFmtId="0" fontId="87" fillId="0" borderId="0" xfId="12" applyAlignment="1"/>
    <xf numFmtId="0" fontId="5" fillId="6" borderId="0" xfId="4" applyFill="1" applyAlignment="1"/>
    <xf numFmtId="0" fontId="88" fillId="6" borderId="0" xfId="4" applyFont="1" applyFill="1" applyAlignment="1"/>
    <xf numFmtId="0" fontId="89" fillId="6" borderId="0" xfId="4" applyFont="1" applyFill="1" applyAlignment="1"/>
    <xf numFmtId="0" fontId="9" fillId="0" borderId="0" xfId="0" applyFont="1" applyAlignment="1">
      <alignment textRotation="90"/>
    </xf>
    <xf numFmtId="2" fontId="19" fillId="0" borderId="0" xfId="0" applyNumberFormat="1" applyFont="1" applyAlignment="1">
      <alignment wrapText="1"/>
    </xf>
    <xf numFmtId="2" fontId="19" fillId="3" borderId="0" xfId="0" applyNumberFormat="1" applyFont="1" applyFill="1"/>
    <xf numFmtId="2" fontId="26" fillId="3" borderId="0" xfId="0" applyNumberFormat="1" applyFont="1" applyFill="1"/>
    <xf numFmtId="167" fontId="19" fillId="0" borderId="0" xfId="0" applyNumberFormat="1" applyFont="1" applyAlignment="1">
      <alignment horizontal="right"/>
    </xf>
    <xf numFmtId="167" fontId="19" fillId="0" borderId="0" xfId="0" applyNumberFormat="1" applyFont="1" applyAlignment="1">
      <alignment wrapText="1"/>
    </xf>
    <xf numFmtId="2" fontId="26" fillId="0" borderId="0" xfId="0" applyNumberFormat="1" applyFont="1" applyAlignment="1">
      <alignment horizontal="right"/>
    </xf>
    <xf numFmtId="0" fontId="19" fillId="3" borderId="0" xfId="0" applyFont="1" applyFill="1" applyAlignment="1">
      <alignment wrapText="1"/>
    </xf>
    <xf numFmtId="2" fontId="26" fillId="0" borderId="0" xfId="0" applyNumberFormat="1" applyFont="1" applyAlignment="1">
      <alignment horizontal="center" vertical="center" wrapText="1"/>
    </xf>
    <xf numFmtId="0" fontId="0" fillId="0" borderId="0" xfId="0" applyAlignment="1">
      <alignment wrapText="1"/>
    </xf>
    <xf numFmtId="0" fontId="15" fillId="0" borderId="0" xfId="0" applyFont="1" applyAlignment="1">
      <alignment horizontal="left" wrapText="1"/>
    </xf>
    <xf numFmtId="0" fontId="15" fillId="0" borderId="0" xfId="0" applyFont="1" applyAlignment="1">
      <alignment vertical="center"/>
    </xf>
    <xf numFmtId="0" fontId="3" fillId="0" borderId="0" xfId="0" applyFont="1" applyAlignment="1">
      <alignment wrapText="1"/>
    </xf>
    <xf numFmtId="0" fontId="9" fillId="0" borderId="18" xfId="0" applyFont="1" applyBorder="1" applyAlignment="1">
      <alignment horizontal="center" vertical="center"/>
    </xf>
    <xf numFmtId="176" fontId="19" fillId="0" borderId="21" xfId="0" applyNumberFormat="1" applyFont="1" applyBorder="1" applyAlignment="1">
      <alignment horizontal="center" vertical="center"/>
    </xf>
    <xf numFmtId="0" fontId="19" fillId="10" borderId="0" xfId="0" applyFont="1" applyFill="1"/>
    <xf numFmtId="0" fontId="66" fillId="10" borderId="0" xfId="0" applyFont="1" applyFill="1"/>
    <xf numFmtId="0" fontId="0" fillId="0" borderId="0" xfId="0" applyAlignment="1">
      <alignment vertical="top"/>
    </xf>
    <xf numFmtId="0" fontId="0" fillId="0" borderId="0" xfId="0" applyAlignment="1">
      <alignment vertical="top" wrapText="1"/>
    </xf>
    <xf numFmtId="0" fontId="34" fillId="7" borderId="3" xfId="4" applyFont="1" applyFill="1" applyBorder="1">
      <alignment vertical="center"/>
    </xf>
    <xf numFmtId="0" fontId="63" fillId="7" borderId="3" xfId="4" applyFont="1" applyFill="1" applyBorder="1">
      <alignment vertical="center"/>
    </xf>
    <xf numFmtId="0" fontId="34" fillId="7" borderId="4" xfId="4" applyFont="1" applyFill="1" applyBorder="1">
      <alignment vertical="center"/>
    </xf>
    <xf numFmtId="0" fontId="34" fillId="0" borderId="5" xfId="4" applyFont="1" applyBorder="1">
      <alignment vertical="center"/>
    </xf>
    <xf numFmtId="0" fontId="63" fillId="0" borderId="0" xfId="4" applyFont="1">
      <alignment vertical="center"/>
    </xf>
    <xf numFmtId="0" fontId="34" fillId="0" borderId="6" xfId="4" applyFont="1" applyBorder="1">
      <alignment vertical="center"/>
    </xf>
    <xf numFmtId="0" fontId="42" fillId="6" borderId="0" xfId="4" applyFont="1" applyFill="1">
      <alignment vertical="center"/>
    </xf>
    <xf numFmtId="0" fontId="42" fillId="6" borderId="6" xfId="4" applyFont="1" applyFill="1" applyBorder="1">
      <alignment vertical="center"/>
    </xf>
    <xf numFmtId="0" fontId="34" fillId="7" borderId="12" xfId="4" applyFont="1" applyFill="1" applyBorder="1">
      <alignment vertical="center"/>
    </xf>
    <xf numFmtId="0" fontId="63" fillId="7" borderId="12" xfId="4" applyFont="1" applyFill="1" applyBorder="1">
      <alignment vertical="center"/>
    </xf>
    <xf numFmtId="0" fontId="34" fillId="7" borderId="15" xfId="4" applyFont="1" applyFill="1" applyBorder="1">
      <alignment vertical="center"/>
    </xf>
    <xf numFmtId="14" fontId="0" fillId="0" borderId="0" xfId="0" applyNumberFormat="1" applyAlignment="1">
      <alignment horizontal="center"/>
    </xf>
    <xf numFmtId="14" fontId="77" fillId="0" borderId="0" xfId="4" applyNumberFormat="1" applyFont="1" applyAlignment="1" applyProtection="1">
      <alignment horizontal="center"/>
      <protection locked="0"/>
    </xf>
    <xf numFmtId="0" fontId="77" fillId="0" borderId="0" xfId="4" applyFont="1" applyAlignment="1" applyProtection="1">
      <alignment horizontal="center"/>
      <protection locked="0"/>
    </xf>
    <xf numFmtId="9" fontId="0" fillId="0" borderId="0" xfId="1" applyFont="1"/>
    <xf numFmtId="15" fontId="0" fillId="0" borderId="0" xfId="0" applyNumberFormat="1" applyProtection="1">
      <protection locked="0"/>
    </xf>
    <xf numFmtId="0" fontId="93" fillId="0" borderId="0" xfId="4" applyFont="1" applyAlignment="1">
      <alignment horizontal="right" vertical="center"/>
    </xf>
    <xf numFmtId="0" fontId="0" fillId="0" borderId="0" xfId="0" applyAlignment="1" applyProtection="1">
      <alignment horizontal="center"/>
      <protection locked="0"/>
    </xf>
    <xf numFmtId="0" fontId="0" fillId="0" borderId="0" xfId="0" applyAlignment="1" applyProtection="1">
      <alignment vertical="top"/>
      <protection locked="0"/>
    </xf>
    <xf numFmtId="11" fontId="0" fillId="0" borderId="0" xfId="0" applyNumberFormat="1" applyProtection="1">
      <protection locked="0"/>
    </xf>
    <xf numFmtId="0" fontId="0" fillId="0" borderId="0" xfId="0" applyAlignment="1">
      <alignment horizontal="center" wrapText="1"/>
    </xf>
    <xf numFmtId="0" fontId="0" fillId="0" borderId="0" xfId="0" applyAlignment="1" applyProtection="1">
      <alignment horizontal="center" vertical="center"/>
      <protection locked="0"/>
    </xf>
    <xf numFmtId="0" fontId="26" fillId="0" borderId="0" xfId="4" applyFont="1" applyAlignment="1">
      <alignment horizontal="right"/>
    </xf>
    <xf numFmtId="0" fontId="52" fillId="0" borderId="0" xfId="4" applyFont="1" applyAlignment="1">
      <alignment horizontal="center" vertical="center"/>
    </xf>
    <xf numFmtId="0" fontId="52" fillId="0" borderId="0" xfId="4" applyFont="1" applyAlignment="1">
      <alignment horizontal="left" vertical="center"/>
    </xf>
    <xf numFmtId="0" fontId="19" fillId="0" borderId="14" xfId="4" applyFont="1" applyBorder="1">
      <alignment vertical="center"/>
    </xf>
    <xf numFmtId="0" fontId="19" fillId="0" borderId="12" xfId="4" applyFont="1" applyBorder="1">
      <alignment vertical="center"/>
    </xf>
    <xf numFmtId="0" fontId="26" fillId="0" borderId="12" xfId="4" applyFont="1" applyBorder="1" applyAlignment="1">
      <alignment horizontal="right" vertical="center"/>
    </xf>
    <xf numFmtId="172" fontId="32" fillId="0" borderId="12" xfId="4" applyNumberFormat="1" applyFont="1" applyBorder="1" applyAlignment="1"/>
    <xf numFmtId="0" fontId="33" fillId="0" borderId="12" xfId="4" applyFont="1" applyBorder="1" applyAlignment="1">
      <alignment horizontal="center" vertical="center"/>
    </xf>
    <xf numFmtId="0" fontId="19" fillId="0" borderId="12" xfId="4" applyFont="1" applyBorder="1" applyAlignment="1">
      <alignment horizontal="center" vertical="top"/>
    </xf>
    <xf numFmtId="0" fontId="19" fillId="0" borderId="15" xfId="4" applyFont="1" applyBorder="1">
      <alignment vertical="center"/>
    </xf>
    <xf numFmtId="0" fontId="34" fillId="7" borderId="5" xfId="4" applyFont="1" applyFill="1" applyBorder="1">
      <alignment vertical="center"/>
    </xf>
    <xf numFmtId="0" fontId="35" fillId="7" borderId="0" xfId="4" applyFont="1" applyFill="1">
      <alignment vertical="center"/>
    </xf>
    <xf numFmtId="0" fontId="36" fillId="7" borderId="0" xfId="4" applyFont="1" applyFill="1" applyAlignment="1">
      <alignment horizontal="center" vertical="center" wrapText="1"/>
    </xf>
    <xf numFmtId="0" fontId="37" fillId="7" borderId="0" xfId="4" applyFont="1" applyFill="1" applyAlignment="1">
      <alignment horizontal="right" vertical="center"/>
    </xf>
    <xf numFmtId="2" fontId="37" fillId="0" borderId="0" xfId="4" applyNumberFormat="1" applyFont="1" applyAlignment="1">
      <alignment vertical="center" wrapText="1"/>
    </xf>
    <xf numFmtId="0" fontId="38" fillId="0" borderId="5" xfId="3" applyFont="1" applyBorder="1">
      <alignment vertical="center"/>
    </xf>
    <xf numFmtId="0" fontId="38" fillId="0" borderId="0" xfId="3" applyFont="1">
      <alignment vertical="center"/>
    </xf>
    <xf numFmtId="0" fontId="39" fillId="0" borderId="0" xfId="3" applyFont="1">
      <alignment vertical="center"/>
    </xf>
    <xf numFmtId="0" fontId="31" fillId="0" borderId="0" xfId="4" applyFont="1">
      <alignment vertical="center"/>
    </xf>
    <xf numFmtId="2" fontId="31" fillId="0" borderId="6" xfId="4" applyNumberFormat="1" applyFont="1" applyBorder="1" applyAlignment="1">
      <alignment horizontal="center" vertical="center" wrapText="1" shrinkToFit="1"/>
    </xf>
    <xf numFmtId="2" fontId="31" fillId="0" borderId="0" xfId="4" applyNumberFormat="1" applyFont="1" applyAlignment="1">
      <alignment horizontal="center" vertical="center" wrapText="1" shrinkToFit="1"/>
    </xf>
    <xf numFmtId="0" fontId="19" fillId="0" borderId="5" xfId="3" applyFont="1" applyBorder="1">
      <alignment vertical="center"/>
    </xf>
    <xf numFmtId="0" fontId="19" fillId="0" borderId="0" xfId="3" applyFont="1" applyAlignment="1">
      <alignment horizontal="right" vertical="center"/>
    </xf>
    <xf numFmtId="0" fontId="40" fillId="0" borderId="6" xfId="4" applyFont="1" applyBorder="1" applyAlignment="1">
      <alignment vertical="center" wrapText="1"/>
    </xf>
    <xf numFmtId="0" fontId="40" fillId="0" borderId="0" xfId="4" applyFont="1" applyAlignment="1">
      <alignment vertical="center" wrapText="1"/>
    </xf>
    <xf numFmtId="2" fontId="19" fillId="0" borderId="6" xfId="4" applyNumberFormat="1" applyFont="1" applyBorder="1" applyAlignment="1">
      <alignment horizontal="center" vertical="center" wrapText="1" shrinkToFit="1"/>
    </xf>
    <xf numFmtId="2" fontId="19" fillId="0" borderId="0" xfId="4" applyNumberFormat="1" applyFont="1" applyAlignment="1">
      <alignment horizontal="center" vertical="center" wrapText="1" shrinkToFit="1"/>
    </xf>
    <xf numFmtId="0" fontId="26" fillId="0" borderId="0" xfId="3" applyFont="1" applyAlignment="1">
      <alignment horizontal="center" vertical="center"/>
    </xf>
    <xf numFmtId="0" fontId="24" fillId="0" borderId="0" xfId="4" applyFont="1" applyAlignment="1">
      <alignment horizontal="center" vertical="center" wrapText="1"/>
    </xf>
    <xf numFmtId="0" fontId="26" fillId="0" borderId="0" xfId="3" applyFont="1" applyAlignment="1">
      <alignment horizontal="right" vertical="center"/>
    </xf>
    <xf numFmtId="0" fontId="26" fillId="0" borderId="0" xfId="4" applyFont="1" applyAlignment="1">
      <alignment vertical="center" wrapText="1"/>
    </xf>
    <xf numFmtId="0" fontId="35" fillId="7" borderId="12" xfId="4" applyFont="1" applyFill="1" applyBorder="1">
      <alignment vertical="center"/>
    </xf>
    <xf numFmtId="0" fontId="36" fillId="7" borderId="12" xfId="4" applyFont="1" applyFill="1" applyBorder="1" applyAlignment="1">
      <alignment horizontal="center" vertical="center" wrapText="1"/>
    </xf>
    <xf numFmtId="0" fontId="41" fillId="7" borderId="15" xfId="4" applyFont="1" applyFill="1" applyBorder="1" applyAlignment="1">
      <alignment vertical="center" wrapText="1"/>
    </xf>
    <xf numFmtId="0" fontId="41" fillId="0" borderId="0" xfId="4" applyFont="1" applyAlignment="1">
      <alignment vertical="center" wrapText="1"/>
    </xf>
    <xf numFmtId="0" fontId="35" fillId="7" borderId="3" xfId="4" applyFont="1" applyFill="1" applyBorder="1">
      <alignment vertical="center"/>
    </xf>
    <xf numFmtId="0" fontId="36" fillId="7" borderId="3" xfId="4" applyFont="1" applyFill="1" applyBorder="1" applyAlignment="1">
      <alignment horizontal="center" vertical="center" wrapText="1"/>
    </xf>
    <xf numFmtId="0" fontId="30" fillId="7" borderId="3" xfId="4" applyFont="1" applyFill="1" applyBorder="1" applyAlignment="1">
      <alignment horizontal="left" vertical="center"/>
    </xf>
    <xf numFmtId="0" fontId="37" fillId="7" borderId="3" xfId="4" applyFont="1" applyFill="1" applyBorder="1" applyAlignment="1">
      <alignment horizontal="right" vertical="center"/>
    </xf>
    <xf numFmtId="2" fontId="37" fillId="0" borderId="0" xfId="4" applyNumberFormat="1" applyFont="1" applyAlignment="1">
      <alignment horizontal="right" vertical="center" wrapText="1"/>
    </xf>
    <xf numFmtId="0" fontId="42" fillId="6" borderId="2" xfId="4" applyFont="1" applyFill="1" applyBorder="1">
      <alignment vertical="center"/>
    </xf>
    <xf numFmtId="0" fontId="43" fillId="6" borderId="3" xfId="4" applyFont="1" applyFill="1" applyBorder="1">
      <alignment vertical="center"/>
    </xf>
    <xf numFmtId="0" fontId="27" fillId="6" borderId="3" xfId="0" applyFont="1" applyFill="1" applyBorder="1"/>
    <xf numFmtId="0" fontId="16" fillId="6" borderId="3" xfId="0" applyFont="1" applyFill="1" applyBorder="1"/>
    <xf numFmtId="0" fontId="27" fillId="6" borderId="3" xfId="0" applyFont="1" applyFill="1" applyBorder="1" applyAlignment="1">
      <alignment horizontal="right"/>
    </xf>
    <xf numFmtId="2" fontId="27" fillId="0" borderId="0" xfId="0" applyNumberFormat="1" applyFont="1" applyAlignment="1">
      <alignment horizontal="right"/>
    </xf>
    <xf numFmtId="0" fontId="44" fillId="5" borderId="2" xfId="4" applyFont="1" applyFill="1" applyBorder="1">
      <alignment vertical="center"/>
    </xf>
    <xf numFmtId="0" fontId="20" fillId="5" borderId="3" xfId="4" applyFont="1" applyFill="1" applyBorder="1">
      <alignment vertical="center"/>
    </xf>
    <xf numFmtId="0" fontId="0" fillId="5" borderId="3" xfId="0" applyFill="1" applyBorder="1"/>
    <xf numFmtId="0" fontId="16" fillId="5" borderId="3" xfId="0" applyFont="1" applyFill="1" applyBorder="1"/>
    <xf numFmtId="0" fontId="3" fillId="0" borderId="5" xfId="0" applyFont="1" applyBorder="1"/>
    <xf numFmtId="0" fontId="20" fillId="0" borderId="0" xfId="4" applyFont="1">
      <alignment vertical="center"/>
    </xf>
    <xf numFmtId="0" fontId="9" fillId="0" borderId="0" xfId="0" applyFont="1" applyAlignment="1">
      <alignment horizontal="right"/>
    </xf>
    <xf numFmtId="173" fontId="25" fillId="0" borderId="0" xfId="0" applyNumberFormat="1" applyFont="1" applyAlignment="1">
      <alignment horizontal="center"/>
    </xf>
    <xf numFmtId="165" fontId="0" fillId="0" borderId="0" xfId="0" applyNumberFormat="1"/>
    <xf numFmtId="10" fontId="0" fillId="0" borderId="0" xfId="1" applyNumberFormat="1" applyFont="1" applyFill="1" applyAlignment="1" applyProtection="1"/>
    <xf numFmtId="10" fontId="0" fillId="0" borderId="0" xfId="1" applyNumberFormat="1" applyFont="1" applyFill="1" applyProtection="1"/>
    <xf numFmtId="0" fontId="0" fillId="5" borderId="5" xfId="0" applyFill="1" applyBorder="1"/>
    <xf numFmtId="0" fontId="0" fillId="5" borderId="6" xfId="0" applyFill="1" applyBorder="1"/>
    <xf numFmtId="0" fontId="4" fillId="0" borderId="0" xfId="0" applyFont="1"/>
    <xf numFmtId="0" fontId="9" fillId="0" borderId="0" xfId="0" applyFont="1" applyAlignment="1">
      <alignment horizontal="right" vertical="center"/>
    </xf>
    <xf numFmtId="49" fontId="25" fillId="0" borderId="0" xfId="0" applyNumberFormat="1" applyFont="1" applyAlignment="1">
      <alignment horizontal="center"/>
    </xf>
    <xf numFmtId="0" fontId="4" fillId="0" borderId="5" xfId="0" applyFont="1" applyBorder="1" applyAlignment="1">
      <alignment horizontal="right"/>
    </xf>
    <xf numFmtId="0" fontId="8" fillId="8" borderId="5" xfId="0" applyFont="1" applyFill="1" applyBorder="1"/>
    <xf numFmtId="0" fontId="45" fillId="8" borderId="0" xfId="0" applyFont="1" applyFill="1"/>
    <xf numFmtId="0" fontId="0" fillId="8" borderId="0" xfId="0" applyFill="1"/>
    <xf numFmtId="0" fontId="0" fillId="8" borderId="6" xfId="0" applyFill="1" applyBorder="1"/>
    <xf numFmtId="0" fontId="8" fillId="0" borderId="5" xfId="0" applyFont="1" applyBorder="1"/>
    <xf numFmtId="0" fontId="0" fillId="0" borderId="0" xfId="0" applyAlignment="1">
      <alignment horizontal="center" vertical="center"/>
    </xf>
    <xf numFmtId="2" fontId="0" fillId="0" borderId="0" xfId="0" applyNumberFormat="1"/>
    <xf numFmtId="0" fontId="26" fillId="0" borderId="5" xfId="3" applyFont="1" applyBorder="1">
      <alignment vertical="center"/>
    </xf>
    <xf numFmtId="0" fontId="26" fillId="0" borderId="0" xfId="3" applyFont="1">
      <alignment vertical="center"/>
    </xf>
    <xf numFmtId="0" fontId="26" fillId="6" borderId="14" xfId="3" applyFont="1" applyFill="1" applyBorder="1">
      <alignment vertical="center"/>
    </xf>
    <xf numFmtId="0" fontId="26" fillId="6" borderId="12" xfId="3" applyFont="1" applyFill="1" applyBorder="1">
      <alignment vertical="center"/>
    </xf>
    <xf numFmtId="0" fontId="0" fillId="6" borderId="12" xfId="0" applyFill="1" applyBorder="1"/>
    <xf numFmtId="0" fontId="0" fillId="6" borderId="15" xfId="0" applyFill="1" applyBorder="1"/>
    <xf numFmtId="0" fontId="44" fillId="0" borderId="5" xfId="4" applyFont="1" applyBorder="1">
      <alignment vertical="center"/>
    </xf>
    <xf numFmtId="0" fontId="16" fillId="0" borderId="0" xfId="0" applyFont="1"/>
    <xf numFmtId="0" fontId="0" fillId="0" borderId="0" xfId="0" applyAlignment="1">
      <alignment horizontal="right"/>
    </xf>
    <xf numFmtId="2" fontId="25" fillId="0" borderId="6" xfId="0" applyNumberFormat="1" applyFont="1" applyBorder="1"/>
    <xf numFmtId="0" fontId="4" fillId="0" borderId="0" xfId="0" applyFont="1" applyAlignment="1">
      <alignment horizontal="right"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8" fillId="0" borderId="0" xfId="0" applyFont="1"/>
    <xf numFmtId="0" fontId="16" fillId="0" borderId="0" xfId="0" applyFont="1" applyAlignment="1">
      <alignment horizontal="center"/>
    </xf>
    <xf numFmtId="0" fontId="9" fillId="0" borderId="0" xfId="4" applyFont="1" applyAlignment="1">
      <alignment horizontal="right" vertical="center"/>
    </xf>
    <xf numFmtId="0" fontId="24" fillId="0" borderId="0" xfId="4" applyFont="1">
      <alignment vertical="center"/>
    </xf>
    <xf numFmtId="0" fontId="3" fillId="0" borderId="0" xfId="4" applyFont="1" applyAlignment="1"/>
    <xf numFmtId="173" fontId="24" fillId="0" borderId="0" xfId="4" applyNumberFormat="1" applyFont="1">
      <alignment vertical="center"/>
    </xf>
    <xf numFmtId="0" fontId="24" fillId="0" borderId="0" xfId="4" applyFont="1" applyAlignment="1">
      <alignment horizontal="right" vertical="center"/>
    </xf>
    <xf numFmtId="0" fontId="4" fillId="0" borderId="0" xfId="4" applyFont="1" applyAlignment="1">
      <alignment horizontal="right"/>
    </xf>
    <xf numFmtId="167" fontId="0" fillId="9" borderId="0" xfId="4" applyNumberFormat="1" applyFont="1" applyFill="1" applyAlignment="1">
      <alignment horizontal="center"/>
    </xf>
    <xf numFmtId="0" fontId="9" fillId="0" borderId="0" xfId="4" applyFont="1" applyAlignment="1"/>
    <xf numFmtId="0" fontId="0" fillId="7" borderId="14" xfId="0" applyFill="1" applyBorder="1"/>
    <xf numFmtId="0" fontId="0" fillId="7" borderId="12" xfId="0" applyFill="1" applyBorder="1"/>
    <xf numFmtId="0" fontId="0" fillId="7" borderId="15" xfId="0" applyFill="1" applyBorder="1"/>
    <xf numFmtId="0" fontId="41" fillId="7" borderId="6" xfId="4" applyFont="1" applyFill="1" applyBorder="1" applyAlignment="1">
      <alignment vertical="center" wrapText="1"/>
    </xf>
    <xf numFmtId="0" fontId="28" fillId="6" borderId="3" xfId="0" applyFont="1" applyFill="1" applyBorder="1"/>
    <xf numFmtId="2" fontId="29" fillId="6" borderId="4" xfId="0" applyNumberFormat="1" applyFont="1" applyFill="1" applyBorder="1"/>
    <xf numFmtId="2" fontId="29" fillId="0" borderId="0" xfId="0" applyNumberFormat="1" applyFont="1"/>
    <xf numFmtId="0" fontId="0" fillId="0" borderId="5" xfId="0" applyBorder="1" applyAlignment="1">
      <alignment horizontal="right"/>
    </xf>
    <xf numFmtId="0" fontId="17" fillId="0" borderId="0" xfId="0" applyFont="1"/>
    <xf numFmtId="0" fontId="31" fillId="0" borderId="0" xfId="4" applyFont="1" applyAlignment="1">
      <alignment horizontal="center" vertical="center"/>
    </xf>
    <xf numFmtId="0" fontId="3" fillId="0" borderId="6" xfId="0" applyFont="1" applyBorder="1"/>
    <xf numFmtId="184" fontId="0" fillId="0" borderId="0" xfId="0" applyNumberFormat="1"/>
    <xf numFmtId="0" fontId="31" fillId="0" borderId="0" xfId="4" applyFont="1" applyAlignment="1">
      <alignment horizontal="left" vertical="center"/>
    </xf>
    <xf numFmtId="0" fontId="74" fillId="0" borderId="5" xfId="4" applyFont="1" applyBorder="1">
      <alignment vertical="center"/>
    </xf>
    <xf numFmtId="0" fontId="19" fillId="5" borderId="3" xfId="4" applyFont="1" applyFill="1" applyBorder="1">
      <alignment vertical="center"/>
    </xf>
    <xf numFmtId="2" fontId="19" fillId="0" borderId="0" xfId="4" applyNumberFormat="1" applyFont="1" applyAlignment="1">
      <alignment horizontal="right" vertical="center" wrapText="1" shrinkToFit="1"/>
    </xf>
    <xf numFmtId="0" fontId="26" fillId="0" borderId="5" xfId="4" applyFont="1" applyBorder="1">
      <alignment vertical="center"/>
    </xf>
    <xf numFmtId="0" fontId="43" fillId="6" borderId="0" xfId="4" applyFont="1" applyFill="1">
      <alignment vertical="center"/>
    </xf>
    <xf numFmtId="0" fontId="27" fillId="6" borderId="0" xfId="0" applyFont="1" applyFill="1"/>
    <xf numFmtId="0" fontId="28" fillId="6" borderId="0" xfId="0" applyFont="1" applyFill="1"/>
    <xf numFmtId="0" fontId="27" fillId="6" borderId="0" xfId="0" applyFont="1" applyFill="1" applyAlignment="1">
      <alignment horizontal="right"/>
    </xf>
    <xf numFmtId="2" fontId="29" fillId="6" borderId="6" xfId="0" applyNumberFormat="1" applyFont="1" applyFill="1" applyBorder="1"/>
    <xf numFmtId="0" fontId="20" fillId="0" borderId="5" xfId="4" applyFont="1" applyBorder="1">
      <alignment vertical="center"/>
    </xf>
    <xf numFmtId="3" fontId="38" fillId="0" borderId="0" xfId="4" applyNumberFormat="1" applyFont="1" applyAlignment="1">
      <alignment horizontal="center" wrapText="1"/>
    </xf>
    <xf numFmtId="3" fontId="38" fillId="0" borderId="0" xfId="4" applyNumberFormat="1" applyFont="1" applyAlignment="1">
      <alignment horizontal="right"/>
    </xf>
    <xf numFmtId="0" fontId="20" fillId="5" borderId="5" xfId="4" applyFont="1" applyFill="1" applyBorder="1">
      <alignment vertical="center"/>
    </xf>
    <xf numFmtId="0" fontId="20" fillId="5" borderId="0" xfId="4" applyFont="1" applyFill="1">
      <alignment vertical="center"/>
    </xf>
    <xf numFmtId="0" fontId="19" fillId="5" borderId="0" xfId="4" applyFont="1" applyFill="1" applyAlignment="1">
      <alignment horizontal="right" vertical="center"/>
    </xf>
    <xf numFmtId="0" fontId="19" fillId="5" borderId="0" xfId="4" applyFont="1" applyFill="1">
      <alignment vertical="center"/>
    </xf>
    <xf numFmtId="3" fontId="26" fillId="0" borderId="0" xfId="4" applyNumberFormat="1" applyFont="1" applyAlignment="1">
      <alignment horizontal="center" wrapText="1"/>
    </xf>
    <xf numFmtId="3" fontId="38" fillId="0" borderId="0" xfId="4" applyNumberFormat="1" applyFont="1" applyAlignment="1">
      <alignment horizontal="center"/>
    </xf>
    <xf numFmtId="3" fontId="50" fillId="0" borderId="0" xfId="4" applyNumberFormat="1" applyFont="1" applyAlignment="1">
      <alignment horizontal="left"/>
    </xf>
    <xf numFmtId="3" fontId="38" fillId="0" borderId="0" xfId="4" applyNumberFormat="1" applyFont="1" applyAlignment="1">
      <alignment horizontal="center" vertical="center" wrapText="1"/>
    </xf>
    <xf numFmtId="3" fontId="48" fillId="0" borderId="0" xfId="4" applyNumberFormat="1" applyFont="1" applyAlignment="1">
      <alignment horizontal="right"/>
    </xf>
    <xf numFmtId="3" fontId="47" fillId="0" borderId="0" xfId="4" applyNumberFormat="1" applyFont="1" applyAlignment="1">
      <alignment horizontal="right"/>
    </xf>
    <xf numFmtId="166" fontId="72" fillId="0" borderId="0" xfId="1" applyNumberFormat="1" applyFont="1" applyFill="1" applyBorder="1" applyAlignment="1" applyProtection="1">
      <alignment horizontal="center" vertical="center"/>
    </xf>
    <xf numFmtId="173" fontId="19" fillId="0" borderId="0" xfId="4" applyNumberFormat="1" applyFont="1" applyAlignment="1">
      <alignment horizontal="center"/>
    </xf>
    <xf numFmtId="166" fontId="1" fillId="0" borderId="0" xfId="1" applyNumberFormat="1" applyFont="1" applyFill="1" applyBorder="1" applyAlignment="1" applyProtection="1">
      <alignment horizontal="center" vertical="center"/>
    </xf>
    <xf numFmtId="165" fontId="47" fillId="0" borderId="0" xfId="4" applyNumberFormat="1" applyFont="1" applyAlignment="1">
      <alignment horizontal="right"/>
    </xf>
    <xf numFmtId="0" fontId="0" fillId="0" borderId="0" xfId="0" applyAlignment="1">
      <alignment vertical="center"/>
    </xf>
    <xf numFmtId="0" fontId="4" fillId="5" borderId="0" xfId="0" applyFont="1" applyFill="1" applyAlignment="1">
      <alignment horizontal="right"/>
    </xf>
    <xf numFmtId="0" fontId="19" fillId="5" borderId="0" xfId="4" applyFont="1" applyFill="1" applyAlignment="1">
      <alignment horizontal="center" vertical="center"/>
    </xf>
    <xf numFmtId="0" fontId="20" fillId="5" borderId="14" xfId="4" applyFont="1" applyFill="1" applyBorder="1">
      <alignment vertical="center"/>
    </xf>
    <xf numFmtId="0" fontId="20" fillId="5" borderId="12" xfId="4" applyFont="1" applyFill="1" applyBorder="1">
      <alignment vertical="center"/>
    </xf>
    <xf numFmtId="0" fontId="0" fillId="5" borderId="12" xfId="0" applyFill="1" applyBorder="1"/>
    <xf numFmtId="0" fontId="0" fillId="5" borderId="15" xfId="0" applyFill="1" applyBorder="1"/>
    <xf numFmtId="0" fontId="44" fillId="5" borderId="5" xfId="4" applyFont="1" applyFill="1" applyBorder="1">
      <alignment vertical="center"/>
    </xf>
    <xf numFmtId="0" fontId="0" fillId="5" borderId="0" xfId="0" applyFill="1" applyAlignment="1">
      <alignment horizontal="right"/>
    </xf>
    <xf numFmtId="2" fontId="25" fillId="5" borderId="6" xfId="0" applyNumberFormat="1" applyFont="1" applyFill="1" applyBorder="1"/>
    <xf numFmtId="174" fontId="47" fillId="0" borderId="0" xfId="4" applyNumberFormat="1" applyFont="1" applyAlignment="1">
      <alignment horizontal="center"/>
    </xf>
    <xf numFmtId="0" fontId="75" fillId="0" borderId="0" xfId="4" applyFont="1">
      <alignment vertical="center"/>
    </xf>
    <xf numFmtId="0" fontId="26" fillId="0" borderId="5" xfId="4" applyFont="1" applyBorder="1" applyAlignment="1"/>
    <xf numFmtId="0" fontId="26" fillId="0" borderId="0" xfId="4" applyFont="1" applyAlignment="1"/>
    <xf numFmtId="0" fontId="19" fillId="0" borderId="0" xfId="4" applyFont="1" applyAlignment="1">
      <alignment horizontal="right"/>
    </xf>
    <xf numFmtId="0" fontId="26" fillId="0" borderId="0" xfId="4" applyFont="1" applyAlignment="1">
      <alignment horizontal="center"/>
    </xf>
    <xf numFmtId="0" fontId="19" fillId="0" borderId="5" xfId="4" applyFont="1" applyBorder="1" applyAlignment="1"/>
    <xf numFmtId="10" fontId="19" fillId="0" borderId="0" xfId="4" applyNumberFormat="1" applyFont="1" applyAlignment="1">
      <alignment horizontal="right"/>
    </xf>
    <xf numFmtId="0" fontId="24" fillId="0" borderId="0" xfId="4" applyFont="1" applyAlignment="1">
      <alignment horizontal="right"/>
    </xf>
    <xf numFmtId="0" fontId="19" fillId="5" borderId="5" xfId="4" applyFont="1" applyFill="1" applyBorder="1" applyAlignment="1"/>
    <xf numFmtId="0" fontId="19" fillId="5" borderId="0" xfId="4" applyFont="1" applyFill="1" applyAlignment="1"/>
    <xf numFmtId="0" fontId="19" fillId="5" borderId="3" xfId="4" applyFont="1" applyFill="1" applyBorder="1" applyAlignment="1"/>
    <xf numFmtId="0" fontId="0" fillId="5" borderId="3" xfId="4" applyFont="1" applyFill="1" applyBorder="1" applyAlignment="1"/>
    <xf numFmtId="0" fontId="19" fillId="5" borderId="14" xfId="4" applyFont="1" applyFill="1" applyBorder="1" applyAlignment="1"/>
    <xf numFmtId="0" fontId="19" fillId="5" borderId="12" xfId="4" applyFont="1" applyFill="1" applyBorder="1" applyAlignment="1"/>
    <xf numFmtId="0" fontId="0" fillId="5" borderId="0" xfId="4" applyFont="1" applyFill="1" applyAlignment="1"/>
    <xf numFmtId="0" fontId="26" fillId="5" borderId="0" xfId="4" applyFont="1" applyFill="1" applyAlignment="1">
      <alignment horizontal="center" vertical="center"/>
    </xf>
    <xf numFmtId="0" fontId="16" fillId="5" borderId="0" xfId="4" applyFont="1" applyFill="1" applyAlignment="1"/>
    <xf numFmtId="0" fontId="49" fillId="5" borderId="0" xfId="4" applyFont="1" applyFill="1">
      <alignment vertical="center"/>
    </xf>
    <xf numFmtId="0" fontId="9" fillId="0" borderId="35" xfId="0" applyFont="1" applyBorder="1"/>
    <xf numFmtId="0" fontId="0" fillId="0" borderId="35" xfId="0" applyBorder="1"/>
    <xf numFmtId="0" fontId="4" fillId="0" borderId="36" xfId="0" applyFont="1" applyBorder="1" applyAlignment="1">
      <alignment horizontal="center" vertical="center" wrapText="1"/>
    </xf>
    <xf numFmtId="0" fontId="4" fillId="0" borderId="9" xfId="0" applyFont="1" applyBorder="1" applyAlignment="1">
      <alignment horizontal="center" vertical="center" wrapText="1"/>
    </xf>
    <xf numFmtId="0" fontId="9" fillId="0" borderId="9" xfId="0" applyFont="1" applyBorder="1" applyAlignment="1">
      <alignment horizontal="center" vertical="center" wrapText="1"/>
    </xf>
    <xf numFmtId="0" fontId="0" fillId="0" borderId="0" xfId="0" applyAlignment="1">
      <alignment horizontal="left" vertical="center"/>
    </xf>
    <xf numFmtId="0" fontId="22" fillId="0" borderId="5" xfId="0" applyFont="1" applyBorder="1" applyAlignment="1">
      <alignment vertical="center" wrapText="1"/>
    </xf>
    <xf numFmtId="0" fontId="71" fillId="0" borderId="5" xfId="0" applyFont="1" applyBorder="1" applyAlignment="1">
      <alignment vertical="center" wrapText="1"/>
    </xf>
    <xf numFmtId="0" fontId="71" fillId="0" borderId="0" xfId="0" applyFont="1" applyAlignment="1">
      <alignment vertical="center" wrapText="1"/>
    </xf>
    <xf numFmtId="0" fontId="15" fillId="0" borderId="6" xfId="0" applyFont="1" applyBorder="1"/>
    <xf numFmtId="0" fontId="23" fillId="0" borderId="5" xfId="0" applyFont="1" applyBorder="1"/>
    <xf numFmtId="178" fontId="23" fillId="0" borderId="0" xfId="10" applyNumberFormat="1" applyFont="1" applyFill="1" applyAlignment="1" applyProtection="1">
      <alignment horizontal="center"/>
    </xf>
    <xf numFmtId="0" fontId="9" fillId="0" borderId="16" xfId="0" applyFont="1" applyBorder="1" applyAlignment="1">
      <alignment horizontal="center" vertical="center" wrapText="1"/>
    </xf>
    <xf numFmtId="0" fontId="9" fillId="0" borderId="30" xfId="0" applyFont="1" applyBorder="1" applyAlignment="1">
      <alignment horizontal="center" vertical="center" wrapText="1"/>
    </xf>
    <xf numFmtId="2" fontId="10" fillId="0" borderId="0" xfId="1" applyNumberFormat="1" applyFont="1" applyFill="1" applyBorder="1" applyAlignment="1" applyProtection="1">
      <alignment horizontal="center" vertical="center"/>
    </xf>
    <xf numFmtId="0" fontId="0" fillId="5" borderId="14" xfId="0" applyFill="1" applyBorder="1"/>
    <xf numFmtId="0" fontId="19" fillId="5" borderId="3" xfId="3" applyFont="1" applyFill="1" applyBorder="1">
      <alignment vertical="center"/>
    </xf>
    <xf numFmtId="0" fontId="40" fillId="5" borderId="3" xfId="4" applyFont="1" applyFill="1" applyBorder="1" applyAlignment="1">
      <alignment vertical="center" wrapText="1"/>
    </xf>
    <xf numFmtId="166" fontId="25" fillId="0" borderId="0" xfId="1" applyNumberFormat="1" applyFont="1" applyFill="1" applyBorder="1" applyProtection="1"/>
    <xf numFmtId="0" fontId="19" fillId="0" borderId="0" xfId="3" applyFont="1" applyAlignment="1">
      <alignment horizontal="center" vertical="center"/>
    </xf>
    <xf numFmtId="0" fontId="19" fillId="0" borderId="0" xfId="4" applyFont="1" applyAlignment="1" applyProtection="1">
      <alignment horizontal="left" vertical="center" wrapText="1"/>
      <protection locked="0"/>
    </xf>
    <xf numFmtId="0" fontId="26" fillId="0" borderId="0" xfId="4" applyFont="1" applyAlignment="1" applyProtection="1">
      <alignment horizontal="left" vertical="center" wrapText="1"/>
      <protection locked="0"/>
    </xf>
    <xf numFmtId="0" fontId="26" fillId="0" borderId="0" xfId="4" applyFont="1" applyAlignment="1">
      <alignment horizontal="left" vertical="center" wrapText="1"/>
    </xf>
    <xf numFmtId="14" fontId="0" fillId="0" borderId="0" xfId="0" applyNumberFormat="1" applyProtection="1">
      <protection locked="0"/>
    </xf>
    <xf numFmtId="0" fontId="4" fillId="0" borderId="18" xfId="0" applyFont="1" applyBorder="1" applyAlignment="1">
      <alignment horizontal="center" wrapText="1"/>
    </xf>
    <xf numFmtId="0" fontId="26" fillId="0" borderId="18" xfId="0" applyFont="1" applyBorder="1"/>
    <xf numFmtId="0" fontId="50" fillId="3" borderId="0" xfId="0" applyFont="1" applyFill="1" applyAlignment="1">
      <alignment horizontal="center"/>
    </xf>
    <xf numFmtId="0" fontId="50" fillId="3" borderId="0" xfId="0" applyFont="1" applyFill="1" applyAlignment="1">
      <alignment horizontal="right"/>
    </xf>
    <xf numFmtId="49" fontId="0" fillId="0" borderId="0" xfId="0" applyNumberFormat="1" applyAlignment="1">
      <alignment horizontal="center"/>
    </xf>
    <xf numFmtId="49" fontId="0" fillId="0" borderId="0" xfId="0" applyNumberFormat="1"/>
    <xf numFmtId="167" fontId="19" fillId="0" borderId="0" xfId="2" applyNumberFormat="1" applyFont="1" applyFill="1" applyBorder="1" applyAlignment="1">
      <alignment horizontal="center" vertical="center"/>
    </xf>
    <xf numFmtId="9" fontId="77" fillId="0" borderId="0" xfId="1" applyFont="1" applyFill="1" applyBorder="1" applyAlignment="1" applyProtection="1">
      <alignment horizontal="center"/>
      <protection locked="0"/>
    </xf>
    <xf numFmtId="184" fontId="77" fillId="0" borderId="0" xfId="5" applyNumberFormat="1" applyFont="1" applyFill="1" applyBorder="1" applyAlignment="1" applyProtection="1">
      <alignment horizontal="center" vertical="center"/>
      <protection locked="0"/>
    </xf>
    <xf numFmtId="0" fontId="26" fillId="0" borderId="0" xfId="0" applyFont="1" applyAlignment="1">
      <alignment horizontal="center" wrapText="1"/>
    </xf>
    <xf numFmtId="9" fontId="19" fillId="0" borderId="0" xfId="0" applyNumberFormat="1" applyFont="1" applyAlignment="1">
      <alignment horizontal="center" vertical="center"/>
    </xf>
    <xf numFmtId="0" fontId="23" fillId="0" borderId="0" xfId="0" applyFont="1"/>
    <xf numFmtId="178" fontId="23" fillId="0" borderId="0" xfId="10" applyNumberFormat="1" applyFont="1" applyBorder="1" applyAlignment="1">
      <alignment horizontal="center"/>
    </xf>
    <xf numFmtId="0" fontId="4" fillId="0" borderId="18" xfId="0" applyFont="1" applyBorder="1" applyAlignment="1">
      <alignment horizontal="center"/>
    </xf>
    <xf numFmtId="184" fontId="80" fillId="0" borderId="13" xfId="4" applyNumberFormat="1" applyFont="1" applyBorder="1" applyAlignment="1" applyProtection="1">
      <alignment horizontal="center"/>
      <protection locked="0"/>
    </xf>
    <xf numFmtId="0" fontId="81" fillId="0" borderId="13" xfId="4" applyFont="1" applyBorder="1" applyAlignment="1" applyProtection="1">
      <alignment horizontal="center"/>
      <protection locked="0"/>
    </xf>
    <xf numFmtId="165" fontId="78" fillId="0" borderId="35" xfId="5" applyNumberFormat="1" applyFont="1" applyFill="1" applyBorder="1" applyAlignment="1" applyProtection="1">
      <alignment horizontal="center" vertical="center" wrapText="1"/>
      <protection locked="0"/>
    </xf>
    <xf numFmtId="0" fontId="98" fillId="0" borderId="18" xfId="0" applyFont="1" applyBorder="1" applyAlignment="1">
      <alignment horizontal="center" vertical="center" wrapText="1"/>
    </xf>
    <xf numFmtId="173" fontId="0" fillId="0" borderId="0" xfId="0" applyNumberFormat="1"/>
    <xf numFmtId="0" fontId="26" fillId="0" borderId="16" xfId="0" applyFont="1" applyBorder="1" applyAlignment="1">
      <alignment horizontal="right" vertical="center"/>
    </xf>
    <xf numFmtId="0" fontId="4" fillId="0" borderId="9" xfId="0" applyFont="1" applyBorder="1" applyAlignment="1">
      <alignment horizontal="center" vertical="center"/>
    </xf>
    <xf numFmtId="0" fontId="9" fillId="0" borderId="5" xfId="0" applyFont="1" applyBorder="1" applyAlignment="1">
      <alignment horizontal="right"/>
    </xf>
    <xf numFmtId="167" fontId="0" fillId="0" borderId="0" xfId="4" applyNumberFormat="1" applyFont="1" applyAlignment="1">
      <alignment horizontal="center"/>
    </xf>
    <xf numFmtId="10" fontId="26" fillId="0" borderId="18" xfId="1" applyNumberFormat="1" applyFont="1" applyFill="1" applyBorder="1" applyAlignment="1">
      <alignment horizontal="center" vertical="center"/>
    </xf>
    <xf numFmtId="0" fontId="100" fillId="3" borderId="0" xfId="0" applyFont="1" applyFill="1"/>
    <xf numFmtId="3" fontId="31" fillId="0" borderId="0" xfId="4" applyNumberFormat="1" applyFont="1" applyAlignment="1">
      <alignment horizontal="left"/>
    </xf>
    <xf numFmtId="0" fontId="84" fillId="0" borderId="0" xfId="0" applyFont="1"/>
    <xf numFmtId="0" fontId="67" fillId="0" borderId="3" xfId="4" applyFont="1" applyBorder="1" applyAlignment="1"/>
    <xf numFmtId="0" fontId="31" fillId="0" borderId="3" xfId="4" applyFont="1" applyBorder="1" applyAlignment="1">
      <alignment horizontal="center"/>
    </xf>
    <xf numFmtId="0" fontId="20" fillId="0" borderId="0" xfId="4" applyFont="1" applyAlignment="1"/>
    <xf numFmtId="169" fontId="19" fillId="0" borderId="0" xfId="4" applyNumberFormat="1" applyFont="1" applyAlignment="1"/>
    <xf numFmtId="3" fontId="19" fillId="0" borderId="0" xfId="4" applyNumberFormat="1" applyFont="1" applyAlignment="1">
      <alignment horizontal="left"/>
    </xf>
    <xf numFmtId="168" fontId="68" fillId="0" borderId="0" xfId="4" applyNumberFormat="1" applyFont="1" applyAlignment="1">
      <alignment horizontal="left"/>
    </xf>
    <xf numFmtId="3" fontId="26" fillId="0" borderId="0" xfId="4" applyNumberFormat="1" applyFont="1" applyAlignment="1">
      <alignment horizontal="left"/>
    </xf>
    <xf numFmtId="0" fontId="68" fillId="0" borderId="0" xfId="4" applyFont="1" applyAlignment="1"/>
    <xf numFmtId="0" fontId="25" fillId="0" borderId="0" xfId="4" applyFont="1" applyAlignment="1">
      <alignment horizontal="left"/>
    </xf>
    <xf numFmtId="167" fontId="19" fillId="0" borderId="0" xfId="3" applyNumberFormat="1" applyFont="1" applyAlignment="1">
      <alignment horizontal="center" vertical="center"/>
    </xf>
    <xf numFmtId="167" fontId="25" fillId="0" borderId="0" xfId="4" applyNumberFormat="1" applyFont="1" applyAlignment="1">
      <alignment horizontal="center"/>
    </xf>
    <xf numFmtId="2" fontId="19" fillId="0" borderId="0" xfId="3" applyNumberFormat="1" applyFont="1" applyAlignment="1">
      <alignment horizontal="center" vertical="center"/>
    </xf>
    <xf numFmtId="2" fontId="25" fillId="0" borderId="0" xfId="4" applyNumberFormat="1" applyFont="1" applyAlignment="1">
      <alignment horizontal="center"/>
    </xf>
    <xf numFmtId="0" fontId="19" fillId="0" borderId="12" xfId="4" applyFont="1" applyBorder="1" applyAlignment="1">
      <alignment horizontal="left"/>
    </xf>
    <xf numFmtId="169" fontId="19" fillId="0" borderId="12" xfId="4" applyNumberFormat="1" applyFont="1" applyBorder="1" applyAlignment="1"/>
    <xf numFmtId="0" fontId="19" fillId="0" borderId="32" xfId="4" applyFont="1" applyBorder="1" applyAlignment="1">
      <alignment horizontal="right"/>
    </xf>
    <xf numFmtId="9" fontId="19" fillId="0" borderId="22" xfId="4" applyNumberFormat="1" applyFont="1" applyBorder="1" applyAlignment="1">
      <alignment horizontal="center"/>
    </xf>
    <xf numFmtId="0" fontId="31" fillId="0" borderId="0" xfId="4" applyFont="1" applyAlignment="1"/>
    <xf numFmtId="0" fontId="19" fillId="0" borderId="17" xfId="4" applyFont="1" applyBorder="1" applyAlignment="1"/>
    <xf numFmtId="0" fontId="25" fillId="0" borderId="2" xfId="0" applyFont="1" applyBorder="1"/>
    <xf numFmtId="0" fontId="25" fillId="0" borderId="3" xfId="0" applyFont="1" applyBorder="1"/>
    <xf numFmtId="0" fontId="25" fillId="0" borderId="4" xfId="0" applyFont="1" applyBorder="1"/>
    <xf numFmtId="0" fontId="25" fillId="0" borderId="5" xfId="0" applyFont="1" applyBorder="1"/>
    <xf numFmtId="0" fontId="53" fillId="0" borderId="0" xfId="0" applyFont="1"/>
    <xf numFmtId="0" fontId="7" fillId="0" borderId="0" xfId="0" applyFont="1"/>
    <xf numFmtId="0" fontId="54" fillId="0" borderId="0" xfId="0" applyFont="1"/>
    <xf numFmtId="0" fontId="25" fillId="0" borderId="6" xfId="0" applyFont="1" applyBorder="1"/>
    <xf numFmtId="0" fontId="9" fillId="0" borderId="0" xfId="3" applyFont="1" applyAlignment="1">
      <alignment horizontal="right" vertical="center"/>
    </xf>
    <xf numFmtId="14" fontId="25" fillId="0" borderId="0" xfId="0" applyNumberFormat="1" applyFont="1" applyAlignment="1">
      <alignment horizontal="center" vertical="center"/>
    </xf>
    <xf numFmtId="166" fontId="25" fillId="0" borderId="0" xfId="1" applyNumberFormat="1" applyFont="1" applyFill="1" applyBorder="1" applyAlignment="1">
      <alignment horizontal="center" vertical="center"/>
    </xf>
    <xf numFmtId="0" fontId="25" fillId="0" borderId="14" xfId="0" applyFont="1" applyBorder="1"/>
    <xf numFmtId="0" fontId="55" fillId="0" borderId="12" xfId="4" applyFont="1" applyBorder="1" applyAlignment="1" applyProtection="1">
      <alignment horizontal="left" vertical="top"/>
      <protection hidden="1"/>
    </xf>
    <xf numFmtId="9" fontId="31" fillId="0" borderId="12" xfId="7" applyFont="1" applyFill="1" applyBorder="1" applyAlignment="1" applyProtection="1">
      <alignment horizontal="center"/>
    </xf>
    <xf numFmtId="0" fontId="26" fillId="0" borderId="12" xfId="3" applyFont="1" applyBorder="1" applyAlignment="1">
      <alignment horizontal="center"/>
    </xf>
    <xf numFmtId="14" fontId="56" fillId="0" borderId="12" xfId="0" applyNumberFormat="1" applyFont="1" applyBorder="1" applyAlignment="1">
      <alignment horizontal="center"/>
    </xf>
    <xf numFmtId="0" fontId="54" fillId="0" borderId="12" xfId="0" applyFont="1" applyBorder="1"/>
    <xf numFmtId="0" fontId="25" fillId="0" borderId="12" xfId="0" applyFont="1" applyBorder="1"/>
    <xf numFmtId="0" fontId="25" fillId="0" borderId="15" xfId="0" applyFont="1" applyBorder="1"/>
    <xf numFmtId="0" fontId="56" fillId="0" borderId="2" xfId="0" applyFont="1" applyBorder="1"/>
    <xf numFmtId="0" fontId="56" fillId="0" borderId="3" xfId="0" applyFont="1" applyBorder="1"/>
    <xf numFmtId="0" fontId="56" fillId="0" borderId="4" xfId="0" applyFont="1" applyBorder="1"/>
    <xf numFmtId="0" fontId="56" fillId="0" borderId="5" xfId="0" applyFont="1" applyBorder="1"/>
    <xf numFmtId="0" fontId="83" fillId="0" borderId="0" xfId="0" applyFont="1"/>
    <xf numFmtId="0" fontId="56" fillId="0" borderId="8" xfId="0" applyFont="1" applyBorder="1"/>
    <xf numFmtId="0" fontId="56" fillId="0" borderId="6" xfId="0" applyFont="1" applyBorder="1"/>
    <xf numFmtId="167" fontId="56" fillId="0" borderId="0" xfId="0" applyNumberFormat="1" applyFont="1"/>
    <xf numFmtId="0" fontId="56" fillId="0" borderId="14" xfId="0" applyFont="1" applyBorder="1"/>
    <xf numFmtId="0" fontId="56" fillId="0" borderId="12" xfId="0" applyFont="1" applyBorder="1"/>
    <xf numFmtId="0" fontId="56" fillId="0" borderId="15" xfId="0" applyFont="1" applyBorder="1"/>
    <xf numFmtId="0" fontId="60" fillId="0" borderId="3" xfId="0" applyFont="1" applyBorder="1" applyAlignment="1">
      <alignment horizontal="center"/>
    </xf>
    <xf numFmtId="1" fontId="56" fillId="0" borderId="25" xfId="0" applyNumberFormat="1" applyFont="1" applyBorder="1" applyAlignment="1">
      <alignment horizontal="center"/>
    </xf>
    <xf numFmtId="179" fontId="31" fillId="0" borderId="25" xfId="5" applyNumberFormat="1" applyFont="1" applyFill="1" applyBorder="1" applyAlignment="1" applyProtection="1">
      <alignment horizontal="center"/>
    </xf>
    <xf numFmtId="187" fontId="31" fillId="0" borderId="8" xfId="7" applyNumberFormat="1" applyFont="1" applyFill="1" applyBorder="1" applyAlignment="1" applyProtection="1">
      <alignment horizontal="center"/>
    </xf>
    <xf numFmtId="0" fontId="31" fillId="0" borderId="5" xfId="0" applyFont="1" applyBorder="1"/>
    <xf numFmtId="0" fontId="31" fillId="0" borderId="6" xfId="0" applyFont="1" applyBorder="1"/>
    <xf numFmtId="167" fontId="68" fillId="0" borderId="23" xfId="5" applyNumberFormat="1" applyFont="1" applyFill="1" applyBorder="1" applyAlignment="1" applyProtection="1"/>
    <xf numFmtId="167" fontId="68" fillId="0" borderId="23" xfId="5" applyNumberFormat="1" applyFont="1" applyFill="1" applyBorder="1" applyAlignment="1" applyProtection="1">
      <alignment horizontal="center"/>
    </xf>
    <xf numFmtId="0" fontId="56" fillId="0" borderId="12" xfId="0" applyFont="1" applyBorder="1" applyAlignment="1">
      <alignment horizontal="center"/>
    </xf>
    <xf numFmtId="0" fontId="56" fillId="0" borderId="3" xfId="0" applyFont="1" applyBorder="1" applyAlignment="1">
      <alignment horizontal="center"/>
    </xf>
    <xf numFmtId="187" fontId="56" fillId="0" borderId="8" xfId="1" applyNumberFormat="1" applyFont="1" applyFill="1" applyBorder="1" applyAlignment="1">
      <alignment horizontal="center"/>
    </xf>
    <xf numFmtId="187" fontId="56" fillId="0" borderId="8" xfId="0" applyNumberFormat="1" applyFont="1" applyBorder="1" applyAlignment="1">
      <alignment horizontal="center"/>
    </xf>
    <xf numFmtId="0" fontId="56" fillId="0" borderId="0" xfId="0" quotePrefix="1" applyFont="1"/>
    <xf numFmtId="0" fontId="85" fillId="0" borderId="0" xfId="0" applyFont="1"/>
    <xf numFmtId="179" fontId="31" fillId="0" borderId="25" xfId="0" applyNumberFormat="1" applyFont="1" applyBorder="1" applyAlignment="1">
      <alignment horizontal="center"/>
    </xf>
    <xf numFmtId="187" fontId="31" fillId="0" borderId="8" xfId="1" applyNumberFormat="1" applyFont="1" applyFill="1" applyBorder="1" applyAlignment="1">
      <alignment horizontal="center"/>
    </xf>
    <xf numFmtId="179" fontId="83" fillId="0" borderId="25" xfId="0" applyNumberFormat="1" applyFont="1" applyBorder="1" applyAlignment="1">
      <alignment horizontal="center"/>
    </xf>
    <xf numFmtId="187" fontId="60" fillId="0" borderId="8" xfId="1" applyNumberFormat="1" applyFont="1" applyFill="1" applyBorder="1" applyAlignment="1">
      <alignment horizontal="center"/>
    </xf>
    <xf numFmtId="1" fontId="56" fillId="0" borderId="12" xfId="0" applyNumberFormat="1" applyFont="1" applyBorder="1"/>
    <xf numFmtId="0" fontId="58" fillId="0" borderId="5" xfId="0" applyFont="1" applyBorder="1"/>
    <xf numFmtId="0" fontId="58" fillId="0" borderId="6" xfId="0" applyFont="1" applyBorder="1"/>
    <xf numFmtId="0" fontId="86" fillId="0" borderId="0" xfId="0" applyFont="1"/>
    <xf numFmtId="179" fontId="84" fillId="0" borderId="25" xfId="0" applyNumberFormat="1" applyFont="1" applyBorder="1" applyAlignment="1">
      <alignment horizontal="center"/>
    </xf>
    <xf numFmtId="0" fontId="31" fillId="0" borderId="0" xfId="0" applyFont="1" applyAlignment="1">
      <alignment horizontal="left" indent="3"/>
    </xf>
    <xf numFmtId="0" fontId="31" fillId="0" borderId="0" xfId="0" applyFont="1" applyAlignment="1">
      <alignment horizontal="left"/>
    </xf>
    <xf numFmtId="179" fontId="83" fillId="0" borderId="0" xfId="0" applyNumberFormat="1" applyFont="1" applyAlignment="1">
      <alignment horizontal="center"/>
    </xf>
    <xf numFmtId="0" fontId="68" fillId="0" borderId="30" xfId="4" applyFont="1" applyBorder="1" applyAlignment="1"/>
    <xf numFmtId="187" fontId="25" fillId="0" borderId="0" xfId="1" applyNumberFormat="1" applyFont="1" applyFill="1" applyBorder="1" applyAlignment="1">
      <alignment horizontal="center"/>
    </xf>
    <xf numFmtId="2" fontId="19" fillId="0" borderId="0" xfId="1" applyNumberFormat="1" applyFont="1" applyFill="1" applyBorder="1" applyAlignment="1">
      <alignment horizontal="center"/>
    </xf>
    <xf numFmtId="0" fontId="19" fillId="0" borderId="12" xfId="4" applyFont="1" applyBorder="1" applyAlignment="1"/>
    <xf numFmtId="0" fontId="69" fillId="0" borderId="0" xfId="4" applyFont="1" applyAlignment="1"/>
    <xf numFmtId="0" fontId="19" fillId="0" borderId="0" xfId="4" applyFont="1" applyAlignment="1">
      <alignment wrapText="1"/>
    </xf>
    <xf numFmtId="0" fontId="1" fillId="0" borderId="6" xfId="0" applyFont="1" applyBorder="1"/>
    <xf numFmtId="0" fontId="24" fillId="0" borderId="0" xfId="4" applyFont="1" applyAlignment="1"/>
    <xf numFmtId="0" fontId="15" fillId="0" borderId="0" xfId="4" applyFont="1" applyAlignment="1"/>
    <xf numFmtId="0" fontId="26" fillId="0" borderId="0" xfId="4" quotePrefix="1" applyFont="1" applyAlignment="1"/>
    <xf numFmtId="170" fontId="24" fillId="0" borderId="0" xfId="4" applyNumberFormat="1" applyFont="1" applyAlignment="1" applyProtection="1">
      <protection hidden="1"/>
    </xf>
    <xf numFmtId="0" fontId="19" fillId="0" borderId="0" xfId="4" quotePrefix="1" applyFont="1" applyAlignment="1"/>
    <xf numFmtId="0" fontId="9" fillId="0" borderId="35" xfId="0" applyFont="1" applyBorder="1" applyAlignment="1">
      <alignment vertical="top"/>
    </xf>
    <xf numFmtId="0" fontId="15" fillId="5" borderId="0" xfId="0" applyFont="1" applyFill="1"/>
    <xf numFmtId="0" fontId="16" fillId="5" borderId="0" xfId="0" applyFont="1" applyFill="1"/>
    <xf numFmtId="0" fontId="36" fillId="7" borderId="3" xfId="4" applyFont="1" applyFill="1" applyBorder="1" applyAlignment="1">
      <alignment horizontal="left" vertical="center" wrapText="1"/>
    </xf>
    <xf numFmtId="0" fontId="19" fillId="0" borderId="0" xfId="4" applyFont="1" applyAlignment="1">
      <alignment horizontal="left" vertical="center" wrapText="1"/>
    </xf>
    <xf numFmtId="0" fontId="19" fillId="0" borderId="12" xfId="4" applyFont="1" applyBorder="1" applyAlignment="1">
      <alignment horizontal="left" vertical="center" wrapText="1"/>
    </xf>
    <xf numFmtId="0" fontId="36" fillId="7" borderId="0" xfId="4" applyFont="1" applyFill="1" applyAlignment="1">
      <alignment horizontal="left" vertical="center" wrapText="1"/>
    </xf>
    <xf numFmtId="0" fontId="19" fillId="0" borderId="0" xfId="3" applyFont="1" applyAlignment="1" applyProtection="1">
      <alignment horizontal="left" vertical="center" wrapText="1"/>
      <protection locked="0"/>
    </xf>
    <xf numFmtId="0" fontId="19" fillId="0" borderId="0" xfId="3" applyFont="1" applyAlignment="1">
      <alignment horizontal="left" vertical="center" wrapText="1"/>
    </xf>
    <xf numFmtId="0" fontId="36" fillId="7" borderId="12" xfId="4" applyFont="1" applyFill="1" applyBorder="1" applyAlignment="1">
      <alignment horizontal="left" vertical="center" wrapText="1"/>
    </xf>
    <xf numFmtId="0" fontId="19" fillId="5" borderId="3" xfId="4" applyFont="1" applyFill="1" applyBorder="1" applyAlignment="1">
      <alignment horizontal="left" vertical="center" wrapText="1"/>
    </xf>
    <xf numFmtId="0" fontId="26" fillId="5" borderId="0" xfId="4" applyFont="1" applyFill="1" applyAlignment="1">
      <alignment horizontal="left" vertical="center" wrapText="1"/>
    </xf>
    <xf numFmtId="0" fontId="19" fillId="5" borderId="0" xfId="4" applyFont="1" applyFill="1" applyAlignment="1">
      <alignment horizontal="left" vertical="center" wrapText="1"/>
    </xf>
    <xf numFmtId="0" fontId="25" fillId="0" borderId="0" xfId="0" applyFont="1" applyAlignment="1">
      <alignment horizontal="left" vertical="center" wrapText="1"/>
    </xf>
    <xf numFmtId="0" fontId="0" fillId="0" borderId="0" xfId="4" applyFont="1" applyAlignment="1">
      <alignment horizontal="left" vertical="center"/>
    </xf>
    <xf numFmtId="0" fontId="25" fillId="0" borderId="0" xfId="4" applyFont="1" applyAlignment="1">
      <alignment horizontal="left" vertical="center" wrapText="1"/>
    </xf>
    <xf numFmtId="0" fontId="29" fillId="6" borderId="3" xfId="0" applyFont="1" applyFill="1" applyBorder="1" applyAlignment="1">
      <alignment horizontal="left" vertical="center" wrapText="1"/>
    </xf>
    <xf numFmtId="0" fontId="25" fillId="5" borderId="3" xfId="0" applyFont="1" applyFill="1" applyBorder="1" applyAlignment="1">
      <alignment horizontal="left" vertical="center" wrapText="1"/>
    </xf>
    <xf numFmtId="0" fontId="25" fillId="0" borderId="0" xfId="0" applyFont="1" applyAlignment="1" applyProtection="1">
      <alignment horizontal="left" vertical="center" wrapText="1"/>
      <protection locked="0"/>
    </xf>
    <xf numFmtId="0" fontId="25" fillId="5" borderId="0" xfId="0" applyFont="1" applyFill="1" applyAlignment="1">
      <alignment horizontal="left" vertical="center" wrapText="1"/>
    </xf>
    <xf numFmtId="0" fontId="25" fillId="8" borderId="0" xfId="0" applyFont="1" applyFill="1" applyAlignment="1">
      <alignment horizontal="left" vertical="center" wrapText="1"/>
    </xf>
    <xf numFmtId="0" fontId="25" fillId="6" borderId="12" xfId="0" applyFont="1" applyFill="1" applyBorder="1" applyAlignment="1">
      <alignment horizontal="left" vertical="center" wrapText="1"/>
    </xf>
    <xf numFmtId="0" fontId="25" fillId="7" borderId="12" xfId="0" applyFont="1" applyFill="1" applyBorder="1" applyAlignment="1">
      <alignment horizontal="left" vertical="center" wrapText="1"/>
    </xf>
    <xf numFmtId="0" fontId="29" fillId="6" borderId="0" xfId="0" applyFont="1" applyFill="1" applyAlignment="1">
      <alignment horizontal="left" vertical="center" wrapText="1"/>
    </xf>
    <xf numFmtId="0" fontId="25" fillId="5" borderId="12" xfId="0" applyFont="1" applyFill="1" applyBorder="1" applyAlignment="1">
      <alignment horizontal="left" vertical="center" wrapText="1"/>
    </xf>
    <xf numFmtId="0" fontId="19" fillId="5" borderId="12" xfId="4" applyFont="1" applyFill="1" applyBorder="1" applyAlignment="1">
      <alignment horizontal="left" vertical="center" wrapText="1"/>
    </xf>
    <xf numFmtId="0" fontId="25" fillId="0" borderId="0" xfId="0" applyFont="1" applyAlignment="1">
      <alignment horizontal="left" vertical="center"/>
    </xf>
    <xf numFmtId="2" fontId="4" fillId="0" borderId="0" xfId="0" applyNumberFormat="1" applyFont="1" applyAlignment="1">
      <alignment horizontal="center" vertical="center" wrapText="1"/>
    </xf>
    <xf numFmtId="0" fontId="16" fillId="7" borderId="3" xfId="4" applyFont="1" applyFill="1" applyBorder="1" applyAlignment="1">
      <alignment horizontal="left" vertical="center"/>
    </xf>
    <xf numFmtId="0" fontId="30" fillId="5" borderId="3" xfId="4" applyFont="1" applyFill="1" applyBorder="1" applyAlignment="1">
      <alignment horizontal="left" vertical="center"/>
    </xf>
    <xf numFmtId="167" fontId="19" fillId="0" borderId="0" xfId="4" applyNumberFormat="1" applyFont="1" applyAlignment="1"/>
    <xf numFmtId="0" fontId="20" fillId="6" borderId="3" xfId="4" applyFont="1" applyFill="1" applyBorder="1">
      <alignment vertical="center"/>
    </xf>
    <xf numFmtId="0" fontId="15" fillId="6" borderId="3" xfId="0" applyFont="1" applyFill="1" applyBorder="1"/>
    <xf numFmtId="0" fontId="0" fillId="6" borderId="3" xfId="0" applyFill="1" applyBorder="1"/>
    <xf numFmtId="0" fontId="16" fillId="6" borderId="3" xfId="0" applyFont="1" applyFill="1" applyBorder="1" applyAlignment="1">
      <alignment horizontal="left"/>
    </xf>
    <xf numFmtId="0" fontId="25" fillId="6" borderId="3" xfId="0" applyFont="1" applyFill="1" applyBorder="1" applyAlignment="1">
      <alignment horizontal="left" vertical="center" wrapText="1"/>
    </xf>
    <xf numFmtId="0" fontId="0" fillId="6" borderId="5" xfId="0" applyFill="1" applyBorder="1"/>
    <xf numFmtId="0" fontId="0" fillId="6" borderId="0" xfId="0" applyFill="1"/>
    <xf numFmtId="0" fontId="25" fillId="6" borderId="0" xfId="0" applyFont="1" applyFill="1" applyAlignment="1">
      <alignment horizontal="left" vertical="center" wrapText="1"/>
    </xf>
    <xf numFmtId="0" fontId="0" fillId="6" borderId="6" xfId="0" applyFill="1" applyBorder="1"/>
    <xf numFmtId="0" fontId="1" fillId="0" borderId="0" xfId="0" applyFont="1"/>
    <xf numFmtId="0" fontId="31" fillId="0" borderId="6" xfId="3" applyFont="1" applyBorder="1" applyAlignment="1">
      <alignment horizontal="center" vertical="center"/>
    </xf>
    <xf numFmtId="187" fontId="25" fillId="0" borderId="6" xfId="1" applyNumberFormat="1" applyFont="1" applyFill="1" applyBorder="1" applyAlignment="1">
      <alignment horizontal="center"/>
    </xf>
    <xf numFmtId="2" fontId="19" fillId="0" borderId="6" xfId="1" applyNumberFormat="1" applyFont="1" applyFill="1" applyBorder="1" applyAlignment="1">
      <alignment horizontal="center"/>
    </xf>
    <xf numFmtId="2" fontId="19" fillId="0" borderId="6" xfId="4" applyNumberFormat="1" applyFont="1" applyBorder="1" applyAlignment="1">
      <alignment horizontal="center"/>
    </xf>
    <xf numFmtId="173" fontId="19" fillId="0" borderId="0" xfId="3" applyNumberFormat="1" applyFont="1" applyAlignment="1">
      <alignment horizontal="center" vertical="center"/>
    </xf>
    <xf numFmtId="187" fontId="25" fillId="0" borderId="0" xfId="1" applyNumberFormat="1" applyFont="1" applyFill="1" applyAlignment="1">
      <alignment horizontal="center"/>
    </xf>
    <xf numFmtId="2" fontId="19" fillId="0" borderId="0" xfId="1" applyNumberFormat="1" applyFont="1" applyFill="1" applyAlignment="1">
      <alignment horizontal="center"/>
    </xf>
    <xf numFmtId="0" fontId="72" fillId="5" borderId="3" xfId="0" applyFont="1" applyFill="1" applyBorder="1" applyAlignment="1">
      <alignment horizontal="right"/>
    </xf>
    <xf numFmtId="0" fontId="72" fillId="5" borderId="0" xfId="0" applyFont="1" applyFill="1" applyAlignment="1">
      <alignment horizontal="right"/>
    </xf>
    <xf numFmtId="0" fontId="75" fillId="5" borderId="0" xfId="4" applyFont="1" applyFill="1" applyAlignment="1">
      <alignment horizontal="right"/>
    </xf>
    <xf numFmtId="166" fontId="75" fillId="5" borderId="6" xfId="1" applyNumberFormat="1" applyFont="1" applyFill="1" applyBorder="1" applyProtection="1"/>
    <xf numFmtId="0" fontId="26" fillId="0" borderId="35" xfId="0" applyFont="1" applyBorder="1" applyAlignment="1">
      <alignment horizontal="right"/>
    </xf>
    <xf numFmtId="0" fontId="19" fillId="0" borderId="35" xfId="0" applyFont="1" applyBorder="1"/>
    <xf numFmtId="185" fontId="19" fillId="0" borderId="0" xfId="0" applyNumberFormat="1" applyFont="1"/>
    <xf numFmtId="189" fontId="19" fillId="0" borderId="0" xfId="0" applyNumberFormat="1" applyFont="1"/>
    <xf numFmtId="2" fontId="19" fillId="0" borderId="0" xfId="0" applyNumberFormat="1" applyFont="1" applyAlignment="1">
      <alignment horizontal="right" vertical="center"/>
    </xf>
    <xf numFmtId="43" fontId="37" fillId="7" borderId="6" xfId="4" applyNumberFormat="1" applyFont="1" applyFill="1" applyBorder="1" applyAlignment="1">
      <alignment vertical="center" wrapText="1"/>
    </xf>
    <xf numFmtId="43" fontId="37" fillId="7" borderId="3" xfId="4" applyNumberFormat="1" applyFont="1" applyFill="1" applyBorder="1" applyAlignment="1">
      <alignment horizontal="right" vertical="center" wrapText="1"/>
    </xf>
    <xf numFmtId="43" fontId="27" fillId="6" borderId="3" xfId="0" applyNumberFormat="1" applyFont="1" applyFill="1" applyBorder="1" applyAlignment="1">
      <alignment horizontal="right"/>
    </xf>
    <xf numFmtId="43" fontId="75" fillId="5" borderId="4" xfId="0" applyNumberFormat="1" applyFont="1" applyFill="1" applyBorder="1"/>
    <xf numFmtId="43" fontId="29" fillId="6" borderId="4" xfId="0" applyNumberFormat="1" applyFont="1" applyFill="1" applyBorder="1"/>
    <xf numFmtId="43" fontId="75" fillId="5" borderId="6" xfId="0" applyNumberFormat="1" applyFont="1" applyFill="1" applyBorder="1"/>
    <xf numFmtId="190" fontId="82" fillId="0" borderId="0" xfId="1" applyNumberFormat="1" applyFont="1" applyFill="1" applyBorder="1" applyAlignment="1" applyProtection="1">
      <alignment horizontal="center"/>
      <protection locked="0"/>
    </xf>
    <xf numFmtId="43" fontId="75" fillId="5" borderId="4" xfId="4" applyNumberFormat="1" applyFont="1" applyFill="1" applyBorder="1" applyAlignment="1">
      <alignment shrinkToFit="1"/>
    </xf>
    <xf numFmtId="184" fontId="77" fillId="0" borderId="0" xfId="0" applyNumberFormat="1" applyFont="1" applyAlignment="1" applyProtection="1">
      <alignment horizontal="center" vertical="center"/>
      <protection locked="0"/>
    </xf>
    <xf numFmtId="184" fontId="0" fillId="0" borderId="0" xfId="0" applyNumberFormat="1" applyAlignment="1">
      <alignment horizontal="center"/>
    </xf>
    <xf numFmtId="0" fontId="4" fillId="0" borderId="3" xfId="0" applyFont="1" applyBorder="1" applyAlignment="1">
      <alignment horizontal="right"/>
    </xf>
    <xf numFmtId="167" fontId="0" fillId="0" borderId="3" xfId="0" applyNumberFormat="1" applyBorder="1"/>
    <xf numFmtId="0" fontId="102" fillId="0" borderId="0" xfId="6" applyFont="1" applyAlignment="1"/>
    <xf numFmtId="0" fontId="22" fillId="0" borderId="0" xfId="0" applyFont="1" applyAlignment="1">
      <alignment vertical="center" wrapText="1"/>
    </xf>
    <xf numFmtId="0" fontId="23" fillId="0" borderId="0" xfId="0" applyFont="1" applyAlignment="1">
      <alignment horizontal="right"/>
    </xf>
    <xf numFmtId="0" fontId="0" fillId="0" borderId="11" xfId="0" applyBorder="1"/>
    <xf numFmtId="0" fontId="4" fillId="0" borderId="11" xfId="0" applyFont="1" applyBorder="1" applyAlignment="1">
      <alignment horizontal="right"/>
    </xf>
    <xf numFmtId="167" fontId="25" fillId="0" borderId="7" xfId="5" applyNumberFormat="1" applyFont="1" applyFill="1" applyBorder="1" applyAlignment="1" applyProtection="1">
      <alignment horizontal="center" vertical="center"/>
    </xf>
    <xf numFmtId="167" fontId="25" fillId="0" borderId="39" xfId="5" applyNumberFormat="1" applyFont="1" applyFill="1" applyBorder="1" applyAlignment="1" applyProtection="1">
      <alignment horizontal="center" vertical="center"/>
    </xf>
    <xf numFmtId="165" fontId="77" fillId="0" borderId="0" xfId="5" applyNumberFormat="1" applyFont="1" applyFill="1" applyBorder="1" applyAlignment="1" applyProtection="1">
      <alignment horizontal="center" vertical="center"/>
      <protection locked="0"/>
    </xf>
    <xf numFmtId="0" fontId="9" fillId="0" borderId="0" xfId="0" applyFont="1" applyAlignment="1">
      <alignment horizontal="center"/>
    </xf>
    <xf numFmtId="184" fontId="78" fillId="0" borderId="0" xfId="5" applyNumberFormat="1" applyFont="1" applyFill="1" applyBorder="1" applyAlignment="1" applyProtection="1">
      <alignment horizontal="center" vertical="center"/>
      <protection locked="0"/>
    </xf>
    <xf numFmtId="0" fontId="50" fillId="0" borderId="0" xfId="0" applyFont="1" applyAlignment="1">
      <alignment horizontal="center" vertical="center"/>
    </xf>
    <xf numFmtId="184" fontId="78" fillId="0" borderId="0" xfId="4" applyNumberFormat="1" applyFont="1" applyAlignment="1" applyProtection="1">
      <alignment horizontal="center"/>
      <protection locked="0"/>
    </xf>
    <xf numFmtId="0" fontId="4" fillId="0" borderId="7" xfId="0" applyFont="1" applyBorder="1" applyAlignment="1">
      <alignment horizontal="center" vertical="center" wrapText="1"/>
    </xf>
    <xf numFmtId="179" fontId="56" fillId="0" borderId="25" xfId="0" applyNumberFormat="1" applyFont="1" applyBorder="1" applyAlignment="1">
      <alignment horizontal="center"/>
    </xf>
    <xf numFmtId="0" fontId="56" fillId="0" borderId="25" xfId="0" applyFont="1" applyBorder="1" applyAlignment="1">
      <alignment horizontal="center"/>
    </xf>
    <xf numFmtId="0" fontId="56" fillId="0" borderId="8" xfId="0" applyFont="1" applyBorder="1" applyAlignment="1">
      <alignment horizontal="center"/>
    </xf>
    <xf numFmtId="2" fontId="26" fillId="0" borderId="0" xfId="0" applyNumberFormat="1" applyFont="1" applyAlignment="1">
      <alignment horizontal="center"/>
    </xf>
    <xf numFmtId="0" fontId="26" fillId="0" borderId="18" xfId="0" applyFont="1" applyBorder="1" applyAlignment="1">
      <alignment horizontal="center" vertical="center"/>
    </xf>
    <xf numFmtId="10" fontId="26" fillId="0" borderId="29" xfId="1" applyNumberFormat="1" applyFont="1" applyFill="1" applyBorder="1" applyAlignment="1">
      <alignment horizontal="center" vertical="center"/>
    </xf>
    <xf numFmtId="0" fontId="26" fillId="0" borderId="16" xfId="0" applyFont="1" applyBorder="1" applyAlignment="1">
      <alignment horizontal="center" vertical="center" wrapText="1"/>
    </xf>
    <xf numFmtId="0" fontId="26" fillId="0" borderId="18" xfId="0" applyFont="1" applyBorder="1" applyAlignment="1">
      <alignment horizontal="center" vertical="center" wrapText="1"/>
    </xf>
    <xf numFmtId="0" fontId="26" fillId="0" borderId="28" xfId="0" applyFont="1" applyBorder="1" applyAlignment="1">
      <alignment horizontal="center" vertical="center"/>
    </xf>
    <xf numFmtId="0" fontId="26" fillId="0" borderId="29" xfId="0" applyFont="1" applyBorder="1" applyAlignment="1">
      <alignment horizontal="center" vertical="center"/>
    </xf>
    <xf numFmtId="0" fontId="26" fillId="0" borderId="28" xfId="0" applyFont="1" applyBorder="1" applyAlignment="1">
      <alignment horizontal="center" vertical="center" wrapText="1"/>
    </xf>
    <xf numFmtId="0" fontId="26" fillId="0" borderId="29" xfId="0" applyFont="1" applyBorder="1" applyAlignment="1">
      <alignment horizontal="center" vertical="center" wrapText="1"/>
    </xf>
    <xf numFmtId="10" fontId="19" fillId="0" borderId="0" xfId="1" applyNumberFormat="1" applyFont="1" applyFill="1" applyBorder="1" applyAlignment="1">
      <alignment horizontal="center" vertical="center"/>
    </xf>
    <xf numFmtId="0" fontId="105" fillId="0" borderId="0" xfId="14" applyFont="1" applyFill="1"/>
    <xf numFmtId="188" fontId="0" fillId="0" borderId="0" xfId="0" applyNumberFormat="1" applyAlignment="1">
      <alignment horizontal="center"/>
    </xf>
    <xf numFmtId="165" fontId="47" fillId="0" borderId="0" xfId="4" applyNumberFormat="1" applyFont="1" applyAlignment="1">
      <alignment horizontal="right" wrapText="1"/>
    </xf>
    <xf numFmtId="0" fontId="26" fillId="0" borderId="18" xfId="4" applyFont="1" applyBorder="1" applyAlignment="1">
      <alignment horizontal="center" vertical="center" wrapText="1"/>
    </xf>
    <xf numFmtId="3" fontId="38" fillId="0" borderId="18" xfId="4" applyNumberFormat="1" applyFont="1" applyBorder="1" applyAlignment="1">
      <alignment horizontal="center" vertical="center" wrapText="1"/>
    </xf>
    <xf numFmtId="0" fontId="0" fillId="0" borderId="0" xfId="4" applyFont="1" applyAlignment="1" applyProtection="1">
      <alignment horizontal="left" vertical="center" wrapText="1"/>
      <protection locked="0"/>
    </xf>
    <xf numFmtId="0" fontId="68" fillId="0" borderId="0" xfId="3" applyFont="1" applyAlignment="1">
      <alignment horizontal="center" vertical="center"/>
    </xf>
    <xf numFmtId="0" fontId="19" fillId="0" borderId="0" xfId="3" applyFont="1" applyAlignment="1">
      <alignment horizontal="left" vertical="center"/>
    </xf>
    <xf numFmtId="0" fontId="26" fillId="0" borderId="0" xfId="3" applyFont="1" applyAlignment="1">
      <alignment horizontal="left" vertical="center"/>
    </xf>
    <xf numFmtId="0" fontId="101" fillId="0" borderId="0" xfId="0" applyFont="1"/>
    <xf numFmtId="9" fontId="0" fillId="0" borderId="0" xfId="1" applyFont="1" applyFill="1" applyAlignment="1">
      <alignment horizontal="center"/>
    </xf>
    <xf numFmtId="0" fontId="34" fillId="7" borderId="35" xfId="4" applyFont="1" applyFill="1" applyBorder="1">
      <alignment vertical="center"/>
    </xf>
    <xf numFmtId="0" fontId="103" fillId="7" borderId="35" xfId="4" applyFont="1" applyFill="1" applyBorder="1">
      <alignment vertical="center"/>
    </xf>
    <xf numFmtId="0" fontId="57" fillId="7" borderId="35" xfId="4" applyFont="1" applyFill="1" applyBorder="1">
      <alignment vertical="center"/>
    </xf>
    <xf numFmtId="0" fontId="36" fillId="7" borderId="35" xfId="4" applyFont="1" applyFill="1" applyBorder="1" applyAlignment="1">
      <alignment horizontal="left" vertical="center" wrapText="1"/>
    </xf>
    <xf numFmtId="0" fontId="34" fillId="7" borderId="41" xfId="4" applyFont="1" applyFill="1" applyBorder="1">
      <alignment vertical="center"/>
    </xf>
    <xf numFmtId="0" fontId="106" fillId="7" borderId="40" xfId="4" applyFont="1" applyFill="1" applyBorder="1">
      <alignment vertical="center"/>
    </xf>
    <xf numFmtId="0" fontId="106" fillId="7" borderId="5" xfId="4" applyFont="1" applyFill="1" applyBorder="1">
      <alignment vertical="center"/>
    </xf>
    <xf numFmtId="0" fontId="63" fillId="7" borderId="35" xfId="4" applyFont="1" applyFill="1" applyBorder="1" applyAlignment="1">
      <alignment horizontal="left" vertical="center"/>
    </xf>
    <xf numFmtId="0" fontId="104" fillId="0" borderId="0" xfId="14"/>
    <xf numFmtId="0" fontId="107" fillId="6" borderId="0" xfId="12" applyFont="1" applyFill="1" applyAlignment="1">
      <alignment horizontal="right"/>
    </xf>
    <xf numFmtId="0" fontId="108" fillId="6" borderId="0" xfId="12" applyFont="1" applyFill="1" applyAlignment="1">
      <alignment horizontal="left"/>
    </xf>
    <xf numFmtId="0" fontId="109" fillId="0" borderId="0" xfId="0" applyFont="1" applyAlignment="1">
      <alignment horizontal="left" vertical="center"/>
    </xf>
    <xf numFmtId="0" fontId="109" fillId="0" borderId="0" xfId="0" applyFont="1" applyAlignment="1">
      <alignment horizontal="right" vertical="center"/>
    </xf>
    <xf numFmtId="0" fontId="62" fillId="0" borderId="0" xfId="0" applyFont="1" applyAlignment="1">
      <alignment horizontal="center" vertical="center"/>
    </xf>
    <xf numFmtId="0" fontId="8" fillId="0" borderId="0" xfId="0" applyFont="1" applyAlignment="1">
      <alignment horizontal="right" vertical="center"/>
    </xf>
    <xf numFmtId="0" fontId="55" fillId="0" borderId="0" xfId="0" applyFont="1" applyAlignment="1">
      <alignment horizontal="center" vertical="center"/>
    </xf>
    <xf numFmtId="14" fontId="62" fillId="0" borderId="0" xfId="0" applyNumberFormat="1" applyFont="1" applyAlignment="1">
      <alignment horizontal="center" vertical="center"/>
    </xf>
    <xf numFmtId="0" fontId="20" fillId="0" borderId="0" xfId="4" applyFont="1" applyAlignment="1">
      <alignment horizontal="right" vertical="center"/>
    </xf>
    <xf numFmtId="0" fontId="15" fillId="0" borderId="0" xfId="0" applyFont="1" applyAlignment="1">
      <alignment horizontal="left" vertical="center" wrapText="1"/>
    </xf>
    <xf numFmtId="0" fontId="0" fillId="0" borderId="0" xfId="0" applyAlignment="1">
      <alignment horizontal="center"/>
    </xf>
    <xf numFmtId="0" fontId="15" fillId="0" borderId="0" xfId="0" applyFont="1" applyAlignment="1">
      <alignment horizontal="left" wrapText="1"/>
    </xf>
    <xf numFmtId="0" fontId="0" fillId="0" borderId="9" xfId="0" applyBorder="1" applyAlignment="1">
      <alignment horizontal="center"/>
    </xf>
    <xf numFmtId="0" fontId="0" fillId="0" borderId="33" xfId="0" applyBorder="1" applyAlignment="1">
      <alignment horizontal="center"/>
    </xf>
    <xf numFmtId="0" fontId="0" fillId="0" borderId="10" xfId="0" applyBorder="1" applyAlignment="1">
      <alignment horizontal="center"/>
    </xf>
    <xf numFmtId="0" fontId="76" fillId="0" borderId="0" xfId="4" applyFont="1" applyAlignment="1" applyProtection="1">
      <alignment horizontal="center" vertical="center"/>
      <protection locked="0"/>
    </xf>
    <xf numFmtId="0" fontId="97" fillId="0" borderId="0" xfId="0" applyFont="1" applyAlignment="1" applyProtection="1">
      <alignment horizontal="center"/>
      <protection locked="0"/>
    </xf>
    <xf numFmtId="0" fontId="42" fillId="11" borderId="0" xfId="0" applyFont="1" applyFill="1" applyAlignment="1">
      <alignment horizontal="center" vertical="center"/>
    </xf>
    <xf numFmtId="0" fontId="92" fillId="0" borderId="9" xfId="0" applyFont="1" applyBorder="1" applyAlignment="1">
      <alignment horizontal="center"/>
    </xf>
    <xf numFmtId="0" fontId="92" fillId="0" borderId="33" xfId="0" applyFont="1" applyBorder="1" applyAlignment="1">
      <alignment horizontal="center"/>
    </xf>
    <xf numFmtId="0" fontId="92" fillId="0" borderId="10" xfId="0" applyFont="1" applyBorder="1" applyAlignment="1">
      <alignment horizontal="center"/>
    </xf>
    <xf numFmtId="165" fontId="77" fillId="0" borderId="0" xfId="5" applyNumberFormat="1" applyFont="1" applyFill="1" applyBorder="1" applyAlignment="1" applyProtection="1">
      <alignment horizontal="center" vertical="center"/>
      <protection locked="0"/>
    </xf>
    <xf numFmtId="0" fontId="4" fillId="0" borderId="18" xfId="0" applyFont="1" applyBorder="1" applyAlignment="1">
      <alignment horizontal="center" vertical="center" wrapText="1"/>
    </xf>
    <xf numFmtId="0" fontId="9" fillId="0" borderId="0" xfId="0" applyFont="1" applyAlignment="1">
      <alignment horizontal="center"/>
    </xf>
    <xf numFmtId="184" fontId="26" fillId="0" borderId="0" xfId="4" applyNumberFormat="1" applyFont="1" applyAlignment="1">
      <alignment horizontal="center" vertical="center"/>
    </xf>
    <xf numFmtId="0" fontId="73" fillId="0" borderId="0" xfId="0" applyFont="1" applyAlignment="1">
      <alignment horizontal="center" vertical="center" wrapText="1"/>
    </xf>
    <xf numFmtId="0" fontId="50" fillId="0" borderId="11" xfId="4" applyFont="1" applyBorder="1" applyAlignment="1">
      <alignment horizontal="center" vertical="center"/>
    </xf>
    <xf numFmtId="0" fontId="4" fillId="0" borderId="18" xfId="0" applyFont="1" applyBorder="1" applyAlignment="1">
      <alignment horizontal="center"/>
    </xf>
    <xf numFmtId="0" fontId="4" fillId="0" borderId="0" xfId="0" applyFont="1" applyAlignment="1">
      <alignment horizontal="left" wrapText="1"/>
    </xf>
    <xf numFmtId="0" fontId="4" fillId="0" borderId="0" xfId="0" applyFont="1" applyAlignment="1">
      <alignment horizontal="center" vertical="center" textRotation="90"/>
    </xf>
    <xf numFmtId="0" fontId="20" fillId="0" borderId="0" xfId="0" applyFont="1" applyAlignment="1">
      <alignment horizontal="center" vertical="center"/>
    </xf>
    <xf numFmtId="0" fontId="4" fillId="0" borderId="0" xfId="0" applyFont="1" applyAlignment="1">
      <alignment horizontal="center" vertical="center"/>
    </xf>
    <xf numFmtId="0" fontId="73" fillId="0" borderId="0" xfId="0" applyFont="1" applyAlignment="1">
      <alignment horizontal="center" vertical="center"/>
    </xf>
    <xf numFmtId="0" fontId="8" fillId="0" borderId="0" xfId="0" applyFont="1" applyAlignment="1">
      <alignment horizontal="center"/>
    </xf>
    <xf numFmtId="0" fontId="4" fillId="0" borderId="28" xfId="0" applyFont="1" applyBorder="1" applyAlignment="1">
      <alignment horizontal="center"/>
    </xf>
    <xf numFmtId="0" fontId="4" fillId="0" borderId="27" xfId="0" applyFont="1" applyBorder="1" applyAlignment="1">
      <alignment horizontal="center"/>
    </xf>
    <xf numFmtId="0" fontId="4" fillId="0" borderId="29" xfId="0" applyFont="1" applyBorder="1" applyAlignment="1">
      <alignment horizontal="center"/>
    </xf>
    <xf numFmtId="0" fontId="77" fillId="0" borderId="0" xfId="0" applyFont="1" applyAlignment="1" applyProtection="1">
      <alignment horizontal="center"/>
      <protection locked="0"/>
    </xf>
    <xf numFmtId="0" fontId="20" fillId="0" borderId="35" xfId="0" applyFont="1" applyBorder="1" applyAlignment="1">
      <alignment horizontal="center"/>
    </xf>
    <xf numFmtId="184" fontId="78" fillId="0" borderId="0" xfId="5" applyNumberFormat="1" applyFont="1" applyFill="1" applyBorder="1" applyAlignment="1" applyProtection="1">
      <alignment horizontal="center" vertical="center"/>
      <protection locked="0"/>
    </xf>
    <xf numFmtId="0" fontId="4" fillId="0" borderId="0" xfId="0" applyFont="1" applyAlignment="1">
      <alignment horizontal="center" vertical="center" wrapText="1"/>
    </xf>
    <xf numFmtId="0" fontId="50" fillId="0" borderId="0" xfId="0" applyFont="1" applyAlignment="1">
      <alignment horizontal="center" vertical="center"/>
    </xf>
    <xf numFmtId="0" fontId="26" fillId="0" borderId="0" xfId="3" applyFont="1" applyAlignment="1">
      <alignment horizontal="center" vertical="center" wrapText="1"/>
    </xf>
    <xf numFmtId="0" fontId="9" fillId="0" borderId="28" xfId="0" applyFont="1" applyBorder="1" applyAlignment="1">
      <alignment horizontal="center"/>
    </xf>
    <xf numFmtId="0" fontId="9" fillId="0" borderId="29" xfId="0" applyFont="1" applyBorder="1" applyAlignment="1">
      <alignment horizontal="center"/>
    </xf>
    <xf numFmtId="0" fontId="26" fillId="0" borderId="0" xfId="4" applyFont="1" applyAlignment="1">
      <alignment horizontal="center" vertical="center"/>
    </xf>
    <xf numFmtId="184" fontId="78" fillId="0" borderId="0" xfId="4" applyNumberFormat="1" applyFont="1" applyAlignment="1" applyProtection="1">
      <alignment horizontal="center"/>
      <protection locked="0"/>
    </xf>
    <xf numFmtId="0" fontId="25" fillId="0" borderId="7" xfId="0" applyFont="1" applyBorder="1" applyAlignment="1">
      <alignment horizontal="left"/>
    </xf>
    <xf numFmtId="0" fontId="25" fillId="0" borderId="39" xfId="0" applyFont="1" applyBorder="1" applyAlignment="1">
      <alignment horizontal="left"/>
    </xf>
    <xf numFmtId="0" fontId="4" fillId="0" borderId="7" xfId="0" applyFont="1" applyBorder="1" applyAlignment="1">
      <alignment horizontal="center"/>
    </xf>
    <xf numFmtId="0" fontId="4" fillId="0" borderId="7" xfId="0" applyFont="1" applyBorder="1" applyAlignment="1">
      <alignment horizontal="center" vertical="center" wrapText="1"/>
    </xf>
    <xf numFmtId="0" fontId="4" fillId="0" borderId="18" xfId="0" applyFont="1" applyBorder="1" applyAlignment="1">
      <alignment horizontal="center" vertical="center"/>
    </xf>
    <xf numFmtId="0" fontId="81" fillId="0" borderId="36" xfId="4" applyFont="1" applyBorder="1" applyAlignment="1" applyProtection="1">
      <alignment horizontal="center"/>
      <protection locked="0"/>
    </xf>
    <xf numFmtId="0" fontId="81" fillId="0" borderId="37" xfId="4" applyFont="1" applyBorder="1" applyAlignment="1" applyProtection="1">
      <alignment horizontal="center"/>
      <protection locked="0"/>
    </xf>
    <xf numFmtId="0" fontId="81" fillId="0" borderId="38" xfId="4" applyFont="1" applyBorder="1" applyAlignment="1" applyProtection="1">
      <alignment horizontal="center"/>
      <protection locked="0"/>
    </xf>
    <xf numFmtId="0" fontId="60" fillId="0" borderId="23" xfId="0" applyFont="1" applyBorder="1" applyAlignment="1">
      <alignment horizontal="center"/>
    </xf>
    <xf numFmtId="10" fontId="60" fillId="0" borderId="12" xfId="0" applyNumberFormat="1" applyFont="1" applyBorder="1" applyAlignment="1">
      <alignment horizontal="center"/>
    </xf>
    <xf numFmtId="0" fontId="60" fillId="0" borderId="12" xfId="0" applyFont="1" applyBorder="1" applyAlignment="1">
      <alignment horizontal="center"/>
    </xf>
    <xf numFmtId="187" fontId="56" fillId="0" borderId="34" xfId="1" applyNumberFormat="1" applyFont="1" applyFill="1" applyBorder="1" applyAlignment="1">
      <alignment horizontal="center"/>
    </xf>
    <xf numFmtId="179" fontId="68" fillId="0" borderId="26" xfId="5" applyNumberFormat="1" applyFont="1" applyFill="1" applyBorder="1" applyAlignment="1" applyProtection="1">
      <alignment horizontal="center"/>
    </xf>
    <xf numFmtId="179" fontId="68" fillId="0" borderId="24" xfId="5" applyNumberFormat="1" applyFont="1" applyFill="1" applyBorder="1" applyAlignment="1" applyProtection="1">
      <alignment horizontal="center"/>
    </xf>
    <xf numFmtId="179" fontId="56" fillId="0" borderId="25" xfId="0" applyNumberFormat="1" applyFont="1" applyBorder="1" applyAlignment="1">
      <alignment horizontal="center"/>
    </xf>
    <xf numFmtId="179" fontId="56" fillId="0" borderId="8" xfId="0" applyNumberFormat="1" applyFont="1" applyBorder="1" applyAlignment="1">
      <alignment horizontal="center"/>
    </xf>
    <xf numFmtId="179" fontId="56" fillId="0" borderId="34" xfId="0" applyNumberFormat="1" applyFont="1" applyBorder="1" applyAlignment="1">
      <alignment horizontal="center"/>
    </xf>
    <xf numFmtId="0" fontId="56" fillId="0" borderId="25" xfId="0" applyFont="1" applyBorder="1" applyAlignment="1">
      <alignment horizontal="center"/>
    </xf>
    <xf numFmtId="0" fontId="56" fillId="0" borderId="8" xfId="0" applyFont="1" applyBorder="1" applyAlignment="1">
      <alignment horizontal="center"/>
    </xf>
    <xf numFmtId="0" fontId="26" fillId="0" borderId="35" xfId="0" applyFont="1" applyBorder="1" applyAlignment="1">
      <alignment horizontal="right" vertical="center"/>
    </xf>
    <xf numFmtId="0" fontId="26" fillId="0" borderId="11" xfId="0" applyFont="1" applyBorder="1" applyAlignment="1">
      <alignment horizontal="right" vertical="center"/>
    </xf>
    <xf numFmtId="0" fontId="26" fillId="0" borderId="0" xfId="0" applyFont="1" applyAlignment="1">
      <alignment horizontal="right" vertical="center"/>
    </xf>
    <xf numFmtId="0" fontId="26" fillId="0" borderId="0" xfId="0" applyFont="1" applyAlignment="1">
      <alignment horizontal="center"/>
    </xf>
    <xf numFmtId="2" fontId="26" fillId="0" borderId="0" xfId="0" applyNumberFormat="1" applyFont="1" applyAlignment="1">
      <alignment horizontal="center"/>
    </xf>
    <xf numFmtId="0" fontId="26" fillId="0" borderId="0" xfId="0" applyFont="1" applyAlignment="1">
      <alignment horizontal="center" vertical="center" wrapText="1"/>
    </xf>
    <xf numFmtId="0" fontId="26" fillId="0" borderId="0" xfId="0" applyFont="1" applyAlignment="1">
      <alignment horizontal="center" vertical="center"/>
    </xf>
    <xf numFmtId="0" fontId="26" fillId="0" borderId="0" xfId="0" applyFont="1" applyAlignment="1">
      <alignment horizontal="center" vertical="center" textRotation="90"/>
    </xf>
    <xf numFmtId="10" fontId="19" fillId="0" borderId="0" xfId="0" applyNumberFormat="1" applyFont="1" applyAlignment="1">
      <alignment horizontal="center" vertical="center" textRotation="90"/>
    </xf>
    <xf numFmtId="0" fontId="19" fillId="0" borderId="0" xfId="0" applyFont="1" applyAlignment="1">
      <alignment horizontal="center" vertical="center" textRotation="90"/>
    </xf>
    <xf numFmtId="167" fontId="19" fillId="0" borderId="0" xfId="2" applyNumberFormat="1" applyFont="1" applyFill="1" applyBorder="1" applyAlignment="1">
      <alignment horizontal="center" vertical="center"/>
    </xf>
    <xf numFmtId="0" fontId="26" fillId="0" borderId="18" xfId="0" applyFont="1" applyBorder="1" applyAlignment="1">
      <alignment horizontal="center"/>
    </xf>
    <xf numFmtId="0" fontId="50" fillId="0" borderId="0" xfId="0" applyFont="1" applyAlignment="1">
      <alignment horizontal="center"/>
    </xf>
    <xf numFmtId="0" fontId="26" fillId="0" borderId="18" xfId="0" applyFont="1" applyBorder="1" applyAlignment="1">
      <alignment horizontal="center" vertical="center"/>
    </xf>
    <xf numFmtId="10" fontId="26" fillId="0" borderId="28" xfId="1" applyNumberFormat="1" applyFont="1" applyFill="1" applyBorder="1" applyAlignment="1">
      <alignment horizontal="center" vertical="center"/>
    </xf>
    <xf numFmtId="10" fontId="26" fillId="0" borderId="29" xfId="1" applyNumberFormat="1" applyFont="1" applyFill="1" applyBorder="1" applyAlignment="1">
      <alignment horizontal="center" vertical="center"/>
    </xf>
    <xf numFmtId="186" fontId="99" fillId="0" borderId="30" xfId="0" applyNumberFormat="1" applyFont="1" applyBorder="1" applyAlignment="1">
      <alignment horizontal="center" vertical="center"/>
    </xf>
    <xf numFmtId="186" fontId="99" fillId="0" borderId="17" xfId="0" applyNumberFormat="1" applyFont="1" applyBorder="1" applyAlignment="1">
      <alignment horizontal="center" vertical="center"/>
    </xf>
    <xf numFmtId="0" fontId="26" fillId="0" borderId="16" xfId="0" applyFont="1" applyBorder="1" applyAlignment="1">
      <alignment horizontal="center" vertical="center" wrapText="1"/>
    </xf>
    <xf numFmtId="0" fontId="26" fillId="0" borderId="21" xfId="0" applyFont="1" applyBorder="1" applyAlignment="1">
      <alignment horizontal="center" vertical="center" wrapText="1"/>
    </xf>
    <xf numFmtId="10" fontId="26" fillId="0" borderId="17" xfId="1" applyNumberFormat="1" applyFont="1" applyFill="1" applyBorder="1" applyAlignment="1">
      <alignment horizontal="center" vertical="center"/>
    </xf>
    <xf numFmtId="0" fontId="26" fillId="0" borderId="18" xfId="0" applyFont="1" applyBorder="1" applyAlignment="1">
      <alignment horizontal="center" vertical="center" wrapText="1"/>
    </xf>
    <xf numFmtId="0" fontId="20" fillId="0" borderId="28" xfId="0" applyFont="1" applyBorder="1" applyAlignment="1">
      <alignment horizontal="center" vertical="center"/>
    </xf>
    <xf numFmtId="0" fontId="20" fillId="0" borderId="27" xfId="0" applyFont="1" applyBorder="1" applyAlignment="1">
      <alignment horizontal="center" vertical="center"/>
    </xf>
    <xf numFmtId="0" fontId="20" fillId="0" borderId="29" xfId="0" applyFont="1" applyBorder="1" applyAlignment="1">
      <alignment horizontal="center" vertical="center"/>
    </xf>
    <xf numFmtId="0" fontId="26" fillId="0" borderId="28" xfId="0" applyFont="1" applyBorder="1" applyAlignment="1">
      <alignment horizontal="center" vertical="center"/>
    </xf>
    <xf numFmtId="0" fontId="26" fillId="0" borderId="29" xfId="0" applyFont="1" applyBorder="1" applyAlignment="1">
      <alignment horizontal="center" vertical="center"/>
    </xf>
    <xf numFmtId="0" fontId="26" fillId="0" borderId="28" xfId="0" applyFont="1" applyBorder="1" applyAlignment="1">
      <alignment horizontal="center" vertical="center" wrapText="1"/>
    </xf>
    <xf numFmtId="0" fontId="26" fillId="0" borderId="27" xfId="0" applyFont="1" applyBorder="1" applyAlignment="1">
      <alignment horizontal="center" vertical="center" wrapText="1"/>
    </xf>
    <xf numFmtId="0" fontId="26" fillId="0" borderId="29" xfId="0" applyFont="1" applyBorder="1" applyAlignment="1">
      <alignment horizontal="center" vertical="center" wrapText="1"/>
    </xf>
    <xf numFmtId="167" fontId="26" fillId="0" borderId="0" xfId="0" applyNumberFormat="1" applyFont="1" applyAlignment="1">
      <alignment horizontal="center"/>
    </xf>
    <xf numFmtId="0" fontId="26" fillId="0" borderId="0" xfId="0" applyFont="1" applyAlignment="1">
      <alignment horizontal="center" textRotation="90"/>
    </xf>
    <xf numFmtId="10" fontId="26" fillId="0" borderId="0" xfId="0" applyNumberFormat="1" applyFont="1" applyAlignment="1">
      <alignment horizontal="center" vertical="center" textRotation="90"/>
    </xf>
    <xf numFmtId="0" fontId="26" fillId="0" borderId="11" xfId="0" applyFont="1" applyBorder="1" applyAlignment="1">
      <alignment horizontal="center"/>
    </xf>
    <xf numFmtId="0" fontId="26" fillId="0" borderId="22" xfId="0" applyFont="1" applyBorder="1" applyAlignment="1">
      <alignment horizontal="center"/>
    </xf>
    <xf numFmtId="0" fontId="26" fillId="0" borderId="20" xfId="0" applyFont="1" applyBorder="1" applyAlignment="1">
      <alignment horizontal="center" vertical="center" wrapText="1"/>
    </xf>
    <xf numFmtId="0" fontId="61" fillId="0" borderId="0" xfId="0" applyFont="1" applyAlignment="1">
      <alignment horizontal="center" textRotation="90"/>
    </xf>
    <xf numFmtId="0" fontId="19" fillId="0" borderId="0" xfId="0" applyFont="1" applyAlignment="1">
      <alignment horizontal="center"/>
    </xf>
    <xf numFmtId="10" fontId="19" fillId="0" borderId="0" xfId="1" applyNumberFormat="1" applyFont="1" applyFill="1" applyBorder="1" applyAlignment="1">
      <alignment horizontal="center" vertical="center"/>
    </xf>
  </cellXfs>
  <cellStyles count="15">
    <cellStyle name="_x000a_386grabber=S" xfId="13" xr:uid="{9BFD8564-51D7-4244-8B4F-76C1AA6424FC}"/>
    <cellStyle name="_x000a_386grabber=S 2" xfId="4" xr:uid="{87E3CE71-0355-4415-96D4-DE6D7927AE21}"/>
    <cellStyle name="_x000a_386grabber=S 3" xfId="3" xr:uid="{B3086B46-C458-46F8-9DD6-E6F32A9573C4}"/>
    <cellStyle name="Comma" xfId="10" builtinId="3"/>
    <cellStyle name="Comma 2" xfId="8" xr:uid="{3B91A829-E882-4388-B6ED-C7EC7A10B189}"/>
    <cellStyle name="Comma_New Euro Capital Modelv2" xfId="5" xr:uid="{3C4A94B2-18D2-4275-A6F0-A411ACA34E84}"/>
    <cellStyle name="Currency" xfId="9" builtinId="4"/>
    <cellStyle name="Hyperlink" xfId="14" builtinId="8"/>
    <cellStyle name="Normal" xfId="0" builtinId="0"/>
    <cellStyle name="Normal 2" xfId="6" xr:uid="{300324C0-F183-40D9-BE5E-429507BD6489}"/>
    <cellStyle name="Normal 2 2" xfId="11" xr:uid="{EE5F1514-2201-4F77-935D-C6DC86626136}"/>
    <cellStyle name="Normal 3" xfId="12" xr:uid="{35FC1EE2-33CE-487F-86EF-A369D8C23B3C}"/>
    <cellStyle name="Output" xfId="2" builtinId="21"/>
    <cellStyle name="Percent" xfId="1" builtinId="5"/>
    <cellStyle name="Percent 2" xfId="7" xr:uid="{AE4C495E-3574-441C-9394-BEF97ADCACAF}"/>
  </cellStyles>
  <dxfs count="75">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ont>
        <color rgb="FF9C0006"/>
      </font>
      <fill>
        <patternFill>
          <bgColor rgb="FFFFC7CE"/>
        </patternFill>
      </fill>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ont>
        <color rgb="FF9C0006"/>
      </font>
      <fill>
        <patternFill>
          <bgColor rgb="FFFFC7CE"/>
        </patternFill>
      </fill>
    </dxf>
    <dxf>
      <fill>
        <patternFill>
          <bgColor theme="6" tint="0.79998168889431442"/>
        </patternFill>
      </fill>
      <border>
        <left style="hair">
          <color auto="1"/>
        </left>
        <right style="hair">
          <color auto="1"/>
        </right>
        <top style="hair">
          <color auto="1"/>
        </top>
        <bottom style="hair">
          <color auto="1"/>
        </bottom>
        <vertical/>
        <horizontal/>
      </border>
    </dxf>
    <dxf>
      <font>
        <color rgb="FF9C0006"/>
      </font>
      <fill>
        <patternFill>
          <bgColor rgb="FFFFC7CE"/>
        </patternFill>
      </fill>
    </dxf>
    <dxf>
      <fill>
        <patternFill>
          <bgColor theme="6" tint="0.79998168889431442"/>
        </patternFill>
      </fill>
      <border>
        <left style="hair">
          <color auto="1"/>
        </left>
        <right style="hair">
          <color auto="1"/>
        </right>
        <top style="hair">
          <color auto="1"/>
        </top>
        <bottom style="hair">
          <color auto="1"/>
        </bottom>
        <vertical/>
        <horizontal/>
      </border>
    </dxf>
    <dxf>
      <font>
        <color rgb="FF9C0006"/>
      </font>
      <fill>
        <patternFill>
          <bgColor rgb="FFFFC7CE"/>
        </patternFill>
      </fill>
    </dxf>
    <dxf>
      <fill>
        <patternFill>
          <bgColor theme="6" tint="0.79998168889431442"/>
        </patternFill>
      </fill>
      <border>
        <left style="hair">
          <color auto="1"/>
        </left>
        <right style="hair">
          <color auto="1"/>
        </right>
        <top style="hair">
          <color auto="1"/>
        </top>
        <bottom style="hair">
          <color auto="1"/>
        </bottom>
        <vertical/>
        <horizontal/>
      </border>
    </dxf>
    <dxf>
      <font>
        <b val="0"/>
        <i val="0"/>
      </font>
      <fill>
        <patternFill>
          <bgColor theme="6" tint="0.79998168889431442"/>
        </patternFill>
      </fill>
      <border>
        <left style="hair">
          <color auto="1"/>
        </left>
        <right style="hair">
          <color auto="1"/>
        </right>
        <top style="hair">
          <color auto="1"/>
        </top>
        <bottom style="hair">
          <color auto="1"/>
        </bottom>
      </border>
    </dxf>
    <dxf>
      <fill>
        <patternFill>
          <bgColor theme="9" tint="0.79998168889431442"/>
        </patternFill>
      </fill>
      <border>
        <left style="hair">
          <color auto="1"/>
        </left>
        <right style="hair">
          <color auto="1"/>
        </right>
        <top style="hair">
          <color auto="1"/>
        </top>
        <bottom style="hair">
          <color auto="1"/>
        </bottom>
        <vertical/>
        <horizontal/>
      </border>
    </dxf>
    <dxf>
      <font>
        <color rgb="FF9C0006"/>
      </font>
      <fill>
        <patternFill>
          <bgColor rgb="FFFFC7CE"/>
        </patternFill>
      </fill>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ont>
        <b/>
        <i val="0"/>
      </font>
      <fill>
        <patternFill>
          <bgColor theme="9" tint="0.79998168889431442"/>
        </patternFill>
      </fill>
      <border>
        <left style="hair">
          <color auto="1"/>
        </left>
        <right style="hair">
          <color auto="1"/>
        </right>
        <top style="hair">
          <color auto="1"/>
        </top>
        <bottom style="hair">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ont>
        <b val="0"/>
        <i val="0"/>
      </font>
      <fill>
        <patternFill>
          <bgColor theme="6" tint="0.79998168889431442"/>
        </patternFill>
      </fill>
      <border>
        <left style="hair">
          <color auto="1"/>
        </left>
        <right style="hair">
          <color auto="1"/>
        </right>
        <top style="hair">
          <color auto="1"/>
        </top>
        <bottom style="hair">
          <color auto="1"/>
        </bottom>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ill>
        <patternFill>
          <bgColor theme="6" tint="0.79998168889431442"/>
        </patternFill>
      </fill>
      <border>
        <left style="hair">
          <color auto="1"/>
        </left>
        <right style="hair">
          <color auto="1"/>
        </right>
        <top style="hair">
          <color auto="1"/>
        </top>
        <bottom style="hair">
          <color auto="1"/>
        </bottom>
        <vertical/>
        <horizontal/>
      </border>
    </dxf>
    <dxf>
      <font>
        <b/>
        <i val="0"/>
        <condense val="0"/>
        <extend val="0"/>
        <color indexed="10"/>
      </font>
      <fill>
        <patternFill>
          <bgColor indexed="43"/>
        </patternFill>
      </fill>
      <border>
        <left/>
        <right/>
        <top/>
        <bottom/>
      </border>
    </dxf>
    <dxf>
      <font>
        <b val="0"/>
        <i val="0"/>
      </font>
      <fill>
        <patternFill>
          <bgColor theme="6" tint="0.79998168889431442"/>
        </patternFill>
      </fill>
      <border>
        <left style="hair">
          <color auto="1"/>
        </left>
        <right style="hair">
          <color auto="1"/>
        </right>
        <top style="hair">
          <color auto="1"/>
        </top>
        <bottom style="hair">
          <color auto="1"/>
        </bottom>
      </border>
    </dxf>
    <dxf>
      <fill>
        <patternFill>
          <bgColor theme="7" tint="0.79998168889431442"/>
        </patternFill>
      </fill>
      <border>
        <left style="hair">
          <color auto="1"/>
        </left>
        <right style="hair">
          <color auto="1"/>
        </right>
        <top style="hair">
          <color auto="1"/>
        </top>
        <bottom style="hair">
          <color auto="1"/>
        </bottom>
        <vertical/>
        <horizontal/>
      </border>
    </dxf>
    <dxf>
      <font>
        <color theme="2" tint="-0.24994659260841701"/>
      </font>
      <fill>
        <patternFill patternType="lightUp"/>
      </fill>
    </dxf>
    <dxf>
      <font>
        <color theme="2" tint="-0.24994659260841701"/>
      </font>
      <fill>
        <patternFill patternType="lightUp"/>
      </fill>
    </dxf>
    <dxf>
      <font>
        <color theme="2" tint="-0.24994659260841701"/>
      </font>
      <fill>
        <patternFill patternType="lightUp"/>
      </fill>
    </dxf>
    <dxf>
      <fill>
        <patternFill>
          <bgColor theme="6" tint="0.79998168889431442"/>
        </patternFill>
      </fill>
      <border>
        <left style="hair">
          <color auto="1"/>
        </left>
        <right style="hair">
          <color auto="1"/>
        </right>
        <top style="hair">
          <color auto="1"/>
        </top>
        <bottom style="hair">
          <color auto="1"/>
        </bottom>
        <vertical/>
        <horizontal/>
      </border>
    </dxf>
    <dxf>
      <font>
        <b/>
        <i val="0"/>
      </font>
      <fill>
        <patternFill>
          <bgColor theme="7" tint="0.79998168889431442"/>
        </patternFill>
      </fill>
      <border>
        <left style="hair">
          <color auto="1"/>
        </left>
        <right style="hair">
          <color auto="1"/>
        </right>
        <top style="hair">
          <color auto="1"/>
        </top>
        <bottom style="hair">
          <color auto="1"/>
        </bottom>
        <vertical/>
        <horizontal/>
      </border>
    </dxf>
    <dxf>
      <font>
        <color theme="2" tint="-0.24994659260841701"/>
      </font>
      <fill>
        <patternFill patternType="lightUp"/>
      </fill>
    </dxf>
    <dxf>
      <font>
        <color theme="2" tint="-0.24994659260841701"/>
      </font>
      <fill>
        <patternFill patternType="lightUp"/>
      </fill>
    </dxf>
    <dxf>
      <font>
        <color theme="2" tint="-0.24994659260841701"/>
      </font>
      <fill>
        <patternFill patternType="lightUp"/>
      </fill>
    </dxf>
    <dxf>
      <font>
        <color theme="2" tint="-0.24994659260841701"/>
      </font>
      <fill>
        <patternFill patternType="lightUp"/>
      </fill>
    </dxf>
    <dxf>
      <font>
        <color theme="2" tint="-0.24994659260841701"/>
      </font>
      <fill>
        <patternFill patternType="lightUp"/>
      </fill>
    </dxf>
    <dxf>
      <font>
        <color theme="2" tint="-0.24994659260841701"/>
      </font>
      <fill>
        <patternFill patternType="lightUp"/>
      </fill>
    </dxf>
    <dxf>
      <fill>
        <patternFill patternType="lightUp"/>
      </fill>
    </dxf>
    <dxf>
      <font>
        <color theme="2" tint="-0.24994659260841701"/>
      </font>
      <fill>
        <patternFill patternType="lightUp"/>
      </fill>
    </dxf>
    <dxf>
      <font>
        <color theme="2" tint="-0.24994659260841701"/>
      </font>
      <fill>
        <patternFill patternType="lightUp"/>
      </fill>
    </dxf>
    <dxf>
      <font>
        <color theme="2" tint="-0.24994659260841701"/>
      </font>
      <fill>
        <patternFill patternType="lightUp"/>
      </fill>
    </dxf>
    <dxf>
      <font>
        <color theme="2" tint="-0.24994659260841701"/>
      </font>
      <fill>
        <patternFill patternType="lightUp"/>
      </fill>
    </dxf>
    <dxf>
      <font>
        <color theme="2" tint="-0.24994659260841701"/>
      </font>
      <fill>
        <patternFill patternType="lightUp"/>
      </fill>
    </dxf>
    <dxf>
      <fill>
        <patternFill patternType="lightUp"/>
      </fill>
    </dxf>
    <dxf>
      <font>
        <color theme="2" tint="-0.24994659260841701"/>
      </font>
      <fill>
        <patternFill patternType="lightUp"/>
      </fill>
    </dxf>
    <dxf>
      <font>
        <color theme="2" tint="-0.24994659260841701"/>
      </font>
      <fill>
        <patternFill patternType="lightUp"/>
      </fill>
    </dxf>
    <dxf>
      <font>
        <color theme="2" tint="-0.24994659260841701"/>
      </font>
      <fill>
        <patternFill patternType="lightUp"/>
      </fill>
    </dxf>
    <dxf>
      <fill>
        <patternFill>
          <bgColor theme="6" tint="0.79998168889431442"/>
        </patternFill>
      </fill>
      <border>
        <left style="hair">
          <color auto="1"/>
        </left>
        <right style="hair">
          <color auto="1"/>
        </right>
        <top style="hair">
          <color auto="1"/>
        </top>
        <bottom style="hair">
          <color auto="1"/>
        </bottom>
        <vertical/>
        <horizontal/>
      </border>
    </dxf>
    <dxf>
      <font>
        <b/>
        <i val="0"/>
      </font>
      <fill>
        <patternFill>
          <bgColor theme="7" tint="0.79998168889431442"/>
        </patternFill>
      </fill>
      <border>
        <left style="hair">
          <color auto="1"/>
        </left>
        <right style="hair">
          <color auto="1"/>
        </right>
        <top style="hair">
          <color auto="1"/>
        </top>
        <bottom style="hair">
          <color auto="1"/>
        </bottom>
        <vertical/>
        <horizontal/>
      </border>
    </dxf>
  </dxfs>
  <tableStyles count="0" defaultTableStyle="TableStyleMedium2" defaultPivotStyle="PivotStyleLight16"/>
  <colors>
    <mruColors>
      <color rgb="FF0000FF"/>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600"/>
              <a:t>RBC Requirement Redundancy</a:t>
            </a:r>
            <a:r>
              <a:rPr lang="en-US" sz="1600" baseline="0"/>
              <a:t> </a:t>
            </a:r>
            <a:r>
              <a:rPr lang="en-US" sz="1600"/>
              <a:t>(Deficiency)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alpha val="85000"/>
              </a:schemeClr>
            </a:solidFill>
            <a:ln w="9525" cap="flat" cmpd="sng" algn="ctr">
              <a:solidFill>
                <a:sysClr val="windowText" lastClr="000000"/>
              </a:solidFill>
              <a:round/>
            </a:ln>
            <a:effectLst/>
          </c:spPr>
          <c:invertIfNegative val="0"/>
          <c:dLbls>
            <c:spPr>
              <a:solidFill>
                <a:schemeClr val="tx1"/>
              </a:solidFill>
              <a:ln>
                <a:noFill/>
              </a:ln>
              <a:effectLst/>
            </c:spPr>
            <c:txPr>
              <a:bodyPr rot="0" spcFirstLastPara="1" vertOverflow="overflow" horzOverflow="overflow" vert="horz" wrap="square" lIns="38100" tIns="19050" rIns="38100" bIns="19050" anchor="t" anchorCtr="0">
                <a:spAutoFit/>
              </a:bodyPr>
              <a:lstStyle/>
              <a:p>
                <a:pPr>
                  <a:defRPr sz="900" b="1" i="0" u="none" strike="noStrike" kern="1200" baseline="0">
                    <a:ln>
                      <a:noFill/>
                    </a:ln>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Output!$H$6:$O$6</c:f>
              <c:numCache>
                <c:formatCode>General</c:formatCode>
                <c:ptCount val="8"/>
                <c:pt idx="0" formatCode="0.00%">
                  <c:v>0.99990000000000001</c:v>
                </c:pt>
                <c:pt idx="2" formatCode="0.00%">
                  <c:v>0.99950000000000006</c:v>
                </c:pt>
                <c:pt idx="4" formatCode="0.00%">
                  <c:v>0.998</c:v>
                </c:pt>
                <c:pt idx="6" formatCode="0.00%">
                  <c:v>0.995</c:v>
                </c:pt>
              </c:numCache>
            </c:numRef>
          </c:cat>
          <c:val>
            <c:numRef>
              <c:f>(Output!$H$12:$I$12,Output!$J$12:$K$12,Output!$L$12:$M$12,Output!$N$12:$O$12)</c:f>
              <c:numCache>
                <c:formatCode>##0.0%;[Red]\(##0.0%\)</c:formatCode>
                <c:ptCount val="8"/>
                <c:pt idx="0">
                  <c:v>0</c:v>
                </c:pt>
                <c:pt idx="2">
                  <c:v>0</c:v>
                </c:pt>
                <c:pt idx="4">
                  <c:v>0</c:v>
                </c:pt>
                <c:pt idx="6">
                  <c:v>0</c:v>
                </c:pt>
              </c:numCache>
            </c:numRef>
          </c:val>
          <c:extLst>
            <c:ext xmlns:c16="http://schemas.microsoft.com/office/drawing/2014/chart" uri="{C3380CC4-5D6E-409C-BE32-E72D297353CC}">
              <c16:uniqueId val="{00000000-6B0D-4F85-A94C-589D18FCBD4F}"/>
            </c:ext>
          </c:extLst>
        </c:ser>
        <c:dLbls>
          <c:dLblPos val="inEnd"/>
          <c:showLegendKey val="0"/>
          <c:showVal val="1"/>
          <c:showCatName val="0"/>
          <c:showSerName val="0"/>
          <c:showPercent val="0"/>
          <c:showBubbleSize val="0"/>
        </c:dLbls>
        <c:gapWidth val="65"/>
        <c:axId val="1194004544"/>
        <c:axId val="1194029472"/>
      </c:barChart>
      <c:catAx>
        <c:axId val="1194004544"/>
        <c:scaling>
          <c:orientation val="minMax"/>
        </c:scaling>
        <c:delete val="0"/>
        <c:axPos val="b"/>
        <c:numFmt formatCode="0.0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194029472"/>
        <c:crosses val="autoZero"/>
        <c:auto val="1"/>
        <c:lblAlgn val="ctr"/>
        <c:lblOffset val="100"/>
        <c:noMultiLvlLbl val="0"/>
      </c:catAx>
      <c:valAx>
        <c:axId val="119402947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Red]\(##0.0%\)" sourceLinked="1"/>
        <c:majorTickMark val="none"/>
        <c:minorTickMark val="none"/>
        <c:tickLblPos val="nextTo"/>
        <c:crossAx val="1194004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RBC Requirement</a:t>
            </a:r>
          </a:p>
        </c:rich>
      </c:tx>
      <c:layout>
        <c:manualLayout>
          <c:xMode val="edge"/>
          <c:yMode val="edge"/>
          <c:x val="3.3236001749781287E-2"/>
          <c:y val="3.240740740740740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885C-496C-BE23-F7D66D2F535D}"/>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885C-496C-BE23-F7D66D2F535D}"/>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885C-496C-BE23-F7D66D2F535D}"/>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885C-496C-BE23-F7D66D2F535D}"/>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885C-496C-BE23-F7D66D2F535D}"/>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885C-496C-BE23-F7D66D2F535D}"/>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885C-496C-BE23-F7D66D2F535D}"/>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F-885C-496C-BE23-F7D66D2F535D}"/>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1-885C-496C-BE23-F7D66D2F535D}"/>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(Output!$C$36,Output!$C$44,Output!$C$49,Output!$C$51,Output!$C$65,Output!$C$74,Output!$C$83,Output!$C$86,Output!$C$100)</c:f>
              <c:strCache>
                <c:ptCount val="9"/>
                <c:pt idx="0">
                  <c:v>Credit risk</c:v>
                </c:pt>
                <c:pt idx="1">
                  <c:v>Market risk</c:v>
                </c:pt>
                <c:pt idx="2">
                  <c:v>Other asset risks</c:v>
                </c:pt>
                <c:pt idx="3">
                  <c:v>Company-Specific Analytical adjustments (Assets)</c:v>
                </c:pt>
                <c:pt idx="4">
                  <c:v>Non-life premium (net of reinsurance) risk</c:v>
                </c:pt>
                <c:pt idx="5">
                  <c:v>Non-life reserve (net of reinsurance) risk</c:v>
                </c:pt>
                <c:pt idx="6">
                  <c:v>Natural catastrophe risk</c:v>
                </c:pt>
                <c:pt idx="7">
                  <c:v>Life risks</c:v>
                </c:pt>
                <c:pt idx="8">
                  <c:v>Company-Specific Analytical adjustments (Liabilities)</c:v>
                </c:pt>
              </c:strCache>
            </c:strRef>
          </c:cat>
          <c:val>
            <c:numRef>
              <c:f>(Output!$I$36,Output!$I$44,Output!$I$49,Output!$I$51,Output!$I$65,Output!$I$74,Output!$I$83,Output!$I$86,Output!$I$100)</c:f>
              <c:numCache>
                <c:formatCode>##0.0%;[Red]\(##0.0%\)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25B6-4D4F-84D1-38FA5A7372ED}"/>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64623053368328964"/>
          <c:y val="3.3503572470107906E-2"/>
          <c:w val="0.3148805774278215"/>
          <c:h val="0.9328769320501604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_xlchart.v5.1</cx:f>
      </cx:numDim>
    </cx:data>
  </cx:chartData>
  <cx:chart>
    <cx:title pos="t" align="ctr" overlay="0">
      <cx:tx>
        <cx:txData>
          <cx:v>TAC Components</cx:v>
        </cx:txData>
      </cx:tx>
      <cx:txPr>
        <a:bodyPr spcFirstLastPara="1" vertOverflow="ellipsis" horzOverflow="overflow" wrap="square" lIns="0" tIns="0" rIns="0" bIns="0" anchor="ctr" anchorCtr="1"/>
        <a:lstStyle/>
        <a:p>
          <a:pPr algn="ctr" rtl="0">
            <a:defRPr sz="1800" b="1" baseline="0"/>
          </a:pPr>
          <a:r>
            <a:rPr lang="en-US" sz="1800" b="1" i="0" u="none" strike="noStrike" baseline="0">
              <a:solidFill>
                <a:sysClr val="windowText" lastClr="000000">
                  <a:lumMod val="65000"/>
                  <a:lumOff val="35000"/>
                </a:sysClr>
              </a:solidFill>
              <a:latin typeface="Calibri" panose="020F0502020204030204"/>
            </a:rPr>
            <a:t>TAC Components</a:t>
          </a:r>
        </a:p>
      </cx:txPr>
    </cx:title>
    <cx:plotArea>
      <cx:plotAreaRegion>
        <cx:series layoutId="waterfall" uniqueId="{1B3CCD48-79F5-479C-B1D3-BCF6817EF645}">
          <cx:spPr>
            <a:ln w="9525">
              <a:solidFill>
                <a:sysClr val="windowText" lastClr="000000"/>
              </a:solidFill>
            </a:ln>
          </cx:spPr>
          <cx:dataLabels/>
          <cx:dataId val="0"/>
          <cx:layoutPr>
            <cx:subtotals>
              <cx:idx val="0"/>
              <cx:idx val="14"/>
            </cx:subtotals>
          </cx:layoutPr>
        </cx:series>
      </cx:plotAreaRegion>
      <cx:axis id="0">
        <cx:catScaling gapWidth="0.5"/>
        <cx:tickLabels/>
        <cx:txPr>
          <a:bodyPr spcFirstLastPara="1" vertOverflow="ellipsis" horzOverflow="overflow" wrap="square" lIns="0" tIns="0" rIns="0" bIns="0" anchor="ctr" anchorCtr="1"/>
          <a:lstStyle/>
          <a:p>
            <a:pPr algn="ctr" rtl="0">
              <a:defRPr>
                <a:ln>
                  <a:noFill/>
                </a:ln>
                <a:solidFill>
                  <a:sysClr val="windowText" lastClr="000000">
                    <a:lumMod val="65000"/>
                    <a:lumOff val="35000"/>
                  </a:sysClr>
                </a:solidFill>
                <a:effectLst>
                  <a:glow rad="101600">
                    <a:schemeClr val="accent6">
                      <a:satMod val="175000"/>
                      <a:alpha val="40000"/>
                    </a:schemeClr>
                  </a:glow>
                </a:effectLst>
              </a:defRPr>
            </a:pPr>
            <a:endParaRPr lang="en-US" sz="900" b="0" i="0" u="none" strike="noStrike" baseline="0">
              <a:ln>
                <a:noFill/>
              </a:ln>
              <a:solidFill>
                <a:sysClr val="windowText" lastClr="000000">
                  <a:lumMod val="65000"/>
                  <a:lumOff val="35000"/>
                </a:sysClr>
              </a:solidFill>
              <a:effectLst>
                <a:glow rad="101600">
                  <a:schemeClr val="accent6">
                    <a:satMod val="175000"/>
                    <a:alpha val="40000"/>
                  </a:schemeClr>
                </a:glow>
              </a:effectLst>
              <a:latin typeface="Calibri" panose="020F0502020204030204"/>
            </a:endParaRPr>
          </a:p>
        </cx:txPr>
      </cx:axis>
      <cx:axis id="1">
        <cx:valScaling/>
        <cx:majorGridlines/>
        <cx:tickLabels/>
      </cx:axis>
    </cx:plotArea>
  </cx:chart>
  <cx:spPr>
    <a:solidFill>
      <a:schemeClr val="bg1">
        <a:lumMod val="75000"/>
      </a:schemeClr>
    </a:solidFill>
    <a:ln>
      <a:solidFill>
        <a:schemeClr val="accent1"/>
      </a:solidFill>
    </a:ln>
  </cx:spPr>
  <cx:fmtOvrs>
    <cx:fmtOvr idx="0">
      <cx:spPr>
        <a:solidFill>
          <a:srgbClr val="92D050"/>
        </a:solidFill>
      </cx:spPr>
    </cx:fmtOvr>
    <cx:fmtOvr idx="1">
      <cx:spPr>
        <a:solidFill>
          <a:srgbClr val="FF0000"/>
        </a:solidFill>
      </cx:spPr>
    </cx:fmtOvr>
    <cx:fmtOvr idx="2">
      <cx:spPr>
        <a:solidFill>
          <a:schemeClr val="accent1"/>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ustomXml" Target="../ink/ink3.xml"/><Relationship Id="rId13" Type="http://schemas.openxmlformats.org/officeDocument/2006/relationships/customXml" Target="../ink/ink8.xml"/><Relationship Id="rId18" Type="http://schemas.openxmlformats.org/officeDocument/2006/relationships/customXml" Target="../ink/ink13.xml"/><Relationship Id="rId26" Type="http://schemas.openxmlformats.org/officeDocument/2006/relationships/customXml" Target="../ink/ink21.xml"/><Relationship Id="rId21" Type="http://schemas.openxmlformats.org/officeDocument/2006/relationships/customXml" Target="../ink/ink16.xml"/><Relationship Id="rId7" Type="http://schemas.openxmlformats.org/officeDocument/2006/relationships/customXml" Target="../ink/ink2.xml"/><Relationship Id="rId12" Type="http://schemas.openxmlformats.org/officeDocument/2006/relationships/customXml" Target="../ink/ink7.xml"/><Relationship Id="rId17" Type="http://schemas.openxmlformats.org/officeDocument/2006/relationships/customXml" Target="../ink/ink12.xml"/><Relationship Id="rId25" Type="http://schemas.openxmlformats.org/officeDocument/2006/relationships/customXml" Target="../ink/ink20.xml"/><Relationship Id="rId16" Type="http://schemas.openxmlformats.org/officeDocument/2006/relationships/customXml" Target="../ink/ink11.xml"/><Relationship Id="rId20" Type="http://schemas.openxmlformats.org/officeDocument/2006/relationships/customXml" Target="../ink/ink15.xml"/><Relationship Id="rId29" Type="http://schemas.openxmlformats.org/officeDocument/2006/relationships/customXml" Target="../ink/ink24.xml"/><Relationship Id="rId1" Type="http://schemas.openxmlformats.org/officeDocument/2006/relationships/customXml" Target="../ink/ink1.xml"/><Relationship Id="rId6" Type="http://schemas.openxmlformats.org/officeDocument/2006/relationships/image" Target="../media/image10.png"/><Relationship Id="rId11" Type="http://schemas.openxmlformats.org/officeDocument/2006/relationships/customXml" Target="../ink/ink6.xml"/><Relationship Id="rId24" Type="http://schemas.openxmlformats.org/officeDocument/2006/relationships/customXml" Target="../ink/ink19.xml"/><Relationship Id="rId15" Type="http://schemas.openxmlformats.org/officeDocument/2006/relationships/customXml" Target="../ink/ink10.xml"/><Relationship Id="rId23" Type="http://schemas.openxmlformats.org/officeDocument/2006/relationships/customXml" Target="../ink/ink18.xml"/><Relationship Id="rId28" Type="http://schemas.openxmlformats.org/officeDocument/2006/relationships/customXml" Target="../ink/ink23.xml"/><Relationship Id="rId10" Type="http://schemas.openxmlformats.org/officeDocument/2006/relationships/customXml" Target="../ink/ink5.xml"/><Relationship Id="rId19" Type="http://schemas.openxmlformats.org/officeDocument/2006/relationships/customXml" Target="../ink/ink14.xml"/><Relationship Id="rId9" Type="http://schemas.openxmlformats.org/officeDocument/2006/relationships/customXml" Target="../ink/ink4.xml"/><Relationship Id="rId14" Type="http://schemas.openxmlformats.org/officeDocument/2006/relationships/customXml" Target="../ink/ink9.xml"/><Relationship Id="rId22" Type="http://schemas.openxmlformats.org/officeDocument/2006/relationships/customXml" Target="../ink/ink17.xml"/><Relationship Id="rId27" Type="http://schemas.openxmlformats.org/officeDocument/2006/relationships/customXml" Target="../ink/ink22.xml"/><Relationship Id="rId30"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4" Type="http://schemas.microsoft.com/office/2014/relationships/chartEx" Target="../charts/chartEx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1285412</xdr:colOff>
      <xdr:row>0</xdr:row>
      <xdr:rowOff>114472</xdr:rowOff>
    </xdr:from>
    <xdr:to>
      <xdr:col>4</xdr:col>
      <xdr:colOff>793300</xdr:colOff>
      <xdr:row>2</xdr:row>
      <xdr:rowOff>122143</xdr:rowOff>
    </xdr:to>
    <xdr:sp macro="" textlink="">
      <xdr:nvSpPr>
        <xdr:cNvPr id="6" name="Rectangle 5">
          <a:extLst>
            <a:ext uri="{FF2B5EF4-FFF2-40B4-BE49-F238E27FC236}">
              <a16:creationId xmlns:a16="http://schemas.microsoft.com/office/drawing/2014/main" id="{00000000-0008-0000-0000-000006000000}"/>
            </a:ext>
          </a:extLst>
        </xdr:cNvPr>
        <xdr:cNvSpPr/>
      </xdr:nvSpPr>
      <xdr:spPr bwMode="auto">
        <a:xfrm>
          <a:off x="1463212" y="114472"/>
          <a:ext cx="3635388" cy="458521"/>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a:p>
          <a:pPr marL="0" indent="0"/>
          <a:endParaRPr lang="en-US" sz="1800" b="1">
            <a:solidFill>
              <a:sysClr val="windowText" lastClr="000000"/>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xdr:col>
      <xdr:colOff>0</xdr:colOff>
      <xdr:row>0</xdr:row>
      <xdr:rowOff>0</xdr:rowOff>
    </xdr:from>
    <xdr:to>
      <xdr:col>1</xdr:col>
      <xdr:colOff>1181017</xdr:colOff>
      <xdr:row>2</xdr:row>
      <xdr:rowOff>35787</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179294" y="0"/>
          <a:ext cx="1181017" cy="49214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533400</xdr:colOff>
          <xdr:row>11</xdr:row>
          <xdr:rowOff>25400</xdr:rowOff>
        </xdr:from>
        <xdr:to>
          <xdr:col>4</xdr:col>
          <xdr:colOff>38100</xdr:colOff>
          <xdr:row>11</xdr:row>
          <xdr:rowOff>184150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000-000002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Get Cmp/Grp.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17</xdr:row>
          <xdr:rowOff>25400</xdr:rowOff>
        </xdr:from>
        <xdr:to>
          <xdr:col>4</xdr:col>
          <xdr:colOff>38100</xdr:colOff>
          <xdr:row>17</xdr:row>
          <xdr:rowOff>190500</xdr:rowOff>
        </xdr:to>
        <xdr:sp macro="" textlink="">
          <xdr:nvSpPr>
            <xdr:cNvPr id="46088" name="Button 8" hidden="1">
              <a:extLst>
                <a:ext uri="{63B3BB69-23CF-44E3-9099-C40C66FF867C}">
                  <a14:compatExt spid="_x0000_s46088"/>
                </a:ext>
                <a:ext uri="{FF2B5EF4-FFF2-40B4-BE49-F238E27FC236}">
                  <a16:creationId xmlns:a16="http://schemas.microsoft.com/office/drawing/2014/main" id="{00000000-0008-0000-0000-000008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Download Latest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40</xdr:row>
          <xdr:rowOff>6350</xdr:rowOff>
        </xdr:from>
        <xdr:to>
          <xdr:col>4</xdr:col>
          <xdr:colOff>31750</xdr:colOff>
          <xdr:row>40</xdr:row>
          <xdr:rowOff>177800</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0000-00000E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FF0000"/>
                  </a:solidFill>
                  <a:latin typeface="Calibri"/>
                  <a:ea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6350</xdr:rowOff>
        </xdr:from>
        <xdr:to>
          <xdr:col>4</xdr:col>
          <xdr:colOff>31750</xdr:colOff>
          <xdr:row>6</xdr:row>
          <xdr:rowOff>177800</xdr:rowOff>
        </xdr:to>
        <xdr:sp macro="" textlink="">
          <xdr:nvSpPr>
            <xdr:cNvPr id="46096" name="Button 16" hidden="1">
              <a:extLst>
                <a:ext uri="{63B3BB69-23CF-44E3-9099-C40C66FF867C}">
                  <a14:compatExt spid="_x0000_s46096"/>
                </a:ext>
                <a:ext uri="{FF2B5EF4-FFF2-40B4-BE49-F238E27FC236}">
                  <a16:creationId xmlns:a16="http://schemas.microsoft.com/office/drawing/2014/main" id="{00000000-0008-0000-0000-000010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Download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46</xdr:row>
          <xdr:rowOff>6350</xdr:rowOff>
        </xdr:from>
        <xdr:to>
          <xdr:col>4</xdr:col>
          <xdr:colOff>31750</xdr:colOff>
          <xdr:row>46</xdr:row>
          <xdr:rowOff>177800</xdr:rowOff>
        </xdr:to>
        <xdr:sp macro="" textlink="">
          <xdr:nvSpPr>
            <xdr:cNvPr id="46102" name="Button 22" hidden="1">
              <a:extLst>
                <a:ext uri="{63B3BB69-23CF-44E3-9099-C40C66FF867C}">
                  <a14:compatExt spid="_x0000_s46102"/>
                </a:ext>
                <a:ext uri="{FF2B5EF4-FFF2-40B4-BE49-F238E27FC236}">
                  <a16:creationId xmlns:a16="http://schemas.microsoft.com/office/drawing/2014/main" id="{00000000-0008-0000-0000-000016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FF0000"/>
                  </a:solidFill>
                  <a:latin typeface="Calibri"/>
                  <a:ea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25400</xdr:rowOff>
        </xdr:from>
        <xdr:to>
          <xdr:col>4</xdr:col>
          <xdr:colOff>38100</xdr:colOff>
          <xdr:row>27</xdr:row>
          <xdr:rowOff>0</xdr:rowOff>
        </xdr:to>
        <xdr:sp macro="" textlink="">
          <xdr:nvSpPr>
            <xdr:cNvPr id="46103" name="Button 23" hidden="1">
              <a:extLst>
                <a:ext uri="{63B3BB69-23CF-44E3-9099-C40C66FF867C}">
                  <a14:compatExt spid="_x0000_s46103"/>
                </a:ext>
                <a:ext uri="{FF2B5EF4-FFF2-40B4-BE49-F238E27FC236}">
                  <a16:creationId xmlns:a16="http://schemas.microsoft.com/office/drawing/2014/main" id="{00000000-0008-0000-0000-000017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Get Entity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25400</xdr:rowOff>
        </xdr:from>
        <xdr:to>
          <xdr:col>4</xdr:col>
          <xdr:colOff>38100</xdr:colOff>
          <xdr:row>29</xdr:row>
          <xdr:rowOff>0</xdr:rowOff>
        </xdr:to>
        <xdr:sp macro="" textlink="">
          <xdr:nvSpPr>
            <xdr:cNvPr id="46105" name="Button 25" hidden="1">
              <a:extLst>
                <a:ext uri="{63B3BB69-23CF-44E3-9099-C40C66FF867C}">
                  <a14:compatExt spid="_x0000_s46105"/>
                </a:ext>
                <a:ext uri="{FF2B5EF4-FFF2-40B4-BE49-F238E27FC236}">
                  <a16:creationId xmlns:a16="http://schemas.microsoft.com/office/drawing/2014/main" id="{00000000-0008-0000-0000-000019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Copy to Input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25400</xdr:rowOff>
        </xdr:from>
        <xdr:to>
          <xdr:col>4</xdr:col>
          <xdr:colOff>38100</xdr:colOff>
          <xdr:row>20</xdr:row>
          <xdr:rowOff>190500</xdr:rowOff>
        </xdr:to>
        <xdr:sp macro="" textlink="">
          <xdr:nvSpPr>
            <xdr:cNvPr id="46113" name="Button 33" hidden="1">
              <a:extLst>
                <a:ext uri="{63B3BB69-23CF-44E3-9099-C40C66FF867C}">
                  <a14:compatExt spid="_x0000_s46113"/>
                </a:ext>
                <a:ext uri="{FF2B5EF4-FFF2-40B4-BE49-F238E27FC236}">
                  <a16:creationId xmlns:a16="http://schemas.microsoft.com/office/drawing/2014/main" id="{00000000-0008-0000-0000-000021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Download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463550</xdr:colOff>
          <xdr:row>1</xdr:row>
          <xdr:rowOff>6350</xdr:rowOff>
        </xdr:from>
        <xdr:to>
          <xdr:col>8</xdr:col>
          <xdr:colOff>539750</xdr:colOff>
          <xdr:row>1</xdr:row>
          <xdr:rowOff>254000</xdr:rowOff>
        </xdr:to>
        <xdr:sp macro="" textlink="">
          <xdr:nvSpPr>
            <xdr:cNvPr id="46121" name="Button 41" hidden="1">
              <a:extLst>
                <a:ext uri="{63B3BB69-23CF-44E3-9099-C40C66FF867C}">
                  <a14:compatExt spid="_x0000_s46121"/>
                </a:ext>
                <a:ext uri="{FF2B5EF4-FFF2-40B4-BE49-F238E27FC236}">
                  <a16:creationId xmlns:a16="http://schemas.microsoft.com/office/drawing/2014/main" id="{00000000-0008-0000-0000-000029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Clear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52</xdr:row>
          <xdr:rowOff>6350</xdr:rowOff>
        </xdr:from>
        <xdr:to>
          <xdr:col>4</xdr:col>
          <xdr:colOff>31750</xdr:colOff>
          <xdr:row>52</xdr:row>
          <xdr:rowOff>177800</xdr:rowOff>
        </xdr:to>
        <xdr:sp macro="" textlink="">
          <xdr:nvSpPr>
            <xdr:cNvPr id="46124" name="Button 44" hidden="1">
              <a:extLst>
                <a:ext uri="{63B3BB69-23CF-44E3-9099-C40C66FF867C}">
                  <a14:compatExt spid="_x0000_s46124"/>
                </a:ext>
                <a:ext uri="{FF2B5EF4-FFF2-40B4-BE49-F238E27FC236}">
                  <a16:creationId xmlns:a16="http://schemas.microsoft.com/office/drawing/2014/main" id="{00000000-0008-0000-0000-00002C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Get Exchange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50800</xdr:colOff>
      <xdr:row>0</xdr:row>
      <xdr:rowOff>57150</xdr:rowOff>
    </xdr:from>
    <xdr:to>
      <xdr:col>1</xdr:col>
      <xdr:colOff>1146174</xdr:colOff>
      <xdr:row>2</xdr:row>
      <xdr:rowOff>111527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04800" y="57150"/>
          <a:ext cx="1110614" cy="501417"/>
        </a:xfrm>
        <a:prstGeom prst="rect">
          <a:avLst/>
        </a:prstGeom>
      </xdr:spPr>
    </xdr:pic>
    <xdr:clientData/>
  </xdr:twoCellAnchor>
  <xdr:twoCellAnchor>
    <xdr:from>
      <xdr:col>1</xdr:col>
      <xdr:colOff>1395731</xdr:colOff>
      <xdr:row>0</xdr:row>
      <xdr:rowOff>163830</xdr:rowOff>
    </xdr:from>
    <xdr:to>
      <xdr:col>3</xdr:col>
      <xdr:colOff>472441</xdr:colOff>
      <xdr:row>3</xdr:row>
      <xdr:rowOff>62751</xdr:rowOff>
    </xdr:to>
    <xdr:sp macro="" textlink="">
      <xdr:nvSpPr>
        <xdr:cNvPr id="5" name="Rectangle 4">
          <a:extLst>
            <a:ext uri="{FF2B5EF4-FFF2-40B4-BE49-F238E27FC236}">
              <a16:creationId xmlns:a16="http://schemas.microsoft.com/office/drawing/2014/main" id="{00000000-0008-0000-0100-000005000000}"/>
            </a:ext>
          </a:extLst>
        </xdr:cNvPr>
        <xdr:cNvSpPr/>
      </xdr:nvSpPr>
      <xdr:spPr bwMode="auto">
        <a:xfrm>
          <a:off x="1647191" y="163830"/>
          <a:ext cx="3077210" cy="539001"/>
        </a:xfrm>
        <a:prstGeom prst="rect">
          <a:avLst/>
        </a:prstGeom>
        <a:solidFill>
          <a:schemeClr val="tx2">
            <a:lumMod val="7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r>
            <a:rPr lang="en-US" sz="2000" b="1">
              <a:solidFill>
                <a:schemeClr val="bg1"/>
              </a:solidFill>
              <a:effectLst/>
              <a:latin typeface="Times New Roman" panose="02020603050405020304" pitchFamily="18" charset="0"/>
              <a:cs typeface="Times New Roman" panose="02020603050405020304" pitchFamily="18" charset="0"/>
            </a:rPr>
            <a:t>Insurer Risk-Based Capital</a:t>
          </a:r>
          <a:endParaRPr lang="en-US" sz="2000" b="1" baseline="0">
            <a:solidFill>
              <a:schemeClr val="bg1"/>
            </a:solidFill>
            <a:effectLst/>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0</xdr:rowOff>
    </xdr:from>
    <xdr:to>
      <xdr:col>7</xdr:col>
      <xdr:colOff>495300</xdr:colOff>
      <xdr:row>46</xdr:row>
      <xdr:rowOff>76200</xdr:rowOff>
    </xdr:to>
    <xdr:sp macro="" textlink="">
      <xdr:nvSpPr>
        <xdr:cNvPr id="7" name="Rectangle 6">
          <a:extLst>
            <a:ext uri="{FF2B5EF4-FFF2-40B4-BE49-F238E27FC236}">
              <a16:creationId xmlns:a16="http://schemas.microsoft.com/office/drawing/2014/main" id="{00000000-0008-0000-0100-000007000000}"/>
            </a:ext>
          </a:extLst>
        </xdr:cNvPr>
        <xdr:cNvSpPr>
          <a:spLocks noChangeArrowheads="1"/>
        </xdr:cNvSpPr>
      </xdr:nvSpPr>
      <xdr:spPr bwMode="auto">
        <a:xfrm>
          <a:off x="251460" y="1112520"/>
          <a:ext cx="6934200" cy="7574280"/>
        </a:xfrm>
        <a:prstGeom prst="rect">
          <a:avLst/>
        </a:prstGeom>
        <a:solidFill>
          <a:schemeClr val="bg1">
            <a:lumMod val="9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rtl="0"/>
          <a:r>
            <a:rPr lang="en-US" sz="1100" b="0" i="0" baseline="0">
              <a:effectLst/>
              <a:latin typeface="+mn-lt"/>
              <a:ea typeface="+mn-ea"/>
              <a:cs typeface="+mn-cs"/>
            </a:rPr>
            <a:t>S&amp;P GLOBAL RATINGS, ITS AFFILIATES AND LICENSORS DO NOT AND CANNOT WARRANT THE ACCURACY, ADEQUACY OR COMPLETENESS OF, OR PERFORMANCE OR RESULTS THAT MAY BE OBTAINED BY USING THE “Insurer Risk-Based Capital” MODEL (HEREAFTER INSURANCE CAPITAL MODEL) OR INSURANCE CAPITAL MODEL OUTPUT.  S&amp;P GLOBAL RATINGS, ITS AFFILIATES, ITS LICENSORS, AND ANYONE ELSE WHO HAS BEEN INVOLVED IN CREATING, PRODUCING OR DELIVERING THE INSURANCE CAPITAL MODEL DO NOT AND CANNOT WARRANT THAT THE INSURANCE CAPITAL MODEL WILL SATISFY A USER’S REQUIREMENTS, OR THAT THE OPERATION OF THE INSURANCE CAPITAL MODEL WILL BE UNINTERRUPTED OR ERROR-FREE, OR THAT INSURANCE CAPITAL MODEL DEFECTS, IF ANY, CAN BE CORRECTED.  THE INSURANCE CAPITAL MODEL AND INSURANCE CAPITAL MODEL OUTPUT ARE PROVIDED “AS IS” AND WITHOUT ANY EXPRESS OR IMPLIED WARRANTIES, INCLUDING ANY IMPLIED WARRANTIES OF MERCHANTABILITY OR FITNESS FOR ANY PARTICULAR PURPOSE OR USE.  USER ACCEPTS SOLE RESPONSIBILITY FOR THE USE OF ANY RESULTS OF THIS INSURANCE CAPITAL MODEL. </a:t>
          </a:r>
          <a:endParaRPr lang="en-US">
            <a:effectLst/>
          </a:endParaRPr>
        </a:p>
        <a:p>
          <a:pPr rtl="0"/>
          <a:r>
            <a:rPr lang="en-US" sz="1100" b="0" i="0" baseline="0">
              <a:effectLst/>
              <a:latin typeface="+mn-lt"/>
              <a:ea typeface="+mn-ea"/>
              <a:cs typeface="+mn-cs"/>
            </a:rPr>
            <a:t> </a:t>
          </a:r>
          <a:endParaRPr lang="en-US">
            <a:effectLst/>
          </a:endParaRPr>
        </a:p>
        <a:p>
          <a:pPr rtl="0"/>
          <a:r>
            <a:rPr lang="en-US" sz="1100" b="0" i="0" baseline="0">
              <a:effectLst/>
              <a:latin typeface="+mn-lt"/>
              <a:ea typeface="+mn-ea"/>
              <a:cs typeface="+mn-cs"/>
            </a:rPr>
            <a:t>S&amp;P GLOBAL RATINGS, ITS AFFILIATES AND LICENSORS SHALL NOT BE LIABLE TO USER OR ANYONE ELSE FOR ANY INACCURACY, DELAY, INTERRUPTION IN SERVICE, ERROR OR OMISSION REGARDLESS OF CAUSE, OR FOR ANY DAMAGES RESULTING THEREFROM.</a:t>
          </a:r>
          <a:endParaRPr lang="en-US">
            <a:effectLst/>
          </a:endParaRPr>
        </a:p>
        <a:p>
          <a:pPr rtl="0"/>
          <a:r>
            <a:rPr lang="en-US" sz="1100" b="0" i="0" baseline="0">
              <a:effectLst/>
              <a:latin typeface="+mn-lt"/>
              <a:ea typeface="+mn-ea"/>
              <a:cs typeface="+mn-cs"/>
            </a:rPr>
            <a:t> </a:t>
          </a:r>
          <a:endParaRPr lang="en-US">
            <a:effectLst/>
          </a:endParaRPr>
        </a:p>
        <a:p>
          <a:pPr rtl="0"/>
          <a:r>
            <a:rPr lang="en-US" sz="1100" b="0" i="0" baseline="0">
              <a:effectLst/>
              <a:latin typeface="+mn-lt"/>
              <a:ea typeface="+mn-ea"/>
              <a:cs typeface="+mn-cs"/>
            </a:rPr>
            <a:t>THE INSURANCE CAPITAL MODEL MAY NOT BE IDENTICAL TO THE VERSION OF THE INSURANCE CAPITAL MODEL USED BY S&amp;P GLOBAL RATINGS.  NO REPRESENTATION IS MADE THAT ANY OUTPUTS OF THE INSURANCE CAPITAL MODEL WILL BE IDENTICAL TO THE OUTPUTS THAT MAY BE PRODUCED BY THE VERSION OF THE INSURANCE CAPITAL MODEL USED S&amp;P GLOBAL RATINGS.</a:t>
          </a:r>
          <a:endParaRPr lang="en-US">
            <a:effectLst/>
          </a:endParaRPr>
        </a:p>
        <a:p>
          <a:pPr rtl="0"/>
          <a:r>
            <a:rPr lang="en-US" sz="1100" b="0" i="0" baseline="0">
              <a:effectLst/>
              <a:latin typeface="+mn-lt"/>
              <a:ea typeface="+mn-ea"/>
              <a:cs typeface="+mn-cs"/>
            </a:rPr>
            <a:t> </a:t>
          </a:r>
          <a:endParaRPr lang="en-US">
            <a:effectLst/>
          </a:endParaRPr>
        </a:p>
        <a:p>
          <a:pPr rtl="0"/>
          <a:r>
            <a:rPr lang="en-US" sz="1100" b="0" i="0" baseline="0">
              <a:effectLst/>
              <a:latin typeface="+mn-lt"/>
              <a:ea typeface="+mn-ea"/>
              <a:cs typeface="+mn-cs"/>
            </a:rPr>
            <a:t>S&amp;P GLOBAL RATINGS IS NOT A FINANCIAL OR INVESTMENT ADVISOR TO USER AND THE USE OF THE INSURANCE CAPITAL MODEL DOES NOT CONSTITUTE FINANCIAL OR INVESTMENT ADVICE.  </a:t>
          </a:r>
          <a:endParaRPr lang="en-US">
            <a:effectLst/>
          </a:endParaRPr>
        </a:p>
        <a:p>
          <a:pPr rtl="0"/>
          <a:r>
            <a:rPr lang="en-US" sz="1100" b="0" i="0" baseline="0">
              <a:effectLst/>
              <a:latin typeface="+mn-lt"/>
              <a:ea typeface="+mn-ea"/>
              <a:cs typeface="+mn-cs"/>
            </a:rPr>
            <a:t> </a:t>
          </a:r>
          <a:endParaRPr lang="en-US">
            <a:effectLst/>
          </a:endParaRPr>
        </a:p>
        <a:p>
          <a:pPr rtl="0"/>
          <a:r>
            <a:rPr lang="en-US" sz="1100" b="0" i="0" baseline="0">
              <a:effectLst/>
              <a:latin typeface="+mn-lt"/>
              <a:ea typeface="+mn-ea"/>
              <a:cs typeface="+mn-cs"/>
            </a:rPr>
            <a:t>Users shall not use, copy, decompile, disassemble, reverse engineer, modify, sell, reproduce, create derivative works, transmit, distribute, sublicense, store in any network and/or database or retrieval system of any kind, rent or transfer the Insurance Capital Model, its Output and/or any portion thereof, in any form or by any means (including electronically or otherwise) or allow access to the Program and/or Program Information.  Users expressly acknowledge that S&amp;P Global Ratings owns all proprietary rights (including copyright) in and to the Insurance Capital Model and any Output and that both the Insurance Capital Model and any Output were prepared by S&amp;P Global Ratings and/or its licensors through the application of methods and standards of judgment developed and applied through the expenditure of substantial time, effort and money.  You agree not to infringe or allow others to infringe on any and all copyright and other proprietary rights of S&amp;P Global Ratings and its licensors in the Insurance Capital Model and any Output and to comply with any reasonable request made by S&amp;P Global Ratings to protect such rights.  </a:t>
          </a:r>
          <a:endParaRPr lang="en-US">
            <a:effectLst/>
          </a:endParaRPr>
        </a:p>
        <a:p>
          <a:pPr rtl="0"/>
          <a:r>
            <a:rPr lang="en-US" sz="1100" b="0" i="0" baseline="0">
              <a:effectLst/>
              <a:latin typeface="+mn-lt"/>
              <a:ea typeface="+mn-ea"/>
              <a:cs typeface="+mn-cs"/>
            </a:rPr>
            <a:t> </a:t>
          </a:r>
          <a:endParaRPr lang="en-US">
            <a:effectLst/>
          </a:endParaRPr>
        </a:p>
        <a:p>
          <a:pPr rtl="0"/>
          <a:r>
            <a:rPr lang="en-US" sz="1100" b="0" i="0" u="sng" baseline="0">
              <a:effectLst/>
              <a:latin typeface="+mn-lt"/>
              <a:ea typeface="+mn-ea"/>
              <a:cs typeface="+mn-cs"/>
            </a:rPr>
            <a:t>Criteria and models may change or be retired from use</a:t>
          </a:r>
          <a:endParaRPr lang="en-US">
            <a:effectLst/>
          </a:endParaRPr>
        </a:p>
        <a:p>
          <a:pPr rtl="0"/>
          <a:r>
            <a:rPr lang="en-US" sz="1100" b="0" i="0" baseline="0">
              <a:effectLst/>
              <a:latin typeface="+mn-lt"/>
              <a:ea typeface="+mn-ea"/>
              <a:cs typeface="+mn-cs"/>
            </a:rPr>
            <a:t>The Insurance Capital Model incorporates certain criteria that are used by S&amp;P Global Ratings in its rating process, and is subject to change in the future.  S&amp;P Global Ratings reserves the right to make changes to its criteria and /or the Insurance Capital Model from time to time and S&amp;P Global Ratings has no duty or obligation to notify you of any such changes and S&amp;P Global Ratings has no duty or obligation to provide you with updated versions of the Insurance Capital Model.  The Insurance Capital Model may be retired or withdrawn from use without notice.  Users of the Insurance Capital Model should download the model from S&amp;P Global Ratings each time prior to use.  If the Insurance Capital Model is not available for download from S&amp;P Global Ratings, versions of the model previously downloaded should not be used for any purpose.</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4</xdr:col>
          <xdr:colOff>177800</xdr:colOff>
          <xdr:row>47</xdr:row>
          <xdr:rowOff>38100</xdr:rowOff>
        </xdr:from>
        <xdr:to>
          <xdr:col>7</xdr:col>
          <xdr:colOff>495300</xdr:colOff>
          <xdr:row>62</xdr:row>
          <xdr:rowOff>101600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100-000001B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0" i="0" u="none" strike="noStrike" baseline="0">
                  <a:solidFill>
                    <a:srgbClr val="000000"/>
                  </a:solidFill>
                  <a:latin typeface="Calibri"/>
                  <a:ea typeface="Calibri"/>
                  <a:cs typeface="Calibri"/>
                </a:rPr>
                <a:t>Start Analysis &gt;&gt;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8</xdr:col>
      <xdr:colOff>310620</xdr:colOff>
      <xdr:row>77</xdr:row>
      <xdr:rowOff>0</xdr:rowOff>
    </xdr:from>
    <xdr:to>
      <xdr:col>8</xdr:col>
      <xdr:colOff>323045</xdr:colOff>
      <xdr:row>77</xdr:row>
      <xdr:rowOff>19063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Ink 15">
              <a:extLst>
                <a:ext uri="{FF2B5EF4-FFF2-40B4-BE49-F238E27FC236}">
                  <a16:creationId xmlns:a16="http://schemas.microsoft.com/office/drawing/2014/main" id="{00000000-0008-0000-0200-000010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twoCellAnchor>
  <xdr:oneCellAnchor>
    <xdr:from>
      <xdr:col>8</xdr:col>
      <xdr:colOff>310620</xdr:colOff>
      <xdr:row>203</xdr:row>
      <xdr:rowOff>107580</xdr:rowOff>
    </xdr:from>
    <xdr:ext cx="15600" cy="5440"/>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17" name="Ink 16">
              <a:extLst>
                <a:ext uri="{FF2B5EF4-FFF2-40B4-BE49-F238E27FC236}">
                  <a16:creationId xmlns:a16="http://schemas.microsoft.com/office/drawing/2014/main" id="{00000000-0008-0000-0200-000011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213</xdr:row>
      <xdr:rowOff>107580</xdr:rowOff>
    </xdr:from>
    <xdr:ext cx="13060" cy="5440"/>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18" name="Ink 17">
              <a:extLst>
                <a:ext uri="{FF2B5EF4-FFF2-40B4-BE49-F238E27FC236}">
                  <a16:creationId xmlns:a16="http://schemas.microsoft.com/office/drawing/2014/main" id="{00000000-0008-0000-0200-000012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223</xdr:row>
      <xdr:rowOff>107580</xdr:rowOff>
    </xdr:from>
    <xdr:ext cx="16870" cy="5440"/>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19" name="Ink 18">
              <a:extLst>
                <a:ext uri="{FF2B5EF4-FFF2-40B4-BE49-F238E27FC236}">
                  <a16:creationId xmlns:a16="http://schemas.microsoft.com/office/drawing/2014/main" id="{00000000-0008-0000-0200-000013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233</xdr:row>
      <xdr:rowOff>107580</xdr:rowOff>
    </xdr:from>
    <xdr:ext cx="14330" cy="5440"/>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0" name="Ink 19">
              <a:extLst>
                <a:ext uri="{FF2B5EF4-FFF2-40B4-BE49-F238E27FC236}">
                  <a16:creationId xmlns:a16="http://schemas.microsoft.com/office/drawing/2014/main" id="{00000000-0008-0000-0200-000014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243</xdr:row>
      <xdr:rowOff>107580</xdr:rowOff>
    </xdr:from>
    <xdr:ext cx="18140" cy="5440"/>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1" name="Ink 20">
              <a:extLst>
                <a:ext uri="{FF2B5EF4-FFF2-40B4-BE49-F238E27FC236}">
                  <a16:creationId xmlns:a16="http://schemas.microsoft.com/office/drawing/2014/main" id="{00000000-0008-0000-0200-000015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253</xdr:row>
      <xdr:rowOff>107580</xdr:rowOff>
    </xdr:from>
    <xdr:ext cx="15600" cy="5440"/>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22" name="Ink 21">
              <a:extLst>
                <a:ext uri="{FF2B5EF4-FFF2-40B4-BE49-F238E27FC236}">
                  <a16:creationId xmlns:a16="http://schemas.microsoft.com/office/drawing/2014/main" id="{00000000-0008-0000-0200-000016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263</xdr:row>
      <xdr:rowOff>107580</xdr:rowOff>
    </xdr:from>
    <xdr:ext cx="13060" cy="5440"/>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23" name="Ink 22">
              <a:extLst>
                <a:ext uri="{FF2B5EF4-FFF2-40B4-BE49-F238E27FC236}">
                  <a16:creationId xmlns:a16="http://schemas.microsoft.com/office/drawing/2014/main" id="{00000000-0008-0000-0200-000017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273</xdr:row>
      <xdr:rowOff>107580</xdr:rowOff>
    </xdr:from>
    <xdr:ext cx="16870" cy="5440"/>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24" name="Ink 23">
              <a:extLst>
                <a:ext uri="{FF2B5EF4-FFF2-40B4-BE49-F238E27FC236}">
                  <a16:creationId xmlns:a16="http://schemas.microsoft.com/office/drawing/2014/main" id="{00000000-0008-0000-0200-000018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283</xdr:row>
      <xdr:rowOff>107580</xdr:rowOff>
    </xdr:from>
    <xdr:ext cx="14330" cy="5440"/>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25" name="Ink 24">
              <a:extLst>
                <a:ext uri="{FF2B5EF4-FFF2-40B4-BE49-F238E27FC236}">
                  <a16:creationId xmlns:a16="http://schemas.microsoft.com/office/drawing/2014/main" id="{00000000-0008-0000-0200-000019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307</xdr:row>
      <xdr:rowOff>0</xdr:rowOff>
    </xdr:from>
    <xdr:ext cx="14330" cy="5440"/>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26" name="Ink 25">
              <a:extLst>
                <a:ext uri="{FF2B5EF4-FFF2-40B4-BE49-F238E27FC236}">
                  <a16:creationId xmlns:a16="http://schemas.microsoft.com/office/drawing/2014/main" id="{00000000-0008-0000-0200-00001A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307</xdr:row>
      <xdr:rowOff>0</xdr:rowOff>
    </xdr:from>
    <xdr:ext cx="14330" cy="5440"/>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27" name="Ink 26">
              <a:extLst>
                <a:ext uri="{FF2B5EF4-FFF2-40B4-BE49-F238E27FC236}">
                  <a16:creationId xmlns:a16="http://schemas.microsoft.com/office/drawing/2014/main" id="{00000000-0008-0000-0200-00001B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193</xdr:row>
      <xdr:rowOff>107580</xdr:rowOff>
    </xdr:from>
    <xdr:ext cx="18140" cy="4170"/>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76" name="Ink 75">
              <a:extLst>
                <a:ext uri="{FF2B5EF4-FFF2-40B4-BE49-F238E27FC236}">
                  <a16:creationId xmlns:a16="http://schemas.microsoft.com/office/drawing/2014/main" id="{00000000-0008-0000-0200-00004C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203</xdr:row>
      <xdr:rowOff>107580</xdr:rowOff>
    </xdr:from>
    <xdr:ext cx="15600" cy="5440"/>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77" name="Ink 76">
              <a:extLst>
                <a:ext uri="{FF2B5EF4-FFF2-40B4-BE49-F238E27FC236}">
                  <a16:creationId xmlns:a16="http://schemas.microsoft.com/office/drawing/2014/main" id="{00000000-0008-0000-0200-00004D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213</xdr:row>
      <xdr:rowOff>107580</xdr:rowOff>
    </xdr:from>
    <xdr:ext cx="13060" cy="5440"/>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78" name="Ink 77">
              <a:extLst>
                <a:ext uri="{FF2B5EF4-FFF2-40B4-BE49-F238E27FC236}">
                  <a16:creationId xmlns:a16="http://schemas.microsoft.com/office/drawing/2014/main" id="{00000000-0008-0000-0200-00004E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223</xdr:row>
      <xdr:rowOff>107580</xdr:rowOff>
    </xdr:from>
    <xdr:ext cx="16870" cy="5440"/>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79" name="Ink 78">
              <a:extLst>
                <a:ext uri="{FF2B5EF4-FFF2-40B4-BE49-F238E27FC236}">
                  <a16:creationId xmlns:a16="http://schemas.microsoft.com/office/drawing/2014/main" id="{00000000-0008-0000-0200-00004F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233</xdr:row>
      <xdr:rowOff>107580</xdr:rowOff>
    </xdr:from>
    <xdr:ext cx="14330" cy="5440"/>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80" name="Ink 79">
              <a:extLst>
                <a:ext uri="{FF2B5EF4-FFF2-40B4-BE49-F238E27FC236}">
                  <a16:creationId xmlns:a16="http://schemas.microsoft.com/office/drawing/2014/main" id="{00000000-0008-0000-0200-000050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243</xdr:row>
      <xdr:rowOff>107580</xdr:rowOff>
    </xdr:from>
    <xdr:ext cx="18140" cy="5440"/>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81" name="Ink 80">
              <a:extLst>
                <a:ext uri="{FF2B5EF4-FFF2-40B4-BE49-F238E27FC236}">
                  <a16:creationId xmlns:a16="http://schemas.microsoft.com/office/drawing/2014/main" id="{00000000-0008-0000-0200-000051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253</xdr:row>
      <xdr:rowOff>107580</xdr:rowOff>
    </xdr:from>
    <xdr:ext cx="15600" cy="5440"/>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82" name="Ink 81">
              <a:extLst>
                <a:ext uri="{FF2B5EF4-FFF2-40B4-BE49-F238E27FC236}">
                  <a16:creationId xmlns:a16="http://schemas.microsoft.com/office/drawing/2014/main" id="{00000000-0008-0000-0200-000052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263</xdr:row>
      <xdr:rowOff>107580</xdr:rowOff>
    </xdr:from>
    <xdr:ext cx="13060" cy="5440"/>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83" name="Ink 82">
              <a:extLst>
                <a:ext uri="{FF2B5EF4-FFF2-40B4-BE49-F238E27FC236}">
                  <a16:creationId xmlns:a16="http://schemas.microsoft.com/office/drawing/2014/main" id="{00000000-0008-0000-0200-000053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273</xdr:row>
      <xdr:rowOff>107580</xdr:rowOff>
    </xdr:from>
    <xdr:ext cx="16870" cy="5440"/>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84" name="Ink 83">
              <a:extLst>
                <a:ext uri="{FF2B5EF4-FFF2-40B4-BE49-F238E27FC236}">
                  <a16:creationId xmlns:a16="http://schemas.microsoft.com/office/drawing/2014/main" id="{00000000-0008-0000-0200-000054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283</xdr:row>
      <xdr:rowOff>107580</xdr:rowOff>
    </xdr:from>
    <xdr:ext cx="14330" cy="5440"/>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85" name="Ink 84">
              <a:extLst>
                <a:ext uri="{FF2B5EF4-FFF2-40B4-BE49-F238E27FC236}">
                  <a16:creationId xmlns:a16="http://schemas.microsoft.com/office/drawing/2014/main" id="{00000000-0008-0000-0200-000055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307</xdr:row>
      <xdr:rowOff>0</xdr:rowOff>
    </xdr:from>
    <xdr:ext cx="14330" cy="5440"/>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86" name="Ink 85">
              <a:extLst>
                <a:ext uri="{FF2B5EF4-FFF2-40B4-BE49-F238E27FC236}">
                  <a16:creationId xmlns:a16="http://schemas.microsoft.com/office/drawing/2014/main" id="{00000000-0008-0000-0200-000056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oneCellAnchor>
    <xdr:from>
      <xdr:col>8</xdr:col>
      <xdr:colOff>310620</xdr:colOff>
      <xdr:row>307</xdr:row>
      <xdr:rowOff>0</xdr:rowOff>
    </xdr:from>
    <xdr:ext cx="14330" cy="5440"/>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87" name="Ink 86">
              <a:extLst>
                <a:ext uri="{FF2B5EF4-FFF2-40B4-BE49-F238E27FC236}">
                  <a16:creationId xmlns:a16="http://schemas.microsoft.com/office/drawing/2014/main" id="{00000000-0008-0000-0200-000057000000}"/>
                </a:ext>
              </a:extLst>
            </xdr14:cNvPr>
            <xdr14:cNvContentPartPr/>
          </xdr14:nvContentPartPr>
          <xdr14:nvPr macro=""/>
          <xdr14:xfrm>
            <a:off x="6444720" y="11213730"/>
            <a:ext cx="360" cy="360"/>
          </xdr14:xfrm>
        </xdr:contentPart>
      </mc:Choice>
      <mc:Fallback xmlns="">
        <xdr:pic>
          <xdr:nvPicPr>
            <xdr:cNvPr id="8" name="Ink 7">
              <a:extLst>
                <a:ext uri="{FF2B5EF4-FFF2-40B4-BE49-F238E27FC236}">
                  <a16:creationId xmlns:a16="http://schemas.microsoft.com/office/drawing/2014/main" id="{B02D6D3A-EE54-4BCB-BB9F-51C5DEF78195}"/>
                </a:ext>
              </a:extLst>
            </xdr:cNvPr>
            <xdr:cNvPicPr/>
          </xdr:nvPicPr>
          <xdr:blipFill>
            <a:blip xmlns:r="http://schemas.openxmlformats.org/officeDocument/2006/relationships" r:embed="rId6"/>
            <a:stretch>
              <a:fillRect/>
            </a:stretch>
          </xdr:blipFill>
          <xdr:spPr>
            <a:xfrm>
              <a:off x="6436080" y="11204730"/>
              <a:ext cx="18000" cy="18000"/>
            </a:xfrm>
            <a:prstGeom prst="rect">
              <a:avLst/>
            </a:prstGeom>
          </xdr:spPr>
        </xdr:pic>
      </mc:Fallback>
    </mc:AlternateContent>
    <xdr:clientData/>
  </xdr:oneCellAnchor>
  <xdr:twoCellAnchor>
    <xdr:from>
      <xdr:col>1</xdr:col>
      <xdr:colOff>1223558</xdr:colOff>
      <xdr:row>0</xdr:row>
      <xdr:rowOff>155488</xdr:rowOff>
    </xdr:from>
    <xdr:to>
      <xdr:col>4</xdr:col>
      <xdr:colOff>533400</xdr:colOff>
      <xdr:row>2</xdr:row>
      <xdr:rowOff>84792</xdr:rowOff>
    </xdr:to>
    <xdr:sp macro="" textlink="">
      <xdr:nvSpPr>
        <xdr:cNvPr id="28" name="Rectangle 27">
          <a:extLst>
            <a:ext uri="{FF2B5EF4-FFF2-40B4-BE49-F238E27FC236}">
              <a16:creationId xmlns:a16="http://schemas.microsoft.com/office/drawing/2014/main" id="{00000000-0008-0000-0200-00001C000000}"/>
            </a:ext>
          </a:extLst>
        </xdr:cNvPr>
        <xdr:cNvSpPr/>
      </xdr:nvSpPr>
      <xdr:spPr bwMode="auto">
        <a:xfrm>
          <a:off x="1398818" y="155488"/>
          <a:ext cx="3005542" cy="295064"/>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xdr:txBody>
    </xdr:sp>
    <xdr:clientData/>
  </xdr:twoCellAnchor>
  <xdr:twoCellAnchor editAs="oneCell">
    <xdr:from>
      <xdr:col>1</xdr:col>
      <xdr:colOff>42286</xdr:colOff>
      <xdr:row>0</xdr:row>
      <xdr:rowOff>41016</xdr:rowOff>
    </xdr:from>
    <xdr:to>
      <xdr:col>1</xdr:col>
      <xdr:colOff>1222033</xdr:colOff>
      <xdr:row>2</xdr:row>
      <xdr:rowOff>155669</xdr:rowOff>
    </xdr:to>
    <xdr:pic>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30"/>
        <a:stretch>
          <a:fillRect/>
        </a:stretch>
      </xdr:blipFill>
      <xdr:spPr>
        <a:xfrm>
          <a:off x="221580" y="41016"/>
          <a:ext cx="1187367" cy="49468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736600</xdr:colOff>
          <xdr:row>1</xdr:row>
          <xdr:rowOff>25400</xdr:rowOff>
        </xdr:from>
        <xdr:to>
          <xdr:col>4</xdr:col>
          <xdr:colOff>2565400</xdr:colOff>
          <xdr:row>2</xdr:row>
          <xdr:rowOff>82550</xdr:rowOff>
        </xdr:to>
        <xdr:sp macro="" textlink="">
          <xdr:nvSpPr>
            <xdr:cNvPr id="26124" name="Button 1548" hidden="1">
              <a:extLst>
                <a:ext uri="{63B3BB69-23CF-44E3-9099-C40C66FF867C}">
                  <a14:compatExt spid="_x0000_s26124"/>
                </a:ext>
                <a:ext uri="{FF2B5EF4-FFF2-40B4-BE49-F238E27FC236}">
                  <a16:creationId xmlns:a16="http://schemas.microsoft.com/office/drawing/2014/main" id="{00000000-0008-0000-0200-00000C6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Clear Inputs &amp; Adjustments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2628900</xdr:colOff>
          <xdr:row>1</xdr:row>
          <xdr:rowOff>25400</xdr:rowOff>
        </xdr:from>
        <xdr:to>
          <xdr:col>6</xdr:col>
          <xdr:colOff>463550</xdr:colOff>
          <xdr:row>2</xdr:row>
          <xdr:rowOff>82550</xdr:rowOff>
        </xdr:to>
        <xdr:sp macro="" textlink="">
          <xdr:nvSpPr>
            <xdr:cNvPr id="26250" name="Button 1674" hidden="1">
              <a:extLst>
                <a:ext uri="{63B3BB69-23CF-44E3-9099-C40C66FF867C}">
                  <a14:compatExt spid="_x0000_s26250"/>
                </a:ext>
                <a:ext uri="{FF2B5EF4-FFF2-40B4-BE49-F238E27FC236}">
                  <a16:creationId xmlns:a16="http://schemas.microsoft.com/office/drawing/2014/main" id="{00000000-0008-0000-0200-00008A6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Reset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527050</xdr:colOff>
          <xdr:row>1</xdr:row>
          <xdr:rowOff>12700</xdr:rowOff>
        </xdr:from>
        <xdr:to>
          <xdr:col>7</xdr:col>
          <xdr:colOff>1130300</xdr:colOff>
          <xdr:row>2</xdr:row>
          <xdr:rowOff>76200</xdr:rowOff>
        </xdr:to>
        <xdr:sp macro="" textlink="">
          <xdr:nvSpPr>
            <xdr:cNvPr id="26251" name="Button 1675" hidden="1">
              <a:extLst>
                <a:ext uri="{63B3BB69-23CF-44E3-9099-C40C66FF867C}">
                  <a14:compatExt spid="_x0000_s26251"/>
                </a:ext>
                <a:ext uri="{FF2B5EF4-FFF2-40B4-BE49-F238E27FC236}">
                  <a16:creationId xmlns:a16="http://schemas.microsoft.com/office/drawing/2014/main" id="{00000000-0008-0000-0200-00008B6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Expand All Row Groups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1187450</xdr:colOff>
          <xdr:row>1</xdr:row>
          <xdr:rowOff>6350</xdr:rowOff>
        </xdr:from>
        <xdr:to>
          <xdr:col>8</xdr:col>
          <xdr:colOff>838200</xdr:colOff>
          <xdr:row>2</xdr:row>
          <xdr:rowOff>69850</xdr:rowOff>
        </xdr:to>
        <xdr:sp macro="" textlink="">
          <xdr:nvSpPr>
            <xdr:cNvPr id="26252" name="Button 1676" hidden="1">
              <a:extLst>
                <a:ext uri="{63B3BB69-23CF-44E3-9099-C40C66FF867C}">
                  <a14:compatExt spid="_x0000_s26252"/>
                </a:ext>
                <a:ext uri="{FF2B5EF4-FFF2-40B4-BE49-F238E27FC236}">
                  <a16:creationId xmlns:a16="http://schemas.microsoft.com/office/drawing/2014/main" id="{00000000-0008-0000-0200-00008C6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42295</xdr:colOff>
      <xdr:row>0</xdr:row>
      <xdr:rowOff>37503</xdr:rowOff>
    </xdr:from>
    <xdr:to>
      <xdr:col>3</xdr:col>
      <xdr:colOff>676</xdr:colOff>
      <xdr:row>0</xdr:row>
      <xdr:rowOff>535995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654883" y="37503"/>
          <a:ext cx="1172276" cy="504842"/>
        </a:xfrm>
        <a:prstGeom prst="rect">
          <a:avLst/>
        </a:prstGeom>
      </xdr:spPr>
    </xdr:pic>
    <xdr:clientData/>
  </xdr:twoCellAnchor>
  <xdr:twoCellAnchor>
    <xdr:from>
      <xdr:col>3</xdr:col>
      <xdr:colOff>19872</xdr:colOff>
      <xdr:row>0</xdr:row>
      <xdr:rowOff>120876</xdr:rowOff>
    </xdr:from>
    <xdr:to>
      <xdr:col>9</xdr:col>
      <xdr:colOff>52345</xdr:colOff>
      <xdr:row>0</xdr:row>
      <xdr:rowOff>464349</xdr:rowOff>
    </xdr:to>
    <xdr:sp macro="" textlink="">
      <xdr:nvSpPr>
        <xdr:cNvPr id="5" name="Rectangle 4">
          <a:extLst>
            <a:ext uri="{FF2B5EF4-FFF2-40B4-BE49-F238E27FC236}">
              <a16:creationId xmlns:a16="http://schemas.microsoft.com/office/drawing/2014/main" id="{00000000-0008-0000-0300-000005000000}"/>
            </a:ext>
          </a:extLst>
        </xdr:cNvPr>
        <xdr:cNvSpPr/>
      </xdr:nvSpPr>
      <xdr:spPr bwMode="auto">
        <a:xfrm>
          <a:off x="1543872" y="120876"/>
          <a:ext cx="5657826" cy="343473"/>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339090</xdr:colOff>
      <xdr:row>0</xdr:row>
      <xdr:rowOff>154869</xdr:rowOff>
    </xdr:from>
    <xdr:to>
      <xdr:col>6</xdr:col>
      <xdr:colOff>678180</xdr:colOff>
      <xdr:row>0</xdr:row>
      <xdr:rowOff>464820</xdr:rowOff>
    </xdr:to>
    <xdr:sp macro="" textlink="">
      <xdr:nvSpPr>
        <xdr:cNvPr id="2" name="Rectangle 1">
          <a:extLst>
            <a:ext uri="{FF2B5EF4-FFF2-40B4-BE49-F238E27FC236}">
              <a16:creationId xmlns:a16="http://schemas.microsoft.com/office/drawing/2014/main" id="{00000000-0008-0000-0400-000002000000}"/>
            </a:ext>
          </a:extLst>
        </xdr:cNvPr>
        <xdr:cNvSpPr/>
      </xdr:nvSpPr>
      <xdr:spPr bwMode="auto">
        <a:xfrm>
          <a:off x="1802130" y="154869"/>
          <a:ext cx="2945130" cy="309951"/>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a:p>
          <a:pPr marL="0" indent="0"/>
          <a:endParaRPr lang="en-US" sz="1800" b="1">
            <a:solidFill>
              <a:sysClr val="windowText" lastClr="000000"/>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xdr:col>
      <xdr:colOff>28052</xdr:colOff>
      <xdr:row>0</xdr:row>
      <xdr:rowOff>0</xdr:rowOff>
    </xdr:from>
    <xdr:to>
      <xdr:col>3</xdr:col>
      <xdr:colOff>56173</xdr:colOff>
      <xdr:row>0</xdr:row>
      <xdr:rowOff>498492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337269" y="0"/>
          <a:ext cx="1179952" cy="498492"/>
        </a:xfrm>
        <a:prstGeom prst="rect">
          <a:avLst/>
        </a:prstGeom>
      </xdr:spPr>
    </xdr:pic>
    <xdr:clientData/>
  </xdr:twoCellAnchor>
  <xdr:twoCellAnchor>
    <xdr:from>
      <xdr:col>1</xdr:col>
      <xdr:colOff>4333</xdr:colOff>
      <xdr:row>157</xdr:row>
      <xdr:rowOff>144780</xdr:rowOff>
    </xdr:from>
    <xdr:to>
      <xdr:col>7</xdr:col>
      <xdr:colOff>772886</xdr:colOff>
      <xdr:row>179</xdr:row>
      <xdr:rowOff>22860</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1045029</xdr:colOff>
      <xdr:row>157</xdr:row>
      <xdr:rowOff>152400</xdr:rowOff>
    </xdr:from>
    <xdr:to>
      <xdr:col>16</xdr:col>
      <xdr:colOff>8070</xdr:colOff>
      <xdr:row>179</xdr:row>
      <xdr:rowOff>3629</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1047493</xdr:colOff>
      <xdr:row>157</xdr:row>
      <xdr:rowOff>154244</xdr:rowOff>
    </xdr:from>
    <xdr:to>
      <xdr:col>11</xdr:col>
      <xdr:colOff>794657</xdr:colOff>
      <xdr:row>179</xdr:row>
      <xdr:rowOff>19050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063993" y="13762294"/>
              <a:ext cx="5182764" cy="349700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1110279</xdr:colOff>
      <xdr:row>0</xdr:row>
      <xdr:rowOff>117962</xdr:rowOff>
    </xdr:from>
    <xdr:to>
      <xdr:col>3</xdr:col>
      <xdr:colOff>533401</xdr:colOff>
      <xdr:row>1</xdr:row>
      <xdr:rowOff>171450</xdr:rowOff>
    </xdr:to>
    <xdr:sp macro="" textlink="">
      <xdr:nvSpPr>
        <xdr:cNvPr id="2" name="Rectangle 1">
          <a:extLst>
            <a:ext uri="{FF2B5EF4-FFF2-40B4-BE49-F238E27FC236}">
              <a16:creationId xmlns:a16="http://schemas.microsoft.com/office/drawing/2014/main" id="{00000000-0008-0000-0500-000002000000}"/>
            </a:ext>
          </a:extLst>
        </xdr:cNvPr>
        <xdr:cNvSpPr/>
      </xdr:nvSpPr>
      <xdr:spPr bwMode="auto">
        <a:xfrm>
          <a:off x="1630979" y="117962"/>
          <a:ext cx="3423622" cy="383688"/>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a:p>
          <a:pPr marL="0" indent="0"/>
          <a:endParaRPr lang="en-US" sz="1800" b="1">
            <a:solidFill>
              <a:sysClr val="windowText" lastClr="000000"/>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xdr:col>
      <xdr:colOff>0</xdr:colOff>
      <xdr:row>0</xdr:row>
      <xdr:rowOff>0</xdr:rowOff>
    </xdr:from>
    <xdr:to>
      <xdr:col>2</xdr:col>
      <xdr:colOff>917006</xdr:colOff>
      <xdr:row>1</xdr:row>
      <xdr:rowOff>187566</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68941" y="0"/>
          <a:ext cx="1177356" cy="50103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480657</xdr:colOff>
      <xdr:row>0</xdr:row>
      <xdr:rowOff>137012</xdr:rowOff>
    </xdr:from>
    <xdr:to>
      <xdr:col>5</xdr:col>
      <xdr:colOff>63500</xdr:colOff>
      <xdr:row>0</xdr:row>
      <xdr:rowOff>443306</xdr:rowOff>
    </xdr:to>
    <xdr:sp macro="" textlink="">
      <xdr:nvSpPr>
        <xdr:cNvPr id="2" name="Rectangle 1">
          <a:extLst>
            <a:ext uri="{FF2B5EF4-FFF2-40B4-BE49-F238E27FC236}">
              <a16:creationId xmlns:a16="http://schemas.microsoft.com/office/drawing/2014/main" id="{00000000-0008-0000-0600-000002000000}"/>
            </a:ext>
          </a:extLst>
        </xdr:cNvPr>
        <xdr:cNvSpPr/>
      </xdr:nvSpPr>
      <xdr:spPr bwMode="auto">
        <a:xfrm>
          <a:off x="1471257" y="137012"/>
          <a:ext cx="3049943" cy="306294"/>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Insurer Risk-Based Capital</a:t>
          </a:r>
        </a:p>
      </xdr:txBody>
    </xdr:sp>
    <xdr:clientData/>
  </xdr:twoCellAnchor>
  <xdr:twoCellAnchor editAs="oneCell">
    <xdr:from>
      <xdr:col>1</xdr:col>
      <xdr:colOff>0</xdr:colOff>
      <xdr:row>0</xdr:row>
      <xdr:rowOff>0</xdr:rowOff>
    </xdr:from>
    <xdr:to>
      <xdr:col>2</xdr:col>
      <xdr:colOff>323251</xdr:colOff>
      <xdr:row>0</xdr:row>
      <xdr:rowOff>498492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75167" y="0"/>
          <a:ext cx="1177356" cy="50103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40733</xdr:colOff>
      <xdr:row>0</xdr:row>
      <xdr:rowOff>72988</xdr:rowOff>
    </xdr:from>
    <xdr:to>
      <xdr:col>1</xdr:col>
      <xdr:colOff>1222181</xdr:colOff>
      <xdr:row>0</xdr:row>
      <xdr:rowOff>570210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92425" y="72988"/>
          <a:ext cx="1181448" cy="497222"/>
        </a:xfrm>
        <a:prstGeom prst="rect">
          <a:avLst/>
        </a:prstGeom>
      </xdr:spPr>
    </xdr:pic>
    <xdr:clientData/>
  </xdr:twoCellAnchor>
  <xdr:twoCellAnchor>
    <xdr:from>
      <xdr:col>1</xdr:col>
      <xdr:colOff>1221881</xdr:colOff>
      <xdr:row>0</xdr:row>
      <xdr:rowOff>152682</xdr:rowOff>
    </xdr:from>
    <xdr:to>
      <xdr:col>8</xdr:col>
      <xdr:colOff>422039</xdr:colOff>
      <xdr:row>0</xdr:row>
      <xdr:rowOff>430389</xdr:rowOff>
    </xdr:to>
    <xdr:sp macro="" textlink="">
      <xdr:nvSpPr>
        <xdr:cNvPr id="4" name="Rectangle 3">
          <a:extLst>
            <a:ext uri="{FF2B5EF4-FFF2-40B4-BE49-F238E27FC236}">
              <a16:creationId xmlns:a16="http://schemas.microsoft.com/office/drawing/2014/main" id="{00000000-0008-0000-0700-000004000000}"/>
            </a:ext>
          </a:extLst>
        </xdr:cNvPr>
        <xdr:cNvSpPr/>
      </xdr:nvSpPr>
      <xdr:spPr bwMode="auto">
        <a:xfrm>
          <a:off x="1828659" y="152682"/>
          <a:ext cx="5648936" cy="277707"/>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324454</xdr:colOff>
      <xdr:row>0</xdr:row>
      <xdr:rowOff>113595</xdr:rowOff>
    </xdr:from>
    <xdr:to>
      <xdr:col>6</xdr:col>
      <xdr:colOff>900280</xdr:colOff>
      <xdr:row>0</xdr:row>
      <xdr:rowOff>368599</xdr:rowOff>
    </xdr:to>
    <xdr:sp macro="" textlink="">
      <xdr:nvSpPr>
        <xdr:cNvPr id="2" name="Rectangle 1">
          <a:extLst>
            <a:ext uri="{FF2B5EF4-FFF2-40B4-BE49-F238E27FC236}">
              <a16:creationId xmlns:a16="http://schemas.microsoft.com/office/drawing/2014/main" id="{00000000-0008-0000-0800-000002000000}"/>
            </a:ext>
          </a:extLst>
        </xdr:cNvPr>
        <xdr:cNvSpPr/>
      </xdr:nvSpPr>
      <xdr:spPr bwMode="auto">
        <a:xfrm>
          <a:off x="1818572" y="113595"/>
          <a:ext cx="3698532" cy="255004"/>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xdr:txBody>
    </xdr:sp>
    <xdr:clientData/>
  </xdr:twoCellAnchor>
  <xdr:twoCellAnchor editAs="oneCell">
    <xdr:from>
      <xdr:col>1</xdr:col>
      <xdr:colOff>35576</xdr:colOff>
      <xdr:row>0</xdr:row>
      <xdr:rowOff>0</xdr:rowOff>
    </xdr:from>
    <xdr:to>
      <xdr:col>2</xdr:col>
      <xdr:colOff>193420</xdr:colOff>
      <xdr:row>0</xdr:row>
      <xdr:rowOff>498492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348843" y="0"/>
          <a:ext cx="1197127" cy="49849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93261</xdr:colOff>
      <xdr:row>0</xdr:row>
      <xdr:rowOff>55118</xdr:rowOff>
    </xdr:from>
    <xdr:to>
      <xdr:col>2</xdr:col>
      <xdr:colOff>377789</xdr:colOff>
      <xdr:row>0</xdr:row>
      <xdr:rowOff>499027</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595285" y="55118"/>
          <a:ext cx="1081116" cy="459149"/>
        </a:xfrm>
        <a:prstGeom prst="rect">
          <a:avLst/>
        </a:prstGeom>
      </xdr:spPr>
    </xdr:pic>
    <xdr:clientData/>
  </xdr:twoCellAnchor>
  <xdr:twoCellAnchor>
    <xdr:from>
      <xdr:col>2</xdr:col>
      <xdr:colOff>387858</xdr:colOff>
      <xdr:row>0</xdr:row>
      <xdr:rowOff>149447</xdr:rowOff>
    </xdr:from>
    <xdr:to>
      <xdr:col>4</xdr:col>
      <xdr:colOff>779931</xdr:colOff>
      <xdr:row>0</xdr:row>
      <xdr:rowOff>466165</xdr:rowOff>
    </xdr:to>
    <xdr:sp macro="" textlink="">
      <xdr:nvSpPr>
        <xdr:cNvPr id="3" name="Rectangle 2">
          <a:extLst>
            <a:ext uri="{FF2B5EF4-FFF2-40B4-BE49-F238E27FC236}">
              <a16:creationId xmlns:a16="http://schemas.microsoft.com/office/drawing/2014/main" id="{00000000-0008-0000-0900-000003000000}"/>
            </a:ext>
          </a:extLst>
        </xdr:cNvPr>
        <xdr:cNvSpPr/>
      </xdr:nvSpPr>
      <xdr:spPr bwMode="auto">
        <a:xfrm>
          <a:off x="1687740" y="149447"/>
          <a:ext cx="3413179" cy="316718"/>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27344</xdr:colOff>
      <xdr:row>0</xdr:row>
      <xdr:rowOff>9862</xdr:rowOff>
    </xdr:from>
    <xdr:to>
      <xdr:col>1</xdr:col>
      <xdr:colOff>1216130</xdr:colOff>
      <xdr:row>0</xdr:row>
      <xdr:rowOff>498194</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624991" y="9862"/>
          <a:ext cx="1181166" cy="497222"/>
        </a:xfrm>
        <a:prstGeom prst="rect">
          <a:avLst/>
        </a:prstGeom>
      </xdr:spPr>
    </xdr:pic>
    <xdr:clientData/>
  </xdr:twoCellAnchor>
  <xdr:twoCellAnchor>
    <xdr:from>
      <xdr:col>1</xdr:col>
      <xdr:colOff>1191119</xdr:colOff>
      <xdr:row>0</xdr:row>
      <xdr:rowOff>136596</xdr:rowOff>
    </xdr:from>
    <xdr:to>
      <xdr:col>4</xdr:col>
      <xdr:colOff>419100</xdr:colOff>
      <xdr:row>0</xdr:row>
      <xdr:rowOff>406682</xdr:rowOff>
    </xdr:to>
    <xdr:sp macro="" textlink="">
      <xdr:nvSpPr>
        <xdr:cNvPr id="3" name="Rectangle 2">
          <a:extLst>
            <a:ext uri="{FF2B5EF4-FFF2-40B4-BE49-F238E27FC236}">
              <a16:creationId xmlns:a16="http://schemas.microsoft.com/office/drawing/2014/main" id="{00000000-0008-0000-0A00-000003000000}"/>
            </a:ext>
          </a:extLst>
        </xdr:cNvPr>
        <xdr:cNvSpPr/>
      </xdr:nvSpPr>
      <xdr:spPr bwMode="auto">
        <a:xfrm>
          <a:off x="1572119" y="136596"/>
          <a:ext cx="3158631" cy="270086"/>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Insurer Risk-Based Capital</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568578</xdr:colOff>
      <xdr:row>1</xdr:row>
      <xdr:rowOff>3043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612588" y="0"/>
          <a:ext cx="1177356" cy="501032"/>
        </a:xfrm>
        <a:prstGeom prst="rect">
          <a:avLst/>
        </a:prstGeom>
      </xdr:spPr>
    </xdr:pic>
    <xdr:clientData/>
  </xdr:twoCellAnchor>
  <xdr:twoCellAnchor>
    <xdr:from>
      <xdr:col>2</xdr:col>
      <xdr:colOff>618789</xdr:colOff>
      <xdr:row>0</xdr:row>
      <xdr:rowOff>143211</xdr:rowOff>
    </xdr:from>
    <xdr:to>
      <xdr:col>5</xdr:col>
      <xdr:colOff>450850</xdr:colOff>
      <xdr:row>0</xdr:row>
      <xdr:rowOff>413297</xdr:rowOff>
    </xdr:to>
    <xdr:sp macro="" textlink="">
      <xdr:nvSpPr>
        <xdr:cNvPr id="3" name="Rectangle 2">
          <a:extLst>
            <a:ext uri="{FF2B5EF4-FFF2-40B4-BE49-F238E27FC236}">
              <a16:creationId xmlns:a16="http://schemas.microsoft.com/office/drawing/2014/main" id="{00000000-0008-0000-0B00-000003000000}"/>
            </a:ext>
          </a:extLst>
        </xdr:cNvPr>
        <xdr:cNvSpPr/>
      </xdr:nvSpPr>
      <xdr:spPr bwMode="auto">
        <a:xfrm>
          <a:off x="1545889" y="143211"/>
          <a:ext cx="3191211" cy="270086"/>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759302</xdr:colOff>
      <xdr:row>1</xdr:row>
      <xdr:rowOff>3043</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612588" y="0"/>
          <a:ext cx="1177356" cy="501032"/>
        </a:xfrm>
        <a:prstGeom prst="rect">
          <a:avLst/>
        </a:prstGeom>
      </xdr:spPr>
    </xdr:pic>
    <xdr:clientData/>
  </xdr:twoCellAnchor>
  <xdr:twoCellAnchor>
    <xdr:from>
      <xdr:col>2</xdr:col>
      <xdr:colOff>799353</xdr:colOff>
      <xdr:row>0</xdr:row>
      <xdr:rowOff>137011</xdr:rowOff>
    </xdr:from>
    <xdr:to>
      <xdr:col>5</xdr:col>
      <xdr:colOff>406400</xdr:colOff>
      <xdr:row>0</xdr:row>
      <xdr:rowOff>407097</xdr:rowOff>
    </xdr:to>
    <xdr:sp macro="" textlink="">
      <xdr:nvSpPr>
        <xdr:cNvPr id="3" name="Rectangle 2">
          <a:extLst>
            <a:ext uri="{FF2B5EF4-FFF2-40B4-BE49-F238E27FC236}">
              <a16:creationId xmlns:a16="http://schemas.microsoft.com/office/drawing/2014/main" id="{00000000-0008-0000-0C00-000003000000}"/>
            </a:ext>
          </a:extLst>
        </xdr:cNvPr>
        <xdr:cNvSpPr/>
      </xdr:nvSpPr>
      <xdr:spPr bwMode="auto">
        <a:xfrm>
          <a:off x="1605803" y="137011"/>
          <a:ext cx="3074147" cy="270086"/>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marL="0" indent="0"/>
          <a:r>
            <a:rPr lang="en-US" sz="1800" b="1">
              <a:solidFill>
                <a:sysClr val="windowText" lastClr="000000"/>
              </a:solidFill>
              <a:effectLst/>
              <a:latin typeface="Times New Roman" panose="02020603050405020304" pitchFamily="18" charset="0"/>
              <a:ea typeface="+mn-ea"/>
              <a:cs typeface="Times New Roman" panose="02020603050405020304" pitchFamily="18" charset="0"/>
            </a:rPr>
            <a:t> Insurer Risk-Based Capital</a:t>
          </a: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22"/>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23"/>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24"/>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25"/>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26"/>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27"/>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28"/>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29"/>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30"/>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31"/>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32"/>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11:17.033"/>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399"/>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0"/>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1"/>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2"/>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3"/>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4"/>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5"/>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6"/>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7"/>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8"/>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09"/>
    </inkml:context>
    <inkml:brush xml:id="br0">
      <inkml:brushProperty name="width" value="0.05" units="cm"/>
      <inkml:brushProperty name="height" value="0.05" units="cm"/>
      <inkml:brushProperty name="ignorePressure" value="1"/>
    </inkml:brush>
  </inkml:definitions>
  <inkml:trace contextRef="#ctx0" brushRef="#br0">1 0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1-03-16T17:26:00.410"/>
    </inkml:context>
    <inkml:brush xml:id="br0">
      <inkml:brushProperty name="width" value="0.05" units="cm"/>
      <inkml:brushProperty name="height" value="0.05" units="cm"/>
      <inkml:brushProperty name="ignorePressure" value="1"/>
    </inkml:brush>
  </inkml:definitions>
  <inkml:trace contextRef="#ctx0" brushRef="#br0">1 0</inkml:trace>
</inkm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 Type="http://schemas.openxmlformats.org/officeDocument/2006/relationships/hyperlink" Target="https://rscm.dev.spratingsvpc.com/ins-cap-user-guide"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omments" Target="../comments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lrsc.pde.spratingsvpc.com/icm-du-api-prod/" TargetMode="External"/><Relationship Id="rId1" Type="http://schemas.openxmlformats.org/officeDocument/2006/relationships/hyperlink" Target="https://rscm.dev.spratingsvpc.com/icm-du-api-dev-v3/"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3A772-F73A-45C0-8288-A180F2D8A588}">
  <sheetPr codeName="Sheet19">
    <tabColor rgb="FFC00000"/>
  </sheetPr>
  <dimension ref="A2:R58"/>
  <sheetViews>
    <sheetView showGridLines="0" zoomScaleNormal="100" workbookViewId="0"/>
  </sheetViews>
  <sheetFormatPr defaultRowHeight="14.5" x14ac:dyDescent="0.35"/>
  <cols>
    <col min="1" max="1" width="2.54296875" customWidth="1"/>
    <col min="2" max="2" width="31.36328125" customWidth="1"/>
    <col min="3" max="3" width="13.90625" customWidth="1"/>
    <col min="4" max="4" width="15" customWidth="1"/>
    <col min="5" max="5" width="20.453125" customWidth="1"/>
    <col min="6" max="9" width="19.6328125" customWidth="1"/>
    <col min="10" max="10" width="14.36328125" customWidth="1"/>
    <col min="11" max="15" width="10.6328125" customWidth="1"/>
    <col min="16" max="17" width="8.08984375" customWidth="1"/>
  </cols>
  <sheetData>
    <row r="2" spans="1:18" ht="21" customHeight="1" x14ac:dyDescent="0.45">
      <c r="F2" s="722" t="s">
        <v>3096</v>
      </c>
      <c r="G2" s="722"/>
      <c r="J2" s="685" t="s">
        <v>4453</v>
      </c>
    </row>
    <row r="3" spans="1:18" ht="15" thickBot="1" x14ac:dyDescent="0.4"/>
    <row r="4" spans="1:18" ht="21" x14ac:dyDescent="0.35">
      <c r="A4" s="180" t="s">
        <v>2087</v>
      </c>
      <c r="B4" s="14" t="s">
        <v>2760</v>
      </c>
      <c r="C4" s="269"/>
      <c r="D4" s="269"/>
      <c r="E4" s="269"/>
      <c r="F4" s="269"/>
      <c r="G4" s="269"/>
      <c r="H4" s="269"/>
      <c r="I4" s="269"/>
      <c r="J4" s="270"/>
      <c r="K4" s="269"/>
      <c r="L4" s="269"/>
      <c r="M4" s="269"/>
      <c r="N4" s="269"/>
      <c r="O4" s="269"/>
      <c r="P4" s="269"/>
      <c r="Q4" s="271"/>
      <c r="R4" s="178"/>
    </row>
    <row r="5" spans="1:18" ht="21" x14ac:dyDescent="0.35">
      <c r="A5" s="180"/>
      <c r="B5" s="25" t="s">
        <v>2755</v>
      </c>
      <c r="C5" s="275"/>
      <c r="D5" s="275"/>
      <c r="E5" s="275"/>
      <c r="F5" s="275"/>
      <c r="G5" s="275"/>
      <c r="H5" s="275"/>
      <c r="I5" s="275"/>
      <c r="J5" s="275"/>
      <c r="K5" s="275"/>
      <c r="L5" s="275"/>
      <c r="M5" s="275"/>
      <c r="N5" s="275"/>
      <c r="O5" s="275"/>
      <c r="P5" s="275"/>
      <c r="Q5" s="276"/>
      <c r="R5" s="178"/>
    </row>
    <row r="6" spans="1:18" x14ac:dyDescent="0.35">
      <c r="A6" s="180"/>
      <c r="B6" s="10"/>
      <c r="C6" s="11"/>
      <c r="D6" s="18"/>
      <c r="F6" s="119"/>
      <c r="G6" s="119"/>
      <c r="H6" s="18"/>
      <c r="I6" s="120"/>
      <c r="J6" s="11"/>
      <c r="K6" s="121"/>
      <c r="L6" s="11"/>
      <c r="M6" s="11"/>
      <c r="N6" s="11"/>
      <c r="O6" s="11"/>
      <c r="P6" s="11"/>
      <c r="Q6" s="12"/>
      <c r="R6" s="11"/>
    </row>
    <row r="7" spans="1:18" x14ac:dyDescent="0.35">
      <c r="A7" s="180"/>
      <c r="B7" s="10"/>
      <c r="C7" s="11"/>
      <c r="D7" s="18"/>
      <c r="E7" s="18" t="s">
        <v>3056</v>
      </c>
      <c r="F7" s="209"/>
      <c r="G7" s="18" t="s">
        <v>1125</v>
      </c>
      <c r="H7" s="210"/>
      <c r="I7" s="120"/>
      <c r="J7" s="120"/>
      <c r="K7" s="121"/>
      <c r="L7" s="11"/>
      <c r="M7" s="11"/>
      <c r="N7" s="11"/>
      <c r="O7" s="11"/>
      <c r="P7" s="11"/>
      <c r="Q7" s="12"/>
      <c r="R7" s="11"/>
    </row>
    <row r="8" spans="1:18" ht="15" thickBot="1" x14ac:dyDescent="0.4">
      <c r="B8" s="4"/>
      <c r="C8" s="1"/>
      <c r="D8" s="1"/>
      <c r="E8" s="1"/>
      <c r="F8" s="1"/>
      <c r="G8" s="1"/>
      <c r="H8" s="1"/>
      <c r="I8" s="1"/>
      <c r="J8" s="1"/>
      <c r="K8" s="1"/>
      <c r="L8" s="1"/>
      <c r="M8" s="1"/>
      <c r="N8" s="1"/>
      <c r="O8" s="1"/>
      <c r="P8" s="1"/>
      <c r="Q8" s="6"/>
    </row>
    <row r="9" spans="1:18" ht="18.5" x14ac:dyDescent="0.35">
      <c r="B9" s="25" t="s">
        <v>2756</v>
      </c>
      <c r="C9" s="275"/>
      <c r="D9" s="275"/>
      <c r="E9" s="275"/>
      <c r="F9" s="275"/>
      <c r="G9" s="275"/>
      <c r="H9" s="275"/>
      <c r="I9" s="275"/>
      <c r="J9" s="275"/>
      <c r="K9" s="275"/>
      <c r="L9" s="275"/>
      <c r="M9" s="275"/>
      <c r="N9" s="275"/>
      <c r="O9" s="275"/>
      <c r="P9" s="275"/>
      <c r="Q9" s="276"/>
    </row>
    <row r="10" spans="1:18" ht="15" customHeight="1" x14ac:dyDescent="0.35">
      <c r="B10" s="272"/>
      <c r="C10" s="178"/>
      <c r="D10" s="178"/>
      <c r="E10" s="178"/>
      <c r="F10" s="178"/>
      <c r="G10" s="178"/>
      <c r="H10" s="178"/>
      <c r="I10" s="178"/>
      <c r="J10" s="273"/>
      <c r="K10" s="178"/>
      <c r="L10" s="178"/>
      <c r="M10" s="178"/>
      <c r="N10" s="178"/>
      <c r="O10" s="178"/>
      <c r="P10" s="178"/>
      <c r="Q10" s="274"/>
    </row>
    <row r="11" spans="1:18" x14ac:dyDescent="0.35">
      <c r="B11" s="2"/>
      <c r="J11" s="5" t="s">
        <v>2757</v>
      </c>
      <c r="M11" s="5" t="s">
        <v>2757</v>
      </c>
      <c r="Q11" s="3"/>
    </row>
    <row r="12" spans="1:18" ht="15.5" x14ac:dyDescent="0.35">
      <c r="B12" s="2"/>
      <c r="E12" s="18" t="s">
        <v>810</v>
      </c>
      <c r="F12" s="720"/>
      <c r="G12" s="720"/>
      <c r="H12" s="720"/>
      <c r="I12" s="720"/>
      <c r="J12" s="18" t="s">
        <v>810</v>
      </c>
      <c r="K12" s="726"/>
      <c r="L12" s="726"/>
      <c r="M12" s="18" t="s">
        <v>8</v>
      </c>
      <c r="N12" s="726"/>
      <c r="O12" s="726"/>
      <c r="Q12" s="3"/>
    </row>
    <row r="13" spans="1:18" x14ac:dyDescent="0.35">
      <c r="B13" s="2"/>
      <c r="J13" s="18" t="s">
        <v>2764</v>
      </c>
      <c r="K13" s="726"/>
      <c r="L13" s="726"/>
      <c r="M13" s="18" t="s">
        <v>808</v>
      </c>
      <c r="N13" s="726"/>
      <c r="O13" s="726"/>
      <c r="Q13" s="3"/>
    </row>
    <row r="14" spans="1:18" x14ac:dyDescent="0.35">
      <c r="B14" s="2"/>
      <c r="Q14" s="3"/>
    </row>
    <row r="15" spans="1:18" ht="15.5" x14ac:dyDescent="0.35">
      <c r="B15" s="2"/>
      <c r="E15" s="18" t="s">
        <v>2754</v>
      </c>
      <c r="F15" s="720"/>
      <c r="G15" s="720"/>
      <c r="Q15" s="3"/>
    </row>
    <row r="16" spans="1:18" x14ac:dyDescent="0.35">
      <c r="B16" s="2"/>
      <c r="Q16" s="3"/>
    </row>
    <row r="17" spans="1:18" x14ac:dyDescent="0.35">
      <c r="B17" s="2"/>
      <c r="Q17" s="3"/>
    </row>
    <row r="18" spans="1:18" ht="15.5" x14ac:dyDescent="0.35">
      <c r="B18" s="2"/>
      <c r="E18" s="18" t="s">
        <v>2758</v>
      </c>
      <c r="F18" s="720"/>
      <c r="G18" s="720"/>
      <c r="H18" s="720"/>
      <c r="I18" s="720"/>
      <c r="Q18" s="3"/>
    </row>
    <row r="19" spans="1:18" x14ac:dyDescent="0.35">
      <c r="B19" s="2"/>
      <c r="Q19" s="3"/>
    </row>
    <row r="20" spans="1:18" x14ac:dyDescent="0.35">
      <c r="B20" s="2"/>
      <c r="Q20" s="3"/>
    </row>
    <row r="21" spans="1:18" ht="15.5" x14ac:dyDescent="0.35">
      <c r="B21" s="2"/>
      <c r="E21" s="18" t="s">
        <v>2158</v>
      </c>
      <c r="F21" s="720"/>
      <c r="G21" s="720"/>
      <c r="H21" s="720"/>
      <c r="I21" s="720"/>
      <c r="J21" s="285" t="s">
        <v>2845</v>
      </c>
      <c r="K21" s="723" t="str">
        <f>IFERROR(VLOOKUP(selected_file_version,table_versions,2,FALSE),"")</f>
        <v/>
      </c>
      <c r="L21" s="724"/>
      <c r="M21" s="724"/>
      <c r="N21" s="724"/>
      <c r="O21" s="725"/>
      <c r="Q21" s="3"/>
    </row>
    <row r="22" spans="1:18" ht="15" thickBot="1" x14ac:dyDescent="0.4">
      <c r="B22" s="4"/>
      <c r="C22" s="1"/>
      <c r="D22" s="1"/>
      <c r="E22" s="1"/>
      <c r="F22" s="1"/>
      <c r="G22" s="1"/>
      <c r="H22" s="1"/>
      <c r="I22" s="1"/>
      <c r="J22" s="1"/>
      <c r="K22" s="1"/>
      <c r="L22" s="1"/>
      <c r="M22" s="1"/>
      <c r="N22" s="1"/>
      <c r="O22" s="1"/>
      <c r="P22" s="1"/>
      <c r="Q22" s="6"/>
    </row>
    <row r="23" spans="1:18" ht="21.5" thickBot="1" x14ac:dyDescent="0.4">
      <c r="A23" s="180" t="s">
        <v>2087</v>
      </c>
      <c r="B23" s="13" t="s">
        <v>2762</v>
      </c>
      <c r="C23" s="277"/>
      <c r="D23" s="277"/>
      <c r="E23" s="277"/>
      <c r="F23" s="277"/>
      <c r="G23" s="277"/>
      <c r="H23" s="277"/>
      <c r="I23" s="277"/>
      <c r="J23" s="278"/>
      <c r="K23" s="277"/>
      <c r="L23" s="277"/>
      <c r="M23" s="277"/>
      <c r="N23" s="277"/>
      <c r="O23" s="277"/>
      <c r="P23" s="277"/>
      <c r="Q23" s="279"/>
      <c r="R23" s="178"/>
    </row>
    <row r="24" spans="1:18" ht="21" x14ac:dyDescent="0.35">
      <c r="A24" s="180"/>
      <c r="B24" s="25" t="s">
        <v>2864</v>
      </c>
      <c r="C24" s="275"/>
      <c r="D24" s="275"/>
      <c r="E24" s="275"/>
      <c r="F24" s="275"/>
      <c r="G24" s="275"/>
      <c r="H24" s="275"/>
      <c r="I24" s="275"/>
      <c r="J24" s="275"/>
      <c r="K24" s="275"/>
      <c r="L24" s="275"/>
      <c r="M24" s="275"/>
      <c r="N24" s="275"/>
      <c r="O24" s="275"/>
      <c r="P24" s="275"/>
      <c r="Q24" s="276"/>
      <c r="R24" s="178"/>
    </row>
    <row r="25" spans="1:18" x14ac:dyDescent="0.35">
      <c r="B25" s="2"/>
      <c r="Q25" s="3"/>
    </row>
    <row r="26" spans="1:18" x14ac:dyDescent="0.35">
      <c r="B26" s="2"/>
      <c r="J26" s="5" t="s">
        <v>2757</v>
      </c>
      <c r="Q26" s="3"/>
    </row>
    <row r="27" spans="1:18" ht="15.5" x14ac:dyDescent="0.35">
      <c r="B27" s="2"/>
      <c r="E27" s="18" t="s">
        <v>810</v>
      </c>
      <c r="F27" s="720"/>
      <c r="G27" s="720"/>
      <c r="H27" s="720"/>
      <c r="I27" s="720"/>
      <c r="J27" s="18" t="s">
        <v>810</v>
      </c>
      <c r="K27" s="726"/>
      <c r="L27" s="726"/>
      <c r="Q27" s="3"/>
    </row>
    <row r="28" spans="1:18" x14ac:dyDescent="0.35">
      <c r="B28" s="2"/>
      <c r="J28" s="5" t="s">
        <v>3994</v>
      </c>
      <c r="K28" s="721"/>
      <c r="L28" s="721"/>
      <c r="Q28" s="3"/>
    </row>
    <row r="29" spans="1:18" x14ac:dyDescent="0.35">
      <c r="B29" s="2"/>
      <c r="E29" s="5" t="s">
        <v>3988</v>
      </c>
      <c r="F29" s="9" t="str">
        <f>IFERROR(VLOOKUP(selected_reference_entity,'Data storage'!$P$1:$R$5000,2,FALSE),"")</f>
        <v/>
      </c>
      <c r="G29" s="5" t="s">
        <v>3994</v>
      </c>
      <c r="H29" s="717" t="str">
        <f>IFERROR(VLOOKUP(selected_reference_entity,'Data storage'!$P$1:$R$5000,3,FALSE),"")</f>
        <v/>
      </c>
      <c r="I29" s="719"/>
      <c r="Q29" s="3"/>
    </row>
    <row r="30" spans="1:18" x14ac:dyDescent="0.35">
      <c r="B30" s="2"/>
      <c r="Q30" s="3"/>
    </row>
    <row r="31" spans="1:18" ht="21" x14ac:dyDescent="0.35">
      <c r="A31" s="180"/>
      <c r="B31" s="25" t="s">
        <v>2763</v>
      </c>
      <c r="C31" s="275"/>
      <c r="D31" s="275"/>
      <c r="E31" s="275"/>
      <c r="F31" s="275"/>
      <c r="G31" s="275"/>
      <c r="H31" s="275"/>
      <c r="I31" s="275"/>
      <c r="J31" s="275"/>
      <c r="K31" s="275"/>
      <c r="L31" s="275"/>
      <c r="M31" s="275"/>
      <c r="N31" s="275"/>
      <c r="O31" s="275"/>
      <c r="P31" s="275"/>
      <c r="Q31" s="276"/>
      <c r="R31" s="178"/>
    </row>
    <row r="32" spans="1:18" x14ac:dyDescent="0.35">
      <c r="B32" s="2"/>
      <c r="Q32" s="3"/>
    </row>
    <row r="33" spans="1:18" x14ac:dyDescent="0.35">
      <c r="B33" s="2"/>
      <c r="E33" s="18" t="s">
        <v>810</v>
      </c>
      <c r="F33" s="715" t="str">
        <f>IF(inp_entity_name = "", "",inp_entity_name)</f>
        <v/>
      </c>
      <c r="G33" s="715"/>
      <c r="H33" s="715"/>
      <c r="I33" s="715"/>
      <c r="J33" s="5" t="s">
        <v>3084</v>
      </c>
      <c r="K33" s="9" t="str">
        <f>IFERROR(VLOOKUP(inp_entity_name,'Data storage'!$P$1:$Q$5000,2,FALSE),"")</f>
        <v/>
      </c>
      <c r="Q33" s="3"/>
    </row>
    <row r="34" spans="1:18" x14ac:dyDescent="0.35">
      <c r="B34" s="2"/>
      <c r="Q34" s="3"/>
    </row>
    <row r="35" spans="1:18" x14ac:dyDescent="0.35">
      <c r="B35" s="2"/>
      <c r="E35" s="18" t="s">
        <v>2754</v>
      </c>
      <c r="F35" s="9" t="str">
        <f>IF(inp_reporting_year = "", "", inp_reporting_year)</f>
        <v/>
      </c>
      <c r="H35" s="18" t="s">
        <v>2749</v>
      </c>
      <c r="I35" s="280" t="str">
        <f>IF(inp_year_end = "", "", inp_year_end)</f>
        <v/>
      </c>
      <c r="Q35" s="3"/>
    </row>
    <row r="36" spans="1:18" x14ac:dyDescent="0.35">
      <c r="B36" s="2"/>
      <c r="E36" s="18"/>
      <c r="F36" s="9"/>
      <c r="Q36" s="3"/>
    </row>
    <row r="37" spans="1:18" x14ac:dyDescent="0.35">
      <c r="B37" s="2"/>
      <c r="E37" s="18" t="s">
        <v>2758</v>
      </c>
      <c r="F37" s="717" t="str">
        <f>IF(inp_scenario = "", "", inp_scenario)</f>
        <v/>
      </c>
      <c r="G37" s="718"/>
      <c r="H37" s="718"/>
      <c r="I37" s="719"/>
      <c r="Q37" s="3"/>
    </row>
    <row r="38" spans="1:18" x14ac:dyDescent="0.35">
      <c r="B38" s="2"/>
      <c r="Q38" s="3"/>
    </row>
    <row r="39" spans="1:18" ht="21" x14ac:dyDescent="0.35">
      <c r="A39" s="180"/>
      <c r="B39" s="25" t="s">
        <v>2761</v>
      </c>
      <c r="C39" s="275"/>
      <c r="D39" s="275"/>
      <c r="E39" s="275"/>
      <c r="F39" s="275"/>
      <c r="G39" s="275"/>
      <c r="H39" s="275"/>
      <c r="I39" s="275"/>
      <c r="J39" s="275"/>
      <c r="K39" s="275"/>
      <c r="L39" s="275"/>
      <c r="M39" s="275"/>
      <c r="N39" s="275"/>
      <c r="O39" s="275"/>
      <c r="P39" s="275"/>
      <c r="Q39" s="276"/>
      <c r="R39" s="178"/>
    </row>
    <row r="40" spans="1:18" x14ac:dyDescent="0.35">
      <c r="B40" s="2"/>
      <c r="Q40" s="3"/>
    </row>
    <row r="41" spans="1:18" x14ac:dyDescent="0.35">
      <c r="B41" s="2"/>
      <c r="Q41" s="3"/>
    </row>
    <row r="42" spans="1:18" x14ac:dyDescent="0.35">
      <c r="B42" s="2"/>
      <c r="Q42" s="3"/>
    </row>
    <row r="43" spans="1:18" ht="46.25" customHeight="1" x14ac:dyDescent="0.35">
      <c r="B43" s="2"/>
      <c r="C43" s="716" t="s">
        <v>3054</v>
      </c>
      <c r="D43" s="716"/>
      <c r="E43" s="716"/>
      <c r="Q43" s="3"/>
    </row>
    <row r="44" spans="1:18" ht="15" thickBot="1" x14ac:dyDescent="0.4">
      <c r="B44" s="4"/>
      <c r="C44" s="1"/>
      <c r="D44" s="1"/>
      <c r="E44" s="1"/>
      <c r="F44" s="1"/>
      <c r="G44" s="1"/>
      <c r="H44" s="1"/>
      <c r="I44" s="1"/>
      <c r="J44" s="1"/>
      <c r="K44" s="1"/>
      <c r="L44" s="1"/>
      <c r="M44" s="1"/>
      <c r="N44" s="1"/>
      <c r="O44" s="1"/>
      <c r="P44" s="1"/>
      <c r="Q44" s="6"/>
    </row>
    <row r="45" spans="1:18" ht="18.5" x14ac:dyDescent="0.35">
      <c r="B45" s="25" t="s">
        <v>2759</v>
      </c>
      <c r="C45" s="275"/>
      <c r="D45" s="275"/>
      <c r="E45" s="275"/>
      <c r="F45" s="275"/>
      <c r="G45" s="275"/>
      <c r="H45" s="275"/>
      <c r="I45" s="275"/>
      <c r="J45" s="275"/>
      <c r="K45" s="275"/>
      <c r="L45" s="275"/>
      <c r="M45" s="275"/>
      <c r="N45" s="275"/>
      <c r="O45" s="275"/>
      <c r="P45" s="275"/>
      <c r="Q45" s="276"/>
    </row>
    <row r="46" spans="1:18" x14ac:dyDescent="0.35">
      <c r="B46" s="2"/>
      <c r="Q46" s="3"/>
    </row>
    <row r="47" spans="1:18" x14ac:dyDescent="0.35">
      <c r="B47" s="2"/>
      <c r="Q47" s="3"/>
    </row>
    <row r="48" spans="1:18" x14ac:dyDescent="0.35">
      <c r="B48" s="2"/>
      <c r="Q48" s="3"/>
    </row>
    <row r="49" spans="2:17" ht="66.650000000000006" customHeight="1" x14ac:dyDescent="0.35">
      <c r="B49" s="2"/>
      <c r="C49" s="714" t="s">
        <v>3055</v>
      </c>
      <c r="D49" s="714"/>
      <c r="E49" s="714"/>
      <c r="Q49" s="3"/>
    </row>
    <row r="50" spans="2:17" ht="15" thickBot="1" x14ac:dyDescent="0.4">
      <c r="B50" s="4"/>
      <c r="C50" s="1"/>
      <c r="D50" s="1"/>
      <c r="E50" s="1"/>
      <c r="F50" s="1"/>
      <c r="G50" s="1"/>
      <c r="H50" s="1"/>
      <c r="I50" s="1"/>
      <c r="J50" s="1"/>
      <c r="K50" s="1"/>
      <c r="L50" s="1"/>
      <c r="M50" s="1"/>
      <c r="N50" s="1"/>
      <c r="O50" s="1"/>
      <c r="P50" s="1"/>
      <c r="Q50" s="6"/>
    </row>
    <row r="51" spans="2:17" ht="18.5" x14ac:dyDescent="0.35">
      <c r="B51" s="25" t="s">
        <v>3990</v>
      </c>
      <c r="C51" s="275"/>
      <c r="D51" s="275"/>
      <c r="E51" s="275"/>
      <c r="F51" s="275"/>
      <c r="G51" s="275"/>
      <c r="H51" s="275"/>
      <c r="I51" s="275"/>
      <c r="J51" s="275"/>
      <c r="K51" s="275"/>
      <c r="L51" s="275"/>
      <c r="M51" s="275"/>
      <c r="N51" s="275"/>
      <c r="O51" s="275"/>
      <c r="P51" s="275"/>
      <c r="Q51" s="276"/>
    </row>
    <row r="52" spans="2:17" x14ac:dyDescent="0.35">
      <c r="B52" s="2"/>
      <c r="Q52" s="3"/>
    </row>
    <row r="53" spans="2:17" x14ac:dyDescent="0.35">
      <c r="B53" s="2"/>
      <c r="E53" s="5"/>
      <c r="F53" s="37" t="s">
        <v>4009</v>
      </c>
      <c r="G53" s="37" t="s">
        <v>4000</v>
      </c>
      <c r="H53" s="37" t="s">
        <v>4001</v>
      </c>
      <c r="I53" s="37" t="s">
        <v>4002</v>
      </c>
      <c r="J53" s="37" t="s">
        <v>4003</v>
      </c>
      <c r="K53" s="37" t="s">
        <v>4004</v>
      </c>
      <c r="Q53" s="3"/>
    </row>
    <row r="54" spans="2:17" x14ac:dyDescent="0.35">
      <c r="B54" s="2"/>
      <c r="E54" s="5" t="s">
        <v>4005</v>
      </c>
      <c r="F54" s="9" t="str">
        <f>IF(ISBLANK(inp_summary_currency), "", inp_summary_currency)</f>
        <v>USD</v>
      </c>
      <c r="G54" s="280" t="str">
        <f>IF( ISBLANK('Data storage'!W1),"",'Data storage'!W1)</f>
        <v/>
      </c>
      <c r="H54" s="9" t="str">
        <f>IF( ISBLANK('Data storage'!X1),"",'Data storage'!X1)</f>
        <v/>
      </c>
      <c r="Q54" s="3"/>
    </row>
    <row r="55" spans="2:17" x14ac:dyDescent="0.35">
      <c r="B55" s="2"/>
      <c r="E55" s="5" t="s">
        <v>4006</v>
      </c>
      <c r="F55" s="280"/>
      <c r="G55" s="280" t="str">
        <f>IF( ISBLANK('Data storage'!Z1),"",'Data storage'!Z1)</f>
        <v/>
      </c>
      <c r="H55" s="9" t="str">
        <f>IF( ISBLANK('Data storage'!AA1),"",'Data storage'!AA1)</f>
        <v/>
      </c>
      <c r="Q55" s="3"/>
    </row>
    <row r="56" spans="2:17" x14ac:dyDescent="0.35">
      <c r="B56" s="2"/>
      <c r="E56" s="5" t="s">
        <v>4007</v>
      </c>
      <c r="F56" s="9"/>
      <c r="G56" s="9" t="str">
        <f>IF( ISBLANK('Data storage'!AC1),"",'Data storage'!AC1)</f>
        <v/>
      </c>
      <c r="H56" s="9" t="str">
        <f>IF( ISBLANK('Data storage'!AD1),"",'Data storage'!AD1)</f>
        <v/>
      </c>
      <c r="I56" s="9" t="str">
        <f>IF( ISBLANK('Data storage'!AE1),"",'Data storage'!AE1)</f>
        <v/>
      </c>
      <c r="J56" s="280" t="str">
        <f>IF( ISBLANK('Data storage'!AF1),"",'Data storage'!AF1)</f>
        <v/>
      </c>
      <c r="K56" s="280" t="str">
        <f>IF( ISBLANK('Data storage'!AG1),"",'Data storage'!AG1)</f>
        <v/>
      </c>
      <c r="Q56" s="3"/>
    </row>
    <row r="57" spans="2:17" x14ac:dyDescent="0.35">
      <c r="B57" s="2"/>
      <c r="Q57" s="3"/>
    </row>
    <row r="58" spans="2:17" ht="15" thickBot="1" x14ac:dyDescent="0.4">
      <c r="B58" s="4"/>
      <c r="C58" s="1"/>
      <c r="D58" s="1"/>
      <c r="E58" s="1"/>
      <c r="F58" s="1"/>
      <c r="G58" s="1"/>
      <c r="H58" s="1"/>
      <c r="I58" s="1"/>
      <c r="J58" s="1"/>
      <c r="K58" s="1"/>
      <c r="L58" s="1"/>
      <c r="M58" s="1"/>
      <c r="N58" s="1"/>
      <c r="O58" s="1"/>
      <c r="P58" s="1"/>
      <c r="Q58" s="6"/>
    </row>
  </sheetData>
  <sheetProtection algorithmName="SHA-512" hashValue="0wx1kB8VuD5Q0Vxmrz1JkcWsWhuRziMuFl2bmzizbyfGlo32clriuc0jgzof6WxDI2VnGzioZVB1ojzGKQVLIw==" saltValue="vPCrMsxOpXIU1uYpuhR8Fg==" spinCount="100000" sheet="1" objects="1" scenarios="1" formatColumns="0" formatRows="0"/>
  <mergeCells count="18">
    <mergeCell ref="K28:L28"/>
    <mergeCell ref="F2:G2"/>
    <mergeCell ref="F21:I21"/>
    <mergeCell ref="K21:O21"/>
    <mergeCell ref="K27:L27"/>
    <mergeCell ref="F12:I12"/>
    <mergeCell ref="F15:G15"/>
    <mergeCell ref="N13:O13"/>
    <mergeCell ref="N12:O12"/>
    <mergeCell ref="F18:I18"/>
    <mergeCell ref="K13:L13"/>
    <mergeCell ref="K12:L12"/>
    <mergeCell ref="C49:E49"/>
    <mergeCell ref="F33:I33"/>
    <mergeCell ref="C43:E43"/>
    <mergeCell ref="F37:I37"/>
    <mergeCell ref="F27:I27"/>
    <mergeCell ref="H29:I29"/>
  </mergeCells>
  <conditionalFormatting sqref="A1:Z60">
    <cfRule type="expression" dxfId="74" priority="97">
      <formula>CELL("protect",A1)=0</formula>
    </cfRule>
    <cfRule type="expression" dxfId="73" priority="98">
      <formula>AND($A1&lt;&gt;"h",_xlfn.ISFORMULA(A1))</formula>
    </cfRule>
  </conditionalFormatting>
  <dataValidations count="9">
    <dataValidation type="list" allowBlank="1" showInputMessage="1" showErrorMessage="1" errorTitle="Input error" error="Please enter a value between 1990 and the current year." sqref="H7" xr:uid="{E98BF08A-C13F-47E4-B924-2A152132F71F}">
      <formula1>lov_reporting_years</formula1>
    </dataValidation>
    <dataValidation type="list" allowBlank="1" showErrorMessage="1" sqref="F15:G15" xr:uid="{AD818F36-4D46-46F9-AC7E-B6DFC64C1BA9}">
      <formula1>_xlfn.ANCHORARRAY(lov_non_blank_years)</formula1>
    </dataValidation>
    <dataValidation type="list" allowBlank="1" showInputMessage="1" showErrorMessage="1" sqref="N13:O13" xr:uid="{E730D0A1-1406-4792-ADBC-39FAA11966BE}">
      <formula1>lov_domicile_countries</formula1>
    </dataValidation>
    <dataValidation type="list" allowBlank="1" showInputMessage="1" showErrorMessage="1" sqref="N12" xr:uid="{819115E0-6C54-4EC5-A66F-39B9D45E0E96}">
      <formula1>lov_ins_sectors</formula1>
    </dataValidation>
    <dataValidation type="list" allowBlank="1" showInputMessage="1" showErrorMessage="1" sqref="K13:L13" xr:uid="{7FC95C63-D2EA-4353-ABD0-B26BC8F2F5CC}">
      <formula1>"Yes,No"</formula1>
    </dataValidation>
    <dataValidation type="list" allowBlank="1" showInputMessage="1" showErrorMessage="1" sqref="F12:I12" xr:uid="{018D8B04-A9FF-4845-A937-A63A63D2D833}">
      <formula1>_xlfn.ANCHORARRAY(lov_non_blank_entities)</formula1>
    </dataValidation>
    <dataValidation type="list" allowBlank="1" showErrorMessage="1" sqref="F18:I18" xr:uid="{C8365385-9634-42FB-B64B-C41AE2B0BD14}">
      <formula1>_xlfn.ANCHORARRAY(lov_non_blank_scenarios)</formula1>
    </dataValidation>
    <dataValidation type="list" allowBlank="1" showInputMessage="1" showErrorMessage="1" sqref="F27:I27" xr:uid="{FBD33FC7-AC94-43CB-AA50-87357553679C}">
      <formula1>_xlfn.ANCHORARRAY(lov_non_blank_reference_entities)</formula1>
    </dataValidation>
    <dataValidation type="list" allowBlank="1" showInputMessage="1" showErrorMessage="1" sqref="F21:I21" xr:uid="{0D0443F8-D2A8-46A4-B3A6-7D5577419707}">
      <formula1>_xlfn.ANCHORARRAY(lov_non_blank_file_versions)</formula1>
    </dataValidation>
  </dataValidations>
  <hyperlinks>
    <hyperlink ref="J2" r:id="rId1" xr:uid="{8E04346C-3A97-44D0-8C04-0FF39B8CAE4C}"/>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6082" r:id="rId5" name="Button 2">
              <controlPr defaultSize="0" print="0" autoFill="0" autoPict="0" macro="[0]!sp_download_entities">
                <anchor moveWithCells="1">
                  <from>
                    <xdr:col>2</xdr:col>
                    <xdr:colOff>533400</xdr:colOff>
                    <xdr:row>11</xdr:row>
                    <xdr:rowOff>25400</xdr:rowOff>
                  </from>
                  <to>
                    <xdr:col>4</xdr:col>
                    <xdr:colOff>38100</xdr:colOff>
                    <xdr:row>11</xdr:row>
                    <xdr:rowOff>184150</xdr:rowOff>
                  </to>
                </anchor>
              </controlPr>
            </control>
          </mc:Choice>
        </mc:AlternateContent>
        <mc:AlternateContent xmlns:mc="http://schemas.openxmlformats.org/markup-compatibility/2006">
          <mc:Choice Requires="x14">
            <control shapeId="46094" r:id="rId6" name="Button 14">
              <controlPr defaultSize="0" print="0" autoFill="0" autoPict="0" macro="[0]!sp_upload_model_data">
                <anchor moveWithCells="1">
                  <from>
                    <xdr:col>2</xdr:col>
                    <xdr:colOff>533400</xdr:colOff>
                    <xdr:row>40</xdr:row>
                    <xdr:rowOff>6350</xdr:rowOff>
                  </from>
                  <to>
                    <xdr:col>4</xdr:col>
                    <xdr:colOff>31750</xdr:colOff>
                    <xdr:row>40</xdr:row>
                    <xdr:rowOff>177800</xdr:rowOff>
                  </to>
                </anchor>
              </controlPr>
            </control>
          </mc:Choice>
        </mc:AlternateContent>
        <mc:AlternateContent xmlns:mc="http://schemas.openxmlformats.org/markup-compatibility/2006">
          <mc:Choice Requires="x14">
            <control shapeId="46096" r:id="rId7" name="Button 16">
              <controlPr defaultSize="0" print="0" autoFill="0" autoPict="0" macro="[0]!sp_download_issuer_data">
                <anchor moveWithCells="1">
                  <from>
                    <xdr:col>2</xdr:col>
                    <xdr:colOff>533400</xdr:colOff>
                    <xdr:row>6</xdr:row>
                    <xdr:rowOff>6350</xdr:rowOff>
                  </from>
                  <to>
                    <xdr:col>4</xdr:col>
                    <xdr:colOff>31750</xdr:colOff>
                    <xdr:row>6</xdr:row>
                    <xdr:rowOff>177800</xdr:rowOff>
                  </to>
                </anchor>
              </controlPr>
            </control>
          </mc:Choice>
        </mc:AlternateContent>
        <mc:AlternateContent xmlns:mc="http://schemas.openxmlformats.org/markup-compatibility/2006">
          <mc:Choice Requires="x14">
            <control shapeId="46103" r:id="rId8" name="Button 23">
              <controlPr defaultSize="0" print="0" autoFill="0" autoPict="0" macro="[0]!sp_download_reference_entities">
                <anchor moveWithCells="1">
                  <from>
                    <xdr:col>2</xdr:col>
                    <xdr:colOff>533400</xdr:colOff>
                    <xdr:row>26</xdr:row>
                    <xdr:rowOff>25400</xdr:rowOff>
                  </from>
                  <to>
                    <xdr:col>4</xdr:col>
                    <xdr:colOff>38100</xdr:colOff>
                    <xdr:row>27</xdr:row>
                    <xdr:rowOff>0</xdr:rowOff>
                  </to>
                </anchor>
              </controlPr>
            </control>
          </mc:Choice>
        </mc:AlternateContent>
        <mc:AlternateContent xmlns:mc="http://schemas.openxmlformats.org/markup-compatibility/2006">
          <mc:Choice Requires="x14">
            <control shapeId="46113" r:id="rId9" name="Button 33">
              <controlPr defaultSize="0" print="0" autoFill="0" autoPict="0" macro="[0]!sp_download_analyst_data_by_version">
                <anchor moveWithCells="1">
                  <from>
                    <xdr:col>2</xdr:col>
                    <xdr:colOff>533400</xdr:colOff>
                    <xdr:row>20</xdr:row>
                    <xdr:rowOff>25400</xdr:rowOff>
                  </from>
                  <to>
                    <xdr:col>4</xdr:col>
                    <xdr:colOff>38100</xdr:colOff>
                    <xdr:row>20</xdr:row>
                    <xdr:rowOff>190500</xdr:rowOff>
                  </to>
                </anchor>
              </controlPr>
            </control>
          </mc:Choice>
        </mc:AlternateContent>
        <mc:AlternateContent xmlns:mc="http://schemas.openxmlformats.org/markup-compatibility/2006">
          <mc:Choice Requires="x14">
            <control shapeId="46088" r:id="rId10" name="Button 8">
              <controlPr defaultSize="0" print="0" autoFill="0" autoPict="0" macro="[0]!sp_download_analyst_data">
                <anchor moveWithCells="1">
                  <from>
                    <xdr:col>2</xdr:col>
                    <xdr:colOff>533400</xdr:colOff>
                    <xdr:row>17</xdr:row>
                    <xdr:rowOff>25400</xdr:rowOff>
                  </from>
                  <to>
                    <xdr:col>4</xdr:col>
                    <xdr:colOff>38100</xdr:colOff>
                    <xdr:row>17</xdr:row>
                    <xdr:rowOff>190500</xdr:rowOff>
                  </to>
                </anchor>
              </controlPr>
            </control>
          </mc:Choice>
        </mc:AlternateContent>
        <mc:AlternateContent xmlns:mc="http://schemas.openxmlformats.org/markup-compatibility/2006">
          <mc:Choice Requires="x14">
            <control shapeId="46121" r:id="rId11" name="Button 41">
              <controlPr defaultSize="0" print="0" autoFill="0" autoPict="0" macro="[0]!sp_clear_sp_only">
                <anchor moveWithCells="1">
                  <from>
                    <xdr:col>7</xdr:col>
                    <xdr:colOff>463550</xdr:colOff>
                    <xdr:row>1</xdr:row>
                    <xdr:rowOff>6350</xdr:rowOff>
                  </from>
                  <to>
                    <xdr:col>8</xdr:col>
                    <xdr:colOff>539750</xdr:colOff>
                    <xdr:row>1</xdr:row>
                    <xdr:rowOff>254000</xdr:rowOff>
                  </to>
                </anchor>
              </controlPr>
            </control>
          </mc:Choice>
        </mc:AlternateContent>
        <mc:AlternateContent xmlns:mc="http://schemas.openxmlformats.org/markup-compatibility/2006">
          <mc:Choice Requires="x14">
            <control shapeId="46102" r:id="rId12" name="Button 22">
              <controlPr defaultSize="0" print="0" autoFill="0" autoPict="0" macro="[0]!sp_upload_model_data_final">
                <anchor moveWithCells="1">
                  <from>
                    <xdr:col>2</xdr:col>
                    <xdr:colOff>533400</xdr:colOff>
                    <xdr:row>46</xdr:row>
                    <xdr:rowOff>6350</xdr:rowOff>
                  </from>
                  <to>
                    <xdr:col>4</xdr:col>
                    <xdr:colOff>31750</xdr:colOff>
                    <xdr:row>46</xdr:row>
                    <xdr:rowOff>177800</xdr:rowOff>
                  </to>
                </anchor>
              </controlPr>
            </control>
          </mc:Choice>
        </mc:AlternateContent>
        <mc:AlternateContent xmlns:mc="http://schemas.openxmlformats.org/markup-compatibility/2006">
          <mc:Choice Requires="x14">
            <control shapeId="46124" r:id="rId13" name="Button 44">
              <controlPr defaultSize="0" print="0" autoFill="0" autoPict="0" macro="[0]!sp_download_fx_rate">
                <anchor moveWithCells="1">
                  <from>
                    <xdr:col>2</xdr:col>
                    <xdr:colOff>533400</xdr:colOff>
                    <xdr:row>52</xdr:row>
                    <xdr:rowOff>6350</xdr:rowOff>
                  </from>
                  <to>
                    <xdr:col>4</xdr:col>
                    <xdr:colOff>31750</xdr:colOff>
                    <xdr:row>52</xdr:row>
                    <xdr:rowOff>177800</xdr:rowOff>
                  </to>
                </anchor>
              </controlPr>
            </control>
          </mc:Choice>
        </mc:AlternateContent>
        <mc:AlternateContent xmlns:mc="http://schemas.openxmlformats.org/markup-compatibility/2006">
          <mc:Choice Requires="x14">
            <control shapeId="46105" r:id="rId14" name="Button 25">
              <controlPr defaultSize="0" print="0" autoFill="0" autoPict="0" macro="[0]!sp_copy_reference_entity_to_input">
                <anchor moveWithCells="1">
                  <from>
                    <xdr:col>2</xdr:col>
                    <xdr:colOff>533400</xdr:colOff>
                    <xdr:row>28</xdr:row>
                    <xdr:rowOff>25400</xdr:rowOff>
                  </from>
                  <to>
                    <xdr:col>4</xdr:col>
                    <xdr:colOff>38100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58CBD-E71F-4CFE-AD83-A298C838ED71}">
  <sheetPr codeName="Sheet18">
    <tabColor theme="2" tint="-0.499984740745262"/>
  </sheetPr>
  <dimension ref="B1:I66"/>
  <sheetViews>
    <sheetView showGridLines="0" tabSelected="1" zoomScaleNormal="100" workbookViewId="0"/>
  </sheetViews>
  <sheetFormatPr defaultColWidth="0" defaultRowHeight="12.5" x14ac:dyDescent="0.25"/>
  <cols>
    <col min="1" max="1" width="3.6328125" style="246" customWidth="1"/>
    <col min="2" max="2" width="49.453125" style="246" bestFit="1" customWidth="1"/>
    <col min="3" max="7" width="8.90625" style="246" customWidth="1"/>
    <col min="8" max="8" width="7.36328125" style="246" customWidth="1"/>
    <col min="9" max="9" width="4.08984375" style="246" customWidth="1"/>
    <col min="10" max="16384" width="0" style="246" hidden="1"/>
  </cols>
  <sheetData>
    <row r="1" spans="2:9" x14ac:dyDescent="0.25">
      <c r="B1" s="245"/>
      <c r="C1" s="245"/>
      <c r="D1" s="245"/>
      <c r="E1" s="245"/>
      <c r="F1" s="245"/>
      <c r="G1" s="245"/>
      <c r="H1" s="245"/>
    </row>
    <row r="2" spans="2:9" ht="23" customHeight="1" x14ac:dyDescent="0.55000000000000004">
      <c r="B2" s="245"/>
      <c r="C2" s="245"/>
      <c r="D2" s="245"/>
      <c r="E2" s="245"/>
      <c r="F2" s="705" t="s">
        <v>2158</v>
      </c>
      <c r="G2" s="706">
        <f>model_version</f>
        <v>3</v>
      </c>
      <c r="H2" s="245"/>
    </row>
    <row r="3" spans="2:9" ht="14.5" x14ac:dyDescent="0.35">
      <c r="B3" s="247"/>
      <c r="C3" s="248"/>
      <c r="D3" s="248"/>
      <c r="E3" s="248"/>
      <c r="F3" s="248"/>
      <c r="G3" s="248"/>
      <c r="H3" s="248"/>
      <c r="I3" s="7"/>
    </row>
    <row r="4" spans="2:9" ht="22.5" x14ac:dyDescent="0.45">
      <c r="B4" s="249" t="s">
        <v>2183</v>
      </c>
      <c r="C4" s="247"/>
      <c r="D4" s="247"/>
      <c r="E4" s="247"/>
      <c r="F4" s="247"/>
      <c r="G4" s="247"/>
      <c r="H4" s="247"/>
      <c r="I4" s="7"/>
    </row>
    <row r="5" spans="2:9" ht="14.5" x14ac:dyDescent="0.35">
      <c r="B5" s="247"/>
      <c r="C5" s="247"/>
      <c r="D5" s="247"/>
      <c r="E5" s="247"/>
      <c r="F5" s="247"/>
      <c r="G5" s="247"/>
      <c r="H5" s="247"/>
      <c r="I5" s="7"/>
    </row>
    <row r="6" spans="2:9" ht="14.5" x14ac:dyDescent="0.35">
      <c r="B6" s="7"/>
      <c r="C6" s="7"/>
      <c r="D6" s="7"/>
      <c r="E6" s="7"/>
      <c r="F6" s="7"/>
      <c r="G6" s="7"/>
      <c r="H6" s="7"/>
      <c r="I6" s="7"/>
    </row>
    <row r="7" spans="2:9" ht="14.5" x14ac:dyDescent="0.35">
      <c r="B7" s="7"/>
      <c r="C7" s="7"/>
      <c r="D7" s="7"/>
      <c r="E7" s="7"/>
      <c r="F7" s="7"/>
      <c r="G7" s="7"/>
      <c r="H7" s="7"/>
      <c r="I7" s="7"/>
    </row>
    <row r="8" spans="2:9" ht="14.5" x14ac:dyDescent="0.35">
      <c r="B8" s="7"/>
      <c r="C8" s="7"/>
      <c r="D8" s="7"/>
      <c r="E8" s="7"/>
      <c r="F8" s="7"/>
      <c r="G8" s="7"/>
      <c r="H8" s="7"/>
      <c r="I8" s="7"/>
    </row>
    <row r="9" spans="2:9" ht="14.5" x14ac:dyDescent="0.35">
      <c r="B9" s="7"/>
      <c r="C9" s="7"/>
      <c r="D9" s="7"/>
      <c r="E9" s="7"/>
      <c r="F9" s="7"/>
      <c r="G9" s="7"/>
      <c r="H9" s="7"/>
      <c r="I9" s="7"/>
    </row>
    <row r="10" spans="2:9" ht="14.5" x14ac:dyDescent="0.35">
      <c r="B10" s="7"/>
      <c r="C10" s="7"/>
      <c r="D10" s="7"/>
      <c r="E10" s="7"/>
      <c r="F10" s="7"/>
      <c r="G10" s="7"/>
      <c r="H10" s="7"/>
      <c r="I10" s="7"/>
    </row>
    <row r="11" spans="2:9" ht="14.5" x14ac:dyDescent="0.35">
      <c r="B11" s="7"/>
      <c r="C11" s="7"/>
      <c r="D11" s="7"/>
      <c r="E11" s="7"/>
      <c r="F11" s="7"/>
      <c r="G11" s="7"/>
      <c r="H11" s="7"/>
      <c r="I11" s="7"/>
    </row>
    <row r="12" spans="2:9" ht="14.5" x14ac:dyDescent="0.35">
      <c r="B12" s="7"/>
      <c r="C12" s="7"/>
      <c r="D12" s="7"/>
      <c r="E12" s="7"/>
      <c r="F12" s="7"/>
      <c r="G12" s="7"/>
      <c r="H12" s="7"/>
      <c r="I12" s="7"/>
    </row>
    <row r="13" spans="2:9" ht="14.5" x14ac:dyDescent="0.35">
      <c r="B13" s="7"/>
      <c r="C13" s="7"/>
      <c r="D13" s="7"/>
      <c r="E13" s="7"/>
      <c r="F13" s="7"/>
      <c r="G13" s="7"/>
      <c r="H13" s="7"/>
      <c r="I13" s="7"/>
    </row>
    <row r="14" spans="2:9" ht="14.5" x14ac:dyDescent="0.35">
      <c r="B14" s="7"/>
      <c r="C14" s="7"/>
      <c r="D14" s="7"/>
      <c r="E14" s="7"/>
      <c r="F14" s="7"/>
      <c r="G14" s="7"/>
      <c r="H14" s="7"/>
      <c r="I14" s="7"/>
    </row>
    <row r="15" spans="2:9" ht="14.5" x14ac:dyDescent="0.35">
      <c r="B15" s="7"/>
      <c r="C15" s="7"/>
      <c r="D15" s="7"/>
      <c r="E15" s="7"/>
      <c r="F15" s="7"/>
      <c r="G15" s="7"/>
      <c r="H15" s="7"/>
      <c r="I15" s="7"/>
    </row>
    <row r="16" spans="2:9" ht="14.5" x14ac:dyDescent="0.35">
      <c r="B16" s="7"/>
      <c r="C16" s="7"/>
      <c r="D16" s="7"/>
      <c r="E16" s="7"/>
      <c r="F16" s="7"/>
      <c r="G16" s="7"/>
      <c r="H16" s="7"/>
      <c r="I16" s="7"/>
    </row>
    <row r="17" spans="2:9" ht="14.5" x14ac:dyDescent="0.35">
      <c r="B17" s="7"/>
      <c r="C17" s="7"/>
      <c r="D17" s="7"/>
      <c r="E17" s="7"/>
      <c r="F17" s="7"/>
      <c r="G17" s="7"/>
      <c r="H17" s="7"/>
      <c r="I17" s="7"/>
    </row>
    <row r="18" spans="2:9" ht="14.5" x14ac:dyDescent="0.35">
      <c r="B18" s="7"/>
      <c r="C18" s="7"/>
      <c r="D18" s="7"/>
      <c r="E18" s="7"/>
      <c r="F18" s="7"/>
      <c r="G18" s="7"/>
      <c r="H18" s="7"/>
      <c r="I18" s="7"/>
    </row>
    <row r="19" spans="2:9" ht="14.5" x14ac:dyDescent="0.35">
      <c r="B19" s="7"/>
      <c r="C19" s="7"/>
      <c r="D19" s="7"/>
      <c r="E19" s="7"/>
      <c r="F19" s="7"/>
      <c r="G19" s="7"/>
      <c r="H19" s="7"/>
      <c r="I19" s="7"/>
    </row>
    <row r="20" spans="2:9" ht="14.5" x14ac:dyDescent="0.35">
      <c r="B20" s="7"/>
      <c r="C20" s="7"/>
      <c r="D20" s="7"/>
      <c r="E20" s="7"/>
      <c r="F20" s="7"/>
      <c r="G20" s="7"/>
      <c r="H20" s="7"/>
      <c r="I20" s="7"/>
    </row>
    <row r="21" spans="2:9" ht="14.5" x14ac:dyDescent="0.35">
      <c r="B21" s="7"/>
      <c r="C21" s="7"/>
      <c r="D21" s="7"/>
      <c r="E21" s="7"/>
      <c r="F21" s="7"/>
      <c r="G21" s="7"/>
      <c r="H21" s="7"/>
      <c r="I21" s="7"/>
    </row>
    <row r="22" spans="2:9" ht="14.5" x14ac:dyDescent="0.35">
      <c r="B22" s="7"/>
      <c r="C22" s="7"/>
      <c r="D22" s="7"/>
      <c r="E22" s="7"/>
      <c r="F22" s="7"/>
      <c r="G22" s="7"/>
      <c r="H22" s="7"/>
      <c r="I22" s="7"/>
    </row>
    <row r="23" spans="2:9" ht="14.5" x14ac:dyDescent="0.35">
      <c r="B23" s="7"/>
      <c r="C23" s="7"/>
      <c r="D23" s="7"/>
      <c r="E23" s="7"/>
      <c r="F23" s="7"/>
      <c r="G23" s="7"/>
      <c r="H23" s="7"/>
      <c r="I23" s="7"/>
    </row>
    <row r="24" spans="2:9" ht="14.5" x14ac:dyDescent="0.35">
      <c r="B24" s="7"/>
      <c r="C24" s="7"/>
      <c r="D24" s="7"/>
      <c r="E24" s="7"/>
      <c r="F24" s="7"/>
      <c r="G24" s="7"/>
      <c r="H24" s="7"/>
      <c r="I24" s="7"/>
    </row>
    <row r="25" spans="2:9" ht="14.5" x14ac:dyDescent="0.35">
      <c r="B25" s="7"/>
      <c r="C25" s="7"/>
      <c r="D25" s="7"/>
      <c r="E25" s="7"/>
      <c r="F25" s="7"/>
      <c r="G25" s="7"/>
      <c r="H25" s="7"/>
      <c r="I25" s="7"/>
    </row>
    <row r="26" spans="2:9" ht="14.5" x14ac:dyDescent="0.35">
      <c r="B26" s="7"/>
      <c r="C26" s="7"/>
      <c r="D26" s="7"/>
      <c r="E26" s="7"/>
      <c r="F26" s="7"/>
      <c r="G26" s="7"/>
      <c r="H26" s="7"/>
      <c r="I26" s="7"/>
    </row>
    <row r="27" spans="2:9" ht="14.5" x14ac:dyDescent="0.35">
      <c r="B27" s="7"/>
      <c r="C27" s="7"/>
      <c r="D27" s="7"/>
      <c r="E27" s="7"/>
      <c r="F27" s="7"/>
      <c r="G27" s="7"/>
      <c r="H27" s="7"/>
      <c r="I27" s="7"/>
    </row>
    <row r="28" spans="2:9" ht="14.5" x14ac:dyDescent="0.35">
      <c r="B28" s="7"/>
      <c r="C28" s="7"/>
      <c r="D28" s="7"/>
      <c r="E28" s="7"/>
      <c r="F28" s="7"/>
      <c r="G28" s="7"/>
      <c r="H28" s="7"/>
      <c r="I28" s="7"/>
    </row>
    <row r="29" spans="2:9" ht="14.5" x14ac:dyDescent="0.35">
      <c r="B29" s="7"/>
      <c r="C29" s="7"/>
      <c r="D29" s="7"/>
      <c r="E29" s="7"/>
      <c r="F29" s="7"/>
      <c r="G29" s="7"/>
      <c r="H29" s="7"/>
      <c r="I29" s="7"/>
    </row>
    <row r="30" spans="2:9" ht="14.5" x14ac:dyDescent="0.35">
      <c r="B30" s="7"/>
      <c r="C30" s="7"/>
      <c r="D30" s="7"/>
      <c r="E30" s="7"/>
      <c r="F30" s="7"/>
      <c r="G30" s="7"/>
      <c r="H30" s="7"/>
      <c r="I30" s="7"/>
    </row>
    <row r="31" spans="2:9" ht="14.5" x14ac:dyDescent="0.35">
      <c r="B31" s="7"/>
      <c r="C31" s="7"/>
      <c r="D31" s="7"/>
      <c r="E31" s="7"/>
      <c r="F31" s="7"/>
      <c r="G31" s="7"/>
      <c r="H31" s="7"/>
      <c r="I31" s="7"/>
    </row>
    <row r="32" spans="2:9" ht="14.5" x14ac:dyDescent="0.35">
      <c r="B32" s="7"/>
      <c r="C32" s="7"/>
      <c r="D32" s="7"/>
      <c r="E32" s="7"/>
      <c r="F32" s="7"/>
      <c r="G32" s="7"/>
      <c r="H32" s="7"/>
      <c r="I32" s="7"/>
    </row>
    <row r="33" spans="2:9" ht="14.5" x14ac:dyDescent="0.35">
      <c r="B33" s="7"/>
      <c r="C33" s="7"/>
      <c r="D33" s="7"/>
      <c r="E33" s="7"/>
      <c r="F33" s="7"/>
      <c r="G33" s="7"/>
      <c r="H33" s="7"/>
      <c r="I33" s="7"/>
    </row>
    <row r="34" spans="2:9" ht="14.5" x14ac:dyDescent="0.35">
      <c r="B34" s="7"/>
      <c r="C34" s="7"/>
      <c r="D34" s="7"/>
      <c r="E34" s="7"/>
      <c r="F34" s="7"/>
      <c r="G34" s="7"/>
      <c r="H34" s="7"/>
      <c r="I34" s="7"/>
    </row>
    <row r="35" spans="2:9" ht="14.5" x14ac:dyDescent="0.35">
      <c r="B35" s="7"/>
      <c r="C35" s="7"/>
      <c r="D35" s="7"/>
      <c r="E35" s="7"/>
      <c r="F35" s="7"/>
      <c r="G35" s="7"/>
      <c r="H35" s="7"/>
      <c r="I35" s="7"/>
    </row>
    <row r="36" spans="2:9" ht="14.5" x14ac:dyDescent="0.35">
      <c r="B36" s="7"/>
      <c r="C36" s="7"/>
      <c r="D36" s="7"/>
      <c r="E36" s="7"/>
      <c r="F36" s="7"/>
      <c r="G36" s="7"/>
      <c r="H36" s="7"/>
      <c r="I36" s="7"/>
    </row>
    <row r="37" spans="2:9" ht="14.5" x14ac:dyDescent="0.35">
      <c r="B37" s="7"/>
      <c r="C37" s="7"/>
      <c r="D37" s="7"/>
      <c r="E37" s="7"/>
      <c r="F37" s="7"/>
      <c r="G37" s="7"/>
      <c r="H37" s="7"/>
      <c r="I37" s="7"/>
    </row>
    <row r="38" spans="2:9" ht="14.5" x14ac:dyDescent="0.35">
      <c r="B38" s="7"/>
      <c r="C38" s="7"/>
      <c r="D38" s="7"/>
      <c r="E38" s="7"/>
      <c r="F38" s="7"/>
      <c r="G38" s="7"/>
      <c r="H38" s="7"/>
      <c r="I38" s="7"/>
    </row>
    <row r="39" spans="2:9" ht="14.5" x14ac:dyDescent="0.35">
      <c r="B39" s="7"/>
      <c r="C39" s="7"/>
      <c r="D39" s="7"/>
      <c r="E39" s="7"/>
      <c r="F39" s="7"/>
      <c r="G39" s="7"/>
      <c r="H39" s="7"/>
      <c r="I39" s="7"/>
    </row>
    <row r="40" spans="2:9" ht="14.5" x14ac:dyDescent="0.35">
      <c r="B40" s="7"/>
      <c r="C40" s="7"/>
      <c r="D40" s="7"/>
      <c r="E40" s="7"/>
      <c r="F40" s="7"/>
      <c r="G40" s="7"/>
      <c r="H40" s="7"/>
      <c r="I40" s="7"/>
    </row>
    <row r="41" spans="2:9" ht="14.5" x14ac:dyDescent="0.35">
      <c r="B41" s="7"/>
      <c r="C41" s="7"/>
      <c r="D41" s="7"/>
      <c r="E41" s="7"/>
      <c r="F41" s="7"/>
      <c r="G41" s="7"/>
      <c r="H41" s="7"/>
      <c r="I41" s="7"/>
    </row>
    <row r="42" spans="2:9" ht="14.5" x14ac:dyDescent="0.35">
      <c r="B42" s="7"/>
      <c r="C42" s="7"/>
      <c r="D42" s="7"/>
      <c r="E42" s="7"/>
      <c r="F42" s="7"/>
      <c r="G42" s="7"/>
      <c r="H42" s="7"/>
      <c r="I42" s="7"/>
    </row>
    <row r="43" spans="2:9" ht="14.5" x14ac:dyDescent="0.35">
      <c r="B43" s="7"/>
      <c r="C43" s="7"/>
      <c r="D43" s="7"/>
      <c r="E43" s="7"/>
      <c r="F43" s="7"/>
      <c r="G43" s="7"/>
      <c r="H43" s="7"/>
      <c r="I43" s="7"/>
    </row>
    <row r="44" spans="2:9" ht="14.5" x14ac:dyDescent="0.35">
      <c r="B44" s="7"/>
      <c r="C44" s="7"/>
      <c r="D44" s="7"/>
      <c r="E44" s="7"/>
      <c r="F44" s="7"/>
      <c r="G44" s="7"/>
      <c r="H44" s="7"/>
      <c r="I44" s="7"/>
    </row>
    <row r="45" spans="2:9" ht="14.5" x14ac:dyDescent="0.35">
      <c r="B45" s="7"/>
      <c r="C45" s="7"/>
      <c r="D45" s="7"/>
      <c r="E45" s="7"/>
      <c r="F45" s="7"/>
      <c r="G45" s="7"/>
      <c r="H45" s="7"/>
      <c r="I45" s="7"/>
    </row>
    <row r="46" spans="2:9" ht="14.5" x14ac:dyDescent="0.35">
      <c r="B46" s="7"/>
      <c r="C46" s="7"/>
      <c r="D46" s="7"/>
      <c r="E46" s="7"/>
      <c r="F46" s="7"/>
      <c r="G46" s="7"/>
      <c r="H46" s="7"/>
      <c r="I46" s="7"/>
    </row>
    <row r="47" spans="2:9" ht="14.5" x14ac:dyDescent="0.35">
      <c r="B47" s="7"/>
      <c r="C47" s="7"/>
      <c r="D47" s="7"/>
      <c r="E47" s="7"/>
      <c r="F47" s="7"/>
      <c r="G47" s="7"/>
      <c r="H47" s="7"/>
      <c r="I47" s="7"/>
    </row>
    <row r="48" spans="2:9" ht="14.5" x14ac:dyDescent="0.35">
      <c r="B48" s="7"/>
      <c r="C48" s="7"/>
      <c r="D48" s="7"/>
      <c r="E48" s="7"/>
      <c r="F48" s="7"/>
      <c r="G48" s="7"/>
      <c r="H48" s="7"/>
      <c r="I48" s="7"/>
    </row>
    <row r="49" spans="2:9" ht="14.5" x14ac:dyDescent="0.35">
      <c r="B49" s="7"/>
      <c r="C49" s="7"/>
      <c r="D49" s="7"/>
      <c r="E49" s="7"/>
      <c r="F49" s="7"/>
      <c r="G49" s="7"/>
      <c r="H49" s="7"/>
      <c r="I49" s="7"/>
    </row>
    <row r="50" spans="2:9" ht="14.5" hidden="1" x14ac:dyDescent="0.35">
      <c r="B50" s="7"/>
      <c r="C50" s="7"/>
      <c r="D50" s="7"/>
      <c r="E50" s="7"/>
      <c r="F50" s="7"/>
      <c r="G50" s="7"/>
      <c r="H50" s="7"/>
      <c r="I50" s="7"/>
    </row>
    <row r="51" spans="2:9" ht="14.5" hidden="1" x14ac:dyDescent="0.35">
      <c r="B51" s="7"/>
      <c r="C51" s="7"/>
      <c r="D51" s="7"/>
      <c r="E51" s="7"/>
      <c r="F51" s="7"/>
      <c r="G51" s="7"/>
      <c r="H51" s="7"/>
      <c r="I51" s="7"/>
    </row>
    <row r="52" spans="2:9" ht="14.5" hidden="1" x14ac:dyDescent="0.35">
      <c r="B52" s="7"/>
      <c r="C52" s="7"/>
      <c r="D52" s="7"/>
      <c r="E52" s="7"/>
      <c r="F52" s="7"/>
      <c r="G52" s="7"/>
      <c r="H52" s="7"/>
      <c r="I52" s="7"/>
    </row>
    <row r="53" spans="2:9" ht="14.5" hidden="1" x14ac:dyDescent="0.35">
      <c r="B53" s="7"/>
      <c r="C53" s="7"/>
      <c r="D53" s="7"/>
      <c r="E53" s="7"/>
      <c r="F53" s="7"/>
      <c r="G53" s="7"/>
      <c r="H53" s="7"/>
      <c r="I53" s="7"/>
    </row>
    <row r="54" spans="2:9" ht="14.5" hidden="1" x14ac:dyDescent="0.35">
      <c r="B54" s="7"/>
      <c r="C54" s="7"/>
      <c r="D54" s="7"/>
      <c r="E54" s="7"/>
      <c r="F54" s="7"/>
      <c r="G54" s="7"/>
      <c r="H54" s="7"/>
      <c r="I54" s="7"/>
    </row>
    <row r="55" spans="2:9" ht="2.15" hidden="1" customHeight="1" x14ac:dyDescent="0.35">
      <c r="B55" s="7"/>
      <c r="C55" s="7"/>
      <c r="D55" s="7"/>
      <c r="E55" s="7"/>
      <c r="F55" s="7"/>
      <c r="G55" s="7"/>
      <c r="H55" s="7"/>
      <c r="I55" s="7"/>
    </row>
    <row r="56" spans="2:9" ht="14.5" hidden="1" x14ac:dyDescent="0.35">
      <c r="B56" s="7"/>
      <c r="C56" s="7"/>
      <c r="D56" s="7"/>
      <c r="E56" s="7"/>
      <c r="F56" s="7"/>
      <c r="G56" s="7"/>
      <c r="H56" s="7"/>
      <c r="I56" s="7"/>
    </row>
    <row r="57" spans="2:9" ht="14.5" hidden="1" x14ac:dyDescent="0.35">
      <c r="B57" s="7"/>
      <c r="C57" s="7"/>
      <c r="D57" s="7"/>
      <c r="E57" s="7"/>
      <c r="F57" s="7"/>
      <c r="G57" s="7"/>
      <c r="H57" s="7"/>
      <c r="I57" s="7"/>
    </row>
    <row r="58" spans="2:9" ht="14.5" hidden="1" x14ac:dyDescent="0.35">
      <c r="B58" s="7"/>
      <c r="C58" s="7"/>
      <c r="D58" s="7"/>
      <c r="E58" s="7"/>
      <c r="F58" s="7"/>
      <c r="G58" s="7"/>
      <c r="H58" s="7"/>
      <c r="I58" s="7"/>
    </row>
    <row r="59" spans="2:9" ht="14.5" hidden="1" x14ac:dyDescent="0.35">
      <c r="B59" s="7"/>
      <c r="C59" s="7"/>
      <c r="D59" s="7"/>
      <c r="E59" s="7"/>
      <c r="F59" s="7"/>
      <c r="G59" s="7"/>
      <c r="H59" s="7"/>
      <c r="I59" s="7"/>
    </row>
    <row r="60" spans="2:9" ht="14.5" hidden="1" x14ac:dyDescent="0.35">
      <c r="B60" s="7"/>
      <c r="C60" s="7"/>
      <c r="D60" s="7"/>
      <c r="E60" s="7"/>
      <c r="F60" s="7"/>
      <c r="G60" s="7"/>
      <c r="H60" s="7"/>
      <c r="I60" s="7"/>
    </row>
    <row r="61" spans="2:9" ht="14.5" hidden="1" x14ac:dyDescent="0.35">
      <c r="B61" s="7"/>
      <c r="C61" s="7"/>
      <c r="D61" s="7"/>
      <c r="E61" s="7"/>
      <c r="F61" s="7"/>
      <c r="G61" s="7"/>
      <c r="H61" s="7"/>
      <c r="I61" s="7"/>
    </row>
    <row r="62" spans="2:9" ht="3.65" hidden="1" customHeight="1" x14ac:dyDescent="0.35">
      <c r="B62" s="7"/>
      <c r="C62" s="7"/>
      <c r="D62" s="7"/>
      <c r="E62" s="7"/>
      <c r="F62" s="7"/>
      <c r="G62" s="7"/>
      <c r="H62" s="7"/>
      <c r="I62" s="7"/>
    </row>
    <row r="63" spans="2:9" ht="14.5" x14ac:dyDescent="0.35">
      <c r="B63" s="7"/>
      <c r="C63" s="7"/>
      <c r="D63" s="7"/>
      <c r="E63" s="7"/>
      <c r="F63" s="7"/>
      <c r="G63" s="7"/>
      <c r="H63" s="7"/>
      <c r="I63" s="7"/>
    </row>
    <row r="64" spans="2:9" ht="14.5" x14ac:dyDescent="0.35">
      <c r="B64" s="7"/>
      <c r="C64" s="7"/>
      <c r="D64" s="7"/>
      <c r="E64" s="7"/>
      <c r="F64" s="7"/>
      <c r="G64" s="7"/>
      <c r="H64" s="7"/>
      <c r="I64" s="7"/>
    </row>
    <row r="65" spans="2:9" ht="14.5" x14ac:dyDescent="0.35">
      <c r="B65" s="7"/>
      <c r="C65" s="7"/>
      <c r="D65" s="7"/>
      <c r="E65" s="7"/>
      <c r="F65" s="7"/>
      <c r="G65" s="7"/>
      <c r="H65" s="7"/>
      <c r="I65" s="7"/>
    </row>
    <row r="66" spans="2:9" ht="14.5" x14ac:dyDescent="0.35">
      <c r="B66" s="7"/>
      <c r="C66" s="7"/>
      <c r="D66" s="7"/>
      <c r="E66" s="7"/>
      <c r="F66" s="7"/>
      <c r="G66" s="7"/>
      <c r="H66" s="7"/>
      <c r="I66" s="7"/>
    </row>
  </sheetData>
  <sheetProtection algorithmName="SHA-512" hashValue="s5aF8cRq8l5SPokeEkGMY2mWciULdCLuwZGglxTuRuMeeMqCGXZHgTqGoF04I97S3N/SCzTAZfrGXAx4GkXhUw==" saltValue="jYcC7kNkDPd+q0oHQ7p7Iw==" spinCount="100000" sheet="1" objects="1" scenarios="1" formatColumns="0" formatRows="0" selectLockedCells="1" selectUnlockedCells="1"/>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egin_analysis">
                <anchor moveWithCells="1">
                  <from>
                    <xdr:col>4</xdr:col>
                    <xdr:colOff>177800</xdr:colOff>
                    <xdr:row>47</xdr:row>
                    <xdr:rowOff>38100</xdr:rowOff>
                  </from>
                  <to>
                    <xdr:col>7</xdr:col>
                    <xdr:colOff>495300</xdr:colOff>
                    <xdr:row>62</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6CB51-69FB-48F1-91A6-D70F96542BEE}">
  <sheetPr codeName="Sheet3">
    <tabColor theme="5" tint="0.79998168889431442"/>
    <pageSetUpPr fitToPage="1"/>
  </sheetPr>
  <dimension ref="A1:AI908"/>
  <sheetViews>
    <sheetView showGridLines="0" zoomScaleNormal="100" workbookViewId="0"/>
  </sheetViews>
  <sheetFormatPr defaultColWidth="8.90625" defaultRowHeight="14.5" outlineLevelRow="3" x14ac:dyDescent="0.35"/>
  <cols>
    <col min="1" max="1" width="2.54296875" style="180" customWidth="1"/>
    <col min="2" max="2" width="25" customWidth="1"/>
    <col min="3" max="3" width="13.90625" customWidth="1"/>
    <col min="4" max="4" width="15" customWidth="1"/>
    <col min="5" max="5" width="39.08984375" customWidth="1"/>
    <col min="6" max="6" width="12.453125" customWidth="1"/>
    <col min="7" max="7" width="17.90625" customWidth="1"/>
    <col min="8" max="8" width="25.08984375" customWidth="1"/>
    <col min="9" max="9" width="23.36328125" customWidth="1"/>
    <col min="10" max="10" width="17" customWidth="1"/>
    <col min="11" max="11" width="13.6328125" customWidth="1"/>
    <col min="12" max="12" width="13.453125" customWidth="1"/>
    <col min="13" max="13" width="12.6328125" customWidth="1"/>
    <col min="14" max="14" width="12" customWidth="1"/>
    <col min="15" max="15" width="49.6328125" style="603" customWidth="1"/>
    <col min="17" max="17" width="18.453125" customWidth="1"/>
    <col min="18" max="18" width="10.08984375" hidden="1" customWidth="1"/>
    <col min="19" max="19" width="9.90625" hidden="1" customWidth="1"/>
    <col min="20" max="20" width="13.36328125" hidden="1" customWidth="1"/>
    <col min="21" max="21" width="9.36328125" hidden="1" customWidth="1"/>
    <col min="22" max="26" width="8.90625" hidden="1" customWidth="1"/>
  </cols>
  <sheetData>
    <row r="1" spans="1:35" x14ac:dyDescent="0.35">
      <c r="A1" s="180" t="s">
        <v>4418</v>
      </c>
    </row>
    <row r="2" spans="1:35" x14ac:dyDescent="0.35">
      <c r="E2" s="9"/>
      <c r="I2" s="41"/>
    </row>
    <row r="3" spans="1:35" x14ac:dyDescent="0.35">
      <c r="E3" s="686"/>
    </row>
    <row r="4" spans="1:35" ht="21" x14ac:dyDescent="0.35">
      <c r="A4" s="180" t="s">
        <v>2087</v>
      </c>
      <c r="B4" s="115" t="s">
        <v>4718</v>
      </c>
      <c r="C4" s="350"/>
      <c r="R4" s="178"/>
    </row>
    <row r="5" spans="1:35" hidden="1" x14ac:dyDescent="0.35">
      <c r="R5" s="11"/>
    </row>
    <row r="6" spans="1:35" hidden="1" x14ac:dyDescent="0.35">
      <c r="R6" s="11"/>
    </row>
    <row r="7" spans="1:35" hidden="1" x14ac:dyDescent="0.35">
      <c r="R7" s="11"/>
    </row>
    <row r="8" spans="1:35" ht="23.5" x14ac:dyDescent="0.35">
      <c r="A8" s="180" t="s">
        <v>2087</v>
      </c>
      <c r="B8" s="701" t="s">
        <v>1126</v>
      </c>
      <c r="C8" s="696"/>
      <c r="D8" s="696"/>
      <c r="E8" s="703" t="str">
        <f>IF(ISBLANK(inp_entity_name), "", inp_entity_name &amp; IF(ISBLANK(inp_reporting_year), "", "  (" &amp; inp_reporting_year &amp; ")"))</f>
        <v/>
      </c>
      <c r="F8" s="697"/>
      <c r="G8" s="696"/>
      <c r="H8" s="698" t="str">
        <f>IF(S11=1,Error_Message &amp; " Please input a valid USD Fx rate", IF(S12=1, Error_Message &amp; " Please input a valid value for Units", ""))</f>
        <v/>
      </c>
      <c r="I8" s="696"/>
      <c r="J8" s="696"/>
      <c r="K8" s="696"/>
      <c r="L8" s="696"/>
      <c r="M8" s="696"/>
      <c r="N8" s="696"/>
      <c r="O8" s="699"/>
      <c r="P8" s="696"/>
      <c r="Q8" s="700"/>
      <c r="R8" s="178"/>
    </row>
    <row r="9" spans="1:35" hidden="1" outlineLevel="2" x14ac:dyDescent="0.35">
      <c r="B9" s="10"/>
      <c r="C9" s="11" t="s">
        <v>4418</v>
      </c>
      <c r="D9" s="18"/>
      <c r="F9" s="119"/>
      <c r="G9" s="119"/>
      <c r="H9" s="18"/>
      <c r="I9" s="120"/>
      <c r="J9" s="11"/>
      <c r="K9" s="121"/>
      <c r="L9" s="11"/>
      <c r="M9" s="11"/>
      <c r="N9" s="11"/>
      <c r="O9" s="474" t="s">
        <v>3102</v>
      </c>
      <c r="P9" s="11"/>
      <c r="Q9" s="12"/>
      <c r="R9" s="11"/>
    </row>
    <row r="10" spans="1:35" ht="15.5" hidden="1" outlineLevel="2" x14ac:dyDescent="0.35">
      <c r="B10" s="10"/>
      <c r="C10" s="11"/>
      <c r="D10" s="15"/>
      <c r="E10" s="18" t="s">
        <v>810</v>
      </c>
      <c r="F10" s="720"/>
      <c r="G10" s="720"/>
      <c r="H10" s="720"/>
      <c r="I10" s="720"/>
      <c r="J10" s="720"/>
      <c r="K10" s="720"/>
      <c r="L10" s="720"/>
      <c r="M10" s="720"/>
      <c r="N10" s="292"/>
      <c r="O10" s="472"/>
      <c r="P10" s="15"/>
      <c r="Q10" s="12"/>
      <c r="R10" s="11"/>
    </row>
    <row r="11" spans="1:35" hidden="1" outlineLevel="2" x14ac:dyDescent="0.35">
      <c r="B11" s="10"/>
      <c r="C11" s="11"/>
      <c r="D11" s="15"/>
      <c r="E11" s="18" t="s">
        <v>2749</v>
      </c>
      <c r="F11" s="281"/>
      <c r="G11" s="18" t="s">
        <v>1063</v>
      </c>
      <c r="H11" s="282" t="s">
        <v>286</v>
      </c>
      <c r="I11" s="18" t="s">
        <v>350</v>
      </c>
      <c r="J11" s="666"/>
      <c r="K11" s="18" t="s">
        <v>808</v>
      </c>
      <c r="L11" s="726"/>
      <c r="M11" s="726"/>
      <c r="N11" s="293"/>
      <c r="O11" s="472"/>
      <c r="P11" s="15"/>
      <c r="Q11" s="12"/>
      <c r="R11" s="11"/>
      <c r="S11">
        <f>IF(OR(inp_summary_usd_fx="",inp_summary_usd_fx&lt;0),1,0)</f>
        <v>0</v>
      </c>
      <c r="AI11" s="7"/>
    </row>
    <row r="12" spans="1:35" hidden="1" outlineLevel="2" x14ac:dyDescent="0.35">
      <c r="B12" s="10"/>
      <c r="C12" s="11"/>
      <c r="E12" s="18" t="s">
        <v>809</v>
      </c>
      <c r="F12" s="282" t="s">
        <v>423</v>
      </c>
      <c r="G12" s="18" t="s">
        <v>1120</v>
      </c>
      <c r="H12" s="666">
        <v>1</v>
      </c>
      <c r="I12" s="18" t="s">
        <v>285</v>
      </c>
      <c r="J12" s="666" t="s">
        <v>288</v>
      </c>
      <c r="K12" s="18" t="s">
        <v>8</v>
      </c>
      <c r="L12" s="726"/>
      <c r="M12" s="726"/>
      <c r="N12" s="292"/>
      <c r="O12" s="472"/>
      <c r="P12" s="15"/>
      <c r="Q12" s="12"/>
      <c r="R12" s="11"/>
      <c r="S12">
        <f>IF(ISERROR(MATCH(inp_summary_units, lov_units, FALSE)),1,0)</f>
        <v>0</v>
      </c>
    </row>
    <row r="13" spans="1:35" hidden="1" outlineLevel="2" x14ac:dyDescent="0.35">
      <c r="B13" s="10"/>
      <c r="C13" s="11"/>
      <c r="D13" s="18"/>
      <c r="E13" s="18" t="s">
        <v>1125</v>
      </c>
      <c r="F13" s="282"/>
      <c r="G13" s="18" t="s">
        <v>2758</v>
      </c>
      <c r="H13" s="282"/>
      <c r="I13" s="120"/>
      <c r="J13" s="11"/>
      <c r="K13" s="121"/>
      <c r="L13" s="11"/>
      <c r="M13" s="11"/>
      <c r="N13" s="11"/>
      <c r="O13" s="594"/>
      <c r="P13" s="11"/>
      <c r="Q13" s="12"/>
      <c r="R13" s="11"/>
    </row>
    <row r="14" spans="1:35" ht="15" hidden="1" outlineLevel="2" thickBot="1" x14ac:dyDescent="0.4">
      <c r="B14" s="294"/>
      <c r="C14" s="295"/>
      <c r="D14" s="296"/>
      <c r="E14" s="297"/>
      <c r="F14" s="297"/>
      <c r="G14" s="297"/>
      <c r="H14" s="296"/>
      <c r="I14" s="298"/>
      <c r="J14" s="295"/>
      <c r="K14" s="299"/>
      <c r="L14" s="295"/>
      <c r="M14" s="295"/>
      <c r="N14" s="295"/>
      <c r="O14" s="595"/>
      <c r="P14" s="295"/>
      <c r="Q14" s="300"/>
      <c r="R14" s="11"/>
    </row>
    <row r="15" spans="1:35" ht="23.5" collapsed="1" x14ac:dyDescent="0.35">
      <c r="A15" s="180" t="s">
        <v>2087</v>
      </c>
      <c r="B15" s="702" t="s">
        <v>249</v>
      </c>
      <c r="C15" s="302"/>
      <c r="D15" s="302"/>
      <c r="E15" s="302"/>
      <c r="F15" s="302"/>
      <c r="G15" s="303"/>
      <c r="H15" s="303"/>
      <c r="I15" s="303"/>
      <c r="J15" s="303"/>
      <c r="K15" s="303"/>
      <c r="L15" s="303"/>
      <c r="M15" s="303"/>
      <c r="N15" s="303"/>
      <c r="O15" s="596"/>
      <c r="P15" s="304" t="s">
        <v>969</v>
      </c>
      <c r="Q15" s="647">
        <f>Output!H31</f>
        <v>0</v>
      </c>
      <c r="R15" s="305"/>
    </row>
    <row r="16" spans="1:35" s="7" customFormat="1" hidden="1" outlineLevel="2" x14ac:dyDescent="0.35">
      <c r="A16" s="180"/>
      <c r="B16" s="306"/>
      <c r="C16" s="307"/>
      <c r="D16" s="308"/>
      <c r="E16" s="157"/>
      <c r="F16" s="157"/>
      <c r="G16" s="308"/>
      <c r="H16" s="157"/>
      <c r="I16" s="157"/>
      <c r="J16" s="157"/>
      <c r="K16" s="157"/>
      <c r="L16" s="157"/>
      <c r="M16" s="157"/>
      <c r="N16" s="309"/>
      <c r="O16" s="474" t="s">
        <v>3102</v>
      </c>
      <c r="P16" s="309"/>
      <c r="Q16" s="310"/>
      <c r="R16" s="311"/>
      <c r="S16"/>
      <c r="V16"/>
      <c r="W16"/>
      <c r="X16"/>
      <c r="Y16"/>
      <c r="Z16"/>
      <c r="AA16"/>
      <c r="AB16"/>
      <c r="AC16"/>
      <c r="AD16"/>
      <c r="AE16"/>
    </row>
    <row r="17" spans="1:31" s="7" customFormat="1" hidden="1" outlineLevel="2" x14ac:dyDescent="0.35">
      <c r="A17" s="180"/>
      <c r="B17" s="312"/>
      <c r="C17" s="157"/>
      <c r="D17" s="157"/>
      <c r="E17" s="313" t="s">
        <v>1407</v>
      </c>
      <c r="F17" s="199"/>
      <c r="G17" s="157"/>
      <c r="H17" s="157"/>
      <c r="J17" s="157"/>
      <c r="K17" s="157"/>
      <c r="L17" s="157"/>
      <c r="M17" s="157"/>
      <c r="N17" s="309"/>
      <c r="O17" s="597"/>
      <c r="Q17" s="314"/>
      <c r="R17" s="315"/>
      <c r="S17"/>
      <c r="V17"/>
      <c r="W17"/>
      <c r="X17"/>
      <c r="Y17"/>
      <c r="Z17"/>
      <c r="AA17"/>
      <c r="AB17"/>
      <c r="AC17"/>
      <c r="AD17"/>
      <c r="AE17"/>
    </row>
    <row r="18" spans="1:31" s="7" customFormat="1" hidden="1" outlineLevel="2" x14ac:dyDescent="0.35">
      <c r="A18" s="180"/>
      <c r="B18" s="312"/>
      <c r="C18" s="157"/>
      <c r="D18" s="157"/>
      <c r="E18" s="313"/>
      <c r="F18" s="313"/>
      <c r="G18" s="157"/>
      <c r="H18" s="157"/>
      <c r="J18" s="157"/>
      <c r="K18" s="30"/>
      <c r="L18" s="30"/>
      <c r="M18" s="30"/>
      <c r="N18" s="30"/>
      <c r="O18" s="598"/>
      <c r="Q18" s="316"/>
      <c r="R18" s="317"/>
      <c r="S18"/>
      <c r="V18"/>
      <c r="W18"/>
      <c r="X18"/>
      <c r="Y18"/>
      <c r="Z18"/>
      <c r="AA18"/>
      <c r="AB18"/>
      <c r="AC18"/>
      <c r="AD18"/>
      <c r="AE18"/>
    </row>
    <row r="19" spans="1:31" s="7" customFormat="1" hidden="1" outlineLevel="2" x14ac:dyDescent="0.35">
      <c r="A19" s="180"/>
      <c r="B19" s="312"/>
      <c r="C19" s="157"/>
      <c r="D19" s="157"/>
      <c r="E19" s="318" t="s">
        <v>241</v>
      </c>
      <c r="F19" s="313"/>
      <c r="G19" s="157"/>
      <c r="H19" s="157"/>
      <c r="J19" s="157"/>
      <c r="K19" s="30"/>
      <c r="L19" s="30"/>
      <c r="M19" s="30"/>
      <c r="N19" s="30"/>
      <c r="O19" s="598"/>
      <c r="Q19" s="316"/>
      <c r="R19" s="317"/>
      <c r="S19"/>
      <c r="V19"/>
      <c r="W19"/>
      <c r="X19"/>
      <c r="Y19"/>
      <c r="Z19"/>
      <c r="AA19"/>
      <c r="AB19"/>
      <c r="AC19"/>
      <c r="AD19"/>
      <c r="AE19"/>
    </row>
    <row r="20" spans="1:31" s="7" customFormat="1" hidden="1" outlineLevel="2" x14ac:dyDescent="0.35">
      <c r="A20" s="180"/>
      <c r="B20" s="312"/>
      <c r="C20" s="157"/>
      <c r="D20" s="157"/>
      <c r="E20" s="313" t="s">
        <v>1403</v>
      </c>
      <c r="F20" s="199"/>
      <c r="G20" s="157"/>
      <c r="H20" s="157"/>
      <c r="J20" s="157"/>
      <c r="K20" s="315"/>
      <c r="L20" s="315"/>
      <c r="M20" s="315"/>
      <c r="N20" s="315"/>
      <c r="O20" s="597"/>
      <c r="Q20" s="314"/>
      <c r="R20" s="315"/>
      <c r="S20"/>
      <c r="V20"/>
      <c r="W20"/>
      <c r="X20"/>
      <c r="Y20"/>
      <c r="Z20"/>
      <c r="AA20"/>
      <c r="AB20"/>
      <c r="AC20"/>
      <c r="AD20"/>
      <c r="AE20"/>
    </row>
    <row r="21" spans="1:31" s="7" customFormat="1" hidden="1" outlineLevel="2" x14ac:dyDescent="0.35">
      <c r="A21" s="180"/>
      <c r="B21" s="312"/>
      <c r="C21" s="157"/>
      <c r="D21" s="157"/>
      <c r="E21" s="313" t="s">
        <v>1408</v>
      </c>
      <c r="F21" s="199"/>
      <c r="G21" s="157"/>
      <c r="H21" s="157"/>
      <c r="J21" s="157"/>
      <c r="K21" s="315"/>
      <c r="L21" s="315"/>
      <c r="M21" s="315"/>
      <c r="N21" s="315"/>
      <c r="O21" s="597"/>
      <c r="Q21" s="314"/>
      <c r="R21" s="315"/>
      <c r="S21"/>
      <c r="V21"/>
      <c r="W21"/>
      <c r="X21"/>
      <c r="Y21"/>
      <c r="Z21"/>
      <c r="AA21"/>
      <c r="AB21"/>
      <c r="AC21"/>
      <c r="AD21"/>
      <c r="AE21"/>
    </row>
    <row r="22" spans="1:31" s="7" customFormat="1" hidden="1" outlineLevel="2" x14ac:dyDescent="0.35">
      <c r="A22" s="180"/>
      <c r="B22" s="312"/>
      <c r="C22" s="157"/>
      <c r="D22" s="157"/>
      <c r="E22" s="313" t="s">
        <v>1383</v>
      </c>
      <c r="F22" s="199"/>
      <c r="G22" s="157"/>
      <c r="H22" s="157"/>
      <c r="J22" s="157"/>
      <c r="K22" s="315"/>
      <c r="L22" s="315"/>
      <c r="M22" s="315"/>
      <c r="N22" s="315"/>
      <c r="O22" s="597"/>
      <c r="Q22" s="314"/>
      <c r="R22" s="315"/>
      <c r="S22"/>
      <c r="V22"/>
      <c r="W22"/>
      <c r="X22"/>
      <c r="Y22"/>
      <c r="Z22"/>
      <c r="AA22"/>
      <c r="AB22"/>
      <c r="AC22"/>
      <c r="AD22"/>
      <c r="AE22"/>
    </row>
    <row r="23" spans="1:31" s="7" customFormat="1" hidden="1" outlineLevel="2" x14ac:dyDescent="0.35">
      <c r="A23" s="180"/>
      <c r="B23" s="312"/>
      <c r="C23" s="157"/>
      <c r="D23" s="157"/>
      <c r="E23" s="313" t="s">
        <v>2858</v>
      </c>
      <c r="F23" s="199"/>
      <c r="G23" s="157"/>
      <c r="H23" s="157"/>
      <c r="J23" s="157"/>
      <c r="K23" s="315"/>
      <c r="L23" s="315"/>
      <c r="M23" s="315"/>
      <c r="N23" s="315"/>
      <c r="O23" s="597"/>
      <c r="Q23" s="314"/>
      <c r="R23" s="315"/>
      <c r="S23"/>
      <c r="V23"/>
      <c r="W23"/>
      <c r="X23"/>
      <c r="Y23"/>
      <c r="Z23"/>
      <c r="AA23"/>
      <c r="AB23"/>
      <c r="AC23"/>
      <c r="AD23"/>
      <c r="AE23"/>
    </row>
    <row r="24" spans="1:31" s="7" customFormat="1" hidden="1" outlineLevel="2" x14ac:dyDescent="0.35">
      <c r="A24" s="180"/>
      <c r="B24" s="312"/>
      <c r="C24" s="157"/>
      <c r="D24" s="157"/>
      <c r="E24" s="313" t="s">
        <v>3103</v>
      </c>
      <c r="F24" s="199"/>
      <c r="G24" s="157"/>
      <c r="H24" s="157"/>
      <c r="J24" s="157"/>
      <c r="K24" s="315"/>
      <c r="L24" s="315"/>
      <c r="M24" s="315"/>
      <c r="N24" s="315"/>
      <c r="O24" s="597"/>
      <c r="Q24" s="314"/>
      <c r="R24" s="315"/>
      <c r="S24"/>
      <c r="V24"/>
      <c r="W24"/>
      <c r="X24"/>
      <c r="Y24"/>
      <c r="Z24"/>
      <c r="AA24"/>
      <c r="AB24"/>
      <c r="AC24"/>
      <c r="AD24"/>
      <c r="AE24"/>
    </row>
    <row r="25" spans="1:31" s="7" customFormat="1" hidden="1" outlineLevel="2" x14ac:dyDescent="0.35">
      <c r="A25" s="180"/>
      <c r="B25" s="312"/>
      <c r="C25" s="157"/>
      <c r="D25" s="157"/>
      <c r="E25" s="313" t="s">
        <v>2091</v>
      </c>
      <c r="F25" s="199"/>
      <c r="G25" s="157"/>
      <c r="J25" s="157"/>
      <c r="K25" s="315"/>
      <c r="L25" s="315"/>
      <c r="M25" s="315"/>
      <c r="N25" s="315"/>
      <c r="O25" s="597"/>
      <c r="Q25" s="314"/>
      <c r="R25" s="315"/>
      <c r="S25"/>
      <c r="V25"/>
      <c r="W25"/>
      <c r="X25"/>
      <c r="Y25"/>
      <c r="Z25"/>
      <c r="AA25"/>
      <c r="AB25"/>
      <c r="AC25"/>
      <c r="AD25"/>
      <c r="AE25"/>
    </row>
    <row r="26" spans="1:31" s="7" customFormat="1" hidden="1" outlineLevel="2" x14ac:dyDescent="0.35">
      <c r="A26" s="180"/>
      <c r="B26" s="312"/>
      <c r="C26" s="157"/>
      <c r="D26" s="157"/>
      <c r="E26" s="313"/>
      <c r="F26" s="157"/>
      <c r="G26" s="157"/>
      <c r="H26" s="157"/>
      <c r="J26" s="157"/>
      <c r="K26" s="30"/>
      <c r="L26" s="30"/>
      <c r="M26" s="30"/>
      <c r="N26" s="30"/>
      <c r="O26" s="598"/>
      <c r="Q26" s="316"/>
      <c r="R26" s="317"/>
      <c r="S26"/>
      <c r="V26"/>
      <c r="W26"/>
      <c r="X26"/>
      <c r="Y26"/>
      <c r="Z26"/>
      <c r="AA26"/>
      <c r="AB26"/>
      <c r="AC26"/>
      <c r="AD26"/>
      <c r="AE26"/>
    </row>
    <row r="27" spans="1:31" s="7" customFormat="1" hidden="1" outlineLevel="2" x14ac:dyDescent="0.35">
      <c r="A27" s="180"/>
      <c r="B27" s="312"/>
      <c r="C27" s="157"/>
      <c r="D27" s="157"/>
      <c r="E27" s="318" t="s">
        <v>242</v>
      </c>
      <c r="F27" s="157"/>
      <c r="G27" s="313"/>
      <c r="H27" s="157"/>
      <c r="J27" s="157"/>
      <c r="K27" s="30"/>
      <c r="L27" s="30"/>
      <c r="M27" s="30"/>
      <c r="N27" s="30"/>
      <c r="O27" s="598"/>
      <c r="Q27" s="316"/>
      <c r="R27" s="317"/>
      <c r="S27"/>
      <c r="V27"/>
      <c r="W27"/>
      <c r="X27"/>
      <c r="Y27"/>
      <c r="Z27"/>
      <c r="AA27"/>
      <c r="AB27"/>
      <c r="AC27"/>
      <c r="AD27"/>
      <c r="AE27"/>
    </row>
    <row r="28" spans="1:31" s="7" customFormat="1" hidden="1" outlineLevel="2" x14ac:dyDescent="0.35">
      <c r="A28" s="180"/>
      <c r="B28" s="312"/>
      <c r="C28" s="157"/>
      <c r="D28" s="157"/>
      <c r="E28" s="313" t="s">
        <v>2092</v>
      </c>
      <c r="F28" s="199"/>
      <c r="G28" s="157"/>
      <c r="H28" s="157"/>
      <c r="J28" s="157"/>
      <c r="K28" s="30"/>
      <c r="L28" s="319"/>
      <c r="M28" s="30"/>
      <c r="N28" s="30"/>
      <c r="O28" s="597"/>
      <c r="Q28" s="316"/>
      <c r="R28" s="317"/>
      <c r="S28"/>
      <c r="V28"/>
      <c r="W28"/>
      <c r="X28"/>
      <c r="Y28"/>
      <c r="Z28"/>
      <c r="AA28"/>
      <c r="AB28"/>
      <c r="AC28"/>
      <c r="AD28"/>
      <c r="AE28"/>
    </row>
    <row r="29" spans="1:31" s="7" customFormat="1" hidden="1" outlineLevel="2" x14ac:dyDescent="0.35">
      <c r="A29" s="180"/>
      <c r="B29" s="312"/>
      <c r="C29" s="157"/>
      <c r="D29" s="157"/>
      <c r="E29" s="313" t="s">
        <v>2093</v>
      </c>
      <c r="F29" s="199"/>
      <c r="G29" s="157"/>
      <c r="H29" s="157"/>
      <c r="J29" s="157"/>
      <c r="K29" s="315"/>
      <c r="L29" s="315"/>
      <c r="M29" s="315"/>
      <c r="N29" s="315"/>
      <c r="O29" s="597"/>
      <c r="Q29" s="314"/>
      <c r="R29" s="315"/>
      <c r="S29"/>
      <c r="V29"/>
      <c r="W29"/>
      <c r="X29"/>
      <c r="Y29"/>
      <c r="Z29"/>
      <c r="AA29"/>
      <c r="AB29"/>
      <c r="AC29"/>
      <c r="AD29"/>
      <c r="AE29"/>
    </row>
    <row r="30" spans="1:31" s="7" customFormat="1" hidden="1" outlineLevel="2" x14ac:dyDescent="0.35">
      <c r="A30" s="180"/>
      <c r="B30" s="312"/>
      <c r="C30" s="157"/>
      <c r="D30" s="157"/>
      <c r="E30" s="313"/>
      <c r="F30" s="157"/>
      <c r="G30" s="157"/>
      <c r="H30" s="157"/>
      <c r="J30" s="157"/>
      <c r="K30" s="315"/>
      <c r="L30" s="315"/>
      <c r="M30" s="315"/>
      <c r="N30" s="315"/>
      <c r="O30" s="598"/>
      <c r="Q30" s="314"/>
      <c r="R30" s="315"/>
      <c r="S30"/>
      <c r="V30"/>
      <c r="W30"/>
      <c r="X30"/>
      <c r="Y30"/>
      <c r="Z30"/>
      <c r="AA30"/>
      <c r="AB30"/>
      <c r="AC30"/>
      <c r="AD30"/>
      <c r="AE30"/>
    </row>
    <row r="31" spans="1:31" s="7" customFormat="1" hidden="1" outlineLevel="2" x14ac:dyDescent="0.35">
      <c r="A31" s="180"/>
      <c r="B31" s="312"/>
      <c r="C31" s="157"/>
      <c r="D31" s="157"/>
      <c r="E31" s="318" t="s">
        <v>2850</v>
      </c>
      <c r="F31" s="157"/>
      <c r="G31" s="157"/>
      <c r="J31" s="157"/>
      <c r="K31" s="315"/>
      <c r="L31" s="30"/>
      <c r="M31" s="30"/>
      <c r="N31" s="30"/>
      <c r="O31" s="598"/>
      <c r="Q31" s="316"/>
      <c r="R31" s="317"/>
      <c r="S31"/>
      <c r="V31"/>
      <c r="W31"/>
      <c r="X31"/>
      <c r="Y31"/>
      <c r="Z31"/>
      <c r="AA31"/>
      <c r="AB31"/>
      <c r="AC31"/>
      <c r="AD31"/>
      <c r="AE31"/>
    </row>
    <row r="32" spans="1:31" s="7" customFormat="1" hidden="1" outlineLevel="2" x14ac:dyDescent="0.35">
      <c r="A32" s="180"/>
      <c r="B32" s="312"/>
      <c r="C32" s="157"/>
      <c r="D32" s="157"/>
      <c r="E32" s="313" t="s">
        <v>4145</v>
      </c>
      <c r="F32" s="199"/>
      <c r="G32" s="157"/>
      <c r="J32" s="157"/>
      <c r="K32" s="30"/>
      <c r="L32" s="30"/>
      <c r="M32" s="30"/>
      <c r="N32" s="30"/>
      <c r="O32" s="597"/>
      <c r="Q32" s="316"/>
      <c r="R32" s="317"/>
      <c r="S32"/>
      <c r="V32"/>
      <c r="W32"/>
      <c r="X32"/>
      <c r="Y32"/>
      <c r="Z32"/>
      <c r="AA32"/>
      <c r="AB32"/>
      <c r="AC32"/>
      <c r="AD32"/>
      <c r="AE32"/>
    </row>
    <row r="33" spans="1:31" s="7" customFormat="1" ht="14" hidden="1" customHeight="1" outlineLevel="2" x14ac:dyDescent="0.35">
      <c r="A33" s="180"/>
      <c r="B33" s="312"/>
      <c r="C33" s="157"/>
      <c r="D33" s="157"/>
      <c r="E33" s="313" t="s">
        <v>4457</v>
      </c>
      <c r="F33" s="199"/>
      <c r="G33" s="157"/>
      <c r="J33" s="157"/>
      <c r="K33" s="30"/>
      <c r="L33" s="30"/>
      <c r="M33" s="30"/>
      <c r="N33" s="30"/>
      <c r="O33" s="597"/>
      <c r="Q33" s="316"/>
      <c r="R33" s="317"/>
      <c r="S33"/>
      <c r="T33"/>
      <c r="U33"/>
      <c r="V33"/>
      <c r="W33"/>
      <c r="X33"/>
      <c r="Y33"/>
      <c r="Z33"/>
      <c r="AA33"/>
      <c r="AB33"/>
      <c r="AC33"/>
      <c r="AD33"/>
      <c r="AE33"/>
    </row>
    <row r="34" spans="1:31" s="7" customFormat="1" hidden="1" outlineLevel="2" x14ac:dyDescent="0.35">
      <c r="A34" s="180"/>
      <c r="B34" s="312"/>
      <c r="C34" s="157"/>
      <c r="D34" s="157"/>
      <c r="E34" s="313" t="s">
        <v>4458</v>
      </c>
      <c r="F34" s="199"/>
      <c r="G34" s="157"/>
      <c r="H34" s="157"/>
      <c r="J34" s="157"/>
      <c r="K34" s="30"/>
      <c r="L34" s="30"/>
      <c r="M34" s="30"/>
      <c r="N34" s="30"/>
      <c r="O34" s="597"/>
      <c r="Q34" s="316"/>
      <c r="R34" s="317"/>
      <c r="S34"/>
      <c r="T34"/>
      <c r="U34"/>
      <c r="V34"/>
      <c r="W34"/>
      <c r="X34"/>
      <c r="Y34"/>
      <c r="Z34"/>
      <c r="AA34"/>
      <c r="AB34"/>
      <c r="AC34"/>
      <c r="AD34"/>
      <c r="AE34"/>
    </row>
    <row r="35" spans="1:31" s="7" customFormat="1" hidden="1" outlineLevel="2" x14ac:dyDescent="0.35">
      <c r="A35" s="180"/>
      <c r="B35" s="312"/>
      <c r="C35" s="157"/>
      <c r="D35" s="157"/>
      <c r="G35" s="157"/>
      <c r="H35" s="157"/>
      <c r="J35" s="157"/>
      <c r="K35" s="30"/>
      <c r="L35" s="30"/>
      <c r="M35" s="30"/>
      <c r="N35" s="30"/>
      <c r="O35" s="598"/>
      <c r="Q35" s="316"/>
      <c r="R35" s="317"/>
      <c r="S35"/>
      <c r="T35"/>
      <c r="U35"/>
      <c r="V35"/>
      <c r="W35"/>
      <c r="X35"/>
      <c r="Y35"/>
      <c r="Z35"/>
      <c r="AA35"/>
      <c r="AB35"/>
      <c r="AC35"/>
      <c r="AD35"/>
      <c r="AE35"/>
    </row>
    <row r="36" spans="1:31" s="7" customFormat="1" hidden="1" outlineLevel="2" x14ac:dyDescent="0.35">
      <c r="A36" s="180"/>
      <c r="B36" s="312"/>
      <c r="C36" s="157"/>
      <c r="D36" s="157"/>
      <c r="E36" s="318" t="s">
        <v>243</v>
      </c>
      <c r="F36" s="157"/>
      <c r="G36" s="157"/>
      <c r="H36" s="157"/>
      <c r="J36" s="157"/>
      <c r="K36" s="315"/>
      <c r="L36" s="315"/>
      <c r="M36" s="315"/>
      <c r="N36" s="315"/>
      <c r="O36" s="598"/>
      <c r="Q36" s="314"/>
      <c r="R36" s="315"/>
      <c r="S36"/>
      <c r="T36"/>
      <c r="U36"/>
      <c r="V36"/>
      <c r="W36"/>
      <c r="X36"/>
      <c r="Y36"/>
      <c r="Z36"/>
      <c r="AA36"/>
      <c r="AB36"/>
      <c r="AC36"/>
      <c r="AD36"/>
      <c r="AE36"/>
    </row>
    <row r="37" spans="1:31" s="7" customFormat="1" hidden="1" outlineLevel="2" x14ac:dyDescent="0.35">
      <c r="A37" s="180"/>
      <c r="B37" s="312"/>
      <c r="C37" s="157"/>
      <c r="D37" s="157"/>
      <c r="E37" s="313" t="s">
        <v>2856</v>
      </c>
      <c r="F37" s="199"/>
      <c r="G37" s="157"/>
      <c r="H37" s="157"/>
      <c r="J37" s="157"/>
      <c r="K37" s="315"/>
      <c r="L37" s="315"/>
      <c r="M37" s="315"/>
      <c r="N37" s="315"/>
      <c r="O37" s="597"/>
      <c r="Q37" s="314"/>
      <c r="R37" s="315"/>
      <c r="S37"/>
      <c r="T37"/>
      <c r="U37"/>
      <c r="V37"/>
      <c r="W37"/>
      <c r="X37"/>
      <c r="Y37"/>
      <c r="Z37"/>
      <c r="AA37"/>
      <c r="AB37"/>
      <c r="AC37"/>
      <c r="AD37"/>
      <c r="AE37"/>
    </row>
    <row r="38" spans="1:31" s="7" customFormat="1" hidden="1" outlineLevel="2" x14ac:dyDescent="0.35">
      <c r="A38" s="180"/>
      <c r="B38" s="312"/>
      <c r="C38" s="157"/>
      <c r="D38" s="157"/>
      <c r="E38" s="313" t="s">
        <v>2857</v>
      </c>
      <c r="F38" s="199"/>
      <c r="G38" s="157"/>
      <c r="J38" s="157"/>
      <c r="K38" s="315"/>
      <c r="L38" s="315"/>
      <c r="M38" s="315"/>
      <c r="N38" s="315"/>
      <c r="O38" s="597"/>
      <c r="Q38" s="314"/>
      <c r="R38" s="315"/>
      <c r="S38"/>
      <c r="T38"/>
      <c r="U38"/>
      <c r="V38"/>
      <c r="W38"/>
      <c r="X38"/>
      <c r="Y38"/>
      <c r="Z38"/>
      <c r="AA38"/>
      <c r="AB38"/>
      <c r="AC38"/>
      <c r="AD38"/>
      <c r="AE38"/>
    </row>
    <row r="39" spans="1:31" s="7" customFormat="1" hidden="1" outlineLevel="2" x14ac:dyDescent="0.35">
      <c r="B39" s="312"/>
      <c r="E39" s="313" t="s">
        <v>2859</v>
      </c>
      <c r="F39" s="200"/>
      <c r="O39" s="597"/>
      <c r="Q39" s="314"/>
      <c r="S39"/>
      <c r="T39"/>
      <c r="U39"/>
      <c r="V39"/>
      <c r="W39"/>
      <c r="X39"/>
      <c r="Y39"/>
      <c r="Z39"/>
      <c r="AA39"/>
      <c r="AB39"/>
      <c r="AC39"/>
      <c r="AD39"/>
      <c r="AE39"/>
    </row>
    <row r="40" spans="1:31" s="7" customFormat="1" hidden="1" outlineLevel="2" x14ac:dyDescent="0.35">
      <c r="A40" s="180"/>
      <c r="B40" s="312"/>
      <c r="C40" s="157"/>
      <c r="D40" s="157"/>
      <c r="E40" s="313" t="s">
        <v>1379</v>
      </c>
      <c r="F40" s="199"/>
      <c r="G40" s="157"/>
      <c r="H40" s="157"/>
      <c r="J40" s="157"/>
      <c r="K40" s="315"/>
      <c r="L40" s="315"/>
      <c r="M40" s="315"/>
      <c r="N40" s="315"/>
      <c r="O40" s="597"/>
      <c r="Q40" s="314"/>
      <c r="R40" s="315"/>
      <c r="S40"/>
      <c r="T40"/>
      <c r="U40"/>
      <c r="V40"/>
      <c r="W40"/>
      <c r="X40"/>
      <c r="Y40"/>
      <c r="Z40"/>
      <c r="AA40"/>
      <c r="AB40"/>
      <c r="AC40"/>
      <c r="AD40"/>
      <c r="AE40"/>
    </row>
    <row r="41" spans="1:31" s="7" customFormat="1" hidden="1" outlineLevel="2" x14ac:dyDescent="0.35">
      <c r="A41" s="180"/>
      <c r="B41" s="312"/>
      <c r="C41" s="157"/>
      <c r="D41" s="157"/>
      <c r="E41" s="313" t="s">
        <v>2860</v>
      </c>
      <c r="F41" s="200"/>
      <c r="G41" s="17"/>
      <c r="H41" s="157"/>
      <c r="J41" s="157"/>
      <c r="K41" s="30"/>
      <c r="M41" s="30"/>
      <c r="N41" s="30"/>
      <c r="O41" s="597"/>
      <c r="Q41" s="316"/>
      <c r="R41" s="317"/>
      <c r="S41"/>
      <c r="T41"/>
      <c r="U41"/>
      <c r="V41"/>
      <c r="W41"/>
      <c r="X41"/>
      <c r="Y41"/>
      <c r="Z41"/>
      <c r="AA41"/>
      <c r="AB41"/>
      <c r="AC41"/>
      <c r="AD41"/>
      <c r="AE41"/>
    </row>
    <row r="42" spans="1:31" s="7" customFormat="1" hidden="1" outlineLevel="2" x14ac:dyDescent="0.35">
      <c r="A42" s="180"/>
      <c r="B42" s="312"/>
      <c r="C42" s="157"/>
      <c r="D42" s="157"/>
      <c r="E42" s="313" t="s">
        <v>1380</v>
      </c>
      <c r="F42" s="199"/>
      <c r="G42" s="157"/>
      <c r="H42" s="157"/>
      <c r="J42" s="157"/>
      <c r="K42" s="30"/>
      <c r="L42" s="30"/>
      <c r="M42" s="30"/>
      <c r="N42" s="30"/>
      <c r="O42" s="597"/>
      <c r="Q42" s="316"/>
      <c r="R42" s="317"/>
      <c r="S42"/>
      <c r="T42"/>
      <c r="U42"/>
      <c r="V42"/>
      <c r="W42"/>
      <c r="X42"/>
      <c r="Y42"/>
      <c r="Z42"/>
      <c r="AA42"/>
      <c r="AB42"/>
      <c r="AC42"/>
      <c r="AD42"/>
      <c r="AE42"/>
    </row>
    <row r="43" spans="1:31" s="7" customFormat="1" hidden="1" outlineLevel="2" x14ac:dyDescent="0.35">
      <c r="A43" s="180"/>
      <c r="B43" s="312"/>
      <c r="C43" s="157"/>
      <c r="D43" s="157"/>
      <c r="E43" s="313" t="s">
        <v>4717</v>
      </c>
      <c r="F43" s="199"/>
      <c r="G43" s="157"/>
      <c r="H43" s="157"/>
      <c r="J43" s="157"/>
      <c r="K43" s="315"/>
      <c r="L43" s="315"/>
      <c r="M43" s="315"/>
      <c r="N43" s="315"/>
      <c r="O43" s="597"/>
      <c r="Q43" s="314"/>
      <c r="R43" s="315"/>
      <c r="S43"/>
      <c r="T43"/>
      <c r="U43"/>
      <c r="V43"/>
      <c r="W43"/>
      <c r="X43"/>
      <c r="Y43"/>
      <c r="Z43"/>
      <c r="AA43"/>
      <c r="AB43"/>
      <c r="AC43"/>
      <c r="AD43"/>
      <c r="AE43"/>
    </row>
    <row r="44" spans="1:31" s="7" customFormat="1" hidden="1" outlineLevel="2" x14ac:dyDescent="0.35">
      <c r="A44" s="180"/>
      <c r="B44" s="312"/>
      <c r="C44" s="157"/>
      <c r="D44" s="157"/>
      <c r="E44" s="313" t="s">
        <v>2094</v>
      </c>
      <c r="F44" s="199"/>
      <c r="G44" s="157"/>
      <c r="H44" s="157"/>
      <c r="J44" s="157"/>
      <c r="K44" s="315"/>
      <c r="L44" s="315"/>
      <c r="M44" s="315"/>
      <c r="N44" s="315"/>
      <c r="O44" s="597"/>
      <c r="Q44" s="314"/>
      <c r="R44" s="315"/>
      <c r="S44"/>
      <c r="T44"/>
      <c r="U44"/>
      <c r="V44"/>
      <c r="W44"/>
      <c r="X44"/>
      <c r="Y44"/>
      <c r="Z44"/>
      <c r="AA44"/>
      <c r="AB44"/>
      <c r="AC44"/>
      <c r="AD44"/>
      <c r="AE44"/>
    </row>
    <row r="45" spans="1:31" s="7" customFormat="1" hidden="1" outlineLevel="2" x14ac:dyDescent="0.35">
      <c r="A45" s="180"/>
      <c r="B45" s="312"/>
      <c r="C45" s="157"/>
      <c r="D45" s="157"/>
      <c r="E45" s="313" t="s">
        <v>3087</v>
      </c>
      <c r="F45" s="199"/>
      <c r="G45" s="157"/>
      <c r="H45" s="157"/>
      <c r="J45" s="157"/>
      <c r="K45" s="315"/>
      <c r="L45" s="315"/>
      <c r="M45" s="315"/>
      <c r="N45" s="315"/>
      <c r="O45" s="597"/>
      <c r="Q45" s="314"/>
      <c r="R45" s="315"/>
      <c r="S45"/>
      <c r="T45"/>
      <c r="U45"/>
      <c r="V45"/>
      <c r="W45"/>
      <c r="X45"/>
      <c r="Y45"/>
      <c r="Z45"/>
      <c r="AA45"/>
      <c r="AB45"/>
      <c r="AC45"/>
      <c r="AD45"/>
      <c r="AE45"/>
    </row>
    <row r="46" spans="1:31" s="7" customFormat="1" hidden="1" outlineLevel="2" x14ac:dyDescent="0.35">
      <c r="A46" s="180"/>
      <c r="B46" s="312"/>
      <c r="C46" s="157"/>
      <c r="D46" s="157"/>
      <c r="G46" s="157"/>
      <c r="H46" s="157"/>
      <c r="J46" s="157"/>
      <c r="K46" s="315"/>
      <c r="L46" s="315"/>
      <c r="M46" s="315"/>
      <c r="N46" s="315"/>
      <c r="O46" s="598"/>
      <c r="Q46" s="314"/>
      <c r="R46" s="315"/>
      <c r="S46"/>
      <c r="T46"/>
      <c r="U46"/>
      <c r="V46"/>
      <c r="W46"/>
      <c r="X46"/>
      <c r="Y46"/>
      <c r="Z46"/>
      <c r="AA46"/>
      <c r="AB46"/>
      <c r="AC46"/>
      <c r="AD46"/>
      <c r="AE46"/>
    </row>
    <row r="47" spans="1:31" s="7" customFormat="1" hidden="1" outlineLevel="2" x14ac:dyDescent="0.35">
      <c r="A47" s="180"/>
      <c r="B47" s="312"/>
      <c r="C47" s="157"/>
      <c r="D47" s="157"/>
      <c r="E47" s="318" t="s">
        <v>372</v>
      </c>
      <c r="F47" s="157"/>
      <c r="G47" s="157"/>
      <c r="H47" s="157"/>
      <c r="J47" s="157"/>
      <c r="K47" s="315"/>
      <c r="L47" s="315"/>
      <c r="M47" s="315"/>
      <c r="N47" s="315"/>
      <c r="O47" s="598"/>
      <c r="Q47" s="314"/>
      <c r="R47" s="315"/>
      <c r="S47"/>
      <c r="T47"/>
      <c r="U47"/>
      <c r="V47"/>
      <c r="W47"/>
      <c r="X47"/>
      <c r="Y47"/>
      <c r="Z47"/>
      <c r="AA47"/>
      <c r="AB47"/>
      <c r="AC47"/>
      <c r="AD47"/>
      <c r="AE47"/>
    </row>
    <row r="48" spans="1:31" s="7" customFormat="1" hidden="1" outlineLevel="2" x14ac:dyDescent="0.35">
      <c r="A48" s="180"/>
      <c r="B48" s="312"/>
      <c r="C48" s="157"/>
      <c r="D48" s="157"/>
      <c r="E48" s="313" t="s">
        <v>1422</v>
      </c>
      <c r="F48" s="199"/>
      <c r="G48" s="157"/>
      <c r="H48" s="157"/>
      <c r="J48" s="157"/>
      <c r="K48" s="30"/>
      <c r="L48" s="30"/>
      <c r="M48" s="30"/>
      <c r="N48" s="30"/>
      <c r="O48" s="597"/>
      <c r="Q48" s="316"/>
      <c r="R48" s="317"/>
      <c r="S48"/>
      <c r="T48"/>
      <c r="U48"/>
      <c r="V48"/>
      <c r="W48"/>
      <c r="X48"/>
      <c r="Y48"/>
      <c r="Z48"/>
      <c r="AA48"/>
      <c r="AB48"/>
      <c r="AC48"/>
      <c r="AD48"/>
      <c r="AE48"/>
    </row>
    <row r="49" spans="1:31" s="7" customFormat="1" hidden="1" outlineLevel="2" x14ac:dyDescent="0.35">
      <c r="A49" s="180"/>
      <c r="B49" s="312"/>
      <c r="C49" s="157"/>
      <c r="D49" s="157"/>
      <c r="E49" s="313" t="s">
        <v>2095</v>
      </c>
      <c r="F49" s="199"/>
      <c r="G49" s="157"/>
      <c r="H49" s="157"/>
      <c r="J49" s="157"/>
      <c r="K49" s="30"/>
      <c r="L49" s="30"/>
      <c r="M49" s="30"/>
      <c r="N49" s="30"/>
      <c r="O49" s="597"/>
      <c r="Q49" s="316"/>
      <c r="R49" s="317"/>
      <c r="S49"/>
      <c r="T49"/>
      <c r="U49"/>
      <c r="V49"/>
      <c r="W49"/>
      <c r="X49"/>
      <c r="Y49"/>
      <c r="Z49"/>
      <c r="AA49"/>
      <c r="AB49"/>
      <c r="AC49"/>
      <c r="AD49"/>
      <c r="AE49"/>
    </row>
    <row r="50" spans="1:31" s="7" customFormat="1" hidden="1" outlineLevel="2" x14ac:dyDescent="0.35">
      <c r="A50" s="180"/>
      <c r="B50" s="312"/>
      <c r="C50" s="157"/>
      <c r="D50" s="157"/>
      <c r="E50" s="313" t="s">
        <v>2096</v>
      </c>
      <c r="F50" s="199"/>
      <c r="G50" s="157"/>
      <c r="H50" s="157"/>
      <c r="J50" s="157"/>
      <c r="K50" s="315"/>
      <c r="L50" s="315"/>
      <c r="M50" s="315"/>
      <c r="N50" s="315"/>
      <c r="O50" s="597"/>
      <c r="Q50" s="314"/>
      <c r="R50" s="315"/>
      <c r="S50"/>
      <c r="T50"/>
      <c r="U50"/>
      <c r="V50"/>
      <c r="W50"/>
      <c r="X50"/>
      <c r="Y50"/>
      <c r="Z50"/>
      <c r="AA50"/>
      <c r="AB50"/>
      <c r="AC50"/>
      <c r="AD50"/>
      <c r="AE50"/>
    </row>
    <row r="51" spans="1:31" s="7" customFormat="1" hidden="1" outlineLevel="2" x14ac:dyDescent="0.35">
      <c r="A51" s="180"/>
      <c r="B51" s="312"/>
      <c r="C51" s="157"/>
      <c r="D51" s="157"/>
      <c r="E51" s="313" t="s">
        <v>4420</v>
      </c>
      <c r="F51" s="199"/>
      <c r="G51" s="157"/>
      <c r="H51" s="157"/>
      <c r="J51" s="157"/>
      <c r="K51" s="315"/>
      <c r="L51" s="315"/>
      <c r="M51" s="315"/>
      <c r="N51" s="315"/>
      <c r="O51" s="597"/>
      <c r="Q51" s="314"/>
      <c r="R51" s="315"/>
      <c r="S51"/>
      <c r="T51"/>
      <c r="U51"/>
      <c r="V51"/>
      <c r="W51"/>
      <c r="X51"/>
      <c r="Y51"/>
      <c r="Z51"/>
      <c r="AA51"/>
      <c r="AB51"/>
      <c r="AC51"/>
      <c r="AD51"/>
      <c r="AE51"/>
    </row>
    <row r="52" spans="1:31" s="7" customFormat="1" hidden="1" outlineLevel="2" x14ac:dyDescent="0.35">
      <c r="A52" s="180"/>
      <c r="B52" s="312"/>
      <c r="C52" s="157"/>
      <c r="D52" s="157"/>
      <c r="E52" s="313"/>
      <c r="F52" s="157"/>
      <c r="G52" s="157"/>
      <c r="H52" s="157"/>
      <c r="J52" s="157"/>
      <c r="K52" s="315"/>
      <c r="L52" s="315"/>
      <c r="M52" s="315"/>
      <c r="N52" s="315"/>
      <c r="O52" s="598"/>
      <c r="Q52" s="314"/>
      <c r="R52" s="315"/>
      <c r="S52"/>
      <c r="T52"/>
      <c r="U52"/>
      <c r="V52"/>
      <c r="W52"/>
      <c r="X52"/>
      <c r="Y52"/>
      <c r="Z52"/>
      <c r="AA52"/>
      <c r="AB52"/>
      <c r="AC52"/>
      <c r="AD52"/>
      <c r="AE52"/>
    </row>
    <row r="53" spans="1:31" s="7" customFormat="1" hidden="1" outlineLevel="2" x14ac:dyDescent="0.35">
      <c r="A53" s="180"/>
      <c r="B53" s="312"/>
      <c r="C53" s="157"/>
      <c r="D53" s="157"/>
      <c r="E53" s="320" t="s">
        <v>749</v>
      </c>
      <c r="F53" s="199"/>
      <c r="G53" s="157"/>
      <c r="H53" s="157"/>
      <c r="J53" s="157"/>
      <c r="K53" s="30"/>
      <c r="L53" s="30"/>
      <c r="M53" s="30"/>
      <c r="N53" s="30"/>
      <c r="O53" s="597"/>
      <c r="Q53" s="316"/>
      <c r="R53" s="317"/>
      <c r="S53"/>
      <c r="T53"/>
      <c r="U53"/>
      <c r="V53"/>
      <c r="W53"/>
      <c r="X53"/>
      <c r="Y53"/>
      <c r="Z53"/>
      <c r="AA53"/>
      <c r="AB53"/>
      <c r="AC53"/>
      <c r="AD53"/>
      <c r="AE53"/>
    </row>
    <row r="54" spans="1:31" s="7" customFormat="1" hidden="1" outlineLevel="2" x14ac:dyDescent="0.35">
      <c r="A54" s="180"/>
      <c r="B54" s="312"/>
      <c r="C54" s="157"/>
      <c r="O54" s="604"/>
      <c r="Q54" s="316"/>
      <c r="R54" s="317"/>
      <c r="S54"/>
      <c r="T54"/>
      <c r="U54"/>
      <c r="V54"/>
      <c r="W54"/>
      <c r="X54"/>
      <c r="Y54"/>
      <c r="Z54"/>
      <c r="AA54"/>
      <c r="AB54"/>
      <c r="AC54"/>
      <c r="AD54"/>
      <c r="AE54"/>
    </row>
    <row r="55" spans="1:31" s="7" customFormat="1" hidden="1" outlineLevel="2" x14ac:dyDescent="0.35">
      <c r="A55" s="180"/>
      <c r="B55" s="312"/>
      <c r="D55" s="157"/>
      <c r="E55" s="320" t="s">
        <v>4146</v>
      </c>
      <c r="F55" s="199"/>
      <c r="G55" s="157"/>
      <c r="H55" s="157"/>
      <c r="J55" s="157"/>
      <c r="K55" s="30"/>
      <c r="L55" s="30"/>
      <c r="M55" s="30"/>
      <c r="N55" s="30"/>
      <c r="O55" s="597"/>
      <c r="Q55" s="314"/>
      <c r="R55" s="315"/>
      <c r="S55"/>
      <c r="T55"/>
      <c r="U55"/>
      <c r="V55"/>
      <c r="W55"/>
      <c r="X55"/>
      <c r="Y55"/>
      <c r="Z55"/>
      <c r="AA55"/>
      <c r="AB55"/>
      <c r="AC55"/>
      <c r="AD55"/>
      <c r="AE55"/>
    </row>
    <row r="56" spans="1:31" s="7" customFormat="1" hidden="1" outlineLevel="2" x14ac:dyDescent="0.35">
      <c r="A56" s="180"/>
      <c r="B56" s="312"/>
      <c r="O56" s="604"/>
      <c r="Q56" s="314"/>
      <c r="R56" s="315"/>
      <c r="S56"/>
      <c r="T56"/>
      <c r="U56"/>
      <c r="V56"/>
      <c r="W56"/>
      <c r="X56"/>
      <c r="Y56"/>
      <c r="Z56"/>
      <c r="AA56"/>
      <c r="AB56"/>
      <c r="AC56"/>
      <c r="AD56"/>
      <c r="AE56"/>
    </row>
    <row r="57" spans="1:31" s="7" customFormat="1" hidden="1" outlineLevel="2" x14ac:dyDescent="0.35">
      <c r="A57" s="180"/>
      <c r="B57" s="312"/>
      <c r="C57" s="157"/>
      <c r="D57" s="157"/>
      <c r="E57" s="318" t="s">
        <v>244</v>
      </c>
      <c r="F57" s="157"/>
      <c r="G57" s="157"/>
      <c r="H57" s="157"/>
      <c r="J57" s="157"/>
      <c r="K57" s="315"/>
      <c r="L57" s="315"/>
      <c r="M57" s="315"/>
      <c r="N57" s="315"/>
      <c r="O57" s="598"/>
      <c r="Q57" s="314"/>
      <c r="R57" s="315"/>
      <c r="S57"/>
      <c r="T57"/>
      <c r="U57"/>
      <c r="V57"/>
      <c r="W57"/>
      <c r="X57"/>
      <c r="Y57"/>
      <c r="Z57"/>
      <c r="AA57"/>
      <c r="AB57"/>
      <c r="AC57"/>
      <c r="AD57"/>
      <c r="AE57"/>
    </row>
    <row r="58" spans="1:31" s="7" customFormat="1" hidden="1" outlineLevel="2" x14ac:dyDescent="0.35">
      <c r="A58" s="180"/>
      <c r="B58" s="312"/>
      <c r="C58" s="157"/>
      <c r="D58" s="157"/>
      <c r="E58" s="313" t="s">
        <v>1384</v>
      </c>
      <c r="F58" s="199"/>
      <c r="G58" s="157"/>
      <c r="H58" s="157"/>
      <c r="J58" s="157"/>
      <c r="K58" s="315"/>
      <c r="L58" s="315"/>
      <c r="M58" s="315"/>
      <c r="N58" s="315"/>
      <c r="O58" s="597"/>
      <c r="Q58" s="314"/>
      <c r="R58" s="315"/>
      <c r="S58"/>
      <c r="T58"/>
      <c r="U58"/>
      <c r="V58"/>
      <c r="W58"/>
      <c r="X58"/>
      <c r="Y58"/>
      <c r="Z58"/>
      <c r="AA58"/>
      <c r="AB58"/>
      <c r="AC58"/>
      <c r="AD58"/>
      <c r="AE58"/>
    </row>
    <row r="59" spans="1:31" s="7" customFormat="1" hidden="1" outlineLevel="2" x14ac:dyDescent="0.35">
      <c r="A59" s="180"/>
      <c r="B59" s="312"/>
      <c r="C59" s="157"/>
      <c r="D59" s="157"/>
      <c r="E59" s="313" t="s">
        <v>1385</v>
      </c>
      <c r="F59" s="199"/>
      <c r="G59" s="157"/>
      <c r="H59" s="157"/>
      <c r="J59" s="157"/>
      <c r="K59" s="315"/>
      <c r="L59" s="315"/>
      <c r="M59" s="315"/>
      <c r="N59" s="315"/>
      <c r="O59" s="597"/>
      <c r="Q59" s="314"/>
      <c r="R59" s="315"/>
      <c r="S59"/>
      <c r="T59"/>
      <c r="U59"/>
      <c r="V59"/>
      <c r="W59"/>
      <c r="X59"/>
      <c r="Y59"/>
      <c r="Z59"/>
      <c r="AA59"/>
      <c r="AB59"/>
      <c r="AC59"/>
      <c r="AD59"/>
      <c r="AE59"/>
    </row>
    <row r="60" spans="1:31" s="7" customFormat="1" hidden="1" outlineLevel="2" x14ac:dyDescent="0.35">
      <c r="A60" s="180"/>
      <c r="B60" s="312"/>
      <c r="C60" s="157"/>
      <c r="D60" s="157"/>
      <c r="E60" s="313" t="s">
        <v>1386</v>
      </c>
      <c r="F60" s="199"/>
      <c r="G60" s="157"/>
      <c r="H60" s="157"/>
      <c r="J60" s="157"/>
      <c r="K60" s="315"/>
      <c r="L60" s="315"/>
      <c r="M60" s="315"/>
      <c r="N60" s="315"/>
      <c r="O60" s="597"/>
      <c r="Q60" s="314"/>
      <c r="R60" s="315"/>
      <c r="S60"/>
      <c r="T60"/>
      <c r="U60"/>
      <c r="V60"/>
      <c r="W60"/>
      <c r="X60"/>
      <c r="Y60"/>
      <c r="Z60"/>
      <c r="AA60"/>
      <c r="AB60"/>
      <c r="AC60"/>
      <c r="AD60"/>
      <c r="AE60"/>
    </row>
    <row r="61" spans="1:31" s="7" customFormat="1" hidden="1" outlineLevel="2" x14ac:dyDescent="0.35">
      <c r="A61" s="180"/>
      <c r="B61" s="312"/>
      <c r="C61" s="157"/>
      <c r="D61" s="157"/>
      <c r="E61" s="313" t="s">
        <v>4164</v>
      </c>
      <c r="F61" s="199"/>
      <c r="G61" s="157"/>
      <c r="H61" s="157"/>
      <c r="J61" s="157"/>
      <c r="K61" s="315"/>
      <c r="L61" s="315"/>
      <c r="M61" s="315"/>
      <c r="N61" s="315"/>
      <c r="O61" s="597"/>
      <c r="Q61" s="314"/>
      <c r="R61" s="315"/>
      <c r="S61"/>
      <c r="T61"/>
      <c r="U61"/>
      <c r="V61"/>
      <c r="W61"/>
      <c r="X61"/>
      <c r="Y61"/>
      <c r="Z61"/>
      <c r="AA61"/>
      <c r="AB61"/>
      <c r="AC61"/>
      <c r="AD61"/>
      <c r="AE61"/>
    </row>
    <row r="62" spans="1:31" s="7" customFormat="1" hidden="1" outlineLevel="2" x14ac:dyDescent="0.35">
      <c r="A62" s="180"/>
      <c r="B62" s="312"/>
      <c r="C62" s="157"/>
      <c r="D62" s="157"/>
      <c r="E62" s="318" t="s">
        <v>4167</v>
      </c>
      <c r="F62" s="30"/>
      <c r="G62" s="157"/>
      <c r="H62" s="157"/>
      <c r="J62" s="157"/>
      <c r="K62" s="315"/>
      <c r="L62" s="315"/>
      <c r="M62" s="315"/>
      <c r="N62" s="315"/>
      <c r="O62" s="598"/>
      <c r="Q62" s="314"/>
      <c r="R62" s="315"/>
      <c r="S62"/>
      <c r="T62"/>
      <c r="U62"/>
      <c r="V62"/>
      <c r="W62"/>
      <c r="X62"/>
      <c r="Y62"/>
      <c r="Z62"/>
      <c r="AA62"/>
      <c r="AB62"/>
      <c r="AC62"/>
      <c r="AD62"/>
      <c r="AE62"/>
    </row>
    <row r="63" spans="1:31" s="7" customFormat="1" hidden="1" outlineLevel="2" x14ac:dyDescent="0.35">
      <c r="A63" s="180"/>
      <c r="B63" s="312"/>
      <c r="C63" s="157"/>
      <c r="D63" s="157"/>
      <c r="E63" s="313" t="s">
        <v>4165</v>
      </c>
      <c r="F63" s="216" t="s">
        <v>27</v>
      </c>
      <c r="G63" s="157"/>
      <c r="H63" s="157"/>
      <c r="J63" s="157"/>
      <c r="K63" s="315"/>
      <c r="L63" s="315"/>
      <c r="M63" s="315"/>
      <c r="N63" s="315"/>
      <c r="O63" s="597"/>
      <c r="Q63" s="314"/>
      <c r="R63" s="315"/>
      <c r="S63"/>
      <c r="T63"/>
      <c r="U63"/>
      <c r="V63"/>
      <c r="W63"/>
      <c r="X63"/>
      <c r="Y63"/>
      <c r="Z63"/>
      <c r="AA63"/>
      <c r="AB63"/>
      <c r="AC63"/>
      <c r="AD63"/>
      <c r="AE63"/>
    </row>
    <row r="64" spans="1:31" s="7" customFormat="1" hidden="1" outlineLevel="2" x14ac:dyDescent="0.35">
      <c r="A64" s="180"/>
      <c r="B64" s="312"/>
      <c r="C64" s="157"/>
      <c r="D64" s="157"/>
      <c r="E64" s="313" t="s">
        <v>4461</v>
      </c>
      <c r="F64" s="199"/>
      <c r="G64" s="88"/>
      <c r="H64" s="157"/>
      <c r="J64" s="157"/>
      <c r="K64" s="27"/>
      <c r="L64" s="321"/>
      <c r="M64" s="321"/>
      <c r="N64" s="315"/>
      <c r="O64" s="597"/>
      <c r="Q64" s="314"/>
      <c r="R64" s="315"/>
      <c r="S64"/>
      <c r="T64"/>
      <c r="U64"/>
      <c r="V64"/>
      <c r="W64"/>
      <c r="X64"/>
      <c r="Y64"/>
      <c r="Z64"/>
      <c r="AA64"/>
      <c r="AB64"/>
      <c r="AC64"/>
      <c r="AD64"/>
      <c r="AE64"/>
    </row>
    <row r="65" spans="1:31" s="7" customFormat="1" hidden="1" outlineLevel="2" x14ac:dyDescent="0.35">
      <c r="A65" s="180"/>
      <c r="B65" s="312"/>
      <c r="E65" s="313" t="s">
        <v>4462</v>
      </c>
      <c r="F65" s="199"/>
      <c r="O65" s="690"/>
      <c r="Q65" s="314"/>
      <c r="R65" s="315"/>
      <c r="S65"/>
      <c r="T65"/>
      <c r="U65"/>
      <c r="V65"/>
      <c r="W65"/>
      <c r="X65"/>
      <c r="Y65"/>
      <c r="Z65"/>
      <c r="AA65"/>
      <c r="AB65"/>
      <c r="AC65"/>
      <c r="AD65"/>
      <c r="AE65"/>
    </row>
    <row r="66" spans="1:31" s="7" customFormat="1" hidden="1" outlineLevel="2" x14ac:dyDescent="0.35">
      <c r="A66" s="180"/>
      <c r="B66" s="312"/>
      <c r="C66" s="157"/>
      <c r="D66" s="157"/>
      <c r="E66" s="313" t="s">
        <v>4166</v>
      </c>
      <c r="F66" s="199"/>
      <c r="G66" s="157"/>
      <c r="H66" s="157"/>
      <c r="J66" s="157"/>
      <c r="K66" s="315"/>
      <c r="L66" s="315"/>
      <c r="M66" s="315"/>
      <c r="N66" s="315"/>
      <c r="O66" s="597"/>
      <c r="Q66" s="314"/>
      <c r="R66" s="315"/>
      <c r="S66"/>
      <c r="T66"/>
      <c r="U66"/>
      <c r="V66"/>
      <c r="W66"/>
      <c r="X66"/>
      <c r="Y66"/>
      <c r="Z66"/>
      <c r="AA66"/>
      <c r="AB66"/>
      <c r="AC66"/>
      <c r="AD66"/>
      <c r="AE66"/>
    </row>
    <row r="67" spans="1:31" s="7" customFormat="1" hidden="1" outlineLevel="2" x14ac:dyDescent="0.35">
      <c r="A67" s="180"/>
      <c r="B67" s="312"/>
      <c r="C67" s="157"/>
      <c r="D67" s="157"/>
      <c r="E67" s="313" t="s">
        <v>4419</v>
      </c>
      <c r="F67" s="230"/>
      <c r="G67" s="157"/>
      <c r="H67" s="157"/>
      <c r="J67" s="157"/>
      <c r="K67" s="315"/>
      <c r="L67" s="315"/>
      <c r="M67" s="315"/>
      <c r="N67" s="315"/>
      <c r="O67" s="597"/>
      <c r="Q67" s="314"/>
      <c r="R67" s="315"/>
      <c r="S67"/>
      <c r="T67"/>
      <c r="U67"/>
      <c r="V67"/>
      <c r="W67"/>
      <c r="X67"/>
      <c r="Y67"/>
      <c r="Z67"/>
      <c r="AA67"/>
      <c r="AB67"/>
      <c r="AC67"/>
      <c r="AD67"/>
      <c r="AE67"/>
    </row>
    <row r="68" spans="1:31" s="7" customFormat="1" hidden="1" outlineLevel="2" x14ac:dyDescent="0.35">
      <c r="A68" s="180"/>
      <c r="B68" s="312"/>
      <c r="C68" s="157"/>
      <c r="D68" s="157"/>
      <c r="E68" s="313" t="s">
        <v>4133</v>
      </c>
      <c r="F68" s="483"/>
      <c r="G68" s="157"/>
      <c r="H68" s="157"/>
      <c r="J68" s="157"/>
      <c r="K68" s="315"/>
      <c r="L68" s="315"/>
      <c r="M68" s="315"/>
      <c r="N68" s="315"/>
      <c r="O68" s="597"/>
      <c r="Q68" s="314"/>
      <c r="R68" s="315"/>
      <c r="S68"/>
      <c r="T68"/>
      <c r="U68"/>
      <c r="V68"/>
      <c r="W68"/>
      <c r="X68"/>
      <c r="Y68"/>
      <c r="Z68"/>
      <c r="AA68"/>
      <c r="AB68"/>
      <c r="AC68"/>
      <c r="AD68"/>
      <c r="AE68"/>
    </row>
    <row r="69" spans="1:31" s="7" customFormat="1" ht="14.4" hidden="1" customHeight="1" outlineLevel="2" x14ac:dyDescent="0.35">
      <c r="A69" s="180"/>
      <c r="B69" s="312"/>
      <c r="C69" s="157"/>
      <c r="D69" s="157"/>
      <c r="E69" s="313"/>
      <c r="F69" s="157"/>
      <c r="G69" s="157"/>
      <c r="H69" s="157"/>
      <c r="O69" s="598"/>
      <c r="Q69" s="314"/>
      <c r="R69" s="315"/>
      <c r="S69"/>
      <c r="T69"/>
      <c r="U69"/>
      <c r="V69"/>
      <c r="W69"/>
      <c r="X69"/>
      <c r="Y69"/>
      <c r="Z69"/>
      <c r="AA69"/>
      <c r="AB69"/>
      <c r="AC69"/>
      <c r="AD69"/>
      <c r="AE69"/>
    </row>
    <row r="70" spans="1:31" s="7" customFormat="1" hidden="1" outlineLevel="2" x14ac:dyDescent="0.35">
      <c r="A70" s="180"/>
      <c r="B70" s="312"/>
      <c r="C70" s="157"/>
      <c r="D70" s="157"/>
      <c r="E70" s="320" t="s">
        <v>800</v>
      </c>
      <c r="F70" s="238">
        <f>SUM(F58:F60,F64:F66)-F61</f>
        <v>0</v>
      </c>
      <c r="G70" s="157"/>
      <c r="H70" s="157"/>
      <c r="O70" s="597"/>
      <c r="Q70" s="314"/>
      <c r="R70" s="315"/>
      <c r="S70"/>
      <c r="T70"/>
      <c r="U70"/>
      <c r="V70"/>
      <c r="W70"/>
      <c r="X70"/>
      <c r="Y70"/>
      <c r="Z70"/>
      <c r="AA70"/>
      <c r="AB70"/>
      <c r="AC70"/>
      <c r="AD70"/>
      <c r="AE70"/>
    </row>
    <row r="71" spans="1:31" s="7" customFormat="1" ht="14.4" hidden="1" customHeight="1" outlineLevel="2" x14ac:dyDescent="0.35">
      <c r="A71" s="180"/>
      <c r="B71" s="312"/>
      <c r="C71" s="157"/>
      <c r="D71" s="157"/>
      <c r="E71" s="313"/>
      <c r="F71" s="157"/>
      <c r="G71" s="157"/>
      <c r="O71" s="598"/>
      <c r="Q71" s="314"/>
      <c r="R71" s="315"/>
      <c r="S71"/>
      <c r="T71"/>
      <c r="U71"/>
      <c r="V71"/>
      <c r="W71"/>
      <c r="X71"/>
      <c r="Y71"/>
      <c r="Z71"/>
      <c r="AA71"/>
      <c r="AB71"/>
      <c r="AC71"/>
      <c r="AD71"/>
      <c r="AE71"/>
    </row>
    <row r="72" spans="1:31" s="7" customFormat="1" hidden="1" outlineLevel="2" x14ac:dyDescent="0.35">
      <c r="A72" s="180"/>
      <c r="B72" s="312"/>
      <c r="C72" s="747" t="s">
        <v>2851</v>
      </c>
      <c r="D72" s="747"/>
      <c r="E72" s="747"/>
      <c r="F72" s="157"/>
      <c r="G72" s="157"/>
      <c r="O72" s="598"/>
      <c r="Q72" s="314"/>
      <c r="R72" s="315"/>
      <c r="S72"/>
      <c r="T72"/>
      <c r="U72"/>
      <c r="V72"/>
      <c r="W72"/>
      <c r="X72"/>
      <c r="Y72"/>
      <c r="Z72"/>
      <c r="AA72"/>
      <c r="AB72"/>
      <c r="AC72"/>
      <c r="AD72"/>
      <c r="AE72"/>
    </row>
    <row r="73" spans="1:31" s="7" customFormat="1" hidden="1" outlineLevel="2" x14ac:dyDescent="0.35">
      <c r="A73" s="180"/>
      <c r="B73" s="10"/>
      <c r="C73" s="157"/>
      <c r="D73" s="157"/>
      <c r="E73" s="313" t="s">
        <v>3057</v>
      </c>
      <c r="F73" s="199"/>
      <c r="G73" s="157"/>
      <c r="O73" s="597"/>
      <c r="Q73" s="314"/>
      <c r="R73" s="315"/>
      <c r="S73"/>
      <c r="T73"/>
      <c r="U73"/>
      <c r="V73"/>
      <c r="W73"/>
      <c r="X73"/>
      <c r="Y73"/>
      <c r="Z73"/>
      <c r="AA73"/>
      <c r="AB73"/>
      <c r="AC73"/>
      <c r="AD73"/>
      <c r="AE73"/>
    </row>
    <row r="74" spans="1:31" s="7" customFormat="1" hidden="1" outlineLevel="2" x14ac:dyDescent="0.35">
      <c r="A74" s="180"/>
      <c r="B74" s="10"/>
      <c r="C74" s="157"/>
      <c r="D74" s="157"/>
      <c r="E74" s="313" t="s">
        <v>4463</v>
      </c>
      <c r="F74" s="199"/>
      <c r="G74" s="157"/>
      <c r="H74" s="157"/>
      <c r="O74" s="597"/>
      <c r="Q74" s="314"/>
      <c r="R74" s="315"/>
      <c r="S74"/>
      <c r="T74"/>
      <c r="U74"/>
      <c r="V74"/>
      <c r="W74"/>
      <c r="X74"/>
      <c r="Y74"/>
      <c r="Z74"/>
      <c r="AA74"/>
      <c r="AB74"/>
      <c r="AC74"/>
      <c r="AD74"/>
      <c r="AE74"/>
    </row>
    <row r="75" spans="1:31" s="7" customFormat="1" hidden="1" outlineLevel="2" x14ac:dyDescent="0.35">
      <c r="A75" s="180"/>
      <c r="B75" s="10"/>
      <c r="C75" s="11"/>
      <c r="D75" s="11"/>
      <c r="E75" s="11"/>
      <c r="F75" s="11"/>
      <c r="G75" s="30"/>
      <c r="H75" s="30"/>
      <c r="O75" s="605"/>
      <c r="Q75" s="314"/>
      <c r="R75" s="315"/>
      <c r="S75"/>
      <c r="T75"/>
      <c r="U75"/>
      <c r="V75"/>
      <c r="W75"/>
      <c r="X75"/>
      <c r="Y75"/>
      <c r="Z75"/>
      <c r="AA75"/>
      <c r="AB75"/>
      <c r="AC75"/>
      <c r="AD75"/>
      <c r="AE75"/>
    </row>
    <row r="76" spans="1:31" s="7" customFormat="1" ht="24" collapsed="1" thickBot="1" x14ac:dyDescent="0.4">
      <c r="A76" s="180" t="s">
        <v>2087</v>
      </c>
      <c r="B76" s="702" t="s">
        <v>4475</v>
      </c>
      <c r="C76" s="322"/>
      <c r="D76" s="322"/>
      <c r="E76" s="322"/>
      <c r="F76" s="322"/>
      <c r="G76" s="323"/>
      <c r="H76" s="323"/>
      <c r="I76" s="323"/>
      <c r="J76" s="323"/>
      <c r="K76" s="323"/>
      <c r="L76" s="323"/>
      <c r="M76" s="323"/>
      <c r="N76" s="323"/>
      <c r="O76" s="599"/>
      <c r="P76" s="323"/>
      <c r="Q76" s="324"/>
      <c r="R76" s="325"/>
      <c r="S76"/>
      <c r="V76"/>
      <c r="W76"/>
      <c r="X76"/>
      <c r="Y76"/>
      <c r="Z76"/>
      <c r="AA76"/>
      <c r="AB76"/>
      <c r="AC76"/>
      <c r="AD76"/>
      <c r="AE76"/>
    </row>
    <row r="77" spans="1:31" s="7" customFormat="1" ht="21.5" thickBot="1" x14ac:dyDescent="0.4">
      <c r="A77" s="180" t="s">
        <v>2087</v>
      </c>
      <c r="B77" s="14" t="s">
        <v>4476</v>
      </c>
      <c r="C77" s="326"/>
      <c r="D77" s="326"/>
      <c r="E77" s="326"/>
      <c r="F77" s="326"/>
      <c r="G77" s="327"/>
      <c r="H77" s="618" t="str">
        <f>IF(S432=1,Error_Message &amp; " Difference = " &amp; TEXT(T430, "#,##0.00"),"")</f>
        <v/>
      </c>
      <c r="I77" s="327"/>
      <c r="J77" s="328"/>
      <c r="K77" s="327"/>
      <c r="L77" s="327"/>
      <c r="M77" s="327"/>
      <c r="N77" s="327"/>
      <c r="O77" s="593"/>
      <c r="P77" s="329" t="s">
        <v>970</v>
      </c>
      <c r="Q77" s="648">
        <f>total_bonds+total_equity+total_property+total_other_invested_assets+total_non_invested_assets-calc_urgl</f>
        <v>0</v>
      </c>
      <c r="R77" s="330"/>
      <c r="S77"/>
      <c r="V77"/>
      <c r="W77"/>
      <c r="X77"/>
      <c r="Y77"/>
      <c r="Z77"/>
      <c r="AA77"/>
      <c r="AB77"/>
      <c r="AC77"/>
      <c r="AD77"/>
      <c r="AE77"/>
    </row>
    <row r="78" spans="1:31" s="7" customFormat="1" ht="19" thickBot="1" x14ac:dyDescent="0.4">
      <c r="A78" s="180" t="s">
        <v>2087</v>
      </c>
      <c r="B78" s="331" t="s">
        <v>4390</v>
      </c>
      <c r="C78" s="332"/>
      <c r="D78" s="332"/>
      <c r="E78" s="333"/>
      <c r="F78" s="333"/>
      <c r="G78" s="333"/>
      <c r="H78" s="334" t="str">
        <f>IF(S340=1,Error_Message &amp; " Difference = " &amp; TEXT(T338, "#,##0.00"),"")</f>
        <v/>
      </c>
      <c r="I78" s="333"/>
      <c r="J78" s="334"/>
      <c r="K78" s="333"/>
      <c r="L78" s="333"/>
      <c r="M78" s="333"/>
      <c r="N78" s="333"/>
      <c r="O78" s="606"/>
      <c r="P78" s="335" t="s">
        <v>967</v>
      </c>
      <c r="Q78" s="649">
        <f>'Asset Risk'!M35</f>
        <v>0</v>
      </c>
      <c r="R78" s="336"/>
      <c r="S78"/>
      <c r="V78"/>
      <c r="W78"/>
      <c r="X78"/>
      <c r="Y78"/>
      <c r="Z78"/>
      <c r="AA78"/>
      <c r="AB78"/>
      <c r="AC78"/>
      <c r="AD78"/>
      <c r="AE78"/>
    </row>
    <row r="79" spans="1:31" ht="15.5" outlineLevel="1" x14ac:dyDescent="0.35">
      <c r="A79" s="180" t="s">
        <v>2087</v>
      </c>
      <c r="B79" s="337" t="s">
        <v>4435</v>
      </c>
      <c r="C79" s="338"/>
      <c r="D79" s="338"/>
      <c r="E79" s="339"/>
      <c r="F79" s="339"/>
      <c r="G79" s="339"/>
      <c r="H79" s="340" t="str">
        <f>IF(S115=1,Error_Message &amp; " Difference = " &amp; TEXT(T113, "#,##0.00"),"")</f>
        <v/>
      </c>
      <c r="I79" s="339"/>
      <c r="J79" s="340"/>
      <c r="K79" s="339"/>
      <c r="L79" s="339"/>
      <c r="M79" s="339"/>
      <c r="N79" s="339"/>
      <c r="O79" s="607"/>
      <c r="P79" s="638" t="s">
        <v>967</v>
      </c>
      <c r="Q79" s="650">
        <f>SUM(F83:M87,F91:M95,F99:M103,F107:M111)</f>
        <v>0</v>
      </c>
      <c r="R79" s="44"/>
    </row>
    <row r="80" spans="1:31" ht="15.5" hidden="1" outlineLevel="2" x14ac:dyDescent="0.35">
      <c r="B80" s="341"/>
      <c r="C80" s="342"/>
      <c r="D80" s="342"/>
      <c r="O80" s="474" t="s">
        <v>3102</v>
      </c>
      <c r="Q80" s="3"/>
    </row>
    <row r="81" spans="2:17" hidden="1" outlineLevel="2" x14ac:dyDescent="0.35">
      <c r="B81" s="10"/>
      <c r="F81" s="728" t="s">
        <v>2097</v>
      </c>
      <c r="G81" s="728"/>
      <c r="H81" s="728"/>
      <c r="I81" s="728"/>
      <c r="J81" s="728"/>
      <c r="K81" s="728"/>
      <c r="L81" s="728"/>
      <c r="M81" s="728"/>
      <c r="Q81" s="3"/>
    </row>
    <row r="82" spans="2:17" hidden="1" outlineLevel="2" x14ac:dyDescent="0.35">
      <c r="B82" s="10"/>
      <c r="E82" s="343" t="s">
        <v>1056</v>
      </c>
      <c r="F82" s="37" t="s">
        <v>0</v>
      </c>
      <c r="G82" s="37" t="s">
        <v>1</v>
      </c>
      <c r="H82" s="37" t="s">
        <v>2</v>
      </c>
      <c r="I82" s="37" t="s">
        <v>3</v>
      </c>
      <c r="J82" s="37" t="s">
        <v>4</v>
      </c>
      <c r="K82" s="37" t="s">
        <v>5</v>
      </c>
      <c r="L82" s="667" t="s">
        <v>1457</v>
      </c>
      <c r="M82" s="37" t="s">
        <v>1123</v>
      </c>
      <c r="O82" s="608"/>
      <c r="Q82" s="3"/>
    </row>
    <row r="83" spans="2:17" hidden="1" outlineLevel="2" x14ac:dyDescent="0.35">
      <c r="B83" s="10"/>
      <c r="E83" s="5" t="s">
        <v>934</v>
      </c>
      <c r="F83" s="201"/>
      <c r="G83" s="201"/>
      <c r="H83" s="201"/>
      <c r="I83" s="201"/>
      <c r="J83" s="201"/>
      <c r="K83" s="201"/>
      <c r="L83" s="201"/>
      <c r="M83" s="201"/>
      <c r="O83" s="608"/>
      <c r="Q83" s="3"/>
    </row>
    <row r="84" spans="2:17" hidden="1" outlineLevel="2" x14ac:dyDescent="0.35">
      <c r="B84" s="10"/>
      <c r="E84" s="5" t="s">
        <v>935</v>
      </c>
      <c r="F84" s="201"/>
      <c r="G84" s="201"/>
      <c r="H84" s="201"/>
      <c r="I84" s="201"/>
      <c r="J84" s="201"/>
      <c r="K84" s="201"/>
      <c r="L84" s="201"/>
      <c r="M84" s="201"/>
      <c r="O84" s="608"/>
      <c r="Q84" s="3"/>
    </row>
    <row r="85" spans="2:17" hidden="1" outlineLevel="2" x14ac:dyDescent="0.35">
      <c r="B85" s="10"/>
      <c r="E85" s="5" t="s">
        <v>936</v>
      </c>
      <c r="F85" s="201"/>
      <c r="G85" s="201"/>
      <c r="H85" s="201"/>
      <c r="I85" s="201"/>
      <c r="J85" s="201"/>
      <c r="K85" s="201"/>
      <c r="L85" s="201"/>
      <c r="M85" s="201"/>
      <c r="O85" s="608"/>
      <c r="Q85" s="3"/>
    </row>
    <row r="86" spans="2:17" hidden="1" outlineLevel="2" x14ac:dyDescent="0.35">
      <c r="B86" s="10"/>
      <c r="E86" s="5" t="s">
        <v>937</v>
      </c>
      <c r="F86" s="201"/>
      <c r="G86" s="201"/>
      <c r="H86" s="201"/>
      <c r="I86" s="201"/>
      <c r="J86" s="201"/>
      <c r="K86" s="201"/>
      <c r="L86" s="201"/>
      <c r="M86" s="201"/>
      <c r="O86" s="608"/>
      <c r="Q86" s="3"/>
    </row>
    <row r="87" spans="2:17" hidden="1" outlineLevel="2" x14ac:dyDescent="0.35">
      <c r="B87" s="10"/>
      <c r="E87" s="5" t="s">
        <v>938</v>
      </c>
      <c r="F87" s="201"/>
      <c r="G87" s="201"/>
      <c r="H87" s="201"/>
      <c r="I87" s="201"/>
      <c r="J87" s="201"/>
      <c r="K87" s="201"/>
      <c r="L87" s="201"/>
      <c r="M87" s="201"/>
      <c r="O87" s="608"/>
      <c r="Q87" s="3"/>
    </row>
    <row r="88" spans="2:17" hidden="1" outlineLevel="2" x14ac:dyDescent="0.35">
      <c r="B88" s="2"/>
      <c r="L88" s="5" t="s">
        <v>6</v>
      </c>
      <c r="M88" s="344">
        <f>SUM(F83:M87)</f>
        <v>0</v>
      </c>
      <c r="O88" s="608"/>
      <c r="Q88" s="3"/>
    </row>
    <row r="89" spans="2:17" hidden="1" outlineLevel="2" x14ac:dyDescent="0.35">
      <c r="B89" s="2"/>
      <c r="F89" s="728" t="s">
        <v>2098</v>
      </c>
      <c r="G89" s="728"/>
      <c r="H89" s="728"/>
      <c r="I89" s="728"/>
      <c r="J89" s="728"/>
      <c r="K89" s="728"/>
      <c r="L89" s="728"/>
      <c r="M89" s="728"/>
      <c r="Q89" s="3"/>
    </row>
    <row r="90" spans="2:17" hidden="1" outlineLevel="2" x14ac:dyDescent="0.35">
      <c r="B90" s="2"/>
      <c r="E90" s="343" t="s">
        <v>1056</v>
      </c>
      <c r="F90" s="37" t="s">
        <v>0</v>
      </c>
      <c r="G90" s="37" t="s">
        <v>1</v>
      </c>
      <c r="H90" s="37" t="s">
        <v>2</v>
      </c>
      <c r="I90" s="37" t="s">
        <v>3</v>
      </c>
      <c r="J90" s="37" t="s">
        <v>4</v>
      </c>
      <c r="K90" s="37" t="s">
        <v>5</v>
      </c>
      <c r="L90" s="667" t="s">
        <v>1457</v>
      </c>
      <c r="M90" s="37" t="s">
        <v>1123</v>
      </c>
      <c r="O90" s="608"/>
      <c r="Q90" s="3"/>
    </row>
    <row r="91" spans="2:17" hidden="1" outlineLevel="2" x14ac:dyDescent="0.35">
      <c r="B91" s="2"/>
      <c r="E91" s="5" t="s">
        <v>934</v>
      </c>
      <c r="F91" s="201"/>
      <c r="G91" s="201"/>
      <c r="H91" s="201"/>
      <c r="I91" s="201"/>
      <c r="J91" s="201"/>
      <c r="K91" s="201"/>
      <c r="L91" s="201"/>
      <c r="M91" s="201"/>
      <c r="O91" s="608"/>
      <c r="Q91" s="3"/>
    </row>
    <row r="92" spans="2:17" hidden="1" outlineLevel="2" x14ac:dyDescent="0.35">
      <c r="B92" s="2"/>
      <c r="E92" s="5" t="s">
        <v>935</v>
      </c>
      <c r="F92" s="201"/>
      <c r="G92" s="201"/>
      <c r="H92" s="201"/>
      <c r="I92" s="201"/>
      <c r="J92" s="201"/>
      <c r="K92" s="201"/>
      <c r="L92" s="201"/>
      <c r="M92" s="201"/>
      <c r="O92" s="608"/>
      <c r="Q92" s="3"/>
    </row>
    <row r="93" spans="2:17" hidden="1" outlineLevel="2" x14ac:dyDescent="0.35">
      <c r="B93" s="2"/>
      <c r="E93" s="5" t="s">
        <v>936</v>
      </c>
      <c r="F93" s="201"/>
      <c r="G93" s="201"/>
      <c r="H93" s="201"/>
      <c r="I93" s="201"/>
      <c r="J93" s="201"/>
      <c r="K93" s="201"/>
      <c r="L93" s="201"/>
      <c r="M93" s="201"/>
      <c r="O93" s="608"/>
      <c r="Q93" s="3"/>
    </row>
    <row r="94" spans="2:17" hidden="1" outlineLevel="2" x14ac:dyDescent="0.35">
      <c r="B94" s="2"/>
      <c r="E94" s="5" t="s">
        <v>937</v>
      </c>
      <c r="F94" s="201"/>
      <c r="G94" s="201"/>
      <c r="H94" s="201"/>
      <c r="I94" s="201"/>
      <c r="J94" s="201"/>
      <c r="K94" s="201"/>
      <c r="L94" s="201"/>
      <c r="M94" s="201"/>
      <c r="O94" s="608"/>
      <c r="Q94" s="3"/>
    </row>
    <row r="95" spans="2:17" hidden="1" outlineLevel="2" x14ac:dyDescent="0.35">
      <c r="B95" s="2"/>
      <c r="E95" s="5" t="s">
        <v>938</v>
      </c>
      <c r="F95" s="201"/>
      <c r="G95" s="201"/>
      <c r="H95" s="201"/>
      <c r="I95" s="201"/>
      <c r="J95" s="201"/>
      <c r="K95" s="201"/>
      <c r="L95" s="201"/>
      <c r="M95" s="201"/>
      <c r="O95" s="608"/>
      <c r="Q95" s="3"/>
    </row>
    <row r="96" spans="2:17" hidden="1" outlineLevel="2" x14ac:dyDescent="0.35">
      <c r="B96" s="2"/>
      <c r="L96" s="5" t="s">
        <v>6</v>
      </c>
      <c r="M96" s="344">
        <f>SUM(F91:M95)</f>
        <v>0</v>
      </c>
      <c r="O96" s="608"/>
      <c r="Q96" s="3"/>
    </row>
    <row r="97" spans="2:21" hidden="1" outlineLevel="2" x14ac:dyDescent="0.35">
      <c r="B97" s="2"/>
      <c r="F97" s="728" t="s">
        <v>2099</v>
      </c>
      <c r="G97" s="728"/>
      <c r="H97" s="728"/>
      <c r="I97" s="728"/>
      <c r="J97" s="728"/>
      <c r="K97" s="728"/>
      <c r="L97" s="728"/>
      <c r="M97" s="728"/>
      <c r="Q97" s="3"/>
    </row>
    <row r="98" spans="2:21" hidden="1" outlineLevel="2" x14ac:dyDescent="0.35">
      <c r="B98" s="2"/>
      <c r="E98" s="343" t="s">
        <v>1056</v>
      </c>
      <c r="F98" s="37" t="s">
        <v>0</v>
      </c>
      <c r="G98" s="37" t="s">
        <v>1</v>
      </c>
      <c r="H98" s="37" t="s">
        <v>2</v>
      </c>
      <c r="I98" s="37" t="s">
        <v>3</v>
      </c>
      <c r="J98" s="37" t="s">
        <v>4</v>
      </c>
      <c r="K98" s="37" t="s">
        <v>5</v>
      </c>
      <c r="L98" s="667" t="s">
        <v>1457</v>
      </c>
      <c r="M98" s="37" t="s">
        <v>1123</v>
      </c>
      <c r="O98" s="608"/>
      <c r="Q98" s="3"/>
    </row>
    <row r="99" spans="2:21" hidden="1" outlineLevel="2" x14ac:dyDescent="0.35">
      <c r="B99" s="2"/>
      <c r="E99" s="5" t="s">
        <v>934</v>
      </c>
      <c r="F99" s="201"/>
      <c r="G99" s="201"/>
      <c r="H99" s="201"/>
      <c r="I99" s="201"/>
      <c r="J99" s="201"/>
      <c r="K99" s="201"/>
      <c r="L99" s="201"/>
      <c r="M99" s="201"/>
      <c r="O99" s="608"/>
      <c r="Q99" s="3"/>
    </row>
    <row r="100" spans="2:21" hidden="1" outlineLevel="2" x14ac:dyDescent="0.35">
      <c r="B100" s="2"/>
      <c r="E100" s="5" t="s">
        <v>935</v>
      </c>
      <c r="F100" s="201"/>
      <c r="G100" s="201"/>
      <c r="H100" s="201"/>
      <c r="I100" s="201"/>
      <c r="J100" s="201"/>
      <c r="K100" s="201"/>
      <c r="L100" s="201"/>
      <c r="M100" s="201"/>
      <c r="O100" s="608"/>
      <c r="Q100" s="3"/>
    </row>
    <row r="101" spans="2:21" hidden="1" outlineLevel="2" x14ac:dyDescent="0.35">
      <c r="B101" s="2"/>
      <c r="E101" s="5" t="s">
        <v>936</v>
      </c>
      <c r="F101" s="201"/>
      <c r="G101" s="201"/>
      <c r="H101" s="201"/>
      <c r="I101" s="201"/>
      <c r="J101" s="201"/>
      <c r="K101" s="201"/>
      <c r="L101" s="201"/>
      <c r="M101" s="201"/>
      <c r="O101" s="608"/>
      <c r="Q101" s="3"/>
    </row>
    <row r="102" spans="2:21" hidden="1" outlineLevel="2" x14ac:dyDescent="0.35">
      <c r="B102" s="2"/>
      <c r="E102" s="5" t="s">
        <v>937</v>
      </c>
      <c r="F102" s="201"/>
      <c r="G102" s="201"/>
      <c r="H102" s="201"/>
      <c r="I102" s="201"/>
      <c r="J102" s="201"/>
      <c r="K102" s="201"/>
      <c r="L102" s="201"/>
      <c r="M102" s="201"/>
      <c r="O102" s="608"/>
      <c r="Q102" s="3"/>
    </row>
    <row r="103" spans="2:21" hidden="1" outlineLevel="2" x14ac:dyDescent="0.35">
      <c r="B103" s="2"/>
      <c r="E103" s="5" t="s">
        <v>938</v>
      </c>
      <c r="F103" s="201"/>
      <c r="G103" s="201"/>
      <c r="H103" s="201"/>
      <c r="I103" s="201"/>
      <c r="J103" s="201"/>
      <c r="K103" s="201"/>
      <c r="L103" s="201"/>
      <c r="M103" s="201"/>
      <c r="O103" s="608"/>
      <c r="Q103" s="3"/>
    </row>
    <row r="104" spans="2:21" hidden="1" outlineLevel="2" x14ac:dyDescent="0.35">
      <c r="B104" s="2"/>
      <c r="L104" s="5" t="s">
        <v>6</v>
      </c>
      <c r="M104" s="344">
        <f>SUM(F99:M103)</f>
        <v>0</v>
      </c>
      <c r="O104" s="608"/>
      <c r="Q104" s="3"/>
    </row>
    <row r="105" spans="2:21" hidden="1" outlineLevel="2" x14ac:dyDescent="0.35">
      <c r="B105" s="2"/>
      <c r="F105" s="728" t="s">
        <v>2100</v>
      </c>
      <c r="G105" s="728"/>
      <c r="H105" s="728"/>
      <c r="I105" s="728"/>
      <c r="J105" s="728"/>
      <c r="K105" s="728"/>
      <c r="L105" s="728"/>
      <c r="M105" s="728"/>
      <c r="Q105" s="3"/>
    </row>
    <row r="106" spans="2:21" hidden="1" outlineLevel="2" x14ac:dyDescent="0.35">
      <c r="B106" s="2"/>
      <c r="E106" s="343" t="s">
        <v>1056</v>
      </c>
      <c r="F106" s="37" t="s">
        <v>0</v>
      </c>
      <c r="G106" s="37" t="s">
        <v>1</v>
      </c>
      <c r="H106" s="37" t="s">
        <v>2</v>
      </c>
      <c r="I106" s="37" t="s">
        <v>3</v>
      </c>
      <c r="J106" s="37" t="s">
        <v>4</v>
      </c>
      <c r="K106" s="37" t="s">
        <v>5</v>
      </c>
      <c r="L106" s="667" t="s">
        <v>1457</v>
      </c>
      <c r="M106" s="37" t="s">
        <v>1123</v>
      </c>
      <c r="O106" s="608"/>
      <c r="Q106" s="3"/>
    </row>
    <row r="107" spans="2:21" hidden="1" outlineLevel="2" x14ac:dyDescent="0.35">
      <c r="B107" s="2"/>
      <c r="E107" s="5" t="s">
        <v>934</v>
      </c>
      <c r="F107" s="201"/>
      <c r="G107" s="201"/>
      <c r="H107" s="201"/>
      <c r="I107" s="201"/>
      <c r="J107" s="201"/>
      <c r="K107" s="201"/>
      <c r="L107" s="201"/>
      <c r="M107" s="201"/>
      <c r="O107" s="608"/>
      <c r="Q107" s="3"/>
    </row>
    <row r="108" spans="2:21" hidden="1" outlineLevel="2" x14ac:dyDescent="0.35">
      <c r="B108" s="2"/>
      <c r="E108" s="5" t="s">
        <v>935</v>
      </c>
      <c r="F108" s="201"/>
      <c r="G108" s="201"/>
      <c r="H108" s="201"/>
      <c r="I108" s="201"/>
      <c r="J108" s="201"/>
      <c r="K108" s="201"/>
      <c r="L108" s="201"/>
      <c r="M108" s="201"/>
      <c r="O108" s="608"/>
      <c r="Q108" s="3"/>
    </row>
    <row r="109" spans="2:21" hidden="1" outlineLevel="2" x14ac:dyDescent="0.35">
      <c r="B109" s="2"/>
      <c r="E109" s="5" t="s">
        <v>936</v>
      </c>
      <c r="F109" s="201"/>
      <c r="G109" s="201"/>
      <c r="H109" s="201"/>
      <c r="I109" s="201"/>
      <c r="J109" s="201"/>
      <c r="K109" s="201"/>
      <c r="L109" s="201"/>
      <c r="M109" s="201"/>
      <c r="O109" s="608"/>
      <c r="Q109" s="3"/>
    </row>
    <row r="110" spans="2:21" hidden="1" outlineLevel="2" x14ac:dyDescent="0.35">
      <c r="B110" s="2"/>
      <c r="E110" s="5" t="s">
        <v>937</v>
      </c>
      <c r="F110" s="201"/>
      <c r="G110" s="201"/>
      <c r="H110" s="201"/>
      <c r="I110" s="201"/>
      <c r="J110" s="201"/>
      <c r="K110" s="201"/>
      <c r="L110" s="201"/>
      <c r="M110" s="201"/>
      <c r="O110" s="608"/>
      <c r="Q110" s="3"/>
    </row>
    <row r="111" spans="2:21" hidden="1" outlineLevel="2" x14ac:dyDescent="0.35">
      <c r="B111" s="2"/>
      <c r="E111" s="5" t="s">
        <v>938</v>
      </c>
      <c r="F111" s="201"/>
      <c r="G111" s="201"/>
      <c r="H111" s="201"/>
      <c r="I111" s="201"/>
      <c r="J111" s="201"/>
      <c r="K111" s="201"/>
      <c r="L111" s="201"/>
      <c r="M111" s="201"/>
      <c r="O111" s="608"/>
      <c r="Q111" s="3"/>
    </row>
    <row r="112" spans="2:21" hidden="1" outlineLevel="2" x14ac:dyDescent="0.35">
      <c r="B112" s="2"/>
      <c r="L112" s="5" t="s">
        <v>6</v>
      </c>
      <c r="M112" s="344">
        <f>SUM(F107:M111)</f>
        <v>0</v>
      </c>
      <c r="O112" s="608"/>
      <c r="Q112" s="3"/>
      <c r="T112" s="345"/>
      <c r="U112" s="345"/>
    </row>
    <row r="113" spans="1:21" hidden="1" outlineLevel="2" x14ac:dyDescent="0.35">
      <c r="B113" s="2"/>
      <c r="Q113" s="3"/>
      <c r="T113" s="345">
        <f>Q79-F115</f>
        <v>0</v>
      </c>
      <c r="U113" s="345"/>
    </row>
    <row r="114" spans="1:21" s="7" customFormat="1" hidden="1" outlineLevel="2" x14ac:dyDescent="0.35">
      <c r="A114" s="180"/>
      <c r="B114" s="2"/>
      <c r="C114"/>
      <c r="D114"/>
      <c r="E114"/>
      <c r="F114"/>
      <c r="G114"/>
      <c r="H114"/>
      <c r="I114"/>
      <c r="J114"/>
      <c r="K114"/>
      <c r="L114"/>
      <c r="M114"/>
      <c r="O114" s="603"/>
      <c r="Q114" s="3"/>
      <c r="R114"/>
      <c r="T114" s="346">
        <f>IF(F115=0,0,ABS(T113/F115))</f>
        <v>0</v>
      </c>
      <c r="U114" s="346"/>
    </row>
    <row r="115" spans="1:21" hidden="1" outlineLevel="2" x14ac:dyDescent="0.35">
      <c r="B115" s="2"/>
      <c r="E115" s="343" t="s">
        <v>4382</v>
      </c>
      <c r="F115" s="179"/>
      <c r="G115" s="494"/>
      <c r="O115" s="608"/>
      <c r="Q115" s="3"/>
      <c r="S115">
        <f>IF(T115&gt;Error_Check_Precision,1,0)</f>
        <v>0</v>
      </c>
      <c r="T115" s="347">
        <f>IF(OR(F115=0,ISERROR(T114)),0,T114)</f>
        <v>0</v>
      </c>
      <c r="U115" s="347"/>
    </row>
    <row r="116" spans="1:21" hidden="1" outlineLevel="2" x14ac:dyDescent="0.35">
      <c r="B116" s="2"/>
      <c r="Q116" s="3"/>
    </row>
    <row r="117" spans="1:21" ht="15" outlineLevel="1" collapsed="1" thickBot="1" x14ac:dyDescent="0.4">
      <c r="A117" s="180" t="s">
        <v>2087</v>
      </c>
      <c r="B117" s="348"/>
      <c r="C117" s="22"/>
      <c r="D117" s="22"/>
      <c r="E117" s="22"/>
      <c r="F117" s="22"/>
      <c r="G117" s="22"/>
      <c r="H117" s="22"/>
      <c r="I117" s="22"/>
      <c r="J117" s="22"/>
      <c r="K117" s="22"/>
      <c r="L117" s="22"/>
      <c r="M117" s="22"/>
      <c r="N117" s="22"/>
      <c r="O117" s="609"/>
      <c r="P117" s="22"/>
      <c r="Q117" s="349"/>
    </row>
    <row r="118" spans="1:21" ht="15.5" outlineLevel="1" x14ac:dyDescent="0.35">
      <c r="A118" s="180" t="s">
        <v>2087</v>
      </c>
      <c r="B118" s="337" t="s">
        <v>4088</v>
      </c>
      <c r="C118" s="338"/>
      <c r="D118" s="338"/>
      <c r="E118" s="339"/>
      <c r="F118" s="339"/>
      <c r="G118" s="339"/>
      <c r="H118" s="339"/>
      <c r="I118" s="339"/>
      <c r="J118" s="339"/>
      <c r="K118" s="339"/>
      <c r="L118" s="339"/>
      <c r="M118" s="339"/>
      <c r="N118" s="339"/>
      <c r="O118" s="607"/>
      <c r="P118" s="638" t="s">
        <v>967</v>
      </c>
      <c r="Q118" s="650">
        <f>total_bonds_steps_2_3</f>
        <v>0</v>
      </c>
      <c r="R118" s="44"/>
    </row>
    <row r="119" spans="1:21" hidden="1" outlineLevel="2" x14ac:dyDescent="0.35">
      <c r="B119" s="2"/>
      <c r="Q119" s="3"/>
    </row>
    <row r="120" spans="1:21" ht="15.5" hidden="1" outlineLevel="2" x14ac:dyDescent="0.35">
      <c r="B120" s="2"/>
      <c r="C120" s="738" t="s">
        <v>4087</v>
      </c>
      <c r="D120" s="738"/>
      <c r="E120" s="738"/>
      <c r="O120" s="474" t="s">
        <v>3102</v>
      </c>
      <c r="Q120" s="3"/>
    </row>
    <row r="121" spans="1:21" hidden="1" outlineLevel="2" x14ac:dyDescent="0.35">
      <c r="B121" s="10"/>
      <c r="F121" s="728" t="s">
        <v>2097</v>
      </c>
      <c r="G121" s="728"/>
      <c r="H121" s="728"/>
      <c r="I121" s="728"/>
      <c r="J121" s="728"/>
      <c r="K121" s="728"/>
      <c r="L121" s="728"/>
      <c r="Q121" s="3"/>
    </row>
    <row r="122" spans="1:21" hidden="1" outlineLevel="2" x14ac:dyDescent="0.35">
      <c r="B122" s="10"/>
      <c r="E122" s="343" t="s">
        <v>1056</v>
      </c>
      <c r="F122" s="37" t="s">
        <v>0</v>
      </c>
      <c r="G122" s="37" t="s">
        <v>1</v>
      </c>
      <c r="H122" s="37" t="s">
        <v>2</v>
      </c>
      <c r="I122" s="37" t="s">
        <v>3</v>
      </c>
      <c r="J122" s="37" t="s">
        <v>4</v>
      </c>
      <c r="K122" s="37" t="s">
        <v>5</v>
      </c>
      <c r="L122" s="667" t="s">
        <v>1457</v>
      </c>
      <c r="O122" s="608"/>
      <c r="Q122" s="3"/>
    </row>
    <row r="123" spans="1:21" hidden="1" outlineLevel="2" x14ac:dyDescent="0.35">
      <c r="B123" s="10"/>
      <c r="E123" s="5" t="s">
        <v>934</v>
      </c>
      <c r="F123" s="201"/>
      <c r="G123" s="201"/>
      <c r="H123" s="201"/>
      <c r="I123" s="201"/>
      <c r="J123" s="201"/>
      <c r="K123" s="201"/>
      <c r="L123" s="201"/>
      <c r="O123" s="608"/>
      <c r="Q123" s="3"/>
    </row>
    <row r="124" spans="1:21" hidden="1" outlineLevel="2" x14ac:dyDescent="0.35">
      <c r="B124" s="10"/>
      <c r="E124" s="5" t="s">
        <v>935</v>
      </c>
      <c r="F124" s="201"/>
      <c r="G124" s="201"/>
      <c r="H124" s="201"/>
      <c r="I124" s="201"/>
      <c r="J124" s="201"/>
      <c r="K124" s="201"/>
      <c r="L124" s="201"/>
      <c r="O124" s="608"/>
      <c r="Q124" s="3"/>
    </row>
    <row r="125" spans="1:21" hidden="1" outlineLevel="2" x14ac:dyDescent="0.35">
      <c r="B125" s="10"/>
      <c r="E125" s="5" t="s">
        <v>936</v>
      </c>
      <c r="F125" s="201"/>
      <c r="G125" s="201"/>
      <c r="H125" s="201"/>
      <c r="I125" s="201"/>
      <c r="J125" s="201"/>
      <c r="K125" s="201"/>
      <c r="L125" s="201"/>
      <c r="O125" s="608"/>
      <c r="Q125" s="3"/>
    </row>
    <row r="126" spans="1:21" hidden="1" outlineLevel="2" x14ac:dyDescent="0.35">
      <c r="B126" s="10"/>
      <c r="E126" s="5" t="s">
        <v>937</v>
      </c>
      <c r="F126" s="201"/>
      <c r="G126" s="201"/>
      <c r="H126" s="201"/>
      <c r="I126" s="201"/>
      <c r="J126" s="201"/>
      <c r="K126" s="201"/>
      <c r="L126" s="201"/>
      <c r="O126" s="608"/>
      <c r="Q126" s="3"/>
    </row>
    <row r="127" spans="1:21" hidden="1" outlineLevel="2" x14ac:dyDescent="0.35">
      <c r="B127" s="10"/>
      <c r="E127" s="5" t="s">
        <v>938</v>
      </c>
      <c r="F127" s="201"/>
      <c r="G127" s="201"/>
      <c r="H127" s="201"/>
      <c r="I127" s="201"/>
      <c r="J127" s="201"/>
      <c r="K127" s="201"/>
      <c r="L127" s="201"/>
      <c r="O127" s="608"/>
      <c r="Q127" s="3"/>
    </row>
    <row r="128" spans="1:21" hidden="1" outlineLevel="2" x14ac:dyDescent="0.35">
      <c r="B128" s="2"/>
      <c r="K128" s="5" t="s">
        <v>6</v>
      </c>
      <c r="L128" s="344">
        <f>SUM(F123:L127)</f>
        <v>0</v>
      </c>
      <c r="O128" s="608"/>
      <c r="Q128" s="3"/>
    </row>
    <row r="129" spans="2:17" hidden="1" outlineLevel="2" x14ac:dyDescent="0.35">
      <c r="B129" s="2"/>
      <c r="F129" s="728" t="s">
        <v>2098</v>
      </c>
      <c r="G129" s="728"/>
      <c r="H129" s="728"/>
      <c r="I129" s="728"/>
      <c r="J129" s="728"/>
      <c r="K129" s="728"/>
      <c r="L129" s="728"/>
      <c r="M129" s="177"/>
      <c r="Q129" s="3"/>
    </row>
    <row r="130" spans="2:17" hidden="1" outlineLevel="2" x14ac:dyDescent="0.35">
      <c r="B130" s="2"/>
      <c r="E130" s="343" t="s">
        <v>1056</v>
      </c>
      <c r="F130" s="37" t="s">
        <v>0</v>
      </c>
      <c r="G130" s="37" t="s">
        <v>1</v>
      </c>
      <c r="H130" s="37" t="s">
        <v>2</v>
      </c>
      <c r="I130" s="37" t="s">
        <v>3</v>
      </c>
      <c r="J130" s="37" t="s">
        <v>4</v>
      </c>
      <c r="K130" s="37" t="s">
        <v>5</v>
      </c>
      <c r="L130" s="667" t="s">
        <v>1457</v>
      </c>
      <c r="O130" s="608"/>
      <c r="Q130" s="3"/>
    </row>
    <row r="131" spans="2:17" hidden="1" outlineLevel="2" x14ac:dyDescent="0.35">
      <c r="B131" s="2"/>
      <c r="E131" s="5" t="s">
        <v>934</v>
      </c>
      <c r="F131" s="201"/>
      <c r="G131" s="201"/>
      <c r="H131" s="201"/>
      <c r="I131" s="201"/>
      <c r="J131" s="201"/>
      <c r="K131" s="201"/>
      <c r="L131" s="201"/>
      <c r="O131" s="608"/>
      <c r="Q131" s="3"/>
    </row>
    <row r="132" spans="2:17" hidden="1" outlineLevel="2" x14ac:dyDescent="0.35">
      <c r="B132" s="2"/>
      <c r="E132" s="5" t="s">
        <v>935</v>
      </c>
      <c r="F132" s="201"/>
      <c r="G132" s="201"/>
      <c r="H132" s="201"/>
      <c r="I132" s="201"/>
      <c r="J132" s="201"/>
      <c r="K132" s="201"/>
      <c r="L132" s="201"/>
      <c r="O132" s="608"/>
      <c r="Q132" s="3"/>
    </row>
    <row r="133" spans="2:17" hidden="1" outlineLevel="2" x14ac:dyDescent="0.35">
      <c r="B133" s="2"/>
      <c r="E133" s="5" t="s">
        <v>936</v>
      </c>
      <c r="F133" s="201"/>
      <c r="G133" s="201"/>
      <c r="H133" s="201"/>
      <c r="I133" s="201"/>
      <c r="J133" s="201"/>
      <c r="K133" s="201"/>
      <c r="L133" s="201"/>
      <c r="O133" s="608"/>
      <c r="Q133" s="3"/>
    </row>
    <row r="134" spans="2:17" hidden="1" outlineLevel="2" x14ac:dyDescent="0.35">
      <c r="B134" s="2"/>
      <c r="E134" s="5" t="s">
        <v>937</v>
      </c>
      <c r="F134" s="201"/>
      <c r="G134" s="201"/>
      <c r="H134" s="201"/>
      <c r="I134" s="201"/>
      <c r="J134" s="201"/>
      <c r="K134" s="201"/>
      <c r="L134" s="201"/>
      <c r="O134" s="608"/>
      <c r="Q134" s="3"/>
    </row>
    <row r="135" spans="2:17" hidden="1" outlineLevel="2" x14ac:dyDescent="0.35">
      <c r="B135" s="2"/>
      <c r="E135" s="5" t="s">
        <v>938</v>
      </c>
      <c r="F135" s="201"/>
      <c r="G135" s="201"/>
      <c r="H135" s="201"/>
      <c r="I135" s="201"/>
      <c r="J135" s="201"/>
      <c r="K135" s="201"/>
      <c r="L135" s="201"/>
      <c r="O135" s="608"/>
      <c r="Q135" s="3"/>
    </row>
    <row r="136" spans="2:17" hidden="1" outlineLevel="2" x14ac:dyDescent="0.35">
      <c r="B136" s="2"/>
      <c r="K136" s="5" t="s">
        <v>6</v>
      </c>
      <c r="L136" s="344">
        <f>SUM(F131:L135)</f>
        <v>0</v>
      </c>
      <c r="O136" s="608"/>
      <c r="Q136" s="3"/>
    </row>
    <row r="137" spans="2:17" hidden="1" outlineLevel="2" x14ac:dyDescent="0.35">
      <c r="B137" s="2"/>
      <c r="F137" s="728" t="s">
        <v>2099</v>
      </c>
      <c r="G137" s="728"/>
      <c r="H137" s="728"/>
      <c r="I137" s="728"/>
      <c r="J137" s="728"/>
      <c r="K137" s="728"/>
      <c r="L137" s="728"/>
      <c r="M137" s="177"/>
      <c r="Q137" s="3"/>
    </row>
    <row r="138" spans="2:17" hidden="1" outlineLevel="2" x14ac:dyDescent="0.35">
      <c r="B138" s="2"/>
      <c r="E138" s="343" t="s">
        <v>1056</v>
      </c>
      <c r="F138" s="37" t="s">
        <v>0</v>
      </c>
      <c r="G138" s="37" t="s">
        <v>1</v>
      </c>
      <c r="H138" s="37" t="s">
        <v>2</v>
      </c>
      <c r="I138" s="37" t="s">
        <v>3</v>
      </c>
      <c r="J138" s="37" t="s">
        <v>4</v>
      </c>
      <c r="K138" s="37" t="s">
        <v>5</v>
      </c>
      <c r="L138" s="667" t="s">
        <v>1457</v>
      </c>
      <c r="O138" s="608"/>
      <c r="Q138" s="3"/>
    </row>
    <row r="139" spans="2:17" hidden="1" outlineLevel="2" x14ac:dyDescent="0.35">
      <c r="B139" s="2"/>
      <c r="E139" s="5" t="s">
        <v>934</v>
      </c>
      <c r="F139" s="201"/>
      <c r="G139" s="201"/>
      <c r="H139" s="201"/>
      <c r="I139" s="201"/>
      <c r="J139" s="201"/>
      <c r="K139" s="201"/>
      <c r="L139" s="201"/>
      <c r="O139" s="608"/>
      <c r="Q139" s="3"/>
    </row>
    <row r="140" spans="2:17" hidden="1" outlineLevel="2" x14ac:dyDescent="0.35">
      <c r="B140" s="2"/>
      <c r="E140" s="5" t="s">
        <v>935</v>
      </c>
      <c r="F140" s="201"/>
      <c r="G140" s="201"/>
      <c r="H140" s="201"/>
      <c r="I140" s="201"/>
      <c r="J140" s="201"/>
      <c r="K140" s="201"/>
      <c r="L140" s="201"/>
      <c r="O140" s="608"/>
      <c r="Q140" s="3"/>
    </row>
    <row r="141" spans="2:17" hidden="1" outlineLevel="2" x14ac:dyDescent="0.35">
      <c r="B141" s="2"/>
      <c r="E141" s="5" t="s">
        <v>936</v>
      </c>
      <c r="F141" s="201"/>
      <c r="G141" s="201"/>
      <c r="H141" s="201"/>
      <c r="I141" s="201"/>
      <c r="J141" s="201"/>
      <c r="K141" s="201"/>
      <c r="L141" s="201"/>
      <c r="O141" s="608"/>
      <c r="Q141" s="3"/>
    </row>
    <row r="142" spans="2:17" hidden="1" outlineLevel="2" x14ac:dyDescent="0.35">
      <c r="B142" s="2"/>
      <c r="E142" s="5" t="s">
        <v>937</v>
      </c>
      <c r="F142" s="201"/>
      <c r="G142" s="201"/>
      <c r="H142" s="201"/>
      <c r="I142" s="201"/>
      <c r="J142" s="201"/>
      <c r="K142" s="201"/>
      <c r="L142" s="201"/>
      <c r="O142" s="608"/>
      <c r="Q142" s="3"/>
    </row>
    <row r="143" spans="2:17" hidden="1" outlineLevel="2" x14ac:dyDescent="0.35">
      <c r="B143" s="2"/>
      <c r="E143" s="5" t="s">
        <v>938</v>
      </c>
      <c r="F143" s="201"/>
      <c r="G143" s="201"/>
      <c r="H143" s="201"/>
      <c r="I143" s="201"/>
      <c r="J143" s="201"/>
      <c r="K143" s="201"/>
      <c r="L143" s="201"/>
      <c r="O143" s="608"/>
      <c r="Q143" s="3"/>
    </row>
    <row r="144" spans="2:17" hidden="1" outlineLevel="2" x14ac:dyDescent="0.35">
      <c r="B144" s="2"/>
      <c r="K144" s="5" t="s">
        <v>6</v>
      </c>
      <c r="L144" s="344">
        <f>SUM(F139:L143)</f>
        <v>0</v>
      </c>
      <c r="O144" s="608"/>
      <c r="Q144" s="3"/>
    </row>
    <row r="145" spans="2:17" hidden="1" outlineLevel="2" x14ac:dyDescent="0.35">
      <c r="B145" s="2"/>
      <c r="F145" s="728" t="s">
        <v>2100</v>
      </c>
      <c r="G145" s="728"/>
      <c r="H145" s="728"/>
      <c r="I145" s="728"/>
      <c r="J145" s="728"/>
      <c r="K145" s="728"/>
      <c r="L145" s="728"/>
      <c r="M145" s="177"/>
      <c r="Q145" s="3"/>
    </row>
    <row r="146" spans="2:17" hidden="1" outlineLevel="2" x14ac:dyDescent="0.35">
      <c r="B146" s="2"/>
      <c r="E146" s="343" t="s">
        <v>1056</v>
      </c>
      <c r="F146" s="37" t="s">
        <v>0</v>
      </c>
      <c r="G146" s="37" t="s">
        <v>1</v>
      </c>
      <c r="H146" s="37" t="s">
        <v>2</v>
      </c>
      <c r="I146" s="37" t="s">
        <v>3</v>
      </c>
      <c r="J146" s="37" t="s">
        <v>4</v>
      </c>
      <c r="K146" s="37" t="s">
        <v>5</v>
      </c>
      <c r="L146" s="667" t="s">
        <v>1457</v>
      </c>
      <c r="O146" s="608"/>
      <c r="Q146" s="3"/>
    </row>
    <row r="147" spans="2:17" hidden="1" outlineLevel="2" x14ac:dyDescent="0.35">
      <c r="B147" s="2"/>
      <c r="E147" s="5" t="s">
        <v>934</v>
      </c>
      <c r="F147" s="201"/>
      <c r="G147" s="201"/>
      <c r="H147" s="201"/>
      <c r="I147" s="201"/>
      <c r="J147" s="201"/>
      <c r="K147" s="201"/>
      <c r="L147" s="201"/>
      <c r="O147" s="608"/>
      <c r="Q147" s="3"/>
    </row>
    <row r="148" spans="2:17" hidden="1" outlineLevel="2" x14ac:dyDescent="0.35">
      <c r="B148" s="2"/>
      <c r="E148" s="5" t="s">
        <v>935</v>
      </c>
      <c r="F148" s="201"/>
      <c r="G148" s="201"/>
      <c r="H148" s="201"/>
      <c r="I148" s="201"/>
      <c r="J148" s="201"/>
      <c r="K148" s="201"/>
      <c r="L148" s="201"/>
      <c r="O148" s="608"/>
      <c r="Q148" s="3"/>
    </row>
    <row r="149" spans="2:17" hidden="1" outlineLevel="2" x14ac:dyDescent="0.35">
      <c r="B149" s="2"/>
      <c r="E149" s="5" t="s">
        <v>936</v>
      </c>
      <c r="F149" s="201"/>
      <c r="G149" s="201"/>
      <c r="H149" s="201"/>
      <c r="I149" s="201"/>
      <c r="J149" s="201"/>
      <c r="K149" s="201"/>
      <c r="L149" s="201"/>
      <c r="O149" s="608"/>
      <c r="Q149" s="3"/>
    </row>
    <row r="150" spans="2:17" hidden="1" outlineLevel="2" x14ac:dyDescent="0.35">
      <c r="B150" s="2"/>
      <c r="E150" s="5" t="s">
        <v>937</v>
      </c>
      <c r="F150" s="201"/>
      <c r="G150" s="201"/>
      <c r="H150" s="201"/>
      <c r="I150" s="201"/>
      <c r="J150" s="201"/>
      <c r="K150" s="201"/>
      <c r="L150" s="201"/>
      <c r="O150" s="608"/>
      <c r="Q150" s="3"/>
    </row>
    <row r="151" spans="2:17" hidden="1" outlineLevel="2" x14ac:dyDescent="0.35">
      <c r="B151" s="2"/>
      <c r="E151" s="5" t="s">
        <v>938</v>
      </c>
      <c r="F151" s="201"/>
      <c r="G151" s="201"/>
      <c r="H151" s="201"/>
      <c r="I151" s="201"/>
      <c r="J151" s="201"/>
      <c r="K151" s="201"/>
      <c r="L151" s="201"/>
      <c r="O151" s="608"/>
      <c r="Q151" s="3"/>
    </row>
    <row r="152" spans="2:17" hidden="1" outlineLevel="2" x14ac:dyDescent="0.35">
      <c r="B152" s="2"/>
      <c r="K152" s="5" t="s">
        <v>6</v>
      </c>
      <c r="L152" s="344">
        <f>SUM(F147:L151)</f>
        <v>0</v>
      </c>
      <c r="O152" s="608"/>
      <c r="Q152" s="3"/>
    </row>
    <row r="153" spans="2:17" ht="15.5" hidden="1" outlineLevel="2" x14ac:dyDescent="0.35">
      <c r="B153" s="2"/>
      <c r="C153" s="735" t="s">
        <v>4089</v>
      </c>
      <c r="D153" s="735"/>
      <c r="E153" s="735"/>
      <c r="Q153" s="3"/>
    </row>
    <row r="154" spans="2:17" hidden="1" outlineLevel="2" x14ac:dyDescent="0.35">
      <c r="B154" s="10"/>
      <c r="F154" s="728" t="s">
        <v>2097</v>
      </c>
      <c r="G154" s="728"/>
      <c r="H154" s="728"/>
      <c r="I154" s="728"/>
      <c r="J154" s="728"/>
      <c r="K154" s="728"/>
      <c r="L154" s="728"/>
      <c r="M154" s="177"/>
      <c r="Q154" s="3"/>
    </row>
    <row r="155" spans="2:17" hidden="1" outlineLevel="2" x14ac:dyDescent="0.35">
      <c r="B155" s="10"/>
      <c r="E155" s="343" t="s">
        <v>1056</v>
      </c>
      <c r="F155" s="37" t="s">
        <v>0</v>
      </c>
      <c r="G155" s="37" t="s">
        <v>1</v>
      </c>
      <c r="H155" s="37" t="s">
        <v>2</v>
      </c>
      <c r="I155" s="37" t="s">
        <v>3</v>
      </c>
      <c r="J155" s="37" t="s">
        <v>4</v>
      </c>
      <c r="K155" s="37" t="s">
        <v>5</v>
      </c>
      <c r="L155" s="667" t="s">
        <v>1457</v>
      </c>
      <c r="O155" s="608"/>
      <c r="Q155" s="3"/>
    </row>
    <row r="156" spans="2:17" hidden="1" outlineLevel="2" x14ac:dyDescent="0.35">
      <c r="B156" s="10"/>
      <c r="E156" s="5" t="s">
        <v>934</v>
      </c>
      <c r="F156" s="201"/>
      <c r="G156" s="201"/>
      <c r="H156" s="201"/>
      <c r="I156" s="201"/>
      <c r="J156" s="201"/>
      <c r="K156" s="201"/>
      <c r="L156" s="201"/>
      <c r="O156" s="608"/>
      <c r="Q156" s="3"/>
    </row>
    <row r="157" spans="2:17" hidden="1" outlineLevel="2" x14ac:dyDescent="0.35">
      <c r="B157" s="10"/>
      <c r="E157" s="5" t="s">
        <v>935</v>
      </c>
      <c r="F157" s="201"/>
      <c r="G157" s="201"/>
      <c r="H157" s="201"/>
      <c r="I157" s="201"/>
      <c r="J157" s="201"/>
      <c r="K157" s="201"/>
      <c r="L157" s="201"/>
      <c r="O157" s="608"/>
      <c r="Q157" s="3"/>
    </row>
    <row r="158" spans="2:17" hidden="1" outlineLevel="2" x14ac:dyDescent="0.35">
      <c r="B158" s="10"/>
      <c r="E158" s="5" t="s">
        <v>936</v>
      </c>
      <c r="F158" s="201"/>
      <c r="G158" s="201"/>
      <c r="H158" s="201"/>
      <c r="I158" s="201"/>
      <c r="J158" s="201"/>
      <c r="K158" s="201"/>
      <c r="L158" s="201"/>
      <c r="O158" s="608"/>
      <c r="Q158" s="3"/>
    </row>
    <row r="159" spans="2:17" hidden="1" outlineLevel="2" x14ac:dyDescent="0.35">
      <c r="B159" s="10"/>
      <c r="E159" s="5" t="s">
        <v>937</v>
      </c>
      <c r="F159" s="201"/>
      <c r="G159" s="201"/>
      <c r="H159" s="201"/>
      <c r="I159" s="201"/>
      <c r="J159" s="201"/>
      <c r="K159" s="201"/>
      <c r="L159" s="201"/>
      <c r="O159" s="608"/>
      <c r="Q159" s="3"/>
    </row>
    <row r="160" spans="2:17" hidden="1" outlineLevel="2" x14ac:dyDescent="0.35">
      <c r="B160" s="10"/>
      <c r="E160" s="5" t="s">
        <v>938</v>
      </c>
      <c r="F160" s="201"/>
      <c r="G160" s="201"/>
      <c r="H160" s="201"/>
      <c r="I160" s="201"/>
      <c r="J160" s="201"/>
      <c r="K160" s="201"/>
      <c r="L160" s="201"/>
      <c r="O160" s="608"/>
      <c r="Q160" s="3"/>
    </row>
    <row r="161" spans="2:17" hidden="1" outlineLevel="2" x14ac:dyDescent="0.35">
      <c r="B161" s="2"/>
      <c r="K161" s="5" t="s">
        <v>6</v>
      </c>
      <c r="L161" s="344">
        <f>SUM(F156:L160)</f>
        <v>0</v>
      </c>
      <c r="O161" s="608"/>
      <c r="Q161" s="3"/>
    </row>
    <row r="162" spans="2:17" hidden="1" outlineLevel="2" x14ac:dyDescent="0.35">
      <c r="B162" s="2"/>
      <c r="F162" s="728" t="s">
        <v>2098</v>
      </c>
      <c r="G162" s="728"/>
      <c r="H162" s="728"/>
      <c r="I162" s="728"/>
      <c r="J162" s="728"/>
      <c r="K162" s="728"/>
      <c r="L162" s="728"/>
      <c r="M162" s="177"/>
      <c r="Q162" s="3"/>
    </row>
    <row r="163" spans="2:17" hidden="1" outlineLevel="2" x14ac:dyDescent="0.35">
      <c r="B163" s="2"/>
      <c r="E163" s="343" t="s">
        <v>1056</v>
      </c>
      <c r="F163" s="37" t="s">
        <v>0</v>
      </c>
      <c r="G163" s="37" t="s">
        <v>1</v>
      </c>
      <c r="H163" s="37" t="s">
        <v>2</v>
      </c>
      <c r="I163" s="37" t="s">
        <v>3</v>
      </c>
      <c r="J163" s="37" t="s">
        <v>4</v>
      </c>
      <c r="K163" s="37" t="s">
        <v>5</v>
      </c>
      <c r="L163" s="667" t="s">
        <v>1457</v>
      </c>
      <c r="O163" s="608"/>
      <c r="Q163" s="3"/>
    </row>
    <row r="164" spans="2:17" hidden="1" outlineLevel="2" x14ac:dyDescent="0.35">
      <c r="B164" s="2"/>
      <c r="E164" s="5" t="s">
        <v>934</v>
      </c>
      <c r="F164" s="201"/>
      <c r="G164" s="201"/>
      <c r="H164" s="201"/>
      <c r="I164" s="201"/>
      <c r="J164" s="201"/>
      <c r="K164" s="201"/>
      <c r="L164" s="201"/>
      <c r="O164" s="608"/>
      <c r="Q164" s="3"/>
    </row>
    <row r="165" spans="2:17" hidden="1" outlineLevel="2" x14ac:dyDescent="0.35">
      <c r="B165" s="2"/>
      <c r="E165" s="5" t="s">
        <v>935</v>
      </c>
      <c r="F165" s="201"/>
      <c r="G165" s="201"/>
      <c r="H165" s="201"/>
      <c r="I165" s="201"/>
      <c r="J165" s="201"/>
      <c r="K165" s="201"/>
      <c r="L165" s="201"/>
      <c r="O165" s="608"/>
      <c r="Q165" s="3"/>
    </row>
    <row r="166" spans="2:17" hidden="1" outlineLevel="2" x14ac:dyDescent="0.35">
      <c r="B166" s="2"/>
      <c r="E166" s="5" t="s">
        <v>936</v>
      </c>
      <c r="F166" s="201"/>
      <c r="G166" s="201"/>
      <c r="H166" s="201"/>
      <c r="I166" s="201"/>
      <c r="J166" s="201"/>
      <c r="K166" s="201"/>
      <c r="L166" s="201"/>
      <c r="O166" s="608"/>
      <c r="Q166" s="3"/>
    </row>
    <row r="167" spans="2:17" hidden="1" outlineLevel="2" x14ac:dyDescent="0.35">
      <c r="B167" s="2"/>
      <c r="E167" s="5" t="s">
        <v>937</v>
      </c>
      <c r="F167" s="201"/>
      <c r="G167" s="201"/>
      <c r="H167" s="201"/>
      <c r="I167" s="201"/>
      <c r="J167" s="201"/>
      <c r="K167" s="201"/>
      <c r="L167" s="201"/>
      <c r="O167" s="608"/>
      <c r="Q167" s="3"/>
    </row>
    <row r="168" spans="2:17" hidden="1" outlineLevel="2" x14ac:dyDescent="0.35">
      <c r="B168" s="2"/>
      <c r="E168" s="5" t="s">
        <v>938</v>
      </c>
      <c r="F168" s="201"/>
      <c r="G168" s="201"/>
      <c r="H168" s="201"/>
      <c r="I168" s="201"/>
      <c r="J168" s="201"/>
      <c r="K168" s="201"/>
      <c r="L168" s="201"/>
      <c r="O168" s="608"/>
      <c r="Q168" s="3"/>
    </row>
    <row r="169" spans="2:17" hidden="1" outlineLevel="2" x14ac:dyDescent="0.35">
      <c r="B169" s="2"/>
      <c r="K169" s="5" t="s">
        <v>6</v>
      </c>
      <c r="L169" s="344">
        <f>SUM(F164:L168)</f>
        <v>0</v>
      </c>
      <c r="O169" s="608"/>
      <c r="Q169" s="3"/>
    </row>
    <row r="170" spans="2:17" hidden="1" outlineLevel="2" x14ac:dyDescent="0.35">
      <c r="B170" s="2"/>
      <c r="F170" s="728" t="s">
        <v>2099</v>
      </c>
      <c r="G170" s="728"/>
      <c r="H170" s="728"/>
      <c r="I170" s="728"/>
      <c r="J170" s="728"/>
      <c r="K170" s="728"/>
      <c r="L170" s="728"/>
      <c r="M170" s="177"/>
      <c r="Q170" s="3"/>
    </row>
    <row r="171" spans="2:17" hidden="1" outlineLevel="2" x14ac:dyDescent="0.35">
      <c r="B171" s="2"/>
      <c r="E171" s="343" t="s">
        <v>1056</v>
      </c>
      <c r="F171" s="37" t="s">
        <v>0</v>
      </c>
      <c r="G171" s="37" t="s">
        <v>1</v>
      </c>
      <c r="H171" s="37" t="s">
        <v>2</v>
      </c>
      <c r="I171" s="37" t="s">
        <v>3</v>
      </c>
      <c r="J171" s="37" t="s">
        <v>4</v>
      </c>
      <c r="K171" s="37" t="s">
        <v>5</v>
      </c>
      <c r="L171" s="667" t="s">
        <v>1457</v>
      </c>
      <c r="O171" s="608"/>
      <c r="Q171" s="3"/>
    </row>
    <row r="172" spans="2:17" hidden="1" outlineLevel="2" x14ac:dyDescent="0.35">
      <c r="B172" s="2"/>
      <c r="E172" s="5" t="s">
        <v>934</v>
      </c>
      <c r="F172" s="201"/>
      <c r="G172" s="201"/>
      <c r="H172" s="201"/>
      <c r="I172" s="201"/>
      <c r="J172" s="201"/>
      <c r="K172" s="201"/>
      <c r="L172" s="201"/>
      <c r="O172" s="608"/>
      <c r="Q172" s="3"/>
    </row>
    <row r="173" spans="2:17" hidden="1" outlineLevel="2" x14ac:dyDescent="0.35">
      <c r="B173" s="2"/>
      <c r="E173" s="5" t="s">
        <v>935</v>
      </c>
      <c r="F173" s="201"/>
      <c r="G173" s="201"/>
      <c r="H173" s="201"/>
      <c r="I173" s="201"/>
      <c r="J173" s="201"/>
      <c r="K173" s="201"/>
      <c r="L173" s="201"/>
      <c r="O173" s="608"/>
      <c r="Q173" s="3"/>
    </row>
    <row r="174" spans="2:17" hidden="1" outlineLevel="2" x14ac:dyDescent="0.35">
      <c r="B174" s="2"/>
      <c r="E174" s="5" t="s">
        <v>936</v>
      </c>
      <c r="F174" s="201"/>
      <c r="G174" s="201"/>
      <c r="H174" s="201"/>
      <c r="I174" s="201"/>
      <c r="J174" s="201"/>
      <c r="K174" s="201"/>
      <c r="L174" s="201"/>
      <c r="O174" s="608"/>
      <c r="Q174" s="3"/>
    </row>
    <row r="175" spans="2:17" hidden="1" outlineLevel="2" x14ac:dyDescent="0.35">
      <c r="B175" s="2"/>
      <c r="E175" s="5" t="s">
        <v>937</v>
      </c>
      <c r="F175" s="201"/>
      <c r="G175" s="201"/>
      <c r="H175" s="201"/>
      <c r="I175" s="201"/>
      <c r="J175" s="201"/>
      <c r="K175" s="201"/>
      <c r="L175" s="201"/>
      <c r="O175" s="608"/>
      <c r="Q175" s="3"/>
    </row>
    <row r="176" spans="2:17" hidden="1" outlineLevel="2" x14ac:dyDescent="0.35">
      <c r="B176" s="2"/>
      <c r="E176" s="5" t="s">
        <v>938</v>
      </c>
      <c r="F176" s="201"/>
      <c r="G176" s="201"/>
      <c r="H176" s="201"/>
      <c r="I176" s="201"/>
      <c r="J176" s="201"/>
      <c r="K176" s="201"/>
      <c r="L176" s="201"/>
      <c r="O176" s="608"/>
      <c r="Q176" s="3"/>
    </row>
    <row r="177" spans="1:18" hidden="1" outlineLevel="2" x14ac:dyDescent="0.35">
      <c r="B177" s="2"/>
      <c r="K177" s="5" t="s">
        <v>6</v>
      </c>
      <c r="L177" s="344">
        <f>SUM(F172:L176)</f>
        <v>0</v>
      </c>
      <c r="O177" s="608"/>
      <c r="Q177" s="3"/>
    </row>
    <row r="178" spans="1:18" hidden="1" outlineLevel="2" x14ac:dyDescent="0.35">
      <c r="B178" s="2"/>
      <c r="F178" s="728" t="s">
        <v>2100</v>
      </c>
      <c r="G178" s="728"/>
      <c r="H178" s="728"/>
      <c r="I178" s="728"/>
      <c r="J178" s="728"/>
      <c r="K178" s="728"/>
      <c r="L178" s="728"/>
      <c r="M178" s="177"/>
      <c r="Q178" s="3"/>
    </row>
    <row r="179" spans="1:18" hidden="1" outlineLevel="2" x14ac:dyDescent="0.35">
      <c r="B179" s="2"/>
      <c r="E179" s="343" t="s">
        <v>1056</v>
      </c>
      <c r="F179" s="37" t="s">
        <v>0</v>
      </c>
      <c r="G179" s="37" t="s">
        <v>1</v>
      </c>
      <c r="H179" s="37" t="s">
        <v>2</v>
      </c>
      <c r="I179" s="37" t="s">
        <v>3</v>
      </c>
      <c r="J179" s="37" t="s">
        <v>4</v>
      </c>
      <c r="K179" s="37" t="s">
        <v>5</v>
      </c>
      <c r="L179" s="667" t="s">
        <v>1457</v>
      </c>
      <c r="O179" s="608"/>
      <c r="Q179" s="3"/>
    </row>
    <row r="180" spans="1:18" hidden="1" outlineLevel="2" x14ac:dyDescent="0.35">
      <c r="B180" s="2"/>
      <c r="E180" s="5" t="s">
        <v>934</v>
      </c>
      <c r="F180" s="201"/>
      <c r="G180" s="201"/>
      <c r="H180" s="201"/>
      <c r="I180" s="201"/>
      <c r="J180" s="201"/>
      <c r="K180" s="201"/>
      <c r="L180" s="201"/>
      <c r="O180" s="608"/>
      <c r="Q180" s="3"/>
    </row>
    <row r="181" spans="1:18" hidden="1" outlineLevel="2" x14ac:dyDescent="0.35">
      <c r="B181" s="2"/>
      <c r="E181" s="5" t="s">
        <v>935</v>
      </c>
      <c r="F181" s="201"/>
      <c r="G181" s="201"/>
      <c r="H181" s="201"/>
      <c r="I181" s="201"/>
      <c r="J181" s="201"/>
      <c r="K181" s="201"/>
      <c r="L181" s="201"/>
      <c r="O181" s="608"/>
      <c r="Q181" s="3"/>
    </row>
    <row r="182" spans="1:18" hidden="1" outlineLevel="2" x14ac:dyDescent="0.35">
      <c r="B182" s="2"/>
      <c r="E182" s="5" t="s">
        <v>936</v>
      </c>
      <c r="F182" s="201"/>
      <c r="G182" s="201"/>
      <c r="H182" s="201"/>
      <c r="I182" s="201"/>
      <c r="J182" s="201"/>
      <c r="K182" s="201"/>
      <c r="L182" s="201"/>
      <c r="O182" s="608"/>
      <c r="Q182" s="3"/>
    </row>
    <row r="183" spans="1:18" hidden="1" outlineLevel="2" x14ac:dyDescent="0.35">
      <c r="B183" s="2"/>
      <c r="E183" s="5" t="s">
        <v>937</v>
      </c>
      <c r="F183" s="201"/>
      <c r="G183" s="201"/>
      <c r="H183" s="201"/>
      <c r="I183" s="201"/>
      <c r="J183" s="201"/>
      <c r="K183" s="201"/>
      <c r="L183" s="201"/>
      <c r="O183" s="608"/>
      <c r="Q183" s="3"/>
    </row>
    <row r="184" spans="1:18" hidden="1" outlineLevel="2" x14ac:dyDescent="0.35">
      <c r="B184" s="2"/>
      <c r="E184" s="5" t="s">
        <v>938</v>
      </c>
      <c r="F184" s="201"/>
      <c r="G184" s="201"/>
      <c r="H184" s="201"/>
      <c r="I184" s="201"/>
      <c r="J184" s="201"/>
      <c r="K184" s="201"/>
      <c r="L184" s="201"/>
      <c r="O184" s="608"/>
      <c r="Q184" s="3"/>
    </row>
    <row r="185" spans="1:18" hidden="1" outlineLevel="2" x14ac:dyDescent="0.35">
      <c r="B185" s="2"/>
      <c r="K185" s="5" t="s">
        <v>6</v>
      </c>
      <c r="L185" s="344">
        <f>SUM(F180:L184)</f>
        <v>0</v>
      </c>
      <c r="O185" s="608"/>
      <c r="Q185" s="3"/>
    </row>
    <row r="186" spans="1:18" ht="15" outlineLevel="1" collapsed="1" thickBot="1" x14ac:dyDescent="0.4">
      <c r="A186" s="180" t="s">
        <v>2087</v>
      </c>
      <c r="B186" s="348"/>
      <c r="C186" s="22"/>
      <c r="D186" s="22"/>
      <c r="E186" s="22"/>
      <c r="F186" s="22"/>
      <c r="G186" s="22"/>
      <c r="H186" s="22"/>
      <c r="I186" s="22"/>
      <c r="J186" s="22"/>
      <c r="K186" s="22"/>
      <c r="L186" s="22"/>
      <c r="M186" s="22"/>
      <c r="N186" s="22"/>
      <c r="O186" s="609"/>
      <c r="P186" s="22"/>
      <c r="Q186" s="349"/>
    </row>
    <row r="187" spans="1:18" ht="15.5" outlineLevel="1" x14ac:dyDescent="0.35">
      <c r="A187" s="180" t="s">
        <v>2087</v>
      </c>
      <c r="B187" s="337" t="s">
        <v>4436</v>
      </c>
      <c r="C187" s="338"/>
      <c r="D187" s="338"/>
      <c r="E187" s="339"/>
      <c r="F187" s="339"/>
      <c r="G187" s="339"/>
      <c r="H187" s="339"/>
      <c r="I187" s="339"/>
      <c r="J187" s="339"/>
      <c r="K187" s="339"/>
      <c r="L187" s="339"/>
      <c r="M187" s="339"/>
      <c r="N187" s="339"/>
      <c r="O187" s="607"/>
      <c r="P187" s="638" t="s">
        <v>967</v>
      </c>
      <c r="Q187" s="650">
        <f>SUM(L189,L199,L209,L219,L229,L239,L249,L259,L269,L279,L289,L299)</f>
        <v>0</v>
      </c>
      <c r="R187" s="44"/>
    </row>
    <row r="188" spans="1:18" hidden="1" outlineLevel="2" x14ac:dyDescent="0.35">
      <c r="B188" s="2"/>
      <c r="E188" s="5"/>
      <c r="F188" s="5"/>
      <c r="G188" s="5"/>
      <c r="H188" s="5"/>
      <c r="I188" s="5"/>
      <c r="J188" s="5"/>
      <c r="K188" s="5"/>
      <c r="L188" s="5"/>
      <c r="M188" s="5"/>
      <c r="O188" s="474" t="s">
        <v>3102</v>
      </c>
      <c r="Q188" s="3"/>
    </row>
    <row r="189" spans="1:18" hidden="1" outlineLevel="2" x14ac:dyDescent="0.35">
      <c r="B189" s="2"/>
      <c r="C189" s="350"/>
      <c r="D189" s="351" t="s">
        <v>2101</v>
      </c>
      <c r="E189" s="352">
        <f>Lists!$C$3</f>
        <v>1</v>
      </c>
      <c r="G189" s="5" t="s">
        <v>8</v>
      </c>
      <c r="H189" s="344" t="str">
        <f>Lists!$B$3</f>
        <v>Non-financial Corporates</v>
      </c>
      <c r="I189" s="344"/>
      <c r="K189" s="5" t="s">
        <v>6</v>
      </c>
      <c r="L189" s="344">
        <f>SUM(C192:M196)</f>
        <v>0</v>
      </c>
      <c r="O189" s="608"/>
      <c r="Q189" s="3"/>
    </row>
    <row r="190" spans="1:18" hidden="1" outlineLevel="3" x14ac:dyDescent="0.35">
      <c r="B190" s="2"/>
      <c r="C190" s="732" t="s">
        <v>10</v>
      </c>
      <c r="D190" s="732"/>
      <c r="E190" s="732"/>
      <c r="F190" s="732"/>
      <c r="G190" s="732"/>
      <c r="H190" s="732"/>
      <c r="I190" s="732"/>
      <c r="J190" s="732"/>
      <c r="K190" s="732"/>
      <c r="L190" s="732"/>
      <c r="M190" s="732"/>
      <c r="O190" s="608"/>
      <c r="Q190" s="3"/>
    </row>
    <row r="191" spans="1:18" hidden="1" outlineLevel="3" x14ac:dyDescent="0.35">
      <c r="B191" s="353" t="s">
        <v>1056</v>
      </c>
      <c r="C191" s="489">
        <v>1</v>
      </c>
      <c r="D191" s="489">
        <v>2</v>
      </c>
      <c r="E191" s="489">
        <v>3</v>
      </c>
      <c r="F191" s="489">
        <v>4</v>
      </c>
      <c r="G191" s="489">
        <v>5</v>
      </c>
      <c r="H191" s="489">
        <v>6</v>
      </c>
      <c r="I191" s="489">
        <v>7</v>
      </c>
      <c r="J191" s="489">
        <v>8</v>
      </c>
      <c r="K191" s="489">
        <v>9</v>
      </c>
      <c r="L191" s="489">
        <v>10</v>
      </c>
      <c r="M191" s="489" t="s">
        <v>11</v>
      </c>
      <c r="O191" s="608"/>
      <c r="Q191" s="3"/>
    </row>
    <row r="192" spans="1:18" hidden="1" outlineLevel="3" x14ac:dyDescent="0.35">
      <c r="B192" s="353" t="s">
        <v>934</v>
      </c>
      <c r="C192" s="668"/>
      <c r="D192" s="668"/>
      <c r="E192" s="668"/>
      <c r="F192" s="668"/>
      <c r="G192" s="668"/>
      <c r="H192" s="668"/>
      <c r="I192" s="668"/>
      <c r="J192" s="668"/>
      <c r="K192" s="668"/>
      <c r="L192" s="668"/>
      <c r="M192" s="668"/>
      <c r="O192" s="608"/>
      <c r="Q192" s="3"/>
    </row>
    <row r="193" spans="2:17" hidden="1" outlineLevel="3" x14ac:dyDescent="0.35">
      <c r="B193" s="353" t="s">
        <v>935</v>
      </c>
      <c r="C193" s="668"/>
      <c r="D193" s="668"/>
      <c r="E193" s="668"/>
      <c r="F193" s="668"/>
      <c r="G193" s="668"/>
      <c r="H193" s="668"/>
      <c r="I193" s="668"/>
      <c r="J193" s="668"/>
      <c r="K193" s="668"/>
      <c r="L193" s="668"/>
      <c r="M193" s="668"/>
      <c r="O193" s="608"/>
      <c r="Q193" s="3"/>
    </row>
    <row r="194" spans="2:17" hidden="1" outlineLevel="3" x14ac:dyDescent="0.35">
      <c r="B194" s="353" t="s">
        <v>936</v>
      </c>
      <c r="C194" s="668"/>
      <c r="D194" s="668"/>
      <c r="E194" s="668"/>
      <c r="F194" s="668"/>
      <c r="G194" s="668"/>
      <c r="H194" s="668"/>
      <c r="I194" s="668"/>
      <c r="J194" s="668"/>
      <c r="K194" s="668"/>
      <c r="L194" s="668"/>
      <c r="M194" s="668"/>
      <c r="O194" s="608"/>
      <c r="Q194" s="3"/>
    </row>
    <row r="195" spans="2:17" hidden="1" outlineLevel="3" x14ac:dyDescent="0.35">
      <c r="B195" s="353" t="s">
        <v>937</v>
      </c>
      <c r="C195" s="668"/>
      <c r="D195" s="668"/>
      <c r="E195" s="668"/>
      <c r="F195" s="668"/>
      <c r="G195" s="668"/>
      <c r="H195" s="668"/>
      <c r="I195" s="668"/>
      <c r="J195" s="668"/>
      <c r="K195" s="668"/>
      <c r="L195" s="668"/>
      <c r="M195" s="668"/>
      <c r="O195" s="608"/>
      <c r="Q195" s="3"/>
    </row>
    <row r="196" spans="2:17" hidden="1" outlineLevel="3" x14ac:dyDescent="0.35">
      <c r="B196" s="353" t="s">
        <v>938</v>
      </c>
      <c r="C196" s="668"/>
      <c r="D196" s="668"/>
      <c r="E196" s="668"/>
      <c r="F196" s="668"/>
      <c r="G196" s="668"/>
      <c r="H196" s="668"/>
      <c r="I196" s="668"/>
      <c r="J196" s="668"/>
      <c r="K196" s="668"/>
      <c r="L196" s="668"/>
      <c r="M196" s="668"/>
      <c r="O196" s="608"/>
      <c r="Q196" s="3"/>
    </row>
    <row r="197" spans="2:17" hidden="1" outlineLevel="3" x14ac:dyDescent="0.35">
      <c r="B197" s="2"/>
      <c r="Q197" s="3"/>
    </row>
    <row r="198" spans="2:17" hidden="1" outlineLevel="2" x14ac:dyDescent="0.35">
      <c r="B198" s="2"/>
      <c r="Q198" s="3"/>
    </row>
    <row r="199" spans="2:17" hidden="1" outlineLevel="2" x14ac:dyDescent="0.35">
      <c r="B199" s="2"/>
      <c r="C199" s="350"/>
      <c r="D199" s="351" t="s">
        <v>2101</v>
      </c>
      <c r="E199" s="352">
        <f>Lists!$C$4</f>
        <v>2</v>
      </c>
      <c r="G199" s="5" t="s">
        <v>8</v>
      </c>
      <c r="H199" s="344" t="str">
        <f>Lists!$B$3</f>
        <v>Non-financial Corporates</v>
      </c>
      <c r="I199" s="344"/>
      <c r="K199" s="5" t="s">
        <v>6</v>
      </c>
      <c r="L199" s="344">
        <f>SUM(C202:M206)</f>
        <v>0</v>
      </c>
      <c r="O199" s="608"/>
      <c r="Q199" s="3"/>
    </row>
    <row r="200" spans="2:17" hidden="1" outlineLevel="3" x14ac:dyDescent="0.35">
      <c r="B200" s="2"/>
      <c r="C200" s="732" t="s">
        <v>10</v>
      </c>
      <c r="D200" s="732"/>
      <c r="E200" s="732"/>
      <c r="F200" s="732"/>
      <c r="G200" s="732"/>
      <c r="H200" s="732"/>
      <c r="I200" s="732"/>
      <c r="J200" s="732"/>
      <c r="K200" s="732"/>
      <c r="L200" s="732"/>
      <c r="M200" s="732"/>
      <c r="O200" s="608"/>
      <c r="Q200" s="3"/>
    </row>
    <row r="201" spans="2:17" hidden="1" outlineLevel="3" x14ac:dyDescent="0.35">
      <c r="B201" s="353" t="s">
        <v>1056</v>
      </c>
      <c r="C201" s="489">
        <v>1</v>
      </c>
      <c r="D201" s="489">
        <v>2</v>
      </c>
      <c r="E201" s="489">
        <v>3</v>
      </c>
      <c r="F201" s="489">
        <v>4</v>
      </c>
      <c r="G201" s="489">
        <v>5</v>
      </c>
      <c r="H201" s="489">
        <v>6</v>
      </c>
      <c r="I201" s="489">
        <v>7</v>
      </c>
      <c r="J201" s="489">
        <v>8</v>
      </c>
      <c r="K201" s="489">
        <v>9</v>
      </c>
      <c r="L201" s="489">
        <v>10</v>
      </c>
      <c r="M201" s="489" t="s">
        <v>11</v>
      </c>
      <c r="O201" s="608"/>
      <c r="Q201" s="3"/>
    </row>
    <row r="202" spans="2:17" hidden="1" outlineLevel="3" x14ac:dyDescent="0.35">
      <c r="B202" s="353" t="s">
        <v>934</v>
      </c>
      <c r="C202" s="668"/>
      <c r="D202" s="668"/>
      <c r="E202" s="668"/>
      <c r="F202" s="668"/>
      <c r="G202" s="668"/>
      <c r="H202" s="668"/>
      <c r="I202" s="668"/>
      <c r="J202" s="668"/>
      <c r="K202" s="668"/>
      <c r="L202" s="668"/>
      <c r="M202" s="668"/>
      <c r="O202" s="608"/>
      <c r="Q202" s="3"/>
    </row>
    <row r="203" spans="2:17" hidden="1" outlineLevel="3" x14ac:dyDescent="0.35">
      <c r="B203" s="353" t="s">
        <v>935</v>
      </c>
      <c r="C203" s="668"/>
      <c r="D203" s="668"/>
      <c r="E203" s="668"/>
      <c r="F203" s="668"/>
      <c r="G203" s="668"/>
      <c r="H203" s="668"/>
      <c r="I203" s="668"/>
      <c r="J203" s="668"/>
      <c r="K203" s="668"/>
      <c r="L203" s="668"/>
      <c r="M203" s="668"/>
      <c r="O203" s="608"/>
      <c r="Q203" s="3"/>
    </row>
    <row r="204" spans="2:17" hidden="1" outlineLevel="3" x14ac:dyDescent="0.35">
      <c r="B204" s="353" t="s">
        <v>936</v>
      </c>
      <c r="C204" s="668"/>
      <c r="D204" s="668"/>
      <c r="E204" s="668"/>
      <c r="F204" s="668"/>
      <c r="G204" s="668"/>
      <c r="H204" s="668"/>
      <c r="I204" s="668"/>
      <c r="J204" s="668"/>
      <c r="K204" s="668"/>
      <c r="L204" s="668"/>
      <c r="M204" s="668"/>
      <c r="O204" s="608"/>
      <c r="Q204" s="3"/>
    </row>
    <row r="205" spans="2:17" hidden="1" outlineLevel="3" x14ac:dyDescent="0.35">
      <c r="B205" s="353" t="s">
        <v>937</v>
      </c>
      <c r="C205" s="668"/>
      <c r="D205" s="668"/>
      <c r="E205" s="668"/>
      <c r="F205" s="668"/>
      <c r="G205" s="668"/>
      <c r="H205" s="668"/>
      <c r="I205" s="668"/>
      <c r="J205" s="668"/>
      <c r="K205" s="668"/>
      <c r="L205" s="668"/>
      <c r="M205" s="668"/>
      <c r="O205" s="608"/>
      <c r="Q205" s="3"/>
    </row>
    <row r="206" spans="2:17" hidden="1" outlineLevel="3" x14ac:dyDescent="0.35">
      <c r="B206" s="353" t="s">
        <v>938</v>
      </c>
      <c r="C206" s="668"/>
      <c r="D206" s="668"/>
      <c r="E206" s="668"/>
      <c r="F206" s="668"/>
      <c r="G206" s="668"/>
      <c r="H206" s="668"/>
      <c r="I206" s="668"/>
      <c r="J206" s="668"/>
      <c r="K206" s="668"/>
      <c r="L206" s="668"/>
      <c r="M206" s="668"/>
      <c r="O206" s="608"/>
      <c r="Q206" s="3"/>
    </row>
    <row r="207" spans="2:17" hidden="1" outlineLevel="3" x14ac:dyDescent="0.35">
      <c r="B207" s="2"/>
      <c r="Q207" s="3"/>
    </row>
    <row r="208" spans="2:17" hidden="1" outlineLevel="2" x14ac:dyDescent="0.35">
      <c r="B208" s="2"/>
      <c r="Q208" s="3"/>
    </row>
    <row r="209" spans="2:17" hidden="1" outlineLevel="2" x14ac:dyDescent="0.35">
      <c r="B209" s="2"/>
      <c r="C209" s="350"/>
      <c r="D209" s="351" t="s">
        <v>2101</v>
      </c>
      <c r="E209" s="352">
        <f>Lists!$C$5</f>
        <v>3</v>
      </c>
      <c r="G209" s="5" t="s">
        <v>8</v>
      </c>
      <c r="H209" s="344" t="str">
        <f>Lists!$B$3</f>
        <v>Non-financial Corporates</v>
      </c>
      <c r="I209" s="344"/>
      <c r="K209" s="5" t="s">
        <v>6</v>
      </c>
      <c r="L209" s="344">
        <f>SUM(C212:M216)</f>
        <v>0</v>
      </c>
      <c r="O209" s="608"/>
      <c r="Q209" s="3"/>
    </row>
    <row r="210" spans="2:17" hidden="1" outlineLevel="3" x14ac:dyDescent="0.35">
      <c r="B210" s="2"/>
      <c r="C210" s="732" t="s">
        <v>10</v>
      </c>
      <c r="D210" s="732"/>
      <c r="E210" s="732"/>
      <c r="F210" s="732"/>
      <c r="G210" s="732"/>
      <c r="H210" s="732"/>
      <c r="I210" s="732"/>
      <c r="J210" s="732"/>
      <c r="K210" s="732"/>
      <c r="L210" s="732"/>
      <c r="M210" s="732"/>
      <c r="O210" s="608"/>
      <c r="Q210" s="3"/>
    </row>
    <row r="211" spans="2:17" hidden="1" outlineLevel="3" x14ac:dyDescent="0.35">
      <c r="B211" s="353" t="s">
        <v>1056</v>
      </c>
      <c r="C211" s="489">
        <v>1</v>
      </c>
      <c r="D211" s="489">
        <v>2</v>
      </c>
      <c r="E211" s="489">
        <v>3</v>
      </c>
      <c r="F211" s="489">
        <v>4</v>
      </c>
      <c r="G211" s="489">
        <v>5</v>
      </c>
      <c r="H211" s="489">
        <v>6</v>
      </c>
      <c r="I211" s="489">
        <v>7</v>
      </c>
      <c r="J211" s="489">
        <v>8</v>
      </c>
      <c r="K211" s="489">
        <v>9</v>
      </c>
      <c r="L211" s="489">
        <v>10</v>
      </c>
      <c r="M211" s="489" t="s">
        <v>11</v>
      </c>
      <c r="O211" s="608"/>
      <c r="Q211" s="3"/>
    </row>
    <row r="212" spans="2:17" hidden="1" outlineLevel="3" x14ac:dyDescent="0.35">
      <c r="B212" s="353" t="s">
        <v>934</v>
      </c>
      <c r="C212" s="668"/>
      <c r="D212" s="668"/>
      <c r="E212" s="668"/>
      <c r="F212" s="668"/>
      <c r="G212" s="668"/>
      <c r="H212" s="668"/>
      <c r="I212" s="668"/>
      <c r="J212" s="668"/>
      <c r="K212" s="668"/>
      <c r="L212" s="668"/>
      <c r="M212" s="668"/>
      <c r="O212" s="608"/>
      <c r="Q212" s="3"/>
    </row>
    <row r="213" spans="2:17" hidden="1" outlineLevel="3" x14ac:dyDescent="0.35">
      <c r="B213" s="353" t="s">
        <v>935</v>
      </c>
      <c r="C213" s="668"/>
      <c r="D213" s="668"/>
      <c r="E213" s="668"/>
      <c r="F213" s="668"/>
      <c r="G213" s="668"/>
      <c r="H213" s="668"/>
      <c r="I213" s="668"/>
      <c r="J213" s="668"/>
      <c r="K213" s="668"/>
      <c r="L213" s="668"/>
      <c r="M213" s="668"/>
      <c r="O213" s="608"/>
      <c r="Q213" s="3"/>
    </row>
    <row r="214" spans="2:17" hidden="1" outlineLevel="3" x14ac:dyDescent="0.35">
      <c r="B214" s="353" t="s">
        <v>936</v>
      </c>
      <c r="C214" s="668"/>
      <c r="D214" s="668"/>
      <c r="E214" s="668"/>
      <c r="F214" s="668"/>
      <c r="G214" s="668"/>
      <c r="H214" s="668"/>
      <c r="I214" s="668"/>
      <c r="J214" s="668"/>
      <c r="K214" s="668"/>
      <c r="L214" s="668"/>
      <c r="M214" s="668"/>
      <c r="O214" s="608"/>
      <c r="Q214" s="3"/>
    </row>
    <row r="215" spans="2:17" hidden="1" outlineLevel="3" x14ac:dyDescent="0.35">
      <c r="B215" s="353" t="s">
        <v>937</v>
      </c>
      <c r="C215" s="668"/>
      <c r="D215" s="668"/>
      <c r="E215" s="668"/>
      <c r="F215" s="668"/>
      <c r="G215" s="668"/>
      <c r="H215" s="668"/>
      <c r="I215" s="668"/>
      <c r="J215" s="668"/>
      <c r="K215" s="668"/>
      <c r="L215" s="668"/>
      <c r="M215" s="668"/>
      <c r="O215" s="608"/>
      <c r="Q215" s="3"/>
    </row>
    <row r="216" spans="2:17" hidden="1" outlineLevel="3" x14ac:dyDescent="0.35">
      <c r="B216" s="353" t="s">
        <v>938</v>
      </c>
      <c r="C216" s="668"/>
      <c r="D216" s="668"/>
      <c r="E216" s="668"/>
      <c r="F216" s="668"/>
      <c r="G216" s="668"/>
      <c r="H216" s="668"/>
      <c r="I216" s="668"/>
      <c r="J216" s="668"/>
      <c r="K216" s="668"/>
      <c r="L216" s="668"/>
      <c r="M216" s="668"/>
      <c r="O216" s="608"/>
      <c r="Q216" s="3"/>
    </row>
    <row r="217" spans="2:17" hidden="1" outlineLevel="3" x14ac:dyDescent="0.35">
      <c r="B217" s="2"/>
      <c r="Q217" s="3"/>
    </row>
    <row r="218" spans="2:17" hidden="1" outlineLevel="2" x14ac:dyDescent="0.35">
      <c r="B218" s="2"/>
      <c r="Q218" s="3"/>
    </row>
    <row r="219" spans="2:17" hidden="1" outlineLevel="2" x14ac:dyDescent="0.35">
      <c r="B219" s="2"/>
      <c r="C219" s="350"/>
      <c r="D219" s="351" t="s">
        <v>2101</v>
      </c>
      <c r="E219" s="352">
        <f>Lists!$C$3</f>
        <v>1</v>
      </c>
      <c r="G219" s="5" t="s">
        <v>8</v>
      </c>
      <c r="H219" s="344" t="str">
        <f>Lists!$B$4</f>
        <v>Financials</v>
      </c>
      <c r="I219" s="344"/>
      <c r="K219" s="5" t="s">
        <v>6</v>
      </c>
      <c r="L219" s="344">
        <f>SUM(C222:M226)</f>
        <v>0</v>
      </c>
      <c r="O219" s="608"/>
      <c r="Q219" s="3"/>
    </row>
    <row r="220" spans="2:17" ht="15" hidden="1" customHeight="1" outlineLevel="3" x14ac:dyDescent="0.35">
      <c r="B220" s="2"/>
      <c r="C220" s="732" t="s">
        <v>10</v>
      </c>
      <c r="D220" s="732"/>
      <c r="E220" s="732"/>
      <c r="F220" s="732"/>
      <c r="G220" s="732"/>
      <c r="H220" s="732"/>
      <c r="I220" s="732"/>
      <c r="J220" s="732"/>
      <c r="K220" s="732"/>
      <c r="L220" s="732"/>
      <c r="M220" s="732"/>
      <c r="O220" s="608"/>
      <c r="Q220" s="3"/>
    </row>
    <row r="221" spans="2:17" hidden="1" outlineLevel="3" x14ac:dyDescent="0.35">
      <c r="B221" s="353" t="s">
        <v>1056</v>
      </c>
      <c r="C221" s="489">
        <v>1</v>
      </c>
      <c r="D221" s="489">
        <v>2</v>
      </c>
      <c r="E221" s="489">
        <v>3</v>
      </c>
      <c r="F221" s="489">
        <v>4</v>
      </c>
      <c r="G221" s="489">
        <v>5</v>
      </c>
      <c r="H221" s="489">
        <v>6</v>
      </c>
      <c r="I221" s="489">
        <v>7</v>
      </c>
      <c r="J221" s="489">
        <v>8</v>
      </c>
      <c r="K221" s="489">
        <v>9</v>
      </c>
      <c r="L221" s="489">
        <v>10</v>
      </c>
      <c r="M221" s="489" t="s">
        <v>11</v>
      </c>
      <c r="O221" s="608"/>
      <c r="Q221" s="3"/>
    </row>
    <row r="222" spans="2:17" hidden="1" outlineLevel="3" x14ac:dyDescent="0.35">
      <c r="B222" s="353" t="s">
        <v>934</v>
      </c>
      <c r="C222" s="668"/>
      <c r="D222" s="668"/>
      <c r="E222" s="668"/>
      <c r="F222" s="668"/>
      <c r="G222" s="668"/>
      <c r="H222" s="668"/>
      <c r="I222" s="668"/>
      <c r="J222" s="668"/>
      <c r="K222" s="668"/>
      <c r="L222" s="668"/>
      <c r="M222" s="668"/>
      <c r="O222" s="608"/>
      <c r="Q222" s="3"/>
    </row>
    <row r="223" spans="2:17" hidden="1" outlineLevel="3" x14ac:dyDescent="0.35">
      <c r="B223" s="353" t="s">
        <v>935</v>
      </c>
      <c r="C223" s="668"/>
      <c r="D223" s="668"/>
      <c r="E223" s="668"/>
      <c r="F223" s="668"/>
      <c r="G223" s="668"/>
      <c r="H223" s="668"/>
      <c r="I223" s="668"/>
      <c r="J223" s="668"/>
      <c r="K223" s="668"/>
      <c r="L223" s="668"/>
      <c r="M223" s="668"/>
      <c r="O223" s="608"/>
      <c r="Q223" s="3"/>
    </row>
    <row r="224" spans="2:17" hidden="1" outlineLevel="3" x14ac:dyDescent="0.35">
      <c r="B224" s="353" t="s">
        <v>936</v>
      </c>
      <c r="C224" s="668"/>
      <c r="D224" s="668"/>
      <c r="E224" s="668"/>
      <c r="F224" s="668"/>
      <c r="G224" s="668"/>
      <c r="H224" s="668"/>
      <c r="I224" s="668"/>
      <c r="J224" s="668"/>
      <c r="K224" s="668"/>
      <c r="L224" s="668"/>
      <c r="M224" s="668"/>
      <c r="O224" s="608"/>
      <c r="Q224" s="3"/>
    </row>
    <row r="225" spans="2:17" hidden="1" outlineLevel="3" x14ac:dyDescent="0.35">
      <c r="B225" s="353" t="s">
        <v>937</v>
      </c>
      <c r="C225" s="668"/>
      <c r="D225" s="668"/>
      <c r="E225" s="668"/>
      <c r="F225" s="668"/>
      <c r="G225" s="668"/>
      <c r="H225" s="668"/>
      <c r="I225" s="668"/>
      <c r="J225" s="668"/>
      <c r="K225" s="668"/>
      <c r="L225" s="668"/>
      <c r="M225" s="668"/>
      <c r="O225" s="608"/>
      <c r="Q225" s="3"/>
    </row>
    <row r="226" spans="2:17" hidden="1" outlineLevel="3" x14ac:dyDescent="0.35">
      <c r="B226" s="353" t="s">
        <v>938</v>
      </c>
      <c r="C226" s="668"/>
      <c r="D226" s="668"/>
      <c r="E226" s="668"/>
      <c r="F226" s="668"/>
      <c r="G226" s="668"/>
      <c r="H226" s="668"/>
      <c r="I226" s="668"/>
      <c r="J226" s="668"/>
      <c r="K226" s="668"/>
      <c r="L226" s="668"/>
      <c r="M226" s="668"/>
      <c r="O226" s="608"/>
      <c r="Q226" s="3"/>
    </row>
    <row r="227" spans="2:17" hidden="1" outlineLevel="3" x14ac:dyDescent="0.35">
      <c r="B227" s="2"/>
      <c r="Q227" s="3"/>
    </row>
    <row r="228" spans="2:17" hidden="1" outlineLevel="2" x14ac:dyDescent="0.35">
      <c r="B228" s="2"/>
      <c r="Q228" s="3"/>
    </row>
    <row r="229" spans="2:17" hidden="1" outlineLevel="2" x14ac:dyDescent="0.35">
      <c r="B229" s="2"/>
      <c r="C229" s="350"/>
      <c r="D229" s="351" t="s">
        <v>2101</v>
      </c>
      <c r="E229" s="352">
        <f>Lists!$C$4</f>
        <v>2</v>
      </c>
      <c r="G229" s="5" t="s">
        <v>8</v>
      </c>
      <c r="H229" s="344" t="str">
        <f>Lists!$B$4</f>
        <v>Financials</v>
      </c>
      <c r="I229" s="344"/>
      <c r="K229" s="5" t="s">
        <v>6</v>
      </c>
      <c r="L229" s="344">
        <f>SUM(C232:M236)</f>
        <v>0</v>
      </c>
      <c r="O229" s="608"/>
      <c r="Q229" s="3"/>
    </row>
    <row r="230" spans="2:17" ht="15" hidden="1" customHeight="1" outlineLevel="3" x14ac:dyDescent="0.35">
      <c r="B230" s="2"/>
      <c r="C230" s="732" t="s">
        <v>10</v>
      </c>
      <c r="D230" s="732"/>
      <c r="E230" s="732"/>
      <c r="F230" s="732"/>
      <c r="G230" s="732"/>
      <c r="H230" s="732"/>
      <c r="I230" s="732"/>
      <c r="J230" s="732"/>
      <c r="K230" s="732"/>
      <c r="L230" s="732"/>
      <c r="M230" s="732"/>
      <c r="O230" s="608"/>
      <c r="Q230" s="3"/>
    </row>
    <row r="231" spans="2:17" hidden="1" outlineLevel="3" x14ac:dyDescent="0.35">
      <c r="B231" s="353" t="s">
        <v>1056</v>
      </c>
      <c r="C231" s="489">
        <v>1</v>
      </c>
      <c r="D231" s="489">
        <v>2</v>
      </c>
      <c r="E231" s="489">
        <v>3</v>
      </c>
      <c r="F231" s="489">
        <v>4</v>
      </c>
      <c r="G231" s="489">
        <v>5</v>
      </c>
      <c r="H231" s="489">
        <v>6</v>
      </c>
      <c r="I231" s="489">
        <v>7</v>
      </c>
      <c r="J231" s="489">
        <v>8</v>
      </c>
      <c r="K231" s="489">
        <v>9</v>
      </c>
      <c r="L231" s="489">
        <v>10</v>
      </c>
      <c r="M231" s="489" t="s">
        <v>11</v>
      </c>
      <c r="O231" s="608"/>
      <c r="Q231" s="3"/>
    </row>
    <row r="232" spans="2:17" hidden="1" outlineLevel="3" x14ac:dyDescent="0.35">
      <c r="B232" s="353" t="s">
        <v>934</v>
      </c>
      <c r="C232" s="668"/>
      <c r="D232" s="668"/>
      <c r="E232" s="668"/>
      <c r="F232" s="668"/>
      <c r="G232" s="668"/>
      <c r="H232" s="668"/>
      <c r="I232" s="668"/>
      <c r="J232" s="668"/>
      <c r="K232" s="668"/>
      <c r="L232" s="668"/>
      <c r="M232" s="668"/>
      <c r="O232" s="608"/>
      <c r="Q232" s="3"/>
    </row>
    <row r="233" spans="2:17" hidden="1" outlineLevel="3" x14ac:dyDescent="0.35">
      <c r="B233" s="353" t="s">
        <v>935</v>
      </c>
      <c r="C233" s="668"/>
      <c r="D233" s="668"/>
      <c r="E233" s="668"/>
      <c r="F233" s="668"/>
      <c r="G233" s="668"/>
      <c r="H233" s="668"/>
      <c r="I233" s="668"/>
      <c r="J233" s="668"/>
      <c r="K233" s="668"/>
      <c r="L233" s="668"/>
      <c r="M233" s="668"/>
      <c r="O233" s="608"/>
      <c r="Q233" s="3"/>
    </row>
    <row r="234" spans="2:17" hidden="1" outlineLevel="3" x14ac:dyDescent="0.35">
      <c r="B234" s="353" t="s">
        <v>936</v>
      </c>
      <c r="C234" s="668"/>
      <c r="D234" s="668"/>
      <c r="E234" s="668"/>
      <c r="F234" s="668"/>
      <c r="G234" s="668"/>
      <c r="H234" s="668"/>
      <c r="I234" s="668"/>
      <c r="J234" s="668"/>
      <c r="K234" s="668"/>
      <c r="L234" s="668"/>
      <c r="M234" s="668"/>
      <c r="O234" s="608"/>
      <c r="Q234" s="3"/>
    </row>
    <row r="235" spans="2:17" hidden="1" outlineLevel="3" x14ac:dyDescent="0.35">
      <c r="B235" s="353" t="s">
        <v>937</v>
      </c>
      <c r="C235" s="668"/>
      <c r="D235" s="668"/>
      <c r="E235" s="668"/>
      <c r="F235" s="668"/>
      <c r="G235" s="668"/>
      <c r="H235" s="668"/>
      <c r="I235" s="668"/>
      <c r="J235" s="668"/>
      <c r="K235" s="668"/>
      <c r="L235" s="668"/>
      <c r="M235" s="668"/>
      <c r="O235" s="608"/>
      <c r="Q235" s="3"/>
    </row>
    <row r="236" spans="2:17" hidden="1" outlineLevel="3" x14ac:dyDescent="0.35">
      <c r="B236" s="353" t="s">
        <v>938</v>
      </c>
      <c r="C236" s="668"/>
      <c r="D236" s="668"/>
      <c r="E236" s="668"/>
      <c r="F236" s="668"/>
      <c r="G236" s="668"/>
      <c r="H236" s="668"/>
      <c r="I236" s="668"/>
      <c r="J236" s="668"/>
      <c r="K236" s="668"/>
      <c r="L236" s="668"/>
      <c r="M236" s="668"/>
      <c r="O236" s="608"/>
      <c r="Q236" s="3"/>
    </row>
    <row r="237" spans="2:17" hidden="1" outlineLevel="3" x14ac:dyDescent="0.35">
      <c r="B237" s="2"/>
      <c r="Q237" s="3"/>
    </row>
    <row r="238" spans="2:17" hidden="1" outlineLevel="2" x14ac:dyDescent="0.35">
      <c r="B238" s="2"/>
      <c r="Q238" s="3"/>
    </row>
    <row r="239" spans="2:17" hidden="1" outlineLevel="2" x14ac:dyDescent="0.35">
      <c r="B239" s="2"/>
      <c r="C239" s="350"/>
      <c r="D239" s="351" t="s">
        <v>2101</v>
      </c>
      <c r="E239" s="352">
        <f>Lists!$C$5</f>
        <v>3</v>
      </c>
      <c r="G239" s="5" t="s">
        <v>8</v>
      </c>
      <c r="H239" s="344" t="str">
        <f>Lists!$B$4</f>
        <v>Financials</v>
      </c>
      <c r="I239" s="344"/>
      <c r="K239" s="5" t="s">
        <v>6</v>
      </c>
      <c r="L239" s="344">
        <f>SUM(C242:M246)</f>
        <v>0</v>
      </c>
      <c r="O239" s="608"/>
      <c r="Q239" s="3"/>
    </row>
    <row r="240" spans="2:17" ht="15" hidden="1" customHeight="1" outlineLevel="3" x14ac:dyDescent="0.35">
      <c r="B240" s="2"/>
      <c r="C240" s="732" t="s">
        <v>10</v>
      </c>
      <c r="D240" s="732"/>
      <c r="E240" s="732"/>
      <c r="F240" s="732"/>
      <c r="G240" s="732"/>
      <c r="H240" s="732"/>
      <c r="I240" s="732"/>
      <c r="J240" s="732"/>
      <c r="K240" s="732"/>
      <c r="L240" s="732"/>
      <c r="M240" s="732"/>
      <c r="O240" s="608"/>
      <c r="Q240" s="3"/>
    </row>
    <row r="241" spans="2:17" hidden="1" outlineLevel="3" x14ac:dyDescent="0.35">
      <c r="B241" s="353" t="s">
        <v>1056</v>
      </c>
      <c r="C241" s="489">
        <v>1</v>
      </c>
      <c r="D241" s="489">
        <v>2</v>
      </c>
      <c r="E241" s="489">
        <v>3</v>
      </c>
      <c r="F241" s="489">
        <v>4</v>
      </c>
      <c r="G241" s="489">
        <v>5</v>
      </c>
      <c r="H241" s="489">
        <v>6</v>
      </c>
      <c r="I241" s="489">
        <v>7</v>
      </c>
      <c r="J241" s="489">
        <v>8</v>
      </c>
      <c r="K241" s="489">
        <v>9</v>
      </c>
      <c r="L241" s="489">
        <v>10</v>
      </c>
      <c r="M241" s="489" t="s">
        <v>11</v>
      </c>
      <c r="O241" s="608"/>
      <c r="Q241" s="3"/>
    </row>
    <row r="242" spans="2:17" hidden="1" outlineLevel="3" x14ac:dyDescent="0.35">
      <c r="B242" s="353" t="s">
        <v>934</v>
      </c>
      <c r="C242" s="668"/>
      <c r="D242" s="668"/>
      <c r="E242" s="668"/>
      <c r="F242" s="668"/>
      <c r="G242" s="668"/>
      <c r="H242" s="668"/>
      <c r="I242" s="668"/>
      <c r="J242" s="668"/>
      <c r="K242" s="668"/>
      <c r="L242" s="668"/>
      <c r="M242" s="668"/>
      <c r="O242" s="608"/>
      <c r="Q242" s="3"/>
    </row>
    <row r="243" spans="2:17" hidden="1" outlineLevel="3" x14ac:dyDescent="0.35">
      <c r="B243" s="353" t="s">
        <v>935</v>
      </c>
      <c r="C243" s="668"/>
      <c r="D243" s="668"/>
      <c r="E243" s="668"/>
      <c r="F243" s="668"/>
      <c r="G243" s="668"/>
      <c r="H243" s="668"/>
      <c r="I243" s="668"/>
      <c r="J243" s="668"/>
      <c r="K243" s="668"/>
      <c r="L243" s="668"/>
      <c r="M243" s="668"/>
      <c r="O243" s="608"/>
      <c r="Q243" s="3"/>
    </row>
    <row r="244" spans="2:17" hidden="1" outlineLevel="3" x14ac:dyDescent="0.35">
      <c r="B244" s="353" t="s">
        <v>936</v>
      </c>
      <c r="C244" s="668"/>
      <c r="D244" s="668"/>
      <c r="E244" s="668"/>
      <c r="F244" s="668"/>
      <c r="G244" s="668"/>
      <c r="H244" s="668"/>
      <c r="I244" s="668"/>
      <c r="J244" s="668"/>
      <c r="K244" s="668"/>
      <c r="L244" s="668"/>
      <c r="M244" s="668"/>
      <c r="O244" s="608"/>
      <c r="Q244" s="3"/>
    </row>
    <row r="245" spans="2:17" hidden="1" outlineLevel="3" x14ac:dyDescent="0.35">
      <c r="B245" s="353" t="s">
        <v>937</v>
      </c>
      <c r="C245" s="668"/>
      <c r="D245" s="668"/>
      <c r="E245" s="668"/>
      <c r="F245" s="668"/>
      <c r="G245" s="668"/>
      <c r="H245" s="668"/>
      <c r="I245" s="668"/>
      <c r="J245" s="668"/>
      <c r="K245" s="668"/>
      <c r="L245" s="668"/>
      <c r="M245" s="668"/>
      <c r="O245" s="608"/>
      <c r="Q245" s="3"/>
    </row>
    <row r="246" spans="2:17" hidden="1" outlineLevel="3" x14ac:dyDescent="0.35">
      <c r="B246" s="353" t="s">
        <v>938</v>
      </c>
      <c r="C246" s="668"/>
      <c r="D246" s="668"/>
      <c r="E246" s="668"/>
      <c r="F246" s="668"/>
      <c r="G246" s="668"/>
      <c r="H246" s="668"/>
      <c r="I246" s="668"/>
      <c r="J246" s="668"/>
      <c r="K246" s="668"/>
      <c r="L246" s="668"/>
      <c r="M246" s="668"/>
      <c r="O246" s="608"/>
      <c r="Q246" s="3"/>
    </row>
    <row r="247" spans="2:17" hidden="1" outlineLevel="3" x14ac:dyDescent="0.35">
      <c r="B247" s="2"/>
      <c r="Q247" s="3"/>
    </row>
    <row r="248" spans="2:17" hidden="1" outlineLevel="2" x14ac:dyDescent="0.35">
      <c r="B248" s="2"/>
      <c r="Q248" s="3"/>
    </row>
    <row r="249" spans="2:17" hidden="1" outlineLevel="2" x14ac:dyDescent="0.35">
      <c r="B249" s="2"/>
      <c r="C249" s="350"/>
      <c r="D249" s="351" t="s">
        <v>2101</v>
      </c>
      <c r="E249" s="352">
        <f>Lists!$C$3</f>
        <v>1</v>
      </c>
      <c r="G249" s="5" t="s">
        <v>8</v>
      </c>
      <c r="H249" s="344" t="str">
        <f>Lists!$B$5</f>
        <v>Sovereign / Public Finance</v>
      </c>
      <c r="I249" s="344"/>
      <c r="K249" s="5" t="s">
        <v>6</v>
      </c>
      <c r="L249" s="344">
        <f>SUM(C252:M256)</f>
        <v>0</v>
      </c>
      <c r="O249" s="608"/>
      <c r="Q249" s="3"/>
    </row>
    <row r="250" spans="2:17" ht="15" hidden="1" customHeight="1" outlineLevel="3" x14ac:dyDescent="0.35">
      <c r="B250" s="2"/>
      <c r="C250" s="732" t="s">
        <v>10</v>
      </c>
      <c r="D250" s="732"/>
      <c r="E250" s="732"/>
      <c r="F250" s="732"/>
      <c r="G250" s="732"/>
      <c r="H250" s="732"/>
      <c r="I250" s="732"/>
      <c r="J250" s="732"/>
      <c r="K250" s="732"/>
      <c r="L250" s="732"/>
      <c r="M250" s="732"/>
      <c r="O250" s="608"/>
      <c r="Q250" s="3"/>
    </row>
    <row r="251" spans="2:17" hidden="1" outlineLevel="3" x14ac:dyDescent="0.35">
      <c r="B251" s="353" t="s">
        <v>1056</v>
      </c>
      <c r="C251" s="489">
        <v>1</v>
      </c>
      <c r="D251" s="489">
        <v>2</v>
      </c>
      <c r="E251" s="489">
        <v>3</v>
      </c>
      <c r="F251" s="489">
        <v>4</v>
      </c>
      <c r="G251" s="489">
        <v>5</v>
      </c>
      <c r="H251" s="489">
        <v>6</v>
      </c>
      <c r="I251" s="489">
        <v>7</v>
      </c>
      <c r="J251" s="489">
        <v>8</v>
      </c>
      <c r="K251" s="489">
        <v>9</v>
      </c>
      <c r="L251" s="489">
        <v>10</v>
      </c>
      <c r="M251" s="489" t="s">
        <v>11</v>
      </c>
      <c r="O251" s="608"/>
      <c r="Q251" s="3"/>
    </row>
    <row r="252" spans="2:17" hidden="1" outlineLevel="3" x14ac:dyDescent="0.35">
      <c r="B252" s="353" t="s">
        <v>934</v>
      </c>
      <c r="C252" s="668"/>
      <c r="D252" s="668"/>
      <c r="E252" s="668"/>
      <c r="F252" s="668"/>
      <c r="G252" s="668"/>
      <c r="H252" s="668"/>
      <c r="I252" s="668"/>
      <c r="J252" s="668"/>
      <c r="K252" s="668"/>
      <c r="L252" s="668"/>
      <c r="M252" s="668"/>
      <c r="O252" s="608"/>
      <c r="Q252" s="3"/>
    </row>
    <row r="253" spans="2:17" hidden="1" outlineLevel="3" x14ac:dyDescent="0.35">
      <c r="B253" s="353" t="s">
        <v>935</v>
      </c>
      <c r="C253" s="668"/>
      <c r="D253" s="668"/>
      <c r="E253" s="668"/>
      <c r="F253" s="668"/>
      <c r="G253" s="668"/>
      <c r="H253" s="668"/>
      <c r="I253" s="668"/>
      <c r="J253" s="668"/>
      <c r="K253" s="668"/>
      <c r="L253" s="668"/>
      <c r="M253" s="668"/>
      <c r="O253" s="608"/>
      <c r="Q253" s="3"/>
    </row>
    <row r="254" spans="2:17" hidden="1" outlineLevel="3" x14ac:dyDescent="0.35">
      <c r="B254" s="353" t="s">
        <v>936</v>
      </c>
      <c r="C254" s="668"/>
      <c r="D254" s="668"/>
      <c r="E254" s="668"/>
      <c r="F254" s="668"/>
      <c r="G254" s="668"/>
      <c r="H254" s="668"/>
      <c r="I254" s="668"/>
      <c r="J254" s="668"/>
      <c r="K254" s="668"/>
      <c r="L254" s="668"/>
      <c r="M254" s="668"/>
      <c r="O254" s="608"/>
      <c r="Q254" s="3"/>
    </row>
    <row r="255" spans="2:17" hidden="1" outlineLevel="3" x14ac:dyDescent="0.35">
      <c r="B255" s="353" t="s">
        <v>937</v>
      </c>
      <c r="C255" s="668"/>
      <c r="D255" s="668"/>
      <c r="E255" s="668"/>
      <c r="F255" s="668"/>
      <c r="G255" s="668"/>
      <c r="H255" s="668"/>
      <c r="I255" s="668"/>
      <c r="J255" s="668"/>
      <c r="K255" s="668"/>
      <c r="L255" s="668"/>
      <c r="M255" s="668"/>
      <c r="O255" s="608"/>
      <c r="Q255" s="3"/>
    </row>
    <row r="256" spans="2:17" hidden="1" outlineLevel="3" x14ac:dyDescent="0.35">
      <c r="B256" s="353" t="s">
        <v>938</v>
      </c>
      <c r="C256" s="668"/>
      <c r="D256" s="668"/>
      <c r="E256" s="668"/>
      <c r="F256" s="668"/>
      <c r="G256" s="668"/>
      <c r="H256" s="668"/>
      <c r="I256" s="668"/>
      <c r="J256" s="668"/>
      <c r="K256" s="668"/>
      <c r="L256" s="668"/>
      <c r="M256" s="668"/>
      <c r="O256" s="608"/>
      <c r="Q256" s="3"/>
    </row>
    <row r="257" spans="2:17" hidden="1" outlineLevel="3" x14ac:dyDescent="0.35">
      <c r="B257" s="2"/>
      <c r="Q257" s="3"/>
    </row>
    <row r="258" spans="2:17" hidden="1" outlineLevel="2" x14ac:dyDescent="0.35">
      <c r="B258" s="2"/>
      <c r="Q258" s="3"/>
    </row>
    <row r="259" spans="2:17" hidden="1" outlineLevel="2" x14ac:dyDescent="0.35">
      <c r="B259" s="2"/>
      <c r="C259" s="350"/>
      <c r="D259" s="351" t="s">
        <v>2101</v>
      </c>
      <c r="E259" s="352">
        <f>Lists!$C$4</f>
        <v>2</v>
      </c>
      <c r="G259" s="5" t="s">
        <v>8</v>
      </c>
      <c r="H259" s="344" t="str">
        <f>Lists!$B$5</f>
        <v>Sovereign / Public Finance</v>
      </c>
      <c r="I259" s="344"/>
      <c r="K259" s="5" t="s">
        <v>6</v>
      </c>
      <c r="L259" s="344">
        <f>SUM(C262:M266)</f>
        <v>0</v>
      </c>
      <c r="O259" s="608"/>
      <c r="Q259" s="3"/>
    </row>
    <row r="260" spans="2:17" ht="15" hidden="1" customHeight="1" outlineLevel="3" x14ac:dyDescent="0.35">
      <c r="B260" s="2"/>
      <c r="C260" s="732" t="s">
        <v>10</v>
      </c>
      <c r="D260" s="732"/>
      <c r="E260" s="732"/>
      <c r="F260" s="732"/>
      <c r="G260" s="732"/>
      <c r="H260" s="732"/>
      <c r="I260" s="732"/>
      <c r="J260" s="732"/>
      <c r="K260" s="732"/>
      <c r="L260" s="732"/>
      <c r="M260" s="732"/>
      <c r="O260" s="608"/>
      <c r="Q260" s="3"/>
    </row>
    <row r="261" spans="2:17" hidden="1" outlineLevel="3" x14ac:dyDescent="0.35">
      <c r="B261" s="353" t="s">
        <v>1056</v>
      </c>
      <c r="C261" s="489">
        <v>1</v>
      </c>
      <c r="D261" s="489">
        <v>2</v>
      </c>
      <c r="E261" s="489">
        <v>3</v>
      </c>
      <c r="F261" s="489">
        <v>4</v>
      </c>
      <c r="G261" s="489">
        <v>5</v>
      </c>
      <c r="H261" s="489">
        <v>6</v>
      </c>
      <c r="I261" s="489">
        <v>7</v>
      </c>
      <c r="J261" s="489">
        <v>8</v>
      </c>
      <c r="K261" s="489">
        <v>9</v>
      </c>
      <c r="L261" s="489">
        <v>10</v>
      </c>
      <c r="M261" s="489" t="s">
        <v>11</v>
      </c>
      <c r="O261" s="608"/>
      <c r="Q261" s="3"/>
    </row>
    <row r="262" spans="2:17" hidden="1" outlineLevel="3" x14ac:dyDescent="0.35">
      <c r="B262" s="353" t="s">
        <v>934</v>
      </c>
      <c r="C262" s="668"/>
      <c r="D262" s="668"/>
      <c r="E262" s="668"/>
      <c r="F262" s="668"/>
      <c r="G262" s="668"/>
      <c r="H262" s="668"/>
      <c r="I262" s="668"/>
      <c r="J262" s="668"/>
      <c r="K262" s="668"/>
      <c r="L262" s="668"/>
      <c r="M262" s="668"/>
      <c r="O262" s="608"/>
      <c r="Q262" s="3"/>
    </row>
    <row r="263" spans="2:17" hidden="1" outlineLevel="3" x14ac:dyDescent="0.35">
      <c r="B263" s="353" t="s">
        <v>935</v>
      </c>
      <c r="C263" s="668"/>
      <c r="D263" s="668"/>
      <c r="E263" s="668"/>
      <c r="F263" s="668"/>
      <c r="G263" s="668"/>
      <c r="H263" s="668"/>
      <c r="I263" s="668"/>
      <c r="J263" s="668"/>
      <c r="K263" s="668"/>
      <c r="L263" s="668"/>
      <c r="M263" s="668"/>
      <c r="O263" s="608"/>
      <c r="Q263" s="3"/>
    </row>
    <row r="264" spans="2:17" hidden="1" outlineLevel="3" x14ac:dyDescent="0.35">
      <c r="B264" s="353" t="s">
        <v>936</v>
      </c>
      <c r="C264" s="668"/>
      <c r="D264" s="668"/>
      <c r="E264" s="668"/>
      <c r="F264" s="668"/>
      <c r="G264" s="668"/>
      <c r="H264" s="668"/>
      <c r="I264" s="668"/>
      <c r="J264" s="668"/>
      <c r="K264" s="668"/>
      <c r="L264" s="668"/>
      <c r="M264" s="668"/>
      <c r="O264" s="608"/>
      <c r="Q264" s="3"/>
    </row>
    <row r="265" spans="2:17" hidden="1" outlineLevel="3" x14ac:dyDescent="0.35">
      <c r="B265" s="353" t="s">
        <v>937</v>
      </c>
      <c r="C265" s="668"/>
      <c r="D265" s="668"/>
      <c r="E265" s="668"/>
      <c r="F265" s="668"/>
      <c r="G265" s="668"/>
      <c r="H265" s="668"/>
      <c r="I265" s="668"/>
      <c r="J265" s="668"/>
      <c r="K265" s="668"/>
      <c r="L265" s="668"/>
      <c r="M265" s="668"/>
      <c r="O265" s="608"/>
      <c r="Q265" s="3"/>
    </row>
    <row r="266" spans="2:17" hidden="1" outlineLevel="3" x14ac:dyDescent="0.35">
      <c r="B266" s="353" t="s">
        <v>938</v>
      </c>
      <c r="C266" s="668"/>
      <c r="D266" s="668"/>
      <c r="E266" s="668"/>
      <c r="F266" s="668"/>
      <c r="G266" s="668"/>
      <c r="H266" s="668"/>
      <c r="I266" s="668"/>
      <c r="J266" s="668"/>
      <c r="K266" s="668"/>
      <c r="L266" s="668"/>
      <c r="M266" s="668"/>
      <c r="O266" s="608"/>
      <c r="Q266" s="3"/>
    </row>
    <row r="267" spans="2:17" hidden="1" outlineLevel="3" x14ac:dyDescent="0.35">
      <c r="B267" s="2"/>
      <c r="Q267" s="3"/>
    </row>
    <row r="268" spans="2:17" hidden="1" outlineLevel="2" x14ac:dyDescent="0.35">
      <c r="B268" s="2"/>
      <c r="Q268" s="3"/>
    </row>
    <row r="269" spans="2:17" hidden="1" outlineLevel="2" x14ac:dyDescent="0.35">
      <c r="B269" s="2"/>
      <c r="C269" s="350"/>
      <c r="D269" s="351" t="s">
        <v>2101</v>
      </c>
      <c r="E269" s="352">
        <f>Lists!$C$5</f>
        <v>3</v>
      </c>
      <c r="G269" s="5" t="s">
        <v>8</v>
      </c>
      <c r="H269" s="344" t="str">
        <f>Lists!$B$5</f>
        <v>Sovereign / Public Finance</v>
      </c>
      <c r="I269" s="344"/>
      <c r="K269" s="5" t="s">
        <v>6</v>
      </c>
      <c r="L269" s="344">
        <f>SUM(C272:M276)</f>
        <v>0</v>
      </c>
      <c r="O269" s="608"/>
      <c r="Q269" s="3"/>
    </row>
    <row r="270" spans="2:17" ht="15" hidden="1" customHeight="1" outlineLevel="3" x14ac:dyDescent="0.35">
      <c r="B270" s="2"/>
      <c r="C270" s="732" t="s">
        <v>10</v>
      </c>
      <c r="D270" s="732"/>
      <c r="E270" s="732"/>
      <c r="F270" s="732"/>
      <c r="G270" s="732"/>
      <c r="H270" s="732"/>
      <c r="I270" s="732"/>
      <c r="J270" s="732"/>
      <c r="K270" s="732"/>
      <c r="L270" s="732"/>
      <c r="M270" s="732"/>
      <c r="O270" s="608"/>
      <c r="Q270" s="3"/>
    </row>
    <row r="271" spans="2:17" hidden="1" outlineLevel="3" x14ac:dyDescent="0.35">
      <c r="B271" s="353" t="s">
        <v>1056</v>
      </c>
      <c r="C271" s="489">
        <v>1</v>
      </c>
      <c r="D271" s="489">
        <v>2</v>
      </c>
      <c r="E271" s="489">
        <v>3</v>
      </c>
      <c r="F271" s="489">
        <v>4</v>
      </c>
      <c r="G271" s="489">
        <v>5</v>
      </c>
      <c r="H271" s="489">
        <v>6</v>
      </c>
      <c r="I271" s="489">
        <v>7</v>
      </c>
      <c r="J271" s="489">
        <v>8</v>
      </c>
      <c r="K271" s="489">
        <v>9</v>
      </c>
      <c r="L271" s="489">
        <v>10</v>
      </c>
      <c r="M271" s="489" t="s">
        <v>11</v>
      </c>
      <c r="O271" s="608"/>
      <c r="Q271" s="3"/>
    </row>
    <row r="272" spans="2:17" hidden="1" outlineLevel="3" x14ac:dyDescent="0.35">
      <c r="B272" s="353" t="s">
        <v>934</v>
      </c>
      <c r="C272" s="668"/>
      <c r="D272" s="668"/>
      <c r="E272" s="668"/>
      <c r="F272" s="668"/>
      <c r="G272" s="668"/>
      <c r="H272" s="668"/>
      <c r="I272" s="668"/>
      <c r="J272" s="668"/>
      <c r="K272" s="668"/>
      <c r="L272" s="668"/>
      <c r="M272" s="668"/>
      <c r="O272" s="608"/>
      <c r="Q272" s="3"/>
    </row>
    <row r="273" spans="2:17" hidden="1" outlineLevel="3" x14ac:dyDescent="0.35">
      <c r="B273" s="353" t="s">
        <v>935</v>
      </c>
      <c r="C273" s="668"/>
      <c r="D273" s="668"/>
      <c r="E273" s="668"/>
      <c r="F273" s="668"/>
      <c r="G273" s="668"/>
      <c r="H273" s="668"/>
      <c r="I273" s="668"/>
      <c r="J273" s="668"/>
      <c r="K273" s="668"/>
      <c r="L273" s="668"/>
      <c r="M273" s="668"/>
      <c r="O273" s="608"/>
      <c r="Q273" s="3"/>
    </row>
    <row r="274" spans="2:17" hidden="1" outlineLevel="3" x14ac:dyDescent="0.35">
      <c r="B274" s="353" t="s">
        <v>936</v>
      </c>
      <c r="C274" s="668"/>
      <c r="D274" s="668"/>
      <c r="E274" s="668"/>
      <c r="F274" s="668"/>
      <c r="G274" s="668"/>
      <c r="H274" s="668"/>
      <c r="I274" s="668"/>
      <c r="J274" s="668"/>
      <c r="K274" s="668"/>
      <c r="L274" s="668"/>
      <c r="M274" s="668"/>
      <c r="O274" s="608"/>
      <c r="Q274" s="3"/>
    </row>
    <row r="275" spans="2:17" hidden="1" outlineLevel="3" x14ac:dyDescent="0.35">
      <c r="B275" s="353" t="s">
        <v>937</v>
      </c>
      <c r="C275" s="668"/>
      <c r="D275" s="668"/>
      <c r="E275" s="668"/>
      <c r="F275" s="668"/>
      <c r="G275" s="668"/>
      <c r="H275" s="668"/>
      <c r="I275" s="668"/>
      <c r="J275" s="668"/>
      <c r="K275" s="668"/>
      <c r="L275" s="668"/>
      <c r="M275" s="668"/>
      <c r="O275" s="608"/>
      <c r="Q275" s="3"/>
    </row>
    <row r="276" spans="2:17" hidden="1" outlineLevel="3" x14ac:dyDescent="0.35">
      <c r="B276" s="353" t="s">
        <v>938</v>
      </c>
      <c r="C276" s="668"/>
      <c r="D276" s="668"/>
      <c r="E276" s="668"/>
      <c r="F276" s="668"/>
      <c r="G276" s="668"/>
      <c r="H276" s="668"/>
      <c r="I276" s="668"/>
      <c r="J276" s="668"/>
      <c r="K276" s="668"/>
      <c r="L276" s="668"/>
      <c r="M276" s="668"/>
      <c r="O276" s="608"/>
      <c r="Q276" s="3"/>
    </row>
    <row r="277" spans="2:17" hidden="1" outlineLevel="3" x14ac:dyDescent="0.35">
      <c r="B277" s="2"/>
      <c r="Q277" s="3"/>
    </row>
    <row r="278" spans="2:17" hidden="1" outlineLevel="2" x14ac:dyDescent="0.35">
      <c r="B278" s="2"/>
      <c r="Q278" s="3"/>
    </row>
    <row r="279" spans="2:17" hidden="1" outlineLevel="2" x14ac:dyDescent="0.35">
      <c r="B279" s="2"/>
      <c r="C279" s="350"/>
      <c r="D279" s="351" t="s">
        <v>2101</v>
      </c>
      <c r="E279" s="352">
        <f>Lists!$C$6</f>
        <v>4</v>
      </c>
      <c r="G279" s="5" t="s">
        <v>8</v>
      </c>
      <c r="H279" s="344" t="str">
        <f>Lists!$B$6</f>
        <v>Structured Finance - Senior</v>
      </c>
      <c r="I279" s="344"/>
      <c r="K279" s="5" t="s">
        <v>6</v>
      </c>
      <c r="L279" s="344">
        <f>SUM(C282:M286)</f>
        <v>0</v>
      </c>
      <c r="O279" s="608"/>
      <c r="Q279" s="3"/>
    </row>
    <row r="280" spans="2:17" ht="15" hidden="1" customHeight="1" outlineLevel="3" x14ac:dyDescent="0.35">
      <c r="B280" s="2"/>
      <c r="C280" s="732" t="s">
        <v>10</v>
      </c>
      <c r="D280" s="732"/>
      <c r="E280" s="732"/>
      <c r="F280" s="732"/>
      <c r="G280" s="732"/>
      <c r="H280" s="732"/>
      <c r="I280" s="732"/>
      <c r="J280" s="732"/>
      <c r="K280" s="732"/>
      <c r="L280" s="732"/>
      <c r="M280" s="732"/>
      <c r="O280" s="608"/>
      <c r="Q280" s="3"/>
    </row>
    <row r="281" spans="2:17" hidden="1" outlineLevel="3" x14ac:dyDescent="0.35">
      <c r="B281" s="353" t="s">
        <v>1056</v>
      </c>
      <c r="C281" s="489">
        <v>1</v>
      </c>
      <c r="D281" s="489">
        <v>2</v>
      </c>
      <c r="E281" s="489">
        <v>3</v>
      </c>
      <c r="F281" s="489">
        <v>4</v>
      </c>
      <c r="G281" s="489">
        <v>5</v>
      </c>
      <c r="H281" s="489">
        <v>6</v>
      </c>
      <c r="I281" s="489">
        <v>7</v>
      </c>
      <c r="J281" s="489">
        <v>8</v>
      </c>
      <c r="K281" s="489">
        <v>9</v>
      </c>
      <c r="L281" s="489">
        <v>10</v>
      </c>
      <c r="M281" s="489" t="s">
        <v>11</v>
      </c>
      <c r="O281" s="608"/>
      <c r="Q281" s="3"/>
    </row>
    <row r="282" spans="2:17" hidden="1" outlineLevel="3" x14ac:dyDescent="0.35">
      <c r="B282" s="353" t="s">
        <v>934</v>
      </c>
      <c r="C282" s="668"/>
      <c r="D282" s="668"/>
      <c r="E282" s="668"/>
      <c r="F282" s="668"/>
      <c r="G282" s="668"/>
      <c r="H282" s="668"/>
      <c r="I282" s="668"/>
      <c r="J282" s="668"/>
      <c r="K282" s="668"/>
      <c r="L282" s="668"/>
      <c r="M282" s="668"/>
      <c r="O282" s="608"/>
      <c r="Q282" s="3"/>
    </row>
    <row r="283" spans="2:17" hidden="1" outlineLevel="3" x14ac:dyDescent="0.35">
      <c r="B283" s="353" t="s">
        <v>935</v>
      </c>
      <c r="C283" s="668"/>
      <c r="D283" s="668"/>
      <c r="E283" s="668"/>
      <c r="F283" s="668"/>
      <c r="G283" s="668"/>
      <c r="H283" s="668"/>
      <c r="I283" s="668"/>
      <c r="J283" s="668"/>
      <c r="K283" s="668"/>
      <c r="L283" s="668"/>
      <c r="M283" s="668"/>
      <c r="O283" s="608"/>
      <c r="Q283" s="3"/>
    </row>
    <row r="284" spans="2:17" hidden="1" outlineLevel="3" x14ac:dyDescent="0.35">
      <c r="B284" s="353" t="s">
        <v>936</v>
      </c>
      <c r="C284" s="668"/>
      <c r="D284" s="668"/>
      <c r="E284" s="668"/>
      <c r="F284" s="668"/>
      <c r="G284" s="668"/>
      <c r="H284" s="668"/>
      <c r="I284" s="668"/>
      <c r="J284" s="668"/>
      <c r="K284" s="668"/>
      <c r="L284" s="668"/>
      <c r="M284" s="668"/>
      <c r="O284" s="608"/>
      <c r="Q284" s="3"/>
    </row>
    <row r="285" spans="2:17" hidden="1" outlineLevel="3" x14ac:dyDescent="0.35">
      <c r="B285" s="353" t="s">
        <v>937</v>
      </c>
      <c r="C285" s="668"/>
      <c r="D285" s="668"/>
      <c r="E285" s="668"/>
      <c r="F285" s="668"/>
      <c r="G285" s="668"/>
      <c r="H285" s="668"/>
      <c r="I285" s="668"/>
      <c r="J285" s="668"/>
      <c r="K285" s="668"/>
      <c r="L285" s="668"/>
      <c r="M285" s="668"/>
      <c r="O285" s="608"/>
      <c r="Q285" s="3"/>
    </row>
    <row r="286" spans="2:17" hidden="1" outlineLevel="3" x14ac:dyDescent="0.35">
      <c r="B286" s="353" t="s">
        <v>938</v>
      </c>
      <c r="C286" s="668"/>
      <c r="D286" s="668"/>
      <c r="E286" s="668"/>
      <c r="F286" s="668"/>
      <c r="G286" s="668"/>
      <c r="H286" s="668"/>
      <c r="I286" s="668"/>
      <c r="J286" s="668"/>
      <c r="K286" s="668"/>
      <c r="L286" s="668"/>
      <c r="M286" s="668"/>
      <c r="O286" s="608"/>
      <c r="Q286" s="3"/>
    </row>
    <row r="287" spans="2:17" hidden="1" outlineLevel="3" x14ac:dyDescent="0.35">
      <c r="B287" s="2"/>
      <c r="Q287" s="3"/>
    </row>
    <row r="288" spans="2:17" hidden="1" outlineLevel="2" x14ac:dyDescent="0.35">
      <c r="B288" s="2"/>
      <c r="Q288" s="3"/>
    </row>
    <row r="289" spans="2:17" hidden="1" outlineLevel="2" x14ac:dyDescent="0.35">
      <c r="B289" s="2"/>
      <c r="C289" s="350"/>
      <c r="D289" s="351" t="s">
        <v>2101</v>
      </c>
      <c r="E289" s="352">
        <f>Lists!$C$6</f>
        <v>4</v>
      </c>
      <c r="G289" s="5" t="s">
        <v>8</v>
      </c>
      <c r="H289" s="344" t="str">
        <f>Lists!$B$7</f>
        <v>Structured Finance - Mezz.</v>
      </c>
      <c r="I289" s="344"/>
      <c r="K289" s="5" t="s">
        <v>6</v>
      </c>
      <c r="L289" s="344">
        <f>SUM(C292:M296)</f>
        <v>0</v>
      </c>
      <c r="O289" s="608"/>
      <c r="Q289" s="3"/>
    </row>
    <row r="290" spans="2:17" hidden="1" outlineLevel="3" x14ac:dyDescent="0.35">
      <c r="B290" s="2"/>
      <c r="C290" s="732" t="s">
        <v>10</v>
      </c>
      <c r="D290" s="732"/>
      <c r="E290" s="732"/>
      <c r="F290" s="732"/>
      <c r="G290" s="732"/>
      <c r="H290" s="732"/>
      <c r="I290" s="732"/>
      <c r="J290" s="732"/>
      <c r="K290" s="732"/>
      <c r="L290" s="732"/>
      <c r="M290" s="732"/>
      <c r="O290" s="608"/>
      <c r="Q290" s="3"/>
    </row>
    <row r="291" spans="2:17" hidden="1" outlineLevel="3" x14ac:dyDescent="0.35">
      <c r="B291" s="353" t="s">
        <v>1056</v>
      </c>
      <c r="C291" s="489">
        <v>1</v>
      </c>
      <c r="D291" s="489">
        <v>2</v>
      </c>
      <c r="E291" s="489">
        <v>3</v>
      </c>
      <c r="F291" s="489">
        <v>4</v>
      </c>
      <c r="G291" s="489">
        <v>5</v>
      </c>
      <c r="H291" s="489">
        <v>6</v>
      </c>
      <c r="I291" s="489">
        <v>7</v>
      </c>
      <c r="J291" s="489">
        <v>8</v>
      </c>
      <c r="K291" s="489">
        <v>9</v>
      </c>
      <c r="L291" s="489">
        <v>10</v>
      </c>
      <c r="M291" s="489" t="s">
        <v>11</v>
      </c>
      <c r="O291" s="608"/>
      <c r="Q291" s="3"/>
    </row>
    <row r="292" spans="2:17" hidden="1" outlineLevel="3" x14ac:dyDescent="0.35">
      <c r="B292" s="353" t="s">
        <v>934</v>
      </c>
      <c r="C292" s="668"/>
      <c r="D292" s="668"/>
      <c r="E292" s="668"/>
      <c r="F292" s="668"/>
      <c r="G292" s="668"/>
      <c r="H292" s="668"/>
      <c r="I292" s="668"/>
      <c r="J292" s="668"/>
      <c r="K292" s="668"/>
      <c r="L292" s="668"/>
      <c r="M292" s="668"/>
      <c r="O292" s="608"/>
      <c r="Q292" s="3"/>
    </row>
    <row r="293" spans="2:17" hidden="1" outlineLevel="3" x14ac:dyDescent="0.35">
      <c r="B293" s="353" t="s">
        <v>935</v>
      </c>
      <c r="C293" s="668"/>
      <c r="D293" s="668"/>
      <c r="E293" s="668"/>
      <c r="F293" s="668"/>
      <c r="G293" s="668"/>
      <c r="H293" s="668"/>
      <c r="I293" s="668"/>
      <c r="J293" s="668"/>
      <c r="K293" s="668"/>
      <c r="L293" s="668"/>
      <c r="M293" s="668"/>
      <c r="O293" s="608"/>
      <c r="Q293" s="3"/>
    </row>
    <row r="294" spans="2:17" hidden="1" outlineLevel="3" x14ac:dyDescent="0.35">
      <c r="B294" s="353" t="s">
        <v>936</v>
      </c>
      <c r="C294" s="668"/>
      <c r="D294" s="668"/>
      <c r="E294" s="668"/>
      <c r="F294" s="668"/>
      <c r="G294" s="668"/>
      <c r="H294" s="668"/>
      <c r="I294" s="668"/>
      <c r="J294" s="668"/>
      <c r="K294" s="668"/>
      <c r="L294" s="668"/>
      <c r="M294" s="668"/>
      <c r="O294" s="608"/>
      <c r="Q294" s="3"/>
    </row>
    <row r="295" spans="2:17" hidden="1" outlineLevel="3" x14ac:dyDescent="0.35">
      <c r="B295" s="353" t="s">
        <v>937</v>
      </c>
      <c r="C295" s="668"/>
      <c r="D295" s="668"/>
      <c r="E295" s="668"/>
      <c r="F295" s="668"/>
      <c r="G295" s="668"/>
      <c r="H295" s="668"/>
      <c r="I295" s="668"/>
      <c r="J295" s="668"/>
      <c r="K295" s="668"/>
      <c r="L295" s="668"/>
      <c r="M295" s="668"/>
      <c r="O295" s="608"/>
      <c r="Q295" s="3"/>
    </row>
    <row r="296" spans="2:17" hidden="1" outlineLevel="3" x14ac:dyDescent="0.35">
      <c r="B296" s="353" t="s">
        <v>938</v>
      </c>
      <c r="C296" s="668"/>
      <c r="D296" s="668"/>
      <c r="E296" s="668"/>
      <c r="F296" s="668"/>
      <c r="G296" s="668"/>
      <c r="H296" s="668"/>
      <c r="I296" s="668"/>
      <c r="J296" s="668"/>
      <c r="K296" s="668"/>
      <c r="L296" s="668"/>
      <c r="M296" s="668"/>
      <c r="O296" s="608"/>
      <c r="Q296" s="3"/>
    </row>
    <row r="297" spans="2:17" hidden="1" outlineLevel="3" x14ac:dyDescent="0.35">
      <c r="B297" s="2"/>
      <c r="Q297" s="3"/>
    </row>
    <row r="298" spans="2:17" hidden="1" outlineLevel="2" x14ac:dyDescent="0.35">
      <c r="B298" s="2"/>
      <c r="Q298" s="3"/>
    </row>
    <row r="299" spans="2:17" hidden="1" outlineLevel="2" x14ac:dyDescent="0.35">
      <c r="B299" s="2"/>
      <c r="C299" s="350"/>
      <c r="D299" s="351" t="s">
        <v>2101</v>
      </c>
      <c r="E299" s="352">
        <f>Lists!$C$6</f>
        <v>4</v>
      </c>
      <c r="G299" s="5" t="s">
        <v>8</v>
      </c>
      <c r="H299" s="344" t="str">
        <f>Lists!$B$8</f>
        <v>Structured Finance - Junior</v>
      </c>
      <c r="I299" s="344"/>
      <c r="K299" s="5" t="s">
        <v>6</v>
      </c>
      <c r="L299" s="344">
        <f>SUM(C302:M306)</f>
        <v>0</v>
      </c>
      <c r="O299" s="608"/>
      <c r="Q299" s="3"/>
    </row>
    <row r="300" spans="2:17" hidden="1" outlineLevel="3" x14ac:dyDescent="0.35">
      <c r="B300" s="2"/>
      <c r="C300" s="732" t="s">
        <v>10</v>
      </c>
      <c r="D300" s="732"/>
      <c r="E300" s="732"/>
      <c r="F300" s="732"/>
      <c r="G300" s="732"/>
      <c r="H300" s="732"/>
      <c r="I300" s="732"/>
      <c r="J300" s="732"/>
      <c r="K300" s="732"/>
      <c r="L300" s="732"/>
      <c r="M300" s="732"/>
      <c r="O300" s="608"/>
      <c r="Q300" s="3"/>
    </row>
    <row r="301" spans="2:17" hidden="1" outlineLevel="3" x14ac:dyDescent="0.35">
      <c r="B301" s="353" t="s">
        <v>1056</v>
      </c>
      <c r="C301" s="489">
        <v>1</v>
      </c>
      <c r="D301" s="489">
        <v>2</v>
      </c>
      <c r="E301" s="489">
        <v>3</v>
      </c>
      <c r="F301" s="489">
        <v>4</v>
      </c>
      <c r="G301" s="489">
        <v>5</v>
      </c>
      <c r="H301" s="489">
        <v>6</v>
      </c>
      <c r="I301" s="489">
        <v>7</v>
      </c>
      <c r="J301" s="489">
        <v>8</v>
      </c>
      <c r="K301" s="489">
        <v>9</v>
      </c>
      <c r="L301" s="489">
        <v>10</v>
      </c>
      <c r="M301" s="489" t="s">
        <v>11</v>
      </c>
      <c r="O301" s="608"/>
      <c r="Q301" s="3"/>
    </row>
    <row r="302" spans="2:17" hidden="1" outlineLevel="3" x14ac:dyDescent="0.35">
      <c r="B302" s="353" t="s">
        <v>934</v>
      </c>
      <c r="C302" s="668"/>
      <c r="D302" s="668"/>
      <c r="E302" s="668"/>
      <c r="F302" s="668"/>
      <c r="G302" s="668"/>
      <c r="H302" s="668"/>
      <c r="I302" s="668"/>
      <c r="J302" s="668"/>
      <c r="K302" s="668"/>
      <c r="L302" s="668"/>
      <c r="M302" s="668"/>
      <c r="O302" s="608"/>
      <c r="Q302" s="3"/>
    </row>
    <row r="303" spans="2:17" hidden="1" outlineLevel="3" x14ac:dyDescent="0.35">
      <c r="B303" s="353" t="s">
        <v>935</v>
      </c>
      <c r="C303" s="668"/>
      <c r="D303" s="668"/>
      <c r="E303" s="668"/>
      <c r="F303" s="668"/>
      <c r="G303" s="668"/>
      <c r="H303" s="668"/>
      <c r="I303" s="668"/>
      <c r="J303" s="668"/>
      <c r="K303" s="668"/>
      <c r="L303" s="668"/>
      <c r="M303" s="668"/>
      <c r="O303" s="608"/>
      <c r="Q303" s="3"/>
    </row>
    <row r="304" spans="2:17" hidden="1" outlineLevel="3" x14ac:dyDescent="0.35">
      <c r="B304" s="353" t="s">
        <v>936</v>
      </c>
      <c r="C304" s="668"/>
      <c r="D304" s="668"/>
      <c r="E304" s="668"/>
      <c r="F304" s="668"/>
      <c r="G304" s="668"/>
      <c r="H304" s="668"/>
      <c r="I304" s="668"/>
      <c r="J304" s="668"/>
      <c r="K304" s="668"/>
      <c r="L304" s="668"/>
      <c r="M304" s="668"/>
      <c r="O304" s="608"/>
      <c r="Q304" s="3"/>
    </row>
    <row r="305" spans="1:17" hidden="1" outlineLevel="3" x14ac:dyDescent="0.35">
      <c r="B305" s="353" t="s">
        <v>937</v>
      </c>
      <c r="C305" s="668"/>
      <c r="D305" s="668"/>
      <c r="E305" s="668"/>
      <c r="F305" s="668"/>
      <c r="G305" s="668"/>
      <c r="H305" s="668"/>
      <c r="I305" s="668"/>
      <c r="J305" s="668"/>
      <c r="K305" s="668"/>
      <c r="L305" s="668"/>
      <c r="M305" s="668"/>
      <c r="O305" s="608"/>
      <c r="Q305" s="3"/>
    </row>
    <row r="306" spans="1:17" hidden="1" outlineLevel="3" x14ac:dyDescent="0.35">
      <c r="B306" s="353" t="s">
        <v>938</v>
      </c>
      <c r="C306" s="668"/>
      <c r="D306" s="668"/>
      <c r="E306" s="668"/>
      <c r="F306" s="668"/>
      <c r="G306" s="668"/>
      <c r="H306" s="668"/>
      <c r="I306" s="668"/>
      <c r="J306" s="668"/>
      <c r="K306" s="668"/>
      <c r="L306" s="668"/>
      <c r="M306" s="668"/>
      <c r="O306" s="608"/>
      <c r="Q306" s="3"/>
    </row>
    <row r="307" spans="1:17" hidden="1" outlineLevel="2" x14ac:dyDescent="0.35">
      <c r="B307" s="2"/>
      <c r="Q307" s="3"/>
    </row>
    <row r="308" spans="1:17" hidden="1" outlineLevel="2" x14ac:dyDescent="0.35">
      <c r="B308" s="2"/>
      <c r="Q308" s="3"/>
    </row>
    <row r="309" spans="1:17" ht="15.5" hidden="1" outlineLevel="2" x14ac:dyDescent="0.35">
      <c r="A309" s="180" t="s">
        <v>2087</v>
      </c>
      <c r="B309" s="354" t="s">
        <v>240</v>
      </c>
      <c r="C309" s="355"/>
      <c r="D309" s="355"/>
      <c r="E309" s="356"/>
      <c r="F309" s="356"/>
      <c r="G309" s="356"/>
      <c r="H309" s="356"/>
      <c r="I309" s="356"/>
      <c r="J309" s="356"/>
      <c r="K309" s="356"/>
      <c r="L309" s="356"/>
      <c r="M309" s="356"/>
      <c r="N309" s="356"/>
      <c r="O309" s="610"/>
      <c r="P309" s="356"/>
      <c r="Q309" s="357"/>
    </row>
    <row r="310" spans="1:17" hidden="1" outlineLevel="3" x14ac:dyDescent="0.35">
      <c r="B310" s="2"/>
      <c r="O310" s="474" t="s">
        <v>3102</v>
      </c>
      <c r="Q310" s="3"/>
    </row>
    <row r="311" spans="1:17" ht="15.5" hidden="1" outlineLevel="3" x14ac:dyDescent="0.35">
      <c r="B311" s="358"/>
      <c r="C311" s="739" t="s">
        <v>10</v>
      </c>
      <c r="D311" s="740"/>
      <c r="E311" s="740"/>
      <c r="F311" s="740"/>
      <c r="G311" s="740"/>
      <c r="H311" s="740"/>
      <c r="I311" s="740"/>
      <c r="J311" s="740"/>
      <c r="K311" s="740"/>
      <c r="L311" s="741"/>
      <c r="Q311" s="3"/>
    </row>
    <row r="312" spans="1:17" ht="15.5" hidden="1" outlineLevel="3" x14ac:dyDescent="0.35">
      <c r="B312" s="358"/>
      <c r="C312" s="489">
        <v>1</v>
      </c>
      <c r="D312" s="489">
        <v>2</v>
      </c>
      <c r="E312" s="489">
        <v>3</v>
      </c>
      <c r="F312" s="489">
        <v>4</v>
      </c>
      <c r="G312" s="489">
        <v>5</v>
      </c>
      <c r="H312" s="489">
        <v>6</v>
      </c>
      <c r="I312" s="489">
        <v>7</v>
      </c>
      <c r="J312" s="489">
        <v>8</v>
      </c>
      <c r="K312" s="489">
        <v>9</v>
      </c>
      <c r="L312" s="489">
        <v>10</v>
      </c>
      <c r="M312" s="37" t="s">
        <v>8</v>
      </c>
      <c r="Q312" s="3"/>
    </row>
    <row r="313" spans="1:17" hidden="1" outlineLevel="3" x14ac:dyDescent="0.35">
      <c r="B313" s="497" t="s">
        <v>1062</v>
      </c>
      <c r="C313" s="8" t="s">
        <v>4</v>
      </c>
      <c r="D313" s="8" t="s">
        <v>4</v>
      </c>
      <c r="E313" s="8" t="s">
        <v>4</v>
      </c>
      <c r="F313" s="8" t="s">
        <v>4</v>
      </c>
      <c r="G313" s="8" t="s">
        <v>4</v>
      </c>
      <c r="H313" s="8" t="s">
        <v>4</v>
      </c>
      <c r="I313" s="8" t="s">
        <v>4</v>
      </c>
      <c r="J313" s="8" t="s">
        <v>5</v>
      </c>
      <c r="K313" s="8" t="s">
        <v>5</v>
      </c>
      <c r="L313" s="8" t="s">
        <v>12</v>
      </c>
      <c r="M313" s="730" t="str">
        <f>Lists!$B$3</f>
        <v>Non-financial Corporates</v>
      </c>
      <c r="O313" s="608"/>
      <c r="Q313" s="3"/>
    </row>
    <row r="314" spans="1:17" hidden="1" outlineLevel="3" x14ac:dyDescent="0.35">
      <c r="B314" s="497" t="s">
        <v>276</v>
      </c>
      <c r="C314" s="202">
        <v>0</v>
      </c>
      <c r="D314" s="202">
        <v>0</v>
      </c>
      <c r="E314" s="202">
        <v>0</v>
      </c>
      <c r="F314" s="202">
        <v>0</v>
      </c>
      <c r="G314" s="202">
        <v>0</v>
      </c>
      <c r="H314" s="202">
        <v>0</v>
      </c>
      <c r="I314" s="202">
        <v>0</v>
      </c>
      <c r="J314" s="202">
        <v>0</v>
      </c>
      <c r="K314" s="202">
        <v>0</v>
      </c>
      <c r="L314" s="202">
        <v>0</v>
      </c>
      <c r="M314" s="730"/>
      <c r="O314" s="608"/>
      <c r="Q314" s="3"/>
    </row>
    <row r="315" spans="1:17" hidden="1" outlineLevel="3" x14ac:dyDescent="0.35">
      <c r="B315" s="497" t="s">
        <v>1164</v>
      </c>
      <c r="C315" s="8" t="str" cm="1">
        <f t="array" ref="C315">IF(C313="","",INDEX(lov_rtg_categories,MIN(COUNTA(lov_rtg_categories),MAX(1,MATCH(C313,lov_erg_mapped_rtg,0)-C314))))</f>
        <v>BB</v>
      </c>
      <c r="D315" s="8" t="str" cm="1">
        <f t="array" ref="D315">IF(D313="","",INDEX(lov_rtg_categories,MIN(COUNTA(lov_rtg_categories),MAX(1,MATCH(D313,lov_erg_mapped_rtg,0)-D314))))</f>
        <v>BB</v>
      </c>
      <c r="E315" s="8" t="str" cm="1">
        <f t="array" ref="E315">IF(E313="","",INDEX(lov_rtg_categories,MIN(COUNTA(lov_rtg_categories),MAX(1,MATCH(E313,lov_erg_mapped_rtg,0)-E314))))</f>
        <v>BB</v>
      </c>
      <c r="F315" s="8" t="str" cm="1">
        <f t="array" ref="F315">IF(F313="","",INDEX(lov_rtg_categories,MIN(COUNTA(lov_rtg_categories),MAX(1,MATCH(F313,lov_erg_mapped_rtg,0)-F314))))</f>
        <v>BB</v>
      </c>
      <c r="G315" s="8" t="str" cm="1">
        <f t="array" ref="G315">IF(G313="","",INDEX(lov_rtg_categories,MIN(COUNTA(lov_rtg_categories),MAX(1,MATCH(G313,lov_erg_mapped_rtg,0)-G314))))</f>
        <v>BB</v>
      </c>
      <c r="H315" s="8" t="str" cm="1">
        <f t="array" ref="H315">IF(H313="","",INDEX(lov_rtg_categories,MIN(COUNTA(lov_rtg_categories),MAX(1,MATCH(H313,lov_erg_mapped_rtg,0)-H314))))</f>
        <v>BB</v>
      </c>
      <c r="I315" s="8" t="str" cm="1">
        <f t="array" ref="I315">IF(I313="","",INDEX(lov_rtg_categories,MIN(COUNTA(lov_rtg_categories),MAX(1,MATCH(I313,lov_erg_mapped_rtg,0)-I314))))</f>
        <v>BB</v>
      </c>
      <c r="J315" s="8" t="str" cm="1">
        <f t="array" ref="J315">IF(J313="","",INDEX(lov_rtg_categories,MIN(COUNTA(lov_rtg_categories),MAX(1,MATCH(J313,lov_erg_mapped_rtg,0)-J314))))</f>
        <v>B</v>
      </c>
      <c r="K315" s="8" t="str" cm="1">
        <f t="array" ref="K315">IF(K313="","",INDEX(lov_rtg_categories,MIN(COUNTA(lov_rtg_categories),MAX(1,MATCH(K313,lov_erg_mapped_rtg,0)-K314))))</f>
        <v>B</v>
      </c>
      <c r="L315" s="8" t="str" cm="1">
        <f t="array" ref="L315">IF(L313="","",INDEX(lov_rtg_categories,MIN(COUNTA(lov_rtg_categories),MAX(1,MATCH(L313,lov_erg_mapped_rtg,0)-L314))))</f>
        <v>CCC-C</v>
      </c>
      <c r="M315" s="730"/>
      <c r="O315" s="608"/>
      <c r="Q315" s="3"/>
    </row>
    <row r="316" spans="1:17" hidden="1" outlineLevel="3" x14ac:dyDescent="0.35">
      <c r="B316" s="353"/>
      <c r="C316" s="359"/>
      <c r="D316" s="359"/>
      <c r="E316" s="359"/>
      <c r="F316" s="359"/>
      <c r="G316" s="359"/>
      <c r="H316" s="359"/>
      <c r="I316" s="359"/>
      <c r="J316" s="359"/>
      <c r="K316" s="359"/>
      <c r="L316" s="359"/>
      <c r="M316" s="228"/>
      <c r="Q316" s="3"/>
    </row>
    <row r="317" spans="1:17" hidden="1" outlineLevel="3" x14ac:dyDescent="0.35">
      <c r="B317" s="497" t="s">
        <v>1062</v>
      </c>
      <c r="C317" s="8" t="s">
        <v>3</v>
      </c>
      <c r="D317" s="8" t="s">
        <v>3</v>
      </c>
      <c r="E317" s="8" t="s">
        <v>3</v>
      </c>
      <c r="F317" s="8" t="s">
        <v>3</v>
      </c>
      <c r="G317" s="8" t="s">
        <v>3</v>
      </c>
      <c r="H317" s="8" t="s">
        <v>4</v>
      </c>
      <c r="I317" s="8" t="s">
        <v>4</v>
      </c>
      <c r="J317" s="8" t="s">
        <v>5</v>
      </c>
      <c r="K317" s="8" t="s">
        <v>5</v>
      </c>
      <c r="L317" s="8" t="s">
        <v>12</v>
      </c>
      <c r="M317" s="737" t="str">
        <f>Lists!$B$4</f>
        <v>Financials</v>
      </c>
      <c r="O317" s="608"/>
      <c r="Q317" s="3"/>
    </row>
    <row r="318" spans="1:17" hidden="1" outlineLevel="3" x14ac:dyDescent="0.35">
      <c r="B318" s="497" t="s">
        <v>276</v>
      </c>
      <c r="C318" s="202">
        <v>0</v>
      </c>
      <c r="D318" s="202">
        <v>0</v>
      </c>
      <c r="E318" s="202">
        <v>0</v>
      </c>
      <c r="F318" s="202">
        <v>0</v>
      </c>
      <c r="G318" s="202">
        <v>0</v>
      </c>
      <c r="H318" s="202">
        <v>0</v>
      </c>
      <c r="I318" s="202">
        <v>0</v>
      </c>
      <c r="J318" s="202">
        <v>0</v>
      </c>
      <c r="K318" s="202">
        <v>0</v>
      </c>
      <c r="L318" s="202">
        <v>0</v>
      </c>
      <c r="M318" s="737"/>
      <c r="O318" s="608"/>
      <c r="Q318" s="3"/>
    </row>
    <row r="319" spans="1:17" hidden="1" outlineLevel="3" x14ac:dyDescent="0.35">
      <c r="B319" s="497" t="s">
        <v>1164</v>
      </c>
      <c r="C319" s="8" t="str" cm="1">
        <f t="array" ref="C319">IF(C317="","",INDEX(lov_rtg_categories,MIN(COUNTA(lov_rtg_categories),MAX(1,MATCH(C317,lov_erg_mapped_rtg,0)-C318))))</f>
        <v>BBB</v>
      </c>
      <c r="D319" s="8" t="str" cm="1">
        <f t="array" ref="D319">IF(D317="","",INDEX(lov_rtg_categories,MIN(COUNTA(lov_rtg_categories),MAX(1,MATCH(D317,lov_erg_mapped_rtg,0)-D318))))</f>
        <v>BBB</v>
      </c>
      <c r="E319" s="8" t="str" cm="1">
        <f t="array" ref="E319">IF(E317="","",INDEX(lov_rtg_categories,MIN(COUNTA(lov_rtg_categories),MAX(1,MATCH(E317,lov_erg_mapped_rtg,0)-E318))))</f>
        <v>BBB</v>
      </c>
      <c r="F319" s="8" t="str" cm="1">
        <f t="array" ref="F319">IF(F317="","",INDEX(lov_rtg_categories,MIN(COUNTA(lov_rtg_categories),MAX(1,MATCH(F317,lov_erg_mapped_rtg,0)-F318))))</f>
        <v>BBB</v>
      </c>
      <c r="G319" s="8" t="str" cm="1">
        <f t="array" ref="G319">IF(G317="","",INDEX(lov_rtg_categories,MIN(COUNTA(lov_rtg_categories),MAX(1,MATCH(G317,lov_erg_mapped_rtg,0)-G318))))</f>
        <v>BBB</v>
      </c>
      <c r="H319" s="8" t="str" cm="1">
        <f t="array" ref="H319">IF(H317="","",INDEX(lov_rtg_categories,MIN(COUNTA(lov_rtg_categories),MAX(1,MATCH(H317,lov_erg_mapped_rtg,0)-H318))))</f>
        <v>BB</v>
      </c>
      <c r="I319" s="8" t="str" cm="1">
        <f t="array" ref="I319">IF(I317="","",INDEX(lov_rtg_categories,MIN(COUNTA(lov_rtg_categories),MAX(1,MATCH(I317,lov_erg_mapped_rtg,0)-I318))))</f>
        <v>BB</v>
      </c>
      <c r="J319" s="8" t="str" cm="1">
        <f t="array" ref="J319">IF(J317="","",INDEX(lov_rtg_categories,MIN(COUNTA(lov_rtg_categories),MAX(1,MATCH(J317,lov_erg_mapped_rtg,0)-J318))))</f>
        <v>B</v>
      </c>
      <c r="K319" s="8" t="str" cm="1">
        <f t="array" ref="K319">IF(K317="","",INDEX(lov_rtg_categories,MIN(COUNTA(lov_rtg_categories),MAX(1,MATCH(K317,lov_erg_mapped_rtg,0)-K318))))</f>
        <v>B</v>
      </c>
      <c r="L319" s="8" t="str" cm="1">
        <f t="array" ref="L319">IF(L317="","",INDEX(lov_rtg_categories,MIN(COUNTA(lov_rtg_categories),MAX(1,MATCH(L317,lov_erg_mapped_rtg,0)-L318))))</f>
        <v>CCC-C</v>
      </c>
      <c r="M319" s="737"/>
      <c r="O319" s="608"/>
      <c r="Q319" s="3"/>
    </row>
    <row r="320" spans="1:17" hidden="1" outlineLevel="3" x14ac:dyDescent="0.35">
      <c r="B320" s="353"/>
      <c r="C320" s="359"/>
      <c r="D320" s="359"/>
      <c r="E320" s="359"/>
      <c r="F320" s="359"/>
      <c r="G320" s="359"/>
      <c r="H320" s="359"/>
      <c r="I320" s="359"/>
      <c r="J320" s="359"/>
      <c r="K320" s="359"/>
      <c r="L320" s="359"/>
      <c r="M320" s="228"/>
      <c r="Q320" s="3"/>
    </row>
    <row r="321" spans="2:17" hidden="1" outlineLevel="3" x14ac:dyDescent="0.35">
      <c r="B321" s="497" t="s">
        <v>1062</v>
      </c>
      <c r="C321" s="8" t="s">
        <v>2</v>
      </c>
      <c r="D321" s="8" t="s">
        <v>2</v>
      </c>
      <c r="E321" s="8" t="s">
        <v>2</v>
      </c>
      <c r="F321" s="8" t="s">
        <v>2</v>
      </c>
      <c r="G321" s="8" t="s">
        <v>3</v>
      </c>
      <c r="H321" s="8" t="s">
        <v>3</v>
      </c>
      <c r="I321" s="8" t="s">
        <v>4</v>
      </c>
      <c r="J321" s="8" t="s">
        <v>5</v>
      </c>
      <c r="K321" s="8" t="s">
        <v>5</v>
      </c>
      <c r="L321" s="8" t="s">
        <v>12</v>
      </c>
      <c r="M321" s="730" t="str">
        <f>Lists!$B$5</f>
        <v>Sovereign / Public Finance</v>
      </c>
      <c r="O321" s="608"/>
      <c r="Q321" s="3"/>
    </row>
    <row r="322" spans="2:17" hidden="1" outlineLevel="3" x14ac:dyDescent="0.35">
      <c r="B322" s="497" t="s">
        <v>276</v>
      </c>
      <c r="C322" s="202">
        <v>0</v>
      </c>
      <c r="D322" s="202">
        <v>0</v>
      </c>
      <c r="E322" s="202">
        <v>0</v>
      </c>
      <c r="F322" s="202">
        <v>0</v>
      </c>
      <c r="G322" s="202">
        <v>0</v>
      </c>
      <c r="H322" s="202">
        <v>0</v>
      </c>
      <c r="I322" s="202">
        <v>0</v>
      </c>
      <c r="J322" s="202">
        <v>0</v>
      </c>
      <c r="K322" s="202">
        <v>0</v>
      </c>
      <c r="L322" s="202">
        <v>0</v>
      </c>
      <c r="M322" s="730"/>
      <c r="O322" s="608"/>
      <c r="Q322" s="3"/>
    </row>
    <row r="323" spans="2:17" hidden="1" outlineLevel="3" x14ac:dyDescent="0.35">
      <c r="B323" s="497" t="s">
        <v>1164</v>
      </c>
      <c r="C323" s="8" t="str" cm="1">
        <f t="array" ref="C323">IF(C321="","",INDEX(lov_rtg_categories,MIN(COUNTA(lov_rtg_categories),MAX(1,MATCH(C321,lov_erg_mapped_rtg,0)-C322))))</f>
        <v>A</v>
      </c>
      <c r="D323" s="8" t="str" cm="1">
        <f t="array" ref="D323">IF(D321="","",INDEX(lov_rtg_categories,MIN(COUNTA(lov_rtg_categories),MAX(1,MATCH(D321,lov_erg_mapped_rtg,0)-D322))))</f>
        <v>A</v>
      </c>
      <c r="E323" s="8" t="str" cm="1">
        <f t="array" ref="E323">IF(E321="","",INDEX(lov_rtg_categories,MIN(COUNTA(lov_rtg_categories),MAX(1,MATCH(E321,lov_erg_mapped_rtg,0)-E322))))</f>
        <v>A</v>
      </c>
      <c r="F323" s="8" t="str" cm="1">
        <f t="array" ref="F323">IF(F321="","",INDEX(lov_rtg_categories,MIN(COUNTA(lov_rtg_categories),MAX(1,MATCH(F321,lov_erg_mapped_rtg,0)-F322))))</f>
        <v>A</v>
      </c>
      <c r="G323" s="8" t="str" cm="1">
        <f t="array" ref="G323">IF(G321="","",INDEX(lov_rtg_categories,MIN(COUNTA(lov_rtg_categories),MAX(1,MATCH(G321,lov_erg_mapped_rtg,0)-G322))))</f>
        <v>BBB</v>
      </c>
      <c r="H323" s="8" t="str" cm="1">
        <f t="array" ref="H323">IF(H321="","",INDEX(lov_rtg_categories,MIN(COUNTA(lov_rtg_categories),MAX(1,MATCH(H321,lov_erg_mapped_rtg,0)-H322))))</f>
        <v>BBB</v>
      </c>
      <c r="I323" s="8" t="str" cm="1">
        <f t="array" ref="I323">IF(I321="","",INDEX(lov_rtg_categories,MIN(COUNTA(lov_rtg_categories),MAX(1,MATCH(I321,lov_erg_mapped_rtg,0)-I322))))</f>
        <v>BB</v>
      </c>
      <c r="J323" s="8" t="str" cm="1">
        <f t="array" ref="J323">IF(J321="","",INDEX(lov_rtg_categories,MIN(COUNTA(lov_rtg_categories),MAX(1,MATCH(J321,lov_erg_mapped_rtg,0)-J322))))</f>
        <v>B</v>
      </c>
      <c r="K323" s="8" t="str" cm="1">
        <f t="array" ref="K323">IF(K321="","",INDEX(lov_rtg_categories,MIN(COUNTA(lov_rtg_categories),MAX(1,MATCH(K321,lov_erg_mapped_rtg,0)-K322))))</f>
        <v>B</v>
      </c>
      <c r="L323" s="8" t="str" cm="1">
        <f t="array" ref="L323">IF(L321="","",INDEX(lov_rtg_categories,MIN(COUNTA(lov_rtg_categories),MAX(1,MATCH(L321,lov_erg_mapped_rtg,0)-L322))))</f>
        <v>CCC-C</v>
      </c>
      <c r="M323" s="730"/>
      <c r="O323" s="608"/>
      <c r="Q323" s="3"/>
    </row>
    <row r="324" spans="2:17" hidden="1" outlineLevel="3" x14ac:dyDescent="0.35">
      <c r="B324" s="353"/>
      <c r="C324" s="359"/>
      <c r="D324" s="359"/>
      <c r="E324" s="359"/>
      <c r="F324" s="359"/>
      <c r="G324" s="359"/>
      <c r="H324" s="359"/>
      <c r="I324" s="359"/>
      <c r="J324" s="359"/>
      <c r="K324" s="359"/>
      <c r="L324" s="359"/>
      <c r="M324" s="228"/>
      <c r="Q324" s="3"/>
    </row>
    <row r="325" spans="2:17" hidden="1" outlineLevel="3" x14ac:dyDescent="0.35">
      <c r="B325" s="497" t="s">
        <v>1062</v>
      </c>
      <c r="C325" s="8" t="s">
        <v>3</v>
      </c>
      <c r="D325" s="8" t="s">
        <v>3</v>
      </c>
      <c r="E325" s="8" t="s">
        <v>3</v>
      </c>
      <c r="F325" s="8" t="s">
        <v>3</v>
      </c>
      <c r="G325" s="8" t="s">
        <v>3</v>
      </c>
      <c r="H325" s="8" t="s">
        <v>3</v>
      </c>
      <c r="I325" s="8" t="s">
        <v>4</v>
      </c>
      <c r="J325" s="8" t="s">
        <v>5</v>
      </c>
      <c r="K325" s="8" t="s">
        <v>5</v>
      </c>
      <c r="L325" s="8" t="s">
        <v>12</v>
      </c>
      <c r="M325" s="730" t="str">
        <f>Lists!$B$6</f>
        <v>Structured Finance - Senior</v>
      </c>
      <c r="O325" s="608"/>
      <c r="Q325" s="3"/>
    </row>
    <row r="326" spans="2:17" hidden="1" outlineLevel="3" x14ac:dyDescent="0.35">
      <c r="B326" s="497" t="s">
        <v>276</v>
      </c>
      <c r="C326" s="202">
        <v>0</v>
      </c>
      <c r="D326" s="202">
        <v>0</v>
      </c>
      <c r="E326" s="202">
        <v>0</v>
      </c>
      <c r="F326" s="202">
        <v>0</v>
      </c>
      <c r="G326" s="202">
        <v>0</v>
      </c>
      <c r="H326" s="202">
        <v>0</v>
      </c>
      <c r="I326" s="202">
        <v>0</v>
      </c>
      <c r="J326" s="202">
        <v>0</v>
      </c>
      <c r="K326" s="202">
        <v>0</v>
      </c>
      <c r="L326" s="202">
        <v>0</v>
      </c>
      <c r="M326" s="730"/>
      <c r="O326" s="608"/>
      <c r="Q326" s="3"/>
    </row>
    <row r="327" spans="2:17" hidden="1" outlineLevel="3" x14ac:dyDescent="0.35">
      <c r="B327" s="497" t="s">
        <v>1164</v>
      </c>
      <c r="C327" s="8" t="str" cm="1">
        <f t="array" ref="C327">IF(C325="","",INDEX(lov_rtg_categories,MIN(COUNTA(lov_rtg_categories),MAX(1,MATCH(C325,lov_erg_mapped_rtg,0)-C326))))</f>
        <v>BBB</v>
      </c>
      <c r="D327" s="8" t="str" cm="1">
        <f t="array" ref="D327">IF(D325="","",INDEX(lov_rtg_categories,MIN(COUNTA(lov_rtg_categories),MAX(1,MATCH(D325,lov_erg_mapped_rtg,0)-D326))))</f>
        <v>BBB</v>
      </c>
      <c r="E327" s="8" t="str" cm="1">
        <f t="array" ref="E327">IF(E325="","",INDEX(lov_rtg_categories,MIN(COUNTA(lov_rtg_categories),MAX(1,MATCH(E325,lov_erg_mapped_rtg,0)-E326))))</f>
        <v>BBB</v>
      </c>
      <c r="F327" s="8" t="str" cm="1">
        <f t="array" ref="F327">IF(F325="","",INDEX(lov_rtg_categories,MIN(COUNTA(lov_rtg_categories),MAX(1,MATCH(F325,lov_erg_mapped_rtg,0)-F326))))</f>
        <v>BBB</v>
      </c>
      <c r="G327" s="8" t="str" cm="1">
        <f t="array" ref="G327">IF(G325="","",INDEX(lov_rtg_categories,MIN(COUNTA(lov_rtg_categories),MAX(1,MATCH(G325,lov_erg_mapped_rtg,0)-G326))))</f>
        <v>BBB</v>
      </c>
      <c r="H327" s="8" t="str" cm="1">
        <f t="array" ref="H327">IF(H325="","",INDEX(lov_rtg_categories,MIN(COUNTA(lov_rtg_categories),MAX(1,MATCH(H325,lov_erg_mapped_rtg,0)-H326))))</f>
        <v>BBB</v>
      </c>
      <c r="I327" s="8" t="str" cm="1">
        <f t="array" ref="I327">IF(I325="","",INDEX(lov_rtg_categories,MIN(COUNTA(lov_rtg_categories),MAX(1,MATCH(I325,lov_erg_mapped_rtg,0)-I326))))</f>
        <v>BB</v>
      </c>
      <c r="J327" s="8" t="str" cm="1">
        <f t="array" ref="J327">IF(J325="","",INDEX(lov_rtg_categories,MIN(COUNTA(lov_rtg_categories),MAX(1,MATCH(J325,lov_erg_mapped_rtg,0)-J326))))</f>
        <v>B</v>
      </c>
      <c r="K327" s="8" t="str" cm="1">
        <f t="array" ref="K327">IF(K325="","",INDEX(lov_rtg_categories,MIN(COUNTA(lov_rtg_categories),MAX(1,MATCH(K325,lov_erg_mapped_rtg,0)-K326))))</f>
        <v>B</v>
      </c>
      <c r="L327" s="8" t="str" cm="1">
        <f t="array" ref="L327">IF(L325="","",INDEX(lov_rtg_categories,MIN(COUNTA(lov_rtg_categories),MAX(1,MATCH(L325,lov_erg_mapped_rtg,0)-L326))))</f>
        <v>CCC-C</v>
      </c>
      <c r="M327" s="730"/>
      <c r="O327" s="608"/>
      <c r="Q327" s="3"/>
    </row>
    <row r="328" spans="2:17" hidden="1" outlineLevel="3" x14ac:dyDescent="0.35">
      <c r="B328" s="2"/>
      <c r="Q328" s="3"/>
    </row>
    <row r="329" spans="2:17" hidden="1" outlineLevel="3" x14ac:dyDescent="0.35">
      <c r="B329" s="497" t="s">
        <v>1062</v>
      </c>
      <c r="C329" s="8" t="s">
        <v>4</v>
      </c>
      <c r="D329" s="8" t="s">
        <v>4</v>
      </c>
      <c r="E329" s="8" t="s">
        <v>4</v>
      </c>
      <c r="F329" s="8" t="s">
        <v>4</v>
      </c>
      <c r="G329" s="8" t="s">
        <v>4</v>
      </c>
      <c r="H329" s="8" t="s">
        <v>4</v>
      </c>
      <c r="I329" s="8" t="s">
        <v>5</v>
      </c>
      <c r="J329" s="8" t="s">
        <v>12</v>
      </c>
      <c r="K329" s="8" t="s">
        <v>12</v>
      </c>
      <c r="L329" s="8" t="s">
        <v>12</v>
      </c>
      <c r="M329" s="730" t="str">
        <f>Lists!$B$7</f>
        <v>Structured Finance - Mezz.</v>
      </c>
      <c r="O329" s="608"/>
      <c r="Q329" s="3"/>
    </row>
    <row r="330" spans="2:17" hidden="1" outlineLevel="3" x14ac:dyDescent="0.35">
      <c r="B330" s="497" t="s">
        <v>276</v>
      </c>
      <c r="C330" s="202">
        <v>0</v>
      </c>
      <c r="D330" s="202">
        <v>0</v>
      </c>
      <c r="E330" s="202">
        <v>0</v>
      </c>
      <c r="F330" s="202">
        <v>0</v>
      </c>
      <c r="G330" s="202">
        <v>0</v>
      </c>
      <c r="H330" s="202">
        <v>0</v>
      </c>
      <c r="I330" s="202">
        <v>0</v>
      </c>
      <c r="J330" s="202">
        <v>0</v>
      </c>
      <c r="K330" s="202">
        <v>0</v>
      </c>
      <c r="L330" s="202">
        <v>0</v>
      </c>
      <c r="M330" s="730"/>
      <c r="O330" s="608"/>
      <c r="Q330" s="3"/>
    </row>
    <row r="331" spans="2:17" hidden="1" outlineLevel="3" x14ac:dyDescent="0.35">
      <c r="B331" s="497" t="s">
        <v>1164</v>
      </c>
      <c r="C331" s="8" t="str" cm="1">
        <f t="array" ref="C331">IF(C329="","",INDEX(lov_rtg_categories,MIN(COUNTA(lov_rtg_categories),MAX(1,MATCH(C329,lov_erg_mapped_rtg,0)-C330))))</f>
        <v>BB</v>
      </c>
      <c r="D331" s="8" t="str" cm="1">
        <f t="array" ref="D331">IF(D329="","",INDEX(lov_rtg_categories,MIN(COUNTA(lov_rtg_categories),MAX(1,MATCH(D329,lov_erg_mapped_rtg,0)-D330))))</f>
        <v>BB</v>
      </c>
      <c r="E331" s="8" t="str" cm="1">
        <f t="array" ref="E331">IF(E329="","",INDEX(lov_rtg_categories,MIN(COUNTA(lov_rtg_categories),MAX(1,MATCH(E329,lov_erg_mapped_rtg,0)-E330))))</f>
        <v>BB</v>
      </c>
      <c r="F331" s="8" t="str" cm="1">
        <f t="array" ref="F331">IF(F329="","",INDEX(lov_rtg_categories,MIN(COUNTA(lov_rtg_categories),MAX(1,MATCH(F329,lov_erg_mapped_rtg,0)-F330))))</f>
        <v>BB</v>
      </c>
      <c r="G331" s="8" t="str" cm="1">
        <f t="array" ref="G331">IF(G329="","",INDEX(lov_rtg_categories,MIN(COUNTA(lov_rtg_categories),MAX(1,MATCH(G329,lov_erg_mapped_rtg,0)-G330))))</f>
        <v>BB</v>
      </c>
      <c r="H331" s="8" t="str" cm="1">
        <f t="array" ref="H331">IF(H329="","",INDEX(lov_rtg_categories,MIN(COUNTA(lov_rtg_categories),MAX(1,MATCH(H329,lov_erg_mapped_rtg,0)-H330))))</f>
        <v>BB</v>
      </c>
      <c r="I331" s="8" t="str" cm="1">
        <f t="array" ref="I331">IF(I329="","",INDEX(lov_rtg_categories,MIN(COUNTA(lov_rtg_categories),MAX(1,MATCH(I329,lov_erg_mapped_rtg,0)-I330))))</f>
        <v>B</v>
      </c>
      <c r="J331" s="8" t="str" cm="1">
        <f t="array" ref="J331">IF(J329="","",INDEX(lov_rtg_categories,MIN(COUNTA(lov_rtg_categories),MAX(1,MATCH(J329,lov_erg_mapped_rtg,0)-J330))))</f>
        <v>CCC-C</v>
      </c>
      <c r="K331" s="8" t="str" cm="1">
        <f t="array" ref="K331">IF(K329="","",INDEX(lov_rtg_categories,MIN(COUNTA(lov_rtg_categories),MAX(1,MATCH(K329,lov_erg_mapped_rtg,0)-K330))))</f>
        <v>CCC-C</v>
      </c>
      <c r="L331" s="8" t="str" cm="1">
        <f t="array" ref="L331">IF(L329="","",INDEX(lov_rtg_categories,MIN(COUNTA(lov_rtg_categories),MAX(1,MATCH(L329,lov_erg_mapped_rtg,0)-L330))))</f>
        <v>CCC-C</v>
      </c>
      <c r="M331" s="730"/>
      <c r="O331" s="608"/>
      <c r="Q331" s="3"/>
    </row>
    <row r="332" spans="2:17" hidden="1" outlineLevel="3" x14ac:dyDescent="0.35">
      <c r="B332" s="2"/>
      <c r="Q332" s="3"/>
    </row>
    <row r="333" spans="2:17" hidden="1" outlineLevel="3" x14ac:dyDescent="0.35">
      <c r="B333" s="497" t="s">
        <v>1062</v>
      </c>
      <c r="C333" s="8" t="s">
        <v>12</v>
      </c>
      <c r="D333" s="8" t="s">
        <v>12</v>
      </c>
      <c r="E333" s="8" t="s">
        <v>12</v>
      </c>
      <c r="F333" s="8" t="s">
        <v>12</v>
      </c>
      <c r="G333" s="8" t="s">
        <v>12</v>
      </c>
      <c r="H333" s="8" t="s">
        <v>12</v>
      </c>
      <c r="I333" s="8" t="s">
        <v>12</v>
      </c>
      <c r="J333" s="8" t="s">
        <v>12</v>
      </c>
      <c r="K333" s="8" t="s">
        <v>12</v>
      </c>
      <c r="L333" s="8" t="s">
        <v>12</v>
      </c>
      <c r="M333" s="730" t="str">
        <f>Lists!$B$8</f>
        <v>Structured Finance - Junior</v>
      </c>
      <c r="O333" s="608"/>
      <c r="Q333" s="3"/>
    </row>
    <row r="334" spans="2:17" hidden="1" outlineLevel="3" x14ac:dyDescent="0.35">
      <c r="B334" s="497" t="s">
        <v>276</v>
      </c>
      <c r="C334" s="202">
        <v>0</v>
      </c>
      <c r="D334" s="202">
        <v>0</v>
      </c>
      <c r="E334" s="202">
        <v>0</v>
      </c>
      <c r="F334" s="202">
        <v>0</v>
      </c>
      <c r="G334" s="202">
        <v>0</v>
      </c>
      <c r="H334" s="202">
        <v>0</v>
      </c>
      <c r="I334" s="202">
        <v>0</v>
      </c>
      <c r="J334" s="202">
        <v>0</v>
      </c>
      <c r="K334" s="202">
        <v>0</v>
      </c>
      <c r="L334" s="202">
        <v>0</v>
      </c>
      <c r="M334" s="730"/>
      <c r="O334" s="608"/>
      <c r="Q334" s="3"/>
    </row>
    <row r="335" spans="2:17" hidden="1" outlineLevel="3" x14ac:dyDescent="0.35">
      <c r="B335" s="497" t="s">
        <v>1164</v>
      </c>
      <c r="C335" s="8" t="str" cm="1">
        <f t="array" ref="C335">IF(C333="","",INDEX(lov_rtg_categories,MIN(COUNTA(lov_rtg_categories),MAX(1,MATCH(C333,lov_erg_mapped_rtg,0)-C334))))</f>
        <v>CCC-C</v>
      </c>
      <c r="D335" s="8" t="str" cm="1">
        <f t="array" ref="D335">IF(D333="","",INDEX(lov_rtg_categories,MIN(COUNTA(lov_rtg_categories),MAX(1,MATCH(D333,lov_erg_mapped_rtg,0)-D334))))</f>
        <v>CCC-C</v>
      </c>
      <c r="E335" s="8" t="str" cm="1">
        <f t="array" ref="E335">IF(E333="","",INDEX(lov_rtg_categories,MIN(COUNTA(lov_rtg_categories),MAX(1,MATCH(E333,lov_erg_mapped_rtg,0)-E334))))</f>
        <v>CCC-C</v>
      </c>
      <c r="F335" s="8" t="str" cm="1">
        <f t="array" ref="F335">IF(F333="","",INDEX(lov_rtg_categories,MIN(COUNTA(lov_rtg_categories),MAX(1,MATCH(F333,lov_erg_mapped_rtg,0)-F334))))</f>
        <v>CCC-C</v>
      </c>
      <c r="G335" s="8" t="str" cm="1">
        <f t="array" ref="G335">IF(G333="","",INDEX(lov_rtg_categories,MIN(COUNTA(lov_rtg_categories),MAX(1,MATCH(G333,lov_erg_mapped_rtg,0)-G334))))</f>
        <v>CCC-C</v>
      </c>
      <c r="H335" s="8" t="str" cm="1">
        <f t="array" ref="H335">IF(H333="","",INDEX(lov_rtg_categories,MIN(COUNTA(lov_rtg_categories),MAX(1,MATCH(H333,lov_erg_mapped_rtg,0)-H334))))</f>
        <v>CCC-C</v>
      </c>
      <c r="I335" s="8" t="str" cm="1">
        <f t="array" ref="I335">IF(I333="","",INDEX(lov_rtg_categories,MIN(COUNTA(lov_rtg_categories),MAX(1,MATCH(I333,lov_erg_mapped_rtg,0)-I334))))</f>
        <v>CCC-C</v>
      </c>
      <c r="J335" s="8" t="str" cm="1">
        <f t="array" ref="J335">IF(J333="","",INDEX(lov_rtg_categories,MIN(COUNTA(lov_rtg_categories),MAX(1,MATCH(J333,lov_erg_mapped_rtg,0)-J334))))</f>
        <v>CCC-C</v>
      </c>
      <c r="K335" s="8" t="str" cm="1">
        <f t="array" ref="K335">IF(K333="","",INDEX(lov_rtg_categories,MIN(COUNTA(lov_rtg_categories),MAX(1,MATCH(K333,lov_erg_mapped_rtg,0)-K334))))</f>
        <v>CCC-C</v>
      </c>
      <c r="L335" s="8" t="str" cm="1">
        <f t="array" ref="L335">IF(L333="","",INDEX(lov_rtg_categories,MIN(COUNTA(lov_rtg_categories),MAX(1,MATCH(L333,lov_erg_mapped_rtg,0)-L334))))</f>
        <v>CCC-C</v>
      </c>
      <c r="M335" s="730"/>
      <c r="O335" s="608"/>
      <c r="Q335" s="3"/>
    </row>
    <row r="336" spans="2:17" hidden="1" outlineLevel="3" x14ac:dyDescent="0.35">
      <c r="B336" s="2"/>
      <c r="Q336" s="3"/>
    </row>
    <row r="337" spans="1:21" ht="15.5" hidden="1" outlineLevel="2" x14ac:dyDescent="0.35">
      <c r="A337" s="180" t="s">
        <v>2087</v>
      </c>
      <c r="B337" s="354"/>
      <c r="C337" s="355"/>
      <c r="D337" s="355"/>
      <c r="E337" s="356"/>
      <c r="F337" s="356"/>
      <c r="G337" s="356"/>
      <c r="H337" s="356"/>
      <c r="I337" s="356"/>
      <c r="J337" s="356"/>
      <c r="K337" s="356"/>
      <c r="L337" s="356"/>
      <c r="M337" s="356"/>
      <c r="N337" s="356"/>
      <c r="O337" s="610"/>
      <c r="P337" s="356"/>
      <c r="Q337" s="357"/>
    </row>
    <row r="338" spans="1:21" ht="15.5" outlineLevel="1" collapsed="1" x14ac:dyDescent="0.35">
      <c r="A338" s="180" t="s">
        <v>2087</v>
      </c>
      <c r="B338" s="430"/>
      <c r="C338" s="410"/>
      <c r="D338" s="410"/>
      <c r="E338" s="591"/>
      <c r="F338" s="592"/>
      <c r="G338" s="22"/>
      <c r="H338" s="22"/>
      <c r="I338" s="22"/>
      <c r="J338" s="592"/>
      <c r="K338" s="22"/>
      <c r="L338" s="22"/>
      <c r="M338" s="22"/>
      <c r="N338" s="22"/>
      <c r="O338" s="609"/>
      <c r="P338" s="431"/>
      <c r="Q338" s="432"/>
      <c r="T338" s="360">
        <f>Q78-F340</f>
        <v>0</v>
      </c>
      <c r="U338" s="360"/>
    </row>
    <row r="339" spans="1:21" hidden="1" outlineLevel="2" x14ac:dyDescent="0.35">
      <c r="B339" s="361"/>
      <c r="C339" s="362"/>
      <c r="D339" s="362"/>
      <c r="Q339" s="3"/>
      <c r="T339" s="346">
        <f>IF(F340=0,0,ABS(T338/F340))</f>
        <v>0</v>
      </c>
      <c r="U339" s="346"/>
    </row>
    <row r="340" spans="1:21" hidden="1" outlineLevel="2" x14ac:dyDescent="0.35">
      <c r="B340" s="361"/>
      <c r="C340" s="362"/>
      <c r="D340" s="362"/>
      <c r="E340" s="343" t="s">
        <v>2147</v>
      </c>
      <c r="F340" s="233"/>
      <c r="Q340" s="3"/>
      <c r="S340">
        <f>IF(T340&gt;Error_Check_Precision,1,0)</f>
        <v>0</v>
      </c>
      <c r="T340" s="347">
        <f>IF(OR(F340=0,ISERROR(T339)),0,T339)</f>
        <v>0</v>
      </c>
      <c r="U340" s="347"/>
    </row>
    <row r="341" spans="1:21" hidden="1" outlineLevel="2" x14ac:dyDescent="0.35">
      <c r="B341" s="361"/>
      <c r="C341" s="362"/>
      <c r="D341" s="362"/>
      <c r="Q341" s="3"/>
    </row>
    <row r="342" spans="1:21" ht="15" thickBot="1" x14ac:dyDescent="0.4">
      <c r="A342" s="180" t="s">
        <v>2087</v>
      </c>
      <c r="B342" s="363"/>
      <c r="C342" s="364"/>
      <c r="D342" s="364"/>
      <c r="E342" s="365"/>
      <c r="F342" s="365"/>
      <c r="G342" s="365"/>
      <c r="H342" s="365"/>
      <c r="I342" s="365"/>
      <c r="J342" s="365"/>
      <c r="K342" s="365"/>
      <c r="L342" s="365"/>
      <c r="M342" s="365"/>
      <c r="N342" s="365"/>
      <c r="O342" s="611"/>
      <c r="P342" s="365"/>
      <c r="Q342" s="366"/>
    </row>
    <row r="343" spans="1:21" ht="18.5" x14ac:dyDescent="0.35">
      <c r="A343" s="180" t="s">
        <v>2087</v>
      </c>
      <c r="B343" s="331" t="s">
        <v>16</v>
      </c>
      <c r="C343" s="621"/>
      <c r="D343" s="621"/>
      <c r="E343" s="622"/>
      <c r="F343" s="334"/>
      <c r="G343" s="623"/>
      <c r="H343" s="624" t="str">
        <f>IF(S351=1,Error_Message &amp; " Total invested equity difference = " &amp; TEXT(T349, "#,##0.00"),IF(S348=1,Error_Message &amp; " Listed associates &amp; joint ventures difference = " &amp; TEXT(T346, "#,##0.00"),""))</f>
        <v/>
      </c>
      <c r="I343" s="623"/>
      <c r="J343" s="334"/>
      <c r="K343" s="623"/>
      <c r="L343" s="623"/>
      <c r="M343" s="623"/>
      <c r="N343" s="623"/>
      <c r="O343" s="625"/>
      <c r="P343" s="335" t="s">
        <v>967</v>
      </c>
      <c r="Q343" s="651">
        <f>SUM(F346:I349,L346:L347)</f>
        <v>0</v>
      </c>
      <c r="R343" s="44"/>
    </row>
    <row r="344" spans="1:21" ht="15.5" hidden="1" outlineLevel="2" x14ac:dyDescent="0.35">
      <c r="B344" s="367"/>
      <c r="C344" s="342"/>
      <c r="D344" s="342"/>
      <c r="J344" s="368"/>
      <c r="O344" s="474" t="s">
        <v>3102</v>
      </c>
      <c r="P344" s="369"/>
      <c r="Q344" s="370"/>
      <c r="R344" s="44"/>
    </row>
    <row r="345" spans="1:21" ht="60.65" hidden="1" customHeight="1" outlineLevel="2" x14ac:dyDescent="0.35">
      <c r="B345" s="2"/>
      <c r="E345" s="371" t="s">
        <v>2102</v>
      </c>
      <c r="F345" s="372" t="s">
        <v>940</v>
      </c>
      <c r="G345" s="372" t="s">
        <v>944</v>
      </c>
      <c r="H345" s="373" t="s">
        <v>4455</v>
      </c>
      <c r="I345" s="373" t="s">
        <v>4456</v>
      </c>
      <c r="L345" s="373" t="s">
        <v>4409</v>
      </c>
      <c r="M345" s="217"/>
      <c r="Q345" s="3"/>
    </row>
    <row r="346" spans="1:21" hidden="1" outlineLevel="2" x14ac:dyDescent="0.35">
      <c r="B346" s="2"/>
      <c r="E346" s="5" t="s">
        <v>1074</v>
      </c>
      <c r="F346" s="670"/>
      <c r="G346" s="670"/>
      <c r="H346" s="670"/>
      <c r="I346" s="670"/>
      <c r="K346" s="5" t="s">
        <v>1092</v>
      </c>
      <c r="L346" s="670"/>
      <c r="M346" s="217"/>
      <c r="O346" s="608"/>
      <c r="Q346" s="3"/>
      <c r="T346" s="360">
        <f>SUM(H346:H349)-F33</f>
        <v>0</v>
      </c>
    </row>
    <row r="347" spans="1:21" hidden="1" outlineLevel="2" x14ac:dyDescent="0.35">
      <c r="B347" s="2"/>
      <c r="E347" s="5" t="s">
        <v>1075</v>
      </c>
      <c r="F347" s="670"/>
      <c r="G347" s="670"/>
      <c r="H347" s="670"/>
      <c r="I347" s="670"/>
      <c r="K347" s="5" t="s">
        <v>1093</v>
      </c>
      <c r="L347" s="670"/>
      <c r="O347" s="608"/>
      <c r="Q347" s="3"/>
      <c r="T347" s="346">
        <f>IF(F33=0,0,ABS(T346/F33))</f>
        <v>0</v>
      </c>
    </row>
    <row r="348" spans="1:21" hidden="1" outlineLevel="2" x14ac:dyDescent="0.35">
      <c r="B348" s="2"/>
      <c r="E348" s="5" t="s">
        <v>1076</v>
      </c>
      <c r="F348" s="670"/>
      <c r="G348" s="670"/>
      <c r="H348" s="670"/>
      <c r="I348" s="670"/>
      <c r="K348" s="259"/>
      <c r="O348" s="608"/>
      <c r="Q348" s="3"/>
      <c r="S348">
        <f>IF(T348&gt;Error_Check_Precision,1,0)</f>
        <v>0</v>
      </c>
      <c r="T348" s="347">
        <f>IF(OR(F33=0,ISERROR(T347)),0,T347)</f>
        <v>0</v>
      </c>
    </row>
    <row r="349" spans="1:21" hidden="1" outlineLevel="2" x14ac:dyDescent="0.35">
      <c r="B349" s="2"/>
      <c r="E349" s="5" t="s">
        <v>1077</v>
      </c>
      <c r="F349" s="670"/>
      <c r="G349" s="670"/>
      <c r="H349" s="670"/>
      <c r="I349" s="670"/>
      <c r="O349" s="608"/>
      <c r="Q349" s="3"/>
      <c r="T349" s="360">
        <f>SUM(F346:G349,L346:L347)-F351</f>
        <v>0</v>
      </c>
      <c r="U349" s="360"/>
    </row>
    <row r="350" spans="1:21" hidden="1" outlineLevel="2" x14ac:dyDescent="0.35">
      <c r="B350" s="2"/>
      <c r="Q350" s="3"/>
      <c r="T350" s="346">
        <f>IF(F351=0,0,ABS(T349/F351))</f>
        <v>0</v>
      </c>
      <c r="U350" s="346"/>
    </row>
    <row r="351" spans="1:21" hidden="1" outlineLevel="2" x14ac:dyDescent="0.35">
      <c r="B351" s="2"/>
      <c r="E351" s="5" t="s">
        <v>281</v>
      </c>
      <c r="F351" s="670"/>
      <c r="K351" s="18" t="s">
        <v>4479</v>
      </c>
      <c r="L351" s="382">
        <f>IF(OR(ISBLANK(Input!F33), ISBLANK(Input!F34)), 0, (Input!F33-Input!F34))</f>
        <v>0</v>
      </c>
      <c r="O351" s="608"/>
      <c r="Q351" s="3"/>
      <c r="S351">
        <f>IF(T351&gt;Error_Check_Precision,1,0)</f>
        <v>0</v>
      </c>
      <c r="T351" s="347">
        <f>IF(OR(F351=0,ISERROR(T350)),0,T350)</f>
        <v>0</v>
      </c>
      <c r="U351" s="347"/>
    </row>
    <row r="352" spans="1:21" hidden="1" outlineLevel="2" x14ac:dyDescent="0.35">
      <c r="B352" s="2"/>
      <c r="E352" s="5"/>
      <c r="N352" s="15"/>
      <c r="Q352" s="3"/>
      <c r="T352" s="347"/>
      <c r="U352" s="347"/>
    </row>
    <row r="353" spans="1:21" ht="15" collapsed="1" thickBot="1" x14ac:dyDescent="0.4">
      <c r="A353" s="180" t="s">
        <v>2087</v>
      </c>
      <c r="B353" s="626"/>
      <c r="C353" s="627"/>
      <c r="D353" s="627"/>
      <c r="E353" s="627"/>
      <c r="F353" s="627"/>
      <c r="G353" s="627"/>
      <c r="H353" s="627"/>
      <c r="I353" s="627"/>
      <c r="J353" s="627"/>
      <c r="K353" s="627"/>
      <c r="L353" s="627"/>
      <c r="M353" s="627"/>
      <c r="N353" s="627"/>
      <c r="O353" s="628"/>
      <c r="P353" s="627"/>
      <c r="Q353" s="629"/>
    </row>
    <row r="354" spans="1:21" ht="18.5" x14ac:dyDescent="0.35">
      <c r="A354" s="180" t="s">
        <v>2087</v>
      </c>
      <c r="B354" s="331" t="s">
        <v>1044</v>
      </c>
      <c r="C354" s="621"/>
      <c r="D354" s="621"/>
      <c r="E354" s="623"/>
      <c r="F354" s="623"/>
      <c r="G354" s="623"/>
      <c r="H354" s="334" t="str">
        <f>IF(S362=1,Error_Message &amp; " Difference = " &amp; TEXT(T360, "#,##0.00"),"")</f>
        <v/>
      </c>
      <c r="I354" s="623"/>
      <c r="J354" s="334"/>
      <c r="K354" s="623"/>
      <c r="L354" s="623"/>
      <c r="M354" s="623"/>
      <c r="N354" s="623"/>
      <c r="O354" s="625"/>
      <c r="P354" s="335" t="s">
        <v>967</v>
      </c>
      <c r="Q354" s="651">
        <f>SUM(F357:G360)</f>
        <v>0</v>
      </c>
      <c r="R354" s="44"/>
    </row>
    <row r="355" spans="1:21" ht="15.5" hidden="1" outlineLevel="2" x14ac:dyDescent="0.35">
      <c r="B355" s="367"/>
      <c r="C355" s="342"/>
      <c r="D355" s="342"/>
      <c r="F355" s="217"/>
      <c r="J355" s="368"/>
      <c r="O355" s="474" t="s">
        <v>3102</v>
      </c>
      <c r="P355" s="369"/>
      <c r="Q355" s="370"/>
      <c r="R355" s="44"/>
    </row>
    <row r="356" spans="1:21" ht="29" hidden="1" outlineLevel="2" x14ac:dyDescent="0.35">
      <c r="B356" s="2"/>
      <c r="E356" s="371" t="s">
        <v>2103</v>
      </c>
      <c r="F356" s="122" t="s">
        <v>2104</v>
      </c>
      <c r="G356" s="122" t="s">
        <v>231</v>
      </c>
      <c r="Q356" s="3"/>
    </row>
    <row r="357" spans="1:21" hidden="1" outlineLevel="2" x14ac:dyDescent="0.35">
      <c r="B357" s="2"/>
      <c r="E357" s="5" t="s">
        <v>1074</v>
      </c>
      <c r="F357" s="668"/>
      <c r="G357" s="668"/>
      <c r="H357" s="368"/>
      <c r="O357" s="608"/>
      <c r="Q357" s="3"/>
    </row>
    <row r="358" spans="1:21" hidden="1" outlineLevel="2" x14ac:dyDescent="0.35">
      <c r="B358" s="2"/>
      <c r="E358" s="5" t="s">
        <v>1075</v>
      </c>
      <c r="F358" s="670"/>
      <c r="G358" s="670"/>
      <c r="O358" s="608"/>
      <c r="Q358" s="3"/>
    </row>
    <row r="359" spans="1:21" hidden="1" outlineLevel="2" x14ac:dyDescent="0.35">
      <c r="B359" s="2"/>
      <c r="E359" s="5" t="s">
        <v>1076</v>
      </c>
      <c r="F359" s="670"/>
      <c r="G359" s="670"/>
      <c r="O359" s="608"/>
      <c r="Q359" s="3"/>
    </row>
    <row r="360" spans="1:21" hidden="1" outlineLevel="2" x14ac:dyDescent="0.35">
      <c r="B360" s="2"/>
      <c r="E360" s="5" t="s">
        <v>1077</v>
      </c>
      <c r="F360" s="670"/>
      <c r="G360" s="670"/>
      <c r="O360" s="608"/>
      <c r="Q360" s="3"/>
      <c r="T360" s="360">
        <f>Q354-F362</f>
        <v>0</v>
      </c>
      <c r="U360" s="360"/>
    </row>
    <row r="361" spans="1:21" hidden="1" outlineLevel="2" x14ac:dyDescent="0.35">
      <c r="B361" s="2"/>
      <c r="Q361" s="3"/>
      <c r="T361" s="346">
        <f>IF(F362=0,0,ABS(T360/F362))</f>
        <v>0</v>
      </c>
      <c r="U361" s="346"/>
    </row>
    <row r="362" spans="1:21" hidden="1" outlineLevel="2" x14ac:dyDescent="0.35">
      <c r="B362" s="2"/>
      <c r="E362" s="5" t="s">
        <v>2159</v>
      </c>
      <c r="F362" s="670"/>
      <c r="O362" s="608"/>
      <c r="Q362" s="3"/>
      <c r="S362">
        <f>IF(T362&gt;Error_Check_Precision,1,0)</f>
        <v>0</v>
      </c>
      <c r="T362" s="347">
        <f>IF(OR(F362=0,ISERROR(T361)),0,T361)</f>
        <v>0</v>
      </c>
      <c r="U362" s="347"/>
    </row>
    <row r="363" spans="1:21" hidden="1" outlineLevel="2" x14ac:dyDescent="0.35">
      <c r="B363" s="2"/>
      <c r="E363" s="5"/>
      <c r="N363" s="15"/>
      <c r="Q363" s="3"/>
    </row>
    <row r="364" spans="1:21" ht="15" collapsed="1" thickBot="1" x14ac:dyDescent="0.4">
      <c r="A364" s="180" t="s">
        <v>2087</v>
      </c>
      <c r="B364" s="626"/>
      <c r="C364" s="627"/>
      <c r="D364" s="627"/>
      <c r="E364" s="627"/>
      <c r="F364" s="627"/>
      <c r="G364" s="627"/>
      <c r="H364" s="627"/>
      <c r="I364" s="627"/>
      <c r="J364" s="627"/>
      <c r="K364" s="627"/>
      <c r="L364" s="627"/>
      <c r="M364" s="627"/>
      <c r="N364" s="627"/>
      <c r="O364" s="628"/>
      <c r="P364" s="627"/>
      <c r="Q364" s="629"/>
    </row>
    <row r="365" spans="1:21" ht="18.5" x14ac:dyDescent="0.35">
      <c r="A365" s="180" t="s">
        <v>2087</v>
      </c>
      <c r="B365" s="331" t="s">
        <v>1045</v>
      </c>
      <c r="C365" s="623"/>
      <c r="D365" s="623"/>
      <c r="E365" s="623"/>
      <c r="F365" s="623"/>
      <c r="G365" s="623"/>
      <c r="H365" s="334" t="str">
        <f>IF(S392=1, "ERROR - Check inputs for all invested assets. Difference = " &amp; TEXT(T390, "#,##0.00"),"")</f>
        <v/>
      </c>
      <c r="I365" s="623"/>
      <c r="J365" s="334"/>
      <c r="K365" s="623"/>
      <c r="L365" s="623"/>
      <c r="M365" s="623"/>
      <c r="N365" s="623"/>
      <c r="O365" s="625"/>
      <c r="P365" s="335" t="s">
        <v>967</v>
      </c>
      <c r="Q365" s="651">
        <f>total_other_invested_assets</f>
        <v>0</v>
      </c>
      <c r="R365" s="44"/>
    </row>
    <row r="366" spans="1:21" hidden="1" outlineLevel="2" x14ac:dyDescent="0.35">
      <c r="B366" s="2"/>
      <c r="O366" s="474" t="s">
        <v>3102</v>
      </c>
      <c r="Q366" s="3"/>
    </row>
    <row r="367" spans="1:21" ht="15.5" hidden="1" outlineLevel="2" x14ac:dyDescent="0.35">
      <c r="B367" s="2"/>
      <c r="D367" s="374" t="s">
        <v>2105</v>
      </c>
      <c r="M367" s="217"/>
      <c r="Q367" s="3"/>
    </row>
    <row r="368" spans="1:21" ht="14.4" hidden="1" customHeight="1" outlineLevel="2" x14ac:dyDescent="0.35">
      <c r="B368" s="2"/>
      <c r="F368" s="736" t="s">
        <v>797</v>
      </c>
      <c r="G368" s="736"/>
      <c r="H368" s="736"/>
      <c r="I368" s="745" t="s">
        <v>1036</v>
      </c>
      <c r="J368" s="745" t="s">
        <v>798</v>
      </c>
      <c r="K368" s="745" t="s">
        <v>874</v>
      </c>
      <c r="Q368" s="3"/>
    </row>
    <row r="369" spans="1:31" hidden="1" outlineLevel="2" x14ac:dyDescent="0.35">
      <c r="B369" s="2"/>
      <c r="F369" s="746" t="s">
        <v>1032</v>
      </c>
      <c r="G369" s="746"/>
      <c r="H369" s="746"/>
      <c r="I369" s="745"/>
      <c r="J369" s="745"/>
      <c r="K369" s="745"/>
      <c r="Q369" s="3"/>
    </row>
    <row r="370" spans="1:31" hidden="1" outlineLevel="2" x14ac:dyDescent="0.35">
      <c r="B370" s="2"/>
      <c r="E370" s="375"/>
      <c r="F370" s="31" t="s">
        <v>1070</v>
      </c>
      <c r="G370" s="669" t="s">
        <v>1054</v>
      </c>
      <c r="H370" s="669" t="s">
        <v>1071</v>
      </c>
      <c r="I370" s="745"/>
      <c r="J370" s="745"/>
      <c r="K370" s="745"/>
      <c r="Q370" s="3"/>
    </row>
    <row r="371" spans="1:31" hidden="1" outlineLevel="2" x14ac:dyDescent="0.35">
      <c r="B371" s="2"/>
      <c r="D371" s="734" t="s">
        <v>1067</v>
      </c>
      <c r="E371" s="376" t="s">
        <v>1068</v>
      </c>
      <c r="F371" s="668"/>
      <c r="G371" s="668"/>
      <c r="H371" s="668"/>
      <c r="I371" s="668"/>
      <c r="J371" s="668"/>
      <c r="K371" s="668"/>
      <c r="L371" s="368"/>
      <c r="O371" s="608"/>
      <c r="Q371" s="3"/>
    </row>
    <row r="372" spans="1:31" hidden="1" outlineLevel="2" x14ac:dyDescent="0.35">
      <c r="B372" s="2"/>
      <c r="D372" s="734"/>
      <c r="E372" s="376" t="s">
        <v>1073</v>
      </c>
      <c r="F372" s="670"/>
      <c r="G372" s="670"/>
      <c r="H372" s="670"/>
      <c r="I372" s="670"/>
      <c r="J372" s="670"/>
      <c r="K372" s="670"/>
      <c r="O372" s="608"/>
      <c r="Q372" s="3"/>
    </row>
    <row r="373" spans="1:31" hidden="1" outlineLevel="2" x14ac:dyDescent="0.35">
      <c r="B373" s="2"/>
      <c r="D373" s="734"/>
      <c r="E373" s="376" t="s">
        <v>1069</v>
      </c>
      <c r="F373" s="670"/>
      <c r="G373" s="670"/>
      <c r="H373" s="670"/>
      <c r="I373" s="670"/>
      <c r="J373" s="670"/>
      <c r="K373" s="670"/>
      <c r="O373" s="608"/>
      <c r="Q373" s="3"/>
    </row>
    <row r="374" spans="1:31" hidden="1" outlineLevel="2" x14ac:dyDescent="0.35">
      <c r="B374" s="2"/>
      <c r="Q374" s="3"/>
    </row>
    <row r="375" spans="1:31" s="7" customFormat="1" ht="15.5" hidden="1" outlineLevel="2" x14ac:dyDescent="0.35">
      <c r="A375" s="180"/>
      <c r="B375" s="341"/>
      <c r="D375" s="374" t="s">
        <v>2106</v>
      </c>
      <c r="J375" s="17"/>
      <c r="K375" s="17"/>
      <c r="M375"/>
      <c r="O375" s="603"/>
      <c r="Q375" s="3"/>
      <c r="R375"/>
      <c r="T375"/>
      <c r="U375"/>
      <c r="V375"/>
      <c r="W375"/>
      <c r="X375"/>
      <c r="Y375"/>
      <c r="Z375"/>
      <c r="AA375"/>
      <c r="AB375"/>
      <c r="AC375"/>
      <c r="AD375"/>
      <c r="AE375"/>
    </row>
    <row r="376" spans="1:31" s="7" customFormat="1" hidden="1" outlineLevel="2" x14ac:dyDescent="0.35">
      <c r="A376" s="180"/>
      <c r="B376" s="341"/>
      <c r="C376" s="377"/>
      <c r="D376" s="377"/>
      <c r="F376" s="31" t="s">
        <v>1030</v>
      </c>
      <c r="G376" s="31" t="s">
        <v>1031</v>
      </c>
      <c r="J376" s="17"/>
      <c r="K376" s="17"/>
      <c r="M376"/>
      <c r="O376" s="603"/>
      <c r="Q376" s="3"/>
      <c r="R376"/>
      <c r="S376"/>
      <c r="T376"/>
      <c r="U376"/>
      <c r="V376"/>
      <c r="W376"/>
      <c r="X376"/>
      <c r="Y376"/>
      <c r="Z376"/>
      <c r="AA376"/>
      <c r="AB376"/>
      <c r="AC376"/>
      <c r="AD376"/>
      <c r="AE376"/>
    </row>
    <row r="377" spans="1:31" s="7" customFormat="1" ht="14.4" hidden="1" customHeight="1" outlineLevel="2" x14ac:dyDescent="0.35">
      <c r="A377" s="180"/>
      <c r="B377" s="341"/>
      <c r="C377" s="377"/>
      <c r="D377" s="734" t="s">
        <v>1067</v>
      </c>
      <c r="E377" s="376" t="s">
        <v>1068</v>
      </c>
      <c r="F377" s="668"/>
      <c r="G377" s="744"/>
      <c r="J377" s="17"/>
      <c r="K377" s="17"/>
      <c r="M377"/>
      <c r="O377" s="608"/>
      <c r="Q377" s="3"/>
      <c r="R377"/>
      <c r="S377"/>
      <c r="T377"/>
      <c r="U377"/>
      <c r="V377"/>
      <c r="W377"/>
      <c r="X377"/>
      <c r="Y377"/>
      <c r="Z377"/>
      <c r="AA377"/>
      <c r="AB377"/>
      <c r="AC377"/>
      <c r="AD377"/>
      <c r="AE377"/>
    </row>
    <row r="378" spans="1:31" s="7" customFormat="1" hidden="1" outlineLevel="2" x14ac:dyDescent="0.35">
      <c r="A378" s="180"/>
      <c r="B378" s="341"/>
      <c r="C378" s="377"/>
      <c r="D378" s="734"/>
      <c r="E378" s="376" t="s">
        <v>1073</v>
      </c>
      <c r="F378" s="670"/>
      <c r="G378" s="744"/>
      <c r="J378" s="17"/>
      <c r="K378" s="17"/>
      <c r="M378"/>
      <c r="O378" s="608"/>
      <c r="Q378" s="3"/>
      <c r="R378"/>
      <c r="S378"/>
      <c r="T378"/>
      <c r="U378"/>
      <c r="V378"/>
      <c r="W378"/>
      <c r="X378"/>
      <c r="Y378"/>
      <c r="Z378"/>
      <c r="AA378"/>
      <c r="AB378"/>
      <c r="AC378"/>
      <c r="AD378"/>
      <c r="AE378"/>
    </row>
    <row r="379" spans="1:31" s="7" customFormat="1" ht="14.4" hidden="1" customHeight="1" outlineLevel="2" x14ac:dyDescent="0.35">
      <c r="A379" s="180"/>
      <c r="B379" s="341"/>
      <c r="C379" s="377"/>
      <c r="D379" s="734"/>
      <c r="E379" s="376" t="s">
        <v>1069</v>
      </c>
      <c r="F379" s="670"/>
      <c r="G379" s="744"/>
      <c r="J379" s="17"/>
      <c r="K379" s="17"/>
      <c r="M379"/>
      <c r="O379" s="608"/>
      <c r="Q379" s="3"/>
      <c r="R379"/>
      <c r="S379"/>
      <c r="T379"/>
      <c r="U379"/>
      <c r="V379"/>
      <c r="W379"/>
      <c r="X379"/>
      <c r="Y379"/>
      <c r="Z379"/>
      <c r="AA379"/>
      <c r="AB379"/>
      <c r="AC379"/>
      <c r="AD379"/>
      <c r="AE379"/>
    </row>
    <row r="380" spans="1:31" s="7" customFormat="1" hidden="1" outlineLevel="2" x14ac:dyDescent="0.35">
      <c r="A380" s="180"/>
      <c r="B380" s="341"/>
      <c r="C380" s="377"/>
      <c r="J380" s="17"/>
      <c r="K380" s="17"/>
      <c r="M380"/>
      <c r="O380" s="603"/>
      <c r="Q380" s="3"/>
      <c r="R380"/>
      <c r="S380"/>
      <c r="T380"/>
      <c r="U380"/>
      <c r="V380"/>
      <c r="W380"/>
      <c r="X380"/>
      <c r="Y380"/>
      <c r="Z380"/>
      <c r="AA380"/>
      <c r="AB380"/>
      <c r="AC380"/>
      <c r="AD380"/>
      <c r="AE380"/>
    </row>
    <row r="381" spans="1:31" s="7" customFormat="1" ht="15.5" hidden="1" outlineLevel="2" x14ac:dyDescent="0.35">
      <c r="A381" s="180"/>
      <c r="B381" s="341"/>
      <c r="C381" s="377"/>
      <c r="D381" s="374" t="s">
        <v>1037</v>
      </c>
      <c r="J381" s="17"/>
      <c r="K381" s="17"/>
      <c r="M381"/>
      <c r="O381" s="603"/>
      <c r="Q381" s="3"/>
      <c r="R381"/>
      <c r="S381"/>
      <c r="T381"/>
      <c r="U381"/>
      <c r="V381"/>
      <c r="W381"/>
      <c r="X381"/>
      <c r="Y381"/>
      <c r="Z381"/>
      <c r="AA381"/>
      <c r="AB381"/>
      <c r="AC381"/>
      <c r="AD381"/>
      <c r="AE381"/>
    </row>
    <row r="382" spans="1:31" s="7" customFormat="1" hidden="1" outlineLevel="2" x14ac:dyDescent="0.35">
      <c r="A382" s="180"/>
      <c r="B382" s="341"/>
      <c r="C382" s="377"/>
      <c r="D382" s="377"/>
      <c r="E382" s="18" t="s">
        <v>1064</v>
      </c>
      <c r="F382" s="668"/>
      <c r="G382" s="17"/>
      <c r="H382" s="19"/>
      <c r="I382" s="17"/>
      <c r="J382" s="17"/>
      <c r="K382" s="17"/>
      <c r="M382" s="378"/>
      <c r="O382" s="608"/>
      <c r="Q382" s="3"/>
      <c r="R382"/>
      <c r="T382"/>
      <c r="U382"/>
      <c r="V382"/>
      <c r="W382"/>
      <c r="X382"/>
      <c r="Y382"/>
      <c r="Z382"/>
      <c r="AA382"/>
      <c r="AB382"/>
      <c r="AC382"/>
      <c r="AD382"/>
      <c r="AE382"/>
    </row>
    <row r="383" spans="1:31" s="7" customFormat="1" hidden="1" outlineLevel="2" x14ac:dyDescent="0.35">
      <c r="A383" s="180"/>
      <c r="B383" s="341"/>
      <c r="C383" s="377"/>
      <c r="D383" s="377"/>
      <c r="E383" s="26"/>
      <c r="F383" s="377"/>
      <c r="G383" s="17"/>
      <c r="H383" s="20"/>
      <c r="I383" s="17"/>
      <c r="J383" s="17"/>
      <c r="K383" s="17"/>
      <c r="M383" s="217"/>
      <c r="O383" s="603"/>
      <c r="Q383" s="3"/>
      <c r="R383"/>
      <c r="S383"/>
      <c r="T383"/>
      <c r="U383"/>
      <c r="V383"/>
      <c r="W383"/>
      <c r="X383"/>
      <c r="Y383"/>
      <c r="Z383"/>
      <c r="AA383"/>
      <c r="AB383"/>
      <c r="AC383"/>
      <c r="AD383"/>
      <c r="AE383"/>
    </row>
    <row r="384" spans="1:31" s="7" customFormat="1" hidden="1" outlineLevel="2" x14ac:dyDescent="0.35">
      <c r="A384" s="180"/>
      <c r="B384" s="341"/>
      <c r="C384" s="377"/>
      <c r="D384" s="377"/>
      <c r="E384" s="18" t="s">
        <v>2107</v>
      </c>
      <c r="F384" s="379"/>
      <c r="G384" s="17"/>
      <c r="H384" s="17"/>
      <c r="I384" s="17"/>
      <c r="J384" s="17"/>
      <c r="K384" s="17"/>
      <c r="M384" s="217"/>
      <c r="O384" s="603"/>
      <c r="Q384" s="3"/>
      <c r="R384"/>
      <c r="T384"/>
      <c r="U384"/>
      <c r="V384"/>
      <c r="W384"/>
      <c r="X384"/>
      <c r="Y384"/>
      <c r="Z384"/>
      <c r="AA384"/>
      <c r="AB384"/>
      <c r="AC384"/>
      <c r="AD384"/>
      <c r="AE384"/>
    </row>
    <row r="385" spans="1:31" s="7" customFormat="1" hidden="1" outlineLevel="2" x14ac:dyDescent="0.35">
      <c r="A385" s="180"/>
      <c r="B385" s="341"/>
      <c r="C385" s="377"/>
      <c r="D385" s="377"/>
      <c r="E385" s="16" t="s">
        <v>1066</v>
      </c>
      <c r="F385" s="668"/>
      <c r="G385" s="17"/>
      <c r="H385" s="17"/>
      <c r="I385" s="17"/>
      <c r="J385" s="17"/>
      <c r="K385" s="17"/>
      <c r="M385" s="217"/>
      <c r="O385" s="608"/>
      <c r="Q385" s="3"/>
      <c r="R385"/>
      <c r="S385"/>
      <c r="T385"/>
      <c r="U385"/>
      <c r="V385"/>
      <c r="W385"/>
      <c r="X385"/>
      <c r="Y385"/>
      <c r="Z385"/>
      <c r="AA385"/>
      <c r="AB385"/>
      <c r="AC385"/>
      <c r="AD385"/>
      <c r="AE385"/>
    </row>
    <row r="386" spans="1:31" s="7" customFormat="1" hidden="1" outlineLevel="2" x14ac:dyDescent="0.35">
      <c r="A386" s="180"/>
      <c r="B386" s="341"/>
      <c r="C386" s="377"/>
      <c r="D386" s="377"/>
      <c r="E386" s="16" t="s">
        <v>925</v>
      </c>
      <c r="F386" s="668"/>
      <c r="G386" s="17"/>
      <c r="H386" s="17"/>
      <c r="I386" s="17"/>
      <c r="J386" s="17"/>
      <c r="K386" s="17"/>
      <c r="M386"/>
      <c r="O386" s="608"/>
      <c r="Q386" s="3"/>
      <c r="R386"/>
      <c r="S386"/>
      <c r="T386"/>
      <c r="U386"/>
      <c r="V386"/>
      <c r="W386"/>
      <c r="X386"/>
      <c r="Y386"/>
      <c r="Z386"/>
      <c r="AA386"/>
      <c r="AB386"/>
      <c r="AC386"/>
      <c r="AD386"/>
      <c r="AE386"/>
    </row>
    <row r="387" spans="1:31" s="7" customFormat="1" hidden="1" outlineLevel="2" x14ac:dyDescent="0.35">
      <c r="A387" s="180"/>
      <c r="B387" s="341"/>
      <c r="C387" s="377"/>
      <c r="D387" s="377"/>
      <c r="E387" s="16" t="s">
        <v>898</v>
      </c>
      <c r="F387" s="668"/>
      <c r="G387" s="17"/>
      <c r="H387" s="17"/>
      <c r="I387" s="17"/>
      <c r="J387" s="17"/>
      <c r="K387" s="17"/>
      <c r="M387"/>
      <c r="O387" s="608"/>
      <c r="Q387" s="3"/>
      <c r="R387"/>
      <c r="S387"/>
      <c r="T387"/>
      <c r="U387"/>
      <c r="V387"/>
      <c r="W387"/>
      <c r="X387"/>
      <c r="Y387"/>
      <c r="Z387"/>
      <c r="AA387"/>
      <c r="AB387"/>
      <c r="AC387"/>
      <c r="AD387"/>
      <c r="AE387"/>
    </row>
    <row r="388" spans="1:31" s="7" customFormat="1" hidden="1" outlineLevel="2" x14ac:dyDescent="0.35">
      <c r="A388" s="180"/>
      <c r="B388" s="341"/>
      <c r="C388" s="377"/>
      <c r="D388" s="377"/>
      <c r="E388" s="16" t="s">
        <v>926</v>
      </c>
      <c r="F388" s="668"/>
      <c r="G388" s="17"/>
      <c r="H388" s="17"/>
      <c r="I388" s="17"/>
      <c r="J388" s="17"/>
      <c r="K388" s="17"/>
      <c r="M388"/>
      <c r="O388" s="608"/>
      <c r="Q388" s="3"/>
      <c r="R388"/>
      <c r="S388"/>
      <c r="T388"/>
      <c r="U388"/>
      <c r="V388"/>
      <c r="W388"/>
      <c r="X388"/>
      <c r="Y388"/>
      <c r="Z388"/>
      <c r="AA388"/>
      <c r="AB388"/>
      <c r="AC388"/>
      <c r="AD388"/>
      <c r="AE388"/>
    </row>
    <row r="389" spans="1:31" s="7" customFormat="1" hidden="1" outlineLevel="2" x14ac:dyDescent="0.35">
      <c r="A389" s="180"/>
      <c r="B389" s="341"/>
      <c r="C389" s="377"/>
      <c r="D389" s="377"/>
      <c r="E389" s="380"/>
      <c r="F389" s="377"/>
      <c r="G389" s="17"/>
      <c r="H389" s="17"/>
      <c r="I389" s="17"/>
      <c r="J389" s="17"/>
      <c r="K389" s="17"/>
      <c r="M389"/>
      <c r="O389" s="603"/>
      <c r="Q389" s="3"/>
      <c r="R389"/>
      <c r="S389"/>
      <c r="T389"/>
      <c r="U389"/>
      <c r="V389"/>
      <c r="W389"/>
      <c r="X389"/>
      <c r="Y389"/>
      <c r="Z389"/>
      <c r="AA389"/>
      <c r="AB389"/>
      <c r="AC389"/>
      <c r="AD389"/>
      <c r="AE389"/>
    </row>
    <row r="390" spans="1:31" s="7" customFormat="1" hidden="1" outlineLevel="2" x14ac:dyDescent="0.35">
      <c r="A390" s="180"/>
      <c r="B390" s="341"/>
      <c r="C390" s="377"/>
      <c r="D390" s="377"/>
      <c r="E390" s="18" t="s">
        <v>880</v>
      </c>
      <c r="F390" s="668"/>
      <c r="G390" s="17"/>
      <c r="H390" s="17"/>
      <c r="I390" s="17"/>
      <c r="J390" s="17"/>
      <c r="K390" s="17"/>
      <c r="M390"/>
      <c r="O390" s="608"/>
      <c r="Q390" s="3"/>
      <c r="R390"/>
      <c r="T390" s="345">
        <f>total_invested_assets-F392</f>
        <v>0</v>
      </c>
      <c r="U390"/>
      <c r="V390"/>
      <c r="W390"/>
      <c r="X390"/>
      <c r="Y390"/>
      <c r="Z390"/>
      <c r="AA390"/>
      <c r="AB390"/>
      <c r="AC390"/>
      <c r="AD390"/>
      <c r="AE390"/>
    </row>
    <row r="391" spans="1:31" s="7" customFormat="1" hidden="1" outlineLevel="2" x14ac:dyDescent="0.35">
      <c r="A391" s="180"/>
      <c r="B391" s="341"/>
      <c r="C391" s="377"/>
      <c r="D391" s="377"/>
      <c r="E391" s="18"/>
      <c r="F391" s="11"/>
      <c r="G391" s="29"/>
      <c r="H391" s="29"/>
      <c r="I391" s="17"/>
      <c r="J391" s="17"/>
      <c r="K391" s="17"/>
      <c r="M391"/>
      <c r="O391" s="603"/>
      <c r="Q391" s="3"/>
      <c r="R391"/>
      <c r="S391"/>
      <c r="T391" s="346">
        <f>IF(F392=0,0,ABS(T390/F392))</f>
        <v>0</v>
      </c>
      <c r="U391" s="346"/>
      <c r="V391"/>
      <c r="W391"/>
      <c r="X391"/>
      <c r="Y391"/>
      <c r="Z391"/>
      <c r="AA391"/>
      <c r="AB391"/>
      <c r="AC391"/>
      <c r="AD391"/>
      <c r="AE391"/>
    </row>
    <row r="392" spans="1:31" s="7" customFormat="1" ht="12" hidden="1" customHeight="1" outlineLevel="2" x14ac:dyDescent="0.35">
      <c r="A392" s="180"/>
      <c r="B392" s="341"/>
      <c r="C392" s="377"/>
      <c r="D392" s="377"/>
      <c r="E392" s="376" t="s">
        <v>1107</v>
      </c>
      <c r="F392" s="668"/>
      <c r="H392" s="17"/>
      <c r="I392" s="381" t="s">
        <v>1106</v>
      </c>
      <c r="J392" s="195">
        <f>total_bonds+total_equity+total_property+total_other_invested_assets-SUM(H346:I349)</f>
        <v>0</v>
      </c>
      <c r="M392"/>
      <c r="O392" s="608"/>
      <c r="Q392" s="3"/>
      <c r="R392"/>
      <c r="S392">
        <f>IF(T392&gt;Error_Check_Precision,1,0)</f>
        <v>0</v>
      </c>
      <c r="T392" s="347">
        <f>IF(OR(F392=0,ISERROR(T391)),0,T391)</f>
        <v>0</v>
      </c>
      <c r="U392" s="347"/>
      <c r="W392"/>
      <c r="X392"/>
      <c r="Y392"/>
      <c r="Z392"/>
      <c r="AA392"/>
      <c r="AB392"/>
      <c r="AC392"/>
      <c r="AD392"/>
      <c r="AE392"/>
    </row>
    <row r="393" spans="1:31" s="7" customFormat="1" ht="12" hidden="1" customHeight="1" outlineLevel="2" x14ac:dyDescent="0.35">
      <c r="A393" s="180"/>
      <c r="B393" s="341"/>
      <c r="C393" s="377"/>
      <c r="D393" s="377"/>
      <c r="E393" s="18"/>
      <c r="F393" s="16"/>
      <c r="G393" s="17"/>
      <c r="H393" s="17"/>
      <c r="I393" s="17"/>
      <c r="J393" s="17"/>
      <c r="K393" s="17"/>
      <c r="M393"/>
      <c r="N393" s="17"/>
      <c r="O393" s="603"/>
      <c r="P393"/>
      <c r="Q393" s="3"/>
      <c r="R393"/>
      <c r="S393"/>
      <c r="T393" s="347"/>
      <c r="U393" s="347"/>
      <c r="W393"/>
      <c r="X393"/>
      <c r="Y393"/>
      <c r="Z393"/>
      <c r="AA393"/>
      <c r="AB393"/>
      <c r="AC393"/>
      <c r="AD393"/>
      <c r="AE393"/>
    </row>
    <row r="394" spans="1:31" s="7" customFormat="1" ht="12" customHeight="1" collapsed="1" thickBot="1" x14ac:dyDescent="0.4">
      <c r="A394" s="180" t="s">
        <v>2087</v>
      </c>
      <c r="B394" s="626"/>
      <c r="C394" s="627"/>
      <c r="D394" s="627"/>
      <c r="E394" s="627"/>
      <c r="F394" s="627"/>
      <c r="G394" s="627"/>
      <c r="H394" s="627"/>
      <c r="I394" s="627"/>
      <c r="J394" s="627"/>
      <c r="K394" s="627"/>
      <c r="L394" s="627"/>
      <c r="M394" s="627"/>
      <c r="N394" s="627"/>
      <c r="O394" s="628"/>
      <c r="P394" s="627"/>
      <c r="Q394" s="629"/>
      <c r="R394"/>
      <c r="S394"/>
      <c r="T394" s="347"/>
      <c r="U394" s="347"/>
      <c r="W394"/>
      <c r="X394"/>
      <c r="Y394"/>
      <c r="Z394"/>
      <c r="AA394"/>
      <c r="AB394"/>
      <c r="AC394"/>
      <c r="AD394"/>
      <c r="AE394"/>
    </row>
    <row r="395" spans="1:31" s="7" customFormat="1" ht="12" customHeight="1" x14ac:dyDescent="0.35">
      <c r="A395" s="180" t="s">
        <v>2087</v>
      </c>
      <c r="B395" s="331" t="s">
        <v>1038</v>
      </c>
      <c r="C395" s="623"/>
      <c r="D395" s="623"/>
      <c r="E395" s="623"/>
      <c r="F395" s="623"/>
      <c r="G395" s="623"/>
      <c r="H395" s="623"/>
      <c r="I395" s="623"/>
      <c r="J395" s="623"/>
      <c r="K395" s="623"/>
      <c r="L395" s="623"/>
      <c r="M395" s="623"/>
      <c r="N395" s="623"/>
      <c r="O395" s="625"/>
      <c r="P395" s="335" t="s">
        <v>967</v>
      </c>
      <c r="Q395" s="651">
        <f>total_net_reinsurance_recoverables+SUM(F420:F424,F427:F428)</f>
        <v>0</v>
      </c>
      <c r="R395" s="44"/>
      <c r="S395"/>
      <c r="T395" s="347"/>
      <c r="U395" s="347"/>
      <c r="W395"/>
      <c r="X395"/>
      <c r="Y395"/>
      <c r="Z395"/>
      <c r="AA395"/>
      <c r="AB395"/>
      <c r="AC395"/>
      <c r="AD395"/>
      <c r="AE395"/>
    </row>
    <row r="396" spans="1:31" s="7" customFormat="1" ht="12" hidden="1" customHeight="1" outlineLevel="2" x14ac:dyDescent="0.35">
      <c r="A396" s="180"/>
      <c r="B396" s="341"/>
      <c r="C396" s="377"/>
      <c r="D396" s="377"/>
      <c r="E396" s="18"/>
      <c r="F396" s="18"/>
      <c r="G396" s="17"/>
      <c r="H396" s="17"/>
      <c r="I396" s="17"/>
      <c r="J396" s="17"/>
      <c r="K396" s="17"/>
      <c r="M396"/>
      <c r="N396" s="17"/>
      <c r="O396" s="474" t="s">
        <v>3102</v>
      </c>
      <c r="P396"/>
      <c r="Q396" s="3"/>
      <c r="R396"/>
      <c r="S396"/>
      <c r="T396" s="347"/>
      <c r="U396" s="347"/>
      <c r="W396"/>
      <c r="X396"/>
      <c r="Y396"/>
      <c r="Z396"/>
      <c r="AA396"/>
      <c r="AB396"/>
      <c r="AC396"/>
      <c r="AD396"/>
      <c r="AE396"/>
    </row>
    <row r="397" spans="1:31" s="7" customFormat="1" ht="12" hidden="1" customHeight="1" outlineLevel="2" x14ac:dyDescent="0.35">
      <c r="A397" s="180"/>
      <c r="B397" s="341"/>
      <c r="C397" s="377"/>
      <c r="D397" s="374" t="s">
        <v>4383</v>
      </c>
      <c r="E397" s="18"/>
      <c r="F397" s="18"/>
      <c r="G397" s="17"/>
      <c r="H397" s="17"/>
      <c r="I397" s="17"/>
      <c r="J397" s="17"/>
      <c r="K397" s="17"/>
      <c r="M397"/>
      <c r="O397" s="474"/>
      <c r="Q397" s="3"/>
      <c r="R397"/>
      <c r="S397"/>
      <c r="T397" s="347"/>
      <c r="W397"/>
      <c r="X397"/>
      <c r="Y397"/>
      <c r="Z397"/>
      <c r="AA397"/>
      <c r="AB397"/>
      <c r="AC397"/>
      <c r="AD397"/>
      <c r="AE397"/>
    </row>
    <row r="398" spans="1:31" s="7" customFormat="1" ht="52" hidden="1" outlineLevel="2" x14ac:dyDescent="0.35">
      <c r="A398" s="180"/>
      <c r="B398" s="2"/>
      <c r="C398"/>
      <c r="D398"/>
      <c r="E398" s="30" t="s">
        <v>2108</v>
      </c>
      <c r="F398" s="30" t="s">
        <v>4417</v>
      </c>
      <c r="G398" s="30" t="s">
        <v>4384</v>
      </c>
      <c r="H398" s="30" t="s">
        <v>306</v>
      </c>
      <c r="I398" s="30" t="s">
        <v>2109</v>
      </c>
      <c r="O398" s="474"/>
      <c r="Q398" s="3"/>
      <c r="R398"/>
    </row>
    <row r="399" spans="1:31" s="7" customFormat="1" hidden="1" outlineLevel="2" x14ac:dyDescent="0.35">
      <c r="A399" s="180"/>
      <c r="B399" s="2"/>
      <c r="C399"/>
      <c r="D399"/>
      <c r="E399" s="15" t="s">
        <v>0</v>
      </c>
      <c r="F399" s="668"/>
      <c r="G399" s="668"/>
      <c r="H399" s="668"/>
      <c r="I399" s="382">
        <f>F399+G399-H399</f>
        <v>0</v>
      </c>
      <c r="O399" s="473"/>
      <c r="Q399" s="3"/>
      <c r="R399"/>
    </row>
    <row r="400" spans="1:31" s="7" customFormat="1" hidden="1" outlineLevel="2" x14ac:dyDescent="0.35">
      <c r="A400" s="180"/>
      <c r="B400" s="2"/>
      <c r="C400"/>
      <c r="D400"/>
      <c r="E400" s="15" t="s">
        <v>1</v>
      </c>
      <c r="F400" s="668"/>
      <c r="G400" s="668"/>
      <c r="H400" s="668"/>
      <c r="I400" s="382">
        <f t="shared" ref="I400:I406" si="0">F400+G400-H400</f>
        <v>0</v>
      </c>
      <c r="O400" s="473"/>
      <c r="Q400" s="3"/>
      <c r="R400"/>
    </row>
    <row r="401" spans="1:18" s="7" customFormat="1" hidden="1" outlineLevel="2" x14ac:dyDescent="0.35">
      <c r="A401" s="180"/>
      <c r="B401" s="2"/>
      <c r="C401"/>
      <c r="D401"/>
      <c r="E401" s="15" t="s">
        <v>2</v>
      </c>
      <c r="F401" s="668"/>
      <c r="G401" s="668"/>
      <c r="H401" s="668"/>
      <c r="I401" s="382">
        <f t="shared" si="0"/>
        <v>0</v>
      </c>
      <c r="O401" s="473"/>
      <c r="Q401" s="3"/>
      <c r="R401"/>
    </row>
    <row r="402" spans="1:18" s="7" customFormat="1" hidden="1" outlineLevel="2" x14ac:dyDescent="0.35">
      <c r="A402" s="180"/>
      <c r="B402" s="2"/>
      <c r="C402"/>
      <c r="D402"/>
      <c r="E402" s="15" t="s">
        <v>3</v>
      </c>
      <c r="F402" s="668"/>
      <c r="G402" s="668"/>
      <c r="H402" s="668"/>
      <c r="I402" s="382">
        <f t="shared" si="0"/>
        <v>0</v>
      </c>
      <c r="O402" s="473"/>
      <c r="Q402" s="3"/>
      <c r="R402"/>
    </row>
    <row r="403" spans="1:18" s="7" customFormat="1" hidden="1" outlineLevel="2" x14ac:dyDescent="0.35">
      <c r="A403" s="180"/>
      <c r="B403" s="2"/>
      <c r="C403"/>
      <c r="D403"/>
      <c r="E403" s="15" t="s">
        <v>4</v>
      </c>
      <c r="F403" s="668"/>
      <c r="G403" s="668"/>
      <c r="H403" s="668"/>
      <c r="I403" s="382">
        <f t="shared" si="0"/>
        <v>0</v>
      </c>
      <c r="O403" s="473"/>
      <c r="Q403" s="3"/>
      <c r="R403"/>
    </row>
    <row r="404" spans="1:18" s="7" customFormat="1" hidden="1" outlineLevel="2" x14ac:dyDescent="0.35">
      <c r="A404" s="180"/>
      <c r="B404" s="2"/>
      <c r="C404"/>
      <c r="D404"/>
      <c r="E404" s="15" t="s">
        <v>5</v>
      </c>
      <c r="F404" s="668"/>
      <c r="G404" s="668"/>
      <c r="H404" s="668"/>
      <c r="I404" s="382">
        <f t="shared" si="0"/>
        <v>0</v>
      </c>
      <c r="O404" s="473"/>
      <c r="Q404" s="3"/>
      <c r="R404"/>
    </row>
    <row r="405" spans="1:18" s="7" customFormat="1" hidden="1" outlineLevel="2" x14ac:dyDescent="0.35">
      <c r="A405" s="180"/>
      <c r="B405" s="2"/>
      <c r="C405"/>
      <c r="D405"/>
      <c r="E405" s="15" t="s">
        <v>12</v>
      </c>
      <c r="F405" s="668"/>
      <c r="G405" s="668"/>
      <c r="H405" s="668"/>
      <c r="I405" s="382">
        <f t="shared" si="0"/>
        <v>0</v>
      </c>
      <c r="O405" s="473"/>
      <c r="Q405" s="3"/>
      <c r="R405"/>
    </row>
    <row r="406" spans="1:18" s="7" customFormat="1" hidden="1" outlineLevel="2" x14ac:dyDescent="0.35">
      <c r="A406" s="180"/>
      <c r="B406" s="2"/>
      <c r="C406"/>
      <c r="D406"/>
      <c r="E406" s="15" t="s">
        <v>1123</v>
      </c>
      <c r="F406" s="668"/>
      <c r="G406" s="668"/>
      <c r="H406" s="668"/>
      <c r="I406" s="382">
        <f t="shared" si="0"/>
        <v>0</v>
      </c>
      <c r="O406" s="473"/>
      <c r="Q406" s="3"/>
      <c r="R406"/>
    </row>
    <row r="407" spans="1:18" s="7" customFormat="1" hidden="1" outlineLevel="2" x14ac:dyDescent="0.35">
      <c r="A407" s="180"/>
      <c r="B407" s="2"/>
      <c r="C407"/>
      <c r="D407"/>
      <c r="E407"/>
      <c r="F407"/>
      <c r="G407"/>
      <c r="H407"/>
      <c r="I407"/>
      <c r="J407"/>
      <c r="O407" s="474"/>
      <c r="Q407" s="3"/>
      <c r="R407"/>
    </row>
    <row r="408" spans="1:18" s="7" customFormat="1" hidden="1" outlineLevel="2" x14ac:dyDescent="0.35">
      <c r="A408" s="180"/>
      <c r="B408" s="2"/>
      <c r="C408"/>
      <c r="D408"/>
      <c r="E408" s="731" t="s">
        <v>4158</v>
      </c>
      <c r="F408" s="731"/>
      <c r="G408" s="731"/>
      <c r="H408" s="731"/>
      <c r="I408" s="731"/>
      <c r="O408" s="474"/>
      <c r="Q408" s="3"/>
      <c r="R408"/>
    </row>
    <row r="409" spans="1:18" s="7" customFormat="1" ht="52" hidden="1" outlineLevel="2" x14ac:dyDescent="0.35">
      <c r="A409" s="180"/>
      <c r="B409" s="2"/>
      <c r="C409"/>
      <c r="D409"/>
      <c r="E409" s="30" t="s">
        <v>4464</v>
      </c>
      <c r="F409" s="30" t="s">
        <v>4417</v>
      </c>
      <c r="G409" s="30" t="s">
        <v>4384</v>
      </c>
      <c r="H409" s="30" t="s">
        <v>306</v>
      </c>
      <c r="I409" s="30" t="s">
        <v>2109</v>
      </c>
      <c r="O409" s="474"/>
      <c r="Q409" s="3"/>
      <c r="R409"/>
    </row>
    <row r="410" spans="1:18" s="7" customFormat="1" hidden="1" outlineLevel="2" x14ac:dyDescent="0.35">
      <c r="A410" s="180"/>
      <c r="B410" s="2"/>
      <c r="C410"/>
      <c r="D410"/>
      <c r="E410" s="15" t="s">
        <v>0</v>
      </c>
      <c r="F410" s="668"/>
      <c r="G410" s="668"/>
      <c r="H410" s="668"/>
      <c r="I410" s="498">
        <f>F410+G410-H410</f>
        <v>0</v>
      </c>
      <c r="O410" s="473"/>
      <c r="Q410" s="3"/>
      <c r="R410"/>
    </row>
    <row r="411" spans="1:18" s="7" customFormat="1" hidden="1" outlineLevel="2" x14ac:dyDescent="0.35">
      <c r="A411" s="180"/>
      <c r="B411" s="2"/>
      <c r="C411"/>
      <c r="D411"/>
      <c r="E411" s="15" t="s">
        <v>1</v>
      </c>
      <c r="F411" s="668"/>
      <c r="G411" s="668"/>
      <c r="H411" s="668"/>
      <c r="I411" s="382">
        <f t="shared" ref="I411:I417" si="1">F411+G411-H411</f>
        <v>0</v>
      </c>
      <c r="O411" s="473"/>
      <c r="Q411" s="3"/>
      <c r="R411"/>
    </row>
    <row r="412" spans="1:18" s="7" customFormat="1" hidden="1" outlineLevel="2" x14ac:dyDescent="0.35">
      <c r="A412" s="180"/>
      <c r="B412" s="2"/>
      <c r="C412"/>
      <c r="D412"/>
      <c r="E412" s="15" t="s">
        <v>2</v>
      </c>
      <c r="F412" s="668"/>
      <c r="G412" s="668"/>
      <c r="H412" s="668"/>
      <c r="I412" s="382">
        <f t="shared" si="1"/>
        <v>0</v>
      </c>
      <c r="O412" s="473"/>
      <c r="Q412" s="3"/>
      <c r="R412"/>
    </row>
    <row r="413" spans="1:18" s="7" customFormat="1" hidden="1" outlineLevel="2" x14ac:dyDescent="0.35">
      <c r="A413" s="180"/>
      <c r="B413" s="2"/>
      <c r="C413"/>
      <c r="D413"/>
      <c r="E413" s="15" t="s">
        <v>3</v>
      </c>
      <c r="F413" s="668"/>
      <c r="G413" s="668"/>
      <c r="H413" s="668"/>
      <c r="I413" s="382">
        <f t="shared" si="1"/>
        <v>0</v>
      </c>
      <c r="O413" s="473"/>
      <c r="Q413" s="3"/>
      <c r="R413"/>
    </row>
    <row r="414" spans="1:18" s="7" customFormat="1" hidden="1" outlineLevel="2" x14ac:dyDescent="0.35">
      <c r="A414" s="180"/>
      <c r="B414" s="2"/>
      <c r="C414"/>
      <c r="D414"/>
      <c r="E414" s="15" t="s">
        <v>4</v>
      </c>
      <c r="F414" s="668"/>
      <c r="G414" s="668"/>
      <c r="H414" s="668"/>
      <c r="I414" s="382">
        <f t="shared" si="1"/>
        <v>0</v>
      </c>
      <c r="O414" s="473"/>
      <c r="Q414" s="3"/>
      <c r="R414"/>
    </row>
    <row r="415" spans="1:18" s="7" customFormat="1" hidden="1" outlineLevel="2" x14ac:dyDescent="0.35">
      <c r="A415" s="180"/>
      <c r="B415" s="2"/>
      <c r="C415"/>
      <c r="D415"/>
      <c r="E415" s="15" t="s">
        <v>5</v>
      </c>
      <c r="F415" s="668"/>
      <c r="G415" s="668"/>
      <c r="H415" s="668"/>
      <c r="I415" s="382">
        <f t="shared" si="1"/>
        <v>0</v>
      </c>
      <c r="O415" s="473"/>
      <c r="Q415" s="3"/>
      <c r="R415"/>
    </row>
    <row r="416" spans="1:18" s="7" customFormat="1" hidden="1" outlineLevel="2" x14ac:dyDescent="0.35">
      <c r="A416" s="180"/>
      <c r="B416" s="2"/>
      <c r="C416"/>
      <c r="D416"/>
      <c r="E416" s="15" t="s">
        <v>12</v>
      </c>
      <c r="F416" s="668"/>
      <c r="G416" s="668"/>
      <c r="H416" s="668"/>
      <c r="I416" s="382">
        <f t="shared" si="1"/>
        <v>0</v>
      </c>
      <c r="O416" s="473"/>
      <c r="Q416" s="3"/>
      <c r="R416"/>
    </row>
    <row r="417" spans="1:31" s="7" customFormat="1" hidden="1" outlineLevel="2" x14ac:dyDescent="0.35">
      <c r="A417" s="180"/>
      <c r="B417" s="2"/>
      <c r="C417"/>
      <c r="D417"/>
      <c r="E417" s="15" t="s">
        <v>1123</v>
      </c>
      <c r="F417" s="668"/>
      <c r="G417" s="668"/>
      <c r="H417" s="668"/>
      <c r="I417" s="382">
        <f t="shared" si="1"/>
        <v>0</v>
      </c>
      <c r="O417" s="473"/>
      <c r="Q417" s="3"/>
      <c r="R417"/>
    </row>
    <row r="418" spans="1:31" s="7" customFormat="1" hidden="1" outlineLevel="2" x14ac:dyDescent="0.35">
      <c r="A418" s="180"/>
      <c r="B418" s="2"/>
      <c r="C418"/>
      <c r="D418"/>
      <c r="O418" s="474"/>
      <c r="Q418" s="3"/>
      <c r="R418"/>
    </row>
    <row r="419" spans="1:31" s="7" customFormat="1" ht="15.5" hidden="1" outlineLevel="2" x14ac:dyDescent="0.35">
      <c r="A419" s="180"/>
      <c r="B419" s="341"/>
      <c r="C419" s="377"/>
      <c r="D419" s="374" t="s">
        <v>1041</v>
      </c>
      <c r="E419" s="383"/>
      <c r="J419" s="17"/>
      <c r="K419" s="17"/>
      <c r="M419"/>
      <c r="O419" s="474"/>
      <c r="Q419" s="3"/>
      <c r="R419"/>
      <c r="S419"/>
      <c r="T419"/>
      <c r="U419"/>
      <c r="V419"/>
      <c r="W419"/>
      <c r="X419"/>
      <c r="Y419"/>
      <c r="Z419"/>
      <c r="AA419"/>
      <c r="AB419"/>
      <c r="AC419"/>
      <c r="AD419"/>
      <c r="AE419"/>
    </row>
    <row r="420" spans="1:31" s="7" customFormat="1" hidden="1" outlineLevel="2" x14ac:dyDescent="0.35">
      <c r="A420" s="180"/>
      <c r="B420" s="341"/>
      <c r="C420" s="377"/>
      <c r="D420" s="377"/>
      <c r="E420" s="18" t="s">
        <v>409</v>
      </c>
      <c r="F420" s="668"/>
      <c r="K420" s="17"/>
      <c r="M420"/>
      <c r="O420" s="473"/>
      <c r="Q420" s="3"/>
      <c r="R420"/>
      <c r="S420"/>
      <c r="T420"/>
      <c r="U420"/>
      <c r="V420"/>
      <c r="W420"/>
      <c r="X420"/>
      <c r="Y420"/>
      <c r="Z420"/>
      <c r="AA420"/>
      <c r="AB420"/>
      <c r="AC420"/>
      <c r="AD420"/>
      <c r="AE420"/>
    </row>
    <row r="421" spans="1:31" s="7" customFormat="1" hidden="1" outlineLevel="2" x14ac:dyDescent="0.35">
      <c r="A421" s="180"/>
      <c r="B421" s="341"/>
      <c r="C421" s="377"/>
      <c r="D421" s="377"/>
      <c r="E421" s="18" t="s">
        <v>879</v>
      </c>
      <c r="F421" s="668"/>
      <c r="K421" s="17"/>
      <c r="M421"/>
      <c r="O421" s="473"/>
      <c r="Q421" s="3"/>
      <c r="R421"/>
      <c r="S421"/>
      <c r="T421"/>
      <c r="U421"/>
      <c r="V421"/>
      <c r="W421"/>
      <c r="X421"/>
      <c r="Y421"/>
      <c r="Z421"/>
      <c r="AA421"/>
      <c r="AB421"/>
      <c r="AC421"/>
      <c r="AD421"/>
      <c r="AE421"/>
    </row>
    <row r="422" spans="1:31" s="7" customFormat="1" hidden="1" outlineLevel="2" x14ac:dyDescent="0.35">
      <c r="A422" s="180"/>
      <c r="B422" s="341"/>
      <c r="C422" s="377"/>
      <c r="D422" s="377"/>
      <c r="E422" s="18" t="s">
        <v>1040</v>
      </c>
      <c r="F422" s="668"/>
      <c r="K422" s="17"/>
      <c r="M422"/>
      <c r="O422" s="473"/>
      <c r="Q422" s="3"/>
      <c r="R422"/>
      <c r="S422"/>
      <c r="T422"/>
      <c r="U422"/>
      <c r="V422"/>
      <c r="W422"/>
      <c r="X422"/>
      <c r="Y422"/>
      <c r="Z422"/>
      <c r="AA422"/>
      <c r="AB422"/>
      <c r="AC422"/>
      <c r="AD422"/>
      <c r="AE422"/>
    </row>
    <row r="423" spans="1:31" s="7" customFormat="1" hidden="1" outlineLevel="2" x14ac:dyDescent="0.35">
      <c r="A423" s="180"/>
      <c r="B423" s="341"/>
      <c r="C423" s="377"/>
      <c r="D423" s="377"/>
      <c r="E423" s="18" t="s">
        <v>262</v>
      </c>
      <c r="F423" s="668"/>
      <c r="K423" s="17"/>
      <c r="M423"/>
      <c r="O423" s="473"/>
      <c r="Q423" s="3"/>
      <c r="R423"/>
      <c r="S423"/>
      <c r="T423"/>
      <c r="U423"/>
      <c r="V423"/>
      <c r="W423"/>
      <c r="X423"/>
      <c r="Y423"/>
      <c r="Z423"/>
      <c r="AA423"/>
      <c r="AB423"/>
      <c r="AC423"/>
      <c r="AD423"/>
      <c r="AE423"/>
    </row>
    <row r="424" spans="1:31" s="7" customFormat="1" ht="15.5" hidden="1" outlineLevel="2" x14ac:dyDescent="0.35">
      <c r="A424" s="180"/>
      <c r="B424" s="341"/>
      <c r="C424" s="377"/>
      <c r="D424" s="374" t="s">
        <v>947</v>
      </c>
      <c r="E424" s="18"/>
      <c r="F424" s="668"/>
      <c r="K424" s="17"/>
      <c r="M424"/>
      <c r="O424" s="473"/>
      <c r="Q424" s="3"/>
      <c r="R424"/>
      <c r="S424"/>
      <c r="T424"/>
      <c r="U424"/>
      <c r="V424"/>
      <c r="W424"/>
      <c r="X424"/>
      <c r="Y424"/>
      <c r="Z424"/>
      <c r="AA424"/>
      <c r="AB424"/>
      <c r="AC424"/>
      <c r="AD424"/>
      <c r="AE424"/>
    </row>
    <row r="425" spans="1:31" s="7" customFormat="1" hidden="1" outlineLevel="2" x14ac:dyDescent="0.35">
      <c r="A425" s="180"/>
      <c r="B425" s="341"/>
      <c r="C425" s="377"/>
      <c r="D425" s="377"/>
      <c r="K425" s="17"/>
      <c r="M425"/>
      <c r="O425" s="474"/>
      <c r="Q425" s="3"/>
      <c r="R425"/>
      <c r="S425"/>
      <c r="T425"/>
      <c r="U425"/>
      <c r="V425"/>
      <c r="W425"/>
      <c r="X425"/>
      <c r="Y425"/>
      <c r="Z425"/>
      <c r="AA425"/>
      <c r="AB425"/>
      <c r="AC425"/>
      <c r="AD425"/>
      <c r="AE425"/>
    </row>
    <row r="426" spans="1:31" s="7" customFormat="1" ht="15.5" hidden="1" outlineLevel="2" x14ac:dyDescent="0.35">
      <c r="A426" s="180"/>
      <c r="B426" s="341"/>
      <c r="C426" s="377"/>
      <c r="D426" s="374" t="s">
        <v>1039</v>
      </c>
      <c r="I426" s="17"/>
      <c r="J426" s="17"/>
      <c r="K426" s="17"/>
      <c r="M426"/>
      <c r="O426" s="474"/>
      <c r="Q426" s="3"/>
      <c r="R426"/>
      <c r="S426"/>
      <c r="T426"/>
      <c r="U426"/>
      <c r="V426"/>
      <c r="W426"/>
      <c r="X426"/>
      <c r="Y426"/>
      <c r="Z426"/>
      <c r="AA426"/>
      <c r="AB426"/>
      <c r="AC426"/>
      <c r="AD426"/>
      <c r="AE426"/>
    </row>
    <row r="427" spans="1:31" s="7" customFormat="1" hidden="1" outlineLevel="2" x14ac:dyDescent="0.35">
      <c r="A427" s="180"/>
      <c r="B427" s="341"/>
      <c r="C427" s="377"/>
      <c r="D427" s="377"/>
      <c r="E427" s="18" t="s">
        <v>897</v>
      </c>
      <c r="F427" s="668"/>
      <c r="I427" s="17"/>
      <c r="J427" s="17"/>
      <c r="K427" s="17"/>
      <c r="M427"/>
      <c r="O427" s="473"/>
      <c r="Q427" s="3"/>
      <c r="R427"/>
      <c r="S427"/>
      <c r="T427"/>
      <c r="U427"/>
      <c r="V427"/>
      <c r="W427"/>
      <c r="X427"/>
      <c r="Y427"/>
      <c r="Z427"/>
      <c r="AA427"/>
      <c r="AB427"/>
      <c r="AC427"/>
      <c r="AD427"/>
      <c r="AE427"/>
    </row>
    <row r="428" spans="1:31" s="7" customFormat="1" hidden="1" outlineLevel="2" x14ac:dyDescent="0.35">
      <c r="A428" s="180"/>
      <c r="B428" s="341"/>
      <c r="C428" s="377"/>
      <c r="D428" s="377"/>
      <c r="E428" s="18" t="s">
        <v>948</v>
      </c>
      <c r="F428" s="668"/>
      <c r="G428" s="17"/>
      <c r="I428" s="17"/>
      <c r="J428" s="17"/>
      <c r="K428" s="17"/>
      <c r="M428"/>
      <c r="O428" s="473"/>
      <c r="Q428" s="3"/>
      <c r="R428"/>
      <c r="S428"/>
      <c r="T428"/>
      <c r="U428"/>
      <c r="V428"/>
      <c r="W428"/>
      <c r="X428"/>
      <c r="Y428"/>
      <c r="Z428"/>
      <c r="AA428"/>
      <c r="AB428"/>
      <c r="AC428"/>
      <c r="AD428"/>
      <c r="AE428"/>
    </row>
    <row r="429" spans="1:31" hidden="1" outlineLevel="2" x14ac:dyDescent="0.35">
      <c r="B429" s="2"/>
      <c r="Q429" s="3"/>
    </row>
    <row r="430" spans="1:31" collapsed="1" x14ac:dyDescent="0.35">
      <c r="A430" s="180" t="s">
        <v>2087</v>
      </c>
      <c r="B430" s="626"/>
      <c r="C430" s="627"/>
      <c r="D430" s="627"/>
      <c r="E430" s="627"/>
      <c r="F430" s="627"/>
      <c r="G430" s="627"/>
      <c r="H430" s="627"/>
      <c r="I430" s="627"/>
      <c r="J430" s="627"/>
      <c r="K430" s="627"/>
      <c r="L430" s="627"/>
      <c r="M430" s="627"/>
      <c r="N430" s="627"/>
      <c r="O430" s="628"/>
      <c r="P430" s="627"/>
      <c r="Q430" s="629"/>
      <c r="T430" s="360">
        <f>Q77-F432</f>
        <v>0</v>
      </c>
      <c r="U430" s="360"/>
    </row>
    <row r="431" spans="1:31" hidden="1" outlineLevel="2" x14ac:dyDescent="0.35">
      <c r="B431" s="2"/>
      <c r="O431" s="474" t="s">
        <v>3102</v>
      </c>
      <c r="Q431" s="3"/>
      <c r="T431" s="346">
        <f>IF(F432=0,0,ABS(T430/F432))</f>
        <v>0</v>
      </c>
      <c r="U431" s="346"/>
    </row>
    <row r="432" spans="1:31" hidden="1" outlineLevel="2" x14ac:dyDescent="0.35">
      <c r="B432" s="2"/>
      <c r="E432" s="5" t="s">
        <v>970</v>
      </c>
      <c r="F432" s="668"/>
      <c r="G432" s="17"/>
      <c r="L432" s="7"/>
      <c r="O432" s="472"/>
      <c r="Q432" s="3"/>
      <c r="S432">
        <f>IF(T432&gt;Error_Check_Precision,1,0)</f>
        <v>0</v>
      </c>
      <c r="T432" s="347">
        <f>IF(OR(F432=0,ISERROR(T431)),0,T431)</f>
        <v>0</v>
      </c>
      <c r="U432" s="347"/>
    </row>
    <row r="433" spans="1:18" hidden="1" outlineLevel="2" x14ac:dyDescent="0.35">
      <c r="B433" s="2"/>
      <c r="Q433" s="3"/>
    </row>
    <row r="434" spans="1:18" ht="15" collapsed="1" thickBot="1" x14ac:dyDescent="0.4">
      <c r="A434" s="180" t="s">
        <v>2087</v>
      </c>
      <c r="B434" s="384"/>
      <c r="C434" s="385"/>
      <c r="D434" s="385"/>
      <c r="E434" s="385"/>
      <c r="F434" s="385"/>
      <c r="G434" s="385"/>
      <c r="H434" s="385"/>
      <c r="I434" s="385"/>
      <c r="J434" s="385"/>
      <c r="K434" s="385"/>
      <c r="L434" s="385"/>
      <c r="M434" s="385"/>
      <c r="N434" s="385"/>
      <c r="O434" s="612"/>
      <c r="P434" s="385"/>
      <c r="Q434" s="386"/>
    </row>
    <row r="435" spans="1:18" ht="21.5" thickBot="1" x14ac:dyDescent="0.4">
      <c r="A435" s="180" t="s">
        <v>2087</v>
      </c>
      <c r="B435" s="301" t="s">
        <v>4477</v>
      </c>
      <c r="C435" s="302"/>
      <c r="D435" s="302"/>
      <c r="E435" s="302"/>
      <c r="F435" s="302"/>
      <c r="G435" s="303"/>
      <c r="H435" s="303"/>
      <c r="I435" s="303"/>
      <c r="J435" s="303"/>
      <c r="K435" s="303"/>
      <c r="L435" s="303"/>
      <c r="M435" s="303"/>
      <c r="N435" s="303"/>
      <c r="O435" s="596"/>
      <c r="P435" s="303"/>
      <c r="Q435" s="387"/>
      <c r="R435" s="325"/>
    </row>
    <row r="436" spans="1:18" ht="19" thickBot="1" x14ac:dyDescent="0.4">
      <c r="A436" s="180" t="s">
        <v>2087</v>
      </c>
      <c r="B436" s="331" t="s">
        <v>4391</v>
      </c>
      <c r="C436" s="332"/>
      <c r="D436" s="332"/>
      <c r="E436" s="333"/>
      <c r="F436" s="333"/>
      <c r="G436" s="333"/>
      <c r="H436" s="333"/>
      <c r="I436" s="333"/>
      <c r="J436" s="388"/>
      <c r="K436" s="333"/>
      <c r="L436" s="333"/>
      <c r="M436" s="333"/>
      <c r="N436" s="333"/>
      <c r="O436" s="606"/>
      <c r="P436" s="335"/>
      <c r="Q436" s="389"/>
      <c r="R436" s="390"/>
    </row>
    <row r="437" spans="1:18" ht="15.5" outlineLevel="1" x14ac:dyDescent="0.35">
      <c r="A437" s="180" t="s">
        <v>2087</v>
      </c>
      <c r="B437" s="337" t="s">
        <v>4393</v>
      </c>
      <c r="C437" s="338"/>
      <c r="D437" s="338"/>
      <c r="E437" s="339"/>
      <c r="F437" s="339"/>
      <c r="G437" s="339"/>
      <c r="H437" s="340" t="str" cm="1">
        <f t="array" aca="1" ref="H437" ca="1">IF(S568=1,Error_Message &amp; " Difference = " &amp; TEXT(T566, "#,##0.00"),IF(S569=1, Error_Message  &amp; " If Nat Cat premium estimate in " &amp; CELL("address",I568) &amp; " is positive, it should be removed from premium risk exposure",""))</f>
        <v/>
      </c>
      <c r="I437" s="339"/>
      <c r="J437" s="340"/>
      <c r="K437" s="339"/>
      <c r="L437" s="339"/>
      <c r="M437" s="339"/>
      <c r="N437" s="339"/>
      <c r="O437" s="607"/>
      <c r="P437" s="638" t="s">
        <v>967</v>
      </c>
      <c r="Q437" s="650">
        <f>SUM(F441:F557,G441:G557)</f>
        <v>0</v>
      </c>
      <c r="R437" s="44"/>
    </row>
    <row r="438" spans="1:18" ht="15.5" hidden="1" outlineLevel="2" x14ac:dyDescent="0.35">
      <c r="B438" s="391"/>
      <c r="C438" s="369"/>
      <c r="D438" s="342"/>
      <c r="F438" s="743"/>
      <c r="G438" s="743"/>
      <c r="O438" s="474" t="s">
        <v>3102</v>
      </c>
      <c r="Q438" s="3"/>
    </row>
    <row r="439" spans="1:18" ht="52" hidden="1" outlineLevel="2" x14ac:dyDescent="0.35">
      <c r="B439" s="391"/>
      <c r="C439" s="11"/>
      <c r="F439" s="30" t="s">
        <v>282</v>
      </c>
      <c r="G439" s="30" t="s">
        <v>283</v>
      </c>
      <c r="M439" s="392"/>
      <c r="Q439" s="3"/>
    </row>
    <row r="440" spans="1:18" hidden="1" outlineLevel="2" x14ac:dyDescent="0.35">
      <c r="B440" s="391"/>
      <c r="C440" s="11"/>
      <c r="F440" s="750" t="s">
        <v>325</v>
      </c>
      <c r="G440" s="750"/>
      <c r="M440" s="392"/>
      <c r="Q440" s="3"/>
    </row>
    <row r="441" spans="1:18" hidden="1" outlineLevel="2" x14ac:dyDescent="0.35">
      <c r="A441" s="180" t="s">
        <v>2087</v>
      </c>
      <c r="B441" s="391"/>
      <c r="E441" s="16" t="str">
        <f>'Non-Life Risk'!T47</f>
        <v>General liability</v>
      </c>
      <c r="F441" s="232"/>
      <c r="G441" s="232"/>
      <c r="H441" s="393" t="str">
        <f>'Non-Life Risk'!$U47</f>
        <v>Liability</v>
      </c>
      <c r="K441" s="16"/>
      <c r="O441" s="608"/>
      <c r="Q441" s="3"/>
    </row>
    <row r="442" spans="1:18" hidden="1" outlineLevel="2" x14ac:dyDescent="0.35">
      <c r="A442" s="180" t="s">
        <v>2087</v>
      </c>
      <c r="B442" s="391"/>
      <c r="C442" s="11"/>
      <c r="D442" s="11"/>
      <c r="E442" s="16" t="str">
        <f>'Non-Life Risk'!T48</f>
        <v>Workers compensation</v>
      </c>
      <c r="F442" s="232"/>
      <c r="G442" s="232"/>
      <c r="H442" s="393" t="str">
        <f>'Non-Life Risk'!$U48</f>
        <v>Liability</v>
      </c>
      <c r="K442" s="16"/>
      <c r="O442" s="608"/>
      <c r="Q442" s="3"/>
    </row>
    <row r="443" spans="1:18" hidden="1" outlineLevel="2" x14ac:dyDescent="0.35">
      <c r="A443" s="180" t="s">
        <v>2087</v>
      </c>
      <c r="B443" s="391"/>
      <c r="C443" s="11"/>
      <c r="D443" s="11"/>
      <c r="E443" s="16" t="str">
        <f>'Non-Life Risk'!T49</f>
        <v>Fire &amp; other damage to property</v>
      </c>
      <c r="F443" s="232"/>
      <c r="G443" s="232"/>
      <c r="H443" s="393" t="str">
        <f>'Non-Life Risk'!$U49</f>
        <v>Property</v>
      </c>
      <c r="K443" s="16"/>
      <c r="O443" s="608"/>
      <c r="Q443" s="3"/>
    </row>
    <row r="444" spans="1:18" hidden="1" outlineLevel="2" x14ac:dyDescent="0.35">
      <c r="A444" s="180" t="s">
        <v>2087</v>
      </c>
      <c r="B444" s="391"/>
      <c r="C444" s="11"/>
      <c r="D444" s="11"/>
      <c r="E444" s="16" t="str">
        <f>'Non-Life Risk'!T50</f>
        <v>Motor vehicle liability</v>
      </c>
      <c r="F444" s="232"/>
      <c r="G444" s="232"/>
      <c r="H444" s="393" t="str">
        <f>'Non-Life Risk'!$U50</f>
        <v>Motor</v>
      </c>
      <c r="K444" s="16"/>
      <c r="O444" s="608"/>
      <c r="Q444" s="3"/>
    </row>
    <row r="445" spans="1:18" hidden="1" outlineLevel="2" x14ac:dyDescent="0.35">
      <c r="A445" s="180" t="s">
        <v>2087</v>
      </c>
      <c r="B445" s="391"/>
      <c r="C445" s="11"/>
      <c r="D445" s="11"/>
      <c r="E445" s="16" t="str">
        <f>'Non-Life Risk'!T51</f>
        <v>Other motor</v>
      </c>
      <c r="F445" s="232"/>
      <c r="G445" s="232"/>
      <c r="H445" s="393" t="str">
        <f>'Non-Life Risk'!$U51</f>
        <v>Motor</v>
      </c>
      <c r="K445" s="16"/>
      <c r="O445" s="608"/>
      <c r="Q445" s="3"/>
    </row>
    <row r="446" spans="1:18" hidden="1" outlineLevel="2" x14ac:dyDescent="0.35">
      <c r="A446" s="180" t="s">
        <v>2087</v>
      </c>
      <c r="B446" s="391"/>
      <c r="C446" s="11"/>
      <c r="D446" s="11"/>
      <c r="E446" s="16" t="str">
        <f>'Non-Life Risk'!T52</f>
        <v>Credit &amp; suretyship </v>
      </c>
      <c r="F446" s="232"/>
      <c r="G446" s="232"/>
      <c r="H446" s="393" t="str">
        <f>'Non-Life Risk'!$U52</f>
        <v>Financial</v>
      </c>
      <c r="K446" s="16"/>
      <c r="O446" s="608"/>
      <c r="Q446" s="3"/>
    </row>
    <row r="447" spans="1:18" hidden="1" outlineLevel="2" x14ac:dyDescent="0.35">
      <c r="A447" s="180" t="s">
        <v>2087</v>
      </c>
      <c r="B447" s="391"/>
      <c r="C447" s="11"/>
      <c r="D447" s="11"/>
      <c r="E447" s="16" t="str">
        <f>'Non-Life Risk'!T53</f>
        <v>Miscellaneous financial loss</v>
      </c>
      <c r="F447" s="232"/>
      <c r="G447" s="232"/>
      <c r="H447" s="393" t="str">
        <f>'Non-Life Risk'!$U53</f>
        <v>Financial</v>
      </c>
      <c r="K447" s="16"/>
      <c r="O447" s="608"/>
      <c r="Q447" s="3"/>
    </row>
    <row r="448" spans="1:18" hidden="1" outlineLevel="2" x14ac:dyDescent="0.35">
      <c r="A448" s="180" t="s">
        <v>2087</v>
      </c>
      <c r="B448" s="391"/>
      <c r="C448" s="11"/>
      <c r="D448" s="11"/>
      <c r="E448" s="16" t="str">
        <f>'Non-Life Risk'!T54</f>
        <v>Health &amp; medical expense insurance</v>
      </c>
      <c r="F448" s="232"/>
      <c r="G448" s="232"/>
      <c r="H448" s="393" t="str">
        <f>'Non-Life Risk'!$U54</f>
        <v>Health</v>
      </c>
      <c r="K448" s="16"/>
      <c r="O448" s="608"/>
      <c r="Q448" s="3"/>
    </row>
    <row r="449" spans="1:17" hidden="1" outlineLevel="2" x14ac:dyDescent="0.35">
      <c r="A449" s="180" t="s">
        <v>2087</v>
      </c>
      <c r="B449" s="391"/>
      <c r="C449" s="11"/>
      <c r="D449" s="11"/>
      <c r="E449" s="16" t="str">
        <f>'Non-Life Risk'!T55</f>
        <v>Marine, aviation and transport</v>
      </c>
      <c r="F449" s="232"/>
      <c r="G449" s="232"/>
      <c r="H449" s="393" t="str">
        <f>'Non-Life Risk'!$U55</f>
        <v>MAT</v>
      </c>
      <c r="O449" s="608"/>
      <c r="Q449" s="3"/>
    </row>
    <row r="450" spans="1:17" hidden="1" outlineLevel="2" x14ac:dyDescent="0.35">
      <c r="A450" s="180" t="s">
        <v>2087</v>
      </c>
      <c r="B450" s="391"/>
      <c r="C450" s="11"/>
      <c r="D450" s="11"/>
      <c r="E450" s="16" t="str">
        <f>'Non-Life Risk'!T56</f>
        <v>Marine protection &amp; indemnity</v>
      </c>
      <c r="F450" s="232"/>
      <c r="G450" s="232"/>
      <c r="H450" s="393" t="str">
        <f>'Non-Life Risk'!$U56</f>
        <v>MAT</v>
      </c>
      <c r="O450" s="608"/>
      <c r="Q450" s="3"/>
    </row>
    <row r="451" spans="1:17" hidden="1" outlineLevel="2" x14ac:dyDescent="0.35">
      <c r="A451" s="180" t="s">
        <v>2087</v>
      </c>
      <c r="B451" s="391"/>
      <c r="C451" s="11"/>
      <c r="D451" s="11"/>
      <c r="E451" s="16" t="str">
        <f>'Non-Life Risk'!T57</f>
        <v>Assistance</v>
      </c>
      <c r="F451" s="232"/>
      <c r="G451" s="232"/>
      <c r="H451" s="393" t="str">
        <f>'Non-Life Risk'!$U57</f>
        <v>Other</v>
      </c>
      <c r="O451" s="608"/>
      <c r="Q451" s="3"/>
    </row>
    <row r="452" spans="1:17" hidden="1" outlineLevel="2" x14ac:dyDescent="0.35">
      <c r="A452" s="180" t="s">
        <v>2087</v>
      </c>
      <c r="B452" s="391"/>
      <c r="C452" s="11"/>
      <c r="D452" s="11"/>
      <c r="E452" s="16" t="str">
        <f>'Non-Life Risk'!T58</f>
        <v>Income protection</v>
      </c>
      <c r="F452" s="232"/>
      <c r="G452" s="232"/>
      <c r="H452" s="393" t="str">
        <f>'Non-Life Risk'!$U58</f>
        <v>Other</v>
      </c>
      <c r="O452" s="608"/>
      <c r="Q452" s="3"/>
    </row>
    <row r="453" spans="1:17" hidden="1" outlineLevel="2" x14ac:dyDescent="0.35">
      <c r="A453" s="180" t="s">
        <v>2087</v>
      </c>
      <c r="B453" s="391"/>
      <c r="C453" s="11"/>
      <c r="D453" s="11"/>
      <c r="E453" s="16" t="str">
        <f>'Non-Life Risk'!T59</f>
        <v>Legal expense</v>
      </c>
      <c r="F453" s="232"/>
      <c r="G453" s="232"/>
      <c r="H453" s="393" t="str">
        <f>'Non-Life Risk'!$U59</f>
        <v>Other</v>
      </c>
      <c r="O453" s="608"/>
      <c r="Q453" s="3"/>
    </row>
    <row r="454" spans="1:17" hidden="1" outlineLevel="2" x14ac:dyDescent="0.35">
      <c r="A454" s="180" t="s">
        <v>2087</v>
      </c>
      <c r="B454" s="391"/>
      <c r="D454" s="88"/>
      <c r="E454" s="16" t="str">
        <f>'Non-Life Risk'!T60</f>
        <v>Other</v>
      </c>
      <c r="F454" s="232"/>
      <c r="G454" s="232"/>
      <c r="H454" s="393" t="str">
        <f>'Non-Life Risk'!$U60</f>
        <v>Other</v>
      </c>
      <c r="O454" s="608"/>
      <c r="Q454" s="3"/>
    </row>
    <row r="455" spans="1:17" hidden="1" outlineLevel="2" x14ac:dyDescent="0.35">
      <c r="A455" s="180" t="s">
        <v>2087</v>
      </c>
      <c r="B455" s="391"/>
      <c r="E455" s="16"/>
      <c r="F455" s="729" t="s">
        <v>326</v>
      </c>
      <c r="G455" s="729"/>
      <c r="H455" s="138"/>
      <c r="Q455" s="3"/>
    </row>
    <row r="456" spans="1:17" hidden="1" outlineLevel="2" x14ac:dyDescent="0.35">
      <c r="A456" s="180" t="s">
        <v>2087</v>
      </c>
      <c r="B456" s="391"/>
      <c r="C456" s="11"/>
      <c r="D456" s="11"/>
      <c r="E456" s="16" t="str">
        <f>'Non-Life Risk'!T62</f>
        <v>Excess workers compensation</v>
      </c>
      <c r="F456" s="232"/>
      <c r="G456" s="232"/>
      <c r="H456" s="393" t="str">
        <f>'Non-Life Risk'!$U62</f>
        <v>Liability</v>
      </c>
      <c r="O456" s="608"/>
      <c r="Q456" s="3"/>
    </row>
    <row r="457" spans="1:17" hidden="1" outlineLevel="2" x14ac:dyDescent="0.35">
      <c r="A457" s="180" t="s">
        <v>2087</v>
      </c>
      <c r="B457" s="391"/>
      <c r="C457" s="11"/>
      <c r="D457" s="11"/>
      <c r="E457" s="16" t="str">
        <f>'Non-Life Risk'!T63</f>
        <v>Medical malpractice - claims made</v>
      </c>
      <c r="F457" s="232"/>
      <c r="G457" s="232"/>
      <c r="H457" s="393" t="str">
        <f>'Non-Life Risk'!$U63</f>
        <v>Liability</v>
      </c>
      <c r="O457" s="608"/>
      <c r="Q457" s="3"/>
    </row>
    <row r="458" spans="1:17" hidden="1" outlineLevel="2" x14ac:dyDescent="0.35">
      <c r="A458" s="180" t="s">
        <v>2087</v>
      </c>
      <c r="B458" s="391"/>
      <c r="C458" s="11"/>
      <c r="D458" s="11"/>
      <c r="E458" s="16" t="str">
        <f>'Non-Life Risk'!T64</f>
        <v>Medical malpractice - occurrence</v>
      </c>
      <c r="F458" s="232"/>
      <c r="G458" s="232"/>
      <c r="H458" s="393" t="str">
        <f>'Non-Life Risk'!$U64</f>
        <v>Liability</v>
      </c>
      <c r="O458" s="608"/>
      <c r="Q458" s="3"/>
    </row>
    <row r="459" spans="1:17" hidden="1" outlineLevel="2" x14ac:dyDescent="0.35">
      <c r="A459" s="180" t="s">
        <v>2087</v>
      </c>
      <c r="B459" s="391"/>
      <c r="C459" s="11"/>
      <c r="D459" s="11"/>
      <c r="E459" s="16" t="str">
        <f>'Non-Life Risk'!T65</f>
        <v>Other liability - claims made</v>
      </c>
      <c r="F459" s="232"/>
      <c r="G459" s="232"/>
      <c r="H459" s="393" t="str">
        <f>'Non-Life Risk'!$U65</f>
        <v>Liability</v>
      </c>
      <c r="O459" s="608"/>
      <c r="Q459" s="3"/>
    </row>
    <row r="460" spans="1:17" hidden="1" outlineLevel="2" x14ac:dyDescent="0.35">
      <c r="A460" s="180" t="s">
        <v>2087</v>
      </c>
      <c r="B460" s="391"/>
      <c r="C460" s="11"/>
      <c r="D460" s="11"/>
      <c r="E460" s="16" t="str">
        <f>'Non-Life Risk'!T66</f>
        <v>Other liability - occurrence</v>
      </c>
      <c r="F460" s="232"/>
      <c r="G460" s="232"/>
      <c r="H460" s="393" t="str">
        <f>'Non-Life Risk'!$U66</f>
        <v>Liability</v>
      </c>
      <c r="O460" s="608"/>
      <c r="Q460" s="3"/>
    </row>
    <row r="461" spans="1:17" hidden="1" outlineLevel="2" x14ac:dyDescent="0.35">
      <c r="A461" s="180" t="s">
        <v>2087</v>
      </c>
      <c r="B461" s="391"/>
      <c r="C461" s="11"/>
      <c r="D461" s="11"/>
      <c r="E461" s="16" t="str">
        <f>'Non-Life Risk'!T67</f>
        <v>Product liability - claims made</v>
      </c>
      <c r="F461" s="232"/>
      <c r="G461" s="232"/>
      <c r="H461" s="393" t="str">
        <f>'Non-Life Risk'!$U67</f>
        <v>Liability</v>
      </c>
      <c r="O461" s="608"/>
      <c r="Q461" s="3"/>
    </row>
    <row r="462" spans="1:17" hidden="1" outlineLevel="2" x14ac:dyDescent="0.35">
      <c r="A462" s="180" t="s">
        <v>2087</v>
      </c>
      <c r="B462" s="391"/>
      <c r="C462" s="11"/>
      <c r="D462" s="11"/>
      <c r="E462" s="16" t="str">
        <f>'Non-Life Risk'!T68</f>
        <v>Product liability - occurrence</v>
      </c>
      <c r="F462" s="232"/>
      <c r="G462" s="232"/>
      <c r="H462" s="393" t="str">
        <f>'Non-Life Risk'!$U68</f>
        <v>Liability</v>
      </c>
      <c r="O462" s="608"/>
      <c r="Q462" s="3"/>
    </row>
    <row r="463" spans="1:17" hidden="1" outlineLevel="2" x14ac:dyDescent="0.35">
      <c r="A463" s="180" t="s">
        <v>2087</v>
      </c>
      <c r="B463" s="391"/>
      <c r="C463" s="11"/>
      <c r="D463" s="11"/>
      <c r="E463" s="16" t="str">
        <f>'Non-Life Risk'!T69</f>
        <v>Workers compensation</v>
      </c>
      <c r="F463" s="232"/>
      <c r="G463" s="232"/>
      <c r="H463" s="393" t="str">
        <f>'Non-Life Risk'!$U69</f>
        <v>Liability</v>
      </c>
      <c r="O463" s="608"/>
      <c r="Q463" s="3"/>
    </row>
    <row r="464" spans="1:17" hidden="1" outlineLevel="2" x14ac:dyDescent="0.35">
      <c r="A464" s="180" t="s">
        <v>2087</v>
      </c>
      <c r="B464" s="391"/>
      <c r="C464" s="11"/>
      <c r="D464" s="11"/>
      <c r="E464" s="16" t="str">
        <f>'Non-Life Risk'!T70</f>
        <v>Boiler &amp; machinery</v>
      </c>
      <c r="F464" s="232"/>
      <c r="G464" s="232"/>
      <c r="H464" s="393" t="str">
        <f>'Non-Life Risk'!$U70</f>
        <v>Property</v>
      </c>
      <c r="O464" s="608"/>
      <c r="Q464" s="3"/>
    </row>
    <row r="465" spans="1:22" hidden="1" outlineLevel="2" x14ac:dyDescent="0.35">
      <c r="A465" s="180" t="s">
        <v>2087</v>
      </c>
      <c r="B465" s="391"/>
      <c r="C465" s="11"/>
      <c r="D465" s="11"/>
      <c r="E465" s="16" t="str">
        <f>'Non-Life Risk'!T71</f>
        <v>Commercial multi-peril</v>
      </c>
      <c r="F465" s="232"/>
      <c r="G465" s="232"/>
      <c r="H465" s="393" t="str">
        <f>'Non-Life Risk'!$U71</f>
        <v>Property</v>
      </c>
      <c r="O465" s="608"/>
      <c r="Q465" s="3"/>
    </row>
    <row r="466" spans="1:22" hidden="1" outlineLevel="2" x14ac:dyDescent="0.35">
      <c r="A466" s="180" t="s">
        <v>2087</v>
      </c>
      <c r="B466" s="391"/>
      <c r="C466" s="11"/>
      <c r="D466" s="11"/>
      <c r="E466" s="16" t="str">
        <f>'Non-Life Risk'!T72</f>
        <v>Homeowner/Farmowner multi-peril</v>
      </c>
      <c r="F466" s="232"/>
      <c r="G466" s="232"/>
      <c r="H466" s="393" t="str">
        <f>'Non-Life Risk'!$U72</f>
        <v>Property</v>
      </c>
      <c r="O466" s="608"/>
      <c r="Q466" s="3"/>
    </row>
    <row r="467" spans="1:22" hidden="1" outlineLevel="2" x14ac:dyDescent="0.35">
      <c r="A467" s="180" t="s">
        <v>2087</v>
      </c>
      <c r="B467" s="391"/>
      <c r="C467" s="11"/>
      <c r="D467" s="11"/>
      <c r="E467" s="16" t="str">
        <f>'Non-Life Risk'!T73</f>
        <v>Special property (fire, allied lines, inland marine, earthquake, burglary and theft)</v>
      </c>
      <c r="F467" s="232"/>
      <c r="G467" s="232"/>
      <c r="H467" s="393" t="str">
        <f>'Non-Life Risk'!$U73</f>
        <v>Property</v>
      </c>
      <c r="O467" s="608"/>
      <c r="Q467" s="3"/>
    </row>
    <row r="468" spans="1:22" hidden="1" outlineLevel="2" x14ac:dyDescent="0.35">
      <c r="A468" s="180" t="s">
        <v>2087</v>
      </c>
      <c r="B468" s="391"/>
      <c r="C468" s="11"/>
      <c r="D468" s="11"/>
      <c r="E468" s="16" t="str">
        <f>'Non-Life Risk'!T74</f>
        <v>Auto physical damage</v>
      </c>
      <c r="F468" s="232"/>
      <c r="G468" s="232"/>
      <c r="H468" s="393" t="str">
        <f>'Non-Life Risk'!$U74</f>
        <v>Motor</v>
      </c>
      <c r="O468" s="608"/>
      <c r="Q468" s="3"/>
    </row>
    <row r="469" spans="1:22" hidden="1" outlineLevel="2" x14ac:dyDescent="0.35">
      <c r="A469" s="180" t="s">
        <v>2087</v>
      </c>
      <c r="B469" s="391"/>
      <c r="C469" s="11"/>
      <c r="D469" s="11"/>
      <c r="E469" s="16" t="str">
        <f>'Non-Life Risk'!T75</f>
        <v>Commercial auto liability</v>
      </c>
      <c r="F469" s="232"/>
      <c r="G469" s="232"/>
      <c r="H469" s="393" t="str">
        <f>'Non-Life Risk'!$U75</f>
        <v>Motor</v>
      </c>
      <c r="O469" s="608"/>
      <c r="Q469" s="3"/>
    </row>
    <row r="470" spans="1:22" hidden="1" outlineLevel="2" x14ac:dyDescent="0.35">
      <c r="A470" s="180" t="s">
        <v>2087</v>
      </c>
      <c r="B470" s="391"/>
      <c r="C470" s="11"/>
      <c r="D470" s="11"/>
      <c r="E470" s="16" t="str">
        <f>'Non-Life Risk'!T76</f>
        <v>Private passenger auto liability</v>
      </c>
      <c r="F470" s="232"/>
      <c r="G470" s="232"/>
      <c r="H470" s="393" t="str">
        <f>'Non-Life Risk'!$U76</f>
        <v>Motor</v>
      </c>
      <c r="O470" s="608"/>
      <c r="Q470" s="3"/>
    </row>
    <row r="471" spans="1:22" hidden="1" outlineLevel="2" x14ac:dyDescent="0.35">
      <c r="A471" s="180" t="s">
        <v>2087</v>
      </c>
      <c r="B471" s="391"/>
      <c r="C471" s="11"/>
      <c r="D471" s="11"/>
      <c r="E471" s="16" t="str">
        <f>'Non-Life Risk'!T77</f>
        <v>Credit</v>
      </c>
      <c r="F471" s="232"/>
      <c r="G471" s="232"/>
      <c r="H471" s="393" t="str">
        <f>'Non-Life Risk'!$U77</f>
        <v>Financial</v>
      </c>
      <c r="O471" s="608"/>
      <c r="Q471" s="3"/>
    </row>
    <row r="472" spans="1:22" hidden="1" outlineLevel="2" x14ac:dyDescent="0.35">
      <c r="A472" s="180" t="s">
        <v>2087</v>
      </c>
      <c r="B472" s="391"/>
      <c r="C472" s="11"/>
      <c r="D472" s="11"/>
      <c r="E472" s="16" t="str">
        <f>'Non-Life Risk'!T78</f>
        <v>Fidelity/Surety</v>
      </c>
      <c r="F472" s="232"/>
      <c r="G472" s="232"/>
      <c r="H472" s="393" t="str">
        <f>'Non-Life Risk'!$U78</f>
        <v>Financial</v>
      </c>
      <c r="O472" s="608"/>
      <c r="Q472" s="3"/>
    </row>
    <row r="473" spans="1:22" hidden="1" outlineLevel="2" x14ac:dyDescent="0.35">
      <c r="A473" s="180" t="s">
        <v>2087</v>
      </c>
      <c r="B473" s="391"/>
      <c r="C473" s="11"/>
      <c r="D473" s="11"/>
      <c r="E473" s="16" t="str">
        <f>'Non-Life Risk'!T79</f>
        <v>Financial guaranty </v>
      </c>
      <c r="F473" s="232"/>
      <c r="G473" s="232"/>
      <c r="H473" s="393" t="str">
        <f>'Non-Life Risk'!$U79</f>
        <v>Financial</v>
      </c>
      <c r="O473" s="608"/>
      <c r="Q473" s="3"/>
    </row>
    <row r="474" spans="1:22" hidden="1" outlineLevel="2" x14ac:dyDescent="0.35">
      <c r="A474" s="180" t="s">
        <v>2087</v>
      </c>
      <c r="B474" s="391"/>
      <c r="C474" s="11"/>
      <c r="D474" s="11"/>
      <c r="E474" s="16" t="str">
        <f>'Non-Life Risk'!T80</f>
        <v>A&amp;H stop loss reinsurance</v>
      </c>
      <c r="F474" s="232"/>
      <c r="G474" s="232"/>
      <c r="H474" s="393" t="str">
        <f>'Non-Life Risk'!$U80</f>
        <v>Health</v>
      </c>
      <c r="O474" s="608"/>
      <c r="Q474" s="3"/>
    </row>
    <row r="475" spans="1:22" hidden="1" outlineLevel="2" x14ac:dyDescent="0.35">
      <c r="A475" s="180" t="s">
        <v>2087</v>
      </c>
      <c r="B475" s="391"/>
      <c r="C475" s="11"/>
      <c r="D475" s="11"/>
      <c r="E475" s="16" t="str">
        <f>'Non-Life Risk'!T81</f>
        <v>Accident &amp; health</v>
      </c>
      <c r="F475" s="232"/>
      <c r="G475" s="232"/>
      <c r="H475" s="393" t="str">
        <f>'Non-Life Risk'!$U81</f>
        <v>Health</v>
      </c>
      <c r="O475" s="608"/>
      <c r="Q475" s="3"/>
    </row>
    <row r="476" spans="1:22" hidden="1" outlineLevel="2" x14ac:dyDescent="0.35">
      <c r="A476" s="180" t="s">
        <v>2087</v>
      </c>
      <c r="B476" s="391"/>
      <c r="C476" s="11"/>
      <c r="D476" s="11"/>
      <c r="E476" s="16" t="str">
        <f>'Non-Life Risk'!T82</f>
        <v>Administrative services only/administrative services contract</v>
      </c>
      <c r="F476" s="232"/>
      <c r="G476" s="232"/>
      <c r="H476" s="393" t="str">
        <f>'Non-Life Risk'!$U82</f>
        <v>Health</v>
      </c>
      <c r="O476" s="608"/>
      <c r="Q476" s="3"/>
    </row>
    <row r="477" spans="1:22" hidden="1" outlineLevel="2" x14ac:dyDescent="0.35">
      <c r="A477" s="180" t="s">
        <v>2087</v>
      </c>
      <c r="B477" s="391"/>
      <c r="C477" s="11"/>
      <c r="D477" s="11"/>
      <c r="E477" s="16" t="str">
        <f>'Non-Life Risk'!T83</f>
        <v>Full risk and experience rated group and individual health</v>
      </c>
      <c r="F477" s="232"/>
      <c r="G477" s="232"/>
      <c r="H477" s="393" t="str">
        <f>'Non-Life Risk'!$U83</f>
        <v>Health</v>
      </c>
      <c r="O477" s="608"/>
      <c r="Q477" s="3"/>
    </row>
    <row r="478" spans="1:22" hidden="1" outlineLevel="2" x14ac:dyDescent="0.35">
      <c r="A478" s="180" t="s">
        <v>2087</v>
      </c>
      <c r="B478" s="391"/>
      <c r="C478" s="11"/>
      <c r="D478" s="11"/>
      <c r="E478" s="16" t="str">
        <f>'Non-Life Risk'!T84</f>
        <v>Dental and vision</v>
      </c>
      <c r="F478" s="232"/>
      <c r="G478" s="232"/>
      <c r="H478" s="393" t="str">
        <f>'Non-Life Risk'!$U84</f>
        <v>Health</v>
      </c>
      <c r="O478" s="608"/>
      <c r="Q478" s="3"/>
    </row>
    <row r="479" spans="1:22" hidden="1" outlineLevel="2" x14ac:dyDescent="0.35">
      <c r="A479" s="180" t="s">
        <v>2087</v>
      </c>
      <c r="B479" s="391"/>
      <c r="C479" s="11"/>
      <c r="D479" s="11"/>
      <c r="E479" s="16" t="str">
        <f>'Non-Life Risk'!T85</f>
        <v>Federal employee health benefit program</v>
      </c>
      <c r="F479" s="232"/>
      <c r="G479" s="232"/>
      <c r="H479" s="393" t="str">
        <f>'Non-Life Risk'!$U85</f>
        <v>Health</v>
      </c>
      <c r="O479" s="608"/>
      <c r="Q479" s="3"/>
    </row>
    <row r="480" spans="1:22" s="217" customFormat="1" hidden="1" outlineLevel="2" x14ac:dyDescent="0.35">
      <c r="A480" s="180" t="s">
        <v>2087</v>
      </c>
      <c r="B480" s="10"/>
      <c r="C480" s="11"/>
      <c r="D480" s="11"/>
      <c r="E480" s="16" t="str">
        <f>'Non-Life Risk'!T86</f>
        <v>Hospital indemnity, accidental death &amp; dismemberment, specified disease, and other limited benefits</v>
      </c>
      <c r="F480" s="232"/>
      <c r="G480" s="232"/>
      <c r="H480" s="393" t="str">
        <f>'Non-Life Risk'!$U86</f>
        <v>Health</v>
      </c>
      <c r="I480"/>
      <c r="J480"/>
      <c r="K480"/>
      <c r="L480"/>
      <c r="M480"/>
      <c r="O480" s="608"/>
      <c r="Q480" s="394"/>
      <c r="U480"/>
      <c r="V480"/>
    </row>
    <row r="481" spans="1:17" hidden="1" outlineLevel="2" x14ac:dyDescent="0.35">
      <c r="A481" s="180" t="s">
        <v>2087</v>
      </c>
      <c r="B481" s="391"/>
      <c r="C481" s="11"/>
      <c r="D481" s="11"/>
      <c r="E481" s="16" t="str">
        <f>'Non-Life Risk'!T87</f>
        <v>Medicare and Medicaid</v>
      </c>
      <c r="F481" s="232"/>
      <c r="G481" s="232"/>
      <c r="H481" s="393" t="str">
        <f>'Non-Life Risk'!$U87</f>
        <v>Health</v>
      </c>
      <c r="O481" s="608"/>
      <c r="Q481" s="3"/>
    </row>
    <row r="482" spans="1:17" hidden="1" outlineLevel="2" x14ac:dyDescent="0.35">
      <c r="A482" s="180" t="s">
        <v>2087</v>
      </c>
      <c r="B482" s="391"/>
      <c r="C482" s="11"/>
      <c r="D482" s="11"/>
      <c r="E482" s="16" t="str">
        <f>'Non-Life Risk'!T88</f>
        <v>Medicare Part D (all other)</v>
      </c>
      <c r="F482" s="232"/>
      <c r="G482" s="232"/>
      <c r="H482" s="393" t="str">
        <f>'Non-Life Risk'!$U88</f>
        <v>Health</v>
      </c>
      <c r="O482" s="608"/>
      <c r="Q482" s="3"/>
    </row>
    <row r="483" spans="1:17" hidden="1" outlineLevel="2" x14ac:dyDescent="0.35">
      <c r="A483" s="180" t="s">
        <v>2087</v>
      </c>
      <c r="B483" s="391"/>
      <c r="C483" s="11"/>
      <c r="D483" s="350"/>
      <c r="E483" s="16" t="str">
        <f>'Non-Life Risk'!T89</f>
        <v>Medicare Part D (risk corridor only)</v>
      </c>
      <c r="F483" s="232"/>
      <c r="G483" s="232"/>
      <c r="H483" s="393" t="str">
        <f>'Non-Life Risk'!$U89</f>
        <v>Health</v>
      </c>
      <c r="O483" s="608"/>
      <c r="Q483" s="3"/>
    </row>
    <row r="484" spans="1:17" hidden="1" outlineLevel="2" x14ac:dyDescent="0.35">
      <c r="A484" s="180" t="s">
        <v>2087</v>
      </c>
      <c r="B484" s="391"/>
      <c r="C484" s="11"/>
      <c r="D484" s="350"/>
      <c r="E484" s="16" t="str">
        <f>'Non-Life Risk'!T90</f>
        <v>Medicare Part D (risk corridor and reinsurance)</v>
      </c>
      <c r="F484" s="232"/>
      <c r="G484" s="232"/>
      <c r="H484" s="393" t="str">
        <f>'Non-Life Risk'!$U90</f>
        <v>Health</v>
      </c>
      <c r="O484" s="608"/>
      <c r="Q484" s="3"/>
    </row>
    <row r="485" spans="1:17" hidden="1" outlineLevel="2" x14ac:dyDescent="0.35">
      <c r="A485" s="180" t="s">
        <v>2087</v>
      </c>
      <c r="B485" s="391"/>
      <c r="C485" s="11"/>
      <c r="D485" s="350"/>
      <c r="E485" s="16" t="str">
        <f>'Non-Life Risk'!T91</f>
        <v>Medicare supplemental</v>
      </c>
      <c r="F485" s="232"/>
      <c r="G485" s="232"/>
      <c r="H485" s="393" t="str">
        <f>'Non-Life Risk'!$U91</f>
        <v>Health</v>
      </c>
      <c r="O485" s="608"/>
      <c r="Q485" s="3"/>
    </row>
    <row r="486" spans="1:17" hidden="1" outlineLevel="2" x14ac:dyDescent="0.35">
      <c r="A486" s="180" t="s">
        <v>2087</v>
      </c>
      <c r="B486" s="391"/>
      <c r="C486" s="11"/>
      <c r="D486" s="350"/>
      <c r="E486" s="16" t="str">
        <f>'Non-Life Risk'!T92</f>
        <v>Other health</v>
      </c>
      <c r="F486" s="232"/>
      <c r="G486" s="232"/>
      <c r="H486" s="393" t="str">
        <f>'Non-Life Risk'!$U92</f>
        <v>Health</v>
      </c>
      <c r="O486" s="608"/>
      <c r="Q486" s="3"/>
    </row>
    <row r="487" spans="1:17" hidden="1" outlineLevel="2" x14ac:dyDescent="0.35">
      <c r="A487" s="180" t="s">
        <v>2087</v>
      </c>
      <c r="B487" s="391"/>
      <c r="C487" s="11"/>
      <c r="D487" s="350"/>
      <c r="E487" s="16" t="str">
        <f>'Non-Life Risk'!T93</f>
        <v>Aircraft</v>
      </c>
      <c r="F487" s="232"/>
      <c r="G487" s="232"/>
      <c r="H487" s="393" t="str">
        <f>'Non-Life Risk'!$U93</f>
        <v>MAT</v>
      </c>
      <c r="O487" s="608"/>
      <c r="Q487" s="3"/>
    </row>
    <row r="488" spans="1:17" hidden="1" outlineLevel="2" x14ac:dyDescent="0.35">
      <c r="A488" s="180" t="s">
        <v>2087</v>
      </c>
      <c r="B488" s="391"/>
      <c r="C488" s="11"/>
      <c r="D488" s="350"/>
      <c r="E488" s="16" t="str">
        <f>'Non-Life Risk'!T94</f>
        <v>Marine protection &amp; indemnity</v>
      </c>
      <c r="F488" s="232"/>
      <c r="G488" s="232"/>
      <c r="H488" s="393" t="str">
        <f>'Non-Life Risk'!$U94</f>
        <v>MAT</v>
      </c>
      <c r="O488" s="608"/>
      <c r="Q488" s="3"/>
    </row>
    <row r="489" spans="1:17" hidden="1" outlineLevel="2" x14ac:dyDescent="0.35">
      <c r="A489" s="180" t="s">
        <v>2087</v>
      </c>
      <c r="B489" s="391"/>
      <c r="C489" s="11"/>
      <c r="D489" s="350"/>
      <c r="E489" s="16" t="str">
        <f>'Non-Life Risk'!T95</f>
        <v>Ocean marine</v>
      </c>
      <c r="F489" s="232"/>
      <c r="G489" s="232"/>
      <c r="H489" s="393" t="str">
        <f>'Non-Life Risk'!$U95</f>
        <v>MAT</v>
      </c>
      <c r="O489" s="608"/>
      <c r="Q489" s="3"/>
    </row>
    <row r="490" spans="1:17" hidden="1" outlineLevel="2" x14ac:dyDescent="0.35">
      <c r="A490" s="180" t="s">
        <v>2087</v>
      </c>
      <c r="B490" s="391"/>
      <c r="C490" s="11"/>
      <c r="D490" s="350"/>
      <c r="E490" s="16" t="str">
        <f>'Non-Life Risk'!T96</f>
        <v>Title</v>
      </c>
      <c r="F490" s="232"/>
      <c r="G490" s="232"/>
      <c r="H490" s="393" t="str">
        <f>'Non-Life Risk'!$U96</f>
        <v>Other</v>
      </c>
      <c r="O490" s="608"/>
      <c r="Q490" s="3"/>
    </row>
    <row r="491" spans="1:17" hidden="1" outlineLevel="2" x14ac:dyDescent="0.35">
      <c r="A491" s="180" t="s">
        <v>2087</v>
      </c>
      <c r="B491" s="391"/>
      <c r="C491" s="11"/>
      <c r="D491" s="350"/>
      <c r="E491" s="16" t="str">
        <f>'Non-Life Risk'!T97</f>
        <v>Warranty</v>
      </c>
      <c r="F491" s="232"/>
      <c r="G491" s="232"/>
      <c r="H491" s="393" t="str">
        <f>'Non-Life Risk'!$U97</f>
        <v>Other</v>
      </c>
      <c r="O491" s="608"/>
      <c r="Q491" s="3"/>
    </row>
    <row r="492" spans="1:17" hidden="1" outlineLevel="2" x14ac:dyDescent="0.35">
      <c r="A492" s="180" t="s">
        <v>2087</v>
      </c>
      <c r="B492" s="391"/>
      <c r="C492" s="11"/>
      <c r="D492" s="350"/>
      <c r="E492" s="16" t="str">
        <f>'Non-Life Risk'!T98</f>
        <v>Other</v>
      </c>
      <c r="F492" s="232"/>
      <c r="G492" s="232"/>
      <c r="H492" s="393" t="str">
        <f>'Non-Life Risk'!$U98</f>
        <v>Other</v>
      </c>
      <c r="O492" s="608"/>
      <c r="Q492" s="3"/>
    </row>
    <row r="493" spans="1:17" hidden="1" outlineLevel="2" x14ac:dyDescent="0.35">
      <c r="A493" s="180" t="s">
        <v>2087</v>
      </c>
      <c r="B493" s="391"/>
      <c r="C493" s="11"/>
      <c r="D493" s="350"/>
      <c r="E493" s="16"/>
      <c r="F493" s="729" t="s">
        <v>327</v>
      </c>
      <c r="G493" s="729"/>
      <c r="H493" s="9"/>
      <c r="Q493" s="3"/>
    </row>
    <row r="494" spans="1:17" hidden="1" outlineLevel="2" x14ac:dyDescent="0.35">
      <c r="A494" s="180" t="s">
        <v>2087</v>
      </c>
      <c r="B494" s="391"/>
      <c r="D494" s="350"/>
      <c r="E494" s="16" t="str">
        <f>'Non-Life Risk'!T100</f>
        <v>Liability</v>
      </c>
      <c r="F494" s="232"/>
      <c r="G494" s="232"/>
      <c r="H494" s="393" t="str">
        <f>'Non-Life Risk'!$U100</f>
        <v>Liability</v>
      </c>
      <c r="O494" s="608"/>
      <c r="Q494" s="3"/>
    </row>
    <row r="495" spans="1:17" hidden="1" outlineLevel="2" x14ac:dyDescent="0.35">
      <c r="A495" s="180" t="s">
        <v>2087</v>
      </c>
      <c r="B495" s="391"/>
      <c r="D495" s="88"/>
      <c r="E495" s="16" t="str">
        <f>'Non-Life Risk'!T101</f>
        <v>Boiler &amp; machinery</v>
      </c>
      <c r="F495" s="232"/>
      <c r="G495" s="232"/>
      <c r="H495" s="393" t="str">
        <f>'Non-Life Risk'!$U101</f>
        <v>Property</v>
      </c>
      <c r="O495" s="608"/>
      <c r="Q495" s="3"/>
    </row>
    <row r="496" spans="1:17" hidden="1" outlineLevel="2" x14ac:dyDescent="0.35">
      <c r="A496" s="180" t="s">
        <v>2087</v>
      </c>
      <c r="B496" s="391"/>
      <c r="E496" s="16" t="str">
        <f>'Non-Life Risk'!T102</f>
        <v>Commercial property</v>
      </c>
      <c r="F496" s="232"/>
      <c r="G496" s="232"/>
      <c r="H496" s="393" t="str">
        <f>'Non-Life Risk'!$U102</f>
        <v>Property</v>
      </c>
      <c r="O496" s="608"/>
      <c r="Q496" s="3"/>
    </row>
    <row r="497" spans="1:17" hidden="1" outlineLevel="2" x14ac:dyDescent="0.35">
      <c r="A497" s="180" t="s">
        <v>2087</v>
      </c>
      <c r="B497" s="391"/>
      <c r="C497" s="11"/>
      <c r="D497" s="11"/>
      <c r="E497" s="16" t="str">
        <f>'Non-Life Risk'!T103</f>
        <v>Hail</v>
      </c>
      <c r="F497" s="232"/>
      <c r="G497" s="232"/>
      <c r="H497" s="393" t="str">
        <f>'Non-Life Risk'!$U103</f>
        <v>Property</v>
      </c>
      <c r="K497" s="16"/>
      <c r="O497" s="608"/>
      <c r="Q497" s="3"/>
    </row>
    <row r="498" spans="1:17" hidden="1" outlineLevel="2" x14ac:dyDescent="0.35">
      <c r="A498" s="180" t="s">
        <v>2087</v>
      </c>
      <c r="B498" s="391"/>
      <c r="C498" s="11"/>
      <c r="D498" s="11"/>
      <c r="E498" s="16" t="str">
        <f>'Non-Life Risk'!T104</f>
        <v>Personal property</v>
      </c>
      <c r="F498" s="232"/>
      <c r="G498" s="232"/>
      <c r="H498" s="393" t="str">
        <f>'Non-Life Risk'!$U104</f>
        <v>Property</v>
      </c>
      <c r="K498" s="16"/>
      <c r="O498" s="608"/>
      <c r="Q498" s="3"/>
    </row>
    <row r="499" spans="1:17" hidden="1" outlineLevel="2" x14ac:dyDescent="0.35">
      <c r="A499" s="180" t="s">
        <v>2087</v>
      </c>
      <c r="B499" s="391"/>
      <c r="C499" s="11"/>
      <c r="D499" s="11"/>
      <c r="E499" s="16" t="str">
        <f>'Non-Life Risk'!T105</f>
        <v>Auto - liability</v>
      </c>
      <c r="F499" s="232"/>
      <c r="G499" s="232"/>
      <c r="H499" s="393" t="str">
        <f>'Non-Life Risk'!$U105</f>
        <v>Motor</v>
      </c>
      <c r="K499" s="16"/>
      <c r="O499" s="608"/>
      <c r="Q499" s="3"/>
    </row>
    <row r="500" spans="1:17" hidden="1" outlineLevel="2" x14ac:dyDescent="0.35">
      <c r="A500" s="180" t="s">
        <v>2087</v>
      </c>
      <c r="B500" s="391"/>
      <c r="C500" s="11"/>
      <c r="D500" s="11"/>
      <c r="E500" s="16" t="str">
        <f>'Non-Life Risk'!T106</f>
        <v>Auto - other</v>
      </c>
      <c r="F500" s="232"/>
      <c r="G500" s="232"/>
      <c r="H500" s="393" t="str">
        <f>'Non-Life Risk'!$U106</f>
        <v>Motor</v>
      </c>
      <c r="K500" s="16"/>
      <c r="O500" s="608"/>
      <c r="Q500" s="3"/>
    </row>
    <row r="501" spans="1:17" hidden="1" outlineLevel="2" x14ac:dyDescent="0.35">
      <c r="A501" s="180" t="s">
        <v>2087</v>
      </c>
      <c r="B501" s="391"/>
      <c r="C501" s="11"/>
      <c r="D501" s="11"/>
      <c r="E501" s="16" t="str">
        <f>'Non-Life Risk'!T107</f>
        <v>Auto - personal accident</v>
      </c>
      <c r="F501" s="232"/>
      <c r="G501" s="232"/>
      <c r="H501" s="393" t="str">
        <f>'Non-Life Risk'!$U107</f>
        <v>Motor</v>
      </c>
      <c r="K501" s="16"/>
      <c r="O501" s="608"/>
      <c r="Q501" s="3"/>
    </row>
    <row r="502" spans="1:17" hidden="1" outlineLevel="2" x14ac:dyDescent="0.35">
      <c r="A502" s="180" t="s">
        <v>2087</v>
      </c>
      <c r="B502" s="391"/>
      <c r="C502" s="11"/>
      <c r="D502" s="11"/>
      <c r="E502" s="16" t="str">
        <f>'Non-Life Risk'!T108</f>
        <v>Credit</v>
      </c>
      <c r="F502" s="232"/>
      <c r="G502" s="232"/>
      <c r="H502" s="393" t="str">
        <f>'Non-Life Risk'!$U108</f>
        <v>Financial</v>
      </c>
      <c r="K502" s="16"/>
      <c r="O502" s="608"/>
      <c r="Q502" s="3"/>
    </row>
    <row r="503" spans="1:17" hidden="1" outlineLevel="2" x14ac:dyDescent="0.35">
      <c r="A503" s="180" t="s">
        <v>2087</v>
      </c>
      <c r="B503" s="391"/>
      <c r="C503" s="11"/>
      <c r="D503" s="11"/>
      <c r="E503" s="16" t="str">
        <f>'Non-Life Risk'!T109</f>
        <v>Credit protection</v>
      </c>
      <c r="F503" s="232"/>
      <c r="G503" s="232"/>
      <c r="H503" s="393" t="str">
        <f>'Non-Life Risk'!$U109</f>
        <v>Financial</v>
      </c>
      <c r="K503" s="16"/>
      <c r="O503" s="608"/>
      <c r="Q503" s="3"/>
    </row>
    <row r="504" spans="1:17" hidden="1" outlineLevel="2" x14ac:dyDescent="0.35">
      <c r="A504" s="180" t="s">
        <v>2087</v>
      </c>
      <c r="B504" s="391"/>
      <c r="C504" s="11"/>
      <c r="D504" s="11"/>
      <c r="E504" s="16" t="str">
        <f>'Non-Life Risk'!T110</f>
        <v>Fidelity</v>
      </c>
      <c r="F504" s="232"/>
      <c r="G504" s="232"/>
      <c r="H504" s="393" t="str">
        <f>'Non-Life Risk'!$U110</f>
        <v>Financial</v>
      </c>
      <c r="K504" s="16"/>
      <c r="O504" s="608"/>
      <c r="Q504" s="3"/>
    </row>
    <row r="505" spans="1:17" hidden="1" outlineLevel="2" x14ac:dyDescent="0.35">
      <c r="A505" s="180" t="s">
        <v>2087</v>
      </c>
      <c r="B505" s="391"/>
      <c r="C505" s="11"/>
      <c r="D505" s="11"/>
      <c r="E505" s="16" t="str">
        <f>'Non-Life Risk'!T111</f>
        <v>Surety</v>
      </c>
      <c r="F505" s="232"/>
      <c r="G505" s="232"/>
      <c r="H505" s="393" t="str">
        <f>'Non-Life Risk'!$U111</f>
        <v>Financial</v>
      </c>
      <c r="K505" s="16"/>
      <c r="O505" s="608"/>
      <c r="Q505" s="3"/>
    </row>
    <row r="506" spans="1:17" hidden="1" outlineLevel="2" x14ac:dyDescent="0.35">
      <c r="A506" s="180" t="s">
        <v>2087</v>
      </c>
      <c r="B506" s="391"/>
      <c r="C506" s="11"/>
      <c r="D506" s="11"/>
      <c r="E506" s="16" t="str">
        <f>'Non-Life Risk'!T112</f>
        <v>Accident &amp; sickness (excluding supplementary health, disability income)</v>
      </c>
      <c r="F506" s="232"/>
      <c r="G506" s="232"/>
      <c r="H506" s="393" t="str">
        <f>'Non-Life Risk'!$U112</f>
        <v>Health</v>
      </c>
      <c r="K506" s="16"/>
      <c r="O506" s="608"/>
      <c r="Q506" s="3"/>
    </row>
    <row r="507" spans="1:17" hidden="1" outlineLevel="2" x14ac:dyDescent="0.35">
      <c r="A507" s="180" t="s">
        <v>2087</v>
      </c>
      <c r="B507" s="391"/>
      <c r="C507" s="11"/>
      <c r="D507" s="11"/>
      <c r="E507" s="16" t="str">
        <f>'Non-Life Risk'!T113</f>
        <v>Supplementary health</v>
      </c>
      <c r="F507" s="232"/>
      <c r="G507" s="232"/>
      <c r="H507" s="393" t="str">
        <f>'Non-Life Risk'!$U113</f>
        <v>Health</v>
      </c>
      <c r="K507" s="16"/>
      <c r="O507" s="608"/>
      <c r="Q507" s="3"/>
    </row>
    <row r="508" spans="1:17" hidden="1" outlineLevel="2" x14ac:dyDescent="0.35">
      <c r="A508" s="180" t="s">
        <v>2087</v>
      </c>
      <c r="B508" s="391"/>
      <c r="C508" s="11"/>
      <c r="D508" s="11"/>
      <c r="E508" s="16" t="str">
        <f>'Non-Life Risk'!T114</f>
        <v>Aircraft</v>
      </c>
      <c r="F508" s="232"/>
      <c r="G508" s="232"/>
      <c r="H508" s="393" t="str">
        <f>'Non-Life Risk'!$U114</f>
        <v>MAT</v>
      </c>
      <c r="K508" s="16"/>
      <c r="O508" s="608"/>
      <c r="Q508" s="3"/>
    </row>
    <row r="509" spans="1:17" hidden="1" outlineLevel="2" x14ac:dyDescent="0.35">
      <c r="A509" s="180" t="s">
        <v>2087</v>
      </c>
      <c r="B509" s="391"/>
      <c r="C509" s="11"/>
      <c r="D509" s="11"/>
      <c r="E509" s="16" t="str">
        <f>'Non-Life Risk'!T115</f>
        <v>Marine</v>
      </c>
      <c r="F509" s="232"/>
      <c r="G509" s="232"/>
      <c r="H509" s="393" t="str">
        <f>'Non-Life Risk'!$U115</f>
        <v>MAT</v>
      </c>
      <c r="K509" s="16"/>
      <c r="O509" s="608"/>
      <c r="Q509" s="3"/>
    </row>
    <row r="510" spans="1:17" hidden="1" outlineLevel="2" x14ac:dyDescent="0.35">
      <c r="A510" s="180" t="s">
        <v>2087</v>
      </c>
      <c r="B510" s="391"/>
      <c r="C510" s="11"/>
      <c r="D510" s="11"/>
      <c r="E510" s="16" t="str">
        <f>'Non-Life Risk'!T116</f>
        <v>Marine protection &amp; indemnity</v>
      </c>
      <c r="F510" s="232"/>
      <c r="G510" s="232"/>
      <c r="H510" s="393" t="str">
        <f>'Non-Life Risk'!$U116</f>
        <v>MAT</v>
      </c>
      <c r="K510" s="16"/>
      <c r="O510" s="608"/>
      <c r="Q510" s="3"/>
    </row>
    <row r="511" spans="1:17" hidden="1" outlineLevel="2" x14ac:dyDescent="0.35">
      <c r="A511" s="180" t="s">
        <v>2087</v>
      </c>
      <c r="B511" s="391"/>
      <c r="C511" s="11"/>
      <c r="D511" s="11"/>
      <c r="E511" s="16" t="str">
        <f>'Non-Life Risk'!T117</f>
        <v>Legal expense</v>
      </c>
      <c r="F511" s="232"/>
      <c r="G511" s="232"/>
      <c r="H511" s="393" t="str">
        <f>'Non-Life Risk'!$U117</f>
        <v>Other</v>
      </c>
      <c r="K511" s="16"/>
      <c r="O511" s="608"/>
      <c r="Q511" s="3"/>
    </row>
    <row r="512" spans="1:17" hidden="1" outlineLevel="2" x14ac:dyDescent="0.35">
      <c r="A512" s="180" t="s">
        <v>2087</v>
      </c>
      <c r="B512" s="391"/>
      <c r="C512" s="11"/>
      <c r="D512" s="11"/>
      <c r="E512" s="16" t="str">
        <f>'Non-Life Risk'!T118</f>
        <v>Other approved products</v>
      </c>
      <c r="F512" s="232"/>
      <c r="G512" s="232"/>
      <c r="H512" s="393" t="str">
        <f>'Non-Life Risk'!$U118</f>
        <v>Other</v>
      </c>
      <c r="K512" s="16"/>
      <c r="O512" s="608"/>
      <c r="Q512" s="3"/>
    </row>
    <row r="513" spans="1:17" hidden="1" outlineLevel="2" x14ac:dyDescent="0.35">
      <c r="A513" s="180" t="s">
        <v>2087</v>
      </c>
      <c r="B513" s="391"/>
      <c r="C513" s="11"/>
      <c r="D513" s="11"/>
      <c r="E513" s="16" t="str">
        <f>'Non-Life Risk'!T119</f>
        <v>Title</v>
      </c>
      <c r="F513" s="232"/>
      <c r="G513" s="232"/>
      <c r="H513" s="393" t="str">
        <f>'Non-Life Risk'!$U119</f>
        <v>Other</v>
      </c>
      <c r="K513" s="16"/>
      <c r="O513" s="608"/>
      <c r="Q513" s="3"/>
    </row>
    <row r="514" spans="1:17" hidden="1" outlineLevel="2" x14ac:dyDescent="0.35">
      <c r="A514" s="180" t="s">
        <v>2087</v>
      </c>
      <c r="B514" s="391"/>
      <c r="C514" s="88"/>
      <c r="D514" s="350"/>
      <c r="E514" s="16" t="str">
        <f>'Non-Life Risk'!T120</f>
        <v>Warranty</v>
      </c>
      <c r="F514" s="232"/>
      <c r="G514" s="232"/>
      <c r="H514" s="393" t="str">
        <f>'Non-Life Risk'!$U120</f>
        <v>Other</v>
      </c>
      <c r="K514" s="16"/>
      <c r="O514" s="608"/>
      <c r="Q514" s="3"/>
    </row>
    <row r="515" spans="1:17" hidden="1" outlineLevel="2" x14ac:dyDescent="0.35">
      <c r="A515" s="180" t="s">
        <v>2087</v>
      </c>
      <c r="B515" s="391"/>
      <c r="C515" s="11"/>
      <c r="D515" s="350"/>
      <c r="E515" s="16" t="str">
        <f>'Non-Life Risk'!T121</f>
        <v>Other</v>
      </c>
      <c r="F515" s="232"/>
      <c r="G515" s="232"/>
      <c r="H515" s="393" t="str">
        <f>'Non-Life Risk'!$U121</f>
        <v>Other</v>
      </c>
      <c r="K515" s="16"/>
      <c r="O515" s="608"/>
      <c r="Q515" s="3"/>
    </row>
    <row r="516" spans="1:17" hidden="1" outlineLevel="2" x14ac:dyDescent="0.35">
      <c r="A516" s="180" t="s">
        <v>2087</v>
      </c>
      <c r="B516" s="391"/>
      <c r="C516" s="11"/>
      <c r="D516" s="350"/>
      <c r="E516" s="16"/>
      <c r="F516" s="729" t="s">
        <v>387</v>
      </c>
      <c r="G516" s="729"/>
      <c r="H516" s="9"/>
      <c r="K516" s="16"/>
      <c r="Q516" s="3"/>
    </row>
    <row r="517" spans="1:17" hidden="1" outlineLevel="2" x14ac:dyDescent="0.35">
      <c r="A517" s="180" t="s">
        <v>2087</v>
      </c>
      <c r="B517" s="391"/>
      <c r="C517" s="11"/>
      <c r="D517" s="350"/>
      <c r="E517" s="16" t="str">
        <f>'Non-Life Risk'!T123</f>
        <v>Employers liability</v>
      </c>
      <c r="F517" s="232"/>
      <c r="G517" s="232"/>
      <c r="H517" s="393" t="str">
        <f>'Non-Life Risk'!$U123</f>
        <v>Liability</v>
      </c>
      <c r="K517" s="16"/>
      <c r="O517" s="608"/>
      <c r="Q517" s="3"/>
    </row>
    <row r="518" spans="1:17" hidden="1" outlineLevel="2" x14ac:dyDescent="0.35">
      <c r="A518" s="180" t="s">
        <v>2087</v>
      </c>
      <c r="B518" s="391"/>
      <c r="C518" s="11"/>
      <c r="D518" s="350"/>
      <c r="E518" s="16" t="str">
        <f>'Non-Life Risk'!T124</f>
        <v>General liability</v>
      </c>
      <c r="F518" s="232"/>
      <c r="G518" s="232"/>
      <c r="H518" s="393" t="str">
        <f>'Non-Life Risk'!$U124</f>
        <v>Liability</v>
      </c>
      <c r="K518" s="16"/>
      <c r="O518" s="608"/>
      <c r="Q518" s="3"/>
    </row>
    <row r="519" spans="1:17" hidden="1" outlineLevel="2" x14ac:dyDescent="0.35">
      <c r="A519" s="180" t="s">
        <v>2087</v>
      </c>
      <c r="B519" s="391"/>
      <c r="E519" s="16" t="str">
        <f>'Non-Life Risk'!T125</f>
        <v>Professional indemnity</v>
      </c>
      <c r="F519" s="232"/>
      <c r="G519" s="232"/>
      <c r="H519" s="393" t="str">
        <f>'Non-Life Risk'!$U125</f>
        <v>Liability</v>
      </c>
      <c r="O519" s="608"/>
      <c r="Q519" s="3"/>
    </row>
    <row r="520" spans="1:17" hidden="1" outlineLevel="2" x14ac:dyDescent="0.35">
      <c r="A520" s="180" t="s">
        <v>2087</v>
      </c>
      <c r="B520" s="391"/>
      <c r="C520" s="11"/>
      <c r="D520" s="11"/>
      <c r="E520" s="16" t="str">
        <f>'Non-Life Risk'!T126</f>
        <v>Public and product liability</v>
      </c>
      <c r="F520" s="232"/>
      <c r="G520" s="232"/>
      <c r="H520" s="393" t="str">
        <f>'Non-Life Risk'!$U126</f>
        <v>Liability</v>
      </c>
      <c r="K520" s="16"/>
      <c r="O520" s="608"/>
      <c r="Q520" s="3"/>
    </row>
    <row r="521" spans="1:17" hidden="1" outlineLevel="2" x14ac:dyDescent="0.35">
      <c r="A521" s="180" t="s">
        <v>2087</v>
      </c>
      <c r="B521" s="391"/>
      <c r="C521" s="11"/>
      <c r="D521" s="11"/>
      <c r="E521" s="16" t="str">
        <f>'Non-Life Risk'!T127</f>
        <v>Commercial property</v>
      </c>
      <c r="F521" s="232"/>
      <c r="G521" s="232"/>
      <c r="H521" s="393" t="str">
        <f>'Non-Life Risk'!$U127</f>
        <v>Property</v>
      </c>
      <c r="K521" s="16"/>
      <c r="O521" s="608"/>
      <c r="Q521" s="3"/>
    </row>
    <row r="522" spans="1:17" hidden="1" outlineLevel="2" x14ac:dyDescent="0.35">
      <c r="A522" s="180" t="s">
        <v>2087</v>
      </c>
      <c r="B522" s="391"/>
      <c r="C522" s="11"/>
      <c r="D522" s="11"/>
      <c r="E522" s="16" t="str">
        <f>'Non-Life Risk'!T128</f>
        <v>Domestic property</v>
      </c>
      <c r="F522" s="232"/>
      <c r="G522" s="232"/>
      <c r="H522" s="393" t="str">
        <f>'Non-Life Risk'!$U128</f>
        <v>Property</v>
      </c>
      <c r="K522" s="16"/>
      <c r="O522" s="608"/>
      <c r="Q522" s="3"/>
    </row>
    <row r="523" spans="1:17" hidden="1" outlineLevel="2" x14ac:dyDescent="0.35">
      <c r="A523" s="180" t="s">
        <v>2087</v>
      </c>
      <c r="B523" s="391"/>
      <c r="C523" s="11"/>
      <c r="D523" s="11"/>
      <c r="E523" s="16" t="str">
        <f>'Non-Life Risk'!T129</f>
        <v>Engineering</v>
      </c>
      <c r="F523" s="232"/>
      <c r="G523" s="232"/>
      <c r="H523" s="393" t="str">
        <f>'Non-Life Risk'!$U129</f>
        <v>Property</v>
      </c>
      <c r="K523" s="16"/>
      <c r="O523" s="608"/>
      <c r="Q523" s="3"/>
    </row>
    <row r="524" spans="1:17" hidden="1" outlineLevel="2" x14ac:dyDescent="0.35">
      <c r="A524" s="180" t="s">
        <v>2087</v>
      </c>
      <c r="B524" s="391"/>
      <c r="C524" s="11"/>
      <c r="D524" s="11"/>
      <c r="E524" s="16" t="str">
        <f>'Non-Life Risk'!T130</f>
        <v>Commercial motor - Australia and New Zealand</v>
      </c>
      <c r="F524" s="232"/>
      <c r="G524" s="232"/>
      <c r="H524" s="393" t="str">
        <f>'Non-Life Risk'!$U130</f>
        <v>Motor</v>
      </c>
      <c r="K524" s="16"/>
      <c r="O524" s="608"/>
      <c r="Q524" s="3"/>
    </row>
    <row r="525" spans="1:17" hidden="1" outlineLevel="2" x14ac:dyDescent="0.35">
      <c r="A525" s="180" t="s">
        <v>2087</v>
      </c>
      <c r="B525" s="391"/>
      <c r="C525" s="11"/>
      <c r="D525" s="11"/>
      <c r="E525" s="16" t="str">
        <f>'Non-Life Risk'!T131</f>
        <v>Domestic motor - Australia and New Zealand</v>
      </c>
      <c r="F525" s="232"/>
      <c r="G525" s="232"/>
      <c r="H525" s="393" t="str">
        <f>'Non-Life Risk'!$U131</f>
        <v>Motor</v>
      </c>
      <c r="K525" s="16"/>
      <c r="O525" s="608"/>
      <c r="Q525" s="3"/>
    </row>
    <row r="526" spans="1:17" hidden="1" outlineLevel="2" x14ac:dyDescent="0.35">
      <c r="A526" s="180" t="s">
        <v>2087</v>
      </c>
      <c r="B526" s="391"/>
      <c r="C526" s="11"/>
      <c r="D526" s="11"/>
      <c r="E526" s="16" t="str">
        <f>'Non-Life Risk'!T132</f>
        <v>Motor - all inclusive</v>
      </c>
      <c r="F526" s="232"/>
      <c r="G526" s="232"/>
      <c r="H526" s="393" t="str">
        <f>'Non-Life Risk'!$U132</f>
        <v>Motor</v>
      </c>
      <c r="K526" s="16"/>
      <c r="O526" s="608"/>
      <c r="Q526" s="3"/>
    </row>
    <row r="527" spans="1:17" hidden="1" outlineLevel="2" x14ac:dyDescent="0.35">
      <c r="A527" s="180" t="s">
        <v>2087</v>
      </c>
      <c r="B527" s="391"/>
      <c r="C527" s="11"/>
      <c r="D527" s="11"/>
      <c r="E527" s="16" t="str">
        <f>'Non-Life Risk'!T133</f>
        <v>Motor - Japan and Taiwan</v>
      </c>
      <c r="F527" s="232"/>
      <c r="G527" s="232"/>
      <c r="H527" s="393" t="str">
        <f>'Non-Life Risk'!$U133</f>
        <v>Motor</v>
      </c>
      <c r="K527" s="16"/>
      <c r="O527" s="608"/>
      <c r="Q527" s="3"/>
    </row>
    <row r="528" spans="1:17" hidden="1" outlineLevel="2" x14ac:dyDescent="0.35">
      <c r="A528" s="180" t="s">
        <v>2087</v>
      </c>
      <c r="B528" s="391"/>
      <c r="C528" s="88"/>
      <c r="D528" s="11"/>
      <c r="E528" s="16" t="str">
        <f>'Non-Life Risk'!T134</f>
        <v>Third party liability motor</v>
      </c>
      <c r="F528" s="232"/>
      <c r="G528" s="232"/>
      <c r="H528" s="393" t="str">
        <f>'Non-Life Risk'!$U134</f>
        <v>Motor</v>
      </c>
      <c r="K528" s="16"/>
      <c r="O528" s="608"/>
      <c r="Q528" s="3"/>
    </row>
    <row r="529" spans="1:21" hidden="1" outlineLevel="2" x14ac:dyDescent="0.35">
      <c r="A529" s="180" t="s">
        <v>2087</v>
      </c>
      <c r="B529" s="391"/>
      <c r="C529" s="11"/>
      <c r="D529" s="11"/>
      <c r="E529" s="16" t="str">
        <f>'Non-Life Risk'!T135</f>
        <v>Consumer credit</v>
      </c>
      <c r="F529" s="232"/>
      <c r="G529" s="232"/>
      <c r="H529" s="393" t="str">
        <f>'Non-Life Risk'!$U135</f>
        <v>Financial</v>
      </c>
      <c r="K529" s="16"/>
      <c r="O529" s="608"/>
      <c r="Q529" s="3"/>
    </row>
    <row r="530" spans="1:21" hidden="1" outlineLevel="2" x14ac:dyDescent="0.35">
      <c r="A530" s="180" t="s">
        <v>2087</v>
      </c>
      <c r="B530" s="391"/>
      <c r="C530" s="11"/>
      <c r="D530" s="11"/>
      <c r="E530" s="16" t="str">
        <f>'Non-Life Risk'!T136</f>
        <v>Credit</v>
      </c>
      <c r="F530" s="232"/>
      <c r="G530" s="232"/>
      <c r="H530" s="393" t="str">
        <f>'Non-Life Risk'!$U136</f>
        <v>Financial</v>
      </c>
      <c r="K530" s="16"/>
      <c r="O530" s="608"/>
      <c r="Q530" s="3"/>
    </row>
    <row r="531" spans="1:21" hidden="1" outlineLevel="2" x14ac:dyDescent="0.35">
      <c r="A531" s="180" t="s">
        <v>2087</v>
      </c>
      <c r="B531" s="391"/>
      <c r="C531" s="11"/>
      <c r="D531" s="11"/>
      <c r="E531" s="16" t="str">
        <f>'Non-Life Risk'!T137</f>
        <v>Accident &amp; health</v>
      </c>
      <c r="F531" s="232"/>
      <c r="G531" s="232"/>
      <c r="H531" s="393" t="str">
        <f>'Non-Life Risk'!$U137</f>
        <v>Health</v>
      </c>
      <c r="K531" s="16"/>
      <c r="O531" s="608"/>
      <c r="Q531" s="3"/>
    </row>
    <row r="532" spans="1:21" hidden="1" outlineLevel="2" x14ac:dyDescent="0.35">
      <c r="A532" s="180" t="s">
        <v>2087</v>
      </c>
      <c r="B532" s="391"/>
      <c r="C532" s="11"/>
      <c r="D532" s="11"/>
      <c r="E532" s="16" t="str">
        <f>'Non-Life Risk'!T138</f>
        <v>Health</v>
      </c>
      <c r="F532" s="232"/>
      <c r="G532" s="232"/>
      <c r="H532" s="393" t="str">
        <f>'Non-Life Risk'!$U138</f>
        <v>Health</v>
      </c>
      <c r="K532" s="16"/>
      <c r="O532" s="608"/>
      <c r="Q532" s="3"/>
    </row>
    <row r="533" spans="1:21" hidden="1" outlineLevel="2" x14ac:dyDescent="0.35">
      <c r="A533" s="180" t="s">
        <v>2087</v>
      </c>
      <c r="B533" s="391"/>
      <c r="C533" s="11"/>
      <c r="D533" s="11"/>
      <c r="E533" s="16" t="str">
        <f>'Non-Life Risk'!T139</f>
        <v>Marine, aviation - cargo</v>
      </c>
      <c r="F533" s="232"/>
      <c r="G533" s="232"/>
      <c r="H533" s="393" t="str">
        <f>'Non-Life Risk'!$U139</f>
        <v>MAT</v>
      </c>
      <c r="K533" s="16"/>
      <c r="O533" s="608"/>
      <c r="Q533" s="3"/>
    </row>
    <row r="534" spans="1:21" hidden="1" outlineLevel="2" x14ac:dyDescent="0.35">
      <c r="A534" s="180" t="s">
        <v>2087</v>
      </c>
      <c r="B534" s="391"/>
      <c r="C534" s="11"/>
      <c r="D534" s="11"/>
      <c r="E534" s="16" t="str">
        <f>'Non-Life Risk'!T140</f>
        <v>Marine, aviation - hull</v>
      </c>
      <c r="F534" s="232"/>
      <c r="G534" s="232"/>
      <c r="H534" s="393" t="str">
        <f>'Non-Life Risk'!$U140</f>
        <v>MAT</v>
      </c>
      <c r="K534" s="16"/>
      <c r="O534" s="608"/>
      <c r="Q534" s="3"/>
    </row>
    <row r="535" spans="1:21" hidden="1" outlineLevel="2" x14ac:dyDescent="0.35">
      <c r="A535" s="180" t="s">
        <v>2087</v>
      </c>
      <c r="B535" s="391"/>
      <c r="C535" s="11"/>
      <c r="D535" s="11"/>
      <c r="E535" s="16" t="str">
        <f>'Non-Life Risk'!T141</f>
        <v>Marine protection &amp; indemnity</v>
      </c>
      <c r="F535" s="232"/>
      <c r="G535" s="232"/>
      <c r="H535" s="393" t="str">
        <f>'Non-Life Risk'!$U141</f>
        <v>MAT</v>
      </c>
      <c r="K535" s="16"/>
      <c r="O535" s="608"/>
      <c r="Q535" s="3"/>
    </row>
    <row r="536" spans="1:21" hidden="1" outlineLevel="2" x14ac:dyDescent="0.35">
      <c r="A536" s="180" t="s">
        <v>2087</v>
      </c>
      <c r="B536" s="391"/>
      <c r="C536" s="11"/>
      <c r="D536" s="11"/>
      <c r="E536" s="16" t="str">
        <f>'Non-Life Risk'!T142</f>
        <v>Travel</v>
      </c>
      <c r="F536" s="232"/>
      <c r="G536" s="232"/>
      <c r="H536" s="393" t="str">
        <f>'Non-Life Risk'!$U142</f>
        <v>Other</v>
      </c>
      <c r="K536" s="16"/>
      <c r="O536" s="608"/>
      <c r="Q536" s="3"/>
    </row>
    <row r="537" spans="1:21" hidden="1" outlineLevel="2" x14ac:dyDescent="0.35">
      <c r="A537" s="180" t="s">
        <v>2087</v>
      </c>
      <c r="B537" s="391"/>
      <c r="C537" s="11"/>
      <c r="D537" s="11"/>
      <c r="E537" s="16" t="str">
        <f>'Non-Life Risk'!T143</f>
        <v>Other</v>
      </c>
      <c r="F537" s="232"/>
      <c r="G537" s="232"/>
      <c r="H537" s="393" t="str">
        <f>'Non-Life Risk'!$U143</f>
        <v>Other</v>
      </c>
      <c r="K537" s="16"/>
      <c r="O537" s="608"/>
      <c r="Q537" s="3"/>
    </row>
    <row r="538" spans="1:21" hidden="1" outlineLevel="2" x14ac:dyDescent="0.35">
      <c r="A538" s="180" t="s">
        <v>2087</v>
      </c>
      <c r="B538" s="391"/>
      <c r="C538" s="11"/>
      <c r="D538" s="11"/>
      <c r="E538" s="11"/>
      <c r="F538" s="729" t="s">
        <v>328</v>
      </c>
      <c r="G538" s="729"/>
      <c r="H538" s="15"/>
      <c r="K538" s="16"/>
      <c r="Q538" s="3"/>
    </row>
    <row r="539" spans="1:21" hidden="1" outlineLevel="2" x14ac:dyDescent="0.35">
      <c r="A539" s="180" t="s">
        <v>2087</v>
      </c>
      <c r="B539" s="391"/>
      <c r="C539" s="11"/>
      <c r="D539" s="11"/>
      <c r="E539" s="16" t="str">
        <f>'Non-Life Risk'!T145</f>
        <v>Employers liability</v>
      </c>
      <c r="F539" s="232"/>
      <c r="G539" s="232"/>
      <c r="H539" s="393" t="str">
        <f>'Non-Life Risk'!$U145</f>
        <v>Liability</v>
      </c>
      <c r="K539" s="16"/>
      <c r="O539" s="608"/>
      <c r="Q539" s="3"/>
    </row>
    <row r="540" spans="1:21" hidden="1" outlineLevel="2" x14ac:dyDescent="0.35">
      <c r="A540" s="180" t="s">
        <v>2087</v>
      </c>
      <c r="B540" s="391"/>
      <c r="C540" s="11"/>
      <c r="D540" s="350"/>
      <c r="E540" s="16" t="str">
        <f>'Non-Life Risk'!T146</f>
        <v>General liability</v>
      </c>
      <c r="F540" s="232"/>
      <c r="G540" s="232"/>
      <c r="H540" s="393" t="str">
        <f>'Non-Life Risk'!$U146</f>
        <v>Liability</v>
      </c>
      <c r="K540" s="16"/>
      <c r="O540" s="608"/>
      <c r="Q540" s="3"/>
    </row>
    <row r="541" spans="1:21" hidden="1" outlineLevel="2" x14ac:dyDescent="0.35">
      <c r="A541" s="180" t="s">
        <v>2087</v>
      </c>
      <c r="B541" s="391"/>
      <c r="E541" s="16" t="str">
        <f>'Non-Life Risk'!T147</f>
        <v>Professional indemnity</v>
      </c>
      <c r="F541" s="232"/>
      <c r="G541" s="232"/>
      <c r="H541" s="393" t="str">
        <f>'Non-Life Risk'!$U147</f>
        <v>Liability</v>
      </c>
      <c r="K541" s="88"/>
      <c r="O541" s="608"/>
      <c r="Q541" s="3"/>
    </row>
    <row r="542" spans="1:21" hidden="1" outlineLevel="2" x14ac:dyDescent="0.35">
      <c r="A542" s="180" t="s">
        <v>2087</v>
      </c>
      <c r="B542" s="391"/>
      <c r="C542" s="11"/>
      <c r="D542" s="88"/>
      <c r="E542" s="16" t="str">
        <f>'Non-Life Risk'!T148</f>
        <v>Commercial property</v>
      </c>
      <c r="F542" s="232"/>
      <c r="G542" s="232"/>
      <c r="H542" s="393" t="str">
        <f>'Non-Life Risk'!$U148</f>
        <v>Property</v>
      </c>
      <c r="K542" s="16"/>
      <c r="O542" s="608"/>
      <c r="Q542" s="3"/>
      <c r="T542" s="368"/>
      <c r="U542" s="368"/>
    </row>
    <row r="543" spans="1:21" hidden="1" outlineLevel="2" x14ac:dyDescent="0.35">
      <c r="A543" s="180" t="s">
        <v>2087</v>
      </c>
      <c r="B543" s="391"/>
      <c r="C543" s="11"/>
      <c r="D543" s="88"/>
      <c r="E543" s="16" t="str">
        <f>'Non-Life Risk'!T149</f>
        <v>Domestic property</v>
      </c>
      <c r="F543" s="232"/>
      <c r="G543" s="232"/>
      <c r="H543" s="393" t="str">
        <f>'Non-Life Risk'!$U149</f>
        <v>Property</v>
      </c>
      <c r="K543" s="16"/>
      <c r="O543" s="608"/>
      <c r="Q543" s="3"/>
    </row>
    <row r="544" spans="1:21" hidden="1" outlineLevel="2" x14ac:dyDescent="0.35">
      <c r="A544" s="180" t="s">
        <v>2087</v>
      </c>
      <c r="B544" s="391"/>
      <c r="C544" s="11"/>
      <c r="D544" s="88"/>
      <c r="E544" s="16" t="str">
        <f>'Non-Life Risk'!T150</f>
        <v>Mexico farm &amp; ranch</v>
      </c>
      <c r="F544" s="232"/>
      <c r="G544" s="232"/>
      <c r="H544" s="393" t="str">
        <f>'Non-Life Risk'!$U150</f>
        <v>Property</v>
      </c>
      <c r="K544" s="16"/>
      <c r="O544" s="608"/>
      <c r="Q544" s="3"/>
    </row>
    <row r="545" spans="1:17" hidden="1" outlineLevel="2" x14ac:dyDescent="0.35">
      <c r="A545" s="180" t="s">
        <v>2087</v>
      </c>
      <c r="B545" s="391"/>
      <c r="C545" s="11"/>
      <c r="D545" s="88"/>
      <c r="E545" s="16" t="str">
        <f>'Non-Life Risk'!T151</f>
        <v>Property all inclusive</v>
      </c>
      <c r="F545" s="232"/>
      <c r="G545" s="232"/>
      <c r="H545" s="393" t="str">
        <f>'Non-Life Risk'!$U151</f>
        <v>Property</v>
      </c>
      <c r="K545" s="16"/>
      <c r="O545" s="608"/>
      <c r="Q545" s="3"/>
    </row>
    <row r="546" spans="1:17" hidden="1" outlineLevel="2" x14ac:dyDescent="0.35">
      <c r="A546" s="180" t="s">
        <v>2087</v>
      </c>
      <c r="B546" s="391"/>
      <c r="C546" s="11"/>
      <c r="D546" s="88"/>
      <c r="E546" s="16" t="str">
        <f>'Non-Life Risk'!T152</f>
        <v>Motor all inclusive</v>
      </c>
      <c r="F546" s="232"/>
      <c r="G546" s="232"/>
      <c r="H546" s="393" t="str">
        <f>'Non-Life Risk'!$U152</f>
        <v>Motor</v>
      </c>
      <c r="K546" s="16"/>
      <c r="O546" s="608"/>
      <c r="Q546" s="3"/>
    </row>
    <row r="547" spans="1:17" hidden="1" outlineLevel="2" x14ac:dyDescent="0.35">
      <c r="A547" s="180" t="s">
        <v>2087</v>
      </c>
      <c r="B547" s="391"/>
      <c r="C547" s="88"/>
      <c r="D547" s="88"/>
      <c r="E547" s="16" t="str">
        <f>'Non-Life Risk'!T153</f>
        <v>Credit</v>
      </c>
      <c r="F547" s="232"/>
      <c r="G547" s="232"/>
      <c r="H547" s="393" t="str">
        <f>'Non-Life Risk'!$U153</f>
        <v>Financial</v>
      </c>
      <c r="K547" s="16"/>
      <c r="O547" s="608"/>
      <c r="Q547" s="3"/>
    </row>
    <row r="548" spans="1:17" hidden="1" outlineLevel="2" x14ac:dyDescent="0.35">
      <c r="A548" s="180" t="s">
        <v>2087</v>
      </c>
      <c r="B548" s="391"/>
      <c r="C548" s="11"/>
      <c r="D548" s="88"/>
      <c r="E548" s="16" t="str">
        <f>'Non-Life Risk'!T154</f>
        <v>Fidelity</v>
      </c>
      <c r="F548" s="232"/>
      <c r="G548" s="232"/>
      <c r="H548" s="393" t="str">
        <f>'Non-Life Risk'!$U154</f>
        <v>Financial</v>
      </c>
      <c r="K548" s="16"/>
      <c r="O548" s="608"/>
      <c r="Q548" s="3"/>
    </row>
    <row r="549" spans="1:17" hidden="1" outlineLevel="2" x14ac:dyDescent="0.35">
      <c r="A549" s="180" t="s">
        <v>2087</v>
      </c>
      <c r="B549" s="2"/>
      <c r="C549" s="11"/>
      <c r="D549" s="88"/>
      <c r="E549" s="16" t="str">
        <f>'Non-Life Risk'!T155</f>
        <v>Surety</v>
      </c>
      <c r="F549" s="232"/>
      <c r="G549" s="232"/>
      <c r="H549" s="393" t="str">
        <f>'Non-Life Risk'!$U155</f>
        <v>Financial</v>
      </c>
      <c r="K549" s="16"/>
      <c r="O549" s="608"/>
      <c r="Q549" s="3"/>
    </row>
    <row r="550" spans="1:17" hidden="1" outlineLevel="2" x14ac:dyDescent="0.35">
      <c r="A550" s="180" t="s">
        <v>2087</v>
      </c>
      <c r="B550" s="2"/>
      <c r="C550" s="11"/>
      <c r="D550" s="88"/>
      <c r="E550" s="16" t="str">
        <f>'Non-Life Risk'!T156</f>
        <v>Accident &amp; health</v>
      </c>
      <c r="F550" s="232"/>
      <c r="G550" s="232"/>
      <c r="H550" s="393" t="str">
        <f>'Non-Life Risk'!$U156</f>
        <v>Health</v>
      </c>
      <c r="K550" s="16"/>
      <c r="O550" s="608"/>
      <c r="Q550" s="3"/>
    </row>
    <row r="551" spans="1:17" hidden="1" outlineLevel="2" x14ac:dyDescent="0.35">
      <c r="A551" s="180" t="s">
        <v>2087</v>
      </c>
      <c r="B551" s="2"/>
      <c r="C551" s="11"/>
      <c r="D551" s="88"/>
      <c r="E551" s="16" t="str">
        <f>'Non-Life Risk'!T157</f>
        <v>Health &amp; medical exp</v>
      </c>
      <c r="F551" s="232"/>
      <c r="G551" s="232"/>
      <c r="H551" s="393" t="str">
        <f>'Non-Life Risk'!$U157</f>
        <v>Health</v>
      </c>
      <c r="K551" s="16"/>
      <c r="O551" s="608"/>
      <c r="Q551" s="3"/>
    </row>
    <row r="552" spans="1:17" hidden="1" outlineLevel="2" x14ac:dyDescent="0.35">
      <c r="A552" s="180" t="s">
        <v>2087</v>
      </c>
      <c r="B552" s="2"/>
      <c r="C552" s="11"/>
      <c r="D552" s="18"/>
      <c r="E552" s="16" t="str">
        <f>'Non-Life Risk'!T158</f>
        <v>Marine, Aviation - all inclusive</v>
      </c>
      <c r="F552" s="232"/>
      <c r="G552" s="232"/>
      <c r="H552" s="393" t="str">
        <f>'Non-Life Risk'!$U158</f>
        <v>MAT</v>
      </c>
      <c r="K552" s="16"/>
      <c r="O552" s="608"/>
      <c r="Q552" s="3"/>
    </row>
    <row r="553" spans="1:17" hidden="1" outlineLevel="2" x14ac:dyDescent="0.35">
      <c r="A553" s="180" t="s">
        <v>2087</v>
      </c>
      <c r="B553" s="2"/>
      <c r="C553" s="11"/>
      <c r="D553" s="88"/>
      <c r="E553" s="16" t="str">
        <f>'Non-Life Risk'!T159</f>
        <v>Marine, Aviation - cargo</v>
      </c>
      <c r="F553" s="232"/>
      <c r="G553" s="232"/>
      <c r="H553" s="393" t="str">
        <f>'Non-Life Risk'!$U159</f>
        <v>MAT</v>
      </c>
      <c r="K553" s="16"/>
      <c r="O553" s="608"/>
      <c r="Q553" s="3"/>
    </row>
    <row r="554" spans="1:17" hidden="1" outlineLevel="2" x14ac:dyDescent="0.35">
      <c r="A554" s="180" t="s">
        <v>2087</v>
      </c>
      <c r="B554" s="2"/>
      <c r="C554" s="11"/>
      <c r="D554" s="88"/>
      <c r="E554" s="16" t="str">
        <f>'Non-Life Risk'!T160</f>
        <v>Marine protection &amp; indemnity</v>
      </c>
      <c r="F554" s="232"/>
      <c r="G554" s="232"/>
      <c r="H554" s="393" t="str">
        <f>'Non-Life Risk'!$U160</f>
        <v>MAT</v>
      </c>
      <c r="K554" s="16"/>
      <c r="O554" s="608"/>
      <c r="Q554" s="3"/>
    </row>
    <row r="555" spans="1:17" hidden="1" outlineLevel="2" x14ac:dyDescent="0.35">
      <c r="A555" s="180" t="s">
        <v>2087</v>
      </c>
      <c r="B555" s="391"/>
      <c r="C555" s="11"/>
      <c r="D555" s="11"/>
      <c r="E555" s="16" t="str">
        <f>'Non-Life Risk'!T161</f>
        <v>Travel</v>
      </c>
      <c r="F555" s="232"/>
      <c r="G555" s="232"/>
      <c r="H555" s="393" t="str">
        <f>'Non-Life Risk'!$U161</f>
        <v>Other</v>
      </c>
      <c r="K555" s="16"/>
      <c r="O555" s="608"/>
      <c r="Q555" s="3"/>
    </row>
    <row r="556" spans="1:17" hidden="1" outlineLevel="2" x14ac:dyDescent="0.35">
      <c r="A556" s="180" t="s">
        <v>2087</v>
      </c>
      <c r="B556" s="2"/>
      <c r="C556" s="11"/>
      <c r="D556" s="88"/>
      <c r="E556" s="16" t="str">
        <f>'Non-Life Risk'!T162</f>
        <v>Warranty</v>
      </c>
      <c r="F556" s="232"/>
      <c r="G556" s="232"/>
      <c r="H556" s="393" t="str">
        <f>'Non-Life Risk'!$U162</f>
        <v>Other</v>
      </c>
      <c r="K556" s="16"/>
      <c r="O556" s="608"/>
      <c r="Q556" s="3"/>
    </row>
    <row r="557" spans="1:17" hidden="1" outlineLevel="2" x14ac:dyDescent="0.35">
      <c r="A557" s="180" t="s">
        <v>2087</v>
      </c>
      <c r="B557" s="391"/>
      <c r="C557" s="11"/>
      <c r="D557" s="11"/>
      <c r="E557" s="16" t="str">
        <f>'Non-Life Risk'!T163</f>
        <v>Other</v>
      </c>
      <c r="F557" s="232"/>
      <c r="G557" s="232"/>
      <c r="H557" s="393" t="str">
        <f>'Non-Life Risk'!$U163</f>
        <v>Other</v>
      </c>
      <c r="K557" s="16"/>
      <c r="O557" s="608"/>
      <c r="Q557" s="3"/>
    </row>
    <row r="558" spans="1:17" hidden="1" outlineLevel="2" x14ac:dyDescent="0.35">
      <c r="B558" s="2"/>
      <c r="F558" s="395"/>
      <c r="G558" s="395"/>
      <c r="H558" s="9"/>
      <c r="K558" s="16"/>
      <c r="Q558" s="3"/>
    </row>
    <row r="559" spans="1:17" hidden="1" outlineLevel="2" x14ac:dyDescent="0.35">
      <c r="B559" s="391"/>
      <c r="C559" s="369"/>
      <c r="E559" s="16"/>
      <c r="F559" s="729" t="s">
        <v>351</v>
      </c>
      <c r="G559" s="729"/>
      <c r="H559" s="9"/>
      <c r="K559" s="16"/>
      <c r="O559" s="608"/>
      <c r="Q559" s="3"/>
    </row>
    <row r="560" spans="1:17" hidden="1" outlineLevel="2" x14ac:dyDescent="0.35">
      <c r="B560" s="391"/>
      <c r="C560" s="369"/>
      <c r="E560" s="369" t="s">
        <v>260</v>
      </c>
      <c r="F560" s="236">
        <f t="shared" ref="F560:F566" si="2">SUMIFS($F$441:$F$557,$H$441:$H$557,$E560)</f>
        <v>0</v>
      </c>
      <c r="G560" s="236">
        <f t="shared" ref="G560:G566" si="3">SUMIFS($G$441:$G$557,$H$441:$H$557,$E560)</f>
        <v>0</v>
      </c>
      <c r="K560" s="16"/>
      <c r="L560" s="369"/>
      <c r="M560" s="396"/>
      <c r="O560" s="608"/>
      <c r="Q560" s="3"/>
    </row>
    <row r="561" spans="1:21" hidden="1" outlineLevel="2" x14ac:dyDescent="0.35">
      <c r="B561" s="2"/>
      <c r="E561" s="369" t="s">
        <v>258</v>
      </c>
      <c r="F561" s="236">
        <f t="shared" si="2"/>
        <v>0</v>
      </c>
      <c r="G561" s="236">
        <f t="shared" si="3"/>
        <v>0</v>
      </c>
      <c r="O561" s="608"/>
      <c r="Q561" s="3"/>
    </row>
    <row r="562" spans="1:21" hidden="1" outlineLevel="2" x14ac:dyDescent="0.35">
      <c r="B562" s="2"/>
      <c r="E562" s="369" t="s">
        <v>259</v>
      </c>
      <c r="F562" s="236">
        <f t="shared" si="2"/>
        <v>0</v>
      </c>
      <c r="G562" s="236">
        <f t="shared" si="3"/>
        <v>0</v>
      </c>
      <c r="O562" s="608"/>
      <c r="Q562" s="3"/>
    </row>
    <row r="563" spans="1:21" hidden="1" outlineLevel="2" x14ac:dyDescent="0.35">
      <c r="B563" s="2"/>
      <c r="E563" s="369" t="s">
        <v>9</v>
      </c>
      <c r="F563" s="236">
        <f t="shared" si="2"/>
        <v>0</v>
      </c>
      <c r="G563" s="236">
        <f t="shared" si="3"/>
        <v>0</v>
      </c>
      <c r="O563" s="608"/>
      <c r="Q563" s="3"/>
    </row>
    <row r="564" spans="1:21" hidden="1" outlineLevel="2" x14ac:dyDescent="0.35">
      <c r="B564" s="2"/>
      <c r="E564" s="369" t="s">
        <v>261</v>
      </c>
      <c r="F564" s="236">
        <f t="shared" si="2"/>
        <v>0</v>
      </c>
      <c r="G564" s="236">
        <f t="shared" si="3"/>
        <v>0</v>
      </c>
      <c r="O564" s="608"/>
      <c r="Q564" s="3"/>
    </row>
    <row r="565" spans="1:21" hidden="1" outlineLevel="2" x14ac:dyDescent="0.35">
      <c r="B565" s="2"/>
      <c r="E565" s="369" t="s">
        <v>411</v>
      </c>
      <c r="F565" s="236">
        <f t="shared" si="2"/>
        <v>0</v>
      </c>
      <c r="G565" s="236">
        <f t="shared" si="3"/>
        <v>0</v>
      </c>
      <c r="O565" s="608"/>
      <c r="Q565" s="3"/>
    </row>
    <row r="566" spans="1:21" hidden="1" outlineLevel="2" x14ac:dyDescent="0.35">
      <c r="B566" s="2"/>
      <c r="E566" s="369" t="s">
        <v>262</v>
      </c>
      <c r="F566" s="236">
        <f t="shared" si="2"/>
        <v>0</v>
      </c>
      <c r="G566" s="236">
        <f t="shared" si="3"/>
        <v>0</v>
      </c>
      <c r="O566" s="608"/>
      <c r="Q566" s="3"/>
      <c r="T566" s="360">
        <f>Q437+I568-F568</f>
        <v>0</v>
      </c>
      <c r="U566" s="360"/>
    </row>
    <row r="567" spans="1:21" ht="29.4" hidden="1" customHeight="1" outlineLevel="2" x14ac:dyDescent="0.35">
      <c r="B567" s="2"/>
      <c r="I567" s="350" t="s">
        <v>884</v>
      </c>
      <c r="K567" s="733" t="s">
        <v>2110</v>
      </c>
      <c r="L567" s="733"/>
      <c r="M567" s="733"/>
      <c r="Q567" s="3"/>
      <c r="T567" s="346">
        <f>IF(F568=0,0,ABS(T566/F568))</f>
        <v>0</v>
      </c>
      <c r="U567" s="347"/>
    </row>
    <row r="568" spans="1:21" hidden="1" outlineLevel="2" x14ac:dyDescent="0.35">
      <c r="B568" s="2"/>
      <c r="E568" s="5" t="s">
        <v>2112</v>
      </c>
      <c r="F568" s="751"/>
      <c r="G568" s="751"/>
      <c r="I568" s="236">
        <f>'Nat Cat Risk'!D8/(1-'Nat Cat Risk'!D6)</f>
        <v>0</v>
      </c>
      <c r="K568" s="203" t="s">
        <v>27</v>
      </c>
      <c r="O568" s="608"/>
      <c r="Q568" s="3"/>
      <c r="S568">
        <f>IF(T568&gt;Error_Check_Precision,1,0)</f>
        <v>0</v>
      </c>
      <c r="T568" s="347">
        <f>IF(OR(F568=0,ISERROR(T567)),0,T567)</f>
        <v>0</v>
      </c>
    </row>
    <row r="569" spans="1:21" hidden="1" outlineLevel="2" x14ac:dyDescent="0.35">
      <c r="B569" s="2"/>
      <c r="E569" s="5"/>
      <c r="F569" s="5"/>
      <c r="H569" s="21"/>
      <c r="J569" s="5"/>
      <c r="N569" s="15"/>
      <c r="Q569" s="3"/>
      <c r="S569">
        <f>IF(AND(I568&gt;0,K568&lt;&gt;"Yes"),1,0)</f>
        <v>0</v>
      </c>
    </row>
    <row r="570" spans="1:21" ht="15" outlineLevel="1" collapsed="1" thickBot="1" x14ac:dyDescent="0.4">
      <c r="A570" s="180" t="s">
        <v>2087</v>
      </c>
      <c r="B570" s="348"/>
      <c r="C570" s="22"/>
      <c r="D570" s="22"/>
      <c r="E570" s="22"/>
      <c r="F570" s="22"/>
      <c r="G570" s="22"/>
      <c r="H570" s="22"/>
      <c r="I570" s="22"/>
      <c r="J570" s="22"/>
      <c r="K570" s="22"/>
      <c r="L570" s="22"/>
      <c r="M570" s="22"/>
      <c r="N570" s="22"/>
      <c r="O570" s="609"/>
      <c r="P570" s="22"/>
      <c r="Q570" s="349"/>
    </row>
    <row r="571" spans="1:21" ht="15.5" outlineLevel="1" x14ac:dyDescent="0.35">
      <c r="A571" s="180" t="s">
        <v>2087</v>
      </c>
      <c r="B571" s="337" t="s">
        <v>4394</v>
      </c>
      <c r="C571" s="338"/>
      <c r="D571" s="338"/>
      <c r="E571" s="339"/>
      <c r="F571" s="339"/>
      <c r="G571" s="339"/>
      <c r="H571" s="340" t="str">
        <f>IF(S690=1,Error_Message &amp; " Difference = " &amp; TEXT(T688, "#,##0.00"),"")</f>
        <v/>
      </c>
      <c r="I571" s="339"/>
      <c r="J571" s="340"/>
      <c r="K571" s="339"/>
      <c r="L571" s="339"/>
      <c r="M571" s="339"/>
      <c r="N571" s="339"/>
      <c r="O571" s="607"/>
      <c r="P571" s="638" t="s">
        <v>967</v>
      </c>
      <c r="Q571" s="650">
        <f>SUM(F575:F679,G575:G679)</f>
        <v>0</v>
      </c>
      <c r="R571" s="44"/>
    </row>
    <row r="572" spans="1:21" ht="15.5" hidden="1" outlineLevel="2" x14ac:dyDescent="0.35">
      <c r="B572" s="391"/>
      <c r="C572" s="369"/>
      <c r="D572" s="342"/>
      <c r="O572" s="474" t="s">
        <v>3102</v>
      </c>
      <c r="Q572" s="3"/>
    </row>
    <row r="573" spans="1:21" ht="52" hidden="1" outlineLevel="2" x14ac:dyDescent="0.35">
      <c r="B573" s="391"/>
      <c r="C573" s="11"/>
      <c r="F573" s="30" t="s">
        <v>282</v>
      </c>
      <c r="G573" s="30" t="s">
        <v>283</v>
      </c>
      <c r="L573" s="15"/>
      <c r="Q573" s="3"/>
    </row>
    <row r="574" spans="1:21" hidden="1" outlineLevel="2" x14ac:dyDescent="0.35">
      <c r="B574" s="391"/>
      <c r="C574" s="11"/>
      <c r="F574" s="750" t="s">
        <v>325</v>
      </c>
      <c r="G574" s="750"/>
      <c r="L574" s="15"/>
      <c r="Q574" s="3"/>
    </row>
    <row r="575" spans="1:21" hidden="1" outlineLevel="2" x14ac:dyDescent="0.35">
      <c r="A575" s="180" t="s">
        <v>2087</v>
      </c>
      <c r="B575" s="391"/>
      <c r="D575" s="88"/>
      <c r="E575" s="16" t="str">
        <f>'Non-Life Risk'!$T195</f>
        <v>General liability</v>
      </c>
      <c r="F575" s="232"/>
      <c r="G575" s="232"/>
      <c r="H575" s="393" t="str">
        <f>'Non-Life Risk'!$U195</f>
        <v>Liability</v>
      </c>
      <c r="J575" s="88"/>
      <c r="O575" s="608"/>
      <c r="Q575" s="3"/>
    </row>
    <row r="576" spans="1:21" hidden="1" outlineLevel="2" x14ac:dyDescent="0.35">
      <c r="A576" s="180" t="s">
        <v>2087</v>
      </c>
      <c r="B576" s="391"/>
      <c r="C576" s="11"/>
      <c r="D576" s="88"/>
      <c r="E576" s="16" t="str">
        <f>'Non-Life Risk'!$T196</f>
        <v>Workers compensation</v>
      </c>
      <c r="F576" s="232"/>
      <c r="G576" s="232"/>
      <c r="H576" s="393" t="str">
        <f>'Non-Life Risk'!$U196</f>
        <v>Liability</v>
      </c>
      <c r="J576" s="88"/>
      <c r="O576" s="608"/>
      <c r="Q576" s="3"/>
    </row>
    <row r="577" spans="1:17" hidden="1" outlineLevel="2" x14ac:dyDescent="0.35">
      <c r="A577" s="180" t="s">
        <v>2087</v>
      </c>
      <c r="B577" s="391"/>
      <c r="C577" s="11"/>
      <c r="D577" s="88"/>
      <c r="E577" s="16" t="str">
        <f>'Non-Life Risk'!$T197</f>
        <v>Fire &amp; other damage to property</v>
      </c>
      <c r="F577" s="232"/>
      <c r="G577" s="232"/>
      <c r="H577" s="393" t="str">
        <f>'Non-Life Risk'!$U197</f>
        <v>Property</v>
      </c>
      <c r="J577" s="88"/>
      <c r="O577" s="608"/>
      <c r="Q577" s="3"/>
    </row>
    <row r="578" spans="1:17" hidden="1" outlineLevel="2" x14ac:dyDescent="0.35">
      <c r="A578" s="180" t="s">
        <v>2087</v>
      </c>
      <c r="B578" s="391"/>
      <c r="C578" s="11"/>
      <c r="D578" s="88"/>
      <c r="E578" s="16" t="str">
        <f>'Non-Life Risk'!$T198</f>
        <v>Motor vehicle liability</v>
      </c>
      <c r="F578" s="232"/>
      <c r="G578" s="232"/>
      <c r="H578" s="393" t="str">
        <f>'Non-Life Risk'!$U198</f>
        <v>Motor</v>
      </c>
      <c r="J578" s="88"/>
      <c r="O578" s="608"/>
      <c r="Q578" s="3"/>
    </row>
    <row r="579" spans="1:17" hidden="1" outlineLevel="2" x14ac:dyDescent="0.35">
      <c r="A579" s="180" t="s">
        <v>2087</v>
      </c>
      <c r="B579" s="391"/>
      <c r="C579" s="11"/>
      <c r="D579" s="88"/>
      <c r="E579" s="16" t="str">
        <f>'Non-Life Risk'!$T199</f>
        <v>Other motor</v>
      </c>
      <c r="F579" s="232"/>
      <c r="G579" s="232"/>
      <c r="H579" s="393" t="str">
        <f>'Non-Life Risk'!$U199</f>
        <v>Motor</v>
      </c>
      <c r="J579" s="88"/>
      <c r="O579" s="608"/>
      <c r="Q579" s="3"/>
    </row>
    <row r="580" spans="1:17" hidden="1" outlineLevel="2" x14ac:dyDescent="0.35">
      <c r="A580" s="180" t="s">
        <v>2087</v>
      </c>
      <c r="B580" s="391"/>
      <c r="C580" s="11"/>
      <c r="D580" s="88"/>
      <c r="E580" s="16" t="str">
        <f>'Non-Life Risk'!$T200</f>
        <v>Credit &amp; suretyship</v>
      </c>
      <c r="F580" s="232"/>
      <c r="G580" s="232"/>
      <c r="H580" s="393" t="str">
        <f>'Non-Life Risk'!$U200</f>
        <v>Financial</v>
      </c>
      <c r="J580" s="88"/>
      <c r="O580" s="608"/>
      <c r="Q580" s="3"/>
    </row>
    <row r="581" spans="1:17" hidden="1" outlineLevel="2" x14ac:dyDescent="0.35">
      <c r="A581" s="180" t="s">
        <v>2087</v>
      </c>
      <c r="B581" s="391"/>
      <c r="C581" s="11"/>
      <c r="D581" s="88"/>
      <c r="E581" s="16" t="str">
        <f>'Non-Life Risk'!$T201</f>
        <v>Miscellaneous financial loss</v>
      </c>
      <c r="F581" s="232"/>
      <c r="G581" s="232"/>
      <c r="H581" s="393" t="str">
        <f>'Non-Life Risk'!$U201</f>
        <v>Financial</v>
      </c>
      <c r="J581" s="88"/>
      <c r="O581" s="608"/>
      <c r="Q581" s="3"/>
    </row>
    <row r="582" spans="1:17" hidden="1" outlineLevel="2" x14ac:dyDescent="0.35">
      <c r="A582" s="180" t="s">
        <v>2087</v>
      </c>
      <c r="B582" s="391"/>
      <c r="C582" s="11"/>
      <c r="D582" s="88"/>
      <c r="E582" s="16" t="str">
        <f>'Non-Life Risk'!$T202</f>
        <v>Health &amp; medical expense insurance</v>
      </c>
      <c r="F582" s="232"/>
      <c r="G582" s="232"/>
      <c r="H582" s="393" t="str">
        <f>'Non-Life Risk'!$U202</f>
        <v>Health</v>
      </c>
      <c r="J582" s="88"/>
      <c r="O582" s="608"/>
      <c r="Q582" s="3"/>
    </row>
    <row r="583" spans="1:17" hidden="1" outlineLevel="2" x14ac:dyDescent="0.35">
      <c r="A583" s="180" t="s">
        <v>2087</v>
      </c>
      <c r="B583" s="391"/>
      <c r="C583" s="11"/>
      <c r="D583" s="88"/>
      <c r="E583" s="16" t="str">
        <f>'Non-Life Risk'!$T203</f>
        <v>Marine, aviation, and transport</v>
      </c>
      <c r="F583" s="232"/>
      <c r="G583" s="232"/>
      <c r="H583" s="393" t="str">
        <f>'Non-Life Risk'!$U203</f>
        <v>MAT</v>
      </c>
      <c r="J583" s="88"/>
      <c r="O583" s="608"/>
      <c r="Q583" s="3"/>
    </row>
    <row r="584" spans="1:17" hidden="1" outlineLevel="2" x14ac:dyDescent="0.35">
      <c r="A584" s="180" t="s">
        <v>2087</v>
      </c>
      <c r="B584" s="391"/>
      <c r="C584" s="11"/>
      <c r="D584" s="88"/>
      <c r="E584" s="16" t="str">
        <f>'Non-Life Risk'!$T204</f>
        <v>Marine protection &amp; indemnity</v>
      </c>
      <c r="F584" s="232"/>
      <c r="G584" s="232"/>
      <c r="H584" s="393" t="str">
        <f>'Non-Life Risk'!$U204</f>
        <v>MAT</v>
      </c>
      <c r="J584" s="88"/>
      <c r="O584" s="608"/>
      <c r="Q584" s="3"/>
    </row>
    <row r="585" spans="1:17" hidden="1" outlineLevel="2" x14ac:dyDescent="0.35">
      <c r="A585" s="180" t="s">
        <v>2087</v>
      </c>
      <c r="B585" s="391"/>
      <c r="C585" s="11"/>
      <c r="D585" s="88"/>
      <c r="E585" s="16" t="str">
        <f>'Non-Life Risk'!$T205</f>
        <v>Assistance</v>
      </c>
      <c r="F585" s="232"/>
      <c r="G585" s="232"/>
      <c r="H585" s="393" t="str">
        <f>'Non-Life Risk'!$U205</f>
        <v>Other</v>
      </c>
      <c r="J585" s="88"/>
      <c r="O585" s="608"/>
      <c r="Q585" s="3"/>
    </row>
    <row r="586" spans="1:17" hidden="1" outlineLevel="2" x14ac:dyDescent="0.35">
      <c r="A586" s="180" t="s">
        <v>2087</v>
      </c>
      <c r="B586" s="391"/>
      <c r="C586" s="11"/>
      <c r="D586" s="88"/>
      <c r="E586" s="16" t="str">
        <f>'Non-Life Risk'!$T206</f>
        <v>Income protection</v>
      </c>
      <c r="F586" s="232"/>
      <c r="G586" s="232"/>
      <c r="H586" s="393" t="str">
        <f>'Non-Life Risk'!$U206</f>
        <v>Other</v>
      </c>
      <c r="J586" s="88"/>
      <c r="O586" s="608"/>
      <c r="Q586" s="3"/>
    </row>
    <row r="587" spans="1:17" hidden="1" outlineLevel="2" x14ac:dyDescent="0.35">
      <c r="A587" s="180" t="s">
        <v>2087</v>
      </c>
      <c r="B587" s="391"/>
      <c r="C587" s="11"/>
      <c r="D587" s="88"/>
      <c r="E587" s="16" t="str">
        <f>'Non-Life Risk'!$T207</f>
        <v>Legal expense</v>
      </c>
      <c r="F587" s="232"/>
      <c r="G587" s="232"/>
      <c r="H587" s="393" t="str">
        <f>'Non-Life Risk'!$U207</f>
        <v>Other</v>
      </c>
      <c r="J587" s="88"/>
      <c r="O587" s="608"/>
      <c r="Q587" s="3"/>
    </row>
    <row r="588" spans="1:17" hidden="1" outlineLevel="2" x14ac:dyDescent="0.35">
      <c r="A588" s="180" t="s">
        <v>2087</v>
      </c>
      <c r="B588" s="391"/>
      <c r="D588" s="88"/>
      <c r="E588" s="16" t="str">
        <f>'Non-Life Risk'!$T208</f>
        <v>Other</v>
      </c>
      <c r="F588" s="232"/>
      <c r="G588" s="232"/>
      <c r="H588" s="393" t="str">
        <f>'Non-Life Risk'!$U208</f>
        <v>Other</v>
      </c>
      <c r="O588" s="608"/>
      <c r="Q588" s="3"/>
    </row>
    <row r="589" spans="1:17" hidden="1" outlineLevel="2" x14ac:dyDescent="0.35">
      <c r="A589" s="180" t="s">
        <v>2087</v>
      </c>
      <c r="B589" s="391"/>
      <c r="C589" s="11"/>
      <c r="D589" s="11"/>
      <c r="E589" s="16"/>
      <c r="F589" s="729" t="s">
        <v>326</v>
      </c>
      <c r="G589" s="729"/>
      <c r="H589" s="393"/>
      <c r="Q589" s="3"/>
    </row>
    <row r="590" spans="1:17" hidden="1" outlineLevel="2" x14ac:dyDescent="0.35">
      <c r="A590" s="180" t="s">
        <v>2087</v>
      </c>
      <c r="B590" s="391"/>
      <c r="C590" s="11"/>
      <c r="D590" s="11"/>
      <c r="E590" s="16" t="str">
        <f>'Non-Life Risk'!$T210</f>
        <v>Medical malpractice - claims made</v>
      </c>
      <c r="F590" s="232"/>
      <c r="G590" s="232"/>
      <c r="H590" s="393" t="str">
        <f>'Non-Life Risk'!$U210</f>
        <v>Liability</v>
      </c>
      <c r="O590" s="608"/>
      <c r="Q590" s="3"/>
    </row>
    <row r="591" spans="1:17" hidden="1" outlineLevel="2" x14ac:dyDescent="0.35">
      <c r="A591" s="180" t="s">
        <v>2087</v>
      </c>
      <c r="B591" s="391"/>
      <c r="C591" s="11"/>
      <c r="D591" s="11"/>
      <c r="E591" s="16" t="str">
        <f>'Non-Life Risk'!$T211</f>
        <v>Medical malpractice - occurrence</v>
      </c>
      <c r="F591" s="232"/>
      <c r="G591" s="232"/>
      <c r="H591" s="393" t="str">
        <f>'Non-Life Risk'!$U211</f>
        <v>Liability</v>
      </c>
      <c r="O591" s="608"/>
      <c r="Q591" s="3"/>
    </row>
    <row r="592" spans="1:17" hidden="1" outlineLevel="2" x14ac:dyDescent="0.35">
      <c r="A592" s="180" t="s">
        <v>2087</v>
      </c>
      <c r="B592" s="391"/>
      <c r="C592" s="11"/>
      <c r="D592" s="11"/>
      <c r="E592" s="16" t="str">
        <f>'Non-Life Risk'!$T212</f>
        <v>Other liability - claims made</v>
      </c>
      <c r="F592" s="232"/>
      <c r="G592" s="232"/>
      <c r="H592" s="393" t="str">
        <f>'Non-Life Risk'!$U212</f>
        <v>Liability</v>
      </c>
      <c r="O592" s="608"/>
      <c r="Q592" s="3"/>
    </row>
    <row r="593" spans="1:17" hidden="1" outlineLevel="2" x14ac:dyDescent="0.35">
      <c r="A593" s="180" t="s">
        <v>2087</v>
      </c>
      <c r="B593" s="391"/>
      <c r="C593" s="11"/>
      <c r="D593" s="11"/>
      <c r="E593" s="16" t="str">
        <f>'Non-Life Risk'!$T213</f>
        <v>Other liability - occurrence</v>
      </c>
      <c r="F593" s="232"/>
      <c r="G593" s="232"/>
      <c r="H593" s="393" t="str">
        <f>'Non-Life Risk'!$U213</f>
        <v>Liability</v>
      </c>
      <c r="O593" s="608"/>
      <c r="Q593" s="3"/>
    </row>
    <row r="594" spans="1:17" hidden="1" outlineLevel="2" x14ac:dyDescent="0.35">
      <c r="A594" s="180" t="s">
        <v>2087</v>
      </c>
      <c r="B594" s="391"/>
      <c r="C594" s="11"/>
      <c r="D594" s="11"/>
      <c r="E594" s="16" t="str">
        <f>'Non-Life Risk'!$T214</f>
        <v>Product liability - claims made</v>
      </c>
      <c r="F594" s="232"/>
      <c r="G594" s="232"/>
      <c r="H594" s="393" t="str">
        <f>'Non-Life Risk'!$U214</f>
        <v>Liability</v>
      </c>
      <c r="O594" s="608"/>
      <c r="Q594" s="3"/>
    </row>
    <row r="595" spans="1:17" hidden="1" outlineLevel="2" x14ac:dyDescent="0.35">
      <c r="A595" s="180" t="s">
        <v>2087</v>
      </c>
      <c r="B595" s="391"/>
      <c r="C595" s="11"/>
      <c r="D595" s="11"/>
      <c r="E595" s="16" t="str">
        <f>'Non-Life Risk'!$T215</f>
        <v>Product liability - occurrence</v>
      </c>
      <c r="F595" s="232"/>
      <c r="G595" s="232"/>
      <c r="H595" s="393" t="str">
        <f>'Non-Life Risk'!$U215</f>
        <v>Liability</v>
      </c>
      <c r="O595" s="608"/>
      <c r="Q595" s="3"/>
    </row>
    <row r="596" spans="1:17" hidden="1" outlineLevel="2" x14ac:dyDescent="0.35">
      <c r="A596" s="180" t="s">
        <v>2087</v>
      </c>
      <c r="B596" s="391"/>
      <c r="C596" s="11"/>
      <c r="D596" s="11"/>
      <c r="E596" s="16" t="str">
        <f>'Non-Life Risk'!$T216</f>
        <v>Workers compensation</v>
      </c>
      <c r="F596" s="232"/>
      <c r="G596" s="232"/>
      <c r="H596" s="393" t="str">
        <f>'Non-Life Risk'!$U216</f>
        <v>Liability</v>
      </c>
      <c r="O596" s="608"/>
      <c r="Q596" s="3"/>
    </row>
    <row r="597" spans="1:17" hidden="1" outlineLevel="2" x14ac:dyDescent="0.35">
      <c r="A597" s="180" t="s">
        <v>2087</v>
      </c>
      <c r="B597" s="391"/>
      <c r="C597" s="11"/>
      <c r="D597" s="11"/>
      <c r="E597" s="16" t="str">
        <f>'Non-Life Risk'!$T217</f>
        <v>Boiler &amp; machinery</v>
      </c>
      <c r="F597" s="232"/>
      <c r="G597" s="232"/>
      <c r="H597" s="393" t="str">
        <f>'Non-Life Risk'!$U217</f>
        <v>Property</v>
      </c>
      <c r="O597" s="608"/>
      <c r="Q597" s="3"/>
    </row>
    <row r="598" spans="1:17" hidden="1" outlineLevel="2" x14ac:dyDescent="0.35">
      <c r="A598" s="180" t="s">
        <v>2087</v>
      </c>
      <c r="B598" s="391"/>
      <c r="C598" s="11"/>
      <c r="D598" s="11"/>
      <c r="E598" s="16" t="str">
        <f>'Non-Life Risk'!$T218</f>
        <v>Commercial multi-peril</v>
      </c>
      <c r="F598" s="232"/>
      <c r="G598" s="232"/>
      <c r="H598" s="393" t="str">
        <f>'Non-Life Risk'!$U218</f>
        <v>Property</v>
      </c>
      <c r="O598" s="608"/>
      <c r="Q598" s="3"/>
    </row>
    <row r="599" spans="1:17" hidden="1" outlineLevel="2" x14ac:dyDescent="0.35">
      <c r="A599" s="180" t="s">
        <v>2087</v>
      </c>
      <c r="B599" s="391"/>
      <c r="C599" s="11"/>
      <c r="D599" s="11"/>
      <c r="E599" s="16" t="str">
        <f>'Non-Life Risk'!$T219</f>
        <v>Homeowner/Farmowner multi-peril</v>
      </c>
      <c r="F599" s="232"/>
      <c r="G599" s="232"/>
      <c r="H599" s="393" t="str">
        <f>'Non-Life Risk'!$U219</f>
        <v>Property</v>
      </c>
      <c r="O599" s="608"/>
      <c r="Q599" s="3"/>
    </row>
    <row r="600" spans="1:17" hidden="1" outlineLevel="2" x14ac:dyDescent="0.35">
      <c r="A600" s="180" t="s">
        <v>2087</v>
      </c>
      <c r="B600" s="391"/>
      <c r="C600" s="11"/>
      <c r="D600" s="11"/>
      <c r="E600" s="16" t="str">
        <f>'Non-Life Risk'!$T220</f>
        <v>Special property (fire, allied lines, inland marine, earthquake, burglary and theft)</v>
      </c>
      <c r="F600" s="232"/>
      <c r="G600" s="232"/>
      <c r="H600" s="393" t="str">
        <f>'Non-Life Risk'!$U220</f>
        <v>Property</v>
      </c>
      <c r="O600" s="608"/>
      <c r="Q600" s="3"/>
    </row>
    <row r="601" spans="1:17" hidden="1" outlineLevel="2" x14ac:dyDescent="0.35">
      <c r="A601" s="180" t="s">
        <v>2087</v>
      </c>
      <c r="B601" s="391"/>
      <c r="C601" s="11"/>
      <c r="D601" s="11"/>
      <c r="E601" s="16" t="str">
        <f>'Non-Life Risk'!$T221</f>
        <v>Auto physical damage</v>
      </c>
      <c r="F601" s="232"/>
      <c r="G601" s="232"/>
      <c r="H601" s="393" t="str">
        <f>'Non-Life Risk'!$U221</f>
        <v>Motor</v>
      </c>
      <c r="O601" s="608"/>
      <c r="Q601" s="3"/>
    </row>
    <row r="602" spans="1:17" hidden="1" outlineLevel="2" x14ac:dyDescent="0.35">
      <c r="A602" s="180" t="s">
        <v>2087</v>
      </c>
      <c r="B602" s="391"/>
      <c r="C602" s="11"/>
      <c r="D602" s="11"/>
      <c r="E602" s="16" t="str">
        <f>'Non-Life Risk'!$T222</f>
        <v>Commercial auto liability</v>
      </c>
      <c r="F602" s="232"/>
      <c r="G602" s="232"/>
      <c r="H602" s="393" t="str">
        <f>'Non-Life Risk'!$U222</f>
        <v>Motor</v>
      </c>
      <c r="O602" s="608"/>
      <c r="Q602" s="3"/>
    </row>
    <row r="603" spans="1:17" hidden="1" outlineLevel="2" x14ac:dyDescent="0.35">
      <c r="A603" s="180" t="s">
        <v>2087</v>
      </c>
      <c r="B603" s="391"/>
      <c r="C603" s="11"/>
      <c r="D603" s="11"/>
      <c r="E603" s="16" t="str">
        <f>'Non-Life Risk'!$T223</f>
        <v>Private passenger auto liability</v>
      </c>
      <c r="F603" s="232"/>
      <c r="G603" s="232"/>
      <c r="H603" s="393" t="str">
        <f>'Non-Life Risk'!$U223</f>
        <v>Motor</v>
      </c>
      <c r="O603" s="608"/>
      <c r="Q603" s="3"/>
    </row>
    <row r="604" spans="1:17" hidden="1" outlineLevel="2" x14ac:dyDescent="0.35">
      <c r="A604" s="180" t="s">
        <v>2087</v>
      </c>
      <c r="B604" s="391"/>
      <c r="C604" s="11"/>
      <c r="D604" s="11"/>
      <c r="E604" s="16" t="str">
        <f>'Non-Life Risk'!$T224</f>
        <v>Credit</v>
      </c>
      <c r="F604" s="232"/>
      <c r="G604" s="232"/>
      <c r="H604" s="393" t="str">
        <f>'Non-Life Risk'!$U224</f>
        <v>Financial</v>
      </c>
      <c r="O604" s="608"/>
      <c r="Q604" s="3"/>
    </row>
    <row r="605" spans="1:17" hidden="1" outlineLevel="2" x14ac:dyDescent="0.35">
      <c r="A605" s="180" t="s">
        <v>2087</v>
      </c>
      <c r="B605" s="391"/>
      <c r="C605" s="11"/>
      <c r="D605" s="11"/>
      <c r="E605" s="16" t="str">
        <f>'Non-Life Risk'!$T225</f>
        <v>Fidelity/Surety</v>
      </c>
      <c r="F605" s="232"/>
      <c r="G605" s="232"/>
      <c r="H605" s="393" t="str">
        <f>'Non-Life Risk'!$U225</f>
        <v>Financial</v>
      </c>
      <c r="O605" s="608"/>
      <c r="Q605" s="3"/>
    </row>
    <row r="606" spans="1:17" hidden="1" outlineLevel="2" x14ac:dyDescent="0.35">
      <c r="A606" s="180" t="s">
        <v>2087</v>
      </c>
      <c r="B606" s="391"/>
      <c r="C606" s="11"/>
      <c r="D606" s="11"/>
      <c r="E606" s="16" t="str">
        <f>'Non-Life Risk'!$T226</f>
        <v>Financial guaranty</v>
      </c>
      <c r="F606" s="232"/>
      <c r="G606" s="232"/>
      <c r="H606" s="393" t="str">
        <f>'Non-Life Risk'!$U226</f>
        <v>Financial</v>
      </c>
      <c r="O606" s="608"/>
      <c r="Q606" s="3"/>
    </row>
    <row r="607" spans="1:17" hidden="1" outlineLevel="2" x14ac:dyDescent="0.35">
      <c r="A607" s="180" t="s">
        <v>2087</v>
      </c>
      <c r="B607" s="391"/>
      <c r="C607" s="11"/>
      <c r="D607" s="11"/>
      <c r="E607" s="16" t="str">
        <f>'Non-Life Risk'!$T227</f>
        <v>Accident &amp; health</v>
      </c>
      <c r="F607" s="232"/>
      <c r="G607" s="232"/>
      <c r="H607" s="393" t="str">
        <f>'Non-Life Risk'!$U227</f>
        <v>Health</v>
      </c>
      <c r="O607" s="608"/>
      <c r="Q607" s="3"/>
    </row>
    <row r="608" spans="1:17" hidden="1" outlineLevel="2" x14ac:dyDescent="0.35">
      <c r="A608" s="180" t="s">
        <v>2087</v>
      </c>
      <c r="B608" s="391"/>
      <c r="C608" s="11"/>
      <c r="D608" s="11"/>
      <c r="E608" s="16" t="str">
        <f>'Non-Life Risk'!$T228</f>
        <v>US health reserves</v>
      </c>
      <c r="F608" s="232"/>
      <c r="G608" s="232"/>
      <c r="H608" s="393" t="str">
        <f>'Non-Life Risk'!$U228</f>
        <v>Health</v>
      </c>
      <c r="O608" s="608"/>
      <c r="Q608" s="3"/>
    </row>
    <row r="609" spans="1:17" hidden="1" outlineLevel="2" x14ac:dyDescent="0.35">
      <c r="A609" s="180" t="s">
        <v>2087</v>
      </c>
      <c r="B609" s="391"/>
      <c r="C609" s="11"/>
      <c r="D609" s="11"/>
      <c r="E609" s="16" t="str">
        <f>'Non-Life Risk'!$T229</f>
        <v>Aircraft</v>
      </c>
      <c r="F609" s="232"/>
      <c r="G609" s="232"/>
      <c r="H609" s="393" t="str">
        <f>'Non-Life Risk'!$U229</f>
        <v>MAT</v>
      </c>
      <c r="O609" s="608"/>
      <c r="Q609" s="3"/>
    </row>
    <row r="610" spans="1:17" hidden="1" outlineLevel="2" x14ac:dyDescent="0.35">
      <c r="A610" s="180" t="s">
        <v>2087</v>
      </c>
      <c r="B610" s="391"/>
      <c r="C610" s="11"/>
      <c r="D610" s="11"/>
      <c r="E610" s="16" t="str">
        <f>'Non-Life Risk'!$T230</f>
        <v>Marine protection &amp; indemnity</v>
      </c>
      <c r="F610" s="232"/>
      <c r="G610" s="232"/>
      <c r="H610" s="393" t="str">
        <f>'Non-Life Risk'!$U230</f>
        <v>MAT</v>
      </c>
      <c r="O610" s="608"/>
      <c r="Q610" s="3"/>
    </row>
    <row r="611" spans="1:17" hidden="1" outlineLevel="2" x14ac:dyDescent="0.35">
      <c r="A611" s="180" t="s">
        <v>2087</v>
      </c>
      <c r="B611" s="391"/>
      <c r="C611" s="11"/>
      <c r="D611" s="11"/>
      <c r="E611" s="16" t="str">
        <f>'Non-Life Risk'!$T231</f>
        <v>Ocean marine</v>
      </c>
      <c r="F611" s="232"/>
      <c r="G611" s="232"/>
      <c r="H611" s="393" t="str">
        <f>'Non-Life Risk'!$U231</f>
        <v>MAT</v>
      </c>
      <c r="O611" s="608"/>
      <c r="Q611" s="3"/>
    </row>
    <row r="612" spans="1:17" hidden="1" outlineLevel="2" x14ac:dyDescent="0.35">
      <c r="A612" s="180" t="s">
        <v>2087</v>
      </c>
      <c r="B612" s="391"/>
      <c r="C612" s="11"/>
      <c r="D612" s="11"/>
      <c r="E612" s="16" t="str">
        <f>'Non-Life Risk'!$T232</f>
        <v>Title</v>
      </c>
      <c r="F612" s="232"/>
      <c r="G612" s="232"/>
      <c r="H612" s="393" t="str">
        <f>'Non-Life Risk'!$U232</f>
        <v>Other</v>
      </c>
      <c r="O612" s="608"/>
      <c r="Q612" s="3"/>
    </row>
    <row r="613" spans="1:17" hidden="1" outlineLevel="2" x14ac:dyDescent="0.35">
      <c r="A613" s="180" t="s">
        <v>2087</v>
      </c>
      <c r="B613" s="391"/>
      <c r="C613" s="11"/>
      <c r="D613" s="11"/>
      <c r="E613" s="16" t="str">
        <f>'Non-Life Risk'!$T233</f>
        <v>Warranty</v>
      </c>
      <c r="F613" s="232"/>
      <c r="G613" s="232"/>
      <c r="H613" s="393" t="str">
        <f>'Non-Life Risk'!$U233</f>
        <v>Other</v>
      </c>
      <c r="O613" s="608"/>
      <c r="Q613" s="3"/>
    </row>
    <row r="614" spans="1:17" hidden="1" outlineLevel="2" x14ac:dyDescent="0.35">
      <c r="A614" s="180" t="s">
        <v>2087</v>
      </c>
      <c r="B614" s="391"/>
      <c r="C614" s="11"/>
      <c r="D614" s="11"/>
      <c r="E614" s="16" t="str">
        <f>'Non-Life Risk'!$T234</f>
        <v>Other</v>
      </c>
      <c r="F614" s="232"/>
      <c r="G614" s="232"/>
      <c r="H614" s="393" t="str">
        <f>'Non-Life Risk'!$U234</f>
        <v>Other</v>
      </c>
      <c r="O614" s="608"/>
      <c r="Q614" s="3"/>
    </row>
    <row r="615" spans="1:17" hidden="1" outlineLevel="2" x14ac:dyDescent="0.35">
      <c r="A615" s="180" t="s">
        <v>2087</v>
      </c>
      <c r="B615" s="391"/>
      <c r="C615" s="11"/>
      <c r="D615" s="11"/>
      <c r="E615" s="16"/>
      <c r="F615" s="729" t="s">
        <v>327</v>
      </c>
      <c r="G615" s="729"/>
      <c r="H615" s="393"/>
      <c r="Q615" s="3"/>
    </row>
    <row r="616" spans="1:17" hidden="1" outlineLevel="2" x14ac:dyDescent="0.35">
      <c r="A616" s="180" t="s">
        <v>2087</v>
      </c>
      <c r="B616" s="391"/>
      <c r="C616" s="11"/>
      <c r="D616" s="11"/>
      <c r="E616" s="16" t="str">
        <f>'Non-Life Risk'!$T236</f>
        <v>Liability</v>
      </c>
      <c r="F616" s="232"/>
      <c r="G616" s="232"/>
      <c r="H616" s="393" t="str">
        <f>'Non-Life Risk'!$U236</f>
        <v>Liability</v>
      </c>
      <c r="O616" s="608"/>
      <c r="Q616" s="3"/>
    </row>
    <row r="617" spans="1:17" hidden="1" outlineLevel="2" x14ac:dyDescent="0.35">
      <c r="A617" s="180" t="s">
        <v>2087</v>
      </c>
      <c r="B617" s="391"/>
      <c r="C617" s="11"/>
      <c r="D617" s="11"/>
      <c r="E617" s="16" t="str">
        <f>'Non-Life Risk'!$T237</f>
        <v>Boiler &amp; machinery</v>
      </c>
      <c r="F617" s="232"/>
      <c r="G617" s="232"/>
      <c r="H617" s="393" t="str">
        <f>'Non-Life Risk'!$U237</f>
        <v>Property</v>
      </c>
      <c r="O617" s="608"/>
      <c r="Q617" s="3"/>
    </row>
    <row r="618" spans="1:17" hidden="1" outlineLevel="2" x14ac:dyDescent="0.35">
      <c r="A618" s="180" t="s">
        <v>2087</v>
      </c>
      <c r="B618" s="391"/>
      <c r="C618" s="11"/>
      <c r="D618" s="11"/>
      <c r="E618" s="16" t="str">
        <f>'Non-Life Risk'!$T238</f>
        <v>Commercial property</v>
      </c>
      <c r="F618" s="232"/>
      <c r="G618" s="232"/>
      <c r="H618" s="393" t="str">
        <f>'Non-Life Risk'!$U238</f>
        <v>Property</v>
      </c>
      <c r="O618" s="608"/>
      <c r="Q618" s="3"/>
    </row>
    <row r="619" spans="1:17" hidden="1" outlineLevel="2" x14ac:dyDescent="0.35">
      <c r="A619" s="180" t="s">
        <v>2087</v>
      </c>
      <c r="B619" s="391"/>
      <c r="C619" s="11"/>
      <c r="D619" s="11"/>
      <c r="E619" s="16" t="str">
        <f>'Non-Life Risk'!$T239</f>
        <v>Hail</v>
      </c>
      <c r="F619" s="232"/>
      <c r="G619" s="232"/>
      <c r="H619" s="393" t="str">
        <f>'Non-Life Risk'!$U239</f>
        <v>Property</v>
      </c>
      <c r="O619" s="608"/>
      <c r="Q619" s="3"/>
    </row>
    <row r="620" spans="1:17" hidden="1" outlineLevel="2" x14ac:dyDescent="0.35">
      <c r="A620" s="180" t="s">
        <v>2087</v>
      </c>
      <c r="B620" s="391"/>
      <c r="C620" s="11"/>
      <c r="D620" s="11"/>
      <c r="E620" s="16" t="str">
        <f>'Non-Life Risk'!$T240</f>
        <v>Personal property</v>
      </c>
      <c r="F620" s="232"/>
      <c r="G620" s="232"/>
      <c r="H620" s="393" t="str">
        <f>'Non-Life Risk'!$U240</f>
        <v>Property</v>
      </c>
      <c r="O620" s="608"/>
      <c r="Q620" s="3"/>
    </row>
    <row r="621" spans="1:17" hidden="1" outlineLevel="2" x14ac:dyDescent="0.35">
      <c r="A621" s="180" t="s">
        <v>2087</v>
      </c>
      <c r="B621" s="391"/>
      <c r="C621" s="11"/>
      <c r="D621" s="11"/>
      <c r="E621" s="16" t="str">
        <f>'Non-Life Risk'!$T241</f>
        <v>Auto - liability</v>
      </c>
      <c r="F621" s="232"/>
      <c r="G621" s="232"/>
      <c r="H621" s="393" t="str">
        <f>'Non-Life Risk'!$U241</f>
        <v>Motor</v>
      </c>
      <c r="O621" s="608"/>
      <c r="Q621" s="3"/>
    </row>
    <row r="622" spans="1:17" hidden="1" outlineLevel="2" x14ac:dyDescent="0.35">
      <c r="A622" s="180" t="s">
        <v>2087</v>
      </c>
      <c r="B622" s="391"/>
      <c r="C622" s="11"/>
      <c r="D622" s="11"/>
      <c r="E622" s="16" t="str">
        <f>'Non-Life Risk'!$T242</f>
        <v>Auto - other</v>
      </c>
      <c r="F622" s="232"/>
      <c r="G622" s="232"/>
      <c r="H622" s="393" t="str">
        <f>'Non-Life Risk'!$U242</f>
        <v>Motor</v>
      </c>
      <c r="O622" s="608"/>
      <c r="Q622" s="3"/>
    </row>
    <row r="623" spans="1:17" hidden="1" outlineLevel="2" x14ac:dyDescent="0.35">
      <c r="A623" s="180" t="s">
        <v>2087</v>
      </c>
      <c r="B623" s="391"/>
      <c r="C623" s="11"/>
      <c r="D623" s="11"/>
      <c r="E623" s="16" t="str">
        <f>'Non-Life Risk'!$T243</f>
        <v>Auto - personal accident</v>
      </c>
      <c r="F623" s="232"/>
      <c r="G623" s="232"/>
      <c r="H623" s="393" t="str">
        <f>'Non-Life Risk'!$U243</f>
        <v>Motor</v>
      </c>
      <c r="O623" s="608"/>
      <c r="Q623" s="3"/>
    </row>
    <row r="624" spans="1:17" hidden="1" outlineLevel="2" x14ac:dyDescent="0.35">
      <c r="A624" s="180" t="s">
        <v>2087</v>
      </c>
      <c r="B624" s="391"/>
      <c r="C624" s="11"/>
      <c r="D624" s="11"/>
      <c r="E624" s="16" t="str">
        <f>'Non-Life Risk'!$T244</f>
        <v>Credit</v>
      </c>
      <c r="F624" s="232"/>
      <c r="G624" s="232"/>
      <c r="H624" s="393" t="str">
        <f>'Non-Life Risk'!$U244</f>
        <v>Financial</v>
      </c>
      <c r="O624" s="608"/>
      <c r="Q624" s="3"/>
    </row>
    <row r="625" spans="1:17" hidden="1" outlineLevel="2" x14ac:dyDescent="0.35">
      <c r="A625" s="180" t="s">
        <v>2087</v>
      </c>
      <c r="B625" s="391"/>
      <c r="C625" s="11"/>
      <c r="D625" s="11"/>
      <c r="E625" s="16" t="str">
        <f>'Non-Life Risk'!$T245</f>
        <v>Credit protection</v>
      </c>
      <c r="F625" s="232"/>
      <c r="G625" s="232"/>
      <c r="H625" s="393" t="str">
        <f>'Non-Life Risk'!$U245</f>
        <v>Financial</v>
      </c>
      <c r="O625" s="608"/>
      <c r="Q625" s="3"/>
    </row>
    <row r="626" spans="1:17" hidden="1" outlineLevel="2" x14ac:dyDescent="0.35">
      <c r="A626" s="180" t="s">
        <v>2087</v>
      </c>
      <c r="B626" s="391"/>
      <c r="C626" s="11"/>
      <c r="D626" s="11"/>
      <c r="E626" s="16" t="str">
        <f>'Non-Life Risk'!$T246</f>
        <v>Fidelity</v>
      </c>
      <c r="F626" s="232"/>
      <c r="G626" s="232"/>
      <c r="H626" s="393" t="str">
        <f>'Non-Life Risk'!$U246</f>
        <v>Financial</v>
      </c>
      <c r="O626" s="608"/>
      <c r="Q626" s="3"/>
    </row>
    <row r="627" spans="1:17" hidden="1" outlineLevel="2" x14ac:dyDescent="0.35">
      <c r="A627" s="180" t="s">
        <v>2087</v>
      </c>
      <c r="B627" s="391"/>
      <c r="D627" s="11"/>
      <c r="E627" s="16" t="str">
        <f>'Non-Life Risk'!$T247</f>
        <v>Surety</v>
      </c>
      <c r="F627" s="232"/>
      <c r="G627" s="232"/>
      <c r="H627" s="393" t="str">
        <f>'Non-Life Risk'!$U247</f>
        <v>Financial</v>
      </c>
      <c r="O627" s="608"/>
      <c r="Q627" s="3"/>
    </row>
    <row r="628" spans="1:17" hidden="1" outlineLevel="2" x14ac:dyDescent="0.35">
      <c r="A628" s="180" t="s">
        <v>2087</v>
      </c>
      <c r="B628" s="391"/>
      <c r="C628" s="11"/>
      <c r="D628" s="11"/>
      <c r="E628" s="16" t="str">
        <f>'Non-Life Risk'!$T248</f>
        <v>Accident &amp; sickness (excluding supplementary health, disability income)</v>
      </c>
      <c r="F628" s="232"/>
      <c r="G628" s="232"/>
      <c r="H628" s="393" t="str">
        <f>'Non-Life Risk'!$U248</f>
        <v>Health</v>
      </c>
      <c r="O628" s="608"/>
      <c r="Q628" s="3"/>
    </row>
    <row r="629" spans="1:17" hidden="1" outlineLevel="2" x14ac:dyDescent="0.35">
      <c r="A629" s="180" t="s">
        <v>2087</v>
      </c>
      <c r="B629" s="391"/>
      <c r="C629" s="11"/>
      <c r="D629" s="11"/>
      <c r="E629" s="16" t="str">
        <f>'Non-Life Risk'!$T249</f>
        <v>Supplementary health</v>
      </c>
      <c r="F629" s="232"/>
      <c r="G629" s="232"/>
      <c r="H629" s="393" t="str">
        <f>'Non-Life Risk'!$U249</f>
        <v>Health</v>
      </c>
      <c r="O629" s="608"/>
      <c r="Q629" s="3"/>
    </row>
    <row r="630" spans="1:17" hidden="1" outlineLevel="2" x14ac:dyDescent="0.35">
      <c r="A630" s="180" t="s">
        <v>2087</v>
      </c>
      <c r="B630" s="391"/>
      <c r="C630" s="11"/>
      <c r="D630" s="11"/>
      <c r="E630" s="16" t="str">
        <f>'Non-Life Risk'!$T250</f>
        <v>Aircraft</v>
      </c>
      <c r="F630" s="232"/>
      <c r="G630" s="232"/>
      <c r="H630" s="393" t="str">
        <f>'Non-Life Risk'!$U250</f>
        <v>MAT</v>
      </c>
      <c r="O630" s="608"/>
      <c r="Q630" s="3"/>
    </row>
    <row r="631" spans="1:17" hidden="1" outlineLevel="2" x14ac:dyDescent="0.35">
      <c r="A631" s="180" t="s">
        <v>2087</v>
      </c>
      <c r="B631" s="391"/>
      <c r="C631" s="11"/>
      <c r="D631" s="11"/>
      <c r="E631" s="16" t="str">
        <f>'Non-Life Risk'!$T251</f>
        <v>Marine</v>
      </c>
      <c r="F631" s="232"/>
      <c r="G631" s="232"/>
      <c r="H631" s="393" t="str">
        <f>'Non-Life Risk'!$U251</f>
        <v>MAT</v>
      </c>
      <c r="O631" s="608"/>
      <c r="Q631" s="3"/>
    </row>
    <row r="632" spans="1:17" hidden="1" outlineLevel="2" x14ac:dyDescent="0.35">
      <c r="A632" s="180" t="s">
        <v>2087</v>
      </c>
      <c r="B632" s="391"/>
      <c r="C632" s="11"/>
      <c r="D632" s="11"/>
      <c r="E632" s="16" t="str">
        <f>'Non-Life Risk'!$T252</f>
        <v>Marine protection &amp; indemnity</v>
      </c>
      <c r="F632" s="232"/>
      <c r="G632" s="232"/>
      <c r="H632" s="393" t="str">
        <f>'Non-Life Risk'!$U252</f>
        <v>MAT</v>
      </c>
      <c r="O632" s="608"/>
      <c r="Q632" s="3"/>
    </row>
    <row r="633" spans="1:17" hidden="1" outlineLevel="2" x14ac:dyDescent="0.35">
      <c r="A633" s="180" t="s">
        <v>2087</v>
      </c>
      <c r="B633" s="391"/>
      <c r="C633" s="11"/>
      <c r="D633" s="11"/>
      <c r="E633" s="16" t="str">
        <f>'Non-Life Risk'!$T253</f>
        <v>Legal expense</v>
      </c>
      <c r="F633" s="232"/>
      <c r="G633" s="232"/>
      <c r="H633" s="393" t="str">
        <f>'Non-Life Risk'!$U253</f>
        <v>Other</v>
      </c>
      <c r="O633" s="608"/>
      <c r="Q633" s="3"/>
    </row>
    <row r="634" spans="1:17" hidden="1" outlineLevel="2" x14ac:dyDescent="0.35">
      <c r="A634" s="180" t="s">
        <v>2087</v>
      </c>
      <c r="B634" s="391"/>
      <c r="C634" s="11"/>
      <c r="D634" s="11"/>
      <c r="E634" s="16" t="str">
        <f>'Non-Life Risk'!$T254</f>
        <v>Other approved products</v>
      </c>
      <c r="F634" s="232"/>
      <c r="G634" s="232"/>
      <c r="H634" s="393" t="str">
        <f>'Non-Life Risk'!$U254</f>
        <v>Other</v>
      </c>
      <c r="O634" s="608"/>
      <c r="Q634" s="3"/>
    </row>
    <row r="635" spans="1:17" hidden="1" outlineLevel="2" x14ac:dyDescent="0.35">
      <c r="A635" s="180" t="s">
        <v>2087</v>
      </c>
      <c r="B635" s="391"/>
      <c r="C635" s="11"/>
      <c r="D635" s="11"/>
      <c r="E635" s="16" t="str">
        <f>'Non-Life Risk'!$T255</f>
        <v>Title</v>
      </c>
      <c r="F635" s="232"/>
      <c r="G635" s="232"/>
      <c r="H635" s="393" t="str">
        <f>'Non-Life Risk'!$U255</f>
        <v>Other</v>
      </c>
      <c r="O635" s="608"/>
      <c r="Q635" s="3"/>
    </row>
    <row r="636" spans="1:17" hidden="1" outlineLevel="2" x14ac:dyDescent="0.35">
      <c r="A636" s="180" t="s">
        <v>2087</v>
      </c>
      <c r="B636" s="391"/>
      <c r="C636" s="11"/>
      <c r="D636" s="11"/>
      <c r="E636" s="16" t="str">
        <f>'Non-Life Risk'!$T256</f>
        <v>Warranty</v>
      </c>
      <c r="F636" s="232"/>
      <c r="G636" s="232"/>
      <c r="H636" s="393" t="str">
        <f>'Non-Life Risk'!$U256</f>
        <v>Other</v>
      </c>
      <c r="O636" s="608"/>
      <c r="Q636" s="3"/>
    </row>
    <row r="637" spans="1:17" hidden="1" outlineLevel="2" x14ac:dyDescent="0.35">
      <c r="A637" s="180" t="s">
        <v>2087</v>
      </c>
      <c r="B637" s="391"/>
      <c r="C637" s="11"/>
      <c r="D637" s="11"/>
      <c r="E637" s="16" t="str">
        <f>'Non-Life Risk'!$T257</f>
        <v>Other</v>
      </c>
      <c r="F637" s="232"/>
      <c r="G637" s="232"/>
      <c r="H637" s="393" t="str">
        <f>'Non-Life Risk'!$U257</f>
        <v>Other</v>
      </c>
      <c r="O637" s="608"/>
      <c r="Q637" s="3"/>
    </row>
    <row r="638" spans="1:17" hidden="1" outlineLevel="2" x14ac:dyDescent="0.35">
      <c r="A638" s="180" t="s">
        <v>2087</v>
      </c>
      <c r="B638" s="391"/>
      <c r="C638" s="11"/>
      <c r="D638" s="11"/>
      <c r="E638" s="16"/>
      <c r="F638" s="729" t="s">
        <v>387</v>
      </c>
      <c r="G638" s="729"/>
      <c r="H638" s="393"/>
      <c r="Q638" s="3"/>
    </row>
    <row r="639" spans="1:17" hidden="1" outlineLevel="2" x14ac:dyDescent="0.35">
      <c r="A639" s="180" t="s">
        <v>2087</v>
      </c>
      <c r="B639" s="391"/>
      <c r="C639" s="11"/>
      <c r="D639" s="11"/>
      <c r="E639" s="16" t="str">
        <f>'Non-Life Risk'!$T259</f>
        <v>Employers liability</v>
      </c>
      <c r="F639" s="232"/>
      <c r="G639" s="232"/>
      <c r="H639" s="393" t="str">
        <f>'Non-Life Risk'!$U259</f>
        <v>Liability</v>
      </c>
      <c r="O639" s="608"/>
      <c r="Q639" s="3"/>
    </row>
    <row r="640" spans="1:17" hidden="1" outlineLevel="2" x14ac:dyDescent="0.35">
      <c r="A640" s="180" t="s">
        <v>2087</v>
      </c>
      <c r="B640" s="391"/>
      <c r="C640" s="11"/>
      <c r="D640" s="11"/>
      <c r="E640" s="16" t="str">
        <f>'Non-Life Risk'!$T260</f>
        <v>General liability</v>
      </c>
      <c r="F640" s="232"/>
      <c r="G640" s="232"/>
      <c r="H640" s="393" t="str">
        <f>'Non-Life Risk'!$U260</f>
        <v>Liability</v>
      </c>
      <c r="O640" s="608"/>
      <c r="Q640" s="3"/>
    </row>
    <row r="641" spans="1:17" hidden="1" outlineLevel="2" x14ac:dyDescent="0.35">
      <c r="A641" s="180" t="s">
        <v>2087</v>
      </c>
      <c r="B641" s="391"/>
      <c r="C641" s="88"/>
      <c r="D641" s="11"/>
      <c r="E641" s="16" t="str">
        <f>'Non-Life Risk'!$T261</f>
        <v>Professional indemnity</v>
      </c>
      <c r="F641" s="232"/>
      <c r="G641" s="232"/>
      <c r="H641" s="393" t="str">
        <f>'Non-Life Risk'!$U261</f>
        <v>Liability</v>
      </c>
      <c r="O641" s="608"/>
      <c r="Q641" s="3"/>
    </row>
    <row r="642" spans="1:17" hidden="1" outlineLevel="2" x14ac:dyDescent="0.35">
      <c r="A642" s="180" t="s">
        <v>2087</v>
      </c>
      <c r="B642" s="391"/>
      <c r="C642" s="11"/>
      <c r="D642" s="11"/>
      <c r="E642" s="16" t="str">
        <f>'Non-Life Risk'!$T262</f>
        <v>Public and product liability</v>
      </c>
      <c r="F642" s="232"/>
      <c r="G642" s="232"/>
      <c r="H642" s="393" t="str">
        <f>'Non-Life Risk'!$U262</f>
        <v>Liability</v>
      </c>
      <c r="O642" s="608"/>
      <c r="Q642" s="3"/>
    </row>
    <row r="643" spans="1:17" hidden="1" outlineLevel="2" x14ac:dyDescent="0.35">
      <c r="A643" s="180" t="s">
        <v>2087</v>
      </c>
      <c r="B643" s="391"/>
      <c r="C643" s="11"/>
      <c r="D643" s="11"/>
      <c r="E643" s="16" t="str">
        <f>'Non-Life Risk'!$T263</f>
        <v>Commercial property</v>
      </c>
      <c r="F643" s="232"/>
      <c r="G643" s="232"/>
      <c r="H643" s="393" t="str">
        <f>'Non-Life Risk'!$U263</f>
        <v>Property</v>
      </c>
      <c r="O643" s="608"/>
      <c r="Q643" s="3"/>
    </row>
    <row r="644" spans="1:17" hidden="1" outlineLevel="2" x14ac:dyDescent="0.35">
      <c r="A644" s="180" t="s">
        <v>2087</v>
      </c>
      <c r="B644" s="391"/>
      <c r="C644" s="11"/>
      <c r="D644" s="11"/>
      <c r="E644" s="16" t="str">
        <f>'Non-Life Risk'!$T264</f>
        <v>Domestic property</v>
      </c>
      <c r="F644" s="232"/>
      <c r="G644" s="232"/>
      <c r="H644" s="393" t="str">
        <f>'Non-Life Risk'!$U264</f>
        <v>Property</v>
      </c>
      <c r="O644" s="608"/>
      <c r="Q644" s="3"/>
    </row>
    <row r="645" spans="1:17" hidden="1" outlineLevel="2" x14ac:dyDescent="0.35">
      <c r="A645" s="180" t="s">
        <v>2087</v>
      </c>
      <c r="B645" s="391"/>
      <c r="C645" s="11"/>
      <c r="D645" s="11"/>
      <c r="E645" s="16" t="str">
        <f>'Non-Life Risk'!$T265</f>
        <v>Engineering</v>
      </c>
      <c r="F645" s="232"/>
      <c r="G645" s="232"/>
      <c r="H645" s="393" t="str">
        <f>'Non-Life Risk'!$U265</f>
        <v>Property</v>
      </c>
      <c r="O645" s="608"/>
      <c r="Q645" s="3"/>
    </row>
    <row r="646" spans="1:17" hidden="1" outlineLevel="2" x14ac:dyDescent="0.35">
      <c r="A646" s="180" t="s">
        <v>2087</v>
      </c>
      <c r="B646" s="391"/>
      <c r="C646" s="11"/>
      <c r="D646" s="11"/>
      <c r="E646" s="16" t="str">
        <f>'Non-Life Risk'!$T266</f>
        <v>Commercial motor - Australia and New Zealand</v>
      </c>
      <c r="F646" s="232"/>
      <c r="G646" s="232"/>
      <c r="H646" s="393" t="str">
        <f>'Non-Life Risk'!$U266</f>
        <v>Motor</v>
      </c>
      <c r="O646" s="608"/>
      <c r="Q646" s="3"/>
    </row>
    <row r="647" spans="1:17" hidden="1" outlineLevel="2" x14ac:dyDescent="0.35">
      <c r="A647" s="180" t="s">
        <v>2087</v>
      </c>
      <c r="B647" s="391"/>
      <c r="C647" s="11"/>
      <c r="D647" s="11"/>
      <c r="E647" s="16" t="str">
        <f>'Non-Life Risk'!$T267</f>
        <v>Domestic motor - Australia and New Zealand</v>
      </c>
      <c r="F647" s="232"/>
      <c r="G647" s="232"/>
      <c r="H647" s="393" t="str">
        <f>'Non-Life Risk'!$U267</f>
        <v>Motor</v>
      </c>
      <c r="O647" s="608"/>
      <c r="Q647" s="3"/>
    </row>
    <row r="648" spans="1:17" hidden="1" outlineLevel="2" x14ac:dyDescent="0.35">
      <c r="A648" s="180" t="s">
        <v>2087</v>
      </c>
      <c r="B648" s="391"/>
      <c r="C648" s="11"/>
      <c r="D648" s="11"/>
      <c r="E648" s="16" t="str">
        <f>'Non-Life Risk'!$T268</f>
        <v>Motor - all inclusive</v>
      </c>
      <c r="F648" s="232"/>
      <c r="G648" s="232"/>
      <c r="H648" s="393" t="str">
        <f>'Non-Life Risk'!$U268</f>
        <v>Motor</v>
      </c>
      <c r="O648" s="608"/>
      <c r="Q648" s="3"/>
    </row>
    <row r="649" spans="1:17" hidden="1" outlineLevel="2" x14ac:dyDescent="0.35">
      <c r="A649" s="180" t="s">
        <v>2087</v>
      </c>
      <c r="B649" s="391"/>
      <c r="C649" s="11"/>
      <c r="D649" s="11"/>
      <c r="E649" s="16" t="str">
        <f>'Non-Life Risk'!$T269</f>
        <v>Motor - Japan and Taiwan</v>
      </c>
      <c r="F649" s="232"/>
      <c r="G649" s="232"/>
      <c r="H649" s="393" t="str">
        <f>'Non-Life Risk'!$U269</f>
        <v>Motor</v>
      </c>
      <c r="O649" s="608"/>
      <c r="Q649" s="3"/>
    </row>
    <row r="650" spans="1:17" hidden="1" outlineLevel="2" x14ac:dyDescent="0.35">
      <c r="A650" s="180" t="s">
        <v>2087</v>
      </c>
      <c r="B650" s="391"/>
      <c r="C650" s="11"/>
      <c r="D650" s="11"/>
      <c r="E650" s="16" t="str">
        <f>'Non-Life Risk'!$T270</f>
        <v>Third party liability motor</v>
      </c>
      <c r="F650" s="232"/>
      <c r="G650" s="232"/>
      <c r="H650" s="393" t="str">
        <f>'Non-Life Risk'!$U270</f>
        <v>Motor</v>
      </c>
      <c r="O650" s="608"/>
      <c r="Q650" s="3"/>
    </row>
    <row r="651" spans="1:17" hidden="1" outlineLevel="2" x14ac:dyDescent="0.35">
      <c r="A651" s="180" t="s">
        <v>2087</v>
      </c>
      <c r="B651" s="391"/>
      <c r="C651" s="11"/>
      <c r="D651" s="11"/>
      <c r="E651" s="16" t="str">
        <f>'Non-Life Risk'!$T271</f>
        <v>Consumer credit</v>
      </c>
      <c r="F651" s="232"/>
      <c r="G651" s="232"/>
      <c r="H651" s="393" t="str">
        <f>'Non-Life Risk'!$U271</f>
        <v>Financial</v>
      </c>
      <c r="O651" s="608"/>
      <c r="Q651" s="3"/>
    </row>
    <row r="652" spans="1:17" hidden="1" outlineLevel="2" x14ac:dyDescent="0.35">
      <c r="A652" s="180" t="s">
        <v>2087</v>
      </c>
      <c r="B652" s="391"/>
      <c r="C652" s="11"/>
      <c r="D652" s="11"/>
      <c r="E652" s="16" t="str">
        <f>'Non-Life Risk'!$T272</f>
        <v>Credit</v>
      </c>
      <c r="F652" s="232"/>
      <c r="G652" s="232"/>
      <c r="H652" s="393" t="str">
        <f>'Non-Life Risk'!$U272</f>
        <v>Financial</v>
      </c>
      <c r="O652" s="608"/>
      <c r="Q652" s="3"/>
    </row>
    <row r="653" spans="1:17" hidden="1" outlineLevel="2" x14ac:dyDescent="0.35">
      <c r="A653" s="180" t="s">
        <v>2087</v>
      </c>
      <c r="B653" s="391"/>
      <c r="C653" s="11"/>
      <c r="D653" s="11"/>
      <c r="E653" s="16" t="str">
        <f>'Non-Life Risk'!$T273</f>
        <v>Accident and health</v>
      </c>
      <c r="F653" s="232"/>
      <c r="G653" s="232"/>
      <c r="H653" s="393" t="str">
        <f>'Non-Life Risk'!$U273</f>
        <v>Health</v>
      </c>
      <c r="O653" s="608"/>
      <c r="Q653" s="3"/>
    </row>
    <row r="654" spans="1:17" hidden="1" outlineLevel="2" x14ac:dyDescent="0.35">
      <c r="A654" s="180" t="s">
        <v>2087</v>
      </c>
      <c r="B654" s="391"/>
      <c r="C654" s="11"/>
      <c r="D654" s="11"/>
      <c r="E654" s="16" t="str">
        <f>'Non-Life Risk'!$T274</f>
        <v>Health</v>
      </c>
      <c r="F654" s="232"/>
      <c r="G654" s="232"/>
      <c r="H654" s="393" t="str">
        <f>'Non-Life Risk'!$U274</f>
        <v>Health</v>
      </c>
      <c r="O654" s="608"/>
      <c r="Q654" s="3"/>
    </row>
    <row r="655" spans="1:17" hidden="1" outlineLevel="2" x14ac:dyDescent="0.35">
      <c r="A655" s="180" t="s">
        <v>2087</v>
      </c>
      <c r="B655" s="391"/>
      <c r="C655" s="11"/>
      <c r="D655" s="11"/>
      <c r="E655" s="16" t="str">
        <f>'Non-Life Risk'!$T275</f>
        <v>Marine, aviation - cargo</v>
      </c>
      <c r="F655" s="232"/>
      <c r="G655" s="232"/>
      <c r="H655" s="393" t="str">
        <f>'Non-Life Risk'!$U275</f>
        <v>MAT</v>
      </c>
      <c r="O655" s="608"/>
      <c r="Q655" s="3"/>
    </row>
    <row r="656" spans="1:17" hidden="1" outlineLevel="2" x14ac:dyDescent="0.35">
      <c r="A656" s="180" t="s">
        <v>2087</v>
      </c>
      <c r="B656" s="391"/>
      <c r="C656" s="11"/>
      <c r="D656" s="11"/>
      <c r="E656" s="16" t="str">
        <f>'Non-Life Risk'!$T276</f>
        <v>Marine, aviation - hull</v>
      </c>
      <c r="F656" s="232"/>
      <c r="G656" s="232"/>
      <c r="H656" s="393" t="str">
        <f>'Non-Life Risk'!$U276</f>
        <v>MAT</v>
      </c>
      <c r="O656" s="608"/>
      <c r="Q656" s="3"/>
    </row>
    <row r="657" spans="1:18" hidden="1" outlineLevel="2" x14ac:dyDescent="0.35">
      <c r="A657" s="180" t="s">
        <v>2087</v>
      </c>
      <c r="B657" s="391"/>
      <c r="C657" s="11"/>
      <c r="D657" s="11"/>
      <c r="E657" s="16" t="str">
        <f>'Non-Life Risk'!$T277</f>
        <v>Marine protection &amp; indemnity</v>
      </c>
      <c r="F657" s="232"/>
      <c r="G657" s="232"/>
      <c r="H657" s="393" t="str">
        <f>'Non-Life Risk'!$U277</f>
        <v>MAT</v>
      </c>
      <c r="O657" s="608"/>
      <c r="Q657" s="3"/>
    </row>
    <row r="658" spans="1:18" hidden="1" outlineLevel="2" x14ac:dyDescent="0.35">
      <c r="A658" s="180" t="s">
        <v>2087</v>
      </c>
      <c r="B658" s="391"/>
      <c r="C658" s="11"/>
      <c r="D658" s="11"/>
      <c r="E658" s="16" t="str">
        <f>'Non-Life Risk'!$T278</f>
        <v>Travel</v>
      </c>
      <c r="F658" s="232"/>
      <c r="G658" s="232"/>
      <c r="H658" s="393" t="str">
        <f>'Non-Life Risk'!$U278</f>
        <v>Other</v>
      </c>
      <c r="O658" s="608"/>
      <c r="Q658" s="3"/>
    </row>
    <row r="659" spans="1:18" hidden="1" outlineLevel="2" x14ac:dyDescent="0.35">
      <c r="A659" s="180" t="s">
        <v>2087</v>
      </c>
      <c r="B659" s="391"/>
      <c r="C659" s="11"/>
      <c r="D659" s="11"/>
      <c r="E659" s="16" t="str">
        <f>'Non-Life Risk'!$T279</f>
        <v>Other</v>
      </c>
      <c r="F659" s="232"/>
      <c r="G659" s="232"/>
      <c r="H659" s="393" t="str">
        <f>'Non-Life Risk'!$U279</f>
        <v>Other</v>
      </c>
      <c r="O659" s="608"/>
      <c r="Q659" s="3"/>
    </row>
    <row r="660" spans="1:18" hidden="1" outlineLevel="2" x14ac:dyDescent="0.35">
      <c r="A660" s="180" t="s">
        <v>2087</v>
      </c>
      <c r="B660" s="391"/>
      <c r="D660" s="11"/>
      <c r="E660" s="88"/>
      <c r="F660" s="729" t="s">
        <v>328</v>
      </c>
      <c r="G660" s="729"/>
      <c r="H660" s="393"/>
      <c r="Q660" s="3"/>
    </row>
    <row r="661" spans="1:18" hidden="1" outlineLevel="2" x14ac:dyDescent="0.35">
      <c r="A661" s="180" t="s">
        <v>2087</v>
      </c>
      <c r="B661" s="391"/>
      <c r="C661" s="11"/>
      <c r="D661" s="11"/>
      <c r="E661" s="16" t="str">
        <f>'Non-Life Risk'!$T281</f>
        <v>Employers liability</v>
      </c>
      <c r="F661" s="232"/>
      <c r="G661" s="232"/>
      <c r="H661" s="393" t="str">
        <f>'Non-Life Risk'!$U281</f>
        <v>Liability</v>
      </c>
      <c r="O661" s="608"/>
      <c r="Q661" s="3"/>
    </row>
    <row r="662" spans="1:18" hidden="1" outlineLevel="2" x14ac:dyDescent="0.35">
      <c r="A662" s="180" t="s">
        <v>2087</v>
      </c>
      <c r="B662" s="2"/>
      <c r="C662" s="11"/>
      <c r="D662" s="11"/>
      <c r="E662" s="16" t="str">
        <f>'Non-Life Risk'!$T282</f>
        <v>General liability</v>
      </c>
      <c r="F662" s="232"/>
      <c r="G662" s="232"/>
      <c r="H662" s="393" t="str">
        <f>'Non-Life Risk'!$U282</f>
        <v>Liability</v>
      </c>
      <c r="O662" s="608"/>
      <c r="Q662" s="3"/>
    </row>
    <row r="663" spans="1:18" hidden="1" outlineLevel="2" x14ac:dyDescent="0.35">
      <c r="A663" s="180" t="s">
        <v>2087</v>
      </c>
      <c r="B663" s="2"/>
      <c r="C663" s="11"/>
      <c r="D663" s="11"/>
      <c r="E663" s="16" t="str">
        <f>'Non-Life Risk'!$T283</f>
        <v>Professional indemnity</v>
      </c>
      <c r="F663" s="232"/>
      <c r="G663" s="232"/>
      <c r="H663" s="393" t="str">
        <f>'Non-Life Risk'!$U283</f>
        <v>Liability</v>
      </c>
      <c r="O663" s="608"/>
      <c r="Q663" s="3"/>
    </row>
    <row r="664" spans="1:18" hidden="1" outlineLevel="2" x14ac:dyDescent="0.35">
      <c r="A664" s="180" t="s">
        <v>2087</v>
      </c>
      <c r="B664" s="2"/>
      <c r="C664" s="11"/>
      <c r="D664" s="11"/>
      <c r="E664" s="16" t="str">
        <f>'Non-Life Risk'!$T284</f>
        <v>Commercial property</v>
      </c>
      <c r="F664" s="232"/>
      <c r="G664" s="232"/>
      <c r="H664" s="393" t="str">
        <f>'Non-Life Risk'!$U284</f>
        <v>Property</v>
      </c>
      <c r="O664" s="608"/>
      <c r="Q664" s="3"/>
    </row>
    <row r="665" spans="1:18" hidden="1" outlineLevel="2" x14ac:dyDescent="0.35">
      <c r="A665" s="180" t="s">
        <v>2087</v>
      </c>
      <c r="B665" s="2"/>
      <c r="C665" s="11"/>
      <c r="D665" s="11"/>
      <c r="E665" s="16" t="str">
        <f>'Non-Life Risk'!$T285</f>
        <v>Domestic property</v>
      </c>
      <c r="F665" s="232"/>
      <c r="G665" s="232"/>
      <c r="H665" s="393" t="str">
        <f>'Non-Life Risk'!$U285</f>
        <v>Property</v>
      </c>
      <c r="O665" s="608"/>
      <c r="Q665" s="3"/>
    </row>
    <row r="666" spans="1:18" hidden="1" outlineLevel="2" x14ac:dyDescent="0.35">
      <c r="A666" s="180" t="s">
        <v>2087</v>
      </c>
      <c r="B666" s="2"/>
      <c r="C666" s="11"/>
      <c r="D666" s="11"/>
      <c r="E666" s="16" t="str">
        <f>'Non-Life Risk'!$T286</f>
        <v>Mexico farm &amp; ranch</v>
      </c>
      <c r="F666" s="232"/>
      <c r="G666" s="232"/>
      <c r="H666" s="393" t="str">
        <f>'Non-Life Risk'!$U286</f>
        <v>Property</v>
      </c>
      <c r="O666" s="608"/>
      <c r="Q666" s="3"/>
    </row>
    <row r="667" spans="1:18" hidden="1" outlineLevel="2" x14ac:dyDescent="0.35">
      <c r="A667" s="180" t="s">
        <v>2087</v>
      </c>
      <c r="B667" s="2"/>
      <c r="C667" s="11"/>
      <c r="D667" s="11"/>
      <c r="E667" s="16" t="str">
        <f>'Non-Life Risk'!$T287</f>
        <v>Property all inclusive</v>
      </c>
      <c r="F667" s="232"/>
      <c r="G667" s="232"/>
      <c r="H667" s="393" t="str">
        <f>'Non-Life Risk'!$U287</f>
        <v>Property</v>
      </c>
      <c r="O667" s="608"/>
      <c r="Q667" s="3"/>
    </row>
    <row r="668" spans="1:18" hidden="1" outlineLevel="2" x14ac:dyDescent="0.35">
      <c r="A668" s="180" t="s">
        <v>2087</v>
      </c>
      <c r="B668" s="2"/>
      <c r="C668" s="11"/>
      <c r="D668" s="11"/>
      <c r="E668" s="16" t="str">
        <f>'Non-Life Risk'!$T288</f>
        <v>Motor all inclusive</v>
      </c>
      <c r="F668" s="232"/>
      <c r="G668" s="232"/>
      <c r="H668" s="393" t="str">
        <f>'Non-Life Risk'!$U288</f>
        <v>Motor</v>
      </c>
      <c r="O668" s="608"/>
      <c r="Q668" s="394"/>
      <c r="R668" s="217"/>
    </row>
    <row r="669" spans="1:18" hidden="1" outlineLevel="2" x14ac:dyDescent="0.35">
      <c r="A669" s="180" t="s">
        <v>2087</v>
      </c>
      <c r="B669" s="2"/>
      <c r="C669" s="11"/>
      <c r="D669" s="11"/>
      <c r="E669" s="16" t="str">
        <f>'Non-Life Risk'!$T289</f>
        <v>Credit</v>
      </c>
      <c r="F669" s="232"/>
      <c r="G669" s="232"/>
      <c r="H669" s="393" t="str">
        <f>'Non-Life Risk'!$U289</f>
        <v>Financial</v>
      </c>
      <c r="O669" s="608"/>
      <c r="Q669" s="3"/>
    </row>
    <row r="670" spans="1:18" hidden="1" outlineLevel="2" x14ac:dyDescent="0.35">
      <c r="A670" s="180" t="s">
        <v>2087</v>
      </c>
      <c r="B670" s="2"/>
      <c r="C670" s="11"/>
      <c r="D670" s="11"/>
      <c r="E670" s="16" t="str">
        <f>'Non-Life Risk'!$T290</f>
        <v>Fidelity</v>
      </c>
      <c r="F670" s="232"/>
      <c r="G670" s="232"/>
      <c r="H670" s="393" t="str">
        <f>'Non-Life Risk'!$U290</f>
        <v>Financial</v>
      </c>
      <c r="O670" s="608"/>
      <c r="Q670" s="3"/>
    </row>
    <row r="671" spans="1:18" hidden="1" outlineLevel="2" x14ac:dyDescent="0.35">
      <c r="A671" s="180" t="s">
        <v>2087</v>
      </c>
      <c r="B671" s="2"/>
      <c r="C671" s="11"/>
      <c r="D671" s="11"/>
      <c r="E671" s="16" t="str">
        <f>'Non-Life Risk'!$T291</f>
        <v>Surety</v>
      </c>
      <c r="F671" s="232"/>
      <c r="G671" s="232"/>
      <c r="H671" s="393" t="str">
        <f>'Non-Life Risk'!$U291</f>
        <v>Financial</v>
      </c>
      <c r="O671" s="608"/>
      <c r="Q671" s="3"/>
    </row>
    <row r="672" spans="1:18" hidden="1" outlineLevel="2" x14ac:dyDescent="0.35">
      <c r="A672" s="180" t="s">
        <v>2087</v>
      </c>
      <c r="B672" s="2"/>
      <c r="C672" s="11"/>
      <c r="D672" s="11"/>
      <c r="E672" s="16" t="str">
        <f>'Non-Life Risk'!$T292</f>
        <v>Accident &amp; health</v>
      </c>
      <c r="F672" s="232"/>
      <c r="G672" s="232"/>
      <c r="H672" s="393" t="str">
        <f>'Non-Life Risk'!$U292</f>
        <v>Health</v>
      </c>
      <c r="O672" s="608"/>
      <c r="Q672" s="3"/>
    </row>
    <row r="673" spans="1:20" hidden="1" outlineLevel="2" x14ac:dyDescent="0.35">
      <c r="A673" s="180" t="s">
        <v>2087</v>
      </c>
      <c r="B673" s="2"/>
      <c r="C673" s="11"/>
      <c r="D673" s="11"/>
      <c r="E673" s="16" t="str">
        <f>'Non-Life Risk'!$T293</f>
        <v>Health &amp; medical exp</v>
      </c>
      <c r="F673" s="232"/>
      <c r="G673" s="232"/>
      <c r="H673" s="393" t="str">
        <f>'Non-Life Risk'!$U293</f>
        <v>Health</v>
      </c>
      <c r="O673" s="608"/>
      <c r="Q673" s="3"/>
    </row>
    <row r="674" spans="1:20" hidden="1" outlineLevel="2" x14ac:dyDescent="0.35">
      <c r="A674" s="180" t="s">
        <v>2087</v>
      </c>
      <c r="B674" s="2"/>
      <c r="D674" s="11"/>
      <c r="E674" s="16" t="str">
        <f>'Non-Life Risk'!$T294</f>
        <v>Marine aviation - all inclusive</v>
      </c>
      <c r="F674" s="232"/>
      <c r="G674" s="232"/>
      <c r="H674" s="393" t="str">
        <f>'Non-Life Risk'!$U294</f>
        <v>MAT</v>
      </c>
      <c r="O674" s="608"/>
      <c r="Q674" s="3"/>
    </row>
    <row r="675" spans="1:20" hidden="1" outlineLevel="2" x14ac:dyDescent="0.35">
      <c r="A675" s="180" t="s">
        <v>2087</v>
      </c>
      <c r="B675" s="2"/>
      <c r="D675" s="11"/>
      <c r="E675" s="16" t="str">
        <f>'Non-Life Risk'!$T295</f>
        <v>Marine aviation - cargo</v>
      </c>
      <c r="F675" s="232"/>
      <c r="G675" s="232"/>
      <c r="H675" s="393" t="str">
        <f>'Non-Life Risk'!$U295</f>
        <v>MAT</v>
      </c>
      <c r="O675" s="608"/>
      <c r="Q675" s="3"/>
    </row>
    <row r="676" spans="1:20" hidden="1" outlineLevel="2" x14ac:dyDescent="0.35">
      <c r="A676" s="180" t="s">
        <v>2087</v>
      </c>
      <c r="B676" s="2"/>
      <c r="D676" s="11"/>
      <c r="E676" s="16" t="str">
        <f>'Non-Life Risk'!$T296</f>
        <v>Marine protection &amp; indemnity</v>
      </c>
      <c r="F676" s="232"/>
      <c r="G676" s="232"/>
      <c r="H676" s="393" t="str">
        <f>'Non-Life Risk'!$U296</f>
        <v>MAT</v>
      </c>
      <c r="O676" s="608"/>
      <c r="Q676" s="3"/>
    </row>
    <row r="677" spans="1:20" hidden="1" outlineLevel="2" x14ac:dyDescent="0.35">
      <c r="A677" s="180" t="s">
        <v>2087</v>
      </c>
      <c r="B677" s="391"/>
      <c r="C677" s="369"/>
      <c r="D677" s="11"/>
      <c r="E677" s="16" t="str">
        <f>'Non-Life Risk'!$T297</f>
        <v>Travel</v>
      </c>
      <c r="F677" s="232"/>
      <c r="G677" s="232"/>
      <c r="H677" s="393" t="str">
        <f>'Non-Life Risk'!$U297</f>
        <v>Other</v>
      </c>
      <c r="O677" s="608"/>
      <c r="Q677" s="3"/>
    </row>
    <row r="678" spans="1:20" hidden="1" outlineLevel="2" x14ac:dyDescent="0.35">
      <c r="A678" s="180" t="s">
        <v>2087</v>
      </c>
      <c r="B678" s="2"/>
      <c r="D678" s="11"/>
      <c r="E678" s="16" t="str">
        <f>'Non-Life Risk'!$T298</f>
        <v>Warranty</v>
      </c>
      <c r="F678" s="232"/>
      <c r="G678" s="232"/>
      <c r="H678" s="393" t="str">
        <f>'Non-Life Risk'!$U298</f>
        <v>Other</v>
      </c>
      <c r="O678" s="608"/>
      <c r="Q678" s="3"/>
    </row>
    <row r="679" spans="1:20" hidden="1" outlineLevel="2" x14ac:dyDescent="0.35">
      <c r="A679" s="180" t="s">
        <v>2087</v>
      </c>
      <c r="B679" s="2"/>
      <c r="D679" s="11"/>
      <c r="E679" s="16" t="str">
        <f>'Non-Life Risk'!$T299</f>
        <v>Other</v>
      </c>
      <c r="F679" s="232"/>
      <c r="G679" s="232"/>
      <c r="H679" s="393" t="str">
        <f>'Non-Life Risk'!$U299</f>
        <v>Other</v>
      </c>
      <c r="O679" s="608"/>
      <c r="Q679" s="3"/>
    </row>
    <row r="680" spans="1:20" hidden="1" outlineLevel="2" x14ac:dyDescent="0.35">
      <c r="B680" s="2"/>
      <c r="D680" s="11"/>
      <c r="Q680" s="3"/>
    </row>
    <row r="681" spans="1:20" hidden="1" outlineLevel="2" x14ac:dyDescent="0.35">
      <c r="B681" s="2"/>
      <c r="D681" s="11"/>
      <c r="F681" s="729" t="s">
        <v>351</v>
      </c>
      <c r="G681" s="729"/>
      <c r="H681" s="11"/>
      <c r="I681" s="11"/>
      <c r="O681" s="608"/>
      <c r="Q681" s="3"/>
    </row>
    <row r="682" spans="1:20" hidden="1" outlineLevel="2" x14ac:dyDescent="0.35">
      <c r="B682" s="2"/>
      <c r="D682" s="11"/>
      <c r="E682" s="369" t="s">
        <v>260</v>
      </c>
      <c r="F682" s="236">
        <f t="shared" ref="F682:F688" si="4">SUMIFS($F$575:$F$679,$H$575:$H$679,$E682)</f>
        <v>0</v>
      </c>
      <c r="G682" s="236">
        <f t="shared" ref="G682:G688" si="5">SUMIFS($G$575:$G$679,$H$575:$H$679,$E682)</f>
        <v>0</v>
      </c>
      <c r="H682" s="16"/>
      <c r="I682" s="11"/>
      <c r="O682" s="608"/>
      <c r="Q682" s="3"/>
    </row>
    <row r="683" spans="1:20" hidden="1" outlineLevel="2" x14ac:dyDescent="0.35">
      <c r="B683" s="2"/>
      <c r="D683" s="11"/>
      <c r="E683" s="369" t="s">
        <v>258</v>
      </c>
      <c r="F683" s="236">
        <f t="shared" si="4"/>
        <v>0</v>
      </c>
      <c r="G683" s="236">
        <f t="shared" si="5"/>
        <v>0</v>
      </c>
      <c r="K683" s="16"/>
      <c r="L683" s="16"/>
      <c r="M683" s="396"/>
      <c r="O683" s="608"/>
      <c r="Q683" s="3"/>
    </row>
    <row r="684" spans="1:20" hidden="1" outlineLevel="2" x14ac:dyDescent="0.35">
      <c r="B684" s="2"/>
      <c r="D684" s="11"/>
      <c r="E684" s="369" t="s">
        <v>259</v>
      </c>
      <c r="F684" s="236">
        <f t="shared" si="4"/>
        <v>0</v>
      </c>
      <c r="G684" s="236">
        <f t="shared" si="5"/>
        <v>0</v>
      </c>
      <c r="K684" s="369"/>
      <c r="L684" s="369"/>
      <c r="M684" s="369"/>
      <c r="O684" s="608"/>
      <c r="Q684" s="3"/>
    </row>
    <row r="685" spans="1:20" hidden="1" outlineLevel="2" x14ac:dyDescent="0.35">
      <c r="B685" s="2"/>
      <c r="D685" s="11"/>
      <c r="E685" s="369" t="s">
        <v>9</v>
      </c>
      <c r="F685" s="236">
        <f t="shared" si="4"/>
        <v>0</v>
      </c>
      <c r="G685" s="236">
        <f t="shared" si="5"/>
        <v>0</v>
      </c>
      <c r="K685" s="369"/>
      <c r="L685" s="369"/>
      <c r="M685" s="369"/>
      <c r="O685" s="608"/>
      <c r="Q685" s="3"/>
    </row>
    <row r="686" spans="1:20" hidden="1" outlineLevel="2" x14ac:dyDescent="0.35">
      <c r="B686" s="2"/>
      <c r="D686" s="11"/>
      <c r="E686" s="369" t="s">
        <v>261</v>
      </c>
      <c r="F686" s="236">
        <f t="shared" si="4"/>
        <v>0</v>
      </c>
      <c r="G686" s="236">
        <f t="shared" si="5"/>
        <v>0</v>
      </c>
      <c r="K686" s="369"/>
      <c r="L686" s="369"/>
      <c r="M686" s="369"/>
      <c r="O686" s="608"/>
      <c r="Q686" s="3"/>
    </row>
    <row r="687" spans="1:20" hidden="1" outlineLevel="2" x14ac:dyDescent="0.35">
      <c r="B687" s="2"/>
      <c r="D687" s="11"/>
      <c r="E687" s="369" t="s">
        <v>411</v>
      </c>
      <c r="F687" s="236">
        <f t="shared" si="4"/>
        <v>0</v>
      </c>
      <c r="G687" s="236">
        <f t="shared" si="5"/>
        <v>0</v>
      </c>
      <c r="K687" s="369"/>
      <c r="L687" s="369"/>
      <c r="M687" s="369"/>
      <c r="O687" s="608"/>
      <c r="Q687" s="3"/>
    </row>
    <row r="688" spans="1:20" hidden="1" outlineLevel="2" x14ac:dyDescent="0.35">
      <c r="B688" s="2"/>
      <c r="D688" s="11"/>
      <c r="E688" s="369" t="s">
        <v>262</v>
      </c>
      <c r="F688" s="236">
        <f t="shared" si="4"/>
        <v>0</v>
      </c>
      <c r="G688" s="236">
        <f t="shared" si="5"/>
        <v>0</v>
      </c>
      <c r="K688" s="369"/>
      <c r="L688" s="369"/>
      <c r="M688" s="369"/>
      <c r="O688" s="608"/>
      <c r="Q688" s="3"/>
      <c r="T688" s="360">
        <f>Q571-F690</f>
        <v>0</v>
      </c>
    </row>
    <row r="689" spans="1:21" hidden="1" outlineLevel="2" x14ac:dyDescent="0.35">
      <c r="B689" s="2"/>
      <c r="F689" s="395"/>
      <c r="G689" s="395"/>
      <c r="Q689" s="3"/>
      <c r="T689" s="346">
        <f>IF(F690=0,0,ABS(T688/F690))</f>
        <v>0</v>
      </c>
      <c r="U689" s="346"/>
    </row>
    <row r="690" spans="1:21" hidden="1" outlineLevel="2" x14ac:dyDescent="0.35">
      <c r="B690" s="2"/>
      <c r="E690" s="5" t="s">
        <v>2111</v>
      </c>
      <c r="F690" s="751"/>
      <c r="G690" s="751"/>
      <c r="O690" s="608"/>
      <c r="Q690" s="3"/>
      <c r="S690">
        <f>IF(T690&gt;Error_Check_Precision,1,0)</f>
        <v>0</v>
      </c>
      <c r="T690" s="347">
        <f>IF(OR(F690=0,ISERROR(T689)),0,T689)</f>
        <v>0</v>
      </c>
      <c r="U690" s="347"/>
    </row>
    <row r="691" spans="1:21" hidden="1" outlineLevel="2" x14ac:dyDescent="0.35">
      <c r="B691" s="2"/>
      <c r="E691" s="5"/>
      <c r="N691" s="15"/>
      <c r="Q691" s="3"/>
      <c r="T691" s="347"/>
      <c r="U691" s="347"/>
    </row>
    <row r="692" spans="1:21" ht="15" outlineLevel="1" collapsed="1" thickBot="1" x14ac:dyDescent="0.4">
      <c r="A692" s="180" t="s">
        <v>2087</v>
      </c>
      <c r="B692" s="348"/>
      <c r="C692" s="22"/>
      <c r="D692" s="22"/>
      <c r="E692" s="22"/>
      <c r="F692" s="22"/>
      <c r="G692" s="22"/>
      <c r="H692" s="22"/>
      <c r="I692" s="22"/>
      <c r="J692" s="22"/>
      <c r="K692" s="22"/>
      <c r="L692" s="22"/>
      <c r="M692" s="22"/>
      <c r="N692" s="22"/>
      <c r="O692" s="609"/>
      <c r="P692" s="22"/>
      <c r="Q692" s="349"/>
    </row>
    <row r="693" spans="1:21" ht="15.5" outlineLevel="1" x14ac:dyDescent="0.35">
      <c r="A693" s="180" t="s">
        <v>2087</v>
      </c>
      <c r="B693" s="337" t="s">
        <v>4395</v>
      </c>
      <c r="C693" s="338"/>
      <c r="D693" s="338"/>
      <c r="E693" s="339"/>
      <c r="F693" s="339"/>
      <c r="G693" s="339"/>
      <c r="H693" s="339"/>
      <c r="I693" s="339"/>
      <c r="J693" s="339"/>
      <c r="K693" s="339"/>
      <c r="L693" s="339"/>
      <c r="M693" s="339"/>
      <c r="N693" s="339"/>
      <c r="O693" s="607"/>
      <c r="P693" s="638" t="s">
        <v>967</v>
      </c>
      <c r="Q693" s="650">
        <f>SUM(F696:F698,G696:G698)</f>
        <v>0</v>
      </c>
      <c r="R693" s="44"/>
    </row>
    <row r="694" spans="1:21" hidden="1" outlineLevel="2" x14ac:dyDescent="0.35">
      <c r="B694" s="2"/>
      <c r="O694" s="474"/>
      <c r="Q694" s="3"/>
    </row>
    <row r="695" spans="1:21" ht="52" hidden="1" outlineLevel="2" x14ac:dyDescent="0.35">
      <c r="A695" s="397"/>
      <c r="B695" s="2"/>
      <c r="F695" s="30" t="s">
        <v>282</v>
      </c>
      <c r="G695" s="30" t="s">
        <v>283</v>
      </c>
      <c r="Q695" s="3"/>
    </row>
    <row r="696" spans="1:21" hidden="1" outlineLevel="2" x14ac:dyDescent="0.35">
      <c r="A696" s="397"/>
      <c r="B696" s="2"/>
      <c r="D696" s="11"/>
      <c r="E696" s="33" t="s">
        <v>821</v>
      </c>
      <c r="F696" s="670"/>
      <c r="G696" s="670"/>
      <c r="I696" s="115"/>
      <c r="O696" s="608"/>
      <c r="Q696" s="3"/>
    </row>
    <row r="697" spans="1:21" hidden="1" outlineLevel="2" x14ac:dyDescent="0.35">
      <c r="A697" s="397"/>
      <c r="B697" s="2"/>
      <c r="E697" s="33" t="s">
        <v>4460</v>
      </c>
      <c r="F697" s="670"/>
      <c r="G697" s="670"/>
      <c r="H697" s="87" t="s">
        <v>4459</v>
      </c>
      <c r="I697" s="200">
        <v>0.2</v>
      </c>
      <c r="O697" s="608"/>
      <c r="Q697" s="3"/>
    </row>
    <row r="698" spans="1:21" hidden="1" outlineLevel="2" x14ac:dyDescent="0.35">
      <c r="B698" s="2"/>
      <c r="D698" s="11"/>
      <c r="E698" s="49" t="s">
        <v>1078</v>
      </c>
      <c r="F698" s="670"/>
      <c r="G698" s="670"/>
      <c r="O698" s="608"/>
      <c r="Q698" s="3"/>
    </row>
    <row r="699" spans="1:21" hidden="1" outlineLevel="2" x14ac:dyDescent="0.35">
      <c r="B699" s="2"/>
      <c r="Q699" s="3"/>
    </row>
    <row r="700" spans="1:21" ht="15" outlineLevel="1" collapsed="1" thickBot="1" x14ac:dyDescent="0.4">
      <c r="A700" s="180" t="s">
        <v>2087</v>
      </c>
      <c r="B700" s="348"/>
      <c r="C700" s="22"/>
      <c r="D700" s="22"/>
      <c r="E700" s="22"/>
      <c r="F700" s="22"/>
      <c r="G700" s="22"/>
      <c r="H700" s="22"/>
      <c r="I700" s="22"/>
      <c r="J700" s="22"/>
      <c r="K700" s="22"/>
      <c r="L700" s="22"/>
      <c r="M700" s="22"/>
      <c r="N700" s="22"/>
      <c r="O700" s="609"/>
      <c r="P700" s="22"/>
      <c r="Q700" s="349"/>
    </row>
    <row r="701" spans="1:21" ht="15.5" outlineLevel="1" x14ac:dyDescent="0.35">
      <c r="A701" s="180" t="s">
        <v>2087</v>
      </c>
      <c r="B701" s="337" t="s">
        <v>4396</v>
      </c>
      <c r="C701" s="23"/>
      <c r="D701" s="23"/>
      <c r="E701" s="398"/>
      <c r="F701" s="23"/>
      <c r="G701" s="24" t="s">
        <v>245</v>
      </c>
      <c r="H701" s="619" t="str">
        <f>IF(SUM(S706:S711)&gt;0,Error_Message&amp;" Input values for both 200 &amp; 500 year return periods and if available, 250 or 333 year return periods",IF(S712&gt;0,Error_Message&amp;" All rows should have the same columns filled in.",  IF(S713&gt;0,Error_Message &amp; " " &amp; E707 &amp; " should be input, when " &amp; E706 &amp; " has any information.","")))</f>
        <v/>
      </c>
      <c r="I701" s="24"/>
      <c r="J701" s="340"/>
      <c r="K701" s="24"/>
      <c r="L701" s="24"/>
      <c r="M701" s="24"/>
      <c r="N701" s="24"/>
      <c r="O701" s="600"/>
      <c r="P701" s="638" t="str">
        <f>IF(LEFT(inp_nat_cat_is_aep_curve_available,3)="Yes","Net Loss (200 yr)",IF(inp_nat_cat_is_aep_curve_available="No",E716,""))</f>
        <v>Net Loss (200 yr)</v>
      </c>
      <c r="Q701" s="654">
        <f>IF(LEFT(inp_nat_cat_is_aep_curve_available,3)="Yes",F712,IF(inp_nat_cat_is_aep_curve_available="No",inp_nat_cat_cl_99_5_charge,""))</f>
        <v>0</v>
      </c>
      <c r="R701" s="399"/>
    </row>
    <row r="702" spans="1:21" hidden="1" outlineLevel="2" x14ac:dyDescent="0.35">
      <c r="B702" s="400"/>
      <c r="C702" s="88"/>
      <c r="I702" s="11"/>
      <c r="J702" s="11"/>
      <c r="K702" s="11"/>
      <c r="L702" s="11"/>
      <c r="O702" s="474" t="s">
        <v>3102</v>
      </c>
      <c r="Q702" s="316"/>
      <c r="R702" s="317"/>
    </row>
    <row r="703" spans="1:21" hidden="1" outlineLevel="2" x14ac:dyDescent="0.35">
      <c r="B703" s="400"/>
      <c r="C703" s="88"/>
      <c r="E703" s="16" t="s">
        <v>963</v>
      </c>
      <c r="F703" s="215" t="s">
        <v>3107</v>
      </c>
      <c r="G703" s="88"/>
      <c r="I703" s="11"/>
      <c r="J703" s="11"/>
      <c r="K703" s="11"/>
      <c r="L703" s="11"/>
      <c r="O703" s="608"/>
      <c r="Q703" s="316"/>
      <c r="R703" s="317"/>
      <c r="T703" t="b">
        <f>inp_nat_cat_is_aep_curve_available&lt;&gt;"No"</f>
        <v>1</v>
      </c>
    </row>
    <row r="704" spans="1:21" ht="12.65" hidden="1" customHeight="1" outlineLevel="2" x14ac:dyDescent="0.35">
      <c r="B704" s="400"/>
      <c r="C704" s="88"/>
      <c r="F704" s="732" t="s">
        <v>4076</v>
      </c>
      <c r="G704" s="732"/>
      <c r="H704" s="732"/>
      <c r="I704" s="732"/>
      <c r="J704" s="11"/>
      <c r="K704" s="11"/>
      <c r="L704" s="11"/>
      <c r="Q704" s="316"/>
      <c r="R704" s="317"/>
    </row>
    <row r="705" spans="1:25" hidden="1" outlineLevel="2" x14ac:dyDescent="0.35">
      <c r="B705" s="400"/>
      <c r="C705" s="88"/>
      <c r="F705" s="476" t="s">
        <v>4077</v>
      </c>
      <c r="G705" s="476" t="s">
        <v>4078</v>
      </c>
      <c r="H705" s="476" t="s">
        <v>4079</v>
      </c>
      <c r="I705" s="476" t="s">
        <v>4080</v>
      </c>
      <c r="J705" s="88" t="s">
        <v>1118</v>
      </c>
      <c r="K705" s="11"/>
      <c r="L705" s="11"/>
      <c r="Q705" s="316"/>
      <c r="R705" s="317"/>
    </row>
    <row r="706" spans="1:25" hidden="1" outlineLevel="2" x14ac:dyDescent="0.35">
      <c r="B706" s="400"/>
      <c r="C706" s="88"/>
      <c r="E706" s="16" t="s">
        <v>2177</v>
      </c>
      <c r="F706" s="668"/>
      <c r="G706" s="668"/>
      <c r="H706" s="668"/>
      <c r="I706" s="668"/>
      <c r="J706" s="11" t="str">
        <f t="shared" ref="J706:J711" si="6">IF(AND($T$703,S706=1),Error_Message,"")</f>
        <v/>
      </c>
      <c r="K706" s="11"/>
      <c r="L706" s="11"/>
      <c r="O706" s="608"/>
      <c r="Q706" s="316"/>
      <c r="R706" s="317"/>
      <c r="S706">
        <f>IF(NOT($T$703),0, IF(_xlfn.XOR(T706,W706),1, IF(AND(NOT(X706),OR(NOT(U706),NOT(V706))),1,0)))</f>
        <v>0</v>
      </c>
      <c r="T706" t="b">
        <f>OR(ISBLANK(F706),F706=0)</f>
        <v>1</v>
      </c>
      <c r="U706" t="b">
        <f t="shared" ref="U706:W706" si="7">OR(ISBLANK(G706),G706=0)</f>
        <v>1</v>
      </c>
      <c r="V706" t="b">
        <f t="shared" si="7"/>
        <v>1</v>
      </c>
      <c r="W706" t="b">
        <f t="shared" si="7"/>
        <v>1</v>
      </c>
      <c r="X706" t="b">
        <f>AND(F706&gt;0,I706&gt;0)</f>
        <v>0</v>
      </c>
      <c r="Y706" s="359">
        <f>COUNTA(F706:I706)</f>
        <v>0</v>
      </c>
    </row>
    <row r="707" spans="1:25" hidden="1" outlineLevel="2" x14ac:dyDescent="0.35">
      <c r="B707" s="400"/>
      <c r="C707" s="88"/>
      <c r="E707" s="16" t="s">
        <v>2178</v>
      </c>
      <c r="F707" s="668"/>
      <c r="G707" s="668"/>
      <c r="H707" s="668"/>
      <c r="I707" s="668"/>
      <c r="J707" s="11" t="str">
        <f t="shared" si="6"/>
        <v/>
      </c>
      <c r="K707" s="11"/>
      <c r="L707" s="11"/>
      <c r="O707" s="608"/>
      <c r="Q707" s="316"/>
      <c r="R707" s="317"/>
      <c r="S707">
        <f t="shared" ref="S707:S711" si="8">IF(NOT($T$703),0, IF(_xlfn.XOR(T707,W707),1, IF(AND(NOT(X707),OR(NOT(U707),NOT(V707))),1,0)))</f>
        <v>0</v>
      </c>
      <c r="T707" t="b">
        <f t="shared" ref="T707:T711" si="9">OR(ISBLANK(F707),F707=0)</f>
        <v>1</v>
      </c>
      <c r="U707" t="b">
        <f t="shared" ref="U707:U711" si="10">OR(ISBLANK(G707),G707=0)</f>
        <v>1</v>
      </c>
      <c r="V707" t="b">
        <f t="shared" ref="V707:V711" si="11">OR(ISBLANK(H707),H707=0)</f>
        <v>1</v>
      </c>
      <c r="W707" t="b">
        <f t="shared" ref="W707:W711" si="12">OR(ISBLANK(I707),I707=0)</f>
        <v>1</v>
      </c>
      <c r="X707" t="b">
        <f t="shared" ref="X707:X711" si="13">AND(F707&gt;0,I707&gt;0)</f>
        <v>0</v>
      </c>
      <c r="Y707" s="359">
        <f t="shared" ref="Y707:Y711" si="14">COUNTA(F707:I707)</f>
        <v>0</v>
      </c>
    </row>
    <row r="708" spans="1:25" hidden="1" outlineLevel="2" x14ac:dyDescent="0.35">
      <c r="B708" s="400"/>
      <c r="C708" s="88"/>
      <c r="E708" s="16" t="s">
        <v>3085</v>
      </c>
      <c r="F708" s="668"/>
      <c r="G708" s="668"/>
      <c r="H708" s="668"/>
      <c r="I708" s="668"/>
      <c r="J708" s="11" t="str">
        <f t="shared" si="6"/>
        <v/>
      </c>
      <c r="K708" s="11"/>
      <c r="L708" s="11"/>
      <c r="O708" s="608"/>
      <c r="Q708" s="316"/>
      <c r="R708" s="317"/>
      <c r="S708">
        <f t="shared" si="8"/>
        <v>0</v>
      </c>
      <c r="T708" t="b">
        <f t="shared" si="9"/>
        <v>1</v>
      </c>
      <c r="U708" t="b">
        <f t="shared" si="10"/>
        <v>1</v>
      </c>
      <c r="V708" t="b">
        <f t="shared" si="11"/>
        <v>1</v>
      </c>
      <c r="W708" t="b">
        <f t="shared" si="12"/>
        <v>1</v>
      </c>
      <c r="X708" t="b">
        <f t="shared" si="13"/>
        <v>0</v>
      </c>
      <c r="Y708" s="359">
        <f t="shared" si="14"/>
        <v>0</v>
      </c>
    </row>
    <row r="709" spans="1:25" hidden="1" outlineLevel="2" x14ac:dyDescent="0.35">
      <c r="B709" s="400"/>
      <c r="C709" s="88"/>
      <c r="E709" s="16" t="s">
        <v>3086</v>
      </c>
      <c r="F709" s="668"/>
      <c r="G709" s="668"/>
      <c r="H709" s="668"/>
      <c r="I709" s="668"/>
      <c r="J709" s="11" t="str">
        <f t="shared" si="6"/>
        <v/>
      </c>
      <c r="K709" s="11"/>
      <c r="L709" s="11"/>
      <c r="O709" s="608"/>
      <c r="Q709" s="316"/>
      <c r="R709" s="317"/>
      <c r="S709">
        <f t="shared" si="8"/>
        <v>0</v>
      </c>
      <c r="T709" t="b">
        <f t="shared" si="9"/>
        <v>1</v>
      </c>
      <c r="U709" t="b">
        <f t="shared" si="10"/>
        <v>1</v>
      </c>
      <c r="V709" t="b">
        <f t="shared" si="11"/>
        <v>1</v>
      </c>
      <c r="W709" t="b">
        <f t="shared" si="12"/>
        <v>1</v>
      </c>
      <c r="X709" t="b">
        <f t="shared" si="13"/>
        <v>0</v>
      </c>
      <c r="Y709" s="359">
        <f t="shared" si="14"/>
        <v>0</v>
      </c>
    </row>
    <row r="710" spans="1:25" hidden="1" outlineLevel="2" x14ac:dyDescent="0.35">
      <c r="B710" s="400"/>
      <c r="C710" s="88"/>
      <c r="E710" s="16" t="s">
        <v>2115</v>
      </c>
      <c r="F710" s="668"/>
      <c r="G710" s="668"/>
      <c r="H710" s="668"/>
      <c r="I710" s="668"/>
      <c r="J710" s="11" t="str">
        <f t="shared" si="6"/>
        <v/>
      </c>
      <c r="K710" s="11"/>
      <c r="L710" s="11"/>
      <c r="O710" s="608"/>
      <c r="Q710" s="316"/>
      <c r="R710" s="317"/>
      <c r="S710">
        <f t="shared" si="8"/>
        <v>0</v>
      </c>
      <c r="T710" t="b">
        <f t="shared" si="9"/>
        <v>1</v>
      </c>
      <c r="U710" t="b">
        <f t="shared" si="10"/>
        <v>1</v>
      </c>
      <c r="V710" t="b">
        <f t="shared" si="11"/>
        <v>1</v>
      </c>
      <c r="W710" t="b">
        <f t="shared" si="12"/>
        <v>1</v>
      </c>
      <c r="X710" t="b">
        <f t="shared" si="13"/>
        <v>0</v>
      </c>
      <c r="Y710" s="359">
        <f t="shared" si="14"/>
        <v>0</v>
      </c>
    </row>
    <row r="711" spans="1:25" hidden="1" outlineLevel="2" x14ac:dyDescent="0.35">
      <c r="B711" s="400"/>
      <c r="C711" s="88"/>
      <c r="E711" s="16" t="s">
        <v>2116</v>
      </c>
      <c r="F711" s="668"/>
      <c r="G711" s="668"/>
      <c r="H711" s="668"/>
      <c r="I711" s="668"/>
      <c r="J711" s="11" t="str">
        <f t="shared" si="6"/>
        <v/>
      </c>
      <c r="K711" s="11"/>
      <c r="L711" s="11"/>
      <c r="O711" s="608"/>
      <c r="Q711" s="316"/>
      <c r="R711" s="317"/>
      <c r="S711">
        <f t="shared" si="8"/>
        <v>0</v>
      </c>
      <c r="T711" t="b">
        <f t="shared" si="9"/>
        <v>1</v>
      </c>
      <c r="U711" t="b">
        <f t="shared" si="10"/>
        <v>1</v>
      </c>
      <c r="V711" t="b">
        <f t="shared" si="11"/>
        <v>1</v>
      </c>
      <c r="W711" t="b">
        <f t="shared" si="12"/>
        <v>1</v>
      </c>
      <c r="X711" t="b">
        <f t="shared" si="13"/>
        <v>0</v>
      </c>
      <c r="Y711" s="359">
        <f t="shared" si="14"/>
        <v>0</v>
      </c>
    </row>
    <row r="712" spans="1:25" hidden="1" outlineLevel="2" x14ac:dyDescent="0.35">
      <c r="B712" s="400"/>
      <c r="C712" s="88"/>
      <c r="E712" s="16" t="s">
        <v>2117</v>
      </c>
      <c r="F712" s="236">
        <f>F707-F710+F711</f>
        <v>0</v>
      </c>
      <c r="G712" s="236">
        <f>G707-G710+G711</f>
        <v>0</v>
      </c>
      <c r="H712" s="236">
        <f>H707-H710+H711</f>
        <v>0</v>
      </c>
      <c r="I712" s="236">
        <f>I707-I710+I711</f>
        <v>0</v>
      </c>
      <c r="J712" s="88"/>
      <c r="K712" s="88"/>
      <c r="L712" s="88"/>
      <c r="M712" s="88"/>
      <c r="O712" s="608"/>
      <c r="Q712" s="316"/>
      <c r="R712" s="317"/>
      <c r="S712">
        <f>IF(OR(X712&gt;1,Y712&gt;1),1,0)</f>
        <v>0</v>
      </c>
      <c r="T712" s="9">
        <f>COUNTA(F706:F711)</f>
        <v>0</v>
      </c>
      <c r="U712" s="9">
        <f t="shared" ref="U712:W712" si="15">COUNTA(G706:G711)</f>
        <v>0</v>
      </c>
      <c r="V712" s="9">
        <f t="shared" si="15"/>
        <v>0</v>
      </c>
      <c r="W712" s="9">
        <f t="shared" si="15"/>
        <v>0</v>
      </c>
      <c r="X712" s="9" cm="1">
        <f t="array" ref="X712">COUNTA(_xlfn.UNIQUE(_xlfn._xlws.FILTER(T712:W712, T712:W712&lt;&gt;0),TRUE))</f>
        <v>1</v>
      </c>
      <c r="Y712" s="359" cm="1">
        <f t="array" ref="Y712">COUNTA(_xlfn.UNIQUE(_xlfn._xlws.FILTER(Y706:Y711,Y706:Y711&lt;&gt;0)))</f>
        <v>1</v>
      </c>
    </row>
    <row r="713" spans="1:25" hidden="1" outlineLevel="2" x14ac:dyDescent="0.35">
      <c r="B713" s="400"/>
      <c r="C713" s="88"/>
      <c r="E713" s="18"/>
      <c r="F713" s="88"/>
      <c r="G713" s="88"/>
      <c r="J713" s="88"/>
      <c r="K713" s="88"/>
      <c r="L713" s="88"/>
      <c r="M713" s="88"/>
      <c r="Q713" s="316"/>
      <c r="R713" s="317"/>
      <c r="S713">
        <f>IF(AND(Y706&gt;0,Y707=0),1,0)</f>
        <v>0</v>
      </c>
    </row>
    <row r="714" spans="1:25" hidden="1" outlineLevel="2" x14ac:dyDescent="0.35">
      <c r="B714" s="400"/>
      <c r="C714" s="88"/>
      <c r="E714" s="16" t="s">
        <v>2179</v>
      </c>
      <c r="F714" s="668"/>
      <c r="G714" s="88"/>
      <c r="J714" s="11"/>
      <c r="K714" s="11"/>
      <c r="L714" s="11"/>
      <c r="O714" s="608"/>
      <c r="Q714" s="316"/>
      <c r="R714" s="317"/>
    </row>
    <row r="715" spans="1:25" hidden="1" outlineLevel="2" x14ac:dyDescent="0.35">
      <c r="B715" s="400"/>
      <c r="Q715" s="316"/>
      <c r="R715" s="317"/>
    </row>
    <row r="716" spans="1:25" hidden="1" outlineLevel="2" x14ac:dyDescent="0.35">
      <c r="B716" s="400"/>
      <c r="E716" s="16" t="s">
        <v>2113</v>
      </c>
      <c r="F716" s="668"/>
      <c r="I716" s="16" t="s">
        <v>4375</v>
      </c>
      <c r="J716" s="668"/>
      <c r="O716" s="608"/>
      <c r="Q716" s="316"/>
      <c r="R716" s="317"/>
    </row>
    <row r="717" spans="1:25" hidden="1" outlineLevel="2" x14ac:dyDescent="0.35">
      <c r="B717" s="2"/>
      <c r="Q717" s="3"/>
    </row>
    <row r="718" spans="1:25" outlineLevel="1" collapsed="1" x14ac:dyDescent="0.35">
      <c r="A718" s="180" t="s">
        <v>2087</v>
      </c>
      <c r="B718" s="348"/>
      <c r="C718" s="22"/>
      <c r="D718" s="22"/>
      <c r="E718" s="22"/>
      <c r="F718" s="22"/>
      <c r="G718" s="22"/>
      <c r="H718" s="22"/>
      <c r="I718" s="22"/>
      <c r="J718" s="22"/>
      <c r="K718" s="22"/>
      <c r="L718" s="22"/>
      <c r="M718" s="22"/>
      <c r="N718" s="22"/>
      <c r="O718" s="609"/>
      <c r="P718" s="22"/>
      <c r="Q718" s="349"/>
    </row>
    <row r="719" spans="1:25" ht="19" thickBot="1" x14ac:dyDescent="0.4">
      <c r="A719" s="180" t="s">
        <v>2087</v>
      </c>
      <c r="B719" s="25"/>
      <c r="C719" s="401"/>
      <c r="D719" s="401"/>
      <c r="E719" s="402"/>
      <c r="F719" s="402"/>
      <c r="G719" s="402"/>
      <c r="H719" s="402"/>
      <c r="I719" s="402"/>
      <c r="J719" s="403"/>
      <c r="K719" s="402"/>
      <c r="L719" s="402"/>
      <c r="M719" s="402"/>
      <c r="N719" s="402"/>
      <c r="O719" s="613"/>
      <c r="P719" s="404"/>
      <c r="Q719" s="405"/>
      <c r="R719" s="390"/>
    </row>
    <row r="720" spans="1:25" ht="19" thickBot="1" x14ac:dyDescent="0.4">
      <c r="A720" s="180" t="s">
        <v>2087</v>
      </c>
      <c r="B720" s="331" t="s">
        <v>4392</v>
      </c>
      <c r="C720" s="332"/>
      <c r="D720" s="332"/>
      <c r="E720" s="333"/>
      <c r="F720" s="333"/>
      <c r="G720" s="333"/>
      <c r="H720" s="333"/>
      <c r="I720" s="333"/>
      <c r="J720" s="388"/>
      <c r="K720" s="333"/>
      <c r="L720" s="333"/>
      <c r="M720" s="333"/>
      <c r="N720" s="333"/>
      <c r="O720" s="606"/>
      <c r="P720" s="335"/>
      <c r="Q720" s="389"/>
      <c r="R720" s="390"/>
    </row>
    <row r="721" spans="1:18" ht="15.5" outlineLevel="1" x14ac:dyDescent="0.35">
      <c r="A721" s="180" t="s">
        <v>2087</v>
      </c>
      <c r="B721" s="337" t="s">
        <v>4397</v>
      </c>
      <c r="C721" s="338"/>
      <c r="D721" s="338"/>
      <c r="E721" s="339"/>
      <c r="F721" s="339"/>
      <c r="G721" s="339"/>
      <c r="H721" s="339"/>
      <c r="I721" s="339"/>
      <c r="J721" s="339"/>
      <c r="K721" s="339"/>
      <c r="L721" s="339"/>
      <c r="M721" s="339"/>
      <c r="N721" s="339"/>
      <c r="O721" s="607"/>
      <c r="P721" s="638" t="s">
        <v>4720</v>
      </c>
      <c r="Q721" s="650">
        <f>F727</f>
        <v>0</v>
      </c>
      <c r="R721" s="44"/>
    </row>
    <row r="722" spans="1:18" ht="15.5" hidden="1" outlineLevel="2" x14ac:dyDescent="0.35">
      <c r="B722" s="406"/>
      <c r="C722" s="342"/>
      <c r="D722" s="342"/>
      <c r="O722" s="474" t="s">
        <v>3102</v>
      </c>
      <c r="Q722" s="3"/>
    </row>
    <row r="723" spans="1:18" ht="26.5" hidden="1" outlineLevel="2" x14ac:dyDescent="0.35">
      <c r="B723" s="406"/>
      <c r="C723" s="342"/>
      <c r="D723" s="342"/>
      <c r="F723" s="407" t="s">
        <v>4719</v>
      </c>
      <c r="Q723" s="3"/>
    </row>
    <row r="724" spans="1:18" ht="15.5" hidden="1" outlineLevel="2" x14ac:dyDescent="0.35">
      <c r="B724" s="406"/>
      <c r="C724" s="342"/>
      <c r="D724" s="342"/>
      <c r="E724" s="16" t="s">
        <v>2118</v>
      </c>
      <c r="F724" s="668"/>
      <c r="O724" s="608"/>
      <c r="Q724" s="3"/>
    </row>
    <row r="725" spans="1:18" ht="15.5" hidden="1" outlineLevel="2" x14ac:dyDescent="0.35">
      <c r="B725" s="406"/>
      <c r="C725" s="342"/>
      <c r="D725" s="342"/>
      <c r="E725" s="16" t="s">
        <v>2119</v>
      </c>
      <c r="F725" s="668"/>
      <c r="O725" s="608"/>
      <c r="Q725" s="3"/>
    </row>
    <row r="726" spans="1:18" ht="15.5" hidden="1" outlineLevel="2" x14ac:dyDescent="0.35">
      <c r="B726" s="406"/>
      <c r="C726" s="342"/>
      <c r="D726" s="342"/>
      <c r="E726" s="16"/>
      <c r="F726" s="11"/>
      <c r="Q726" s="3"/>
    </row>
    <row r="727" spans="1:18" ht="15.5" hidden="1" outlineLevel="2" x14ac:dyDescent="0.35">
      <c r="B727" s="406"/>
      <c r="C727" s="342"/>
      <c r="D727" s="342"/>
      <c r="E727" s="408" t="s">
        <v>4720</v>
      </c>
      <c r="F727" s="231">
        <f>F724+F725</f>
        <v>0</v>
      </c>
      <c r="O727" s="608"/>
      <c r="Q727" s="3"/>
    </row>
    <row r="728" spans="1:18" ht="15.5" hidden="1" outlineLevel="2" x14ac:dyDescent="0.35">
      <c r="B728" s="406"/>
      <c r="C728" s="342"/>
      <c r="D728" s="342"/>
      <c r="E728" s="16" t="s">
        <v>4721</v>
      </c>
      <c r="F728" s="16"/>
      <c r="Q728" s="3"/>
    </row>
    <row r="729" spans="1:18" ht="15.5" hidden="1" outlineLevel="2" x14ac:dyDescent="0.35">
      <c r="B729" s="406"/>
      <c r="C729" s="342"/>
      <c r="D729" s="342"/>
      <c r="E729" s="16" t="s">
        <v>4722</v>
      </c>
      <c r="F729" s="668"/>
      <c r="O729" s="608"/>
      <c r="Q729" s="3"/>
    </row>
    <row r="730" spans="1:18" ht="15.5" hidden="1" outlineLevel="2" x14ac:dyDescent="0.35">
      <c r="B730" s="406"/>
      <c r="C730" s="342"/>
      <c r="D730" s="342"/>
      <c r="E730" s="342"/>
      <c r="F730" s="342"/>
      <c r="G730" s="342"/>
      <c r="Q730" s="3"/>
    </row>
    <row r="731" spans="1:18" ht="15" outlineLevel="1" collapsed="1" thickBot="1" x14ac:dyDescent="0.4">
      <c r="A731" s="180" t="s">
        <v>2087</v>
      </c>
      <c r="B731" s="348"/>
      <c r="C731" s="22"/>
      <c r="D731" s="22"/>
      <c r="E731" s="22"/>
      <c r="F731" s="22"/>
      <c r="G731" s="22"/>
      <c r="H731" s="22"/>
      <c r="I731" s="22"/>
      <c r="J731" s="22"/>
      <c r="K731" s="22"/>
      <c r="L731" s="22"/>
      <c r="M731" s="22"/>
      <c r="N731" s="22"/>
      <c r="O731" s="609"/>
      <c r="P731" s="22"/>
      <c r="Q731" s="349"/>
    </row>
    <row r="732" spans="1:18" ht="15.5" outlineLevel="1" x14ac:dyDescent="0.35">
      <c r="A732" s="180" t="s">
        <v>2087</v>
      </c>
      <c r="B732" s="337" t="s">
        <v>4398</v>
      </c>
      <c r="C732" s="338"/>
      <c r="D732" s="338"/>
      <c r="E732" s="339"/>
      <c r="F732" s="339"/>
      <c r="G732" s="339"/>
      <c r="H732" s="339"/>
      <c r="I732" s="339"/>
      <c r="J732" s="339"/>
      <c r="K732" s="339"/>
      <c r="L732" s="339"/>
      <c r="M732" s="339"/>
      <c r="N732" s="339"/>
      <c r="O732" s="607"/>
      <c r="P732" s="638" t="s">
        <v>4720</v>
      </c>
      <c r="Q732" s="650">
        <f>SUM(F735:F736)</f>
        <v>0</v>
      </c>
      <c r="R732" s="44"/>
    </row>
    <row r="733" spans="1:18" ht="15.5" hidden="1" outlineLevel="2" x14ac:dyDescent="0.35">
      <c r="B733" s="406"/>
      <c r="C733" s="342"/>
      <c r="D733" s="342"/>
      <c r="O733" s="474" t="s">
        <v>3102</v>
      </c>
      <c r="Q733" s="3"/>
    </row>
    <row r="734" spans="1:18" ht="26.5" hidden="1" outlineLevel="2" x14ac:dyDescent="0.35">
      <c r="B734" s="406"/>
      <c r="C734" s="342"/>
      <c r="D734" s="342"/>
      <c r="F734" s="407" t="s">
        <v>4719</v>
      </c>
      <c r="Q734" s="3"/>
    </row>
    <row r="735" spans="1:18" ht="15.5" hidden="1" outlineLevel="2" x14ac:dyDescent="0.35">
      <c r="B735" s="406"/>
      <c r="C735" s="342"/>
      <c r="D735" s="342"/>
      <c r="E735" s="16" t="s">
        <v>2118</v>
      </c>
      <c r="F735" s="215"/>
      <c r="O735" s="608"/>
      <c r="Q735" s="3"/>
    </row>
    <row r="736" spans="1:18" ht="15.5" hidden="1" outlineLevel="2" x14ac:dyDescent="0.35">
      <c r="B736" s="406"/>
      <c r="C736" s="342"/>
      <c r="D736" s="342"/>
      <c r="E736" s="16" t="s">
        <v>2119</v>
      </c>
      <c r="F736" s="215"/>
      <c r="O736" s="608"/>
      <c r="Q736" s="3"/>
    </row>
    <row r="737" spans="1:18" ht="15.5" hidden="1" outlineLevel="2" x14ac:dyDescent="0.35">
      <c r="B737" s="406"/>
      <c r="C737" s="342"/>
      <c r="D737" s="342"/>
      <c r="Q737" s="3"/>
    </row>
    <row r="738" spans="1:18" ht="16" outlineLevel="1" collapsed="1" thickBot="1" x14ac:dyDescent="0.4">
      <c r="A738" s="180" t="s">
        <v>2087</v>
      </c>
      <c r="B738" s="409"/>
      <c r="C738" s="410"/>
      <c r="D738" s="410"/>
      <c r="E738" s="411"/>
      <c r="F738" s="412"/>
      <c r="G738" s="22"/>
      <c r="H738" s="22"/>
      <c r="I738" s="22"/>
      <c r="J738" s="22"/>
      <c r="K738" s="22"/>
      <c r="L738" s="22"/>
      <c r="M738" s="22"/>
      <c r="N738" s="22"/>
      <c r="O738" s="609"/>
      <c r="P738" s="22"/>
      <c r="Q738" s="349"/>
    </row>
    <row r="739" spans="1:18" ht="15.5" outlineLevel="1" x14ac:dyDescent="0.35">
      <c r="A739" s="180" t="s">
        <v>2087</v>
      </c>
      <c r="B739" s="337" t="s">
        <v>4399</v>
      </c>
      <c r="C739" s="338"/>
      <c r="D739" s="338"/>
      <c r="E739" s="339"/>
      <c r="F739" s="339"/>
      <c r="G739" s="339"/>
      <c r="H739" s="339"/>
      <c r="I739" s="339"/>
      <c r="J739" s="339"/>
      <c r="K739" s="339"/>
      <c r="L739" s="339"/>
      <c r="M739" s="339"/>
      <c r="N739" s="339"/>
      <c r="O739" s="607"/>
      <c r="P739" s="638" t="s">
        <v>967</v>
      </c>
      <c r="Q739" s="650">
        <f>SUM(F742:F749)+F752</f>
        <v>0</v>
      </c>
      <c r="R739" s="44"/>
    </row>
    <row r="740" spans="1:18" ht="15.5" hidden="1" outlineLevel="2" x14ac:dyDescent="0.35">
      <c r="B740" s="406"/>
      <c r="C740" s="342"/>
      <c r="D740" s="342"/>
      <c r="O740" s="474" t="s">
        <v>3102</v>
      </c>
      <c r="Q740" s="3"/>
    </row>
    <row r="741" spans="1:18" ht="26.5" hidden="1" outlineLevel="2" x14ac:dyDescent="0.35">
      <c r="B741" s="406"/>
      <c r="C741" s="342"/>
      <c r="D741" s="350" t="s">
        <v>2120</v>
      </c>
      <c r="F741" s="413" t="s">
        <v>2122</v>
      </c>
      <c r="Q741" s="3"/>
    </row>
    <row r="742" spans="1:18" ht="15.5" hidden="1" outlineLevel="2" x14ac:dyDescent="0.35">
      <c r="B742" s="406"/>
      <c r="C742" s="342"/>
      <c r="D742" s="342"/>
      <c r="E742" s="16" t="s">
        <v>811</v>
      </c>
      <c r="F742" s="668"/>
      <c r="H742" s="217"/>
      <c r="O742" s="608"/>
      <c r="Q742" s="3"/>
    </row>
    <row r="743" spans="1:18" ht="15.5" hidden="1" outlineLevel="2" x14ac:dyDescent="0.35">
      <c r="B743" s="406"/>
      <c r="C743" s="342"/>
      <c r="D743" s="342"/>
      <c r="E743" s="16" t="s">
        <v>772</v>
      </c>
      <c r="F743" s="668"/>
      <c r="H743" s="217"/>
      <c r="O743" s="608"/>
      <c r="Q743" s="3"/>
    </row>
    <row r="744" spans="1:18" ht="15.5" hidden="1" outlineLevel="2" x14ac:dyDescent="0.35">
      <c r="B744" s="406"/>
      <c r="C744" s="342"/>
      <c r="D744" s="342"/>
      <c r="E744" s="16" t="s">
        <v>773</v>
      </c>
      <c r="F744" s="668"/>
      <c r="O744" s="608"/>
      <c r="Q744" s="3"/>
    </row>
    <row r="745" spans="1:18" ht="15.5" hidden="1" outlineLevel="2" x14ac:dyDescent="0.35">
      <c r="B745" s="406"/>
      <c r="C745" s="342"/>
      <c r="D745" s="342"/>
      <c r="E745" s="16" t="s">
        <v>774</v>
      </c>
      <c r="F745" s="668"/>
      <c r="O745" s="608"/>
      <c r="Q745" s="3"/>
    </row>
    <row r="746" spans="1:18" ht="15.5" hidden="1" outlineLevel="2" x14ac:dyDescent="0.35">
      <c r="B746" s="406"/>
      <c r="C746" s="342"/>
      <c r="D746" s="342"/>
      <c r="E746" s="16" t="s">
        <v>775</v>
      </c>
      <c r="F746" s="668"/>
      <c r="O746" s="608"/>
      <c r="Q746" s="3"/>
    </row>
    <row r="747" spans="1:18" ht="15.5" hidden="1" outlineLevel="2" x14ac:dyDescent="0.35">
      <c r="B747" s="406"/>
      <c r="C747" s="342"/>
      <c r="D747" s="342"/>
      <c r="E747" s="16" t="s">
        <v>776</v>
      </c>
      <c r="F747" s="668"/>
      <c r="O747" s="608"/>
      <c r="Q747" s="3"/>
    </row>
    <row r="748" spans="1:18" ht="15.5" hidden="1" outlineLevel="2" x14ac:dyDescent="0.35">
      <c r="B748" s="406"/>
      <c r="C748" s="342"/>
      <c r="D748" s="342"/>
      <c r="E748" s="16" t="s">
        <v>777</v>
      </c>
      <c r="F748" s="668"/>
      <c r="O748" s="608"/>
      <c r="Q748" s="3"/>
    </row>
    <row r="749" spans="1:18" ht="15.5" hidden="1" outlineLevel="2" x14ac:dyDescent="0.35">
      <c r="B749" s="406"/>
      <c r="C749" s="342"/>
      <c r="D749" s="342"/>
      <c r="E749" s="16" t="s">
        <v>778</v>
      </c>
      <c r="F749" s="668"/>
      <c r="O749" s="608"/>
      <c r="Q749" s="3"/>
    </row>
    <row r="750" spans="1:18" ht="15.5" hidden="1" outlineLevel="2" x14ac:dyDescent="0.35">
      <c r="B750" s="406"/>
      <c r="C750" s="342"/>
      <c r="D750" s="350" t="s">
        <v>2121</v>
      </c>
      <c r="F750" s="342"/>
      <c r="Q750" s="3"/>
    </row>
    <row r="751" spans="1:18" ht="15.5" hidden="1" outlineLevel="2" x14ac:dyDescent="0.35">
      <c r="B751" s="406"/>
      <c r="C751" s="342"/>
      <c r="D751" s="342"/>
      <c r="F751" s="414" t="s">
        <v>292</v>
      </c>
      <c r="Q751" s="3"/>
    </row>
    <row r="752" spans="1:18" hidden="1" outlineLevel="2" x14ac:dyDescent="0.35">
      <c r="B752" s="2"/>
      <c r="E752" s="16" t="s">
        <v>791</v>
      </c>
      <c r="F752" s="668"/>
      <c r="O752" s="608"/>
      <c r="Q752" s="3"/>
    </row>
    <row r="753" spans="1:18" ht="15.5" hidden="1" outlineLevel="2" x14ac:dyDescent="0.35">
      <c r="B753" s="406"/>
      <c r="C753" s="342"/>
      <c r="D753" s="342"/>
      <c r="E753" s="16"/>
      <c r="G753" s="342"/>
      <c r="Q753" s="3"/>
    </row>
    <row r="754" spans="1:18" ht="16" outlineLevel="1" collapsed="1" thickBot="1" x14ac:dyDescent="0.4">
      <c r="A754" s="180" t="s">
        <v>2087</v>
      </c>
      <c r="B754" s="409"/>
      <c r="C754" s="410"/>
      <c r="D754" s="410"/>
      <c r="E754" s="411"/>
      <c r="F754" s="410"/>
      <c r="G754" s="22"/>
      <c r="H754" s="22"/>
      <c r="I754" s="22"/>
      <c r="J754" s="22"/>
      <c r="K754" s="22"/>
      <c r="L754" s="22"/>
      <c r="M754" s="22"/>
      <c r="N754" s="22"/>
      <c r="O754" s="609"/>
      <c r="P754" s="22"/>
      <c r="Q754" s="349"/>
    </row>
    <row r="755" spans="1:18" ht="15.5" outlineLevel="1" x14ac:dyDescent="0.35">
      <c r="A755" s="180" t="s">
        <v>2087</v>
      </c>
      <c r="B755" s="337" t="s">
        <v>4400</v>
      </c>
      <c r="C755" s="338"/>
      <c r="D755" s="338"/>
      <c r="E755" s="339"/>
      <c r="F755" s="339"/>
      <c r="G755" s="339"/>
      <c r="H755" s="339"/>
      <c r="I755" s="339"/>
      <c r="J755" s="339"/>
      <c r="K755" s="339"/>
      <c r="L755" s="339"/>
      <c r="M755" s="339"/>
      <c r="N755" s="339"/>
      <c r="O755" s="607"/>
      <c r="P755" s="638" t="s">
        <v>967</v>
      </c>
      <c r="Q755" s="650">
        <f>SUM(F758:F762)</f>
        <v>0</v>
      </c>
      <c r="R755" s="44"/>
    </row>
    <row r="756" spans="1:18" ht="15.5" hidden="1" outlineLevel="2" x14ac:dyDescent="0.35">
      <c r="B756" s="406"/>
      <c r="C756" s="342"/>
      <c r="D756" s="342"/>
      <c r="O756" s="474" t="s">
        <v>3102</v>
      </c>
      <c r="Q756" s="3"/>
    </row>
    <row r="757" spans="1:18" ht="15.5" hidden="1" outlineLevel="2" x14ac:dyDescent="0.35">
      <c r="B757" s="406"/>
      <c r="C757" s="342"/>
      <c r="D757" s="342"/>
      <c r="E757" s="29" t="s">
        <v>813</v>
      </c>
      <c r="F757" s="415"/>
      <c r="Q757" s="3"/>
    </row>
    <row r="758" spans="1:18" ht="15.5" hidden="1" outlineLevel="2" x14ac:dyDescent="0.35">
      <c r="B758" s="406"/>
      <c r="C758" s="342"/>
      <c r="D758" s="342"/>
      <c r="E758" s="16" t="s">
        <v>914</v>
      </c>
      <c r="F758" s="668"/>
      <c r="O758" s="608"/>
      <c r="Q758" s="3"/>
    </row>
    <row r="759" spans="1:18" ht="15.5" hidden="1" outlineLevel="2" x14ac:dyDescent="0.35">
      <c r="B759" s="406"/>
      <c r="C759" s="342"/>
      <c r="D759" s="342"/>
      <c r="E759" s="29" t="s">
        <v>812</v>
      </c>
      <c r="F759" s="217"/>
      <c r="H759" s="217"/>
      <c r="Q759" s="3"/>
    </row>
    <row r="760" spans="1:18" ht="15.5" hidden="1" outlineLevel="2" x14ac:dyDescent="0.35">
      <c r="B760" s="406"/>
      <c r="C760" s="342"/>
      <c r="D760" s="342"/>
      <c r="E760" s="16" t="s">
        <v>818</v>
      </c>
      <c r="F760" s="668"/>
      <c r="H760" s="217"/>
      <c r="O760" s="608"/>
      <c r="Q760" s="3"/>
    </row>
    <row r="761" spans="1:18" ht="15.5" hidden="1" outlineLevel="2" x14ac:dyDescent="0.35">
      <c r="B761" s="406"/>
      <c r="C761" s="342"/>
      <c r="D761" s="342"/>
      <c r="E761" s="16" t="s">
        <v>819</v>
      </c>
      <c r="F761" s="668"/>
      <c r="H761" s="217"/>
      <c r="O761" s="608"/>
      <c r="Q761" s="3"/>
    </row>
    <row r="762" spans="1:18" ht="15.5" hidden="1" outlineLevel="2" x14ac:dyDescent="0.35">
      <c r="B762" s="406"/>
      <c r="C762" s="342"/>
      <c r="D762" s="342"/>
      <c r="E762" s="16" t="s">
        <v>2123</v>
      </c>
      <c r="F762" s="668"/>
      <c r="O762" s="608"/>
      <c r="Q762" s="3"/>
    </row>
    <row r="763" spans="1:18" ht="15.5" hidden="1" outlineLevel="2" x14ac:dyDescent="0.35">
      <c r="B763" s="406"/>
      <c r="C763" s="342"/>
      <c r="D763" s="342"/>
      <c r="E763" s="16" t="s">
        <v>4157</v>
      </c>
      <c r="F763" s="668"/>
      <c r="Q763" s="3"/>
    </row>
    <row r="764" spans="1:18" ht="15.5" hidden="1" outlineLevel="2" x14ac:dyDescent="0.35">
      <c r="B764" s="406"/>
      <c r="C764" s="342"/>
      <c r="D764" s="342"/>
      <c r="E764" s="342"/>
      <c r="F764" s="342"/>
      <c r="G764" s="342"/>
      <c r="Q764" s="3"/>
    </row>
    <row r="765" spans="1:18" ht="16" outlineLevel="1" collapsed="1" thickBot="1" x14ac:dyDescent="0.4">
      <c r="A765" s="180" t="s">
        <v>2087</v>
      </c>
      <c r="B765" s="409"/>
      <c r="C765" s="410"/>
      <c r="D765" s="410"/>
      <c r="E765" s="410"/>
      <c r="F765" s="410"/>
      <c r="G765" s="410"/>
      <c r="H765" s="22"/>
      <c r="I765" s="22"/>
      <c r="J765" s="22"/>
      <c r="K765" s="22"/>
      <c r="L765" s="22"/>
      <c r="M765" s="22"/>
      <c r="N765" s="22"/>
      <c r="O765" s="609"/>
      <c r="P765" s="22"/>
      <c r="Q765" s="349"/>
    </row>
    <row r="766" spans="1:18" ht="15.5" outlineLevel="1" x14ac:dyDescent="0.35">
      <c r="A766" s="180" t="s">
        <v>2087</v>
      </c>
      <c r="B766" s="337" t="s">
        <v>4401</v>
      </c>
      <c r="C766" s="338"/>
      <c r="D766" s="338"/>
      <c r="E766" s="339"/>
      <c r="F766" s="339"/>
      <c r="G766" s="339"/>
      <c r="H766" s="339"/>
      <c r="I766" s="339"/>
      <c r="J766" s="339"/>
      <c r="K766" s="339"/>
      <c r="L766" s="339"/>
      <c r="M766" s="339"/>
      <c r="N766" s="339"/>
      <c r="O766" s="607"/>
      <c r="P766" s="638" t="s">
        <v>967</v>
      </c>
      <c r="Q766" s="650">
        <f>F774</f>
        <v>0</v>
      </c>
      <c r="R766" s="44"/>
    </row>
    <row r="767" spans="1:18" ht="15.5" hidden="1" outlineLevel="2" x14ac:dyDescent="0.35">
      <c r="B767" s="367"/>
      <c r="C767" s="342"/>
      <c r="D767" s="342"/>
      <c r="E767" s="228" t="s">
        <v>2124</v>
      </c>
      <c r="G767" s="37" t="s">
        <v>2129</v>
      </c>
      <c r="O767" s="474" t="s">
        <v>3102</v>
      </c>
      <c r="P767" s="369"/>
      <c r="Q767" s="370"/>
      <c r="R767" s="44"/>
    </row>
    <row r="768" spans="1:18" hidden="1" outlineLevel="2" x14ac:dyDescent="0.35">
      <c r="B768" s="2"/>
      <c r="E768" s="16" t="s">
        <v>2125</v>
      </c>
      <c r="F768" s="484"/>
      <c r="G768" s="241">
        <f>1</f>
        <v>1</v>
      </c>
      <c r="H768" s="26"/>
      <c r="O768" s="472"/>
      <c r="Q768" s="3"/>
    </row>
    <row r="769" spans="1:18" hidden="1" outlineLevel="2" x14ac:dyDescent="0.35">
      <c r="B769" s="2"/>
      <c r="E769" s="16" t="s">
        <v>2126</v>
      </c>
      <c r="F769" s="484"/>
      <c r="G769" s="241">
        <f>1</f>
        <v>1</v>
      </c>
      <c r="H769" s="26"/>
      <c r="O769" s="472"/>
      <c r="Q769" s="3"/>
    </row>
    <row r="770" spans="1:18" hidden="1" outlineLevel="2" x14ac:dyDescent="0.35">
      <c r="B770" s="2"/>
      <c r="E770" s="16" t="s">
        <v>1093</v>
      </c>
      <c r="F770" s="484"/>
      <c r="G770" s="241">
        <f>2</f>
        <v>2</v>
      </c>
      <c r="H770" s="26"/>
      <c r="O770" s="472"/>
      <c r="Q770" s="3"/>
    </row>
    <row r="771" spans="1:18" hidden="1" outlineLevel="2" x14ac:dyDescent="0.35">
      <c r="B771" s="2"/>
      <c r="E771" s="49" t="s">
        <v>1094</v>
      </c>
      <c r="F771" s="484"/>
      <c r="G771" s="8">
        <f>3</f>
        <v>3</v>
      </c>
      <c r="H771" s="26"/>
      <c r="O771" s="472"/>
      <c r="Q771" s="3"/>
    </row>
    <row r="772" spans="1:18" hidden="1" outlineLevel="2" x14ac:dyDescent="0.35">
      <c r="B772" s="2"/>
      <c r="E772" s="16" t="s">
        <v>4106</v>
      </c>
      <c r="F772" s="742" t="s">
        <v>4100</v>
      </c>
      <c r="G772" s="742"/>
      <c r="H772" s="26"/>
      <c r="O772" s="472"/>
      <c r="Q772" s="3"/>
    </row>
    <row r="773" spans="1:18" hidden="1" outlineLevel="2" x14ac:dyDescent="0.35">
      <c r="B773" s="2"/>
      <c r="E773" s="5"/>
      <c r="H773" s="26"/>
      <c r="O773" s="594"/>
      <c r="Q773" s="3"/>
    </row>
    <row r="774" spans="1:18" hidden="1" outlineLevel="2" x14ac:dyDescent="0.35">
      <c r="B774" s="2"/>
      <c r="E774" s="5" t="s">
        <v>770</v>
      </c>
      <c r="F774" s="174">
        <f>SUM(F768:F771)</f>
        <v>0</v>
      </c>
      <c r="H774" s="26"/>
      <c r="O774" s="472"/>
      <c r="Q774" s="3"/>
    </row>
    <row r="775" spans="1:18" hidden="1" outlineLevel="2" x14ac:dyDescent="0.35">
      <c r="B775" s="2"/>
      <c r="E775" s="5"/>
      <c r="H775" s="26"/>
      <c r="N775" s="15"/>
      <c r="Q775" s="3"/>
    </row>
    <row r="776" spans="1:18" ht="15" outlineLevel="1" collapsed="1" thickBot="1" x14ac:dyDescent="0.4">
      <c r="A776" s="180" t="s">
        <v>2087</v>
      </c>
      <c r="B776" s="348"/>
      <c r="C776" s="22"/>
      <c r="D776" s="22"/>
      <c r="E776" s="22"/>
      <c r="F776" s="22"/>
      <c r="G776" s="22"/>
      <c r="H776" s="22"/>
      <c r="I776" s="22"/>
      <c r="J776" s="22"/>
      <c r="K776" s="22"/>
      <c r="L776" s="22"/>
      <c r="M776" s="22"/>
      <c r="N776" s="22"/>
      <c r="O776" s="609"/>
      <c r="P776" s="22"/>
      <c r="Q776" s="349"/>
    </row>
    <row r="777" spans="1:18" ht="15.5" outlineLevel="1" x14ac:dyDescent="0.35">
      <c r="A777" s="180" t="s">
        <v>2087</v>
      </c>
      <c r="B777" s="337" t="s">
        <v>4402</v>
      </c>
      <c r="C777" s="338"/>
      <c r="D777" s="338"/>
      <c r="E777" s="339"/>
      <c r="F777" s="339"/>
      <c r="G777" s="339"/>
      <c r="H777" s="340" t="str">
        <f>IF(S802=1,Error_Message &amp; " Difference = " &amp; TEXT(T800, "#,##0.00"),IF(AND(F752&gt;0,F783&lt;F752),"Warning: PHI/Disability/Critical Illness should include disability reserves entered above.", ""))</f>
        <v/>
      </c>
      <c r="I777" s="339"/>
      <c r="J777" s="340"/>
      <c r="K777" s="339"/>
      <c r="L777" s="339"/>
      <c r="M777" s="339"/>
      <c r="N777" s="339"/>
      <c r="O777" s="607"/>
      <c r="P777" s="638" t="s">
        <v>967</v>
      </c>
      <c r="Q777" s="650">
        <f>SUM(F782:F800)</f>
        <v>0</v>
      </c>
      <c r="R777" s="44"/>
    </row>
    <row r="778" spans="1:18" ht="15.5" hidden="1" outlineLevel="2" x14ac:dyDescent="0.35">
      <c r="B778" s="367"/>
      <c r="C778" s="342"/>
      <c r="D778" s="342"/>
      <c r="O778" s="474" t="s">
        <v>3102</v>
      </c>
      <c r="Q778" s="370"/>
      <c r="R778" s="44"/>
    </row>
    <row r="779" spans="1:18" ht="26" hidden="1" outlineLevel="2" x14ac:dyDescent="0.35">
      <c r="B779" s="2"/>
      <c r="E779" s="228" t="s">
        <v>1090</v>
      </c>
      <c r="F779" s="688" t="s">
        <v>2127</v>
      </c>
      <c r="G779" s="689" t="s">
        <v>1181</v>
      </c>
      <c r="H779" s="416" t="s">
        <v>2128</v>
      </c>
      <c r="I779" s="416" t="s">
        <v>2129</v>
      </c>
      <c r="Q779" s="3"/>
    </row>
    <row r="780" spans="1:18" ht="29.25" hidden="1" customHeight="1" outlineLevel="2" x14ac:dyDescent="0.35">
      <c r="B780" s="2"/>
      <c r="E780" s="408" t="s">
        <v>756</v>
      </c>
      <c r="Q780" s="3"/>
    </row>
    <row r="781" spans="1:18" hidden="1" outlineLevel="2" x14ac:dyDescent="0.35">
      <c r="B781" s="2"/>
      <c r="E781" s="417" t="s">
        <v>757</v>
      </c>
      <c r="K781" s="217"/>
      <c r="Q781" s="3"/>
    </row>
    <row r="782" spans="1:18" hidden="1" outlineLevel="2" x14ac:dyDescent="0.35">
      <c r="B782" s="2"/>
      <c r="E782" s="418" t="s">
        <v>758</v>
      </c>
      <c r="F782" s="668"/>
      <c r="G782" s="419">
        <v>0</v>
      </c>
      <c r="H782" s="419">
        <v>0</v>
      </c>
      <c r="I782" s="359">
        <f>'Life Risk'!D131</f>
        <v>3</v>
      </c>
      <c r="O782" s="608"/>
      <c r="Q782" s="3"/>
    </row>
    <row r="783" spans="1:18" hidden="1" outlineLevel="2" x14ac:dyDescent="0.35">
      <c r="B783" s="2"/>
      <c r="E783" s="418" t="s">
        <v>2852</v>
      </c>
      <c r="F783" s="668"/>
      <c r="G783" s="419">
        <v>0</v>
      </c>
      <c r="H783" s="419">
        <v>0</v>
      </c>
      <c r="I783" s="359">
        <f>'Life Risk'!D132</f>
        <v>3</v>
      </c>
      <c r="O783" s="608"/>
      <c r="Q783" s="3"/>
    </row>
    <row r="784" spans="1:18" hidden="1" outlineLevel="2" x14ac:dyDescent="0.35">
      <c r="B784" s="2"/>
      <c r="E784" s="418" t="s">
        <v>245</v>
      </c>
      <c r="F784" s="420"/>
      <c r="G784" s="421"/>
      <c r="H784" s="421"/>
      <c r="I784" s="359"/>
      <c r="Q784" s="3"/>
    </row>
    <row r="785" spans="2:21" hidden="1" outlineLevel="2" x14ac:dyDescent="0.35">
      <c r="B785" s="2"/>
      <c r="E785" s="418" t="s">
        <v>759</v>
      </c>
      <c r="F785" s="668"/>
      <c r="G785" s="204"/>
      <c r="H785" s="204"/>
      <c r="I785" s="359">
        <f>'Life Risk'!D134</f>
        <v>1</v>
      </c>
      <c r="O785" s="608"/>
      <c r="Q785" s="3"/>
    </row>
    <row r="786" spans="2:21" hidden="1" outlineLevel="2" x14ac:dyDescent="0.35">
      <c r="B786" s="2"/>
      <c r="G786" s="421"/>
      <c r="H786" s="421"/>
      <c r="I786" s="359"/>
      <c r="Q786" s="3"/>
    </row>
    <row r="787" spans="2:21" hidden="1" outlineLevel="2" x14ac:dyDescent="0.35">
      <c r="B787" s="2"/>
      <c r="E787" s="418" t="s">
        <v>1156</v>
      </c>
      <c r="F787" s="668"/>
      <c r="G787" s="419">
        <v>0</v>
      </c>
      <c r="H787" s="419">
        <v>0</v>
      </c>
      <c r="I787" s="359">
        <f>'Life Risk'!D136</f>
        <v>3</v>
      </c>
      <c r="O787" s="608"/>
      <c r="Q787" s="3"/>
    </row>
    <row r="788" spans="2:21" hidden="1" outlineLevel="2" x14ac:dyDescent="0.35">
      <c r="B788" s="2"/>
      <c r="E788" s="418" t="s">
        <v>1157</v>
      </c>
      <c r="F788" s="668"/>
      <c r="G788" s="419">
        <v>0</v>
      </c>
      <c r="H788" s="204"/>
      <c r="I788" s="359">
        <f>'Life Risk'!D137</f>
        <v>2</v>
      </c>
      <c r="O788" s="608"/>
      <c r="Q788" s="3"/>
    </row>
    <row r="789" spans="2:21" hidden="1" outlineLevel="2" x14ac:dyDescent="0.35">
      <c r="B789" s="2"/>
      <c r="E789" s="422" t="s">
        <v>1158</v>
      </c>
      <c r="F789" s="668"/>
      <c r="G789" s="204"/>
      <c r="H789" s="204"/>
      <c r="I789" s="359">
        <f>'Life Risk'!D138</f>
        <v>1</v>
      </c>
      <c r="O789" s="608"/>
      <c r="Q789" s="3"/>
    </row>
    <row r="790" spans="2:21" hidden="1" outlineLevel="2" x14ac:dyDescent="0.35">
      <c r="B790" s="2"/>
      <c r="G790" s="421"/>
      <c r="H790" s="421"/>
      <c r="I790" s="359"/>
      <c r="Q790" s="3"/>
    </row>
    <row r="791" spans="2:21" hidden="1" outlineLevel="2" x14ac:dyDescent="0.35">
      <c r="B791" s="2"/>
      <c r="E791" s="418" t="s">
        <v>2853</v>
      </c>
      <c r="F791" s="668"/>
      <c r="G791" s="419">
        <v>0</v>
      </c>
      <c r="H791" s="204"/>
      <c r="I791" s="359">
        <f>'Life Risk'!D140</f>
        <v>1</v>
      </c>
      <c r="O791" s="608"/>
      <c r="Q791" s="3"/>
    </row>
    <row r="792" spans="2:21" hidden="1" outlineLevel="2" x14ac:dyDescent="0.35">
      <c r="B792" s="2"/>
      <c r="E792" s="418" t="s">
        <v>2854</v>
      </c>
      <c r="F792" s="668"/>
      <c r="G792" s="419">
        <v>0</v>
      </c>
      <c r="H792" s="419">
        <v>0</v>
      </c>
      <c r="I792" s="359">
        <f>'Life Risk'!D141</f>
        <v>3</v>
      </c>
      <c r="O792" s="608"/>
      <c r="Q792" s="3"/>
    </row>
    <row r="793" spans="2:21" hidden="1" outlineLevel="2" x14ac:dyDescent="0.35">
      <c r="B793" s="2"/>
      <c r="E793" s="417" t="s">
        <v>764</v>
      </c>
      <c r="G793" s="421"/>
      <c r="H793" s="421"/>
      <c r="I793" s="359"/>
      <c r="Q793" s="3"/>
    </row>
    <row r="794" spans="2:21" hidden="1" outlineLevel="2" x14ac:dyDescent="0.35">
      <c r="B794" s="2"/>
      <c r="E794" s="687" t="s">
        <v>302</v>
      </c>
      <c r="F794" s="668"/>
      <c r="G794" s="204"/>
      <c r="H794" s="204"/>
      <c r="I794" s="359">
        <f>'Life Risk'!D143</f>
        <v>1</v>
      </c>
      <c r="O794" s="608"/>
      <c r="Q794" s="3"/>
    </row>
    <row r="795" spans="2:21" hidden="1" outlineLevel="2" x14ac:dyDescent="0.35">
      <c r="B795" s="2"/>
      <c r="E795" s="418" t="s">
        <v>2861</v>
      </c>
      <c r="F795" s="668"/>
      <c r="G795" s="419">
        <v>0</v>
      </c>
      <c r="H795" s="419">
        <v>0</v>
      </c>
      <c r="I795" s="359">
        <f>'Life Risk'!D144</f>
        <v>3</v>
      </c>
      <c r="O795" s="608"/>
      <c r="Q795" s="3"/>
    </row>
    <row r="796" spans="2:21" hidden="1" outlineLevel="2" x14ac:dyDescent="0.35">
      <c r="B796" s="2"/>
      <c r="G796" s="421"/>
      <c r="H796" s="421"/>
      <c r="I796" s="359"/>
      <c r="Q796" s="3"/>
    </row>
    <row r="797" spans="2:21" hidden="1" outlineLevel="2" x14ac:dyDescent="0.35">
      <c r="B797" s="2"/>
      <c r="E797" s="408" t="s">
        <v>766</v>
      </c>
      <c r="F797" s="27"/>
      <c r="G797" s="421"/>
      <c r="H797" s="421"/>
      <c r="I797" s="359"/>
      <c r="Q797" s="3"/>
    </row>
    <row r="798" spans="2:21" hidden="1" outlineLevel="2" x14ac:dyDescent="0.35">
      <c r="B798" s="2"/>
      <c r="E798" s="418" t="s">
        <v>1159</v>
      </c>
      <c r="F798" s="668"/>
      <c r="G798" s="204"/>
      <c r="H798" s="204"/>
      <c r="I798" s="359">
        <f>'Life Risk'!D147</f>
        <v>1</v>
      </c>
      <c r="O798" s="608"/>
      <c r="Q798" s="3"/>
    </row>
    <row r="799" spans="2:21" hidden="1" outlineLevel="2" x14ac:dyDescent="0.35">
      <c r="B799" s="2"/>
      <c r="E799" s="418" t="s">
        <v>1160</v>
      </c>
      <c r="F799" s="668"/>
      <c r="G799" s="419">
        <v>0</v>
      </c>
      <c r="H799" s="419">
        <v>0</v>
      </c>
      <c r="I799" s="359">
        <f>'Life Risk'!D148</f>
        <v>3</v>
      </c>
      <c r="O799" s="608"/>
      <c r="Q799" s="3"/>
    </row>
    <row r="800" spans="2:21" hidden="1" outlineLevel="2" x14ac:dyDescent="0.35">
      <c r="B800" s="2"/>
      <c r="E800" s="418" t="s">
        <v>1161</v>
      </c>
      <c r="F800" s="668"/>
      <c r="G800" s="204"/>
      <c r="H800" s="204"/>
      <c r="I800" s="359">
        <f>'Life Risk'!D149</f>
        <v>1</v>
      </c>
      <c r="O800" s="608"/>
      <c r="Q800" s="3"/>
      <c r="T800" s="360">
        <f>Q777-F802</f>
        <v>0</v>
      </c>
      <c r="U800" s="360"/>
    </row>
    <row r="801" spans="1:21" hidden="1" outlineLevel="2" x14ac:dyDescent="0.35">
      <c r="B801" s="2"/>
      <c r="G801" s="423"/>
      <c r="H801" s="423"/>
      <c r="Q801" s="3"/>
      <c r="T801" s="346">
        <f>IF(F802=0,0,ABS(T800/F802))</f>
        <v>0</v>
      </c>
      <c r="U801" s="346"/>
    </row>
    <row r="802" spans="1:21" hidden="1" outlineLevel="2" x14ac:dyDescent="0.35">
      <c r="B802" s="2"/>
      <c r="E802" s="5" t="s">
        <v>2855</v>
      </c>
      <c r="F802" s="670"/>
      <c r="G802" s="423"/>
      <c r="H802" s="371" t="s">
        <v>4421</v>
      </c>
      <c r="I802" s="656">
        <f>SUM(F782:F800)</f>
        <v>0</v>
      </c>
      <c r="O802" s="608"/>
      <c r="Q802" s="3"/>
      <c r="S802">
        <f>IF(T802&gt;Error_Check_Precision,1,0)</f>
        <v>0</v>
      </c>
      <c r="T802" s="347">
        <f>IF(OR(F802=0,ISERROR(T801)),0,T801)</f>
        <v>0</v>
      </c>
      <c r="U802" s="347"/>
    </row>
    <row r="803" spans="1:21" hidden="1" outlineLevel="2" x14ac:dyDescent="0.35">
      <c r="B803" s="2"/>
      <c r="E803" s="5"/>
      <c r="N803" s="15"/>
      <c r="Q803" s="3"/>
    </row>
    <row r="804" spans="1:21" outlineLevel="1" collapsed="1" x14ac:dyDescent="0.35">
      <c r="A804" s="180" t="s">
        <v>2087</v>
      </c>
      <c r="B804" s="348"/>
      <c r="C804" s="22"/>
      <c r="D804" s="22"/>
      <c r="E804" s="424"/>
      <c r="F804" s="22"/>
      <c r="G804" s="22"/>
      <c r="H804" s="22"/>
      <c r="I804" s="22"/>
      <c r="J804" s="22"/>
      <c r="K804" s="22"/>
      <c r="L804" s="22"/>
      <c r="M804" s="22"/>
      <c r="N804" s="425"/>
      <c r="O804" s="609"/>
      <c r="P804" s="22"/>
      <c r="Q804" s="349"/>
    </row>
    <row r="805" spans="1:21" ht="19" thickBot="1" x14ac:dyDescent="0.4">
      <c r="A805" s="180" t="s">
        <v>2087</v>
      </c>
      <c r="B805" s="25"/>
      <c r="C805" s="401"/>
      <c r="D805" s="401"/>
      <c r="E805" s="402"/>
      <c r="F805" s="402"/>
      <c r="G805" s="402"/>
      <c r="H805" s="402"/>
      <c r="I805" s="402"/>
      <c r="J805" s="403"/>
      <c r="K805" s="402"/>
      <c r="L805" s="402"/>
      <c r="M805" s="402"/>
      <c r="N805" s="402"/>
      <c r="O805" s="613"/>
      <c r="P805" s="404"/>
      <c r="Q805" s="405"/>
      <c r="R805" s="390"/>
    </row>
    <row r="806" spans="1:21" ht="19" thickBot="1" x14ac:dyDescent="0.4">
      <c r="A806" s="180" t="s">
        <v>2087</v>
      </c>
      <c r="B806" s="331" t="s">
        <v>968</v>
      </c>
      <c r="C806" s="332"/>
      <c r="D806" s="332"/>
      <c r="E806" s="333"/>
      <c r="F806" s="333"/>
      <c r="G806" s="333"/>
      <c r="H806" s="333"/>
      <c r="I806" s="333"/>
      <c r="J806" s="388"/>
      <c r="K806" s="333"/>
      <c r="L806" s="333"/>
      <c r="M806" s="333"/>
      <c r="N806" s="333"/>
      <c r="O806" s="606"/>
      <c r="P806" s="335"/>
      <c r="Q806" s="389"/>
      <c r="R806" s="390"/>
    </row>
    <row r="807" spans="1:21" ht="15.5" outlineLevel="1" x14ac:dyDescent="0.35">
      <c r="A807" s="180" t="s">
        <v>2087</v>
      </c>
      <c r="B807" s="337" t="s">
        <v>4403</v>
      </c>
      <c r="C807" s="338"/>
      <c r="D807" s="338"/>
      <c r="E807" s="339"/>
      <c r="F807" s="339"/>
      <c r="G807" s="339"/>
      <c r="H807" s="339"/>
      <c r="I807" s="339"/>
      <c r="J807" s="339"/>
      <c r="K807" s="339"/>
      <c r="L807" s="339"/>
      <c r="M807" s="339"/>
      <c r="N807" s="339"/>
      <c r="O807" s="607"/>
      <c r="P807" s="638" t="s">
        <v>1047</v>
      </c>
      <c r="Q807" s="650">
        <f>F813</f>
        <v>0</v>
      </c>
      <c r="R807" s="44"/>
    </row>
    <row r="808" spans="1:21" ht="15.5" hidden="1" outlineLevel="2" x14ac:dyDescent="0.35">
      <c r="B808" s="367"/>
      <c r="C808" s="342"/>
      <c r="D808" s="342"/>
      <c r="O808" s="474" t="s">
        <v>3102</v>
      </c>
      <c r="Q808" s="370"/>
      <c r="R808" s="44"/>
    </row>
    <row r="809" spans="1:21" ht="34.25" hidden="1" customHeight="1" outlineLevel="2" x14ac:dyDescent="0.35">
      <c r="B809" s="406"/>
      <c r="C809" s="342"/>
      <c r="D809" s="342"/>
      <c r="F809" s="122" t="s">
        <v>887</v>
      </c>
      <c r="G809" s="122" t="s">
        <v>247</v>
      </c>
      <c r="Q809" s="3"/>
    </row>
    <row r="810" spans="1:21" ht="15.5" hidden="1" outlineLevel="2" x14ac:dyDescent="0.35">
      <c r="B810" s="406"/>
      <c r="C810" s="342"/>
      <c r="D810" s="342"/>
      <c r="E810" s="16" t="s">
        <v>2130</v>
      </c>
      <c r="F810" s="668"/>
      <c r="G810" s="668"/>
      <c r="O810" s="608"/>
      <c r="Q810" s="3"/>
    </row>
    <row r="811" spans="1:21" ht="15.5" hidden="1" outlineLevel="2" x14ac:dyDescent="0.35">
      <c r="B811" s="406"/>
      <c r="C811" s="342"/>
      <c r="D811" s="342"/>
      <c r="E811" s="16" t="s">
        <v>2131</v>
      </c>
      <c r="F811" s="668"/>
      <c r="G811" s="668"/>
      <c r="H811" s="218"/>
      <c r="O811" s="608"/>
      <c r="Q811" s="3"/>
    </row>
    <row r="812" spans="1:21" ht="15.5" hidden="1" outlineLevel="2" x14ac:dyDescent="0.35">
      <c r="B812" s="406"/>
      <c r="C812" s="342"/>
      <c r="D812" s="342"/>
      <c r="E812" s="16" t="s">
        <v>2132</v>
      </c>
      <c r="F812" s="668"/>
      <c r="G812" s="668"/>
      <c r="H812" s="217"/>
      <c r="O812" s="608"/>
      <c r="Q812" s="3"/>
    </row>
    <row r="813" spans="1:21" ht="15.5" hidden="1" outlineLevel="2" x14ac:dyDescent="0.35">
      <c r="B813" s="406"/>
      <c r="C813" s="342"/>
      <c r="D813" s="342"/>
      <c r="E813" s="16" t="s">
        <v>2133</v>
      </c>
      <c r="F813" s="668"/>
      <c r="G813" s="668"/>
      <c r="H813" s="217"/>
      <c r="O813" s="608"/>
      <c r="Q813" s="3"/>
    </row>
    <row r="814" spans="1:21" ht="15.5" hidden="1" outlineLevel="2" x14ac:dyDescent="0.35">
      <c r="B814" s="406"/>
      <c r="C814" s="342"/>
      <c r="D814" s="342"/>
      <c r="E814" s="342"/>
      <c r="F814" s="342"/>
      <c r="H814" s="217"/>
      <c r="Q814" s="3"/>
    </row>
    <row r="815" spans="1:21" ht="15.5" hidden="1" outlineLevel="2" x14ac:dyDescent="0.35">
      <c r="B815" s="406"/>
      <c r="C815" s="342"/>
      <c r="D815" s="342"/>
      <c r="E815" s="16" t="s">
        <v>888</v>
      </c>
      <c r="F815" s="205"/>
      <c r="H815" s="217"/>
      <c r="O815" s="608"/>
      <c r="Q815" s="3"/>
    </row>
    <row r="816" spans="1:21" ht="15.5" hidden="1" outlineLevel="2" x14ac:dyDescent="0.35">
      <c r="B816" s="406"/>
      <c r="C816" s="342"/>
      <c r="D816" s="342"/>
      <c r="H816" s="217"/>
      <c r="Q816" s="3"/>
    </row>
    <row r="817" spans="1:28" ht="15.5" hidden="1" outlineLevel="2" x14ac:dyDescent="0.35">
      <c r="B817" s="406"/>
      <c r="C817" s="342"/>
      <c r="D817" s="342"/>
      <c r="E817" s="16" t="s">
        <v>4465</v>
      </c>
      <c r="F817" s="668"/>
      <c r="H817" s="217"/>
      <c r="O817" s="608"/>
      <c r="Q817" s="3"/>
    </row>
    <row r="818" spans="1:28" ht="15.5" hidden="1" outlineLevel="2" x14ac:dyDescent="0.35">
      <c r="B818" s="406"/>
      <c r="C818" s="342"/>
      <c r="D818" s="342"/>
      <c r="E818" s="16"/>
      <c r="G818" s="342"/>
      <c r="Q818" s="3"/>
    </row>
    <row r="819" spans="1:28" ht="16" outlineLevel="1" collapsed="1" thickBot="1" x14ac:dyDescent="0.4">
      <c r="A819" s="180" t="s">
        <v>2087</v>
      </c>
      <c r="B819" s="426"/>
      <c r="C819" s="427"/>
      <c r="D819" s="427"/>
      <c r="E819" s="427"/>
      <c r="F819" s="427"/>
      <c r="G819" s="427"/>
      <c r="H819" s="428"/>
      <c r="I819" s="428"/>
      <c r="J819" s="428"/>
      <c r="K819" s="428"/>
      <c r="L819" s="428"/>
      <c r="M819" s="428"/>
      <c r="N819" s="428"/>
      <c r="O819" s="614"/>
      <c r="P819" s="428"/>
      <c r="Q819" s="429"/>
    </row>
    <row r="820" spans="1:28" s="7" customFormat="1" ht="15.5" outlineLevel="1" x14ac:dyDescent="0.35">
      <c r="A820" s="180" t="s">
        <v>2087</v>
      </c>
      <c r="B820" s="430" t="s">
        <v>4404</v>
      </c>
      <c r="C820" s="412"/>
      <c r="D820" s="412"/>
      <c r="E820" s="412"/>
      <c r="F820" s="32"/>
      <c r="G820" s="32"/>
      <c r="H820" s="32"/>
      <c r="I820" s="32"/>
      <c r="J820" s="32"/>
      <c r="K820" s="32"/>
      <c r="L820" s="32"/>
      <c r="M820" s="32"/>
      <c r="N820" s="32"/>
      <c r="O820" s="601"/>
      <c r="P820" s="639" t="s">
        <v>1046</v>
      </c>
      <c r="Q820" s="652">
        <f>F826</f>
        <v>0</v>
      </c>
      <c r="R820" s="44"/>
      <c r="S820" s="11"/>
      <c r="T820" s="433"/>
      <c r="U820" s="433"/>
      <c r="V820" s="433"/>
      <c r="W820" s="433"/>
      <c r="X820" s="433"/>
      <c r="Y820" s="27"/>
    </row>
    <row r="821" spans="1:28" s="7" customFormat="1" hidden="1" outlineLevel="2" x14ac:dyDescent="0.35">
      <c r="A821" s="434"/>
      <c r="B821" s="435"/>
      <c r="C821" s="27"/>
      <c r="D821" s="436"/>
      <c r="F821" s="27"/>
      <c r="G821" s="437"/>
      <c r="H821" s="437"/>
      <c r="I821" s="11"/>
      <c r="N821" s="28"/>
      <c r="O821" s="474" t="s">
        <v>3102</v>
      </c>
      <c r="P821" s="11"/>
      <c r="Q821" s="3"/>
      <c r="R821"/>
      <c r="S821" s="11"/>
      <c r="T821" s="11"/>
      <c r="U821" s="11"/>
      <c r="V821" s="11"/>
      <c r="W821" s="11"/>
      <c r="X821" s="11"/>
      <c r="Y821" s="11"/>
    </row>
    <row r="822" spans="1:28" s="7" customFormat="1" hidden="1" outlineLevel="2" x14ac:dyDescent="0.35">
      <c r="A822" s="434"/>
      <c r="B822" s="435"/>
      <c r="C822" s="27"/>
      <c r="D822" s="436"/>
      <c r="E822" s="291" t="s">
        <v>2157</v>
      </c>
      <c r="F822" s="438" t="s">
        <v>2134</v>
      </c>
      <c r="G822" s="437"/>
      <c r="H822" s="27"/>
      <c r="I822" s="11"/>
      <c r="O822" s="594"/>
      <c r="P822" s="11"/>
      <c r="Q822" s="3"/>
      <c r="R822"/>
      <c r="S822" s="11"/>
      <c r="T822" s="11"/>
      <c r="U822" s="11"/>
      <c r="V822" s="11"/>
      <c r="W822" s="11"/>
      <c r="X822" s="11"/>
      <c r="Y822" s="11"/>
    </row>
    <row r="823" spans="1:28" s="7" customFormat="1" hidden="1" outlineLevel="2" x14ac:dyDescent="0.35">
      <c r="A823" s="434"/>
      <c r="B823" s="439"/>
      <c r="C823" s="27"/>
      <c r="D823" s="27"/>
      <c r="E823" s="440">
        <v>0.99990000000000001</v>
      </c>
      <c r="F823" s="668"/>
      <c r="O823" s="472"/>
      <c r="P823" s="11"/>
      <c r="Q823" s="3"/>
      <c r="R823"/>
      <c r="S823" s="11"/>
      <c r="V823" s="11"/>
      <c r="W823" s="11"/>
      <c r="X823" s="11"/>
      <c r="Y823" s="11"/>
    </row>
    <row r="824" spans="1:28" s="7" customFormat="1" hidden="1" outlineLevel="2" x14ac:dyDescent="0.35">
      <c r="A824" s="434"/>
      <c r="B824" s="439"/>
      <c r="C824" s="27"/>
      <c r="D824" s="27"/>
      <c r="E824" s="440">
        <v>0.99950000000000006</v>
      </c>
      <c r="F824" s="668"/>
      <c r="H824" s="11"/>
      <c r="I824" s="11"/>
      <c r="O824" s="608"/>
      <c r="P824" s="11"/>
      <c r="Q824" s="3"/>
      <c r="R824"/>
      <c r="S824" s="11"/>
      <c r="V824" s="11"/>
      <c r="W824" s="11"/>
      <c r="X824" s="11"/>
      <c r="Y824" s="11"/>
    </row>
    <row r="825" spans="1:28" s="7" customFormat="1" hidden="1" outlineLevel="2" x14ac:dyDescent="0.35">
      <c r="A825" s="434"/>
      <c r="B825" s="439"/>
      <c r="C825" s="27"/>
      <c r="D825" s="27"/>
      <c r="E825" s="440">
        <v>0.998</v>
      </c>
      <c r="F825" s="668"/>
      <c r="I825" s="29"/>
      <c r="O825" s="608"/>
      <c r="P825" s="11"/>
      <c r="Q825" s="3"/>
      <c r="R825"/>
      <c r="S825" s="11"/>
      <c r="V825" s="11"/>
      <c r="W825" s="11"/>
      <c r="X825" s="11"/>
      <c r="Y825" s="11"/>
    </row>
    <row r="826" spans="1:28" s="7" customFormat="1" hidden="1" outlineLevel="2" x14ac:dyDescent="0.35">
      <c r="A826" s="434"/>
      <c r="B826" s="439"/>
      <c r="C826" s="27"/>
      <c r="D826" s="27"/>
      <c r="E826" s="440">
        <v>0.995</v>
      </c>
      <c r="F826" s="668"/>
      <c r="I826" s="29"/>
      <c r="O826" s="608"/>
      <c r="P826" s="11"/>
      <c r="Q826" s="3"/>
      <c r="R826"/>
      <c r="S826" s="11"/>
      <c r="T826" s="11"/>
      <c r="U826" s="11"/>
      <c r="V826" s="11"/>
      <c r="W826" s="11"/>
      <c r="X826" s="11"/>
      <c r="Y826" s="11"/>
    </row>
    <row r="827" spans="1:28" s="7" customFormat="1" hidden="1" outlineLevel="2" x14ac:dyDescent="0.35">
      <c r="A827" s="434"/>
      <c r="B827" s="439"/>
      <c r="C827" s="27"/>
      <c r="D827" s="27"/>
      <c r="F827" s="27"/>
      <c r="G827" s="441"/>
      <c r="I827" s="29"/>
      <c r="N827" s="28"/>
      <c r="O827" s="594"/>
      <c r="P827" s="11"/>
      <c r="Q827" s="3"/>
      <c r="R827"/>
      <c r="S827" s="11"/>
      <c r="T827"/>
      <c r="U827"/>
      <c r="V827" s="11"/>
      <c r="W827" s="11"/>
      <c r="X827" s="11"/>
      <c r="Y827" s="11"/>
    </row>
    <row r="828" spans="1:28" s="7" customFormat="1" ht="15" outlineLevel="1" collapsed="1" thickBot="1" x14ac:dyDescent="0.4">
      <c r="A828" s="180" t="s">
        <v>2087</v>
      </c>
      <c r="B828" s="442"/>
      <c r="C828" s="443"/>
      <c r="D828" s="443"/>
      <c r="E828" s="443"/>
      <c r="F828" s="443"/>
      <c r="G828" s="443" t="s">
        <v>245</v>
      </c>
      <c r="H828" s="443" t="s">
        <v>245</v>
      </c>
      <c r="I828" s="443" t="s">
        <v>245</v>
      </c>
      <c r="J828" s="443" t="s">
        <v>245</v>
      </c>
      <c r="K828" s="443" t="s">
        <v>245</v>
      </c>
      <c r="L828" s="443" t="s">
        <v>245</v>
      </c>
      <c r="M828" s="443" t="s">
        <v>245</v>
      </c>
      <c r="N828" s="443" t="s">
        <v>245</v>
      </c>
      <c r="O828" s="602" t="s">
        <v>245</v>
      </c>
      <c r="P828" s="443" t="s">
        <v>245</v>
      </c>
      <c r="Q828" s="349"/>
      <c r="R828"/>
      <c r="S828" s="11"/>
      <c r="T828"/>
      <c r="U828"/>
      <c r="V828" s="11"/>
      <c r="W828" s="11"/>
      <c r="X828" s="11"/>
      <c r="Y828" s="11"/>
      <c r="Z828" s="11"/>
      <c r="AA828" s="11"/>
      <c r="AB828" s="11"/>
    </row>
    <row r="829" spans="1:28" s="7" customFormat="1" ht="15.5" outlineLevel="1" x14ac:dyDescent="0.35">
      <c r="A829" s="180" t="s">
        <v>2087</v>
      </c>
      <c r="B829" s="337" t="s">
        <v>4405</v>
      </c>
      <c r="C829" s="444"/>
      <c r="D829" s="444"/>
      <c r="E829" s="445"/>
      <c r="F829" s="444"/>
      <c r="G829" s="444"/>
      <c r="H829" s="444"/>
      <c r="I829" s="444"/>
      <c r="J829" s="339"/>
      <c r="K829" s="339"/>
      <c r="L829" s="339"/>
      <c r="M829" s="339"/>
      <c r="N829" s="339"/>
      <c r="O829" s="607"/>
      <c r="P829" s="638" t="s">
        <v>967</v>
      </c>
      <c r="Q829" s="650">
        <f>F831</f>
        <v>0</v>
      </c>
      <c r="R829" s="44"/>
      <c r="S829" s="11"/>
      <c r="T829" s="433"/>
      <c r="U829" s="433"/>
      <c r="V829" s="433"/>
      <c r="W829" s="433"/>
      <c r="X829" s="433"/>
      <c r="Y829" s="27"/>
    </row>
    <row r="830" spans="1:28" s="7" customFormat="1" hidden="1" outlineLevel="2" x14ac:dyDescent="0.35">
      <c r="A830" s="434"/>
      <c r="B830" s="10"/>
      <c r="C830" s="11"/>
      <c r="D830" s="11"/>
      <c r="E830" s="11"/>
      <c r="F830" s="30"/>
      <c r="G830" s="30"/>
      <c r="H830" s="30"/>
      <c r="I830" s="30"/>
      <c r="N830" s="28"/>
      <c r="O830" s="474" t="s">
        <v>3102</v>
      </c>
      <c r="P830" s="11"/>
      <c r="Q830" s="3"/>
      <c r="R830"/>
      <c r="S830" s="11"/>
      <c r="T830" s="433"/>
      <c r="U830" s="433"/>
      <c r="V830" s="433"/>
      <c r="W830" s="433"/>
      <c r="X830" s="433"/>
      <c r="Y830" s="27"/>
    </row>
    <row r="831" spans="1:28" s="7" customFormat="1" hidden="1" outlineLevel="2" x14ac:dyDescent="0.35">
      <c r="A831" s="434"/>
      <c r="B831" s="10"/>
      <c r="C831" s="11"/>
      <c r="D831" s="11"/>
      <c r="E831" s="16" t="s">
        <v>2135</v>
      </c>
      <c r="F831" s="230"/>
      <c r="G831" s="30"/>
      <c r="H831" s="30"/>
      <c r="I831" s="30"/>
      <c r="O831" s="472"/>
      <c r="P831" s="11"/>
      <c r="Q831" s="3"/>
      <c r="R831"/>
      <c r="S831" s="11"/>
      <c r="T831" s="433"/>
      <c r="U831" s="433"/>
      <c r="V831" s="433"/>
      <c r="W831" s="433"/>
      <c r="X831" s="433"/>
      <c r="Y831" s="27"/>
    </row>
    <row r="832" spans="1:28" s="7" customFormat="1" hidden="1" outlineLevel="2" x14ac:dyDescent="0.35">
      <c r="A832" s="434"/>
      <c r="B832" s="10"/>
      <c r="C832" s="11"/>
      <c r="D832" s="88"/>
      <c r="E832" s="11"/>
      <c r="F832" s="30"/>
      <c r="G832" s="30"/>
      <c r="H832" s="30"/>
      <c r="I832" s="30"/>
      <c r="N832" s="28"/>
      <c r="O832" s="594"/>
      <c r="P832" s="11"/>
      <c r="Q832" s="3"/>
      <c r="R832"/>
      <c r="S832" s="11"/>
      <c r="T832" s="433"/>
      <c r="U832" s="433"/>
      <c r="V832" s="433"/>
      <c r="W832" s="433"/>
      <c r="X832" s="433"/>
      <c r="Y832" s="27"/>
    </row>
    <row r="833" spans="1:28" s="7" customFormat="1" ht="15" outlineLevel="1" collapsed="1" thickBot="1" x14ac:dyDescent="0.4">
      <c r="A833" s="434"/>
      <c r="B833" s="446"/>
      <c r="C833" s="447"/>
      <c r="D833" s="447"/>
      <c r="E833" s="447"/>
      <c r="F833" s="447"/>
      <c r="G833" s="447" t="s">
        <v>245</v>
      </c>
      <c r="H833" s="447" t="s">
        <v>245</v>
      </c>
      <c r="I833" s="447" t="s">
        <v>245</v>
      </c>
      <c r="J833" s="447" t="s">
        <v>245</v>
      </c>
      <c r="K833" s="447" t="s">
        <v>245</v>
      </c>
      <c r="L833" s="447" t="s">
        <v>245</v>
      </c>
      <c r="M833" s="447" t="s">
        <v>245</v>
      </c>
      <c r="N833" s="447" t="s">
        <v>245</v>
      </c>
      <c r="O833" s="615" t="s">
        <v>245</v>
      </c>
      <c r="P833" s="447" t="s">
        <v>245</v>
      </c>
      <c r="Q833" s="429"/>
      <c r="R833"/>
      <c r="S833" s="11"/>
      <c r="T833" s="433"/>
      <c r="U833" s="433"/>
      <c r="V833" s="433"/>
      <c r="W833" s="433"/>
      <c r="X833" s="433"/>
      <c r="Y833" s="27"/>
    </row>
    <row r="834" spans="1:28" ht="18.5" x14ac:dyDescent="0.35">
      <c r="B834" s="25"/>
      <c r="C834" s="401"/>
      <c r="D834" s="401"/>
      <c r="E834" s="402"/>
      <c r="F834" s="402"/>
      <c r="G834" s="402"/>
      <c r="H834" s="402"/>
      <c r="I834" s="402"/>
      <c r="J834" s="403"/>
      <c r="K834" s="402"/>
      <c r="L834" s="402"/>
      <c r="M834" s="402"/>
      <c r="N834" s="402"/>
      <c r="O834" s="613"/>
      <c r="P834" s="404"/>
      <c r="Q834" s="405"/>
      <c r="R834" s="390"/>
    </row>
    <row r="835" spans="1:28" s="7" customFormat="1" ht="21.5" thickBot="1" x14ac:dyDescent="0.4">
      <c r="A835" s="434"/>
      <c r="B835" s="301" t="s">
        <v>4478</v>
      </c>
      <c r="C835" s="322"/>
      <c r="D835" s="322"/>
      <c r="E835" s="322"/>
      <c r="F835" s="322"/>
      <c r="G835" s="323"/>
      <c r="H835" s="323"/>
      <c r="I835" s="323"/>
      <c r="J835" s="323"/>
      <c r="K835" s="323"/>
      <c r="L835" s="323"/>
      <c r="M835" s="323"/>
      <c r="N835" s="323"/>
      <c r="O835" s="599"/>
      <c r="P835" s="323"/>
      <c r="Q835" s="324"/>
      <c r="R835" s="325"/>
      <c r="S835" s="11"/>
      <c r="T835"/>
      <c r="U835"/>
      <c r="V835" s="11"/>
      <c r="W835" s="11"/>
      <c r="X835" s="11"/>
      <c r="Y835" s="11"/>
      <c r="Z835" s="11"/>
      <c r="AA835" s="11"/>
      <c r="AB835" s="11"/>
    </row>
    <row r="836" spans="1:28" s="7" customFormat="1" ht="15.5" outlineLevel="1" x14ac:dyDescent="0.35">
      <c r="A836" s="434" t="s">
        <v>2087</v>
      </c>
      <c r="B836" s="430" t="s">
        <v>4406</v>
      </c>
      <c r="C836" s="443"/>
      <c r="D836" s="443"/>
      <c r="E836" s="443"/>
      <c r="F836" s="443"/>
      <c r="G836" s="443"/>
      <c r="H836" s="450" t="str">
        <f>IF(SUM(S838:S896)&gt;0,Error_Message,"")</f>
        <v/>
      </c>
      <c r="I836" s="449"/>
      <c r="J836" s="450"/>
      <c r="K836" s="448"/>
      <c r="L836" s="448"/>
      <c r="M836" s="448"/>
      <c r="N836" s="451"/>
      <c r="O836" s="602"/>
      <c r="P836" s="640" t="s">
        <v>4408</v>
      </c>
      <c r="Q836" s="652">
        <f>SUM(G862:G896)</f>
        <v>0</v>
      </c>
      <c r="R836" s="44"/>
      <c r="S836" s="11"/>
      <c r="T836"/>
      <c r="U836" s="11"/>
      <c r="V836" s="11"/>
      <c r="W836" s="11"/>
      <c r="X836" s="11"/>
      <c r="Y836" s="11"/>
      <c r="Z836" s="11"/>
      <c r="AA836" s="11"/>
      <c r="AB836" s="11"/>
    </row>
    <row r="837" spans="1:28" s="7" customFormat="1" ht="15.5" hidden="1" outlineLevel="2" x14ac:dyDescent="0.35">
      <c r="A837" s="434"/>
      <c r="B837" s="367"/>
      <c r="C837" s="27"/>
      <c r="D837" s="27"/>
      <c r="E837" s="27"/>
      <c r="F837" s="27"/>
      <c r="G837" s="27"/>
      <c r="I837" s="31"/>
      <c r="N837" s="28"/>
      <c r="O837" s="474" t="s">
        <v>3102</v>
      </c>
      <c r="P837" s="11"/>
      <c r="Q837" s="370"/>
      <c r="R837" s="44"/>
      <c r="S837" s="11"/>
      <c r="T837"/>
      <c r="U837"/>
      <c r="V837" s="11"/>
      <c r="W837" s="11"/>
      <c r="X837" s="11"/>
      <c r="Y837" s="11"/>
      <c r="Z837" s="11"/>
      <c r="AA837" s="11"/>
      <c r="AB837" s="11"/>
    </row>
    <row r="838" spans="1:28" ht="29" hidden="1" outlineLevel="2" x14ac:dyDescent="0.35">
      <c r="B838" s="2"/>
      <c r="C838" s="590" t="s">
        <v>1148</v>
      </c>
      <c r="D838" s="453"/>
      <c r="E838" s="454" t="s">
        <v>4147</v>
      </c>
      <c r="F838" s="453"/>
      <c r="G838" s="492" t="s">
        <v>27</v>
      </c>
      <c r="H838" s="453"/>
      <c r="I838" s="727" t="s">
        <v>4121</v>
      </c>
      <c r="J838" s="727"/>
      <c r="K838" s="727"/>
      <c r="L838" s="727"/>
      <c r="M838" s="453"/>
      <c r="O838" s="608"/>
      <c r="Q838" s="3"/>
    </row>
    <row r="839" spans="1:28" hidden="1" outlineLevel="2" x14ac:dyDescent="0.35">
      <c r="B839" s="2"/>
      <c r="C839" s="217"/>
      <c r="E839" s="496" t="s">
        <v>4148</v>
      </c>
      <c r="G839" s="215"/>
      <c r="I839" s="655"/>
      <c r="J839" s="655"/>
      <c r="K839" s="655"/>
      <c r="L839" s="655"/>
      <c r="O839" s="608"/>
      <c r="Q839" s="3"/>
      <c r="S839">
        <f>IF(AND(duration_mismatch_bespoke="Yes, Duration Mismatch",ISBLANK(G839)),1,0)</f>
        <v>0</v>
      </c>
    </row>
    <row r="840" spans="1:28" hidden="1" outlineLevel="2" x14ac:dyDescent="0.35">
      <c r="B840" s="2"/>
      <c r="C840" s="217"/>
      <c r="E840" s="455" t="s">
        <v>2136</v>
      </c>
      <c r="G840" s="215"/>
      <c r="I840" s="499">
        <v>0.99990000000000001</v>
      </c>
      <c r="J840" s="499">
        <v>0.99950000000000006</v>
      </c>
      <c r="K840" s="499">
        <v>0.998</v>
      </c>
      <c r="L840" s="499">
        <v>0.995</v>
      </c>
      <c r="O840" s="608"/>
      <c r="Q840" s="3"/>
      <c r="S840">
        <f>IF(OR(AND(duration_mismatch_bespoke&lt;&gt;"No",ISBLANK(G840)),AND(duration_mismatch_bespoke="Yes, NCMV",OR(ISBLANK(I839),ISBLANK(J839),ISBLANK(K839),ISBLANK(L839)))),1,T840)</f>
        <v>0</v>
      </c>
    </row>
    <row r="841" spans="1:28" hidden="1" outlineLevel="2" x14ac:dyDescent="0.35">
      <c r="B841" s="2"/>
      <c r="C841" s="217"/>
      <c r="Q841" s="3"/>
    </row>
    <row r="842" spans="1:28" hidden="1" outlineLevel="2" x14ac:dyDescent="0.35">
      <c r="B842" s="2"/>
      <c r="C842" s="452" t="s">
        <v>1149</v>
      </c>
      <c r="D842" s="453"/>
      <c r="E842" s="454" t="s">
        <v>4451</v>
      </c>
      <c r="F842" s="453"/>
      <c r="G842" s="206"/>
      <c r="H842" s="453"/>
      <c r="I842" s="453"/>
      <c r="J842" s="453"/>
      <c r="K842" s="453"/>
      <c r="L842" s="453"/>
      <c r="M842" s="453"/>
      <c r="O842" s="608"/>
      <c r="Q842" s="3"/>
    </row>
    <row r="843" spans="1:28" hidden="1" outlineLevel="2" x14ac:dyDescent="0.35">
      <c r="B843" s="2"/>
      <c r="C843" s="217"/>
      <c r="E843" s="456" t="s">
        <v>4149</v>
      </c>
      <c r="G843" s="215"/>
      <c r="H843" s="116" t="s">
        <v>4161</v>
      </c>
      <c r="I843" s="237">
        <f>bond_wam</f>
        <v>0</v>
      </c>
      <c r="O843" s="608"/>
      <c r="Q843" s="3"/>
    </row>
    <row r="844" spans="1:28" hidden="1" outlineLevel="2" x14ac:dyDescent="0.35">
      <c r="B844" s="2"/>
      <c r="C844" s="217"/>
      <c r="Q844" s="3"/>
    </row>
    <row r="845" spans="1:28" ht="29" hidden="1" outlineLevel="2" x14ac:dyDescent="0.35">
      <c r="B845" s="2"/>
      <c r="C845" s="217"/>
      <c r="E845" s="455" t="s">
        <v>2137</v>
      </c>
      <c r="G845" s="215" t="s">
        <v>27</v>
      </c>
      <c r="O845" s="608"/>
      <c r="Q845" s="3"/>
    </row>
    <row r="846" spans="1:28" hidden="1" outlineLevel="2" x14ac:dyDescent="0.35">
      <c r="B846" s="2"/>
      <c r="C846" s="217"/>
      <c r="F846" s="457"/>
      <c r="G846" s="228" t="s">
        <v>24</v>
      </c>
      <c r="H846" s="228" t="s">
        <v>25</v>
      </c>
      <c r="J846" s="368"/>
      <c r="O846" s="616"/>
      <c r="Q846" s="3"/>
    </row>
    <row r="847" spans="1:28" hidden="1" outlineLevel="2" x14ac:dyDescent="0.35">
      <c r="B847" s="2"/>
      <c r="C847" s="217"/>
      <c r="E847" s="455" t="s">
        <v>2138</v>
      </c>
      <c r="G847" s="215" t="s">
        <v>26</v>
      </c>
      <c r="H847" s="215" t="s">
        <v>26</v>
      </c>
      <c r="J847" s="368"/>
      <c r="O847" s="608"/>
      <c r="Q847" s="3"/>
      <c r="S847">
        <f>IF(AND(duration_mismatch_bespoke="No",G845="Yes",G847="Unknown",H847="Unknown"),1,0)</f>
        <v>0</v>
      </c>
    </row>
    <row r="848" spans="1:28" hidden="1" outlineLevel="2" x14ac:dyDescent="0.35">
      <c r="B848" s="2"/>
      <c r="C848" s="217"/>
      <c r="J848" s="368"/>
      <c r="Q848" s="3"/>
    </row>
    <row r="849" spans="1:20" hidden="1" outlineLevel="2" x14ac:dyDescent="0.35">
      <c r="B849" s="2"/>
      <c r="C849" s="452" t="s">
        <v>2139</v>
      </c>
      <c r="D849" s="453"/>
      <c r="E849" s="453"/>
      <c r="F849" s="453"/>
      <c r="G849" s="453"/>
      <c r="H849" s="453"/>
      <c r="I849" s="453"/>
      <c r="J849" s="453"/>
      <c r="K849" s="453"/>
      <c r="L849" s="453"/>
      <c r="M849" s="453"/>
      <c r="Q849" s="3"/>
    </row>
    <row r="850" spans="1:20" hidden="1" outlineLevel="2" x14ac:dyDescent="0.35">
      <c r="B850" s="2"/>
      <c r="F850" s="754" t="s">
        <v>2140</v>
      </c>
      <c r="G850" s="754"/>
      <c r="H850" s="754"/>
      <c r="I850" s="754"/>
      <c r="J850" s="754"/>
      <c r="Q850" s="3"/>
    </row>
    <row r="851" spans="1:20" ht="29" hidden="1" outlineLevel="2" x14ac:dyDescent="0.35">
      <c r="B851" s="2"/>
      <c r="F851" s="671" t="s">
        <v>1103</v>
      </c>
      <c r="G851" s="671" t="s">
        <v>885</v>
      </c>
      <c r="H851" s="671" t="s">
        <v>886</v>
      </c>
      <c r="I851" s="755" t="s">
        <v>4452</v>
      </c>
      <c r="J851" s="755"/>
      <c r="Q851" s="3"/>
    </row>
    <row r="852" spans="1:20" hidden="1" outlineLevel="2" x14ac:dyDescent="0.35">
      <c r="B852" s="2"/>
      <c r="E852" s="343" t="str">
        <f>Lists!R7</f>
        <v>Capital</v>
      </c>
      <c r="F852" s="664">
        <f>SUMIF($E$862:$E$896,E852,$G$862:$G$896)</f>
        <v>0</v>
      </c>
      <c r="G852" s="664">
        <f>MAX(
    0,
    total_bonds+total_mortgages - total_ir_exposure_life - total_ir_exposure_non_life - inp_ltc_us_active_life_reserves - inp_net_aging_reserves
)</f>
        <v>0</v>
      </c>
      <c r="H852" s="664">
        <f>G852-F852</f>
        <v>0</v>
      </c>
      <c r="I852" s="752" t="str">
        <f>IF(ABS(H852) &gt; 0, "Please verify the difference in column F and G", "")</f>
        <v/>
      </c>
      <c r="J852" s="752"/>
      <c r="O852" s="608"/>
      <c r="Q852" s="3"/>
    </row>
    <row r="853" spans="1:20" hidden="1" outlineLevel="2" x14ac:dyDescent="0.35">
      <c r="B853" s="2"/>
      <c r="E853" s="351" t="str">
        <f>Lists!R3</f>
        <v>Life</v>
      </c>
      <c r="F853" s="664">
        <f>SUMIF($E$862:$E$896,E853,$G$862:$G$896)</f>
        <v>0</v>
      </c>
      <c r="G853" s="664">
        <f>total_life_reserves -
  inp_oth_life_linked_bus_wo_guarantee -
  inp_oth_life_linked_bus_with_guarantee +
  inp_ltc_non_us_liabilities -
  inp_tac_adj_life_resv_vif_off_bal -
  inp_tac_adj_life_resv_oth_eqty_like -
  inp_tac_adj_life_resv_valuation -
  inp_tac_policyholder_cptl -
  inp_tac_urg_on_invest</f>
        <v>0</v>
      </c>
      <c r="H853" s="664">
        <f>G853-F853</f>
        <v>0</v>
      </c>
      <c r="I853" s="752" t="str">
        <f t="shared" ref="I853:I856" si="16">IF(ABS(H853) &gt; 0, "Please verify the difference in column F and G", "")</f>
        <v/>
      </c>
      <c r="J853" s="752"/>
      <c r="O853" s="608"/>
      <c r="Q853" s="3"/>
    </row>
    <row r="854" spans="1:20" hidden="1" outlineLevel="2" x14ac:dyDescent="0.35">
      <c r="B854" s="2"/>
      <c r="E854" s="343" t="str">
        <f>Lists!R4</f>
        <v>Non-life</v>
      </c>
      <c r="F854" s="664">
        <f>SUMIF($E$862:$E$896,E854,$G$862:$G$896)</f>
        <v>0</v>
      </c>
      <c r="G854" s="664">
        <f>inp_tac_adj_non_life_resv_not_disc_on_bal +
  inp_tac_adj_non_life_resv_disc_on_bal -
  inp_tac_adj_non_life_resv_surplus_not_disc -
  calc_tac_non_life_resv_disc_adj</f>
        <v>0</v>
      </c>
      <c r="H854" s="664">
        <f>G854-F854</f>
        <v>0</v>
      </c>
      <c r="I854" s="752" t="str">
        <f t="shared" si="16"/>
        <v/>
      </c>
      <c r="J854" s="752"/>
      <c r="O854" s="608"/>
      <c r="Q854" s="3"/>
    </row>
    <row r="855" spans="1:20" hidden="1" outlineLevel="2" x14ac:dyDescent="0.35">
      <c r="B855" s="2"/>
      <c r="E855" s="5" t="str">
        <f>Lists!R5</f>
        <v>Unit Linked with Investment Guarantee</v>
      </c>
      <c r="F855" s="664">
        <f>SUMIF($E$862:$E$896,E855,$G$862:$G$896)</f>
        <v>0</v>
      </c>
      <c r="G855" s="664">
        <f>inp_oth_life_linked_bus_with_guarantee</f>
        <v>0</v>
      </c>
      <c r="H855" s="664">
        <f>G855-F855</f>
        <v>0</v>
      </c>
      <c r="I855" s="752" t="str">
        <f t="shared" si="16"/>
        <v/>
      </c>
      <c r="J855" s="752"/>
      <c r="O855" s="608"/>
      <c r="Q855" s="3"/>
    </row>
    <row r="856" spans="1:20" hidden="1" outlineLevel="2" x14ac:dyDescent="0.35">
      <c r="B856" s="2"/>
      <c r="C856" s="662"/>
      <c r="D856" s="662"/>
      <c r="E856" s="663" t="str">
        <f>Lists!R6</f>
        <v>Health with aging reserves</v>
      </c>
      <c r="F856" s="665">
        <f>SUMIF($E$862:$E$896,E856,$G$862:$G$896)</f>
        <v>0</v>
      </c>
      <c r="G856" s="665">
        <f>inp_net_aging_reserves</f>
        <v>0</v>
      </c>
      <c r="H856" s="665">
        <f>G856-F856</f>
        <v>0</v>
      </c>
      <c r="I856" s="753" t="str">
        <f t="shared" si="16"/>
        <v/>
      </c>
      <c r="J856" s="753"/>
      <c r="K856" s="662"/>
      <c r="L856" s="662"/>
      <c r="M856" s="662"/>
      <c r="O856" s="608"/>
      <c r="Q856" s="3"/>
    </row>
    <row r="857" spans="1:20" hidden="1" outlineLevel="2" x14ac:dyDescent="0.35">
      <c r="B857" s="458"/>
      <c r="C857" s="177" t="s">
        <v>1150</v>
      </c>
      <c r="D857" s="660"/>
      <c r="E857" s="661"/>
      <c r="Q857" s="3"/>
    </row>
    <row r="858" spans="1:20" s="218" customFormat="1" hidden="1" outlineLevel="2" x14ac:dyDescent="0.35">
      <c r="A858" s="180"/>
      <c r="B858" s="459"/>
      <c r="C858" s="177"/>
      <c r="D858" s="460"/>
      <c r="E858" s="343" t="s">
        <v>1477</v>
      </c>
      <c r="G858" s="206" t="s">
        <v>27</v>
      </c>
      <c r="O858" s="608"/>
      <c r="Q858" s="461"/>
    </row>
    <row r="859" spans="1:20" hidden="1" outlineLevel="2" x14ac:dyDescent="0.35">
      <c r="B859" s="462"/>
      <c r="D859" s="463"/>
      <c r="Q859" s="3"/>
    </row>
    <row r="860" spans="1:20" hidden="1" outlineLevel="2" x14ac:dyDescent="0.35">
      <c r="B860" s="462"/>
      <c r="C860" s="218"/>
      <c r="D860" s="218"/>
      <c r="E860" s="218"/>
      <c r="F860" s="218"/>
      <c r="H860" s="748" t="s">
        <v>2143</v>
      </c>
      <c r="I860" s="749"/>
      <c r="J860" s="748" t="s">
        <v>2145</v>
      </c>
      <c r="K860" s="749"/>
      <c r="L860" s="748" t="s">
        <v>2144</v>
      </c>
      <c r="M860" s="749"/>
      <c r="N860" s="218"/>
      <c r="Q860" s="3"/>
    </row>
    <row r="861" spans="1:20" ht="58" hidden="1" outlineLevel="2" x14ac:dyDescent="0.35">
      <c r="B861" s="462"/>
      <c r="C861" s="464" t="s">
        <v>28</v>
      </c>
      <c r="D861" s="464" t="s">
        <v>4466</v>
      </c>
      <c r="E861" s="464" t="s">
        <v>2142</v>
      </c>
      <c r="F861" s="465" t="s">
        <v>3062</v>
      </c>
      <c r="G861" s="465" t="s">
        <v>3063</v>
      </c>
      <c r="H861" s="464" t="s">
        <v>1117</v>
      </c>
      <c r="I861" s="464" t="s">
        <v>945</v>
      </c>
      <c r="J861" s="464" t="s">
        <v>1117</v>
      </c>
      <c r="K861" s="464" t="s">
        <v>945</v>
      </c>
      <c r="L861" s="464" t="s">
        <v>1117</v>
      </c>
      <c r="M861" s="464" t="s">
        <v>945</v>
      </c>
      <c r="N861" s="464" t="s">
        <v>1118</v>
      </c>
      <c r="Q861" s="3"/>
      <c r="T861" s="37" t="s">
        <v>4378</v>
      </c>
    </row>
    <row r="862" spans="1:20" hidden="1" outlineLevel="2" x14ac:dyDescent="0.35">
      <c r="B862" s="462"/>
      <c r="C862" s="207"/>
      <c r="D862" s="243" t="str">
        <f>IF(C862="","",C862)</f>
        <v/>
      </c>
      <c r="E862" s="466" t="str">
        <f>Lists!$R$7</f>
        <v>Capital</v>
      </c>
      <c r="F862" s="655"/>
      <c r="G862" s="655"/>
      <c r="H862" s="208"/>
      <c r="I862" s="208"/>
      <c r="J862" s="175" t="str">
        <f t="shared" ref="J862:J896" si="17">IFERROR(IF(VLOOKUP(IF(AND($G$858="Yes",$D862&lt;&gt;""),$D862,$C862),lov_ir_risk_by_country,2,FALSE)="","",VLOOKUP(IF(AND($G$858="Yes",$D862&lt;&gt;""),$D862,$C862),lov_ir_risk_by_country,2,FALSE)),"")</f>
        <v/>
      </c>
      <c r="K862" s="175" t="str">
        <f>IF(T862,IF(OR(E862=Lists!$R$5,E862=Lists!$R$6),Lists!$V$3,IFERROR(IF(VLOOKUP($C862,lov_ir_risk_by_country,3,FALSE)="","",VLOOKUP($C862,lov_ir_risk_by_country,3,FALSE)),"")),"")</f>
        <v/>
      </c>
      <c r="L862" s="175" t="str">
        <f>IF(J862="",IF(H862="","",H862),J862)</f>
        <v/>
      </c>
      <c r="M862" s="175" t="str">
        <f>IF(T862,IF(K862="",IF(I862="","",I862),K862),"")</f>
        <v/>
      </c>
      <c r="N862" s="176" t="str">
        <f t="shared" ref="N862:N896" si="18">IF(S862=1,Error_Message,"")</f>
        <v/>
      </c>
      <c r="O862" s="608"/>
      <c r="Q862" s="3"/>
      <c r="S862">
        <f t="shared" ref="S862:S896" si="19">IF(AND(C862&lt;&gt;"",E862&lt;&gt;"",G862&lt;&gt;"",OR(L862="",AND(T862,duration_mismatch_bespoke="No",M862=""))),1,0)</f>
        <v>0</v>
      </c>
      <c r="T862" t="b">
        <f t="shared" ref="T862:T896" si="20">NOT(ISERROR(VLOOKUP(E862, lov_ir_exposure_ctg_life,1,FALSE)))</f>
        <v>0</v>
      </c>
    </row>
    <row r="863" spans="1:20" hidden="1" outlineLevel="2" x14ac:dyDescent="0.35">
      <c r="B863" s="462"/>
      <c r="C863" s="207"/>
      <c r="D863" s="207"/>
      <c r="E863" s="207"/>
      <c r="F863" s="655"/>
      <c r="G863" s="655"/>
      <c r="H863" s="208"/>
      <c r="I863" s="208"/>
      <c r="J863" s="175" t="str">
        <f t="shared" si="17"/>
        <v/>
      </c>
      <c r="K863" s="175" t="str">
        <f>IF(T863,IF(OR(E863=Lists!$R$5,E863=Lists!$R$6),Lists!$V$3,IFERROR(IF(VLOOKUP($C863,lov_ir_risk_by_country,3,FALSE)="","",VLOOKUP($C863,lov_ir_risk_by_country,3,FALSE)),"")),"")</f>
        <v/>
      </c>
      <c r="L863" s="175" t="str">
        <f t="shared" ref="L863:L896" si="21">IF(J863="",IF(H863="","",H863),J863)</f>
        <v/>
      </c>
      <c r="M863" s="175" t="str">
        <f t="shared" ref="M863:M896" si="22">IF(T863,IF(K863="",IF(I863="","",I863),K863),"")</f>
        <v/>
      </c>
      <c r="N863" s="176" t="str">
        <f t="shared" si="18"/>
        <v/>
      </c>
      <c r="O863" s="608"/>
      <c r="Q863" s="3"/>
      <c r="S863">
        <f t="shared" si="19"/>
        <v>0</v>
      </c>
      <c r="T863" t="b">
        <f t="shared" si="20"/>
        <v>0</v>
      </c>
    </row>
    <row r="864" spans="1:20" hidden="1" outlineLevel="2" x14ac:dyDescent="0.35">
      <c r="B864" s="462"/>
      <c r="C864" s="207"/>
      <c r="D864" s="207"/>
      <c r="E864" s="207"/>
      <c r="F864" s="655"/>
      <c r="G864" s="655"/>
      <c r="H864" s="208"/>
      <c r="I864" s="208"/>
      <c r="J864" s="175" t="str">
        <f t="shared" si="17"/>
        <v/>
      </c>
      <c r="K864" s="175" t="str">
        <f>IF(T864,IF(OR(E864=Lists!$R$5,E864=Lists!$R$6),Lists!$V$3,IFERROR(IF(VLOOKUP($C864,lov_ir_risk_by_country,3,FALSE)="","",VLOOKUP($C864,lov_ir_risk_by_country,3,FALSE)),"")),"")</f>
        <v/>
      </c>
      <c r="L864" s="175" t="str">
        <f t="shared" si="21"/>
        <v/>
      </c>
      <c r="M864" s="175" t="str">
        <f t="shared" si="22"/>
        <v/>
      </c>
      <c r="N864" s="176" t="str">
        <f t="shared" si="18"/>
        <v/>
      </c>
      <c r="O864" s="608"/>
      <c r="Q864" s="3"/>
      <c r="S864">
        <f t="shared" si="19"/>
        <v>0</v>
      </c>
      <c r="T864" t="b">
        <f t="shared" si="20"/>
        <v>0</v>
      </c>
    </row>
    <row r="865" spans="2:20" hidden="1" outlineLevel="2" x14ac:dyDescent="0.35">
      <c r="B865" s="462"/>
      <c r="C865" s="207"/>
      <c r="D865" s="207"/>
      <c r="E865" s="207"/>
      <c r="F865" s="655"/>
      <c r="G865" s="655"/>
      <c r="H865" s="208"/>
      <c r="I865" s="208"/>
      <c r="J865" s="175" t="str">
        <f t="shared" si="17"/>
        <v/>
      </c>
      <c r="K865" s="175" t="str">
        <f>IF(T865,IF(OR(E865=Lists!$R$5,E865=Lists!$R$6),Lists!$V$3,IFERROR(IF(VLOOKUP($C865,lov_ir_risk_by_country,3,FALSE)="","",VLOOKUP($C865,lov_ir_risk_by_country,3,FALSE)),"")),"")</f>
        <v/>
      </c>
      <c r="L865" s="175" t="str">
        <f t="shared" si="21"/>
        <v/>
      </c>
      <c r="M865" s="175" t="str">
        <f t="shared" si="22"/>
        <v/>
      </c>
      <c r="N865" s="176" t="str">
        <f t="shared" si="18"/>
        <v/>
      </c>
      <c r="O865" s="608"/>
      <c r="Q865" s="3"/>
      <c r="S865">
        <f t="shared" si="19"/>
        <v>0</v>
      </c>
      <c r="T865" t="b">
        <f t="shared" si="20"/>
        <v>0</v>
      </c>
    </row>
    <row r="866" spans="2:20" hidden="1" outlineLevel="2" x14ac:dyDescent="0.35">
      <c r="B866" s="462"/>
      <c r="C866" s="207"/>
      <c r="D866" s="207"/>
      <c r="E866" s="207"/>
      <c r="F866" s="655"/>
      <c r="G866" s="655"/>
      <c r="H866" s="208"/>
      <c r="I866" s="208"/>
      <c r="J866" s="175" t="str">
        <f t="shared" si="17"/>
        <v/>
      </c>
      <c r="K866" s="175" t="str">
        <f>IF(T866,IF(OR(E866=Lists!$R$5,E866=Lists!$R$6),Lists!$V$3,IFERROR(IF(VLOOKUP($C866,lov_ir_risk_by_country,3,FALSE)="","",VLOOKUP($C866,lov_ir_risk_by_country,3,FALSE)),"")),"")</f>
        <v/>
      </c>
      <c r="L866" s="175" t="str">
        <f t="shared" si="21"/>
        <v/>
      </c>
      <c r="M866" s="175" t="str">
        <f t="shared" si="22"/>
        <v/>
      </c>
      <c r="N866" s="176" t="str">
        <f t="shared" si="18"/>
        <v/>
      </c>
      <c r="O866" s="608"/>
      <c r="Q866" s="3"/>
      <c r="S866">
        <f t="shared" si="19"/>
        <v>0</v>
      </c>
      <c r="T866" t="b">
        <f t="shared" si="20"/>
        <v>0</v>
      </c>
    </row>
    <row r="867" spans="2:20" hidden="1" outlineLevel="2" x14ac:dyDescent="0.35">
      <c r="B867" s="462"/>
      <c r="C867" s="207"/>
      <c r="D867" s="207"/>
      <c r="E867" s="207"/>
      <c r="F867" s="655"/>
      <c r="G867" s="655"/>
      <c r="H867" s="208"/>
      <c r="I867" s="208"/>
      <c r="J867" s="175" t="str">
        <f t="shared" si="17"/>
        <v/>
      </c>
      <c r="K867" s="175" t="str">
        <f>IF(T867,IF(OR(E867=Lists!$R$5,E867=Lists!$R$6),Lists!$V$3,IFERROR(IF(VLOOKUP($C867,lov_ir_risk_by_country,3,FALSE)="","",VLOOKUP($C867,lov_ir_risk_by_country,3,FALSE)),"")),"")</f>
        <v/>
      </c>
      <c r="L867" s="175" t="str">
        <f t="shared" si="21"/>
        <v/>
      </c>
      <c r="M867" s="175" t="str">
        <f t="shared" si="22"/>
        <v/>
      </c>
      <c r="N867" s="176" t="str">
        <f t="shared" si="18"/>
        <v/>
      </c>
      <c r="O867" s="608"/>
      <c r="Q867" s="3"/>
      <c r="S867">
        <f t="shared" si="19"/>
        <v>0</v>
      </c>
      <c r="T867" t="b">
        <f t="shared" si="20"/>
        <v>0</v>
      </c>
    </row>
    <row r="868" spans="2:20" hidden="1" outlineLevel="2" x14ac:dyDescent="0.35">
      <c r="B868" s="462"/>
      <c r="C868" s="207"/>
      <c r="D868" s="207"/>
      <c r="E868" s="207"/>
      <c r="F868" s="655"/>
      <c r="G868" s="655"/>
      <c r="H868" s="208"/>
      <c r="I868" s="208"/>
      <c r="J868" s="175" t="str">
        <f t="shared" si="17"/>
        <v/>
      </c>
      <c r="K868" s="175" t="str">
        <f>IF(T868,IF(OR(E868=Lists!$R$5,E868=Lists!$R$6),Lists!$V$3,IFERROR(IF(VLOOKUP($C868,lov_ir_risk_by_country,3,FALSE)="","",VLOOKUP($C868,lov_ir_risk_by_country,3,FALSE)),"")),"")</f>
        <v/>
      </c>
      <c r="L868" s="175" t="str">
        <f t="shared" si="21"/>
        <v/>
      </c>
      <c r="M868" s="175" t="str">
        <f t="shared" si="22"/>
        <v/>
      </c>
      <c r="N868" s="176" t="str">
        <f t="shared" si="18"/>
        <v/>
      </c>
      <c r="O868" s="608"/>
      <c r="Q868" s="3"/>
      <c r="S868">
        <f t="shared" si="19"/>
        <v>0</v>
      </c>
      <c r="T868" t="b">
        <f t="shared" si="20"/>
        <v>0</v>
      </c>
    </row>
    <row r="869" spans="2:20" hidden="1" outlineLevel="2" x14ac:dyDescent="0.35">
      <c r="B869" s="462"/>
      <c r="C869" s="207"/>
      <c r="D869" s="207"/>
      <c r="E869" s="207"/>
      <c r="F869" s="655"/>
      <c r="G869" s="655"/>
      <c r="H869" s="208"/>
      <c r="I869" s="208"/>
      <c r="J869" s="175" t="str">
        <f t="shared" si="17"/>
        <v/>
      </c>
      <c r="K869" s="175" t="str">
        <f>IF(T869,IF(OR(E869=Lists!$R$5,E869=Lists!$R$6),Lists!$V$3,IFERROR(IF(VLOOKUP($C869,lov_ir_risk_by_country,3,FALSE)="","",VLOOKUP($C869,lov_ir_risk_by_country,3,FALSE)),"")),"")</f>
        <v/>
      </c>
      <c r="L869" s="175" t="str">
        <f t="shared" si="21"/>
        <v/>
      </c>
      <c r="M869" s="175" t="str">
        <f t="shared" si="22"/>
        <v/>
      </c>
      <c r="N869" s="176" t="str">
        <f t="shared" si="18"/>
        <v/>
      </c>
      <c r="O869" s="608"/>
      <c r="Q869" s="3"/>
      <c r="S869">
        <f t="shared" si="19"/>
        <v>0</v>
      </c>
      <c r="T869" t="b">
        <f t="shared" si="20"/>
        <v>0</v>
      </c>
    </row>
    <row r="870" spans="2:20" hidden="1" outlineLevel="2" x14ac:dyDescent="0.35">
      <c r="B870" s="462"/>
      <c r="C870" s="207"/>
      <c r="D870" s="207"/>
      <c r="E870" s="207"/>
      <c r="F870" s="655"/>
      <c r="G870" s="655"/>
      <c r="H870" s="208"/>
      <c r="I870" s="208"/>
      <c r="J870" s="175" t="str">
        <f t="shared" si="17"/>
        <v/>
      </c>
      <c r="K870" s="175" t="str">
        <f>IF(T870,IF(OR(E870=Lists!$R$5,E870=Lists!$R$6),Lists!$V$3,IFERROR(IF(VLOOKUP($C870,lov_ir_risk_by_country,3,FALSE)="","",VLOOKUP($C870,lov_ir_risk_by_country,3,FALSE)),"")),"")</f>
        <v/>
      </c>
      <c r="L870" s="175" t="str">
        <f t="shared" si="21"/>
        <v/>
      </c>
      <c r="M870" s="175" t="str">
        <f t="shared" si="22"/>
        <v/>
      </c>
      <c r="N870" s="176" t="str">
        <f t="shared" si="18"/>
        <v/>
      </c>
      <c r="O870" s="608"/>
      <c r="Q870" s="3"/>
      <c r="S870">
        <f t="shared" si="19"/>
        <v>0</v>
      </c>
      <c r="T870" t="b">
        <f t="shared" si="20"/>
        <v>0</v>
      </c>
    </row>
    <row r="871" spans="2:20" hidden="1" outlineLevel="2" x14ac:dyDescent="0.35">
      <c r="B871" s="462"/>
      <c r="C871" s="207"/>
      <c r="D871" s="207"/>
      <c r="E871" s="207"/>
      <c r="F871" s="655"/>
      <c r="G871" s="655"/>
      <c r="H871" s="208"/>
      <c r="I871" s="208"/>
      <c r="J871" s="175" t="str">
        <f t="shared" si="17"/>
        <v/>
      </c>
      <c r="K871" s="175" t="str">
        <f>IF(T871,IF(OR(E871=Lists!$R$5,E871=Lists!$R$6),Lists!$V$3,IFERROR(IF(VLOOKUP($C871,lov_ir_risk_by_country,3,FALSE)="","",VLOOKUP($C871,lov_ir_risk_by_country,3,FALSE)),"")),"")</f>
        <v/>
      </c>
      <c r="L871" s="175" t="str">
        <f t="shared" si="21"/>
        <v/>
      </c>
      <c r="M871" s="175" t="str">
        <f t="shared" si="22"/>
        <v/>
      </c>
      <c r="N871" s="176" t="str">
        <f t="shared" si="18"/>
        <v/>
      </c>
      <c r="O871" s="608"/>
      <c r="Q871" s="3"/>
      <c r="S871">
        <f t="shared" si="19"/>
        <v>0</v>
      </c>
      <c r="T871" t="b">
        <f t="shared" si="20"/>
        <v>0</v>
      </c>
    </row>
    <row r="872" spans="2:20" hidden="1" outlineLevel="2" x14ac:dyDescent="0.35">
      <c r="B872" s="2"/>
      <c r="C872" s="207"/>
      <c r="D872" s="207"/>
      <c r="E872" s="207"/>
      <c r="F872" s="655"/>
      <c r="G872" s="655"/>
      <c r="H872" s="208"/>
      <c r="I872" s="208"/>
      <c r="J872" s="175" t="str">
        <f t="shared" si="17"/>
        <v/>
      </c>
      <c r="K872" s="175" t="str">
        <f>IF(T872,IF(OR(E872=Lists!$R$5,E872=Lists!$R$6),Lists!$V$3,IFERROR(IF(VLOOKUP($C872,lov_ir_risk_by_country,3,FALSE)="","",VLOOKUP($C872,lov_ir_risk_by_country,3,FALSE)),"")),"")</f>
        <v/>
      </c>
      <c r="L872" s="175" t="str">
        <f t="shared" si="21"/>
        <v/>
      </c>
      <c r="M872" s="175" t="str">
        <f t="shared" si="22"/>
        <v/>
      </c>
      <c r="N872" s="176" t="str">
        <f t="shared" si="18"/>
        <v/>
      </c>
      <c r="O872" s="608"/>
      <c r="Q872" s="3"/>
      <c r="S872">
        <f t="shared" si="19"/>
        <v>0</v>
      </c>
      <c r="T872" t="b">
        <f t="shared" si="20"/>
        <v>0</v>
      </c>
    </row>
    <row r="873" spans="2:20" hidden="1" outlineLevel="2" x14ac:dyDescent="0.35">
      <c r="B873" s="2"/>
      <c r="C873" s="207"/>
      <c r="D873" s="207"/>
      <c r="E873" s="207"/>
      <c r="F873" s="655"/>
      <c r="G873" s="655"/>
      <c r="H873" s="208"/>
      <c r="I873" s="208"/>
      <c r="J873" s="175" t="str">
        <f t="shared" si="17"/>
        <v/>
      </c>
      <c r="K873" s="175" t="str">
        <f>IF(T873,IF(OR(E873=Lists!$R$5,E873=Lists!$R$6),Lists!$V$3,IFERROR(IF(VLOOKUP($C873,lov_ir_risk_by_country,3,FALSE)="","",VLOOKUP($C873,lov_ir_risk_by_country,3,FALSE)),"")),"")</f>
        <v/>
      </c>
      <c r="L873" s="175" t="str">
        <f t="shared" si="21"/>
        <v/>
      </c>
      <c r="M873" s="175" t="str">
        <f t="shared" si="22"/>
        <v/>
      </c>
      <c r="N873" s="176" t="str">
        <f t="shared" si="18"/>
        <v/>
      </c>
      <c r="O873" s="608"/>
      <c r="Q873" s="3"/>
      <c r="S873">
        <f t="shared" si="19"/>
        <v>0</v>
      </c>
      <c r="T873" t="b">
        <f t="shared" si="20"/>
        <v>0</v>
      </c>
    </row>
    <row r="874" spans="2:20" hidden="1" outlineLevel="2" x14ac:dyDescent="0.35">
      <c r="B874" s="2"/>
      <c r="C874" s="207"/>
      <c r="D874" s="207"/>
      <c r="E874" s="207"/>
      <c r="F874" s="655"/>
      <c r="G874" s="655"/>
      <c r="H874" s="208"/>
      <c r="I874" s="208"/>
      <c r="J874" s="175" t="str">
        <f t="shared" si="17"/>
        <v/>
      </c>
      <c r="K874" s="175" t="str">
        <f>IF(T874,IF(OR(E874=Lists!$R$5,E874=Lists!$R$6),Lists!$V$3,IFERROR(IF(VLOOKUP($C874,lov_ir_risk_by_country,3,FALSE)="","",VLOOKUP($C874,lov_ir_risk_by_country,3,FALSE)),"")),"")</f>
        <v/>
      </c>
      <c r="L874" s="175" t="str">
        <f t="shared" si="21"/>
        <v/>
      </c>
      <c r="M874" s="175" t="str">
        <f t="shared" si="22"/>
        <v/>
      </c>
      <c r="N874" s="176" t="str">
        <f t="shared" si="18"/>
        <v/>
      </c>
      <c r="O874" s="608"/>
      <c r="Q874" s="3"/>
      <c r="S874">
        <f t="shared" si="19"/>
        <v>0</v>
      </c>
      <c r="T874" t="b">
        <f t="shared" si="20"/>
        <v>0</v>
      </c>
    </row>
    <row r="875" spans="2:20" hidden="1" outlineLevel="2" x14ac:dyDescent="0.35">
      <c r="B875" s="2"/>
      <c r="C875" s="207"/>
      <c r="D875" s="207"/>
      <c r="E875" s="207"/>
      <c r="F875" s="655"/>
      <c r="G875" s="655"/>
      <c r="H875" s="208"/>
      <c r="I875" s="208"/>
      <c r="J875" s="175" t="str">
        <f t="shared" si="17"/>
        <v/>
      </c>
      <c r="K875" s="175" t="str">
        <f>IF(T875,IF(OR(E875=Lists!$R$5,E875=Lists!$R$6),Lists!$V$3,IFERROR(IF(VLOOKUP($C875,lov_ir_risk_by_country,3,FALSE)="","",VLOOKUP($C875,lov_ir_risk_by_country,3,FALSE)),"")),"")</f>
        <v/>
      </c>
      <c r="L875" s="175" t="str">
        <f t="shared" si="21"/>
        <v/>
      </c>
      <c r="M875" s="175" t="str">
        <f t="shared" si="22"/>
        <v/>
      </c>
      <c r="N875" s="176" t="str">
        <f t="shared" si="18"/>
        <v/>
      </c>
      <c r="O875" s="608"/>
      <c r="Q875" s="3"/>
      <c r="S875">
        <f t="shared" si="19"/>
        <v>0</v>
      </c>
      <c r="T875" t="b">
        <f t="shared" si="20"/>
        <v>0</v>
      </c>
    </row>
    <row r="876" spans="2:20" hidden="1" outlineLevel="2" x14ac:dyDescent="0.35">
      <c r="B876" s="2"/>
      <c r="C876" s="207"/>
      <c r="D876" s="207"/>
      <c r="E876" s="207"/>
      <c r="F876" s="655"/>
      <c r="G876" s="655"/>
      <c r="H876" s="208"/>
      <c r="I876" s="208"/>
      <c r="J876" s="175" t="str">
        <f t="shared" si="17"/>
        <v/>
      </c>
      <c r="K876" s="175" t="str">
        <f>IF(T876,IF(OR(E876=Lists!$R$5,E876=Lists!$R$6),Lists!$V$3,IFERROR(IF(VLOOKUP($C876,lov_ir_risk_by_country,3,FALSE)="","",VLOOKUP($C876,lov_ir_risk_by_country,3,FALSE)),"")),"")</f>
        <v/>
      </c>
      <c r="L876" s="175" t="str">
        <f t="shared" si="21"/>
        <v/>
      </c>
      <c r="M876" s="175" t="str">
        <f t="shared" si="22"/>
        <v/>
      </c>
      <c r="N876" s="176" t="str">
        <f t="shared" si="18"/>
        <v/>
      </c>
      <c r="O876" s="608"/>
      <c r="Q876" s="3"/>
      <c r="S876">
        <f t="shared" si="19"/>
        <v>0</v>
      </c>
      <c r="T876" t="b">
        <f t="shared" si="20"/>
        <v>0</v>
      </c>
    </row>
    <row r="877" spans="2:20" hidden="1" outlineLevel="2" x14ac:dyDescent="0.35">
      <c r="B877" s="2"/>
      <c r="C877" s="207"/>
      <c r="D877" s="207"/>
      <c r="E877" s="207"/>
      <c r="F877" s="655"/>
      <c r="G877" s="655"/>
      <c r="H877" s="208"/>
      <c r="I877" s="208"/>
      <c r="J877" s="175" t="str">
        <f t="shared" si="17"/>
        <v/>
      </c>
      <c r="K877" s="175" t="str">
        <f>IF(T877,IF(OR(E877=Lists!$R$5,E877=Lists!$R$6),Lists!$V$3,IFERROR(IF(VLOOKUP($C877,lov_ir_risk_by_country,3,FALSE)="","",VLOOKUP($C877,lov_ir_risk_by_country,3,FALSE)),"")),"")</f>
        <v/>
      </c>
      <c r="L877" s="175" t="str">
        <f t="shared" si="21"/>
        <v/>
      </c>
      <c r="M877" s="175" t="str">
        <f t="shared" si="22"/>
        <v/>
      </c>
      <c r="N877" s="176" t="str">
        <f t="shared" si="18"/>
        <v/>
      </c>
      <c r="O877" s="608"/>
      <c r="Q877" s="3"/>
      <c r="S877">
        <f t="shared" si="19"/>
        <v>0</v>
      </c>
      <c r="T877" t="b">
        <f t="shared" si="20"/>
        <v>0</v>
      </c>
    </row>
    <row r="878" spans="2:20" hidden="1" outlineLevel="2" x14ac:dyDescent="0.35">
      <c r="B878" s="2"/>
      <c r="C878" s="207"/>
      <c r="D878" s="207"/>
      <c r="E878" s="207"/>
      <c r="F878" s="655"/>
      <c r="G878" s="655"/>
      <c r="H878" s="208"/>
      <c r="I878" s="208"/>
      <c r="J878" s="175" t="str">
        <f t="shared" si="17"/>
        <v/>
      </c>
      <c r="K878" s="175" t="str">
        <f>IF(T878,IF(OR(E878=Lists!$R$5,E878=Lists!$R$6),Lists!$V$3,IFERROR(IF(VLOOKUP($C878,lov_ir_risk_by_country,3,FALSE)="","",VLOOKUP($C878,lov_ir_risk_by_country,3,FALSE)),"")),"")</f>
        <v/>
      </c>
      <c r="L878" s="175" t="str">
        <f t="shared" si="21"/>
        <v/>
      </c>
      <c r="M878" s="175" t="str">
        <f t="shared" si="22"/>
        <v/>
      </c>
      <c r="N878" s="176" t="str">
        <f t="shared" si="18"/>
        <v/>
      </c>
      <c r="O878" s="608"/>
      <c r="Q878" s="3"/>
      <c r="S878">
        <f t="shared" si="19"/>
        <v>0</v>
      </c>
      <c r="T878" t="b">
        <f t="shared" si="20"/>
        <v>0</v>
      </c>
    </row>
    <row r="879" spans="2:20" hidden="1" outlineLevel="2" x14ac:dyDescent="0.35">
      <c r="B879" s="2"/>
      <c r="C879" s="207"/>
      <c r="D879" s="207"/>
      <c r="E879" s="207"/>
      <c r="F879" s="655"/>
      <c r="G879" s="655"/>
      <c r="H879" s="208"/>
      <c r="I879" s="208"/>
      <c r="J879" s="175" t="str">
        <f t="shared" si="17"/>
        <v/>
      </c>
      <c r="K879" s="175" t="str">
        <f>IF(T879,IF(OR(E879=Lists!$R$5,E879=Lists!$R$6),Lists!$V$3,IFERROR(IF(VLOOKUP($C879,lov_ir_risk_by_country,3,FALSE)="","",VLOOKUP($C879,lov_ir_risk_by_country,3,FALSE)),"")),"")</f>
        <v/>
      </c>
      <c r="L879" s="175" t="str">
        <f t="shared" si="21"/>
        <v/>
      </c>
      <c r="M879" s="175" t="str">
        <f t="shared" si="22"/>
        <v/>
      </c>
      <c r="N879" s="176" t="str">
        <f t="shared" si="18"/>
        <v/>
      </c>
      <c r="O879" s="608"/>
      <c r="Q879" s="3"/>
      <c r="S879">
        <f t="shared" si="19"/>
        <v>0</v>
      </c>
      <c r="T879" t="b">
        <f t="shared" si="20"/>
        <v>0</v>
      </c>
    </row>
    <row r="880" spans="2:20" hidden="1" outlineLevel="2" x14ac:dyDescent="0.35">
      <c r="B880" s="2"/>
      <c r="C880" s="207"/>
      <c r="D880" s="207"/>
      <c r="E880" s="207"/>
      <c r="F880" s="655"/>
      <c r="G880" s="655"/>
      <c r="H880" s="208"/>
      <c r="I880" s="208"/>
      <c r="J880" s="175" t="str">
        <f t="shared" si="17"/>
        <v/>
      </c>
      <c r="K880" s="175" t="str">
        <f>IF(T880,IF(OR(E880=Lists!$R$5,E880=Lists!$R$6),Lists!$V$3,IFERROR(IF(VLOOKUP($C880,lov_ir_risk_by_country,3,FALSE)="","",VLOOKUP($C880,lov_ir_risk_by_country,3,FALSE)),"")),"")</f>
        <v/>
      </c>
      <c r="L880" s="175" t="str">
        <f t="shared" si="21"/>
        <v/>
      </c>
      <c r="M880" s="175" t="str">
        <f t="shared" si="22"/>
        <v/>
      </c>
      <c r="N880" s="176" t="str">
        <f t="shared" si="18"/>
        <v/>
      </c>
      <c r="O880" s="608"/>
      <c r="Q880" s="3"/>
      <c r="S880">
        <f t="shared" si="19"/>
        <v>0</v>
      </c>
      <c r="T880" t="b">
        <f t="shared" si="20"/>
        <v>0</v>
      </c>
    </row>
    <row r="881" spans="2:20" hidden="1" outlineLevel="2" x14ac:dyDescent="0.35">
      <c r="B881" s="2"/>
      <c r="C881" s="207"/>
      <c r="D881" s="207"/>
      <c r="E881" s="207"/>
      <c r="F881" s="655"/>
      <c r="G881" s="655"/>
      <c r="H881" s="208"/>
      <c r="I881" s="208"/>
      <c r="J881" s="175" t="str">
        <f t="shared" si="17"/>
        <v/>
      </c>
      <c r="K881" s="175" t="str">
        <f>IF(T881,IF(OR(E881=Lists!$R$5,E881=Lists!$R$6),Lists!$V$3,IFERROR(IF(VLOOKUP($C881,lov_ir_risk_by_country,3,FALSE)="","",VLOOKUP($C881,lov_ir_risk_by_country,3,FALSE)),"")),"")</f>
        <v/>
      </c>
      <c r="L881" s="175" t="str">
        <f t="shared" si="21"/>
        <v/>
      </c>
      <c r="M881" s="175" t="str">
        <f t="shared" si="22"/>
        <v/>
      </c>
      <c r="N881" s="176" t="str">
        <f t="shared" si="18"/>
        <v/>
      </c>
      <c r="O881" s="608"/>
      <c r="Q881" s="3"/>
      <c r="S881">
        <f t="shared" si="19"/>
        <v>0</v>
      </c>
      <c r="T881" t="b">
        <f t="shared" si="20"/>
        <v>0</v>
      </c>
    </row>
    <row r="882" spans="2:20" hidden="1" outlineLevel="2" x14ac:dyDescent="0.35">
      <c r="B882" s="2"/>
      <c r="C882" s="207"/>
      <c r="D882" s="207"/>
      <c r="E882" s="207"/>
      <c r="F882" s="655"/>
      <c r="G882" s="655"/>
      <c r="H882" s="208"/>
      <c r="I882" s="208"/>
      <c r="J882" s="175" t="str">
        <f t="shared" si="17"/>
        <v/>
      </c>
      <c r="K882" s="175" t="str">
        <f>IF(T882,IF(OR(E882=Lists!$R$5,E882=Lists!$R$6),Lists!$V$3,IFERROR(IF(VLOOKUP($C882,lov_ir_risk_by_country,3,FALSE)="","",VLOOKUP($C882,lov_ir_risk_by_country,3,FALSE)),"")),"")</f>
        <v/>
      </c>
      <c r="L882" s="175" t="str">
        <f t="shared" si="21"/>
        <v/>
      </c>
      <c r="M882" s="175" t="str">
        <f t="shared" si="22"/>
        <v/>
      </c>
      <c r="N882" s="176" t="str">
        <f t="shared" si="18"/>
        <v/>
      </c>
      <c r="O882" s="608"/>
      <c r="Q882" s="3"/>
      <c r="S882">
        <f t="shared" si="19"/>
        <v>0</v>
      </c>
      <c r="T882" t="b">
        <f t="shared" si="20"/>
        <v>0</v>
      </c>
    </row>
    <row r="883" spans="2:20" hidden="1" outlineLevel="2" x14ac:dyDescent="0.35">
      <c r="B883" s="2"/>
      <c r="C883" s="207"/>
      <c r="D883" s="207"/>
      <c r="E883" s="207"/>
      <c r="F883" s="655"/>
      <c r="G883" s="655"/>
      <c r="H883" s="208"/>
      <c r="I883" s="208"/>
      <c r="J883" s="175" t="str">
        <f t="shared" si="17"/>
        <v/>
      </c>
      <c r="K883" s="175" t="str">
        <f>IF(T883,IF(OR(E883=Lists!$R$5,E883=Lists!$R$6),Lists!$V$3,IFERROR(IF(VLOOKUP($C883,lov_ir_risk_by_country,3,FALSE)="","",VLOOKUP($C883,lov_ir_risk_by_country,3,FALSE)),"")),"")</f>
        <v/>
      </c>
      <c r="L883" s="175" t="str">
        <f t="shared" si="21"/>
        <v/>
      </c>
      <c r="M883" s="175" t="str">
        <f t="shared" si="22"/>
        <v/>
      </c>
      <c r="N883" s="176" t="str">
        <f t="shared" si="18"/>
        <v/>
      </c>
      <c r="O883" s="608"/>
      <c r="Q883" s="3"/>
      <c r="S883">
        <f t="shared" si="19"/>
        <v>0</v>
      </c>
      <c r="T883" t="b">
        <f t="shared" si="20"/>
        <v>0</v>
      </c>
    </row>
    <row r="884" spans="2:20" hidden="1" outlineLevel="2" x14ac:dyDescent="0.35">
      <c r="B884" s="2"/>
      <c r="C884" s="207"/>
      <c r="D884" s="207"/>
      <c r="E884" s="207"/>
      <c r="F884" s="655"/>
      <c r="G884" s="655"/>
      <c r="H884" s="208"/>
      <c r="I884" s="208"/>
      <c r="J884" s="175" t="str">
        <f t="shared" si="17"/>
        <v/>
      </c>
      <c r="K884" s="175" t="str">
        <f>IF(T884,IF(OR(E884=Lists!$R$5,E884=Lists!$R$6),Lists!$V$3,IFERROR(IF(VLOOKUP($C884,lov_ir_risk_by_country,3,FALSE)="","",VLOOKUP($C884,lov_ir_risk_by_country,3,FALSE)),"")),"")</f>
        <v/>
      </c>
      <c r="L884" s="175" t="str">
        <f t="shared" si="21"/>
        <v/>
      </c>
      <c r="M884" s="175" t="str">
        <f t="shared" si="22"/>
        <v/>
      </c>
      <c r="N884" s="176" t="str">
        <f t="shared" si="18"/>
        <v/>
      </c>
      <c r="O884" s="608"/>
      <c r="Q884" s="3"/>
      <c r="S884">
        <f t="shared" si="19"/>
        <v>0</v>
      </c>
      <c r="T884" t="b">
        <f t="shared" si="20"/>
        <v>0</v>
      </c>
    </row>
    <row r="885" spans="2:20" hidden="1" outlineLevel="2" x14ac:dyDescent="0.35">
      <c r="B885" s="2"/>
      <c r="C885" s="207"/>
      <c r="D885" s="207"/>
      <c r="E885" s="207"/>
      <c r="F885" s="655"/>
      <c r="G885" s="655"/>
      <c r="H885" s="208"/>
      <c r="I885" s="208"/>
      <c r="J885" s="175" t="str">
        <f t="shared" si="17"/>
        <v/>
      </c>
      <c r="K885" s="175" t="str">
        <f>IF(T885,IF(OR(E885=Lists!$R$5,E885=Lists!$R$6),Lists!$V$3,IFERROR(IF(VLOOKUP($C885,lov_ir_risk_by_country,3,FALSE)="","",VLOOKUP($C885,lov_ir_risk_by_country,3,FALSE)),"")),"")</f>
        <v/>
      </c>
      <c r="L885" s="175" t="str">
        <f t="shared" si="21"/>
        <v/>
      </c>
      <c r="M885" s="175" t="str">
        <f t="shared" si="22"/>
        <v/>
      </c>
      <c r="N885" s="176" t="str">
        <f t="shared" si="18"/>
        <v/>
      </c>
      <c r="O885" s="608"/>
      <c r="Q885" s="3"/>
      <c r="S885">
        <f t="shared" si="19"/>
        <v>0</v>
      </c>
      <c r="T885" t="b">
        <f t="shared" si="20"/>
        <v>0</v>
      </c>
    </row>
    <row r="886" spans="2:20" hidden="1" outlineLevel="2" x14ac:dyDescent="0.35">
      <c r="B886" s="2"/>
      <c r="C886" s="207"/>
      <c r="D886" s="207"/>
      <c r="E886" s="207"/>
      <c r="F886" s="655"/>
      <c r="G886" s="655"/>
      <c r="H886" s="208"/>
      <c r="I886" s="208"/>
      <c r="J886" s="175" t="str">
        <f t="shared" si="17"/>
        <v/>
      </c>
      <c r="K886" s="175" t="str">
        <f>IF(T886,IF(OR(E886=Lists!$R$5,E886=Lists!$R$6),Lists!$V$3,IFERROR(IF(VLOOKUP($C886,lov_ir_risk_by_country,3,FALSE)="","",VLOOKUP($C886,lov_ir_risk_by_country,3,FALSE)),"")),"")</f>
        <v/>
      </c>
      <c r="L886" s="175" t="str">
        <f t="shared" si="21"/>
        <v/>
      </c>
      <c r="M886" s="175" t="str">
        <f t="shared" si="22"/>
        <v/>
      </c>
      <c r="N886" s="176" t="str">
        <f t="shared" si="18"/>
        <v/>
      </c>
      <c r="O886" s="608"/>
      <c r="Q886" s="3"/>
      <c r="S886">
        <f t="shared" si="19"/>
        <v>0</v>
      </c>
      <c r="T886" t="b">
        <f t="shared" si="20"/>
        <v>0</v>
      </c>
    </row>
    <row r="887" spans="2:20" hidden="1" outlineLevel="2" x14ac:dyDescent="0.35">
      <c r="B887" s="2"/>
      <c r="C887" s="207"/>
      <c r="D887" s="207"/>
      <c r="E887" s="207"/>
      <c r="F887" s="655"/>
      <c r="G887" s="655"/>
      <c r="H887" s="208"/>
      <c r="I887" s="208"/>
      <c r="J887" s="175" t="str">
        <f t="shared" si="17"/>
        <v/>
      </c>
      <c r="K887" s="175" t="str">
        <f>IF(T887,IF(OR(E887=Lists!$R$5,E887=Lists!$R$6),Lists!$V$3,IFERROR(IF(VLOOKUP($C887,lov_ir_risk_by_country,3,FALSE)="","",VLOOKUP($C887,lov_ir_risk_by_country,3,FALSE)),"")),"")</f>
        <v/>
      </c>
      <c r="L887" s="175" t="str">
        <f t="shared" ref="L887:L891" si="23">IF(J887="",IF(H887="","",H887),J887)</f>
        <v/>
      </c>
      <c r="M887" s="175" t="str">
        <f t="shared" si="22"/>
        <v/>
      </c>
      <c r="N887" s="176" t="str">
        <f t="shared" si="18"/>
        <v/>
      </c>
      <c r="O887" s="608"/>
      <c r="Q887" s="3"/>
      <c r="S887">
        <f t="shared" si="19"/>
        <v>0</v>
      </c>
      <c r="T887" t="b">
        <f t="shared" si="20"/>
        <v>0</v>
      </c>
    </row>
    <row r="888" spans="2:20" hidden="1" outlineLevel="2" x14ac:dyDescent="0.35">
      <c r="B888" s="2"/>
      <c r="C888" s="207"/>
      <c r="D888" s="207"/>
      <c r="E888" s="207"/>
      <c r="F888" s="655"/>
      <c r="G888" s="655"/>
      <c r="H888" s="208"/>
      <c r="I888" s="208"/>
      <c r="J888" s="175" t="str">
        <f t="shared" si="17"/>
        <v/>
      </c>
      <c r="K888" s="175" t="str">
        <f>IF(T888,IF(OR(E888=Lists!$R$5,E888=Lists!$R$6),Lists!$V$3,IFERROR(IF(VLOOKUP($C888,lov_ir_risk_by_country,3,FALSE)="","",VLOOKUP($C888,lov_ir_risk_by_country,3,FALSE)),"")),"")</f>
        <v/>
      </c>
      <c r="L888" s="175" t="str">
        <f t="shared" si="23"/>
        <v/>
      </c>
      <c r="M888" s="175" t="str">
        <f t="shared" si="22"/>
        <v/>
      </c>
      <c r="N888" s="176" t="str">
        <f t="shared" si="18"/>
        <v/>
      </c>
      <c r="O888" s="608"/>
      <c r="Q888" s="3"/>
      <c r="S888">
        <f t="shared" si="19"/>
        <v>0</v>
      </c>
      <c r="T888" t="b">
        <f t="shared" si="20"/>
        <v>0</v>
      </c>
    </row>
    <row r="889" spans="2:20" hidden="1" outlineLevel="2" x14ac:dyDescent="0.35">
      <c r="B889" s="2"/>
      <c r="C889" s="207"/>
      <c r="D889" s="207"/>
      <c r="E889" s="207"/>
      <c r="F889" s="655"/>
      <c r="G889" s="655"/>
      <c r="H889" s="208"/>
      <c r="I889" s="208"/>
      <c r="J889" s="175" t="str">
        <f t="shared" si="17"/>
        <v/>
      </c>
      <c r="K889" s="175" t="str">
        <f>IF(T889,IF(OR(E889=Lists!$R$5,E889=Lists!$R$6),Lists!$V$3,IFERROR(IF(VLOOKUP($C889,lov_ir_risk_by_country,3,FALSE)="","",VLOOKUP($C889,lov_ir_risk_by_country,3,FALSE)),"")),"")</f>
        <v/>
      </c>
      <c r="L889" s="175" t="str">
        <f t="shared" si="23"/>
        <v/>
      </c>
      <c r="M889" s="175" t="str">
        <f t="shared" si="22"/>
        <v/>
      </c>
      <c r="N889" s="176" t="str">
        <f t="shared" si="18"/>
        <v/>
      </c>
      <c r="O889" s="608"/>
      <c r="Q889" s="3"/>
      <c r="S889">
        <f t="shared" si="19"/>
        <v>0</v>
      </c>
      <c r="T889" t="b">
        <f t="shared" si="20"/>
        <v>0</v>
      </c>
    </row>
    <row r="890" spans="2:20" hidden="1" outlineLevel="2" x14ac:dyDescent="0.35">
      <c r="B890" s="2"/>
      <c r="C890" s="207"/>
      <c r="D890" s="207"/>
      <c r="E890" s="207"/>
      <c r="F890" s="655"/>
      <c r="G890" s="655"/>
      <c r="H890" s="208"/>
      <c r="I890" s="208"/>
      <c r="J890" s="175" t="str">
        <f t="shared" si="17"/>
        <v/>
      </c>
      <c r="K890" s="175" t="str">
        <f>IF(T890,IF(OR(E890=Lists!$R$5,E890=Lists!$R$6),Lists!$V$3,IFERROR(IF(VLOOKUP($C890,lov_ir_risk_by_country,3,FALSE)="","",VLOOKUP($C890,lov_ir_risk_by_country,3,FALSE)),"")),"")</f>
        <v/>
      </c>
      <c r="L890" s="175" t="str">
        <f t="shared" si="23"/>
        <v/>
      </c>
      <c r="M890" s="175" t="str">
        <f t="shared" si="22"/>
        <v/>
      </c>
      <c r="N890" s="176" t="str">
        <f t="shared" si="18"/>
        <v/>
      </c>
      <c r="O890" s="608"/>
      <c r="Q890" s="3"/>
      <c r="S890">
        <f t="shared" si="19"/>
        <v>0</v>
      </c>
      <c r="T890" t="b">
        <f t="shared" si="20"/>
        <v>0</v>
      </c>
    </row>
    <row r="891" spans="2:20" hidden="1" outlineLevel="2" x14ac:dyDescent="0.35">
      <c r="B891" s="2"/>
      <c r="C891" s="207"/>
      <c r="D891" s="207"/>
      <c r="E891" s="207"/>
      <c r="F891" s="655"/>
      <c r="G891" s="655"/>
      <c r="H891" s="208"/>
      <c r="I891" s="208"/>
      <c r="J891" s="175" t="str">
        <f t="shared" si="17"/>
        <v/>
      </c>
      <c r="K891" s="175" t="str">
        <f>IF(T891,IF(OR(E891=Lists!$R$5,E891=Lists!$R$6),Lists!$V$3,IFERROR(IF(VLOOKUP($C891,lov_ir_risk_by_country,3,FALSE)="","",VLOOKUP($C891,lov_ir_risk_by_country,3,FALSE)),"")),"")</f>
        <v/>
      </c>
      <c r="L891" s="175" t="str">
        <f t="shared" si="23"/>
        <v/>
      </c>
      <c r="M891" s="175" t="str">
        <f t="shared" si="22"/>
        <v/>
      </c>
      <c r="N891" s="176" t="str">
        <f t="shared" si="18"/>
        <v/>
      </c>
      <c r="O891" s="608"/>
      <c r="Q891" s="3"/>
      <c r="S891">
        <f t="shared" si="19"/>
        <v>0</v>
      </c>
      <c r="T891" t="b">
        <f t="shared" si="20"/>
        <v>0</v>
      </c>
    </row>
    <row r="892" spans="2:20" hidden="1" outlineLevel="2" x14ac:dyDescent="0.35">
      <c r="B892" s="2"/>
      <c r="C892" s="207"/>
      <c r="D892" s="207"/>
      <c r="E892" s="207"/>
      <c r="F892" s="655"/>
      <c r="G892" s="655"/>
      <c r="H892" s="208"/>
      <c r="I892" s="208"/>
      <c r="J892" s="175" t="str">
        <f t="shared" si="17"/>
        <v/>
      </c>
      <c r="K892" s="175" t="str">
        <f>IF(T892,IF(OR(E892=Lists!$R$5,E892=Lists!$R$6),Lists!$V$3,IFERROR(IF(VLOOKUP($C892,lov_ir_risk_by_country,3,FALSE)="","",VLOOKUP($C892,lov_ir_risk_by_country,3,FALSE)),"")),"")</f>
        <v/>
      </c>
      <c r="L892" s="175" t="str">
        <f t="shared" si="21"/>
        <v/>
      </c>
      <c r="M892" s="175" t="str">
        <f t="shared" si="22"/>
        <v/>
      </c>
      <c r="N892" s="176" t="str">
        <f t="shared" si="18"/>
        <v/>
      </c>
      <c r="O892" s="608"/>
      <c r="Q892" s="3"/>
      <c r="S892">
        <f t="shared" si="19"/>
        <v>0</v>
      </c>
      <c r="T892" t="b">
        <f t="shared" si="20"/>
        <v>0</v>
      </c>
    </row>
    <row r="893" spans="2:20" hidden="1" outlineLevel="2" x14ac:dyDescent="0.35">
      <c r="B893" s="2"/>
      <c r="C893" s="207"/>
      <c r="D893" s="207"/>
      <c r="E893" s="207"/>
      <c r="F893" s="655"/>
      <c r="G893" s="655"/>
      <c r="H893" s="208"/>
      <c r="I893" s="208"/>
      <c r="J893" s="175" t="str">
        <f t="shared" si="17"/>
        <v/>
      </c>
      <c r="K893" s="175" t="str">
        <f>IF(T893,IF(OR(E893=Lists!$R$5,E893=Lists!$R$6),Lists!$V$3,IFERROR(IF(VLOOKUP($C893,lov_ir_risk_by_country,3,FALSE)="","",VLOOKUP($C893,lov_ir_risk_by_country,3,FALSE)),"")),"")</f>
        <v/>
      </c>
      <c r="L893" s="175" t="str">
        <f t="shared" si="21"/>
        <v/>
      </c>
      <c r="M893" s="175" t="str">
        <f t="shared" si="22"/>
        <v/>
      </c>
      <c r="N893" s="176" t="str">
        <f t="shared" si="18"/>
        <v/>
      </c>
      <c r="O893" s="608"/>
      <c r="Q893" s="3"/>
      <c r="S893">
        <f t="shared" si="19"/>
        <v>0</v>
      </c>
      <c r="T893" t="b">
        <f t="shared" si="20"/>
        <v>0</v>
      </c>
    </row>
    <row r="894" spans="2:20" hidden="1" outlineLevel="2" x14ac:dyDescent="0.35">
      <c r="B894" s="2"/>
      <c r="C894" s="207"/>
      <c r="D894" s="207"/>
      <c r="E894" s="207"/>
      <c r="F894" s="655"/>
      <c r="G894" s="655"/>
      <c r="H894" s="208"/>
      <c r="I894" s="208"/>
      <c r="J894" s="175" t="str">
        <f t="shared" si="17"/>
        <v/>
      </c>
      <c r="K894" s="175" t="str">
        <f>IF(T894,IF(OR(E894=Lists!$R$5,E894=Lists!$R$6),Lists!$V$3,IFERROR(IF(VLOOKUP($C894,lov_ir_risk_by_country,3,FALSE)="","",VLOOKUP($C894,lov_ir_risk_by_country,3,FALSE)),"")),"")</f>
        <v/>
      </c>
      <c r="L894" s="175" t="str">
        <f t="shared" si="21"/>
        <v/>
      </c>
      <c r="M894" s="175" t="str">
        <f t="shared" si="22"/>
        <v/>
      </c>
      <c r="N894" s="176" t="str">
        <f t="shared" si="18"/>
        <v/>
      </c>
      <c r="O894" s="608"/>
      <c r="Q894" s="3"/>
      <c r="S894">
        <f t="shared" si="19"/>
        <v>0</v>
      </c>
      <c r="T894" t="b">
        <f t="shared" si="20"/>
        <v>0</v>
      </c>
    </row>
    <row r="895" spans="2:20" hidden="1" outlineLevel="2" x14ac:dyDescent="0.35">
      <c r="B895" s="2"/>
      <c r="C895" s="207"/>
      <c r="D895" s="207"/>
      <c r="E895" s="207"/>
      <c r="F895" s="655"/>
      <c r="G895" s="655"/>
      <c r="H895" s="208"/>
      <c r="I895" s="208"/>
      <c r="J895" s="175" t="str">
        <f t="shared" si="17"/>
        <v/>
      </c>
      <c r="K895" s="175" t="str">
        <f>IF(T895,IF(OR(E895=Lists!$R$5,E895=Lists!$R$6),Lists!$V$3,IFERROR(IF(VLOOKUP($C895,lov_ir_risk_by_country,3,FALSE)="","",VLOOKUP($C895,lov_ir_risk_by_country,3,FALSE)),"")),"")</f>
        <v/>
      </c>
      <c r="L895" s="175" t="str">
        <f t="shared" si="21"/>
        <v/>
      </c>
      <c r="M895" s="175" t="str">
        <f t="shared" si="22"/>
        <v/>
      </c>
      <c r="N895" s="176" t="str">
        <f t="shared" si="18"/>
        <v/>
      </c>
      <c r="O895" s="608"/>
      <c r="Q895" s="3"/>
      <c r="S895">
        <f t="shared" si="19"/>
        <v>0</v>
      </c>
      <c r="T895" t="b">
        <f t="shared" si="20"/>
        <v>0</v>
      </c>
    </row>
    <row r="896" spans="2:20" hidden="1" outlineLevel="2" x14ac:dyDescent="0.35">
      <c r="B896" s="2"/>
      <c r="C896" s="207"/>
      <c r="D896" s="207"/>
      <c r="E896" s="207"/>
      <c r="F896" s="655"/>
      <c r="G896" s="655"/>
      <c r="H896" s="208"/>
      <c r="I896" s="208"/>
      <c r="J896" s="175" t="str">
        <f t="shared" si="17"/>
        <v/>
      </c>
      <c r="K896" s="175" t="str">
        <f>IF(T896,IF(OR(E896=Lists!$R$5,E896=Lists!$R$6),Lists!$V$3,IFERROR(IF(VLOOKUP($C896,lov_ir_risk_by_country,3,FALSE)="","",VLOOKUP($C896,lov_ir_risk_by_country,3,FALSE)),"")),"")</f>
        <v/>
      </c>
      <c r="L896" s="175" t="str">
        <f t="shared" si="21"/>
        <v/>
      </c>
      <c r="M896" s="175" t="str">
        <f t="shared" si="22"/>
        <v/>
      </c>
      <c r="N896" s="176" t="str">
        <f t="shared" si="18"/>
        <v/>
      </c>
      <c r="O896" s="608"/>
      <c r="Q896" s="3"/>
      <c r="S896">
        <f t="shared" si="19"/>
        <v>0</v>
      </c>
      <c r="T896" t="b">
        <f t="shared" si="20"/>
        <v>0</v>
      </c>
    </row>
    <row r="897" spans="1:18" hidden="1" outlineLevel="2" x14ac:dyDescent="0.35">
      <c r="B897" s="2"/>
      <c r="Q897" s="3"/>
    </row>
    <row r="898" spans="1:18" ht="15" outlineLevel="1" collapsed="1" thickBot="1" x14ac:dyDescent="0.4">
      <c r="A898" s="180" t="s">
        <v>2087</v>
      </c>
      <c r="B898" s="467"/>
      <c r="C898" s="428"/>
      <c r="D898" s="428"/>
      <c r="E898" s="428"/>
      <c r="F898" s="428"/>
      <c r="G898" s="428"/>
      <c r="H898" s="428"/>
      <c r="I898" s="428"/>
      <c r="J898" s="428"/>
      <c r="K898" s="428"/>
      <c r="L898" s="428"/>
      <c r="M898" s="428"/>
      <c r="N898" s="428"/>
      <c r="O898" s="614"/>
      <c r="P898" s="428"/>
      <c r="Q898" s="429"/>
    </row>
    <row r="899" spans="1:18" ht="15.5" outlineLevel="1" x14ac:dyDescent="0.35">
      <c r="A899" s="180" t="s">
        <v>2087</v>
      </c>
      <c r="B899" s="337" t="s">
        <v>4407</v>
      </c>
      <c r="C899" s="468"/>
      <c r="D899" s="469"/>
      <c r="E899" s="469"/>
      <c r="F899" s="469"/>
      <c r="G899" s="469"/>
      <c r="H899" s="469"/>
      <c r="I899" s="469"/>
      <c r="J899" s="469"/>
      <c r="K899" s="22"/>
      <c r="L899" s="22"/>
      <c r="M899" s="22"/>
      <c r="N899" s="22"/>
      <c r="O899" s="609"/>
      <c r="P899" s="639" t="str">
        <f>IF(ISBLANK(F901),"",E901)</f>
        <v/>
      </c>
      <c r="Q899" s="641" t="str">
        <f>IF(ISBLANK(F901),"",F901)</f>
        <v/>
      </c>
      <c r="R899" s="470"/>
    </row>
    <row r="900" spans="1:18" hidden="1" outlineLevel="2" x14ac:dyDescent="0.35">
      <c r="B900" s="312"/>
      <c r="C900" s="157"/>
      <c r="D900" s="30"/>
      <c r="E900" s="30"/>
      <c r="F900" s="30"/>
      <c r="G900" s="30"/>
      <c r="H900" s="30"/>
      <c r="I900" s="30"/>
      <c r="J900" s="30"/>
      <c r="O900" s="474" t="s">
        <v>3102</v>
      </c>
      <c r="Q900" s="316"/>
      <c r="R900" s="317"/>
    </row>
    <row r="901" spans="1:18" hidden="1" outlineLevel="2" x14ac:dyDescent="0.35">
      <c r="B901" s="312"/>
      <c r="E901" s="313" t="s">
        <v>931</v>
      </c>
      <c r="F901" s="204"/>
      <c r="G901" s="471" t="s">
        <v>966</v>
      </c>
      <c r="H901" s="198"/>
      <c r="I901" s="315"/>
      <c r="J901" s="315"/>
      <c r="O901" s="608"/>
      <c r="Q901" s="314"/>
      <c r="R901" s="315"/>
    </row>
    <row r="902" spans="1:18" hidden="1" outlineLevel="2" x14ac:dyDescent="0.35">
      <c r="B902" s="312"/>
      <c r="E902" s="313" t="s">
        <v>932</v>
      </c>
      <c r="F902" s="668"/>
      <c r="G902" s="315"/>
      <c r="H902" s="315"/>
      <c r="I902" s="315"/>
      <c r="J902" s="315"/>
      <c r="O902" s="608"/>
      <c r="Q902" s="314"/>
      <c r="R902" s="315"/>
    </row>
    <row r="903" spans="1:18" hidden="1" outlineLevel="2" x14ac:dyDescent="0.35">
      <c r="B903" s="312"/>
      <c r="E903" s="313" t="s">
        <v>933</v>
      </c>
      <c r="F903" s="668"/>
      <c r="G903" s="30"/>
      <c r="H903" s="30"/>
      <c r="I903" s="30"/>
      <c r="J903" s="30"/>
      <c r="O903" s="608"/>
      <c r="Q903" s="316"/>
      <c r="R903" s="317"/>
    </row>
    <row r="904" spans="1:18" hidden="1" outlineLevel="2" x14ac:dyDescent="0.35">
      <c r="B904" s="312"/>
      <c r="C904" s="157"/>
      <c r="D904" s="30"/>
      <c r="E904" s="30"/>
      <c r="F904" s="30"/>
      <c r="G904" s="30"/>
      <c r="H904" s="30"/>
      <c r="I904" s="30"/>
      <c r="J904" s="30"/>
      <c r="Q904" s="316"/>
      <c r="R904" s="317"/>
    </row>
    <row r="905" spans="1:18" ht="15" outlineLevel="1" collapsed="1" thickBot="1" x14ac:dyDescent="0.4">
      <c r="A905" s="180" t="s">
        <v>2087</v>
      </c>
      <c r="B905" s="467"/>
      <c r="C905" s="428"/>
      <c r="D905" s="428"/>
      <c r="E905" s="428"/>
      <c r="F905" s="428"/>
      <c r="G905" s="428"/>
      <c r="H905" s="428"/>
      <c r="I905" s="428"/>
      <c r="J905" s="428"/>
      <c r="K905" s="428"/>
      <c r="L905" s="428"/>
      <c r="M905" s="428"/>
      <c r="N905" s="428"/>
      <c r="O905" s="614"/>
      <c r="P905" s="428"/>
      <c r="Q905" s="429"/>
    </row>
    <row r="906" spans="1:18" x14ac:dyDescent="0.35">
      <c r="B906" s="30"/>
      <c r="C906" s="30"/>
      <c r="D906" s="30"/>
      <c r="E906" s="30"/>
      <c r="F906" s="30"/>
      <c r="G906" s="30"/>
      <c r="H906" s="30"/>
      <c r="I906" s="30"/>
      <c r="J906" s="30"/>
      <c r="P906" s="30"/>
      <c r="Q906" s="30"/>
      <c r="R906" s="30"/>
    </row>
    <row r="907" spans="1:18" x14ac:dyDescent="0.35">
      <c r="B907" s="31"/>
      <c r="C907" s="31"/>
      <c r="D907" s="30"/>
      <c r="E907" s="30"/>
      <c r="F907" s="30"/>
      <c r="G907" s="30"/>
      <c r="H907" s="30"/>
      <c r="I907" s="30"/>
      <c r="J907" s="30"/>
      <c r="P907" s="31"/>
      <c r="Q907" s="31"/>
      <c r="R907" s="31"/>
    </row>
    <row r="908" spans="1:18" x14ac:dyDescent="0.35">
      <c r="C908" s="487"/>
      <c r="D908" s="487"/>
      <c r="E908" s="488"/>
      <c r="F908" s="487"/>
    </row>
  </sheetData>
  <sheetProtection algorithmName="SHA-512" hashValue="748nJ0A+X/ttOpvdD7qzil8ztMjMDGWbcEgil5lVeBnLUDDsOLqx9tgfYysLeQe+OopdUOjuwRVdYQDlravguw==" saltValue="cmi/Kez1mbVAbNE+9Ld9nw==" spinCount="100000" sheet="1" objects="1" scenarios="1" formatColumns="0" formatRows="0"/>
  <mergeCells count="75">
    <mergeCell ref="I855:J855"/>
    <mergeCell ref="I856:J856"/>
    <mergeCell ref="F850:J850"/>
    <mergeCell ref="I851:J851"/>
    <mergeCell ref="I852:J852"/>
    <mergeCell ref="I853:J853"/>
    <mergeCell ref="I854:J854"/>
    <mergeCell ref="C72:E72"/>
    <mergeCell ref="L860:M860"/>
    <mergeCell ref="J860:K860"/>
    <mergeCell ref="H860:I860"/>
    <mergeCell ref="F455:G455"/>
    <mergeCell ref="F440:G440"/>
    <mergeCell ref="F568:G568"/>
    <mergeCell ref="F538:G538"/>
    <mergeCell ref="F516:G516"/>
    <mergeCell ref="F493:G493"/>
    <mergeCell ref="F559:G559"/>
    <mergeCell ref="F574:G574"/>
    <mergeCell ref="F589:G589"/>
    <mergeCell ref="F690:G690"/>
    <mergeCell ref="F704:I704"/>
    <mergeCell ref="F105:M105"/>
    <mergeCell ref="F772:G772"/>
    <mergeCell ref="F438:G438"/>
    <mergeCell ref="G377:G379"/>
    <mergeCell ref="K368:K370"/>
    <mergeCell ref="J368:J370"/>
    <mergeCell ref="F369:H369"/>
    <mergeCell ref="I368:I370"/>
    <mergeCell ref="F681:G681"/>
    <mergeCell ref="C120:E120"/>
    <mergeCell ref="F121:L121"/>
    <mergeCell ref="C250:M250"/>
    <mergeCell ref="C311:L311"/>
    <mergeCell ref="F10:M10"/>
    <mergeCell ref="L11:M11"/>
    <mergeCell ref="L12:M12"/>
    <mergeCell ref="F178:L178"/>
    <mergeCell ref="F170:L170"/>
    <mergeCell ref="C200:M200"/>
    <mergeCell ref="F162:L162"/>
    <mergeCell ref="F81:M81"/>
    <mergeCell ref="C290:M290"/>
    <mergeCell ref="F89:M89"/>
    <mergeCell ref="C210:M210"/>
    <mergeCell ref="C220:M220"/>
    <mergeCell ref="C153:E153"/>
    <mergeCell ref="F368:H368"/>
    <mergeCell ref="C260:M260"/>
    <mergeCell ref="C270:M270"/>
    <mergeCell ref="C280:M280"/>
    <mergeCell ref="C300:M300"/>
    <mergeCell ref="M317:M319"/>
    <mergeCell ref="M329:M331"/>
    <mergeCell ref="F154:L154"/>
    <mergeCell ref="M313:M315"/>
    <mergeCell ref="C230:M230"/>
    <mergeCell ref="C240:M240"/>
    <mergeCell ref="I838:L838"/>
    <mergeCell ref="F97:M97"/>
    <mergeCell ref="F660:G660"/>
    <mergeCell ref="M333:M335"/>
    <mergeCell ref="F638:G638"/>
    <mergeCell ref="F615:G615"/>
    <mergeCell ref="F137:L137"/>
    <mergeCell ref="F129:L129"/>
    <mergeCell ref="F145:L145"/>
    <mergeCell ref="E408:I408"/>
    <mergeCell ref="C190:M190"/>
    <mergeCell ref="M321:M323"/>
    <mergeCell ref="M325:M327"/>
    <mergeCell ref="K567:M567"/>
    <mergeCell ref="D371:D373"/>
    <mergeCell ref="D377:D379"/>
  </mergeCells>
  <phoneticPr fontId="14" type="noConversion"/>
  <conditionalFormatting sqref="G845 G842:G843 G846:H847 H843:I843">
    <cfRule type="expression" dxfId="72" priority="381">
      <formula>$G$838&lt;&gt;"No"</formula>
    </cfRule>
  </conditionalFormatting>
  <conditionalFormatting sqref="G846:H847">
    <cfRule type="expression" dxfId="71" priority="378">
      <formula>$G$845="No"</formula>
    </cfRule>
  </conditionalFormatting>
  <conditionalFormatting sqref="E706:E712 E714:F714 F704:I712">
    <cfRule type="expression" dxfId="70" priority="377">
      <formula>$F$703="No"</formula>
    </cfRule>
  </conditionalFormatting>
  <conditionalFormatting sqref="D862:D896">
    <cfRule type="expression" dxfId="69" priority="287">
      <formula>$G$858="No"</formula>
    </cfRule>
  </conditionalFormatting>
  <conditionalFormatting sqref="E839">
    <cfRule type="expression" dxfId="68" priority="168">
      <formula>OR($G$838="No",$G$838="Yes, NCMV")</formula>
    </cfRule>
  </conditionalFormatting>
  <conditionalFormatting sqref="E842:E843">
    <cfRule type="expression" dxfId="67" priority="165">
      <formula>$G$838&lt;&gt;"No"</formula>
    </cfRule>
  </conditionalFormatting>
  <conditionalFormatting sqref="E845">
    <cfRule type="expression" dxfId="66" priority="160">
      <formula>$G$838&lt;&gt;"No"</formula>
    </cfRule>
  </conditionalFormatting>
  <conditionalFormatting sqref="E847">
    <cfRule type="expression" dxfId="65" priority="157">
      <formula>$G$838="Yes"</formula>
    </cfRule>
  </conditionalFormatting>
  <conditionalFormatting sqref="E847">
    <cfRule type="expression" dxfId="64" priority="156">
      <formula>$G$845="No"</formula>
    </cfRule>
  </conditionalFormatting>
  <conditionalFormatting sqref="D861">
    <cfRule type="expression" dxfId="63" priority="143">
      <formula>$G$858="No"</formula>
    </cfRule>
  </conditionalFormatting>
  <conditionalFormatting sqref="H862:H896">
    <cfRule type="expression" dxfId="62" priority="2261">
      <formula>OR($C862="",$J862&lt;&gt;"")</formula>
    </cfRule>
  </conditionalFormatting>
  <conditionalFormatting sqref="I862:I896">
    <cfRule type="expression" dxfId="61" priority="2262">
      <formula>OR($C862="",$G$838&lt;&gt;"No",NOT($T862),$K862&lt;&gt;"")</formula>
    </cfRule>
  </conditionalFormatting>
  <conditionalFormatting sqref="I838:L840">
    <cfRule type="expression" dxfId="60" priority="23">
      <formula>OR($G$838="No",$G$838="Yes, Duration Mismatch")</formula>
    </cfRule>
  </conditionalFormatting>
  <conditionalFormatting sqref="G840">
    <cfRule type="expression" dxfId="59" priority="22">
      <formula>$G$838="No"</formula>
    </cfRule>
  </conditionalFormatting>
  <conditionalFormatting sqref="G839">
    <cfRule type="expression" dxfId="58" priority="382">
      <formula>OR($G$838="No",$G$838="Yes, NCMV")</formula>
    </cfRule>
  </conditionalFormatting>
  <conditionalFormatting sqref="E840">
    <cfRule type="expression" dxfId="57" priority="21">
      <formula>$G$838="No"</formula>
    </cfRule>
  </conditionalFormatting>
  <conditionalFormatting sqref="A1:Z3 A5:Z1000 G4:Z4 A4:E4">
    <cfRule type="expression" dxfId="56" priority="177">
      <formula>CELL("protect",A1)=0</formula>
    </cfRule>
    <cfRule type="expression" dxfId="55" priority="178">
      <formula>AND($A1&lt;&gt;"h",_xlfn.ISFORMULA(A1))</formula>
    </cfRule>
  </conditionalFormatting>
  <dataValidations count="25">
    <dataValidation type="list" allowBlank="1" showInputMessage="1" showErrorMessage="1" sqref="C326:L326 C318:L318 C314:L314 C322:L322 C330:L330 C334:L334" xr:uid="{CB58D656-A955-4533-80D2-4949777F8AB5}">
      <formula1>lov_erg_rtg_map_adj</formula1>
    </dataValidation>
    <dataValidation type="list" allowBlank="1" showInputMessage="1" showErrorMessage="1" sqref="G847:H847" xr:uid="{8D960CCD-E1F7-4BC7-AC72-792D086205A0}">
      <formula1>lov_dur_mismtch_direction</formula1>
    </dataValidation>
    <dataValidation type="list" allowBlank="1" showInputMessage="1" showErrorMessage="1" sqref="G858 K568 G845 F63" xr:uid="{F5813D24-BC3B-4975-99C1-F72B08D85E1B}">
      <formula1>lov_yes_no</formula1>
    </dataValidation>
    <dataValidation type="list" allowBlank="1" showInputMessage="1" showErrorMessage="1" sqref="J11" xr:uid="{541BC49C-2F38-43A8-88A3-A0ADE38AA163}">
      <formula1>lov_regions</formula1>
    </dataValidation>
    <dataValidation type="list" allowBlank="1" showInputMessage="1" showErrorMessage="1" sqref="L12" xr:uid="{0609A7B5-766B-43A3-AD4E-ADABC63CAE4A}">
      <formula1>lov_ins_sectors</formula1>
    </dataValidation>
    <dataValidation type="list" allowBlank="1" showInputMessage="1" showErrorMessage="1" sqref="F12" xr:uid="{759A2601-D523-400D-9589-B4BA7065754E}">
      <formula1>lov_currencies</formula1>
    </dataValidation>
    <dataValidation type="decimal" allowBlank="1" showInputMessage="1" showErrorMessage="1" sqref="H12" xr:uid="{544DF8BD-7A18-4DED-94B9-516486937858}">
      <formula1>0</formula1>
      <formula2>999999999.9</formula2>
    </dataValidation>
    <dataValidation type="list" allowBlank="1" showInputMessage="1" showErrorMessage="1" sqref="H862:H896" xr:uid="{F0FA8030-F1BA-43BD-840F-ACA15A6B958A}">
      <formula1>lov_ir_categories</formula1>
    </dataValidation>
    <dataValidation type="list" allowBlank="1" showInputMessage="1" showErrorMessage="1" sqref="I862:I896" xr:uid="{EBE7A1ED-AD47-4289-B676-2E09D173E277}">
      <formula1>lov_duration_mismatch_groups</formula1>
    </dataValidation>
    <dataValidation type="list" allowBlank="1" showInputMessage="1" showErrorMessage="1" sqref="E863:E896" xr:uid="{09464B1B-1CD6-4C57-AC72-F2AD3750475A}">
      <formula1>lov_ir_exposure_ctg_inp</formula1>
    </dataValidation>
    <dataValidation type="list" allowBlank="1" showInputMessage="1" showErrorMessage="1" sqref="L11" xr:uid="{B2E66385-9C4D-48B5-A171-870B86F403BC}">
      <formula1>lov_domicile_countries</formula1>
    </dataValidation>
    <dataValidation type="date" allowBlank="1" showInputMessage="1" showErrorMessage="1" error="Please enter a date within the last 10 years." sqref="H901" xr:uid="{9695219D-BC8A-4469-8232-92835E091544}">
      <formula1>DATE(YEAR(TODAY())-10,1,1)</formula1>
      <formula2>TODAY()</formula2>
    </dataValidation>
    <dataValidation errorStyle="warning" allowBlank="1" showErrorMessage="1" errorTitle="Validation Check" error="Please check your input as this entry is not recognised." promptTitle="Validation Check" prompt="Must input a value" sqref="F815" xr:uid="{893B405E-D4D8-4510-BD9E-13F74D02BA1F}"/>
    <dataValidation type="decimal" errorStyle="warning" allowBlank="1" showErrorMessage="1" errorTitle="Validation Check" error="Please check your input as this entry is not recognised." promptTitle="Validation Check" prompt="Must input a value" sqref="F455 E794" xr:uid="{55886F6E-A611-4C3E-BE53-4B9DAF3DD5A6}">
      <formula1>-999999999.9</formula1>
      <formula2>999999999.9</formula2>
    </dataValidation>
    <dataValidation allowBlank="1" showInputMessage="1" sqref="H13" xr:uid="{C59ECA52-FA36-4D6D-8781-4803381F0C09}"/>
    <dataValidation type="list" allowBlank="1" showInputMessage="1" showErrorMessage="1" sqref="F13" xr:uid="{CE381DC3-4F6F-4248-9B5D-A26CF557DA55}">
      <formula1>lov_reporting_years</formula1>
    </dataValidation>
    <dataValidation type="date" allowBlank="1" showInputMessage="1" showErrorMessage="1" error="Please enter a valid date within the last 10 years." sqref="F11" xr:uid="{EA64E4C5-7419-4CDC-BBDC-F54BB04A7157}">
      <formula1>DATE(YEAR(TODAY())-10,1,1)</formula1>
      <formula2>TODAY()</formula2>
    </dataValidation>
    <dataValidation type="list" allowBlank="1" showInputMessage="1" showErrorMessage="1" sqref="F703" xr:uid="{A20257B3-A929-4053-948F-64FA17006C4A}">
      <formula1>lov_nat_cat_aep_oep</formula1>
    </dataValidation>
    <dataValidation type="list" allowBlank="1" showInputMessage="1" showErrorMessage="1" sqref="J12" xr:uid="{AE956128-8A73-4E43-B51A-B3CB093ABAE7}">
      <formula1>lov_units</formula1>
    </dataValidation>
    <dataValidation type="list" allowBlank="1" showInputMessage="1" showErrorMessage="1" sqref="F772:G772" xr:uid="{34C819B7-3C8F-45CE-A4C8-18C5548F4FB2}">
      <formula1>lov_long_reserve_cl</formula1>
    </dataValidation>
    <dataValidation type="list" allowBlank="1" showInputMessage="1" showErrorMessage="1" sqref="G838" xr:uid="{E66F5EDB-FB1F-4844-BBC2-55BD413E63B1}">
      <formula1>lov_ir_bespoke_duration_mismatch</formula1>
    </dataValidation>
    <dataValidation type="decimal" allowBlank="1" showInputMessage="1" showErrorMessage="1" errorTitle="Input error" error="Value should be between 0% and 100%" sqref="F68" xr:uid="{83470E85-0819-4D81-A538-82E34C02F16A}">
      <formula1>0</formula1>
      <formula2>1</formula2>
    </dataValidation>
    <dataValidation type="decimal" allowBlank="1" showInputMessage="1" showErrorMessage="1" sqref="F17 F20:F40 F42:F61 F83:M87 F91:M95 F99:M103 F107:M111 F115 F123:L127 F131:L135 F139:L143 F147:L151 F156:L160 F164:L168 F172:L176 F180:L184 C192:M196 C202:M206 C212:M216 C222:M226 C232:M236 C242:M246 C252:M256 C262:M266 C272:M276 C282:M286 C292:M296 C302:M306 F340 F346:I349 F351 F357:G360 F362 F371:K373 F377:G379 F382 F385:F388 F390 F392 F399:H406 F410:H417 F420:F424 F427:F428 F432 F441:G454 F456:G492 F494:G515 F517:G537 F539:G557 F568:G568 F661:G679 F639:G659 F616:G637 F590:G614 F575:G588 F690:G690 F696:G699 L346:L347 F714 F716 J716 F724:F725 F729 F735:F736 F742:F749 F752 F758 F760:F763 F768:F771 F782:H800 F802 H809 F810:G813 F817 F823:F826 F831 G839 I839:L839 G842:G843 F64:F67 F901:F903 F706:I711 F862:G896" xr:uid="{DFC50A75-D282-4B0C-BAE0-492AFB527C9A}">
      <formula1>-99999999999</formula1>
      <formula2>99999999999</formula2>
    </dataValidation>
    <dataValidation type="decimal" allowBlank="1" showInputMessage="1" showErrorMessage="1" sqref="F41" xr:uid="{D90DA485-D58C-4862-95E3-D687A8F264B3}">
      <formula1>-1</formula1>
      <formula2>1</formula2>
    </dataValidation>
    <dataValidation type="decimal" allowBlank="1" showInputMessage="1" showErrorMessage="1" sqref="I697" xr:uid="{3E7A043A-D446-45E8-849E-32AADB7FF885}">
      <formula1>0</formula1>
      <formula2>1</formula2>
    </dataValidation>
  </dataValidations>
  <pageMargins left="0.7" right="0.7" top="0.75" bottom="0.75" header="0.3" footer="0.3"/>
  <pageSetup scale="38"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124" r:id="rId4" name="Button 1548">
              <controlPr defaultSize="0" print="0" autoFill="0" autoPict="0" macro="[0]!clear_inputs">
                <anchor moveWithCells="1">
                  <from>
                    <xdr:col>4</xdr:col>
                    <xdr:colOff>736600</xdr:colOff>
                    <xdr:row>1</xdr:row>
                    <xdr:rowOff>25400</xdr:rowOff>
                  </from>
                  <to>
                    <xdr:col>4</xdr:col>
                    <xdr:colOff>2565400</xdr:colOff>
                    <xdr:row>2</xdr:row>
                    <xdr:rowOff>82550</xdr:rowOff>
                  </to>
                </anchor>
              </controlPr>
            </control>
          </mc:Choice>
        </mc:AlternateContent>
        <mc:AlternateContent xmlns:mc="http://schemas.openxmlformats.org/markup-compatibility/2006">
          <mc:Choice Requires="x14">
            <control shapeId="26250" r:id="rId5" name="Button 1674">
              <controlPr defaultSize="0" print="0" autoFill="0" autoPict="0" macro="[0]!reset_view">
                <anchor moveWithCells="1">
                  <from>
                    <xdr:col>4</xdr:col>
                    <xdr:colOff>2628900</xdr:colOff>
                    <xdr:row>1</xdr:row>
                    <xdr:rowOff>25400</xdr:rowOff>
                  </from>
                  <to>
                    <xdr:col>6</xdr:col>
                    <xdr:colOff>463550</xdr:colOff>
                    <xdr:row>2</xdr:row>
                    <xdr:rowOff>82550</xdr:rowOff>
                  </to>
                </anchor>
              </controlPr>
            </control>
          </mc:Choice>
        </mc:AlternateContent>
        <mc:AlternateContent xmlns:mc="http://schemas.openxmlformats.org/markup-compatibility/2006">
          <mc:Choice Requires="x14">
            <control shapeId="26251" r:id="rId6" name="Button 1675">
              <controlPr defaultSize="0" print="0" autoFill="0" autoPict="0" macro="[0]!row_groups_expand_all">
                <anchor moveWithCells="1">
                  <from>
                    <xdr:col>6</xdr:col>
                    <xdr:colOff>527050</xdr:colOff>
                    <xdr:row>1</xdr:row>
                    <xdr:rowOff>12700</xdr:rowOff>
                  </from>
                  <to>
                    <xdr:col>7</xdr:col>
                    <xdr:colOff>1130300</xdr:colOff>
                    <xdr:row>2</xdr:row>
                    <xdr:rowOff>76200</xdr:rowOff>
                  </to>
                </anchor>
              </controlPr>
            </control>
          </mc:Choice>
        </mc:AlternateContent>
        <mc:AlternateContent xmlns:mc="http://schemas.openxmlformats.org/markup-compatibility/2006">
          <mc:Choice Requires="x14">
            <control shapeId="26252" r:id="rId7" name="Button 1676">
              <controlPr defaultSize="0" print="0" autoFill="0" autoPict="0" macro="[0]!import_data">
                <anchor moveWithCells="1">
                  <from>
                    <xdr:col>7</xdr:col>
                    <xdr:colOff>1187450</xdr:colOff>
                    <xdr:row>1</xdr:row>
                    <xdr:rowOff>6350</xdr:rowOff>
                  </from>
                  <to>
                    <xdr:col>8</xdr:col>
                    <xdr:colOff>838200</xdr:colOff>
                    <xdr:row>2</xdr:row>
                    <xdr:rowOff>69850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76" id="{00000000-000E-0000-0200-000054010000}">
            <xm:f>OR($F$703=Lists!$Y$3,$F$703=Lists!$Y$4)</xm:f>
            <x14:dxf>
              <font>
                <color theme="2" tint="-0.24994659260841701"/>
              </font>
              <fill>
                <patternFill patternType="lightUp"/>
              </fill>
            </x14:dxf>
          </x14:cfRule>
          <xm:sqref>E716:F716</xm:sqref>
        </x14:conditionalFormatting>
        <x14:conditionalFormatting xmlns:xm="http://schemas.microsoft.com/office/excel/2006/main">
          <x14:cfRule type="expression" priority="8" id="{DA171919-FA4F-4B4D-B899-077E70419E9A}">
            <xm:f>OR($F$703=Lists!$Y$3,$F$703=Lists!$Y$4)</xm:f>
            <x14:dxf>
              <font>
                <color theme="2" tint="-0.24994659260841701"/>
              </font>
              <fill>
                <patternFill patternType="lightUp"/>
              </fill>
            </x14:dxf>
          </x14:cfRule>
          <xm:sqref>I716</xm:sqref>
        </x14:conditionalFormatting>
        <x14:conditionalFormatting xmlns:xm="http://schemas.microsoft.com/office/excel/2006/main">
          <x14:cfRule type="expression" priority="7" id="{0F3DD128-F39C-4299-AE3C-B6B3B9C5C48D}">
            <xm:f>OR($F$703=Lists!$Y$3,$F$703=Lists!$Y$4)</xm:f>
            <x14:dxf>
              <font>
                <color theme="2" tint="-0.24994659260841701"/>
              </font>
              <fill>
                <patternFill patternType="lightUp"/>
              </fill>
            </x14:dxf>
          </x14:cfRule>
          <xm:sqref>J716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DA40304-1A9E-47BF-A181-6A90A2EB67E7}">
          <x14:formula1>
            <xm:f>Lists!$J$3:$J$5</xm:f>
          </x14:formula1>
          <xm:sqref>H11</xm:sqref>
        </x14:dataValidation>
        <x14:dataValidation type="list" allowBlank="1" showInputMessage="1" showErrorMessage="1" xr:uid="{3AE8B9B6-19DA-44C4-89EC-4ED8D735559F}">
          <x14:formula1>
            <xm:f>Countries!$E$3:$E$199</xm:f>
          </x14:formula1>
          <xm:sqref>D863:D896 C862:C896</xm:sqref>
        </x14:dataValidation>
        <x14:dataValidation type="list" allowBlank="1" showInputMessage="1" showErrorMessage="1" xr:uid="{46EABEC5-2F45-4CFA-8C01-C37AB4EDEF2F}">
          <x14:formula1>
            <xm:f>Lists!$T$3:$T$4</xm:f>
          </x14:formula1>
          <xm:sqref>G840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E1AF8-81BB-433C-938A-400C45AB4B38}">
  <sheetPr codeName="Sheet11">
    <tabColor theme="5" tint="0.79998168889431442"/>
    <pageSetUpPr fitToPage="1"/>
  </sheetPr>
  <dimension ref="A1:Q52"/>
  <sheetViews>
    <sheetView showGridLines="0" topLeftCell="B1" zoomScaleNormal="100" workbookViewId="0">
      <selection activeCell="B1" sqref="B1"/>
    </sheetView>
  </sheetViews>
  <sheetFormatPr defaultColWidth="8.90625" defaultRowHeight="14.5" outlineLevelRow="1" x14ac:dyDescent="0.35"/>
  <cols>
    <col min="1" max="1" width="4.36328125" style="180" hidden="1" customWidth="1"/>
    <col min="4" max="4" width="31.36328125" customWidth="1"/>
    <col min="5" max="5" width="15" customWidth="1"/>
    <col min="6" max="9" width="12.36328125" customWidth="1"/>
    <col min="10" max="10" width="48.08984375" customWidth="1"/>
    <col min="12" max="12" width="30.6328125" customWidth="1"/>
    <col min="13" max="16" width="17" customWidth="1"/>
  </cols>
  <sheetData>
    <row r="1" spans="1:17" ht="50.4" customHeight="1" thickBot="1" x14ac:dyDescent="0.5">
      <c r="A1" s="659"/>
    </row>
    <row r="2" spans="1:17" ht="15.5" x14ac:dyDescent="0.35">
      <c r="A2" s="180" t="s">
        <v>2087</v>
      </c>
      <c r="B2" s="240" t="s">
        <v>2148</v>
      </c>
      <c r="C2" s="219"/>
      <c r="D2" s="219"/>
      <c r="E2" s="219"/>
      <c r="F2" s="219"/>
      <c r="G2" s="219"/>
      <c r="H2" s="219"/>
      <c r="I2" s="657" t="s">
        <v>4433</v>
      </c>
      <c r="J2" s="658">
        <f>P25</f>
        <v>0</v>
      </c>
      <c r="K2" s="219"/>
      <c r="L2" s="219"/>
      <c r="M2" s="219"/>
      <c r="N2" s="219"/>
      <c r="O2" s="219"/>
      <c r="P2" s="219"/>
      <c r="Q2" s="222"/>
    </row>
    <row r="3" spans="1:17" hidden="1" outlineLevel="1" x14ac:dyDescent="0.35">
      <c r="B3" s="2"/>
      <c r="L3" s="756" t="s">
        <v>352</v>
      </c>
      <c r="M3" s="739" t="s">
        <v>1105</v>
      </c>
      <c r="N3" s="740"/>
      <c r="O3" s="740"/>
      <c r="P3" s="741"/>
      <c r="Q3" s="3"/>
    </row>
    <row r="4" spans="1:17" hidden="1" outlineLevel="1" x14ac:dyDescent="0.35">
      <c r="B4" s="2"/>
      <c r="D4" s="220" t="s">
        <v>352</v>
      </c>
      <c r="E4" s="220" t="s">
        <v>355</v>
      </c>
      <c r="F4" s="221">
        <v>0.99990000000000001</v>
      </c>
      <c r="G4" s="221">
        <v>0.99950000000000006</v>
      </c>
      <c r="H4" s="221">
        <v>0.998</v>
      </c>
      <c r="I4" s="221">
        <v>0.995</v>
      </c>
      <c r="J4" s="220" t="s">
        <v>353</v>
      </c>
      <c r="L4" s="756"/>
      <c r="M4" s="223">
        <v>0.99990000000000001</v>
      </c>
      <c r="N4" s="223">
        <v>0.99950000000000006</v>
      </c>
      <c r="O4" s="223">
        <v>0.998</v>
      </c>
      <c r="P4" s="223">
        <v>0.995</v>
      </c>
      <c r="Q4" s="3"/>
    </row>
    <row r="5" spans="1:17" hidden="1" outlineLevel="1" x14ac:dyDescent="0.35">
      <c r="B5" s="2"/>
      <c r="D5" s="211"/>
      <c r="E5" s="214"/>
      <c r="F5" s="653"/>
      <c r="G5" s="212"/>
      <c r="H5" s="212"/>
      <c r="I5" s="212"/>
      <c r="J5" s="213"/>
      <c r="L5" s="224" t="str">
        <f>IF(ISBLANK(D5), "",D5)</f>
        <v/>
      </c>
      <c r="M5" s="239" t="str">
        <f>IF(ISBLANK($D5), "",$E5*F5)</f>
        <v/>
      </c>
      <c r="N5" s="239" t="str">
        <f t="shared" ref="N5:N24" si="0">IF(ISBLANK($D5), "",$E5*G5)</f>
        <v/>
      </c>
      <c r="O5" s="239" t="str">
        <f t="shared" ref="O5:O24" si="1">IF(ISBLANK($D5), "",$E5*H5)</f>
        <v/>
      </c>
      <c r="P5" s="239" t="str">
        <f t="shared" ref="P5:P24" si="2">IF(ISBLANK($D5), "",$E5*I5)</f>
        <v/>
      </c>
      <c r="Q5" s="3"/>
    </row>
    <row r="6" spans="1:17" hidden="1" outlineLevel="1" x14ac:dyDescent="0.35">
      <c r="B6" s="2"/>
      <c r="D6" s="211"/>
      <c r="E6" s="214"/>
      <c r="F6" s="212"/>
      <c r="G6" s="212"/>
      <c r="H6" s="212"/>
      <c r="I6" s="212"/>
      <c r="J6" s="213"/>
      <c r="L6" s="225" t="str">
        <f>IF(ISBLANK(D6), "",D6)</f>
        <v/>
      </c>
      <c r="M6" s="238" t="str">
        <f t="shared" ref="M6:M24" si="3">IF(ISBLANK($D6), "",$E6*F6)</f>
        <v/>
      </c>
      <c r="N6" s="238" t="str">
        <f t="shared" si="0"/>
        <v/>
      </c>
      <c r="O6" s="238" t="str">
        <f t="shared" si="1"/>
        <v/>
      </c>
      <c r="P6" s="238" t="str">
        <f t="shared" si="2"/>
        <v/>
      </c>
      <c r="Q6" s="3"/>
    </row>
    <row r="7" spans="1:17" hidden="1" outlineLevel="1" x14ac:dyDescent="0.35">
      <c r="B7" s="2"/>
      <c r="D7" s="211"/>
      <c r="E7" s="214"/>
      <c r="F7" s="212"/>
      <c r="G7" s="212"/>
      <c r="H7" s="212"/>
      <c r="I7" s="212"/>
      <c r="J7" s="213"/>
      <c r="L7" s="225" t="str">
        <f t="shared" ref="L7:L24" si="4">IF(ISBLANK(D7), "",D7)</f>
        <v/>
      </c>
      <c r="M7" s="238" t="str">
        <f t="shared" si="3"/>
        <v/>
      </c>
      <c r="N7" s="238" t="str">
        <f t="shared" si="0"/>
        <v/>
      </c>
      <c r="O7" s="238" t="str">
        <f t="shared" si="1"/>
        <v/>
      </c>
      <c r="P7" s="238" t="str">
        <f t="shared" si="2"/>
        <v/>
      </c>
      <c r="Q7" s="3"/>
    </row>
    <row r="8" spans="1:17" hidden="1" outlineLevel="1" x14ac:dyDescent="0.35">
      <c r="B8" s="2"/>
      <c r="D8" s="211"/>
      <c r="E8" s="214"/>
      <c r="F8" s="212"/>
      <c r="G8" s="212"/>
      <c r="H8" s="212"/>
      <c r="I8" s="212"/>
      <c r="J8" s="213"/>
      <c r="L8" s="225" t="str">
        <f t="shared" si="4"/>
        <v/>
      </c>
      <c r="M8" s="238" t="str">
        <f t="shared" si="3"/>
        <v/>
      </c>
      <c r="N8" s="238" t="str">
        <f t="shared" si="0"/>
        <v/>
      </c>
      <c r="O8" s="238" t="str">
        <f t="shared" si="1"/>
        <v/>
      </c>
      <c r="P8" s="238" t="str">
        <f t="shared" si="2"/>
        <v/>
      </c>
      <c r="Q8" s="3"/>
    </row>
    <row r="9" spans="1:17" hidden="1" outlineLevel="1" x14ac:dyDescent="0.35">
      <c r="B9" s="2"/>
      <c r="D9" s="211"/>
      <c r="E9" s="214"/>
      <c r="F9" s="212"/>
      <c r="G9" s="212"/>
      <c r="H9" s="212"/>
      <c r="I9" s="212"/>
      <c r="J9" s="213"/>
      <c r="L9" s="225" t="str">
        <f>IF(ISBLANK(D9), "",D9)</f>
        <v/>
      </c>
      <c r="M9" s="238" t="str">
        <f t="shared" si="3"/>
        <v/>
      </c>
      <c r="N9" s="238" t="str">
        <f t="shared" si="0"/>
        <v/>
      </c>
      <c r="O9" s="238" t="str">
        <f t="shared" si="1"/>
        <v/>
      </c>
      <c r="P9" s="238" t="str">
        <f t="shared" si="2"/>
        <v/>
      </c>
      <c r="Q9" s="3"/>
    </row>
    <row r="10" spans="1:17" hidden="1" outlineLevel="1" x14ac:dyDescent="0.35">
      <c r="B10" s="2"/>
      <c r="D10" s="211"/>
      <c r="E10" s="214"/>
      <c r="F10" s="212"/>
      <c r="G10" s="212"/>
      <c r="H10" s="212"/>
      <c r="I10" s="212"/>
      <c r="J10" s="213"/>
      <c r="L10" s="225" t="str">
        <f t="shared" si="4"/>
        <v/>
      </c>
      <c r="M10" s="238" t="str">
        <f t="shared" si="3"/>
        <v/>
      </c>
      <c r="N10" s="238" t="str">
        <f t="shared" si="0"/>
        <v/>
      </c>
      <c r="O10" s="238" t="str">
        <f t="shared" si="1"/>
        <v/>
      </c>
      <c r="P10" s="238" t="str">
        <f t="shared" si="2"/>
        <v/>
      </c>
      <c r="Q10" s="3"/>
    </row>
    <row r="11" spans="1:17" hidden="1" outlineLevel="1" x14ac:dyDescent="0.35">
      <c r="B11" s="2"/>
      <c r="D11" s="211"/>
      <c r="E11" s="214"/>
      <c r="F11" s="212"/>
      <c r="G11" s="212"/>
      <c r="H11" s="212"/>
      <c r="I11" s="212"/>
      <c r="J11" s="213"/>
      <c r="L11" s="225" t="str">
        <f t="shared" ref="L11:L15" si="5">IF(ISBLANK(D11), "",D11)</f>
        <v/>
      </c>
      <c r="M11" s="238" t="str">
        <f t="shared" ref="M11:M15" si="6">IF(ISBLANK($D11), "",$E11*F11)</f>
        <v/>
      </c>
      <c r="N11" s="238" t="str">
        <f t="shared" ref="N11:N15" si="7">IF(ISBLANK($D11), "",$E11*G11)</f>
        <v/>
      </c>
      <c r="O11" s="238" t="str">
        <f t="shared" ref="O11:O15" si="8">IF(ISBLANK($D11), "",$E11*H11)</f>
        <v/>
      </c>
      <c r="P11" s="238" t="str">
        <f t="shared" ref="P11:P15" si="9">IF(ISBLANK($D11), "",$E11*I11)</f>
        <v/>
      </c>
      <c r="Q11" s="3"/>
    </row>
    <row r="12" spans="1:17" hidden="1" outlineLevel="1" x14ac:dyDescent="0.35">
      <c r="B12" s="2"/>
      <c r="D12" s="211"/>
      <c r="E12" s="214"/>
      <c r="F12" s="212"/>
      <c r="G12" s="212"/>
      <c r="H12" s="212"/>
      <c r="I12" s="212"/>
      <c r="J12" s="213"/>
      <c r="L12" s="225" t="str">
        <f t="shared" si="5"/>
        <v/>
      </c>
      <c r="M12" s="238" t="str">
        <f t="shared" si="6"/>
        <v/>
      </c>
      <c r="N12" s="238" t="str">
        <f t="shared" si="7"/>
        <v/>
      </c>
      <c r="O12" s="238" t="str">
        <f t="shared" si="8"/>
        <v/>
      </c>
      <c r="P12" s="238" t="str">
        <f t="shared" si="9"/>
        <v/>
      </c>
      <c r="Q12" s="3"/>
    </row>
    <row r="13" spans="1:17" hidden="1" outlineLevel="1" x14ac:dyDescent="0.35">
      <c r="B13" s="2"/>
      <c r="D13" s="211"/>
      <c r="E13" s="214"/>
      <c r="F13" s="212"/>
      <c r="G13" s="212"/>
      <c r="H13" s="212"/>
      <c r="I13" s="212"/>
      <c r="J13" s="213"/>
      <c r="L13" s="225" t="str">
        <f t="shared" si="5"/>
        <v/>
      </c>
      <c r="M13" s="238" t="str">
        <f t="shared" si="6"/>
        <v/>
      </c>
      <c r="N13" s="238" t="str">
        <f t="shared" si="7"/>
        <v/>
      </c>
      <c r="O13" s="238" t="str">
        <f t="shared" si="8"/>
        <v/>
      </c>
      <c r="P13" s="238" t="str">
        <f t="shared" si="9"/>
        <v/>
      </c>
      <c r="Q13" s="3"/>
    </row>
    <row r="14" spans="1:17" hidden="1" outlineLevel="1" x14ac:dyDescent="0.35">
      <c r="B14" s="2"/>
      <c r="D14" s="211"/>
      <c r="E14" s="214"/>
      <c r="F14" s="212"/>
      <c r="G14" s="212"/>
      <c r="H14" s="212"/>
      <c r="I14" s="212"/>
      <c r="J14" s="213"/>
      <c r="L14" s="225" t="str">
        <f t="shared" si="5"/>
        <v/>
      </c>
      <c r="M14" s="238" t="str">
        <f t="shared" si="6"/>
        <v/>
      </c>
      <c r="N14" s="238" t="str">
        <f t="shared" si="7"/>
        <v/>
      </c>
      <c r="O14" s="238" t="str">
        <f t="shared" si="8"/>
        <v/>
      </c>
      <c r="P14" s="238" t="str">
        <f t="shared" si="9"/>
        <v/>
      </c>
      <c r="Q14" s="3"/>
    </row>
    <row r="15" spans="1:17" hidden="1" outlineLevel="1" x14ac:dyDescent="0.35">
      <c r="B15" s="2"/>
      <c r="D15" s="211"/>
      <c r="E15" s="214"/>
      <c r="F15" s="212"/>
      <c r="G15" s="212"/>
      <c r="H15" s="212"/>
      <c r="I15" s="212"/>
      <c r="J15" s="213"/>
      <c r="L15" s="225" t="str">
        <f t="shared" si="5"/>
        <v/>
      </c>
      <c r="M15" s="238" t="str">
        <f t="shared" si="6"/>
        <v/>
      </c>
      <c r="N15" s="238" t="str">
        <f t="shared" si="7"/>
        <v/>
      </c>
      <c r="O15" s="238" t="str">
        <f t="shared" si="8"/>
        <v/>
      </c>
      <c r="P15" s="238" t="str">
        <f t="shared" si="9"/>
        <v/>
      </c>
      <c r="Q15" s="3"/>
    </row>
    <row r="16" spans="1:17" hidden="1" outlineLevel="1" x14ac:dyDescent="0.35">
      <c r="B16" s="2"/>
      <c r="D16" s="211"/>
      <c r="E16" s="214"/>
      <c r="F16" s="212"/>
      <c r="G16" s="212"/>
      <c r="H16" s="212"/>
      <c r="I16" s="212"/>
      <c r="J16" s="213"/>
      <c r="L16" s="225" t="str">
        <f t="shared" si="4"/>
        <v/>
      </c>
      <c r="M16" s="238" t="str">
        <f t="shared" si="3"/>
        <v/>
      </c>
      <c r="N16" s="238" t="str">
        <f t="shared" si="0"/>
        <v/>
      </c>
      <c r="O16" s="238" t="str">
        <f t="shared" si="1"/>
        <v/>
      </c>
      <c r="P16" s="238" t="str">
        <f t="shared" si="2"/>
        <v/>
      </c>
      <c r="Q16" s="3"/>
    </row>
    <row r="17" spans="1:17" hidden="1" outlineLevel="1" x14ac:dyDescent="0.35">
      <c r="B17" s="2"/>
      <c r="D17" s="211"/>
      <c r="E17" s="214"/>
      <c r="F17" s="212"/>
      <c r="G17" s="212"/>
      <c r="H17" s="212"/>
      <c r="I17" s="212"/>
      <c r="J17" s="213"/>
      <c r="L17" s="225" t="str">
        <f t="shared" si="4"/>
        <v/>
      </c>
      <c r="M17" s="238" t="str">
        <f t="shared" si="3"/>
        <v/>
      </c>
      <c r="N17" s="238" t="str">
        <f t="shared" si="0"/>
        <v/>
      </c>
      <c r="O17" s="238" t="str">
        <f t="shared" si="1"/>
        <v/>
      </c>
      <c r="P17" s="238" t="str">
        <f t="shared" si="2"/>
        <v/>
      </c>
      <c r="Q17" s="3"/>
    </row>
    <row r="18" spans="1:17" hidden="1" outlineLevel="1" x14ac:dyDescent="0.35">
      <c r="B18" s="2"/>
      <c r="D18" s="211"/>
      <c r="E18" s="214"/>
      <c r="F18" s="212"/>
      <c r="G18" s="212"/>
      <c r="H18" s="212"/>
      <c r="I18" s="212"/>
      <c r="J18" s="213"/>
      <c r="L18" s="225" t="str">
        <f t="shared" si="4"/>
        <v/>
      </c>
      <c r="M18" s="238" t="str">
        <f t="shared" si="3"/>
        <v/>
      </c>
      <c r="N18" s="238" t="str">
        <f t="shared" si="0"/>
        <v/>
      </c>
      <c r="O18" s="238" t="str">
        <f t="shared" si="1"/>
        <v/>
      </c>
      <c r="P18" s="238" t="str">
        <f t="shared" si="2"/>
        <v/>
      </c>
      <c r="Q18" s="3"/>
    </row>
    <row r="19" spans="1:17" hidden="1" outlineLevel="1" x14ac:dyDescent="0.35">
      <c r="B19" s="2"/>
      <c r="D19" s="211"/>
      <c r="E19" s="214"/>
      <c r="F19" s="212"/>
      <c r="G19" s="212"/>
      <c r="H19" s="212"/>
      <c r="I19" s="212"/>
      <c r="J19" s="213"/>
      <c r="L19" s="225" t="str">
        <f t="shared" si="4"/>
        <v/>
      </c>
      <c r="M19" s="238" t="str">
        <f t="shared" si="3"/>
        <v/>
      </c>
      <c r="N19" s="238" t="str">
        <f t="shared" si="0"/>
        <v/>
      </c>
      <c r="O19" s="238" t="str">
        <f t="shared" si="1"/>
        <v/>
      </c>
      <c r="P19" s="238" t="str">
        <f t="shared" si="2"/>
        <v/>
      </c>
      <c r="Q19" s="3"/>
    </row>
    <row r="20" spans="1:17" hidden="1" outlineLevel="1" x14ac:dyDescent="0.35">
      <c r="B20" s="2"/>
      <c r="D20" s="211"/>
      <c r="E20" s="214"/>
      <c r="F20" s="212"/>
      <c r="G20" s="212"/>
      <c r="H20" s="212"/>
      <c r="I20" s="212"/>
      <c r="J20" s="213"/>
      <c r="L20" s="225" t="str">
        <f t="shared" si="4"/>
        <v/>
      </c>
      <c r="M20" s="238" t="str">
        <f t="shared" si="3"/>
        <v/>
      </c>
      <c r="N20" s="238" t="str">
        <f t="shared" si="0"/>
        <v/>
      </c>
      <c r="O20" s="238" t="str">
        <f t="shared" si="1"/>
        <v/>
      </c>
      <c r="P20" s="238" t="str">
        <f t="shared" si="2"/>
        <v/>
      </c>
      <c r="Q20" s="3"/>
    </row>
    <row r="21" spans="1:17" hidden="1" outlineLevel="1" x14ac:dyDescent="0.35">
      <c r="B21" s="2"/>
      <c r="D21" s="211"/>
      <c r="E21" s="214"/>
      <c r="F21" s="212"/>
      <c r="G21" s="212"/>
      <c r="H21" s="212"/>
      <c r="I21" s="212"/>
      <c r="J21" s="213"/>
      <c r="L21" s="225" t="str">
        <f t="shared" si="4"/>
        <v/>
      </c>
      <c r="M21" s="238" t="str">
        <f t="shared" si="3"/>
        <v/>
      </c>
      <c r="N21" s="238" t="str">
        <f t="shared" si="0"/>
        <v/>
      </c>
      <c r="O21" s="238" t="str">
        <f t="shared" si="1"/>
        <v/>
      </c>
      <c r="P21" s="238" t="str">
        <f t="shared" si="2"/>
        <v/>
      </c>
      <c r="Q21" s="3"/>
    </row>
    <row r="22" spans="1:17" hidden="1" outlineLevel="1" x14ac:dyDescent="0.35">
      <c r="B22" s="2"/>
      <c r="D22" s="211"/>
      <c r="E22" s="214"/>
      <c r="F22" s="212"/>
      <c r="G22" s="212"/>
      <c r="H22" s="212"/>
      <c r="I22" s="212"/>
      <c r="J22" s="213"/>
      <c r="L22" s="225" t="str">
        <f t="shared" si="4"/>
        <v/>
      </c>
      <c r="M22" s="238" t="str">
        <f t="shared" si="3"/>
        <v/>
      </c>
      <c r="N22" s="238" t="str">
        <f t="shared" si="0"/>
        <v/>
      </c>
      <c r="O22" s="238" t="str">
        <f t="shared" si="1"/>
        <v/>
      </c>
      <c r="P22" s="238" t="str">
        <f t="shared" si="2"/>
        <v/>
      </c>
      <c r="Q22" s="3"/>
    </row>
    <row r="23" spans="1:17" hidden="1" outlineLevel="1" x14ac:dyDescent="0.35">
      <c r="B23" s="2"/>
      <c r="D23" s="211"/>
      <c r="E23" s="214"/>
      <c r="F23" s="212"/>
      <c r="G23" s="212"/>
      <c r="H23" s="212"/>
      <c r="I23" s="212"/>
      <c r="J23" s="213"/>
      <c r="L23" s="225" t="str">
        <f t="shared" si="4"/>
        <v/>
      </c>
      <c r="M23" s="238" t="str">
        <f t="shared" si="3"/>
        <v/>
      </c>
      <c r="N23" s="238" t="str">
        <f t="shared" si="0"/>
        <v/>
      </c>
      <c r="O23" s="238" t="str">
        <f t="shared" si="1"/>
        <v/>
      </c>
      <c r="P23" s="238" t="str">
        <f t="shared" si="2"/>
        <v/>
      </c>
      <c r="Q23" s="3"/>
    </row>
    <row r="24" spans="1:17" hidden="1" outlineLevel="1" x14ac:dyDescent="0.35">
      <c r="B24" s="2"/>
      <c r="D24" s="211"/>
      <c r="E24" s="214"/>
      <c r="F24" s="212"/>
      <c r="G24" s="212"/>
      <c r="H24" s="212"/>
      <c r="I24" s="212"/>
      <c r="J24" s="213"/>
      <c r="L24" s="225" t="str">
        <f t="shared" si="4"/>
        <v/>
      </c>
      <c r="M24" s="238" t="str">
        <f t="shared" si="3"/>
        <v/>
      </c>
      <c r="N24" s="238" t="str">
        <f t="shared" si="0"/>
        <v/>
      </c>
      <c r="O24" s="238" t="str">
        <f t="shared" si="1"/>
        <v/>
      </c>
      <c r="P24" s="238" t="str">
        <f t="shared" si="2"/>
        <v/>
      </c>
      <c r="Q24" s="3"/>
    </row>
    <row r="25" spans="1:17" hidden="1" outlineLevel="1" x14ac:dyDescent="0.35">
      <c r="B25" s="2"/>
      <c r="L25" s="5" t="s">
        <v>6</v>
      </c>
      <c r="M25" s="195">
        <f>SUM(M5:M24)</f>
        <v>0</v>
      </c>
      <c r="N25" s="195">
        <f t="shared" ref="N25:P25" si="10">SUM(N5:N24)</f>
        <v>0</v>
      </c>
      <c r="O25" s="195">
        <f t="shared" si="10"/>
        <v>0</v>
      </c>
      <c r="P25" s="195">
        <f t="shared" si="10"/>
        <v>0</v>
      </c>
      <c r="Q25" s="3"/>
    </row>
    <row r="26" spans="1:17" ht="15" collapsed="1" thickBot="1" x14ac:dyDescent="0.4">
      <c r="B26" s="4"/>
      <c r="C26" s="1"/>
      <c r="D26" s="1"/>
      <c r="E26" s="1"/>
      <c r="F26" s="1"/>
      <c r="G26" s="1"/>
      <c r="H26" s="1"/>
      <c r="I26" s="1"/>
      <c r="J26" s="1"/>
      <c r="K26" s="1"/>
      <c r="L26" s="1"/>
      <c r="M26" s="1"/>
      <c r="N26" s="1"/>
      <c r="O26" s="1"/>
      <c r="P26" s="1"/>
      <c r="Q26" s="6"/>
    </row>
    <row r="27" spans="1:17" ht="15.5" x14ac:dyDescent="0.35">
      <c r="A27" s="180" t="s">
        <v>2087</v>
      </c>
      <c r="B27" s="240" t="s">
        <v>2149</v>
      </c>
      <c r="C27" s="219"/>
      <c r="D27" s="219"/>
      <c r="E27" s="219"/>
      <c r="F27" s="219"/>
      <c r="G27" s="219"/>
      <c r="H27" s="219"/>
      <c r="I27" s="657" t="s">
        <v>4434</v>
      </c>
      <c r="J27" s="658">
        <f>E50</f>
        <v>0</v>
      </c>
      <c r="K27" s="219"/>
      <c r="L27" s="219"/>
      <c r="M27" s="219"/>
      <c r="N27" s="219"/>
      <c r="O27" s="219"/>
      <c r="P27" s="219"/>
      <c r="Q27" s="222"/>
    </row>
    <row r="28" spans="1:17" hidden="1" outlineLevel="1" x14ac:dyDescent="0.35">
      <c r="B28" s="2"/>
      <c r="Q28" s="3"/>
    </row>
    <row r="29" spans="1:17" hidden="1" outlineLevel="1" x14ac:dyDescent="0.35">
      <c r="B29" s="2"/>
      <c r="D29" s="489" t="s">
        <v>352</v>
      </c>
      <c r="E29" s="489" t="s">
        <v>1111</v>
      </c>
      <c r="F29" s="732" t="s">
        <v>353</v>
      </c>
      <c r="G29" s="732"/>
      <c r="H29" s="732"/>
      <c r="I29" s="732"/>
      <c r="J29" s="732"/>
      <c r="Q29" s="3"/>
    </row>
    <row r="30" spans="1:17" ht="14.4" hidden="1" customHeight="1" outlineLevel="1" x14ac:dyDescent="0.35">
      <c r="B30" s="2"/>
      <c r="D30" s="491"/>
      <c r="E30" s="490"/>
      <c r="F30" s="757"/>
      <c r="G30" s="758"/>
      <c r="H30" s="758"/>
      <c r="I30" s="758"/>
      <c r="J30" s="759"/>
      <c r="Q30" s="3"/>
    </row>
    <row r="31" spans="1:17" hidden="1" outlineLevel="1" x14ac:dyDescent="0.35">
      <c r="B31" s="2"/>
      <c r="D31" s="491"/>
      <c r="E31" s="490"/>
      <c r="F31" s="757"/>
      <c r="G31" s="758"/>
      <c r="H31" s="758"/>
      <c r="I31" s="758"/>
      <c r="J31" s="759"/>
      <c r="Q31" s="3"/>
    </row>
    <row r="32" spans="1:17" hidden="1" outlineLevel="1" x14ac:dyDescent="0.35">
      <c r="B32" s="2"/>
      <c r="D32" s="491"/>
      <c r="E32" s="490"/>
      <c r="F32" s="757"/>
      <c r="G32" s="758"/>
      <c r="H32" s="758"/>
      <c r="I32" s="758"/>
      <c r="J32" s="759"/>
      <c r="Q32" s="3"/>
    </row>
    <row r="33" spans="2:17" hidden="1" outlineLevel="1" x14ac:dyDescent="0.35">
      <c r="B33" s="2"/>
      <c r="D33" s="491"/>
      <c r="E33" s="490"/>
      <c r="F33" s="757"/>
      <c r="G33" s="758"/>
      <c r="H33" s="758"/>
      <c r="I33" s="758"/>
      <c r="J33" s="759"/>
      <c r="Q33" s="3"/>
    </row>
    <row r="34" spans="2:17" hidden="1" outlineLevel="1" x14ac:dyDescent="0.35">
      <c r="B34" s="2"/>
      <c r="D34" s="491"/>
      <c r="E34" s="490"/>
      <c r="F34" s="757"/>
      <c r="G34" s="758"/>
      <c r="H34" s="758"/>
      <c r="I34" s="758"/>
      <c r="J34" s="759"/>
      <c r="Q34" s="3"/>
    </row>
    <row r="35" spans="2:17" hidden="1" outlineLevel="1" x14ac:dyDescent="0.35">
      <c r="B35" s="2"/>
      <c r="D35" s="491"/>
      <c r="E35" s="490"/>
      <c r="F35" s="757"/>
      <c r="G35" s="758"/>
      <c r="H35" s="758"/>
      <c r="I35" s="758"/>
      <c r="J35" s="759"/>
      <c r="Q35" s="3"/>
    </row>
    <row r="36" spans="2:17" hidden="1" outlineLevel="1" x14ac:dyDescent="0.35">
      <c r="B36" s="2"/>
      <c r="D36" s="491"/>
      <c r="E36" s="490"/>
      <c r="F36" s="757"/>
      <c r="G36" s="758"/>
      <c r="H36" s="758"/>
      <c r="I36" s="758"/>
      <c r="J36" s="759"/>
      <c r="Q36" s="3"/>
    </row>
    <row r="37" spans="2:17" hidden="1" outlineLevel="1" x14ac:dyDescent="0.35">
      <c r="B37" s="2"/>
      <c r="D37" s="491"/>
      <c r="E37" s="490"/>
      <c r="F37" s="757"/>
      <c r="G37" s="758"/>
      <c r="H37" s="758"/>
      <c r="I37" s="758"/>
      <c r="J37" s="759"/>
      <c r="Q37" s="3"/>
    </row>
    <row r="38" spans="2:17" hidden="1" outlineLevel="1" x14ac:dyDescent="0.35">
      <c r="B38" s="2"/>
      <c r="D38" s="491"/>
      <c r="E38" s="490"/>
      <c r="F38" s="757"/>
      <c r="G38" s="758"/>
      <c r="H38" s="758"/>
      <c r="I38" s="758"/>
      <c r="J38" s="759"/>
      <c r="Q38" s="3"/>
    </row>
    <row r="39" spans="2:17" hidden="1" outlineLevel="1" x14ac:dyDescent="0.35">
      <c r="B39" s="2"/>
      <c r="D39" s="491"/>
      <c r="E39" s="490"/>
      <c r="F39" s="757"/>
      <c r="G39" s="758"/>
      <c r="H39" s="758"/>
      <c r="I39" s="758"/>
      <c r="J39" s="759"/>
      <c r="Q39" s="3"/>
    </row>
    <row r="40" spans="2:17" hidden="1" outlineLevel="1" x14ac:dyDescent="0.35">
      <c r="B40" s="2"/>
      <c r="D40" s="491"/>
      <c r="E40" s="490"/>
      <c r="F40" s="757"/>
      <c r="G40" s="758"/>
      <c r="H40" s="758"/>
      <c r="I40" s="758"/>
      <c r="J40" s="759"/>
      <c r="Q40" s="3"/>
    </row>
    <row r="41" spans="2:17" hidden="1" outlineLevel="1" x14ac:dyDescent="0.35">
      <c r="B41" s="2"/>
      <c r="D41" s="491"/>
      <c r="E41" s="490"/>
      <c r="F41" s="757"/>
      <c r="G41" s="758"/>
      <c r="H41" s="758"/>
      <c r="I41" s="758"/>
      <c r="J41" s="759"/>
      <c r="Q41" s="3"/>
    </row>
    <row r="42" spans="2:17" hidden="1" outlineLevel="1" x14ac:dyDescent="0.35">
      <c r="B42" s="2"/>
      <c r="D42" s="491"/>
      <c r="E42" s="490"/>
      <c r="F42" s="757"/>
      <c r="G42" s="758"/>
      <c r="H42" s="758"/>
      <c r="I42" s="758"/>
      <c r="J42" s="759"/>
      <c r="Q42" s="3"/>
    </row>
    <row r="43" spans="2:17" hidden="1" outlineLevel="1" x14ac:dyDescent="0.35">
      <c r="B43" s="2"/>
      <c r="D43" s="491"/>
      <c r="E43" s="490"/>
      <c r="F43" s="757"/>
      <c r="G43" s="758"/>
      <c r="H43" s="758"/>
      <c r="I43" s="758"/>
      <c r="J43" s="759"/>
      <c r="Q43" s="3"/>
    </row>
    <row r="44" spans="2:17" hidden="1" outlineLevel="1" x14ac:dyDescent="0.35">
      <c r="B44" s="2"/>
      <c r="D44" s="491"/>
      <c r="E44" s="490"/>
      <c r="F44" s="757"/>
      <c r="G44" s="758"/>
      <c r="H44" s="758"/>
      <c r="I44" s="758"/>
      <c r="J44" s="759"/>
      <c r="Q44" s="3"/>
    </row>
    <row r="45" spans="2:17" hidden="1" outlineLevel="1" x14ac:dyDescent="0.35">
      <c r="B45" s="2"/>
      <c r="D45" s="491"/>
      <c r="E45" s="490"/>
      <c r="F45" s="757"/>
      <c r="G45" s="758"/>
      <c r="H45" s="758"/>
      <c r="I45" s="758"/>
      <c r="J45" s="759"/>
      <c r="Q45" s="3"/>
    </row>
    <row r="46" spans="2:17" hidden="1" outlineLevel="1" x14ac:dyDescent="0.35">
      <c r="B46" s="2"/>
      <c r="D46" s="491"/>
      <c r="E46" s="490"/>
      <c r="F46" s="757"/>
      <c r="G46" s="758"/>
      <c r="H46" s="758"/>
      <c r="I46" s="758"/>
      <c r="J46" s="759"/>
      <c r="Q46" s="3"/>
    </row>
    <row r="47" spans="2:17" hidden="1" outlineLevel="1" x14ac:dyDescent="0.35">
      <c r="B47" s="2"/>
      <c r="D47" s="491"/>
      <c r="E47" s="490"/>
      <c r="F47" s="757"/>
      <c r="G47" s="758"/>
      <c r="H47" s="758"/>
      <c r="I47" s="758"/>
      <c r="J47" s="759"/>
      <c r="Q47" s="3"/>
    </row>
    <row r="48" spans="2:17" hidden="1" outlineLevel="1" x14ac:dyDescent="0.35">
      <c r="B48" s="2"/>
      <c r="D48" s="491"/>
      <c r="E48" s="490"/>
      <c r="F48" s="757"/>
      <c r="G48" s="758"/>
      <c r="H48" s="758"/>
      <c r="I48" s="758"/>
      <c r="J48" s="759"/>
      <c r="Q48" s="3"/>
    </row>
    <row r="49" spans="2:17" hidden="1" outlineLevel="1" x14ac:dyDescent="0.35">
      <c r="B49" s="2"/>
      <c r="D49" s="491"/>
      <c r="E49" s="490"/>
      <c r="F49" s="757"/>
      <c r="G49" s="758"/>
      <c r="H49" s="758"/>
      <c r="I49" s="758"/>
      <c r="J49" s="759"/>
      <c r="Q49" s="3"/>
    </row>
    <row r="50" spans="2:17" hidden="1" outlineLevel="1" x14ac:dyDescent="0.35">
      <c r="B50" s="2"/>
      <c r="D50" s="5" t="s">
        <v>6</v>
      </c>
      <c r="E50" s="195">
        <f>SUM(E30:E49)</f>
        <v>0</v>
      </c>
      <c r="Q50" s="3"/>
    </row>
    <row r="51" spans="2:17" hidden="1" outlineLevel="1" x14ac:dyDescent="0.35">
      <c r="B51" s="2"/>
      <c r="Q51" s="3"/>
    </row>
    <row r="52" spans="2:17" ht="15" collapsed="1" thickBot="1" x14ac:dyDescent="0.4">
      <c r="B52" s="4"/>
      <c r="C52" s="1"/>
      <c r="D52" s="1"/>
      <c r="E52" s="1"/>
      <c r="F52" s="1"/>
      <c r="G52" s="1"/>
      <c r="H52" s="1"/>
      <c r="I52" s="1"/>
      <c r="J52" s="1"/>
      <c r="K52" s="1"/>
      <c r="L52" s="1"/>
      <c r="M52" s="1"/>
      <c r="N52" s="1"/>
      <c r="O52" s="1"/>
      <c r="P52" s="1"/>
      <c r="Q52" s="6"/>
    </row>
  </sheetData>
  <sheetProtection algorithmName="SHA-512" hashValue="6towd5kxxj6/XdtXbzmrmfsaHQyhyVDh/vkrns2vPaUPu4ud7D99kJNMoWMhVDeXzoWCaycUOH0UWCIoW14u6A==" saltValue="afa2vm43IGsPqOnTUpTuZw==" spinCount="100000" sheet="1" objects="1" scenarios="1" formatColumns="0" formatRows="0"/>
  <mergeCells count="23">
    <mergeCell ref="F49:J49"/>
    <mergeCell ref="F31:J31"/>
    <mergeCell ref="F32:J32"/>
    <mergeCell ref="F33:J33"/>
    <mergeCell ref="F34:J34"/>
    <mergeCell ref="F35:J35"/>
    <mergeCell ref="F36:J36"/>
    <mergeCell ref="F37:J37"/>
    <mergeCell ref="F38:J38"/>
    <mergeCell ref="F39:J39"/>
    <mergeCell ref="F40:J40"/>
    <mergeCell ref="F43:J43"/>
    <mergeCell ref="F42:J42"/>
    <mergeCell ref="F41:J41"/>
    <mergeCell ref="F29:J29"/>
    <mergeCell ref="M3:P3"/>
    <mergeCell ref="L3:L4"/>
    <mergeCell ref="F30:J30"/>
    <mergeCell ref="F48:J48"/>
    <mergeCell ref="F47:J47"/>
    <mergeCell ref="F46:J46"/>
    <mergeCell ref="F45:J45"/>
    <mergeCell ref="F44:J44"/>
  </mergeCells>
  <phoneticPr fontId="14" type="noConversion"/>
  <conditionalFormatting sqref="A1:Q60">
    <cfRule type="expression" dxfId="51" priority="11">
      <formula>CELL("protect",A1)=0</formula>
    </cfRule>
    <cfRule type="expression" dxfId="50" priority="12">
      <formula>AND($A1&lt;&gt;"h",_xlfn.ISFORMULA(A1))</formula>
    </cfRule>
  </conditionalFormatting>
  <dataValidations count="3">
    <dataValidation type="list" allowBlank="1" showInputMessage="1" showErrorMessage="1" sqref="V14" xr:uid="{722A402D-956D-4716-9A2D-6FD17C1D8146}">
      <formula1>adjustment_category</formula1>
    </dataValidation>
    <dataValidation type="list" allowBlank="1" showInputMessage="1" showErrorMessage="1" sqref="D5:D24" xr:uid="{060DBD3A-AB54-42A2-B6B8-565BA892A89A}">
      <formula1>lov_adjustment_types</formula1>
    </dataValidation>
    <dataValidation type="decimal" allowBlank="1" showInputMessage="1" showErrorMessage="1" sqref="E5:I24 E30:E49" xr:uid="{E2FF388A-9385-4F48-93D5-132B9B933C3B}">
      <formula1>-99999999999</formula1>
      <formula2>99999999999</formula2>
    </dataValidation>
  </dataValidations>
  <pageMargins left="0.7" right="0.7" top="0.75" bottom="0.75" header="0.3" footer="0.3"/>
  <pageSetup scale="47"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637B281-3958-4355-B0AB-77891D3E58B1}">
          <x14:formula1>
            <xm:f>Lists!$M$3:$M$4</xm:f>
          </x14:formula1>
          <xm:sqref>D30:D49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50C59-76C6-46E1-A4B9-C96BA96C6FED}">
  <sheetPr codeName="Sheet4">
    <tabColor theme="0"/>
    <pageSetUpPr fitToPage="1"/>
  </sheetPr>
  <dimension ref="A1:Q213"/>
  <sheetViews>
    <sheetView showGridLines="0" zoomScaleNormal="100" workbookViewId="0"/>
  </sheetViews>
  <sheetFormatPr defaultColWidth="9.08984375" defaultRowHeight="13" outlineLevelRow="2" x14ac:dyDescent="0.3"/>
  <cols>
    <col min="1" max="1" width="4.54296875" style="34" customWidth="1"/>
    <col min="2" max="2" width="4.08984375" style="34" customWidth="1"/>
    <col min="3" max="7" width="12.6328125" style="34" customWidth="1"/>
    <col min="8" max="8" width="26.453125" style="34" bestFit="1" customWidth="1"/>
    <col min="9" max="9" width="12.90625" style="34" customWidth="1"/>
    <col min="10" max="10" width="26.08984375" style="34" bestFit="1" customWidth="1"/>
    <col min="11" max="11" width="12.36328125" style="34" customWidth="1"/>
    <col min="12" max="12" width="26.36328125" style="34" bestFit="1" customWidth="1"/>
    <col min="13" max="13" width="12.54296875" style="34" customWidth="1"/>
    <col min="14" max="14" width="26.08984375" style="34" bestFit="1" customWidth="1"/>
    <col min="15" max="15" width="13.90625" style="34" customWidth="1"/>
    <col min="16" max="18" width="9.08984375" style="34" customWidth="1"/>
    <col min="19" max="16384" width="9.08984375" style="34"/>
  </cols>
  <sheetData>
    <row r="1" spans="1:16" ht="42" customHeight="1" thickBot="1" x14ac:dyDescent="0.6">
      <c r="A1" s="128"/>
      <c r="H1" s="708"/>
      <c r="I1" s="707"/>
      <c r="J1" s="61"/>
      <c r="L1" s="104"/>
    </row>
    <row r="2" spans="1:16" x14ac:dyDescent="0.3">
      <c r="B2" s="522"/>
      <c r="C2" s="523"/>
      <c r="D2" s="523"/>
      <c r="E2" s="523"/>
      <c r="F2" s="523"/>
      <c r="G2" s="523"/>
      <c r="H2" s="523"/>
      <c r="I2" s="523"/>
      <c r="J2" s="523"/>
      <c r="K2" s="523"/>
      <c r="L2" s="523"/>
      <c r="M2" s="523"/>
      <c r="N2" s="523"/>
      <c r="O2" s="523"/>
      <c r="P2" s="524"/>
    </row>
    <row r="3" spans="1:16" ht="21" x14ac:dyDescent="0.5">
      <c r="B3" s="525"/>
      <c r="C3" s="526" t="s">
        <v>291</v>
      </c>
      <c r="D3" s="527"/>
      <c r="F3" s="527" t="str">
        <f>IF(Input!F10="","Enter Company/Group in 'Input' Sheet",Input!F10)</f>
        <v>Enter Company/Group in 'Input' Sheet</v>
      </c>
      <c r="G3" s="527"/>
      <c r="H3" s="527"/>
      <c r="I3" s="710" t="s">
        <v>1063</v>
      </c>
      <c r="J3" s="711" t="str">
        <f>IF(Input!H11="","",Input!H11)</f>
        <v>Actual</v>
      </c>
      <c r="K3" s="710" t="str">
        <f>Input!E12</f>
        <v>Currency</v>
      </c>
      <c r="L3" s="711" t="str">
        <f>IF(Input!F12="","",Input!F12)</f>
        <v>USD</v>
      </c>
      <c r="M3" s="528"/>
      <c r="N3" s="713" t="str">
        <f>IF(SUM(Input!S:S) &gt; 0, Error_Message, "")</f>
        <v/>
      </c>
      <c r="O3" s="709"/>
      <c r="P3" s="529"/>
    </row>
    <row r="4" spans="1:16" ht="18.5" x14ac:dyDescent="0.45">
      <c r="B4" s="525"/>
      <c r="D4"/>
      <c r="E4" s="530" t="s">
        <v>1110</v>
      </c>
      <c r="F4" s="531" t="str">
        <f>IF(Input!H901="","",Input!H901)</f>
        <v/>
      </c>
      <c r="G4" s="532" t="str">
        <f>IF(Input!F901="","",Input!F901)</f>
        <v/>
      </c>
      <c r="H4" s="528"/>
      <c r="I4" s="710" t="str">
        <f>Input!E11</f>
        <v>Year-End Date</v>
      </c>
      <c r="J4" s="712" t="str">
        <f>IF(Input!F11="","",Input!F11)</f>
        <v/>
      </c>
      <c r="K4" s="710" t="str">
        <f>Input!I12</f>
        <v>Units</v>
      </c>
      <c r="L4" s="709" t="str">
        <f>IF(Input!J12="","",Input!J12)</f>
        <v>Millions</v>
      </c>
      <c r="N4" s="710" t="s">
        <v>4727</v>
      </c>
      <c r="O4" s="709">
        <f>model_version</f>
        <v>3</v>
      </c>
      <c r="P4" s="529"/>
    </row>
    <row r="5" spans="1:16" ht="19" thickBot="1" x14ac:dyDescent="0.5">
      <c r="B5" s="533"/>
      <c r="C5" s="534"/>
      <c r="D5" s="534"/>
      <c r="F5" s="535"/>
      <c r="G5" s="536"/>
      <c r="H5" s="537"/>
      <c r="I5" s="538"/>
      <c r="J5" s="538"/>
      <c r="K5" s="538"/>
      <c r="L5" s="538"/>
      <c r="M5" s="538"/>
      <c r="N5" s="539"/>
      <c r="O5" s="539"/>
      <c r="P5" s="540"/>
    </row>
    <row r="6" spans="1:16" ht="13.5" thickBot="1" x14ac:dyDescent="0.35">
      <c r="B6" s="760" t="s">
        <v>1057</v>
      </c>
      <c r="C6" s="760"/>
      <c r="D6" s="760"/>
      <c r="E6" s="760"/>
      <c r="F6" s="760"/>
      <c r="G6" s="760"/>
      <c r="H6" s="761">
        <v>0.99990000000000001</v>
      </c>
      <c r="I6" s="762"/>
      <c r="J6" s="761">
        <v>0.99950000000000006</v>
      </c>
      <c r="K6" s="762"/>
      <c r="L6" s="761">
        <v>0.998</v>
      </c>
      <c r="M6" s="762"/>
      <c r="N6" s="761">
        <v>0.995</v>
      </c>
      <c r="O6" s="762"/>
      <c r="P6" s="62"/>
    </row>
    <row r="7" spans="1:16" x14ac:dyDescent="0.3">
      <c r="B7" s="541"/>
      <c r="C7" s="542"/>
      <c r="D7" s="542"/>
      <c r="E7" s="542"/>
      <c r="F7" s="542"/>
      <c r="G7" s="542"/>
      <c r="H7" s="542"/>
      <c r="I7" s="542"/>
      <c r="J7" s="542"/>
      <c r="K7" s="542"/>
      <c r="L7" s="542"/>
      <c r="M7" s="542"/>
      <c r="N7" s="542"/>
      <c r="O7" s="542"/>
      <c r="P7" s="543"/>
    </row>
    <row r="8" spans="1:16" x14ac:dyDescent="0.3">
      <c r="B8" s="544"/>
      <c r="C8" s="545" t="s">
        <v>1109</v>
      </c>
      <c r="D8" s="62"/>
      <c r="E8" s="62"/>
      <c r="F8" s="62"/>
      <c r="G8" s="546"/>
      <c r="H8" s="769"/>
      <c r="I8" s="770"/>
      <c r="J8" s="769"/>
      <c r="K8" s="770"/>
      <c r="L8" s="769"/>
      <c r="M8" s="770"/>
      <c r="N8" s="769"/>
      <c r="O8" s="770"/>
      <c r="P8" s="547"/>
    </row>
    <row r="9" spans="1:16" x14ac:dyDescent="0.3">
      <c r="B9" s="544"/>
      <c r="C9" s="548" t="str">
        <f>C31</f>
        <v>TAC - Total Adjusted Capital</v>
      </c>
      <c r="D9" s="62"/>
      <c r="E9" s="62"/>
      <c r="F9" s="62"/>
      <c r="G9" s="546"/>
      <c r="H9" s="766">
        <f>H31</f>
        <v>0</v>
      </c>
      <c r="I9" s="767"/>
      <c r="J9" s="766">
        <f>J31</f>
        <v>0</v>
      </c>
      <c r="K9" s="767"/>
      <c r="L9" s="766">
        <f>L31</f>
        <v>0</v>
      </c>
      <c r="M9" s="767"/>
      <c r="N9" s="766">
        <f>N31</f>
        <v>0</v>
      </c>
      <c r="O9" s="767"/>
      <c r="P9" s="547"/>
    </row>
    <row r="10" spans="1:16" x14ac:dyDescent="0.3">
      <c r="B10" s="544"/>
      <c r="C10" s="62" t="str">
        <f>C156</f>
        <v>Diversified total RBC requirement</v>
      </c>
      <c r="D10" s="62"/>
      <c r="E10" s="62"/>
      <c r="F10" s="62"/>
      <c r="G10" s="546"/>
      <c r="H10" s="766">
        <f>H156</f>
        <v>0</v>
      </c>
      <c r="I10" s="767"/>
      <c r="J10" s="766">
        <f>J156</f>
        <v>0</v>
      </c>
      <c r="K10" s="767"/>
      <c r="L10" s="766">
        <f>L156</f>
        <v>0</v>
      </c>
      <c r="M10" s="767"/>
      <c r="N10" s="766">
        <f>N156</f>
        <v>0</v>
      </c>
      <c r="O10" s="767"/>
      <c r="P10" s="547"/>
    </row>
    <row r="11" spans="1:16" x14ac:dyDescent="0.3">
      <c r="B11" s="544"/>
      <c r="C11" s="62" t="s">
        <v>909</v>
      </c>
      <c r="D11" s="62"/>
      <c r="E11" s="62"/>
      <c r="F11" s="62"/>
      <c r="G11" s="546"/>
      <c r="H11" s="768">
        <f>H9-H10</f>
        <v>0</v>
      </c>
      <c r="I11" s="768"/>
      <c r="J11" s="768">
        <f>J9-J10</f>
        <v>0</v>
      </c>
      <c r="K11" s="768"/>
      <c r="L11" s="768">
        <f>L9-L10</f>
        <v>0</v>
      </c>
      <c r="M11" s="768"/>
      <c r="N11" s="768">
        <f>N9-N10</f>
        <v>0</v>
      </c>
      <c r="O11" s="768"/>
      <c r="P11" s="547"/>
    </row>
    <row r="12" spans="1:16" x14ac:dyDescent="0.3">
      <c r="B12" s="544"/>
      <c r="C12" s="62" t="s">
        <v>910</v>
      </c>
      <c r="D12" s="62"/>
      <c r="E12" s="62"/>
      <c r="F12" s="62"/>
      <c r="G12" s="546"/>
      <c r="H12" s="763" t="str">
        <f>IF(OR(H9=0,H10=0),"-",H11/H10)</f>
        <v>-</v>
      </c>
      <c r="I12" s="763"/>
      <c r="J12" s="763" t="str">
        <f>IF(OR(J9=0,J10=0),"-",J11/J10)</f>
        <v>-</v>
      </c>
      <c r="K12" s="763"/>
      <c r="L12" s="763" t="str">
        <f>IF(OR(L9=0,L10=0),"-",L11/L10)</f>
        <v>-</v>
      </c>
      <c r="M12" s="763"/>
      <c r="N12" s="763" t="str">
        <f>IF(OR(N9=0,N10=0),"-",N11/N10)</f>
        <v>-</v>
      </c>
      <c r="O12" s="763"/>
      <c r="P12" s="547"/>
    </row>
    <row r="13" spans="1:16" ht="13.5" thickBot="1" x14ac:dyDescent="0.35">
      <c r="B13" s="549"/>
      <c r="C13" s="550"/>
      <c r="D13" s="550"/>
      <c r="E13" s="550"/>
      <c r="F13" s="550"/>
      <c r="G13" s="550"/>
      <c r="H13" s="550"/>
      <c r="I13" s="550"/>
      <c r="J13" s="550"/>
      <c r="K13" s="550"/>
      <c r="L13" s="550"/>
      <c r="M13" s="550"/>
      <c r="N13" s="550"/>
      <c r="O13" s="550"/>
      <c r="P13" s="551"/>
    </row>
    <row r="14" spans="1:16" ht="15.75" customHeight="1" thickBot="1" x14ac:dyDescent="0.35">
      <c r="B14" s="760"/>
      <c r="C14" s="760"/>
      <c r="D14" s="760"/>
      <c r="E14" s="760"/>
      <c r="F14" s="760"/>
      <c r="G14" s="760"/>
      <c r="H14" s="761"/>
      <c r="I14" s="762"/>
      <c r="J14" s="761"/>
      <c r="K14" s="762"/>
      <c r="L14" s="761"/>
      <c r="M14" s="762"/>
      <c r="N14" s="761"/>
      <c r="O14" s="762"/>
      <c r="P14" s="62"/>
    </row>
    <row r="15" spans="1:16" x14ac:dyDescent="0.3">
      <c r="B15" s="541"/>
      <c r="C15" s="542"/>
      <c r="D15" s="542"/>
      <c r="E15" s="542"/>
      <c r="F15" s="542"/>
      <c r="G15" s="542"/>
      <c r="H15" s="552"/>
      <c r="I15" s="552"/>
      <c r="J15" s="552"/>
      <c r="K15" s="552"/>
      <c r="L15" s="552"/>
      <c r="M15" s="552"/>
      <c r="N15" s="552"/>
      <c r="O15" s="552"/>
      <c r="P15" s="543"/>
    </row>
    <row r="16" spans="1:16" x14ac:dyDescent="0.3">
      <c r="B16" s="544"/>
      <c r="C16" s="545" t="s">
        <v>237</v>
      </c>
      <c r="D16" s="62"/>
      <c r="E16" s="62"/>
      <c r="F16" s="62"/>
      <c r="G16" s="62"/>
      <c r="H16" s="673"/>
      <c r="I16" s="674"/>
      <c r="J16" s="553"/>
      <c r="K16" s="674"/>
      <c r="L16" s="673"/>
      <c r="M16" s="674"/>
      <c r="N16" s="673"/>
      <c r="O16" s="674"/>
      <c r="P16" s="547"/>
    </row>
    <row r="17" spans="2:16" outlineLevel="1" x14ac:dyDescent="0.3">
      <c r="B17" s="544"/>
      <c r="C17" s="62" t="str">
        <f>TAC!D30</f>
        <v>1. Common shareholders' equity/policyholders’ surplus</v>
      </c>
      <c r="D17" s="62"/>
      <c r="E17" s="62"/>
      <c r="F17" s="62"/>
      <c r="G17" s="62"/>
      <c r="H17" s="554">
        <f>TAC!F30</f>
        <v>0</v>
      </c>
      <c r="I17" s="555" t="str">
        <f t="shared" ref="I17:I30" si="0">IF(H$31=0,"-",H17/H$31)</f>
        <v>-</v>
      </c>
      <c r="J17" s="554">
        <f t="shared" ref="J17:N30" si="1">H17</f>
        <v>0</v>
      </c>
      <c r="K17" s="555" t="str">
        <f>I17</f>
        <v>-</v>
      </c>
      <c r="L17" s="554">
        <f t="shared" si="1"/>
        <v>0</v>
      </c>
      <c r="M17" s="555" t="str">
        <f>K17</f>
        <v>-</v>
      </c>
      <c r="N17" s="554">
        <f t="shared" si="1"/>
        <v>0</v>
      </c>
      <c r="O17" s="555" t="str">
        <f>M17</f>
        <v>-</v>
      </c>
      <c r="P17" s="547"/>
    </row>
    <row r="18" spans="2:16" outlineLevel="1" x14ac:dyDescent="0.3">
      <c r="B18" s="544"/>
      <c r="C18" s="62" t="str">
        <f>TAC!D32</f>
        <v>2. Equity noncontrolling interests</v>
      </c>
      <c r="D18" s="62"/>
      <c r="E18" s="62"/>
      <c r="F18" s="62"/>
      <c r="G18" s="62"/>
      <c r="H18" s="554">
        <f>TAC!F32</f>
        <v>0</v>
      </c>
      <c r="I18" s="555" t="str">
        <f t="shared" si="0"/>
        <v>-</v>
      </c>
      <c r="J18" s="554">
        <f t="shared" si="1"/>
        <v>0</v>
      </c>
      <c r="K18" s="555" t="str">
        <f t="shared" ref="K18:O30" si="2">I18</f>
        <v>-</v>
      </c>
      <c r="L18" s="554">
        <f t="shared" si="1"/>
        <v>0</v>
      </c>
      <c r="M18" s="555" t="str">
        <f t="shared" si="2"/>
        <v>-</v>
      </c>
      <c r="N18" s="554">
        <f t="shared" si="1"/>
        <v>0</v>
      </c>
      <c r="O18" s="555" t="str">
        <f t="shared" si="2"/>
        <v>-</v>
      </c>
      <c r="P18" s="547"/>
    </row>
    <row r="19" spans="2:16" outlineLevel="1" x14ac:dyDescent="0.3">
      <c r="B19" s="544"/>
      <c r="C19" s="62" t="str">
        <f>TAC!D33</f>
        <v xml:space="preserve">3. Investments in own shares/treasury shares </v>
      </c>
      <c r="D19" s="62"/>
      <c r="E19" s="62"/>
      <c r="F19" s="62"/>
      <c r="G19" s="62"/>
      <c r="H19" s="554">
        <f>TAC!F33</f>
        <v>0</v>
      </c>
      <c r="I19" s="555" t="str">
        <f t="shared" si="0"/>
        <v>-</v>
      </c>
      <c r="J19" s="554">
        <f t="shared" si="1"/>
        <v>0</v>
      </c>
      <c r="K19" s="555" t="str">
        <f t="shared" si="2"/>
        <v>-</v>
      </c>
      <c r="L19" s="554">
        <f t="shared" si="1"/>
        <v>0</v>
      </c>
      <c r="M19" s="555" t="str">
        <f t="shared" si="2"/>
        <v>-</v>
      </c>
      <c r="N19" s="554">
        <f t="shared" si="1"/>
        <v>0</v>
      </c>
      <c r="O19" s="555" t="str">
        <f t="shared" si="2"/>
        <v>-</v>
      </c>
      <c r="P19" s="547"/>
    </row>
    <row r="20" spans="2:16" s="35" customFormat="1" outlineLevel="1" x14ac:dyDescent="0.3">
      <c r="B20" s="556"/>
      <c r="C20" s="62" t="str">
        <f>TAC!D34</f>
        <v>4. Shareholder distributions not accrued</v>
      </c>
      <c r="D20" s="171"/>
      <c r="E20" s="171"/>
      <c r="F20" s="171"/>
      <c r="G20" s="171"/>
      <c r="H20" s="554">
        <f>TAC!F34</f>
        <v>0</v>
      </c>
      <c r="I20" s="555" t="str">
        <f t="shared" si="0"/>
        <v>-</v>
      </c>
      <c r="J20" s="554">
        <f t="shared" si="1"/>
        <v>0</v>
      </c>
      <c r="K20" s="555" t="str">
        <f t="shared" si="2"/>
        <v>-</v>
      </c>
      <c r="L20" s="554">
        <f t="shared" si="1"/>
        <v>0</v>
      </c>
      <c r="M20" s="555" t="str">
        <f t="shared" si="2"/>
        <v>-</v>
      </c>
      <c r="N20" s="554">
        <f t="shared" si="1"/>
        <v>0</v>
      </c>
      <c r="O20" s="555" t="str">
        <f t="shared" si="2"/>
        <v>-</v>
      </c>
      <c r="P20" s="557"/>
    </row>
    <row r="21" spans="2:16" s="35" customFormat="1" outlineLevel="1" x14ac:dyDescent="0.3">
      <c r="B21" s="556"/>
      <c r="C21" s="62" t="str">
        <f>TAC!D35</f>
        <v>5. Intangible Assets</v>
      </c>
      <c r="D21" s="171"/>
      <c r="E21" s="171"/>
      <c r="F21" s="171"/>
      <c r="G21" s="171"/>
      <c r="H21" s="554">
        <f>TAC!F35</f>
        <v>0</v>
      </c>
      <c r="I21" s="555" t="str">
        <f t="shared" si="0"/>
        <v>-</v>
      </c>
      <c r="J21" s="554">
        <f t="shared" si="1"/>
        <v>0</v>
      </c>
      <c r="K21" s="555" t="str">
        <f t="shared" si="2"/>
        <v>-</v>
      </c>
      <c r="L21" s="554">
        <f t="shared" si="1"/>
        <v>0</v>
      </c>
      <c r="M21" s="555" t="str">
        <f t="shared" si="2"/>
        <v>-</v>
      </c>
      <c r="N21" s="554">
        <f t="shared" si="1"/>
        <v>0</v>
      </c>
      <c r="O21" s="555" t="str">
        <f t="shared" si="2"/>
        <v>-</v>
      </c>
      <c r="P21" s="557"/>
    </row>
    <row r="22" spans="2:16" outlineLevel="1" x14ac:dyDescent="0.3">
      <c r="B22" s="544"/>
      <c r="C22" s="62" t="str">
        <f>TAC!D38</f>
        <v>6. Postretirement employee benefits</v>
      </c>
      <c r="D22" s="62"/>
      <c r="E22" s="62"/>
      <c r="F22" s="62"/>
      <c r="G22" s="62"/>
      <c r="H22" s="554">
        <f>TAC!F38</f>
        <v>0</v>
      </c>
      <c r="I22" s="555" t="str">
        <f t="shared" si="0"/>
        <v>-</v>
      </c>
      <c r="J22" s="554">
        <f t="shared" si="1"/>
        <v>0</v>
      </c>
      <c r="K22" s="555" t="str">
        <f t="shared" si="2"/>
        <v>-</v>
      </c>
      <c r="L22" s="554">
        <f t="shared" si="1"/>
        <v>0</v>
      </c>
      <c r="M22" s="555" t="str">
        <f t="shared" si="2"/>
        <v>-</v>
      </c>
      <c r="N22" s="554">
        <f t="shared" si="1"/>
        <v>0</v>
      </c>
      <c r="O22" s="555" t="str">
        <f t="shared" si="2"/>
        <v>-</v>
      </c>
      <c r="P22" s="547"/>
    </row>
    <row r="23" spans="2:16" outlineLevel="1" x14ac:dyDescent="0.3">
      <c r="B23" s="544"/>
      <c r="C23" s="62" t="str">
        <f>TAC!D42</f>
        <v xml:space="preserve">7. Unrealized gains and losses on investments </v>
      </c>
      <c r="D23" s="62"/>
      <c r="E23" s="62"/>
      <c r="F23" s="62"/>
      <c r="G23" s="62"/>
      <c r="H23" s="554">
        <f>TAC!F42</f>
        <v>0</v>
      </c>
      <c r="I23" s="555" t="str">
        <f t="shared" si="0"/>
        <v>-</v>
      </c>
      <c r="J23" s="554">
        <f t="shared" si="1"/>
        <v>0</v>
      </c>
      <c r="K23" s="555" t="str">
        <f t="shared" si="2"/>
        <v>-</v>
      </c>
      <c r="L23" s="554">
        <f t="shared" si="1"/>
        <v>0</v>
      </c>
      <c r="M23" s="555" t="str">
        <f t="shared" si="2"/>
        <v>-</v>
      </c>
      <c r="N23" s="554">
        <f t="shared" si="1"/>
        <v>0</v>
      </c>
      <c r="O23" s="555" t="str">
        <f t="shared" si="2"/>
        <v>-</v>
      </c>
      <c r="P23" s="547"/>
    </row>
    <row r="24" spans="2:16" outlineLevel="1" x14ac:dyDescent="0.3">
      <c r="B24" s="544"/>
      <c r="C24" s="62" t="str">
        <f>TAC!D43</f>
        <v>8. Non-life reserve adjustments</v>
      </c>
      <c r="D24" s="171"/>
      <c r="E24" s="171"/>
      <c r="F24" s="171"/>
      <c r="G24" s="171"/>
      <c r="H24" s="554">
        <f>TAC!F43</f>
        <v>0</v>
      </c>
      <c r="I24" s="555" t="str">
        <f t="shared" si="0"/>
        <v>-</v>
      </c>
      <c r="J24" s="554">
        <f t="shared" si="1"/>
        <v>0</v>
      </c>
      <c r="K24" s="555" t="str">
        <f t="shared" si="2"/>
        <v>-</v>
      </c>
      <c r="L24" s="554">
        <f t="shared" si="1"/>
        <v>0</v>
      </c>
      <c r="M24" s="555" t="str">
        <f t="shared" si="2"/>
        <v>-</v>
      </c>
      <c r="N24" s="554">
        <f t="shared" si="1"/>
        <v>0</v>
      </c>
      <c r="O24" s="555" t="str">
        <f t="shared" si="2"/>
        <v>-</v>
      </c>
      <c r="P24" s="547"/>
    </row>
    <row r="25" spans="2:16" outlineLevel="1" x14ac:dyDescent="0.3">
      <c r="B25" s="544"/>
      <c r="C25" s="62" t="str">
        <f>TAC!D47</f>
        <v>9. Life reserve adjustments</v>
      </c>
      <c r="D25" s="62"/>
      <c r="E25" s="62"/>
      <c r="F25" s="62"/>
      <c r="G25" s="62"/>
      <c r="H25" s="554">
        <f>TAC!F47</f>
        <v>0</v>
      </c>
      <c r="I25" s="555" t="str">
        <f t="shared" si="0"/>
        <v>-</v>
      </c>
      <c r="J25" s="554">
        <f t="shared" ref="J25:J30" si="3">H25</f>
        <v>0</v>
      </c>
      <c r="K25" s="555" t="str">
        <f t="shared" si="2"/>
        <v>-</v>
      </c>
      <c r="L25" s="554">
        <f t="shared" si="1"/>
        <v>0</v>
      </c>
      <c r="M25" s="555" t="str">
        <f t="shared" si="2"/>
        <v>-</v>
      </c>
      <c r="N25" s="554">
        <f t="shared" si="1"/>
        <v>0</v>
      </c>
      <c r="O25" s="555" t="str">
        <f t="shared" si="2"/>
        <v>-</v>
      </c>
      <c r="P25" s="547"/>
    </row>
    <row r="26" spans="2:16" outlineLevel="1" x14ac:dyDescent="0.3">
      <c r="B26" s="544"/>
      <c r="C26" s="62" t="str">
        <f>TAC!D56</f>
        <v>10. Hybrid capital/debt-funded capital (subject to tolerance limits)</v>
      </c>
      <c r="D26" s="62"/>
      <c r="E26" s="62"/>
      <c r="F26" s="62"/>
      <c r="G26" s="62"/>
      <c r="H26" s="554">
        <f>TAC!F56</f>
        <v>0</v>
      </c>
      <c r="I26" s="555" t="str">
        <f t="shared" si="0"/>
        <v>-</v>
      </c>
      <c r="J26" s="554">
        <f t="shared" si="3"/>
        <v>0</v>
      </c>
      <c r="K26" s="555" t="str">
        <f t="shared" si="2"/>
        <v>-</v>
      </c>
      <c r="L26" s="554">
        <f t="shared" si="1"/>
        <v>0</v>
      </c>
      <c r="M26" s="555" t="str">
        <f t="shared" si="2"/>
        <v>-</v>
      </c>
      <c r="N26" s="554">
        <f t="shared" si="1"/>
        <v>0</v>
      </c>
      <c r="O26" s="555" t="str">
        <f t="shared" si="2"/>
        <v>-</v>
      </c>
      <c r="P26" s="547"/>
    </row>
    <row r="27" spans="2:16" outlineLevel="1" x14ac:dyDescent="0.3">
      <c r="B27" s="544"/>
      <c r="C27" s="62" t="str">
        <f>TAC!D60</f>
        <v>11.Investments in noninsurance subsidiaries and joint ventures</v>
      </c>
      <c r="D27" s="62"/>
      <c r="E27" s="62"/>
      <c r="F27" s="62"/>
      <c r="G27" s="62"/>
      <c r="H27" s="554">
        <f>TAC!F60</f>
        <v>0</v>
      </c>
      <c r="I27" s="555" t="str">
        <f t="shared" si="0"/>
        <v>-</v>
      </c>
      <c r="J27" s="554">
        <f t="shared" si="3"/>
        <v>0</v>
      </c>
      <c r="K27" s="555" t="str">
        <f t="shared" si="2"/>
        <v>-</v>
      </c>
      <c r="L27" s="554">
        <f t="shared" si="1"/>
        <v>0</v>
      </c>
      <c r="M27" s="555" t="str">
        <f t="shared" si="2"/>
        <v>-</v>
      </c>
      <c r="N27" s="554">
        <f t="shared" si="1"/>
        <v>0</v>
      </c>
      <c r="O27" s="555" t="str">
        <f t="shared" si="2"/>
        <v>-</v>
      </c>
      <c r="P27" s="547"/>
    </row>
    <row r="28" spans="2:16" outlineLevel="1" x14ac:dyDescent="0.3">
      <c r="B28" s="544"/>
      <c r="C28" s="62" t="str">
        <f>TAC!D61</f>
        <v>12. Policyholder capital available to absorb losses</v>
      </c>
      <c r="D28" s="62"/>
      <c r="E28" s="62"/>
      <c r="F28" s="62"/>
      <c r="G28" s="62"/>
      <c r="H28" s="554">
        <f>TAC!F61</f>
        <v>0</v>
      </c>
      <c r="I28" s="555" t="str">
        <f t="shared" si="0"/>
        <v>-</v>
      </c>
      <c r="J28" s="554">
        <f t="shared" si="3"/>
        <v>0</v>
      </c>
      <c r="K28" s="555" t="str">
        <f t="shared" si="2"/>
        <v>-</v>
      </c>
      <c r="L28" s="554">
        <f t="shared" si="1"/>
        <v>0</v>
      </c>
      <c r="M28" s="555" t="str">
        <f t="shared" si="2"/>
        <v>-</v>
      </c>
      <c r="N28" s="554">
        <f t="shared" si="1"/>
        <v>0</v>
      </c>
      <c r="O28" s="555" t="str">
        <f t="shared" si="2"/>
        <v>-</v>
      </c>
      <c r="P28" s="547"/>
    </row>
    <row r="29" spans="2:16" outlineLevel="1" x14ac:dyDescent="0.3">
      <c r="B29" s="544"/>
      <c r="C29" s="62" t="str">
        <f>TAC!D62</f>
        <v>13. Unrealized gains on investments backing participating life business</v>
      </c>
      <c r="D29" s="62"/>
      <c r="E29" s="62"/>
      <c r="F29" s="62"/>
      <c r="G29" s="62"/>
      <c r="H29" s="554">
        <f>TAC!F62</f>
        <v>0</v>
      </c>
      <c r="I29" s="555" t="str">
        <f t="shared" si="0"/>
        <v>-</v>
      </c>
      <c r="J29" s="554">
        <f t="shared" si="3"/>
        <v>0</v>
      </c>
      <c r="K29" s="555" t="str">
        <f t="shared" ref="K29" si="4">I29</f>
        <v>-</v>
      </c>
      <c r="L29" s="554">
        <f t="shared" ref="L29" si="5">J29</f>
        <v>0</v>
      </c>
      <c r="M29" s="555" t="str">
        <f t="shared" ref="M29" si="6">K29</f>
        <v>-</v>
      </c>
      <c r="N29" s="554">
        <f t="shared" ref="N29" si="7">L29</f>
        <v>0</v>
      </c>
      <c r="O29" s="555" t="str">
        <f t="shared" ref="O29" si="8">M29</f>
        <v>-</v>
      </c>
      <c r="P29" s="547"/>
    </row>
    <row r="30" spans="2:16" ht="13.5" outlineLevel="1" thickBot="1" x14ac:dyDescent="0.35">
      <c r="B30" s="544"/>
      <c r="C30" s="62" t="s">
        <v>4454</v>
      </c>
      <c r="D30" s="62"/>
      <c r="E30" s="62"/>
      <c r="F30" s="62"/>
      <c r="G30" s="62"/>
      <c r="H30" s="554">
        <f>TAC!F53+TAC!F63</f>
        <v>0</v>
      </c>
      <c r="I30" s="555" t="str">
        <f t="shared" si="0"/>
        <v>-</v>
      </c>
      <c r="J30" s="554">
        <f t="shared" si="3"/>
        <v>0</v>
      </c>
      <c r="K30" s="555" t="str">
        <f t="shared" si="2"/>
        <v>-</v>
      </c>
      <c r="L30" s="554">
        <f t="shared" si="1"/>
        <v>0</v>
      </c>
      <c r="M30" s="555" t="str">
        <f t="shared" si="2"/>
        <v>-</v>
      </c>
      <c r="N30" s="554">
        <f t="shared" si="1"/>
        <v>0</v>
      </c>
      <c r="O30" s="555" t="str">
        <f t="shared" si="2"/>
        <v>-</v>
      </c>
      <c r="P30" s="547"/>
    </row>
    <row r="31" spans="2:16" ht="13.5" thickBot="1" x14ac:dyDescent="0.35">
      <c r="B31" s="544"/>
      <c r="C31" s="558" t="s">
        <v>2169</v>
      </c>
      <c r="D31" s="558"/>
      <c r="E31" s="558"/>
      <c r="F31" s="558"/>
      <c r="G31" s="559"/>
      <c r="H31" s="764">
        <f>SUM(H17:H30)</f>
        <v>0</v>
      </c>
      <c r="I31" s="765"/>
      <c r="J31" s="764">
        <f>SUM(J17:J30)</f>
        <v>0</v>
      </c>
      <c r="K31" s="765"/>
      <c r="L31" s="764">
        <f>SUM(L17:L30)</f>
        <v>0</v>
      </c>
      <c r="M31" s="765"/>
      <c r="N31" s="764">
        <f>SUM(N17:N30)</f>
        <v>0</v>
      </c>
      <c r="O31" s="765"/>
      <c r="P31" s="547"/>
    </row>
    <row r="32" spans="2:16" ht="13.5" customHeight="1" thickBot="1" x14ac:dyDescent="0.35">
      <c r="B32" s="549"/>
      <c r="C32" s="550"/>
      <c r="D32" s="550"/>
      <c r="E32" s="550"/>
      <c r="F32" s="550"/>
      <c r="G32" s="550"/>
      <c r="H32" s="560"/>
      <c r="I32" s="560"/>
      <c r="J32" s="560"/>
      <c r="K32" s="560"/>
      <c r="L32" s="560"/>
      <c r="M32" s="560"/>
      <c r="N32" s="560"/>
      <c r="O32" s="560"/>
      <c r="P32" s="551"/>
    </row>
    <row r="33" spans="2:16" ht="13.5" thickBot="1" x14ac:dyDescent="0.35">
      <c r="B33" s="760"/>
      <c r="C33" s="760"/>
      <c r="D33" s="760"/>
      <c r="E33" s="760"/>
      <c r="F33" s="760"/>
      <c r="G33" s="760"/>
      <c r="H33" s="761"/>
      <c r="I33" s="762"/>
      <c r="J33" s="761"/>
      <c r="K33" s="762"/>
      <c r="L33" s="761"/>
      <c r="M33" s="762"/>
      <c r="N33" s="761"/>
      <c r="O33" s="762"/>
      <c r="P33" s="62"/>
    </row>
    <row r="34" spans="2:16" x14ac:dyDescent="0.3">
      <c r="B34" s="541"/>
      <c r="C34" s="542"/>
      <c r="D34" s="542"/>
      <c r="E34" s="542"/>
      <c r="F34" s="542"/>
      <c r="G34" s="542"/>
      <c r="H34" s="561"/>
      <c r="I34" s="561"/>
      <c r="J34" s="561"/>
      <c r="K34" s="561"/>
      <c r="L34" s="561"/>
      <c r="M34" s="561"/>
      <c r="N34" s="561"/>
      <c r="O34" s="561"/>
      <c r="P34" s="543"/>
    </row>
    <row r="35" spans="2:16" x14ac:dyDescent="0.3">
      <c r="B35" s="544"/>
      <c r="C35" s="545" t="s">
        <v>232</v>
      </c>
      <c r="D35" s="62"/>
      <c r="E35" s="62"/>
      <c r="F35" s="62"/>
      <c r="G35" s="62"/>
      <c r="H35" s="673"/>
      <c r="I35" s="674"/>
      <c r="J35" s="673"/>
      <c r="K35" s="674"/>
      <c r="L35" s="673"/>
      <c r="M35" s="674"/>
      <c r="N35" s="673"/>
      <c r="O35" s="674"/>
      <c r="P35" s="547"/>
    </row>
    <row r="36" spans="2:16" outlineLevel="1" x14ac:dyDescent="0.3">
      <c r="B36" s="544"/>
      <c r="C36" s="62" t="s">
        <v>233</v>
      </c>
      <c r="D36" s="502"/>
      <c r="E36" s="502"/>
      <c r="F36" s="502"/>
      <c r="G36" s="502"/>
      <c r="H36" s="672">
        <f>SUM(H37:H43)</f>
        <v>0</v>
      </c>
      <c r="I36" s="562" t="str">
        <f t="shared" ref="I36:I47" si="9">IF(H$149=0,"-",H36/H$149)</f>
        <v>-</v>
      </c>
      <c r="J36" s="672">
        <f>SUM(J37:J43)</f>
        <v>0</v>
      </c>
      <c r="K36" s="562" t="str">
        <f t="shared" ref="K36:K47" si="10">IF(J$149=0,"-",J36/J$149)</f>
        <v>-</v>
      </c>
      <c r="L36" s="672">
        <f>SUM(L37:L43)</f>
        <v>0</v>
      </c>
      <c r="M36" s="562" t="str">
        <f t="shared" ref="M36:M47" si="11">IF(L$149=0,"-",L36/L$149)</f>
        <v>-</v>
      </c>
      <c r="N36" s="672">
        <f>SUM(N37:N43)</f>
        <v>0</v>
      </c>
      <c r="O36" s="562" t="str">
        <f t="shared" ref="O36:O47" si="12">IF(N$149=0,"-",N36/N$149)</f>
        <v>-</v>
      </c>
      <c r="P36" s="547"/>
    </row>
    <row r="37" spans="2:16" hidden="1" outlineLevel="2" x14ac:dyDescent="0.3">
      <c r="B37" s="544"/>
      <c r="C37" s="62" t="s">
        <v>234</v>
      </c>
      <c r="D37" s="62"/>
      <c r="E37" s="62"/>
      <c r="F37" s="62"/>
      <c r="G37" s="62"/>
      <c r="H37" s="672">
        <f>'Asset Risk'!D22</f>
        <v>0</v>
      </c>
      <c r="I37" s="562" t="str">
        <f t="shared" si="9"/>
        <v>-</v>
      </c>
      <c r="J37" s="672">
        <f>'Asset Risk'!E22</f>
        <v>0</v>
      </c>
      <c r="K37" s="562" t="str">
        <f t="shared" si="10"/>
        <v>-</v>
      </c>
      <c r="L37" s="672">
        <f>'Asset Risk'!F22</f>
        <v>0</v>
      </c>
      <c r="M37" s="562" t="str">
        <f t="shared" si="11"/>
        <v>-</v>
      </c>
      <c r="N37" s="672">
        <f>'Asset Risk'!G22</f>
        <v>0</v>
      </c>
      <c r="O37" s="562" t="str">
        <f t="shared" si="12"/>
        <v>-</v>
      </c>
      <c r="P37" s="547"/>
    </row>
    <row r="38" spans="2:16" hidden="1" outlineLevel="2" x14ac:dyDescent="0.3">
      <c r="B38" s="544"/>
      <c r="C38" s="62" t="s">
        <v>789</v>
      </c>
      <c r="D38" s="62"/>
      <c r="E38" s="62"/>
      <c r="F38" s="62"/>
      <c r="G38" s="62"/>
      <c r="H38" s="672">
        <f>'Asset Risk'!D183</f>
        <v>0</v>
      </c>
      <c r="I38" s="562" t="str">
        <f t="shared" si="9"/>
        <v>-</v>
      </c>
      <c r="J38" s="672">
        <f>'Asset Risk'!E183</f>
        <v>0</v>
      </c>
      <c r="K38" s="562" t="str">
        <f t="shared" si="10"/>
        <v>-</v>
      </c>
      <c r="L38" s="672">
        <f>'Asset Risk'!F183</f>
        <v>0</v>
      </c>
      <c r="M38" s="562" t="str">
        <f t="shared" si="11"/>
        <v>-</v>
      </c>
      <c r="N38" s="672">
        <f>'Asset Risk'!G183</f>
        <v>0</v>
      </c>
      <c r="O38" s="562" t="str">
        <f t="shared" si="12"/>
        <v>-</v>
      </c>
      <c r="P38" s="547"/>
    </row>
    <row r="39" spans="2:16" hidden="1" outlineLevel="2" x14ac:dyDescent="0.3">
      <c r="B39" s="544"/>
      <c r="C39" s="62" t="s">
        <v>256</v>
      </c>
      <c r="D39" s="62"/>
      <c r="E39" s="62"/>
      <c r="F39" s="62"/>
      <c r="G39" s="62"/>
      <c r="H39" s="672">
        <f>'Asset Risk'!D24</f>
        <v>0</v>
      </c>
      <c r="I39" s="562" t="str">
        <f t="shared" si="9"/>
        <v>-</v>
      </c>
      <c r="J39" s="672">
        <f>'Asset Risk'!E24</f>
        <v>0</v>
      </c>
      <c r="K39" s="562" t="str">
        <f t="shared" si="10"/>
        <v>-</v>
      </c>
      <c r="L39" s="672">
        <f>'Asset Risk'!F24</f>
        <v>0</v>
      </c>
      <c r="M39" s="562" t="str">
        <f t="shared" si="11"/>
        <v>-</v>
      </c>
      <c r="N39" s="672">
        <f>'Asset Risk'!G24</f>
        <v>0</v>
      </c>
      <c r="O39" s="562" t="str">
        <f t="shared" si="12"/>
        <v>-</v>
      </c>
      <c r="P39" s="547"/>
    </row>
    <row r="40" spans="2:16" hidden="1" outlineLevel="2" x14ac:dyDescent="0.3">
      <c r="B40" s="544"/>
      <c r="C40" s="62" t="s">
        <v>790</v>
      </c>
      <c r="D40" s="502"/>
      <c r="E40" s="502"/>
      <c r="F40" s="502"/>
      <c r="G40" s="502"/>
      <c r="H40" s="672">
        <f>'Asset Risk'!D217</f>
        <v>0</v>
      </c>
      <c r="I40" s="562" t="str">
        <f t="shared" si="9"/>
        <v>-</v>
      </c>
      <c r="J40" s="672">
        <f>'Asset Risk'!E217</f>
        <v>0</v>
      </c>
      <c r="K40" s="562" t="str">
        <f t="shared" si="10"/>
        <v>-</v>
      </c>
      <c r="L40" s="672">
        <f>'Asset Risk'!F217</f>
        <v>0</v>
      </c>
      <c r="M40" s="562" t="str">
        <f t="shared" si="11"/>
        <v>-</v>
      </c>
      <c r="N40" s="672">
        <f>'Asset Risk'!G217</f>
        <v>0</v>
      </c>
      <c r="O40" s="562" t="str">
        <f t="shared" si="12"/>
        <v>-</v>
      </c>
      <c r="P40" s="547"/>
    </row>
    <row r="41" spans="2:16" hidden="1" outlineLevel="2" x14ac:dyDescent="0.3">
      <c r="B41" s="544"/>
      <c r="C41" s="62" t="s">
        <v>1065</v>
      </c>
      <c r="D41" s="502"/>
      <c r="E41" s="502"/>
      <c r="F41" s="502"/>
      <c r="G41" s="502"/>
      <c r="H41" s="672">
        <f>'Asset Risk'!D221</f>
        <v>0</v>
      </c>
      <c r="I41" s="562" t="str">
        <f t="shared" si="9"/>
        <v>-</v>
      </c>
      <c r="J41" s="672">
        <f>'Asset Risk'!E221</f>
        <v>0</v>
      </c>
      <c r="K41" s="562" t="str">
        <f t="shared" si="10"/>
        <v>-</v>
      </c>
      <c r="L41" s="672">
        <f>'Asset Risk'!F221</f>
        <v>0</v>
      </c>
      <c r="M41" s="562" t="str">
        <f t="shared" si="11"/>
        <v>-</v>
      </c>
      <c r="N41" s="672">
        <f>'Asset Risk'!G221</f>
        <v>0</v>
      </c>
      <c r="O41" s="562" t="str">
        <f t="shared" si="12"/>
        <v>-</v>
      </c>
      <c r="P41" s="547"/>
    </row>
    <row r="42" spans="2:16" hidden="1" outlineLevel="2" x14ac:dyDescent="0.3">
      <c r="B42" s="544"/>
      <c r="C42" s="62" t="s">
        <v>1043</v>
      </c>
      <c r="D42" s="502"/>
      <c r="E42" s="502"/>
      <c r="F42" s="502"/>
      <c r="G42" s="502"/>
      <c r="H42" s="672">
        <f>'Asset Risk'!D222</f>
        <v>0</v>
      </c>
      <c r="I42" s="562" t="str">
        <f t="shared" si="9"/>
        <v>-</v>
      </c>
      <c r="J42" s="672">
        <f>'Asset Risk'!E222</f>
        <v>0</v>
      </c>
      <c r="K42" s="562" t="str">
        <f t="shared" si="10"/>
        <v>-</v>
      </c>
      <c r="L42" s="672">
        <f>'Asset Risk'!F222</f>
        <v>0</v>
      </c>
      <c r="M42" s="562" t="str">
        <f t="shared" si="11"/>
        <v>-</v>
      </c>
      <c r="N42" s="672">
        <f>'Asset Risk'!G222</f>
        <v>0</v>
      </c>
      <c r="O42" s="562" t="str">
        <f t="shared" si="12"/>
        <v>-</v>
      </c>
      <c r="P42" s="547"/>
    </row>
    <row r="43" spans="2:16" hidden="1" outlineLevel="2" x14ac:dyDescent="0.3">
      <c r="B43" s="544"/>
      <c r="C43" s="62" t="s">
        <v>881</v>
      </c>
      <c r="D43" s="502"/>
      <c r="E43" s="502"/>
      <c r="F43" s="502"/>
      <c r="G43" s="502"/>
      <c r="H43" s="672">
        <f>'Asset Risk'!D223</f>
        <v>0</v>
      </c>
      <c r="I43" s="562" t="str">
        <f t="shared" si="9"/>
        <v>-</v>
      </c>
      <c r="J43" s="672">
        <f>'Asset Risk'!E223</f>
        <v>0</v>
      </c>
      <c r="K43" s="562" t="str">
        <f t="shared" si="10"/>
        <v>-</v>
      </c>
      <c r="L43" s="672">
        <f>'Asset Risk'!F223</f>
        <v>0</v>
      </c>
      <c r="M43" s="562" t="str">
        <f t="shared" si="11"/>
        <v>-</v>
      </c>
      <c r="N43" s="672">
        <f>'Asset Risk'!G223</f>
        <v>0</v>
      </c>
      <c r="O43" s="562" t="str">
        <f t="shared" si="12"/>
        <v>-</v>
      </c>
      <c r="P43" s="547"/>
    </row>
    <row r="44" spans="2:16" outlineLevel="1" collapsed="1" x14ac:dyDescent="0.3">
      <c r="B44" s="544"/>
      <c r="C44" s="62" t="s">
        <v>235</v>
      </c>
      <c r="D44" s="502"/>
      <c r="E44" s="502"/>
      <c r="F44" s="502"/>
      <c r="G44" s="502"/>
      <c r="H44" s="672">
        <f>SUM(H45:H47)</f>
        <v>0</v>
      </c>
      <c r="I44" s="562" t="str">
        <f t="shared" si="9"/>
        <v>-</v>
      </c>
      <c r="J44" s="672">
        <f>SUM(J45:J47)</f>
        <v>0</v>
      </c>
      <c r="K44" s="562" t="str">
        <f t="shared" si="10"/>
        <v>-</v>
      </c>
      <c r="L44" s="672">
        <f>SUM(L45:L47)</f>
        <v>0</v>
      </c>
      <c r="M44" s="562" t="str">
        <f t="shared" si="11"/>
        <v>-</v>
      </c>
      <c r="N44" s="672">
        <f>SUM(N45:N47)</f>
        <v>0</v>
      </c>
      <c r="O44" s="562" t="str">
        <f t="shared" si="12"/>
        <v>-</v>
      </c>
      <c r="P44" s="547"/>
    </row>
    <row r="45" spans="2:16" hidden="1" outlineLevel="2" x14ac:dyDescent="0.3">
      <c r="B45" s="544"/>
      <c r="C45" s="62" t="s">
        <v>920</v>
      </c>
      <c r="D45" s="62"/>
      <c r="E45" s="62"/>
      <c r="F45" s="62"/>
      <c r="G45" s="62"/>
      <c r="H45" s="672">
        <f>'Asset Risk'!D156</f>
        <v>0</v>
      </c>
      <c r="I45" s="562" t="str">
        <f t="shared" si="9"/>
        <v>-</v>
      </c>
      <c r="J45" s="672">
        <f>'Asset Risk'!E156</f>
        <v>0</v>
      </c>
      <c r="K45" s="562" t="str">
        <f t="shared" si="10"/>
        <v>-</v>
      </c>
      <c r="L45" s="672">
        <f>'Asset Risk'!F156</f>
        <v>0</v>
      </c>
      <c r="M45" s="562" t="str">
        <f t="shared" si="11"/>
        <v>-</v>
      </c>
      <c r="N45" s="672">
        <f>'Asset Risk'!G156</f>
        <v>0</v>
      </c>
      <c r="O45" s="562" t="str">
        <f t="shared" si="12"/>
        <v>-</v>
      </c>
      <c r="P45" s="547"/>
    </row>
    <row r="46" spans="2:16" hidden="1" outlineLevel="2" x14ac:dyDescent="0.3">
      <c r="B46" s="544"/>
      <c r="C46" s="62" t="s">
        <v>2150</v>
      </c>
      <c r="D46" s="62"/>
      <c r="E46" s="62"/>
      <c r="F46" s="62"/>
      <c r="G46" s="62"/>
      <c r="H46" s="672">
        <f>'Asset Risk'!D170</f>
        <v>0</v>
      </c>
      <c r="I46" s="562" t="str">
        <f t="shared" si="9"/>
        <v>-</v>
      </c>
      <c r="J46" s="672">
        <f>'Asset Risk'!E170</f>
        <v>0</v>
      </c>
      <c r="K46" s="562" t="str">
        <f t="shared" si="10"/>
        <v>-</v>
      </c>
      <c r="L46" s="672">
        <f>'Asset Risk'!F170</f>
        <v>0</v>
      </c>
      <c r="M46" s="562" t="str">
        <f t="shared" si="11"/>
        <v>-</v>
      </c>
      <c r="N46" s="672">
        <f>'Asset Risk'!G170</f>
        <v>0</v>
      </c>
      <c r="O46" s="562" t="str">
        <f t="shared" si="12"/>
        <v>-</v>
      </c>
      <c r="P46" s="547"/>
    </row>
    <row r="47" spans="2:16" hidden="1" outlineLevel="2" x14ac:dyDescent="0.3">
      <c r="B47" s="544"/>
      <c r="C47" s="62" t="s">
        <v>342</v>
      </c>
      <c r="D47" s="62"/>
      <c r="E47" s="62"/>
      <c r="F47" s="62"/>
      <c r="G47" s="62"/>
      <c r="H47" s="672">
        <f>'Interest Rate Risk'!W46</f>
        <v>0</v>
      </c>
      <c r="I47" s="562" t="str">
        <f t="shared" si="9"/>
        <v>-</v>
      </c>
      <c r="J47" s="672">
        <f>'Interest Rate Risk'!Y46</f>
        <v>0</v>
      </c>
      <c r="K47" s="562" t="str">
        <f t="shared" si="10"/>
        <v>-</v>
      </c>
      <c r="L47" s="672">
        <f>'Interest Rate Risk'!AA46</f>
        <v>0</v>
      </c>
      <c r="M47" s="562" t="str">
        <f t="shared" si="11"/>
        <v>-</v>
      </c>
      <c r="N47" s="672">
        <f>'Interest Rate Risk'!AC46</f>
        <v>0</v>
      </c>
      <c r="O47" s="562" t="str">
        <f t="shared" si="12"/>
        <v>-</v>
      </c>
      <c r="P47" s="547"/>
    </row>
    <row r="48" spans="2:16" hidden="1" outlineLevel="2" x14ac:dyDescent="0.3">
      <c r="B48" s="544"/>
      <c r="C48" s="62"/>
      <c r="D48" s="62"/>
      <c r="E48" s="62"/>
      <c r="F48" s="62"/>
      <c r="G48" s="62"/>
      <c r="H48" s="672"/>
      <c r="I48" s="563"/>
      <c r="J48" s="672"/>
      <c r="K48" s="563"/>
      <c r="L48" s="672"/>
      <c r="M48" s="563"/>
      <c r="N48" s="672"/>
      <c r="O48" s="563"/>
      <c r="P48" s="547"/>
    </row>
    <row r="49" spans="2:16" outlineLevel="1" collapsed="1" x14ac:dyDescent="0.3">
      <c r="B49" s="544"/>
      <c r="C49" s="62" t="s">
        <v>236</v>
      </c>
      <c r="D49" s="502"/>
      <c r="E49" s="502"/>
      <c r="F49" s="502"/>
      <c r="G49" s="502"/>
      <c r="H49" s="672">
        <f>'Asset Risk'!D219</f>
        <v>0</v>
      </c>
      <c r="I49" s="562" t="str">
        <f>IF(H$149=0,"-",H49/H$149)</f>
        <v>-</v>
      </c>
      <c r="J49" s="672">
        <f>'Asset Risk'!E219</f>
        <v>0</v>
      </c>
      <c r="K49" s="562" t="str">
        <f>IF(J$149=0,"-",J49/J$149)</f>
        <v>-</v>
      </c>
      <c r="L49" s="672">
        <f>'Asset Risk'!F219</f>
        <v>0</v>
      </c>
      <c r="M49" s="562" t="str">
        <f>IF(L$149=0,"-",L49/L$149)</f>
        <v>-</v>
      </c>
      <c r="N49" s="672">
        <f>'Asset Risk'!G219</f>
        <v>0</v>
      </c>
      <c r="O49" s="562" t="str">
        <f>IF(N$149=0,"-",N49/N$149)</f>
        <v>-</v>
      </c>
      <c r="P49" s="547"/>
    </row>
    <row r="50" spans="2:16" outlineLevel="1" x14ac:dyDescent="0.3">
      <c r="B50" s="544"/>
      <c r="C50" s="62"/>
      <c r="D50" s="62"/>
      <c r="E50" s="62"/>
      <c r="F50" s="62"/>
      <c r="G50" s="62"/>
      <c r="H50" s="672"/>
      <c r="I50" s="563"/>
      <c r="J50" s="672"/>
      <c r="K50" s="563"/>
      <c r="L50" s="672"/>
      <c r="M50" s="563"/>
      <c r="N50" s="672"/>
      <c r="O50" s="563"/>
      <c r="P50" s="547"/>
    </row>
    <row r="51" spans="2:16" outlineLevel="1" x14ac:dyDescent="0.3">
      <c r="B51" s="544"/>
      <c r="C51" s="62" t="s">
        <v>2152</v>
      </c>
      <c r="D51" s="502"/>
      <c r="E51" s="502"/>
      <c r="F51" s="502"/>
      <c r="G51" s="502"/>
      <c r="H51" s="672">
        <f>SUM(H52:H58)</f>
        <v>0</v>
      </c>
      <c r="I51" s="562" t="str">
        <f t="shared" ref="I51:I58" si="13">IF(H$149=0,"-",H51/H$149)</f>
        <v>-</v>
      </c>
      <c r="J51" s="672">
        <f>SUM(J52:J58)</f>
        <v>0</v>
      </c>
      <c r="K51" s="562" t="str">
        <f t="shared" ref="K51:K58" si="14">IF(J$149=0,"-",J51/J$149)</f>
        <v>-</v>
      </c>
      <c r="L51" s="672">
        <f>SUM(L52:L58)</f>
        <v>0</v>
      </c>
      <c r="M51" s="562" t="str">
        <f t="shared" ref="M51:M58" si="15">IF(L$149=0,"-",L51/L$149)</f>
        <v>-</v>
      </c>
      <c r="N51" s="672">
        <f>SUM(N52:N58)</f>
        <v>0</v>
      </c>
      <c r="O51" s="562" t="str">
        <f t="shared" ref="O51:O58" si="16">IF(N$149=0,"-",N51/N$149)</f>
        <v>-</v>
      </c>
      <c r="P51" s="547"/>
    </row>
    <row r="52" spans="2:16" hidden="1" outlineLevel="2" x14ac:dyDescent="0.3">
      <c r="B52" s="544"/>
      <c r="C52" s="564" t="s">
        <v>1401</v>
      </c>
      <c r="D52" s="502"/>
      <c r="E52" s="502"/>
      <c r="F52" s="502"/>
      <c r="G52" s="502"/>
      <c r="H52" s="672">
        <f>SUMIF(Adjustment!$L$5:$L$24,Lists!$L$8,Adjustment!M$5:M$24)</f>
        <v>0</v>
      </c>
      <c r="I52" s="562" t="str">
        <f t="shared" si="13"/>
        <v>-</v>
      </c>
      <c r="J52" s="672">
        <f>SUMIF(Adjustment!$L$5:$L$24,Lists!$L$8,Adjustment!N$5:N$24)</f>
        <v>0</v>
      </c>
      <c r="K52" s="562" t="str">
        <f t="shared" si="14"/>
        <v>-</v>
      </c>
      <c r="L52" s="672">
        <f>SUMIF(Adjustment!$L$5:$L$24,Lists!$L$8,Adjustment!O$5:O$24)</f>
        <v>0</v>
      </c>
      <c r="M52" s="562" t="str">
        <f t="shared" si="15"/>
        <v>-</v>
      </c>
      <c r="N52" s="672">
        <f>SUMIF(Adjustment!$L$5:$L$24,Lists!$L$8,Adjustment!P$5:P$24)</f>
        <v>0</v>
      </c>
      <c r="O52" s="562" t="str">
        <f t="shared" si="16"/>
        <v>-</v>
      </c>
      <c r="P52" s="547"/>
    </row>
    <row r="53" spans="2:16" hidden="1" outlineLevel="2" x14ac:dyDescent="0.3">
      <c r="B53" s="544"/>
      <c r="C53" s="62" t="s">
        <v>363</v>
      </c>
      <c r="D53" s="502"/>
      <c r="E53" s="502"/>
      <c r="F53" s="502"/>
      <c r="G53" s="502"/>
      <c r="H53" s="672">
        <f>'Asset Risk'!D29</f>
        <v>0</v>
      </c>
      <c r="I53" s="562" t="str">
        <f t="shared" si="13"/>
        <v>-</v>
      </c>
      <c r="J53" s="672">
        <f>'Asset Risk'!E29</f>
        <v>0</v>
      </c>
      <c r="K53" s="562" t="str">
        <f t="shared" si="14"/>
        <v>-</v>
      </c>
      <c r="L53" s="672">
        <f>'Asset Risk'!F29</f>
        <v>0</v>
      </c>
      <c r="M53" s="562" t="str">
        <f t="shared" si="15"/>
        <v>-</v>
      </c>
      <c r="N53" s="672">
        <f>'Asset Risk'!G29</f>
        <v>0</v>
      </c>
      <c r="O53" s="562" t="str">
        <f t="shared" si="16"/>
        <v>-</v>
      </c>
      <c r="P53" s="547"/>
    </row>
    <row r="54" spans="2:16" hidden="1" outlineLevel="2" x14ac:dyDescent="0.3">
      <c r="B54" s="544"/>
      <c r="C54" s="62" t="s">
        <v>364</v>
      </c>
      <c r="D54" s="502"/>
      <c r="E54" s="502"/>
      <c r="F54" s="502"/>
      <c r="G54" s="502"/>
      <c r="H54" s="672">
        <f>'Asset Risk'!D6</f>
        <v>0</v>
      </c>
      <c r="I54" s="562" t="str">
        <f t="shared" si="13"/>
        <v>-</v>
      </c>
      <c r="J54" s="672">
        <f>'Asset Risk'!E6</f>
        <v>0</v>
      </c>
      <c r="K54" s="562" t="str">
        <f t="shared" si="14"/>
        <v>-</v>
      </c>
      <c r="L54" s="672">
        <f>'Asset Risk'!F6</f>
        <v>0</v>
      </c>
      <c r="M54" s="562" t="str">
        <f t="shared" si="15"/>
        <v>-</v>
      </c>
      <c r="N54" s="672">
        <f>'Asset Risk'!G6</f>
        <v>0</v>
      </c>
      <c r="O54" s="562" t="str">
        <f t="shared" si="16"/>
        <v>-</v>
      </c>
      <c r="P54" s="547"/>
    </row>
    <row r="55" spans="2:16" hidden="1" outlineLevel="2" x14ac:dyDescent="0.3">
      <c r="B55" s="544"/>
      <c r="C55" s="62" t="s">
        <v>920</v>
      </c>
      <c r="D55" s="502"/>
      <c r="E55" s="502"/>
      <c r="F55" s="502"/>
      <c r="G55" s="502"/>
      <c r="H55" s="672">
        <f>'Asset Risk'!D10</f>
        <v>0</v>
      </c>
      <c r="I55" s="562" t="str">
        <f t="shared" si="13"/>
        <v>-</v>
      </c>
      <c r="J55" s="672">
        <f>'Asset Risk'!E10</f>
        <v>0</v>
      </c>
      <c r="K55" s="562" t="str">
        <f t="shared" si="14"/>
        <v>-</v>
      </c>
      <c r="L55" s="672">
        <f>'Asset Risk'!F10</f>
        <v>0</v>
      </c>
      <c r="M55" s="562" t="str">
        <f t="shared" si="15"/>
        <v>-</v>
      </c>
      <c r="N55" s="672">
        <f>'Asset Risk'!G10</f>
        <v>0</v>
      </c>
      <c r="O55" s="562" t="str">
        <f t="shared" si="16"/>
        <v>-</v>
      </c>
      <c r="P55" s="547"/>
    </row>
    <row r="56" spans="2:16" hidden="1" outlineLevel="2" x14ac:dyDescent="0.3">
      <c r="B56" s="544"/>
      <c r="C56" s="62" t="s">
        <v>2150</v>
      </c>
      <c r="D56" s="502"/>
      <c r="E56" s="502"/>
      <c r="F56" s="502"/>
      <c r="G56" s="502"/>
      <c r="H56" s="672">
        <f>'Asset Risk'!D18</f>
        <v>0</v>
      </c>
      <c r="I56" s="562" t="str">
        <f t="shared" si="13"/>
        <v>-</v>
      </c>
      <c r="J56" s="672">
        <f>'Asset Risk'!E18</f>
        <v>0</v>
      </c>
      <c r="K56" s="562" t="str">
        <f t="shared" si="14"/>
        <v>-</v>
      </c>
      <c r="L56" s="672">
        <f>'Asset Risk'!F18</f>
        <v>0</v>
      </c>
      <c r="M56" s="562" t="str">
        <f t="shared" si="15"/>
        <v>-</v>
      </c>
      <c r="N56" s="672">
        <f>'Asset Risk'!G18</f>
        <v>0</v>
      </c>
      <c r="O56" s="562" t="str">
        <f t="shared" si="16"/>
        <v>-</v>
      </c>
      <c r="P56" s="547"/>
    </row>
    <row r="57" spans="2:16" hidden="1" outlineLevel="2" x14ac:dyDescent="0.3">
      <c r="B57" s="544"/>
      <c r="C57" s="62" t="s">
        <v>342</v>
      </c>
      <c r="D57" s="502"/>
      <c r="E57" s="502"/>
      <c r="F57" s="502"/>
      <c r="G57" s="502"/>
      <c r="H57" s="672">
        <f>'Asset Risk'!D14</f>
        <v>0</v>
      </c>
      <c r="I57" s="562" t="str">
        <f t="shared" si="13"/>
        <v>-</v>
      </c>
      <c r="J57" s="672">
        <f>'Asset Risk'!E14</f>
        <v>0</v>
      </c>
      <c r="K57" s="562" t="str">
        <f t="shared" si="14"/>
        <v>-</v>
      </c>
      <c r="L57" s="672">
        <f>'Asset Risk'!F14</f>
        <v>0</v>
      </c>
      <c r="M57" s="562" t="str">
        <f t="shared" si="15"/>
        <v>-</v>
      </c>
      <c r="N57" s="672">
        <f>'Asset Risk'!G14</f>
        <v>0</v>
      </c>
      <c r="O57" s="562" t="str">
        <f t="shared" si="16"/>
        <v>-</v>
      </c>
      <c r="P57" s="547"/>
    </row>
    <row r="58" spans="2:16" s="35" customFormat="1" hidden="1" outlineLevel="2" x14ac:dyDescent="0.3">
      <c r="B58" s="556"/>
      <c r="C58" s="171" t="s">
        <v>918</v>
      </c>
      <c r="D58" s="565"/>
      <c r="E58" s="565"/>
      <c r="F58" s="565"/>
      <c r="G58" s="565"/>
      <c r="H58" s="566">
        <f>SUMIF(Adjustment!$L$5:$L$24,Lists!$L$36,Adjustment!M$5:M$24)</f>
        <v>0</v>
      </c>
      <c r="I58" s="567" t="str">
        <f t="shared" si="13"/>
        <v>-</v>
      </c>
      <c r="J58" s="566">
        <f>SUMIF(Adjustment!$L$5:$L$24,Lists!$L$36,Adjustment!N$5:N$24)</f>
        <v>0</v>
      </c>
      <c r="K58" s="567" t="str">
        <f t="shared" si="14"/>
        <v>-</v>
      </c>
      <c r="L58" s="566">
        <f>SUMIF(Adjustment!$L$5:$L$24,Lists!$L$36,Adjustment!O$5:O$24)</f>
        <v>0</v>
      </c>
      <c r="M58" s="567" t="str">
        <f t="shared" si="15"/>
        <v>-</v>
      </c>
      <c r="N58" s="566">
        <f>SUMIF(Adjustment!$L$5:$L$24,Lists!$L$36,Adjustment!P$5:P$24)</f>
        <v>0</v>
      </c>
      <c r="O58" s="567" t="str">
        <f t="shared" si="16"/>
        <v>-</v>
      </c>
      <c r="P58" s="557"/>
    </row>
    <row r="59" spans="2:16" outlineLevel="1" collapsed="1" x14ac:dyDescent="0.3">
      <c r="B59" s="544"/>
      <c r="C59" s="502"/>
      <c r="D59" s="502"/>
      <c r="E59" s="502"/>
      <c r="F59" s="502"/>
      <c r="G59" s="502"/>
      <c r="H59" s="672"/>
      <c r="I59" s="562"/>
      <c r="J59" s="672"/>
      <c r="K59" s="562"/>
      <c r="L59" s="672"/>
      <c r="M59" s="562"/>
      <c r="N59" s="672"/>
      <c r="O59" s="562"/>
      <c r="P59" s="547"/>
    </row>
    <row r="60" spans="2:16" x14ac:dyDescent="0.3">
      <c r="B60" s="544"/>
      <c r="C60" s="545" t="s">
        <v>4469</v>
      </c>
      <c r="D60" s="502"/>
      <c r="E60" s="502"/>
      <c r="F60" s="502"/>
      <c r="G60" s="502"/>
      <c r="H60" s="568">
        <f>SUM(H36,H44,H49,H51)</f>
        <v>0</v>
      </c>
      <c r="I60" s="569" t="str">
        <f>IF(H$149=0,"-",H60/H$149)</f>
        <v>-</v>
      </c>
      <c r="J60" s="568">
        <f>SUM(J36,J44,J49,J51)</f>
        <v>0</v>
      </c>
      <c r="K60" s="569" t="str">
        <f>IF(J$149=0,"-",J60/J$149)</f>
        <v>-</v>
      </c>
      <c r="L60" s="568">
        <f>SUM(L36,L44,L49,L51)</f>
        <v>0</v>
      </c>
      <c r="M60" s="569" t="str">
        <f>IF(L$149=0,"-",L60/L$149)</f>
        <v>-</v>
      </c>
      <c r="N60" s="568">
        <f>SUM(N36,N44,N49,N51)</f>
        <v>0</v>
      </c>
      <c r="O60" s="569" t="str">
        <f>IF(N$149=0,"-",N60/N$149)</f>
        <v>-</v>
      </c>
      <c r="P60" s="547"/>
    </row>
    <row r="61" spans="2:16" ht="13.5" thickBot="1" x14ac:dyDescent="0.35">
      <c r="B61" s="549"/>
      <c r="C61" s="550"/>
      <c r="D61" s="550"/>
      <c r="E61" s="550"/>
      <c r="F61" s="550"/>
      <c r="G61" s="550"/>
      <c r="H61" s="550"/>
      <c r="I61" s="550"/>
      <c r="J61" s="550"/>
      <c r="K61" s="550"/>
      <c r="L61" s="570"/>
      <c r="M61" s="550"/>
      <c r="N61" s="550"/>
      <c r="O61" s="550"/>
      <c r="P61" s="551"/>
    </row>
    <row r="62" spans="2:16" ht="13.5" thickBot="1" x14ac:dyDescent="0.35">
      <c r="B62" s="760"/>
      <c r="C62" s="760"/>
      <c r="D62" s="760"/>
      <c r="E62" s="760"/>
      <c r="F62" s="760"/>
      <c r="G62" s="760"/>
      <c r="H62" s="761"/>
      <c r="I62" s="762"/>
      <c r="J62" s="761"/>
      <c r="K62" s="762"/>
      <c r="L62" s="761"/>
      <c r="M62" s="762"/>
      <c r="N62" s="761"/>
      <c r="O62" s="762"/>
      <c r="P62" s="62"/>
    </row>
    <row r="63" spans="2:16" x14ac:dyDescent="0.3">
      <c r="B63" s="541"/>
      <c r="C63" s="542"/>
      <c r="D63" s="542"/>
      <c r="E63" s="542"/>
      <c r="F63" s="542"/>
      <c r="G63" s="542"/>
      <c r="H63" s="561"/>
      <c r="I63" s="561"/>
      <c r="J63" s="561"/>
      <c r="K63" s="561"/>
      <c r="L63" s="561"/>
      <c r="M63" s="561"/>
      <c r="N63" s="561"/>
      <c r="O63" s="561"/>
      <c r="P63" s="543"/>
    </row>
    <row r="64" spans="2:16" x14ac:dyDescent="0.3">
      <c r="B64" s="544"/>
      <c r="C64" s="545" t="s">
        <v>265</v>
      </c>
      <c r="D64" s="62"/>
      <c r="E64" s="62"/>
      <c r="F64" s="62"/>
      <c r="G64" s="62"/>
      <c r="H64" s="673"/>
      <c r="I64" s="674"/>
      <c r="J64" s="673"/>
      <c r="K64" s="674"/>
      <c r="L64" s="673"/>
      <c r="M64" s="674"/>
      <c r="N64" s="673"/>
      <c r="O64" s="674"/>
      <c r="P64" s="547"/>
    </row>
    <row r="65" spans="2:17" outlineLevel="1" x14ac:dyDescent="0.3">
      <c r="B65" s="544"/>
      <c r="C65" s="62" t="s">
        <v>266</v>
      </c>
      <c r="D65" s="62"/>
      <c r="E65" s="62"/>
      <c r="F65" s="62"/>
      <c r="G65" s="62"/>
      <c r="H65" s="672">
        <f>SUM(H66:H73)</f>
        <v>0</v>
      </c>
      <c r="I65" s="562" t="str">
        <f t="shared" ref="I65:I98" si="17">IF(H$149=0,"-",H65/H$149)</f>
        <v>-</v>
      </c>
      <c r="J65" s="672">
        <f>SUM(J66:J73)</f>
        <v>0</v>
      </c>
      <c r="K65" s="562" t="str">
        <f t="shared" ref="K65:K98" si="18">IF(J$149=0,"-",J65/J$149)</f>
        <v>-</v>
      </c>
      <c r="L65" s="672">
        <f>SUM(L66:L73)</f>
        <v>0</v>
      </c>
      <c r="M65" s="562" t="str">
        <f t="shared" ref="M65:M98" si="19">IF(L$149=0,"-",L65/L$149)</f>
        <v>-</v>
      </c>
      <c r="N65" s="672">
        <f>SUM(N66:N73)</f>
        <v>0</v>
      </c>
      <c r="O65" s="562" t="str">
        <f t="shared" ref="O65:O98" si="20">IF(N$149=0,"-",N65/N$149)</f>
        <v>-</v>
      </c>
      <c r="P65" s="547"/>
    </row>
    <row r="66" spans="2:17" hidden="1" outlineLevel="2" x14ac:dyDescent="0.3">
      <c r="B66" s="544"/>
      <c r="C66" s="62" t="s">
        <v>272</v>
      </c>
      <c r="D66" s="62"/>
      <c r="E66" s="62"/>
      <c r="F66" s="62"/>
      <c r="G66" s="62"/>
      <c r="H66" s="672">
        <f>'Non-Life Risk'!E23</f>
        <v>0</v>
      </c>
      <c r="I66" s="562" t="str">
        <f t="shared" si="17"/>
        <v>-</v>
      </c>
      <c r="J66" s="672">
        <f>'Non-Life Risk'!F23</f>
        <v>0</v>
      </c>
      <c r="K66" s="562" t="str">
        <f t="shared" si="18"/>
        <v>-</v>
      </c>
      <c r="L66" s="672">
        <f>'Non-Life Risk'!G23</f>
        <v>0</v>
      </c>
      <c r="M66" s="562" t="str">
        <f t="shared" si="19"/>
        <v>-</v>
      </c>
      <c r="N66" s="672">
        <f>'Non-Life Risk'!H23</f>
        <v>0</v>
      </c>
      <c r="O66" s="562" t="str">
        <f t="shared" si="20"/>
        <v>-</v>
      </c>
      <c r="P66" s="547"/>
    </row>
    <row r="67" spans="2:17" hidden="1" outlineLevel="2" x14ac:dyDescent="0.3">
      <c r="B67" s="544"/>
      <c r="C67" s="62" t="s">
        <v>270</v>
      </c>
      <c r="D67" s="62"/>
      <c r="E67" s="62"/>
      <c r="F67" s="62"/>
      <c r="G67" s="62"/>
      <c r="H67" s="672">
        <f>'Non-Life Risk'!E24</f>
        <v>0</v>
      </c>
      <c r="I67" s="562" t="str">
        <f t="shared" si="17"/>
        <v>-</v>
      </c>
      <c r="J67" s="672">
        <f>'Non-Life Risk'!F24</f>
        <v>0</v>
      </c>
      <c r="K67" s="562" t="str">
        <f t="shared" si="18"/>
        <v>-</v>
      </c>
      <c r="L67" s="672">
        <f>'Non-Life Risk'!G24</f>
        <v>0</v>
      </c>
      <c r="M67" s="562" t="str">
        <f t="shared" si="19"/>
        <v>-</v>
      </c>
      <c r="N67" s="672">
        <f>'Non-Life Risk'!H24</f>
        <v>0</v>
      </c>
      <c r="O67" s="562" t="str">
        <f t="shared" si="20"/>
        <v>-</v>
      </c>
      <c r="P67" s="547"/>
    </row>
    <row r="68" spans="2:17" hidden="1" outlineLevel="2" x14ac:dyDescent="0.3">
      <c r="B68" s="544"/>
      <c r="C68" s="62" t="s">
        <v>271</v>
      </c>
      <c r="D68" s="62"/>
      <c r="E68" s="62"/>
      <c r="F68" s="62"/>
      <c r="G68" s="62"/>
      <c r="H68" s="672">
        <f>'Non-Life Risk'!E25</f>
        <v>0</v>
      </c>
      <c r="I68" s="562" t="str">
        <f t="shared" si="17"/>
        <v>-</v>
      </c>
      <c r="J68" s="672">
        <f>'Non-Life Risk'!F25</f>
        <v>0</v>
      </c>
      <c r="K68" s="562" t="str">
        <f t="shared" si="18"/>
        <v>-</v>
      </c>
      <c r="L68" s="672">
        <f>'Non-Life Risk'!G25</f>
        <v>0</v>
      </c>
      <c r="M68" s="562" t="str">
        <f t="shared" si="19"/>
        <v>-</v>
      </c>
      <c r="N68" s="672">
        <f>'Non-Life Risk'!H25</f>
        <v>0</v>
      </c>
      <c r="O68" s="562" t="str">
        <f t="shared" si="20"/>
        <v>-</v>
      </c>
      <c r="P68" s="547"/>
    </row>
    <row r="69" spans="2:17" hidden="1" outlineLevel="2" x14ac:dyDescent="0.3">
      <c r="B69" s="544"/>
      <c r="C69" s="62" t="s">
        <v>273</v>
      </c>
      <c r="D69" s="62"/>
      <c r="E69" s="62"/>
      <c r="F69" s="62"/>
      <c r="G69" s="62"/>
      <c r="H69" s="672">
        <f>'Non-Life Risk'!E26-H73</f>
        <v>0</v>
      </c>
      <c r="I69" s="562" t="str">
        <f t="shared" si="17"/>
        <v>-</v>
      </c>
      <c r="J69" s="672">
        <f>'Non-Life Risk'!F26-J73</f>
        <v>0</v>
      </c>
      <c r="K69" s="562" t="str">
        <f t="shared" si="18"/>
        <v>-</v>
      </c>
      <c r="L69" s="672">
        <f>'Non-Life Risk'!G26-L73</f>
        <v>0</v>
      </c>
      <c r="M69" s="562" t="str">
        <f t="shared" si="19"/>
        <v>-</v>
      </c>
      <c r="N69" s="672">
        <f>'Non-Life Risk'!H26-N73</f>
        <v>0</v>
      </c>
      <c r="O69" s="562" t="str">
        <f t="shared" si="20"/>
        <v>-</v>
      </c>
      <c r="P69" s="547"/>
    </row>
    <row r="70" spans="2:17" hidden="1" outlineLevel="2" x14ac:dyDescent="0.3">
      <c r="B70" s="544"/>
      <c r="C70" s="62" t="s">
        <v>274</v>
      </c>
      <c r="D70" s="62"/>
      <c r="E70" s="62"/>
      <c r="F70" s="62"/>
      <c r="G70" s="62"/>
      <c r="H70" s="672">
        <f>'Non-Life Risk'!E27</f>
        <v>0</v>
      </c>
      <c r="I70" s="562" t="str">
        <f t="shared" si="17"/>
        <v>-</v>
      </c>
      <c r="J70" s="672">
        <f>'Non-Life Risk'!F27</f>
        <v>0</v>
      </c>
      <c r="K70" s="562" t="str">
        <f t="shared" si="18"/>
        <v>-</v>
      </c>
      <c r="L70" s="672">
        <f>'Non-Life Risk'!G27</f>
        <v>0</v>
      </c>
      <c r="M70" s="562" t="str">
        <f t="shared" si="19"/>
        <v>-</v>
      </c>
      <c r="N70" s="672">
        <f>'Non-Life Risk'!H27</f>
        <v>0</v>
      </c>
      <c r="O70" s="562" t="str">
        <f t="shared" si="20"/>
        <v>-</v>
      </c>
      <c r="P70" s="547"/>
    </row>
    <row r="71" spans="2:17" hidden="1" outlineLevel="2" x14ac:dyDescent="0.3">
      <c r="B71" s="544"/>
      <c r="C71" s="62" t="s">
        <v>976</v>
      </c>
      <c r="D71" s="62"/>
      <c r="E71" s="62"/>
      <c r="F71" s="62"/>
      <c r="G71" s="62"/>
      <c r="H71" s="672">
        <f>'Non-Life Risk'!E28</f>
        <v>0</v>
      </c>
      <c r="I71" s="562" t="str">
        <f t="shared" si="17"/>
        <v>-</v>
      </c>
      <c r="J71" s="672">
        <f>'Non-Life Risk'!F28</f>
        <v>0</v>
      </c>
      <c r="K71" s="562" t="str">
        <f t="shared" si="18"/>
        <v>-</v>
      </c>
      <c r="L71" s="672">
        <f>'Non-Life Risk'!G28</f>
        <v>0</v>
      </c>
      <c r="M71" s="562" t="str">
        <f t="shared" si="19"/>
        <v>-</v>
      </c>
      <c r="N71" s="672">
        <f>'Non-Life Risk'!H28</f>
        <v>0</v>
      </c>
      <c r="O71" s="562" t="str">
        <f t="shared" si="20"/>
        <v>-</v>
      </c>
      <c r="P71" s="547"/>
    </row>
    <row r="72" spans="2:17" hidden="1" outlineLevel="2" x14ac:dyDescent="0.3">
      <c r="B72" s="544"/>
      <c r="C72" s="62" t="s">
        <v>275</v>
      </c>
      <c r="D72" s="62"/>
      <c r="E72" s="62"/>
      <c r="F72" s="62"/>
      <c r="G72" s="62"/>
      <c r="H72" s="672">
        <f>'Non-Life Risk'!E29</f>
        <v>0</v>
      </c>
      <c r="I72" s="562" t="str">
        <f t="shared" si="17"/>
        <v>-</v>
      </c>
      <c r="J72" s="672">
        <f>'Non-Life Risk'!F29</f>
        <v>0</v>
      </c>
      <c r="K72" s="562" t="str">
        <f t="shared" si="18"/>
        <v>-</v>
      </c>
      <c r="L72" s="672">
        <f>'Non-Life Risk'!G29</f>
        <v>0</v>
      </c>
      <c r="M72" s="562" t="str">
        <f t="shared" si="19"/>
        <v>-</v>
      </c>
      <c r="N72" s="672">
        <f>'Non-Life Risk'!H29</f>
        <v>0</v>
      </c>
      <c r="O72" s="562" t="str">
        <f t="shared" si="20"/>
        <v>-</v>
      </c>
      <c r="P72" s="547"/>
    </row>
    <row r="73" spans="2:17" hidden="1" outlineLevel="2" x14ac:dyDescent="0.3">
      <c r="B73" s="544"/>
      <c r="C73" s="171" t="s">
        <v>294</v>
      </c>
      <c r="D73" s="62"/>
      <c r="E73" s="62"/>
      <c r="F73" s="62"/>
      <c r="G73" s="62"/>
      <c r="H73" s="672">
        <f>'Non-Life Risk'!W8</f>
        <v>0</v>
      </c>
      <c r="I73" s="562" t="str">
        <f t="shared" si="17"/>
        <v>-</v>
      </c>
      <c r="J73" s="672">
        <f>'Non-Life Risk'!X8</f>
        <v>0</v>
      </c>
      <c r="K73" s="562" t="str">
        <f t="shared" si="18"/>
        <v>-</v>
      </c>
      <c r="L73" s="672">
        <f>'Non-Life Risk'!Y8</f>
        <v>0</v>
      </c>
      <c r="M73" s="562" t="str">
        <f t="shared" si="19"/>
        <v>-</v>
      </c>
      <c r="N73" s="672">
        <f>'Non-Life Risk'!Z8</f>
        <v>0</v>
      </c>
      <c r="O73" s="562" t="str">
        <f t="shared" si="20"/>
        <v>-</v>
      </c>
      <c r="P73" s="547"/>
      <c r="Q73" s="36"/>
    </row>
    <row r="74" spans="2:17" outlineLevel="1" collapsed="1" x14ac:dyDescent="0.3">
      <c r="B74" s="544"/>
      <c r="C74" s="62" t="s">
        <v>267</v>
      </c>
      <c r="D74" s="62"/>
      <c r="E74" s="62"/>
      <c r="F74" s="62"/>
      <c r="G74" s="62"/>
      <c r="H74" s="672">
        <f>SUM(H75:H82)</f>
        <v>0</v>
      </c>
      <c r="I74" s="562" t="str">
        <f t="shared" si="17"/>
        <v>-</v>
      </c>
      <c r="J74" s="672">
        <f>SUM(J75:J82)</f>
        <v>0</v>
      </c>
      <c r="K74" s="562" t="str">
        <f t="shared" si="18"/>
        <v>-</v>
      </c>
      <c r="L74" s="672">
        <f>SUM(L75:L82)</f>
        <v>0</v>
      </c>
      <c r="M74" s="562" t="str">
        <f t="shared" si="19"/>
        <v>-</v>
      </c>
      <c r="N74" s="672">
        <f>SUM(N75:N82)</f>
        <v>0</v>
      </c>
      <c r="O74" s="562" t="str">
        <f t="shared" si="20"/>
        <v>-</v>
      </c>
      <c r="P74" s="547"/>
    </row>
    <row r="75" spans="2:17" hidden="1" outlineLevel="2" x14ac:dyDescent="0.3">
      <c r="B75" s="544"/>
      <c r="C75" s="62" t="s">
        <v>272</v>
      </c>
      <c r="D75" s="62"/>
      <c r="E75" s="62"/>
      <c r="F75" s="62"/>
      <c r="G75" s="62"/>
      <c r="H75" s="672">
        <f>'Non-Life Risk'!E171</f>
        <v>0</v>
      </c>
      <c r="I75" s="562" t="str">
        <f t="shared" si="17"/>
        <v>-</v>
      </c>
      <c r="J75" s="672">
        <f>'Non-Life Risk'!F171</f>
        <v>0</v>
      </c>
      <c r="K75" s="562" t="str">
        <f t="shared" si="18"/>
        <v>-</v>
      </c>
      <c r="L75" s="672">
        <f>'Non-Life Risk'!G171</f>
        <v>0</v>
      </c>
      <c r="M75" s="562" t="str">
        <f t="shared" si="19"/>
        <v>-</v>
      </c>
      <c r="N75" s="672">
        <f>'Non-Life Risk'!H171</f>
        <v>0</v>
      </c>
      <c r="O75" s="562" t="str">
        <f t="shared" si="20"/>
        <v>-</v>
      </c>
      <c r="P75" s="547"/>
    </row>
    <row r="76" spans="2:17" hidden="1" outlineLevel="2" x14ac:dyDescent="0.3">
      <c r="B76" s="544"/>
      <c r="C76" s="62" t="s">
        <v>270</v>
      </c>
      <c r="D76" s="62"/>
      <c r="E76" s="62"/>
      <c r="F76" s="62"/>
      <c r="G76" s="62"/>
      <c r="H76" s="672">
        <f>'Non-Life Risk'!E172</f>
        <v>0</v>
      </c>
      <c r="I76" s="562" t="str">
        <f t="shared" si="17"/>
        <v>-</v>
      </c>
      <c r="J76" s="672">
        <f>'Non-Life Risk'!F172</f>
        <v>0</v>
      </c>
      <c r="K76" s="562" t="str">
        <f t="shared" si="18"/>
        <v>-</v>
      </c>
      <c r="L76" s="672">
        <f>'Non-Life Risk'!G172</f>
        <v>0</v>
      </c>
      <c r="M76" s="562" t="str">
        <f t="shared" si="19"/>
        <v>-</v>
      </c>
      <c r="N76" s="672">
        <f>'Non-Life Risk'!H172</f>
        <v>0</v>
      </c>
      <c r="O76" s="562" t="str">
        <f t="shared" si="20"/>
        <v>-</v>
      </c>
      <c r="P76" s="547"/>
    </row>
    <row r="77" spans="2:17" hidden="1" outlineLevel="2" x14ac:dyDescent="0.3">
      <c r="B77" s="544"/>
      <c r="C77" s="62" t="s">
        <v>271</v>
      </c>
      <c r="D77" s="62"/>
      <c r="E77" s="62"/>
      <c r="F77" s="62"/>
      <c r="G77" s="62"/>
      <c r="H77" s="672">
        <f>'Non-Life Risk'!E173</f>
        <v>0</v>
      </c>
      <c r="I77" s="562" t="str">
        <f t="shared" si="17"/>
        <v>-</v>
      </c>
      <c r="J77" s="672">
        <f>'Non-Life Risk'!F173</f>
        <v>0</v>
      </c>
      <c r="K77" s="562" t="str">
        <f t="shared" si="18"/>
        <v>-</v>
      </c>
      <c r="L77" s="672">
        <f>'Non-Life Risk'!G173</f>
        <v>0</v>
      </c>
      <c r="M77" s="562" t="str">
        <f t="shared" si="19"/>
        <v>-</v>
      </c>
      <c r="N77" s="672">
        <f>'Non-Life Risk'!H173</f>
        <v>0</v>
      </c>
      <c r="O77" s="562" t="str">
        <f t="shared" si="20"/>
        <v>-</v>
      </c>
      <c r="P77" s="547"/>
    </row>
    <row r="78" spans="2:17" hidden="1" outlineLevel="2" x14ac:dyDescent="0.3">
      <c r="B78" s="544"/>
      <c r="C78" s="62" t="s">
        <v>273</v>
      </c>
      <c r="D78" s="62"/>
      <c r="E78" s="62"/>
      <c r="F78" s="62"/>
      <c r="G78" s="62"/>
      <c r="H78" s="672">
        <f>'Non-Life Risk'!E174-H82</f>
        <v>0</v>
      </c>
      <c r="I78" s="562" t="str">
        <f t="shared" si="17"/>
        <v>-</v>
      </c>
      <c r="J78" s="672">
        <f>'Non-Life Risk'!F174-J82</f>
        <v>0</v>
      </c>
      <c r="K78" s="562" t="str">
        <f t="shared" si="18"/>
        <v>-</v>
      </c>
      <c r="L78" s="672">
        <f>'Non-Life Risk'!G174-L82</f>
        <v>0</v>
      </c>
      <c r="M78" s="562" t="str">
        <f t="shared" si="19"/>
        <v>-</v>
      </c>
      <c r="N78" s="672">
        <f>'Non-Life Risk'!H174-N82</f>
        <v>0</v>
      </c>
      <c r="O78" s="562" t="str">
        <f t="shared" si="20"/>
        <v>-</v>
      </c>
      <c r="P78" s="547"/>
    </row>
    <row r="79" spans="2:17" hidden="1" outlineLevel="2" x14ac:dyDescent="0.3">
      <c r="B79" s="544"/>
      <c r="C79" s="62" t="s">
        <v>274</v>
      </c>
      <c r="D79" s="62"/>
      <c r="E79" s="62"/>
      <c r="F79" s="62"/>
      <c r="G79" s="62"/>
      <c r="H79" s="672">
        <f>'Non-Life Risk'!E175</f>
        <v>0</v>
      </c>
      <c r="I79" s="562" t="str">
        <f t="shared" si="17"/>
        <v>-</v>
      </c>
      <c r="J79" s="672">
        <f>'Non-Life Risk'!F175</f>
        <v>0</v>
      </c>
      <c r="K79" s="562" t="str">
        <f t="shared" si="18"/>
        <v>-</v>
      </c>
      <c r="L79" s="672">
        <f>'Non-Life Risk'!G175</f>
        <v>0</v>
      </c>
      <c r="M79" s="562" t="str">
        <f t="shared" si="19"/>
        <v>-</v>
      </c>
      <c r="N79" s="672">
        <f>'Non-Life Risk'!H175</f>
        <v>0</v>
      </c>
      <c r="O79" s="562" t="str">
        <f t="shared" si="20"/>
        <v>-</v>
      </c>
      <c r="P79" s="547"/>
    </row>
    <row r="80" spans="2:17" hidden="1" outlineLevel="2" x14ac:dyDescent="0.3">
      <c r="B80" s="544"/>
      <c r="C80" s="62" t="s">
        <v>976</v>
      </c>
      <c r="D80" s="62"/>
      <c r="E80" s="62"/>
      <c r="F80" s="62"/>
      <c r="G80" s="62"/>
      <c r="H80" s="672">
        <f>'Non-Life Risk'!E176</f>
        <v>0</v>
      </c>
      <c r="I80" s="562" t="str">
        <f t="shared" si="17"/>
        <v>-</v>
      </c>
      <c r="J80" s="672">
        <f>'Non-Life Risk'!F176</f>
        <v>0</v>
      </c>
      <c r="K80" s="562" t="str">
        <f t="shared" si="18"/>
        <v>-</v>
      </c>
      <c r="L80" s="672">
        <f>'Non-Life Risk'!G176</f>
        <v>0</v>
      </c>
      <c r="M80" s="562" t="str">
        <f t="shared" si="19"/>
        <v>-</v>
      </c>
      <c r="N80" s="672">
        <f>'Non-Life Risk'!H176</f>
        <v>0</v>
      </c>
      <c r="O80" s="562" t="str">
        <f t="shared" si="20"/>
        <v>-</v>
      </c>
      <c r="P80" s="547"/>
    </row>
    <row r="81" spans="2:17" hidden="1" outlineLevel="2" x14ac:dyDescent="0.3">
      <c r="B81" s="544"/>
      <c r="C81" s="62" t="s">
        <v>275</v>
      </c>
      <c r="D81" s="62"/>
      <c r="E81" s="62"/>
      <c r="F81" s="62"/>
      <c r="G81" s="62"/>
      <c r="H81" s="672">
        <f>'Non-Life Risk'!E177</f>
        <v>0</v>
      </c>
      <c r="I81" s="562" t="str">
        <f t="shared" si="17"/>
        <v>-</v>
      </c>
      <c r="J81" s="672">
        <f>'Non-Life Risk'!F177</f>
        <v>0</v>
      </c>
      <c r="K81" s="562" t="str">
        <f t="shared" si="18"/>
        <v>-</v>
      </c>
      <c r="L81" s="672">
        <f>'Non-Life Risk'!G177</f>
        <v>0</v>
      </c>
      <c r="M81" s="562" t="str">
        <f t="shared" si="19"/>
        <v>-</v>
      </c>
      <c r="N81" s="672">
        <f>'Non-Life Risk'!H177</f>
        <v>0</v>
      </c>
      <c r="O81" s="562" t="str">
        <f t="shared" si="20"/>
        <v>-</v>
      </c>
      <c r="P81" s="547"/>
    </row>
    <row r="82" spans="2:17" hidden="1" outlineLevel="2" x14ac:dyDescent="0.3">
      <c r="B82" s="544"/>
      <c r="C82" s="171" t="s">
        <v>294</v>
      </c>
      <c r="D82" s="62"/>
      <c r="E82" s="62"/>
      <c r="F82" s="62"/>
      <c r="G82" s="62"/>
      <c r="H82" s="672">
        <f>'Non-Life Risk'!W14</f>
        <v>0</v>
      </c>
      <c r="I82" s="562" t="str">
        <f t="shared" si="17"/>
        <v>-</v>
      </c>
      <c r="J82" s="672">
        <f>'Non-Life Risk'!X14</f>
        <v>0</v>
      </c>
      <c r="K82" s="562" t="str">
        <f t="shared" si="18"/>
        <v>-</v>
      </c>
      <c r="L82" s="672">
        <f>'Non-Life Risk'!Y14</f>
        <v>0</v>
      </c>
      <c r="M82" s="562" t="str">
        <f t="shared" si="19"/>
        <v>-</v>
      </c>
      <c r="N82" s="672">
        <f>'Non-Life Risk'!Z14</f>
        <v>0</v>
      </c>
      <c r="O82" s="562" t="str">
        <f t="shared" si="20"/>
        <v>-</v>
      </c>
      <c r="P82" s="547"/>
      <c r="Q82" s="36"/>
    </row>
    <row r="83" spans="2:17" outlineLevel="1" collapsed="1" x14ac:dyDescent="0.3">
      <c r="B83" s="544"/>
      <c r="C83" s="62" t="s">
        <v>312</v>
      </c>
      <c r="D83" s="62"/>
      <c r="E83" s="62"/>
      <c r="F83" s="62"/>
      <c r="G83" s="62"/>
      <c r="H83" s="672">
        <f>H84+H85</f>
        <v>0</v>
      </c>
      <c r="I83" s="562" t="str">
        <f t="shared" si="17"/>
        <v>-</v>
      </c>
      <c r="J83" s="672">
        <f>J84+J85</f>
        <v>0</v>
      </c>
      <c r="K83" s="562" t="str">
        <f t="shared" si="18"/>
        <v>-</v>
      </c>
      <c r="L83" s="672">
        <f>L84+L85</f>
        <v>0</v>
      </c>
      <c r="M83" s="562" t="str">
        <f t="shared" si="19"/>
        <v>-</v>
      </c>
      <c r="N83" s="672">
        <f>N84+N85</f>
        <v>0</v>
      </c>
      <c r="O83" s="562" t="str">
        <f t="shared" si="20"/>
        <v>-</v>
      </c>
      <c r="P83" s="547"/>
    </row>
    <row r="84" spans="2:17" hidden="1" outlineLevel="2" x14ac:dyDescent="0.3">
      <c r="B84" s="544"/>
      <c r="C84" s="62" t="s">
        <v>4116</v>
      </c>
      <c r="D84" s="62"/>
      <c r="E84" s="62"/>
      <c r="F84" s="62"/>
      <c r="G84" s="62"/>
      <c r="H84" s="672">
        <f>'Nat Cat Risk'!D21</f>
        <v>0</v>
      </c>
      <c r="I84" s="562" t="str">
        <f t="shared" si="17"/>
        <v>-</v>
      </c>
      <c r="J84" s="672">
        <f>'Nat Cat Risk'!E21</f>
        <v>0</v>
      </c>
      <c r="K84" s="562" t="str">
        <f t="shared" si="18"/>
        <v>-</v>
      </c>
      <c r="L84" s="672">
        <f>'Nat Cat Risk'!F21</f>
        <v>0</v>
      </c>
      <c r="M84" s="562" t="str">
        <f t="shared" si="19"/>
        <v>-</v>
      </c>
      <c r="N84" s="672">
        <f>'Nat Cat Risk'!G21</f>
        <v>0</v>
      </c>
      <c r="O84" s="562" t="str">
        <f t="shared" si="20"/>
        <v>-</v>
      </c>
      <c r="P84" s="547"/>
    </row>
    <row r="85" spans="2:17" hidden="1" outlineLevel="2" x14ac:dyDescent="0.3">
      <c r="B85" s="544"/>
      <c r="C85" s="62" t="s">
        <v>4117</v>
      </c>
      <c r="D85" s="62"/>
      <c r="E85" s="62"/>
      <c r="F85" s="62"/>
      <c r="G85" s="62"/>
      <c r="H85" s="672">
        <f>'Nat Cat Risk'!D34</f>
        <v>0</v>
      </c>
      <c r="I85" s="562" t="str">
        <f t="shared" si="17"/>
        <v>-</v>
      </c>
      <c r="J85" s="672">
        <f>'Nat Cat Risk'!E34</f>
        <v>0</v>
      </c>
      <c r="K85" s="562" t="str">
        <f t="shared" si="18"/>
        <v>-</v>
      </c>
      <c r="L85" s="672">
        <f>'Nat Cat Risk'!F34</f>
        <v>0</v>
      </c>
      <c r="M85" s="562" t="str">
        <f t="shared" si="19"/>
        <v>-</v>
      </c>
      <c r="N85" s="672">
        <f>'Nat Cat Risk'!G34</f>
        <v>0</v>
      </c>
      <c r="O85" s="562" t="str">
        <f t="shared" si="20"/>
        <v>-</v>
      </c>
      <c r="P85" s="547"/>
    </row>
    <row r="86" spans="2:17" outlineLevel="1" collapsed="1" x14ac:dyDescent="0.3">
      <c r="B86" s="544"/>
      <c r="C86" s="62" t="s">
        <v>299</v>
      </c>
      <c r="D86" s="62"/>
      <c r="E86" s="62"/>
      <c r="F86" s="62"/>
      <c r="G86" s="62"/>
      <c r="H86" s="672">
        <f>SUM(H87:H88,H91,H95:H98)</f>
        <v>0</v>
      </c>
      <c r="I86" s="562" t="str">
        <f t="shared" si="17"/>
        <v>-</v>
      </c>
      <c r="J86" s="672">
        <f>SUM(J87:J88,J91,J95:J98)</f>
        <v>0</v>
      </c>
      <c r="K86" s="562" t="str">
        <f t="shared" si="18"/>
        <v>-</v>
      </c>
      <c r="L86" s="672">
        <f>SUM(L87:L88,L91,L95:L98)</f>
        <v>0</v>
      </c>
      <c r="M86" s="562" t="str">
        <f t="shared" si="19"/>
        <v>-</v>
      </c>
      <c r="N86" s="672">
        <f>SUM(N87:N88,N91,N95:N98)</f>
        <v>0</v>
      </c>
      <c r="O86" s="562" t="str">
        <f t="shared" si="20"/>
        <v>-</v>
      </c>
      <c r="P86" s="547"/>
    </row>
    <row r="87" spans="2:17" hidden="1" outlineLevel="2" x14ac:dyDescent="0.3">
      <c r="B87" s="544"/>
      <c r="C87" s="501" t="s">
        <v>827</v>
      </c>
      <c r="D87" s="62"/>
      <c r="E87" s="62"/>
      <c r="F87" s="62"/>
      <c r="G87" s="62"/>
      <c r="H87" s="672">
        <f>'Life Risk'!D40</f>
        <v>0</v>
      </c>
      <c r="I87" s="562" t="str">
        <f t="shared" si="17"/>
        <v>-</v>
      </c>
      <c r="J87" s="672">
        <f>'Life Risk'!E40</f>
        <v>0</v>
      </c>
      <c r="K87" s="562" t="str">
        <f t="shared" si="18"/>
        <v>-</v>
      </c>
      <c r="L87" s="672">
        <f>'Life Risk'!F40</f>
        <v>0</v>
      </c>
      <c r="M87" s="562" t="str">
        <f t="shared" si="19"/>
        <v>-</v>
      </c>
      <c r="N87" s="672">
        <f>'Life Risk'!G40</f>
        <v>0</v>
      </c>
      <c r="O87" s="562" t="str">
        <f t="shared" si="20"/>
        <v>-</v>
      </c>
      <c r="P87" s="547"/>
    </row>
    <row r="88" spans="2:17" hidden="1" outlineLevel="2" x14ac:dyDescent="0.3">
      <c r="B88" s="544"/>
      <c r="C88" s="501" t="s">
        <v>413</v>
      </c>
      <c r="D88" s="62"/>
      <c r="E88" s="62"/>
      <c r="F88" s="62"/>
      <c r="G88" s="62"/>
      <c r="H88" s="672">
        <f>H89+H90</f>
        <v>0</v>
      </c>
      <c r="I88" s="562" t="str">
        <f t="shared" si="17"/>
        <v>-</v>
      </c>
      <c r="J88" s="672">
        <f>J89+J90</f>
        <v>0</v>
      </c>
      <c r="K88" s="562" t="str">
        <f t="shared" si="18"/>
        <v>-</v>
      </c>
      <c r="L88" s="672">
        <f>L89+L90</f>
        <v>0</v>
      </c>
      <c r="M88" s="562" t="str">
        <f t="shared" si="19"/>
        <v>-</v>
      </c>
      <c r="N88" s="672">
        <f>N89+N90</f>
        <v>0</v>
      </c>
      <c r="O88" s="562" t="str">
        <f t="shared" si="20"/>
        <v>-</v>
      </c>
      <c r="P88" s="547"/>
    </row>
    <row r="89" spans="2:17" hidden="1" outlineLevel="2" x14ac:dyDescent="0.3">
      <c r="B89" s="544"/>
      <c r="C89" s="501" t="s">
        <v>4115</v>
      </c>
      <c r="D89" s="62"/>
      <c r="E89" s="62"/>
      <c r="F89" s="62"/>
      <c r="G89" s="62"/>
      <c r="H89" s="672">
        <f>'Life Risk'!D45</f>
        <v>0</v>
      </c>
      <c r="I89" s="562" t="str">
        <f t="shared" si="17"/>
        <v>-</v>
      </c>
      <c r="J89" s="672">
        <f>'Life Risk'!E45</f>
        <v>0</v>
      </c>
      <c r="K89" s="562" t="str">
        <f t="shared" si="18"/>
        <v>-</v>
      </c>
      <c r="L89" s="672">
        <f>'Life Risk'!F45</f>
        <v>0</v>
      </c>
      <c r="M89" s="562" t="str">
        <f t="shared" si="19"/>
        <v>-</v>
      </c>
      <c r="N89" s="672">
        <f>'Life Risk'!G45</f>
        <v>0</v>
      </c>
      <c r="O89" s="562" t="str">
        <f t="shared" si="20"/>
        <v>-</v>
      </c>
      <c r="P89" s="547"/>
    </row>
    <row r="90" spans="2:17" hidden="1" outlineLevel="2" x14ac:dyDescent="0.3">
      <c r="B90" s="544"/>
      <c r="C90" s="171" t="s">
        <v>4114</v>
      </c>
      <c r="D90" s="62"/>
      <c r="E90" s="62"/>
      <c r="F90" s="62"/>
      <c r="G90" s="62"/>
      <c r="H90" s="672">
        <f>'Life Risk'!D49</f>
        <v>0</v>
      </c>
      <c r="I90" s="562" t="str">
        <f t="shared" si="17"/>
        <v>-</v>
      </c>
      <c r="J90" s="672">
        <f>'Life Risk'!E49</f>
        <v>0</v>
      </c>
      <c r="K90" s="562" t="str">
        <f t="shared" si="18"/>
        <v>-</v>
      </c>
      <c r="L90" s="672">
        <f>'Life Risk'!F49</f>
        <v>0</v>
      </c>
      <c r="M90" s="562" t="str">
        <f t="shared" si="19"/>
        <v>-</v>
      </c>
      <c r="N90" s="672">
        <f>'Life Risk'!G49</f>
        <v>0</v>
      </c>
      <c r="O90" s="562" t="str">
        <f t="shared" si="20"/>
        <v>-</v>
      </c>
      <c r="P90" s="547"/>
    </row>
    <row r="91" spans="2:17" s="36" customFormat="1" hidden="1" outlineLevel="2" x14ac:dyDescent="0.3">
      <c r="B91" s="571"/>
      <c r="C91" s="501" t="s">
        <v>300</v>
      </c>
      <c r="D91" s="171"/>
      <c r="E91" s="171"/>
      <c r="F91" s="171"/>
      <c r="G91" s="171"/>
      <c r="H91" s="566">
        <f>'Life Risk'!D106</f>
        <v>0</v>
      </c>
      <c r="I91" s="562" t="str">
        <f t="shared" si="17"/>
        <v>-</v>
      </c>
      <c r="J91" s="566">
        <f>'Life Risk'!E106</f>
        <v>0</v>
      </c>
      <c r="K91" s="562" t="str">
        <f t="shared" si="18"/>
        <v>-</v>
      </c>
      <c r="L91" s="566">
        <f>'Life Risk'!F106</f>
        <v>0</v>
      </c>
      <c r="M91" s="562" t="str">
        <f t="shared" si="19"/>
        <v>-</v>
      </c>
      <c r="N91" s="566">
        <f>'Life Risk'!G106</f>
        <v>0</v>
      </c>
      <c r="O91" s="562" t="str">
        <f t="shared" si="20"/>
        <v>-</v>
      </c>
      <c r="P91" s="572"/>
    </row>
    <row r="92" spans="2:17" hidden="1" outlineLevel="2" x14ac:dyDescent="0.3">
      <c r="B92" s="544"/>
      <c r="C92" s="501" t="s">
        <v>814</v>
      </c>
      <c r="D92" s="62"/>
      <c r="E92" s="62"/>
      <c r="F92" s="62"/>
      <c r="G92" s="62"/>
      <c r="H92" s="672">
        <f>'Life Risk'!D103</f>
        <v>0</v>
      </c>
      <c r="I92" s="562" t="str">
        <f t="shared" si="17"/>
        <v>-</v>
      </c>
      <c r="J92" s="672">
        <f>'Life Risk'!E103</f>
        <v>0</v>
      </c>
      <c r="K92" s="562" t="str">
        <f t="shared" si="18"/>
        <v>-</v>
      </c>
      <c r="L92" s="672">
        <f>'Life Risk'!F103</f>
        <v>0</v>
      </c>
      <c r="M92" s="562" t="str">
        <f t="shared" si="19"/>
        <v>-</v>
      </c>
      <c r="N92" s="672">
        <f>'Life Risk'!G103</f>
        <v>0</v>
      </c>
      <c r="O92" s="562" t="str">
        <f t="shared" si="20"/>
        <v>-</v>
      </c>
      <c r="P92" s="547"/>
    </row>
    <row r="93" spans="2:17" hidden="1" outlineLevel="2" x14ac:dyDescent="0.3">
      <c r="B93" s="544"/>
      <c r="C93" s="501" t="s">
        <v>815</v>
      </c>
      <c r="D93" s="62"/>
      <c r="E93" s="62"/>
      <c r="F93" s="62"/>
      <c r="G93" s="62"/>
      <c r="H93" s="672">
        <f>'Life Risk'!D104</f>
        <v>0</v>
      </c>
      <c r="I93" s="562" t="str">
        <f t="shared" si="17"/>
        <v>-</v>
      </c>
      <c r="J93" s="672">
        <f>'Life Risk'!E104</f>
        <v>0</v>
      </c>
      <c r="K93" s="562" t="str">
        <f t="shared" si="18"/>
        <v>-</v>
      </c>
      <c r="L93" s="672">
        <f>'Life Risk'!F104</f>
        <v>0</v>
      </c>
      <c r="M93" s="562" t="str">
        <f t="shared" si="19"/>
        <v>-</v>
      </c>
      <c r="N93" s="672">
        <f>'Life Risk'!G104</f>
        <v>0</v>
      </c>
      <c r="O93" s="562" t="str">
        <f t="shared" si="20"/>
        <v>-</v>
      </c>
      <c r="P93" s="547"/>
    </row>
    <row r="94" spans="2:17" hidden="1" outlineLevel="2" x14ac:dyDescent="0.3">
      <c r="B94" s="544"/>
      <c r="C94" s="501" t="s">
        <v>1471</v>
      </c>
      <c r="D94" s="62"/>
      <c r="E94" s="62"/>
      <c r="F94" s="62"/>
      <c r="G94" s="62"/>
      <c r="H94" s="672">
        <f>'Life Risk'!D105</f>
        <v>0</v>
      </c>
      <c r="I94" s="562" t="str">
        <f t="shared" si="17"/>
        <v>-</v>
      </c>
      <c r="J94" s="672">
        <f>'Life Risk'!E105</f>
        <v>0</v>
      </c>
      <c r="K94" s="562" t="str">
        <f t="shared" si="18"/>
        <v>-</v>
      </c>
      <c r="L94" s="672">
        <f>'Life Risk'!F105</f>
        <v>0</v>
      </c>
      <c r="M94" s="562" t="str">
        <f t="shared" si="19"/>
        <v>-</v>
      </c>
      <c r="N94" s="672">
        <f>'Life Risk'!G105</f>
        <v>0</v>
      </c>
      <c r="O94" s="562" t="str">
        <f t="shared" si="20"/>
        <v>-</v>
      </c>
      <c r="P94" s="547"/>
    </row>
    <row r="95" spans="2:17" hidden="1" outlineLevel="2" x14ac:dyDescent="0.3">
      <c r="B95" s="544"/>
      <c r="C95" s="501" t="s">
        <v>301</v>
      </c>
      <c r="D95" s="62"/>
      <c r="E95" s="62"/>
      <c r="F95" s="62"/>
      <c r="G95" s="62"/>
      <c r="H95" s="672">
        <f>'Life Risk'!D119</f>
        <v>0</v>
      </c>
      <c r="I95" s="562" t="str">
        <f t="shared" si="17"/>
        <v>-</v>
      </c>
      <c r="J95" s="672">
        <f>'Life Risk'!E119</f>
        <v>0</v>
      </c>
      <c r="K95" s="562" t="str">
        <f t="shared" si="18"/>
        <v>-</v>
      </c>
      <c r="L95" s="672">
        <f>'Life Risk'!F119</f>
        <v>0</v>
      </c>
      <c r="M95" s="562" t="str">
        <f t="shared" si="19"/>
        <v>-</v>
      </c>
      <c r="N95" s="672">
        <f>'Life Risk'!G119</f>
        <v>0</v>
      </c>
      <c r="O95" s="562" t="str">
        <f t="shared" si="20"/>
        <v>-</v>
      </c>
      <c r="P95" s="547"/>
    </row>
    <row r="96" spans="2:17" hidden="1" outlineLevel="2" x14ac:dyDescent="0.3">
      <c r="B96" s="544"/>
      <c r="C96" s="62" t="s">
        <v>788</v>
      </c>
      <c r="D96" s="62"/>
      <c r="E96" s="62"/>
      <c r="F96" s="62"/>
      <c r="G96" s="62"/>
      <c r="H96" s="672">
        <f>'Life Risk'!D160-'Life Risk'!D161</f>
        <v>0</v>
      </c>
      <c r="I96" s="562" t="str">
        <f t="shared" si="17"/>
        <v>-</v>
      </c>
      <c r="J96" s="672">
        <f>'Life Risk'!E160-'Life Risk'!E161</f>
        <v>0</v>
      </c>
      <c r="K96" s="562" t="str">
        <f t="shared" si="18"/>
        <v>-</v>
      </c>
      <c r="L96" s="672">
        <f>'Life Risk'!F160-'Life Risk'!F161</f>
        <v>0</v>
      </c>
      <c r="M96" s="562" t="str">
        <f t="shared" si="19"/>
        <v>-</v>
      </c>
      <c r="N96" s="672">
        <f>'Life Risk'!G160-'Life Risk'!G161</f>
        <v>0</v>
      </c>
      <c r="O96" s="562" t="str">
        <f t="shared" si="20"/>
        <v>-</v>
      </c>
      <c r="P96" s="547"/>
    </row>
    <row r="97" spans="2:17" hidden="1" outlineLevel="2" x14ac:dyDescent="0.3">
      <c r="B97" s="544"/>
      <c r="C97" s="62" t="s">
        <v>4138</v>
      </c>
      <c r="D97" s="62"/>
      <c r="E97" s="62"/>
      <c r="F97" s="62"/>
      <c r="G97" s="62"/>
      <c r="H97" s="672">
        <f>'Life Risk'!D184</f>
        <v>0</v>
      </c>
      <c r="I97" s="562" t="str">
        <f t="shared" si="17"/>
        <v>-</v>
      </c>
      <c r="J97" s="672">
        <f>'Life Risk'!E184</f>
        <v>0</v>
      </c>
      <c r="K97" s="562" t="str">
        <f t="shared" si="18"/>
        <v>-</v>
      </c>
      <c r="L97" s="672">
        <f>'Life Risk'!F184</f>
        <v>0</v>
      </c>
      <c r="M97" s="562" t="str">
        <f t="shared" si="19"/>
        <v>-</v>
      </c>
      <c r="N97" s="672">
        <f>'Life Risk'!G184</f>
        <v>0</v>
      </c>
      <c r="O97" s="562" t="str">
        <f t="shared" si="20"/>
        <v>-</v>
      </c>
      <c r="P97" s="547"/>
    </row>
    <row r="98" spans="2:17" hidden="1" outlineLevel="2" x14ac:dyDescent="0.3">
      <c r="B98" s="544"/>
      <c r="C98" s="171" t="s">
        <v>896</v>
      </c>
      <c r="D98" s="171"/>
      <c r="E98" s="171"/>
      <c r="F98" s="171"/>
      <c r="G98" s="171"/>
      <c r="H98" s="566">
        <f>'Life Risk'!D174</f>
        <v>0</v>
      </c>
      <c r="I98" s="562" t="str">
        <f t="shared" si="17"/>
        <v>-</v>
      </c>
      <c r="J98" s="566">
        <f>'Life Risk'!E174</f>
        <v>0</v>
      </c>
      <c r="K98" s="562" t="str">
        <f t="shared" si="18"/>
        <v>-</v>
      </c>
      <c r="L98" s="566">
        <f>'Life Risk'!F174</f>
        <v>0</v>
      </c>
      <c r="M98" s="562" t="str">
        <f t="shared" si="19"/>
        <v>-</v>
      </c>
      <c r="N98" s="566">
        <f>'Life Risk'!G174</f>
        <v>0</v>
      </c>
      <c r="O98" s="562" t="str">
        <f t="shared" si="20"/>
        <v>-</v>
      </c>
      <c r="P98" s="547"/>
    </row>
    <row r="99" spans="2:17" outlineLevel="1" collapsed="1" x14ac:dyDescent="0.3">
      <c r="B99" s="544"/>
      <c r="C99" s="62"/>
      <c r="D99" s="62"/>
      <c r="E99" s="62"/>
      <c r="F99" s="62"/>
      <c r="G99" s="62"/>
      <c r="H99" s="672"/>
      <c r="I99" s="562"/>
      <c r="J99" s="672"/>
      <c r="K99" s="562"/>
      <c r="L99" s="672"/>
      <c r="M99" s="562"/>
      <c r="N99" s="672"/>
      <c r="O99" s="562"/>
      <c r="P99" s="547"/>
    </row>
    <row r="100" spans="2:17" outlineLevel="1" x14ac:dyDescent="0.3">
      <c r="B100" s="544"/>
      <c r="C100" s="62" t="s">
        <v>2151</v>
      </c>
      <c r="D100" s="62"/>
      <c r="E100" s="62"/>
      <c r="F100" s="62"/>
      <c r="G100" s="62"/>
      <c r="H100" s="672">
        <f>SUM(H101,H102,H103,H111,H119,H122:H127)</f>
        <v>0</v>
      </c>
      <c r="I100" s="562" t="str">
        <f t="shared" ref="I100:I129" si="21">IF(H$149=0,"-",H100/H$149)</f>
        <v>-</v>
      </c>
      <c r="J100" s="672">
        <f>SUM(J101,J102,J103,J111,J119,J122:J127)</f>
        <v>0</v>
      </c>
      <c r="K100" s="562" t="str">
        <f t="shared" ref="K100:K129" si="22">IF(J$149=0,"-",J100/J$149)</f>
        <v>-</v>
      </c>
      <c r="L100" s="672">
        <f>SUM(L101,L102,L103,L111,L119,L122:L127)</f>
        <v>0</v>
      </c>
      <c r="M100" s="562" t="str">
        <f t="shared" ref="M100:M129" si="23">IF(L$149=0,"-",L100/L$149)</f>
        <v>-</v>
      </c>
      <c r="N100" s="672">
        <f>SUM(N101,N102,N103,N111,N119,N122:N127)</f>
        <v>0</v>
      </c>
      <c r="O100" s="562" t="str">
        <f t="shared" ref="O100:O129" si="24">IF(N$149=0,"-",N100/N$149)</f>
        <v>-</v>
      </c>
      <c r="P100" s="547"/>
      <c r="Q100" s="36"/>
    </row>
    <row r="101" spans="2:17" hidden="1" outlineLevel="2" x14ac:dyDescent="0.3">
      <c r="B101" s="544"/>
      <c r="C101" s="564" t="s">
        <v>1402</v>
      </c>
      <c r="D101" s="502"/>
      <c r="E101" s="502"/>
      <c r="F101" s="502"/>
      <c r="G101" s="502"/>
      <c r="H101" s="672">
        <f>SUMIF(Adjustment!$L$5:$L$24,Lists!$L$13,Adjustment!M$5:M$24)</f>
        <v>0</v>
      </c>
      <c r="I101" s="562" t="str">
        <f t="shared" si="21"/>
        <v>-</v>
      </c>
      <c r="J101" s="672">
        <f>SUMIF(Adjustment!$L$5:$L$24,Lists!$L$13,Adjustment!N$5:N$24)</f>
        <v>0</v>
      </c>
      <c r="K101" s="562" t="str">
        <f t="shared" si="22"/>
        <v>-</v>
      </c>
      <c r="L101" s="672">
        <f>SUMIF(Adjustment!$L$5:$L$24,Lists!$L$13,Adjustment!O$5:O$24)</f>
        <v>0</v>
      </c>
      <c r="M101" s="562" t="str">
        <f t="shared" si="23"/>
        <v>-</v>
      </c>
      <c r="N101" s="672">
        <f>SUMIF(Adjustment!$L$5:$L$24,Lists!$L$13,Adjustment!P$5:P$24)</f>
        <v>0</v>
      </c>
      <c r="O101" s="562" t="str">
        <f t="shared" si="24"/>
        <v>-</v>
      </c>
      <c r="P101" s="547"/>
      <c r="Q101" s="36"/>
    </row>
    <row r="102" spans="2:17" hidden="1" outlineLevel="2" x14ac:dyDescent="0.3">
      <c r="B102" s="544"/>
      <c r="C102" s="62" t="s">
        <v>367</v>
      </c>
      <c r="D102" s="502"/>
      <c r="E102" s="502"/>
      <c r="F102" s="502"/>
      <c r="G102" s="502"/>
      <c r="H102" s="672">
        <f>'Non-Life Risk'!E6</f>
        <v>0</v>
      </c>
      <c r="I102" s="562" t="str">
        <f t="shared" si="21"/>
        <v>-</v>
      </c>
      <c r="J102" s="672">
        <f>'Non-Life Risk'!F6</f>
        <v>0</v>
      </c>
      <c r="K102" s="562" t="str">
        <f t="shared" si="22"/>
        <v>-</v>
      </c>
      <c r="L102" s="672">
        <f>'Non-Life Risk'!G6</f>
        <v>0</v>
      </c>
      <c r="M102" s="562" t="str">
        <f t="shared" si="23"/>
        <v>-</v>
      </c>
      <c r="N102" s="672">
        <f>'Non-Life Risk'!H6</f>
        <v>0</v>
      </c>
      <c r="O102" s="562" t="str">
        <f t="shared" si="24"/>
        <v>-</v>
      </c>
      <c r="P102" s="547"/>
      <c r="Q102" s="36"/>
    </row>
    <row r="103" spans="2:17" hidden="1" outlineLevel="2" x14ac:dyDescent="0.3">
      <c r="B103" s="544"/>
      <c r="C103" s="62" t="s">
        <v>365</v>
      </c>
      <c r="D103" s="502"/>
      <c r="E103" s="502"/>
      <c r="F103" s="502"/>
      <c r="G103" s="502"/>
      <c r="H103" s="672">
        <f>SUM(H104:H110)+Diversification!D96</f>
        <v>0</v>
      </c>
      <c r="I103" s="562" t="str">
        <f t="shared" si="21"/>
        <v>-</v>
      </c>
      <c r="J103" s="672">
        <f>SUM(J104:J110)+Diversification!E96</f>
        <v>0</v>
      </c>
      <c r="K103" s="562" t="str">
        <f t="shared" si="22"/>
        <v>-</v>
      </c>
      <c r="L103" s="672">
        <f>SUM(L104:L110)+Diversification!F96</f>
        <v>0</v>
      </c>
      <c r="M103" s="562" t="str">
        <f t="shared" si="23"/>
        <v>-</v>
      </c>
      <c r="N103" s="672">
        <f>SUM(N104:N110)+Diversification!G96</f>
        <v>0</v>
      </c>
      <c r="O103" s="562" t="str">
        <f t="shared" si="24"/>
        <v>-</v>
      </c>
      <c r="P103" s="547"/>
    </row>
    <row r="104" spans="2:17" hidden="1" outlineLevel="2" x14ac:dyDescent="0.3">
      <c r="B104" s="544"/>
      <c r="C104" s="62" t="s">
        <v>870</v>
      </c>
      <c r="D104" s="62"/>
      <c r="E104" s="62"/>
      <c r="F104" s="62"/>
      <c r="G104" s="62"/>
      <c r="H104" s="672">
        <f>'Non-Life Risk'!E8</f>
        <v>0</v>
      </c>
      <c r="I104" s="562" t="str">
        <f t="shared" si="21"/>
        <v>-</v>
      </c>
      <c r="J104" s="672">
        <f>'Non-Life Risk'!F8</f>
        <v>0</v>
      </c>
      <c r="K104" s="562" t="str">
        <f t="shared" si="22"/>
        <v>-</v>
      </c>
      <c r="L104" s="672">
        <f>'Non-Life Risk'!G8</f>
        <v>0</v>
      </c>
      <c r="M104" s="562" t="str">
        <f t="shared" si="23"/>
        <v>-</v>
      </c>
      <c r="N104" s="672">
        <f>'Non-Life Risk'!H8</f>
        <v>0</v>
      </c>
      <c r="O104" s="562" t="str">
        <f t="shared" si="24"/>
        <v>-</v>
      </c>
      <c r="P104" s="547"/>
    </row>
    <row r="105" spans="2:17" hidden="1" outlineLevel="2" x14ac:dyDescent="0.3">
      <c r="B105" s="544"/>
      <c r="C105" s="62" t="s">
        <v>868</v>
      </c>
      <c r="D105" s="62"/>
      <c r="E105" s="62"/>
      <c r="F105" s="62"/>
      <c r="G105" s="62"/>
      <c r="H105" s="672">
        <f>'Non-Life Risk'!E9</f>
        <v>0</v>
      </c>
      <c r="I105" s="562" t="str">
        <f t="shared" si="21"/>
        <v>-</v>
      </c>
      <c r="J105" s="672">
        <f>'Non-Life Risk'!F9</f>
        <v>0</v>
      </c>
      <c r="K105" s="562" t="str">
        <f t="shared" si="22"/>
        <v>-</v>
      </c>
      <c r="L105" s="672">
        <f>'Non-Life Risk'!G9</f>
        <v>0</v>
      </c>
      <c r="M105" s="562" t="str">
        <f t="shared" si="23"/>
        <v>-</v>
      </c>
      <c r="N105" s="672">
        <f>'Non-Life Risk'!H9</f>
        <v>0</v>
      </c>
      <c r="O105" s="562" t="str">
        <f t="shared" si="24"/>
        <v>-</v>
      </c>
      <c r="P105" s="547"/>
    </row>
    <row r="106" spans="2:17" hidden="1" outlineLevel="2" x14ac:dyDescent="0.3">
      <c r="B106" s="544"/>
      <c r="C106" s="62" t="s">
        <v>869</v>
      </c>
      <c r="D106" s="62"/>
      <c r="E106" s="62"/>
      <c r="F106" s="62"/>
      <c r="G106" s="62"/>
      <c r="H106" s="672">
        <f>'Non-Life Risk'!E10</f>
        <v>0</v>
      </c>
      <c r="I106" s="562" t="str">
        <f t="shared" si="21"/>
        <v>-</v>
      </c>
      <c r="J106" s="672">
        <f>'Non-Life Risk'!F10</f>
        <v>0</v>
      </c>
      <c r="K106" s="562" t="str">
        <f t="shared" si="22"/>
        <v>-</v>
      </c>
      <c r="L106" s="672">
        <f>'Non-Life Risk'!G10</f>
        <v>0</v>
      </c>
      <c r="M106" s="562" t="str">
        <f t="shared" si="23"/>
        <v>-</v>
      </c>
      <c r="N106" s="672">
        <f>'Non-Life Risk'!H10</f>
        <v>0</v>
      </c>
      <c r="O106" s="562" t="str">
        <f t="shared" si="24"/>
        <v>-</v>
      </c>
      <c r="P106" s="547"/>
    </row>
    <row r="107" spans="2:17" hidden="1" outlineLevel="2" x14ac:dyDescent="0.3">
      <c r="B107" s="544"/>
      <c r="C107" s="62" t="s">
        <v>871</v>
      </c>
      <c r="D107" s="62"/>
      <c r="E107" s="62"/>
      <c r="F107" s="62"/>
      <c r="G107" s="62"/>
      <c r="H107" s="672">
        <f>'Non-Life Risk'!E11</f>
        <v>0</v>
      </c>
      <c r="I107" s="562" t="str">
        <f t="shared" si="21"/>
        <v>-</v>
      </c>
      <c r="J107" s="672">
        <f>'Non-Life Risk'!F11</f>
        <v>0</v>
      </c>
      <c r="K107" s="562" t="str">
        <f t="shared" si="22"/>
        <v>-</v>
      </c>
      <c r="L107" s="672">
        <f>'Non-Life Risk'!G11</f>
        <v>0</v>
      </c>
      <c r="M107" s="562" t="str">
        <f t="shared" si="23"/>
        <v>-</v>
      </c>
      <c r="N107" s="672">
        <f>'Non-Life Risk'!H11</f>
        <v>0</v>
      </c>
      <c r="O107" s="562" t="str">
        <f t="shared" si="24"/>
        <v>-</v>
      </c>
      <c r="P107" s="547"/>
      <c r="Q107" s="36"/>
    </row>
    <row r="108" spans="2:17" hidden="1" outlineLevel="2" x14ac:dyDescent="0.3">
      <c r="B108" s="544"/>
      <c r="C108" s="62" t="s">
        <v>872</v>
      </c>
      <c r="D108" s="62"/>
      <c r="E108" s="62"/>
      <c r="F108" s="62"/>
      <c r="G108" s="62"/>
      <c r="H108" s="672">
        <f>'Non-Life Risk'!E12</f>
        <v>0</v>
      </c>
      <c r="I108" s="562" t="str">
        <f t="shared" si="21"/>
        <v>-</v>
      </c>
      <c r="J108" s="672">
        <f>'Non-Life Risk'!F12</f>
        <v>0</v>
      </c>
      <c r="K108" s="562" t="str">
        <f t="shared" si="22"/>
        <v>-</v>
      </c>
      <c r="L108" s="672">
        <f>'Non-Life Risk'!G12</f>
        <v>0</v>
      </c>
      <c r="M108" s="562" t="str">
        <f t="shared" si="23"/>
        <v>-</v>
      </c>
      <c r="N108" s="672">
        <f>'Non-Life Risk'!H12</f>
        <v>0</v>
      </c>
      <c r="O108" s="562" t="str">
        <f t="shared" si="24"/>
        <v>-</v>
      </c>
      <c r="P108" s="547"/>
      <c r="Q108" s="36"/>
    </row>
    <row r="109" spans="2:17" hidden="1" outlineLevel="2" x14ac:dyDescent="0.3">
      <c r="B109" s="544"/>
      <c r="C109" s="62" t="s">
        <v>977</v>
      </c>
      <c r="D109" s="62"/>
      <c r="E109" s="62"/>
      <c r="F109" s="62"/>
      <c r="G109" s="62"/>
      <c r="H109" s="672">
        <f>'Non-Life Risk'!E13</f>
        <v>0</v>
      </c>
      <c r="I109" s="562" t="str">
        <f t="shared" si="21"/>
        <v>-</v>
      </c>
      <c r="J109" s="672">
        <f>'Non-Life Risk'!F13</f>
        <v>0</v>
      </c>
      <c r="K109" s="562" t="str">
        <f t="shared" si="22"/>
        <v>-</v>
      </c>
      <c r="L109" s="672">
        <f>'Non-Life Risk'!G13</f>
        <v>0</v>
      </c>
      <c r="M109" s="562" t="str">
        <f t="shared" si="23"/>
        <v>-</v>
      </c>
      <c r="N109" s="672">
        <f>'Non-Life Risk'!H13</f>
        <v>0</v>
      </c>
      <c r="O109" s="562" t="str">
        <f t="shared" si="24"/>
        <v>-</v>
      </c>
      <c r="P109" s="547"/>
    </row>
    <row r="110" spans="2:17" hidden="1" outlineLevel="2" x14ac:dyDescent="0.3">
      <c r="B110" s="544"/>
      <c r="C110" s="62" t="s">
        <v>873</v>
      </c>
      <c r="D110" s="62"/>
      <c r="E110" s="62"/>
      <c r="F110" s="62"/>
      <c r="G110" s="62"/>
      <c r="H110" s="672">
        <f>'Non-Life Risk'!E14</f>
        <v>0</v>
      </c>
      <c r="I110" s="562" t="str">
        <f t="shared" si="21"/>
        <v>-</v>
      </c>
      <c r="J110" s="672">
        <f>'Non-Life Risk'!F14</f>
        <v>0</v>
      </c>
      <c r="K110" s="562" t="str">
        <f t="shared" si="22"/>
        <v>-</v>
      </c>
      <c r="L110" s="672">
        <f>'Non-Life Risk'!G14</f>
        <v>0</v>
      </c>
      <c r="M110" s="562" t="str">
        <f t="shared" si="23"/>
        <v>-</v>
      </c>
      <c r="N110" s="672">
        <f>'Non-Life Risk'!H14</f>
        <v>0</v>
      </c>
      <c r="O110" s="562" t="str">
        <f t="shared" si="24"/>
        <v>-</v>
      </c>
      <c r="P110" s="547"/>
    </row>
    <row r="111" spans="2:17" hidden="1" outlineLevel="2" x14ac:dyDescent="0.3">
      <c r="B111" s="544"/>
      <c r="C111" s="62" t="s">
        <v>366</v>
      </c>
      <c r="D111" s="502"/>
      <c r="E111" s="502"/>
      <c r="F111" s="502"/>
      <c r="G111" s="502"/>
      <c r="H111" s="672">
        <f>SUM(H112:H118)+Diversification!D97</f>
        <v>0</v>
      </c>
      <c r="I111" s="562" t="str">
        <f t="shared" si="21"/>
        <v>-</v>
      </c>
      <c r="J111" s="672">
        <f>SUM(J112:J118)+Diversification!E97</f>
        <v>0</v>
      </c>
      <c r="K111" s="562" t="str">
        <f t="shared" si="22"/>
        <v>-</v>
      </c>
      <c r="L111" s="672">
        <f>SUM(L112:L118)+Diversification!F97</f>
        <v>0</v>
      </c>
      <c r="M111" s="562" t="str">
        <f t="shared" si="23"/>
        <v>-</v>
      </c>
      <c r="N111" s="672">
        <f>SUM(N112:N118)+Diversification!G97</f>
        <v>0</v>
      </c>
      <c r="O111" s="562" t="str">
        <f t="shared" si="24"/>
        <v>-</v>
      </c>
      <c r="P111" s="547"/>
    </row>
    <row r="112" spans="2:17" hidden="1" outlineLevel="2" x14ac:dyDescent="0.3">
      <c r="B112" s="544"/>
      <c r="C112" s="62" t="s">
        <v>870</v>
      </c>
      <c r="D112" s="62"/>
      <c r="E112" s="62"/>
      <c r="F112" s="62"/>
      <c r="G112" s="62"/>
      <c r="H112" s="672">
        <f>'Non-Life Risk'!N8</f>
        <v>0</v>
      </c>
      <c r="I112" s="562" t="str">
        <f t="shared" si="21"/>
        <v>-</v>
      </c>
      <c r="J112" s="672">
        <f>'Non-Life Risk'!O8</f>
        <v>0</v>
      </c>
      <c r="K112" s="562" t="str">
        <f t="shared" si="22"/>
        <v>-</v>
      </c>
      <c r="L112" s="672">
        <f>'Non-Life Risk'!P8</f>
        <v>0</v>
      </c>
      <c r="M112" s="562" t="str">
        <f t="shared" si="23"/>
        <v>-</v>
      </c>
      <c r="N112" s="672">
        <f>'Non-Life Risk'!Q8</f>
        <v>0</v>
      </c>
      <c r="O112" s="562" t="str">
        <f t="shared" si="24"/>
        <v>-</v>
      </c>
      <c r="P112" s="547"/>
    </row>
    <row r="113" spans="2:17" hidden="1" outlineLevel="2" x14ac:dyDescent="0.3">
      <c r="B113" s="544"/>
      <c r="C113" s="62" t="s">
        <v>868</v>
      </c>
      <c r="D113" s="62"/>
      <c r="E113" s="62"/>
      <c r="F113" s="62"/>
      <c r="G113" s="62"/>
      <c r="H113" s="672">
        <f>'Non-Life Risk'!N9</f>
        <v>0</v>
      </c>
      <c r="I113" s="562" t="str">
        <f t="shared" si="21"/>
        <v>-</v>
      </c>
      <c r="J113" s="672">
        <f>'Non-Life Risk'!O9</f>
        <v>0</v>
      </c>
      <c r="K113" s="562" t="str">
        <f t="shared" si="22"/>
        <v>-</v>
      </c>
      <c r="L113" s="672">
        <f>'Non-Life Risk'!P9</f>
        <v>0</v>
      </c>
      <c r="M113" s="562" t="str">
        <f t="shared" si="23"/>
        <v>-</v>
      </c>
      <c r="N113" s="672">
        <f>'Non-Life Risk'!Q9</f>
        <v>0</v>
      </c>
      <c r="O113" s="562" t="str">
        <f t="shared" si="24"/>
        <v>-</v>
      </c>
      <c r="P113" s="547"/>
    </row>
    <row r="114" spans="2:17" hidden="1" outlineLevel="2" x14ac:dyDescent="0.3">
      <c r="B114" s="544"/>
      <c r="C114" s="62" t="s">
        <v>869</v>
      </c>
      <c r="D114" s="62"/>
      <c r="E114" s="62"/>
      <c r="F114" s="62"/>
      <c r="G114" s="62"/>
      <c r="H114" s="672">
        <f>'Non-Life Risk'!N10</f>
        <v>0</v>
      </c>
      <c r="I114" s="562" t="str">
        <f t="shared" si="21"/>
        <v>-</v>
      </c>
      <c r="J114" s="672">
        <f>'Non-Life Risk'!O10</f>
        <v>0</v>
      </c>
      <c r="K114" s="562" t="str">
        <f t="shared" si="22"/>
        <v>-</v>
      </c>
      <c r="L114" s="672">
        <f>'Non-Life Risk'!P10</f>
        <v>0</v>
      </c>
      <c r="M114" s="562" t="str">
        <f t="shared" si="23"/>
        <v>-</v>
      </c>
      <c r="N114" s="672">
        <f>'Non-Life Risk'!Q10</f>
        <v>0</v>
      </c>
      <c r="O114" s="562" t="str">
        <f t="shared" si="24"/>
        <v>-</v>
      </c>
      <c r="P114" s="547"/>
    </row>
    <row r="115" spans="2:17" hidden="1" outlineLevel="2" x14ac:dyDescent="0.3">
      <c r="B115" s="544"/>
      <c r="C115" s="62" t="s">
        <v>871</v>
      </c>
      <c r="D115" s="62"/>
      <c r="E115" s="62"/>
      <c r="F115" s="62"/>
      <c r="G115" s="62"/>
      <c r="H115" s="672">
        <f>'Non-Life Risk'!N11</f>
        <v>0</v>
      </c>
      <c r="I115" s="562" t="str">
        <f t="shared" si="21"/>
        <v>-</v>
      </c>
      <c r="J115" s="672">
        <f>'Non-Life Risk'!O11</f>
        <v>0</v>
      </c>
      <c r="K115" s="562" t="str">
        <f t="shared" si="22"/>
        <v>-</v>
      </c>
      <c r="L115" s="672">
        <f>'Non-Life Risk'!P11</f>
        <v>0</v>
      </c>
      <c r="M115" s="562" t="str">
        <f t="shared" si="23"/>
        <v>-</v>
      </c>
      <c r="N115" s="672">
        <f>'Non-Life Risk'!Q11</f>
        <v>0</v>
      </c>
      <c r="O115" s="562" t="str">
        <f t="shared" si="24"/>
        <v>-</v>
      </c>
      <c r="P115" s="547"/>
      <c r="Q115" s="36"/>
    </row>
    <row r="116" spans="2:17" hidden="1" outlineLevel="2" x14ac:dyDescent="0.3">
      <c r="B116" s="544"/>
      <c r="C116" s="62" t="s">
        <v>872</v>
      </c>
      <c r="D116" s="62"/>
      <c r="E116" s="62"/>
      <c r="F116" s="62"/>
      <c r="G116" s="62"/>
      <c r="H116" s="672">
        <f>'Non-Life Risk'!N12</f>
        <v>0</v>
      </c>
      <c r="I116" s="562" t="str">
        <f t="shared" si="21"/>
        <v>-</v>
      </c>
      <c r="J116" s="672">
        <f>'Non-Life Risk'!O12</f>
        <v>0</v>
      </c>
      <c r="K116" s="562" t="str">
        <f t="shared" si="22"/>
        <v>-</v>
      </c>
      <c r="L116" s="672">
        <f>'Non-Life Risk'!P12</f>
        <v>0</v>
      </c>
      <c r="M116" s="562" t="str">
        <f t="shared" si="23"/>
        <v>-</v>
      </c>
      <c r="N116" s="672">
        <f>'Non-Life Risk'!Q12</f>
        <v>0</v>
      </c>
      <c r="O116" s="562" t="str">
        <f t="shared" si="24"/>
        <v>-</v>
      </c>
      <c r="P116" s="547"/>
      <c r="Q116" s="36"/>
    </row>
    <row r="117" spans="2:17" hidden="1" outlineLevel="2" x14ac:dyDescent="0.3">
      <c r="B117" s="544"/>
      <c r="C117" s="62" t="s">
        <v>977</v>
      </c>
      <c r="D117" s="62"/>
      <c r="E117" s="62"/>
      <c r="F117" s="62"/>
      <c r="G117" s="62"/>
      <c r="H117" s="672">
        <f>'Non-Life Risk'!N13</f>
        <v>0</v>
      </c>
      <c r="I117" s="562" t="str">
        <f t="shared" si="21"/>
        <v>-</v>
      </c>
      <c r="J117" s="672">
        <f>'Non-Life Risk'!O13</f>
        <v>0</v>
      </c>
      <c r="K117" s="562" t="str">
        <f t="shared" si="22"/>
        <v>-</v>
      </c>
      <c r="L117" s="672">
        <f>'Non-Life Risk'!P13</f>
        <v>0</v>
      </c>
      <c r="M117" s="562" t="str">
        <f t="shared" si="23"/>
        <v>-</v>
      </c>
      <c r="N117" s="672">
        <f>'Non-Life Risk'!Q13</f>
        <v>0</v>
      </c>
      <c r="O117" s="562" t="str">
        <f t="shared" si="24"/>
        <v>-</v>
      </c>
      <c r="P117" s="547"/>
    </row>
    <row r="118" spans="2:17" hidden="1" outlineLevel="2" x14ac:dyDescent="0.3">
      <c r="B118" s="544"/>
      <c r="C118" s="62" t="s">
        <v>873</v>
      </c>
      <c r="D118" s="62"/>
      <c r="E118" s="62"/>
      <c r="F118" s="62"/>
      <c r="G118" s="62"/>
      <c r="H118" s="672">
        <f>'Non-Life Risk'!N14</f>
        <v>0</v>
      </c>
      <c r="I118" s="562" t="str">
        <f t="shared" si="21"/>
        <v>-</v>
      </c>
      <c r="J118" s="672">
        <f>'Non-Life Risk'!O14</f>
        <v>0</v>
      </c>
      <c r="K118" s="562" t="str">
        <f t="shared" si="22"/>
        <v>-</v>
      </c>
      <c r="L118" s="672">
        <f>'Non-Life Risk'!P14</f>
        <v>0</v>
      </c>
      <c r="M118" s="562" t="str">
        <f t="shared" si="23"/>
        <v>-</v>
      </c>
      <c r="N118" s="672">
        <f>'Non-Life Risk'!Q14</f>
        <v>0</v>
      </c>
      <c r="O118" s="562" t="str">
        <f t="shared" si="24"/>
        <v>-</v>
      </c>
      <c r="P118" s="547"/>
    </row>
    <row r="119" spans="2:17" hidden="1" outlineLevel="2" x14ac:dyDescent="0.3">
      <c r="B119" s="544"/>
      <c r="C119" s="62" t="s">
        <v>369</v>
      </c>
      <c r="D119" s="502"/>
      <c r="E119" s="502"/>
      <c r="F119" s="502"/>
      <c r="G119" s="502"/>
      <c r="H119" s="672">
        <f>H120+H121</f>
        <v>0</v>
      </c>
      <c r="I119" s="562" t="str">
        <f t="shared" si="21"/>
        <v>-</v>
      </c>
      <c r="J119" s="672">
        <f>J120+J121</f>
        <v>0</v>
      </c>
      <c r="K119" s="562" t="str">
        <f t="shared" si="22"/>
        <v>-</v>
      </c>
      <c r="L119" s="672">
        <f>L120+L121</f>
        <v>0</v>
      </c>
      <c r="M119" s="562" t="str">
        <f t="shared" si="23"/>
        <v>-</v>
      </c>
      <c r="N119" s="672">
        <f>N120+N121</f>
        <v>0</v>
      </c>
      <c r="O119" s="562" t="str">
        <f t="shared" si="24"/>
        <v>-</v>
      </c>
      <c r="P119" s="547"/>
    </row>
    <row r="120" spans="2:17" hidden="1" outlineLevel="2" x14ac:dyDescent="0.3">
      <c r="B120" s="544"/>
      <c r="C120" s="62" t="s">
        <v>4125</v>
      </c>
      <c r="D120" s="62"/>
      <c r="E120" s="62"/>
      <c r="F120" s="62"/>
      <c r="G120" s="62"/>
      <c r="H120" s="672">
        <f>'Nat Cat Risk'!D22</f>
        <v>0</v>
      </c>
      <c r="I120" s="562" t="str">
        <f t="shared" si="21"/>
        <v>-</v>
      </c>
      <c r="J120" s="672">
        <f>'Nat Cat Risk'!E22</f>
        <v>0</v>
      </c>
      <c r="K120" s="562" t="str">
        <f t="shared" si="22"/>
        <v>-</v>
      </c>
      <c r="L120" s="672">
        <f>'Nat Cat Risk'!F22</f>
        <v>0</v>
      </c>
      <c r="M120" s="562" t="str">
        <f t="shared" si="23"/>
        <v>-</v>
      </c>
      <c r="N120" s="672">
        <f>'Nat Cat Risk'!G22</f>
        <v>0</v>
      </c>
      <c r="O120" s="562" t="str">
        <f t="shared" si="24"/>
        <v>-</v>
      </c>
      <c r="P120" s="547"/>
    </row>
    <row r="121" spans="2:17" hidden="1" outlineLevel="2" x14ac:dyDescent="0.3">
      <c r="B121" s="544"/>
      <c r="C121" s="62" t="s">
        <v>4126</v>
      </c>
      <c r="D121" s="62"/>
      <c r="E121" s="62"/>
      <c r="F121" s="62"/>
      <c r="G121" s="62"/>
      <c r="H121" s="672">
        <f>'Nat Cat Risk'!D35</f>
        <v>0</v>
      </c>
      <c r="I121" s="562" t="str">
        <f t="shared" si="21"/>
        <v>-</v>
      </c>
      <c r="J121" s="672">
        <f>'Nat Cat Risk'!E35</f>
        <v>0</v>
      </c>
      <c r="K121" s="562" t="str">
        <f t="shared" si="22"/>
        <v>-</v>
      </c>
      <c r="L121" s="672">
        <f>'Nat Cat Risk'!F35</f>
        <v>0</v>
      </c>
      <c r="M121" s="562" t="str">
        <f t="shared" si="23"/>
        <v>-</v>
      </c>
      <c r="N121" s="672">
        <f>'Nat Cat Risk'!G35</f>
        <v>0</v>
      </c>
      <c r="O121" s="562" t="str">
        <f t="shared" si="24"/>
        <v>-</v>
      </c>
      <c r="P121" s="547"/>
    </row>
    <row r="122" spans="2:17" hidden="1" outlineLevel="2" x14ac:dyDescent="0.3">
      <c r="B122" s="544"/>
      <c r="C122" s="62" t="s">
        <v>368</v>
      </c>
      <c r="D122" s="502"/>
      <c r="E122" s="502"/>
      <c r="F122" s="502"/>
      <c r="G122" s="502"/>
      <c r="H122" s="672">
        <f>'Life Risk'!D13</f>
        <v>0</v>
      </c>
      <c r="I122" s="562" t="str">
        <f t="shared" si="21"/>
        <v>-</v>
      </c>
      <c r="J122" s="672">
        <f>'Life Risk'!E13</f>
        <v>0</v>
      </c>
      <c r="K122" s="562" t="str">
        <f t="shared" si="22"/>
        <v>-</v>
      </c>
      <c r="L122" s="672">
        <f>'Life Risk'!F13</f>
        <v>0</v>
      </c>
      <c r="M122" s="562" t="str">
        <f t="shared" si="23"/>
        <v>-</v>
      </c>
      <c r="N122" s="672">
        <f>'Life Risk'!G13</f>
        <v>0</v>
      </c>
      <c r="O122" s="562" t="str">
        <f t="shared" si="24"/>
        <v>-</v>
      </c>
      <c r="P122" s="547"/>
    </row>
    <row r="123" spans="2:17" hidden="1" outlineLevel="2" x14ac:dyDescent="0.3">
      <c r="B123" s="544"/>
      <c r="C123" s="62" t="s">
        <v>827</v>
      </c>
      <c r="D123" s="502"/>
      <c r="E123" s="502"/>
      <c r="F123" s="502"/>
      <c r="G123" s="502"/>
      <c r="H123" s="672">
        <f>'Life Risk'!D41</f>
        <v>0</v>
      </c>
      <c r="I123" s="562" t="str">
        <f t="shared" si="21"/>
        <v>-</v>
      </c>
      <c r="J123" s="672">
        <f>'Life Risk'!E41</f>
        <v>0</v>
      </c>
      <c r="K123" s="562" t="str">
        <f t="shared" si="22"/>
        <v>-</v>
      </c>
      <c r="L123" s="672">
        <f>'Life Risk'!F41</f>
        <v>0</v>
      </c>
      <c r="M123" s="562" t="str">
        <f t="shared" si="23"/>
        <v>-</v>
      </c>
      <c r="N123" s="672">
        <f>'Life Risk'!G41</f>
        <v>0</v>
      </c>
      <c r="O123" s="562" t="str">
        <f t="shared" si="24"/>
        <v>-</v>
      </c>
      <c r="P123" s="547"/>
    </row>
    <row r="124" spans="2:17" hidden="1" outlineLevel="2" x14ac:dyDescent="0.3">
      <c r="B124" s="544"/>
      <c r="C124" s="62" t="s">
        <v>300</v>
      </c>
      <c r="D124" s="502"/>
      <c r="E124" s="502"/>
      <c r="F124" s="502"/>
      <c r="G124" s="502"/>
      <c r="H124" s="672">
        <f>'Life Risk'!D107</f>
        <v>0</v>
      </c>
      <c r="I124" s="562" t="str">
        <f t="shared" si="21"/>
        <v>-</v>
      </c>
      <c r="J124" s="672">
        <f>'Life Risk'!E107</f>
        <v>0</v>
      </c>
      <c r="K124" s="562" t="str">
        <f t="shared" si="22"/>
        <v>-</v>
      </c>
      <c r="L124" s="672">
        <f>'Life Risk'!F107</f>
        <v>0</v>
      </c>
      <c r="M124" s="562" t="str">
        <f t="shared" si="23"/>
        <v>-</v>
      </c>
      <c r="N124" s="672">
        <f>'Life Risk'!G107</f>
        <v>0</v>
      </c>
      <c r="O124" s="562" t="str">
        <f t="shared" si="24"/>
        <v>-</v>
      </c>
      <c r="P124" s="547"/>
    </row>
    <row r="125" spans="2:17" hidden="1" outlineLevel="2" x14ac:dyDescent="0.3">
      <c r="B125" s="544"/>
      <c r="C125" s="501" t="s">
        <v>301</v>
      </c>
      <c r="D125" s="502"/>
      <c r="E125" s="502"/>
      <c r="F125" s="502"/>
      <c r="G125" s="502"/>
      <c r="H125" s="672">
        <f>'Life Risk'!D120</f>
        <v>0</v>
      </c>
      <c r="I125" s="562" t="str">
        <f t="shared" si="21"/>
        <v>-</v>
      </c>
      <c r="J125" s="672">
        <f>'Life Risk'!E120</f>
        <v>0</v>
      </c>
      <c r="K125" s="562" t="str">
        <f t="shared" si="22"/>
        <v>-</v>
      </c>
      <c r="L125" s="672">
        <f>'Life Risk'!F120</f>
        <v>0</v>
      </c>
      <c r="M125" s="562" t="str">
        <f t="shared" si="23"/>
        <v>-</v>
      </c>
      <c r="N125" s="672">
        <f>'Life Risk'!G120</f>
        <v>0</v>
      </c>
      <c r="O125" s="562" t="str">
        <f t="shared" si="24"/>
        <v>-</v>
      </c>
      <c r="P125" s="547"/>
    </row>
    <row r="126" spans="2:17" hidden="1" outlineLevel="2" x14ac:dyDescent="0.3">
      <c r="B126" s="544"/>
      <c r="C126" s="62" t="s">
        <v>788</v>
      </c>
      <c r="D126" s="502"/>
      <c r="E126" s="502"/>
      <c r="F126" s="502"/>
      <c r="G126" s="502"/>
      <c r="H126" s="672">
        <f>'Life Risk'!D162</f>
        <v>0</v>
      </c>
      <c r="I126" s="562" t="str">
        <f t="shared" si="21"/>
        <v>-</v>
      </c>
      <c r="J126" s="672">
        <f>'Life Risk'!E162</f>
        <v>0</v>
      </c>
      <c r="K126" s="562" t="str">
        <f t="shared" si="22"/>
        <v>-</v>
      </c>
      <c r="L126" s="672">
        <f>'Life Risk'!F162</f>
        <v>0</v>
      </c>
      <c r="M126" s="562" t="str">
        <f t="shared" si="23"/>
        <v>-</v>
      </c>
      <c r="N126" s="672">
        <f>'Life Risk'!G162</f>
        <v>0</v>
      </c>
      <c r="O126" s="562" t="str">
        <f t="shared" si="24"/>
        <v>-</v>
      </c>
      <c r="P126" s="547"/>
    </row>
    <row r="127" spans="2:17" hidden="1" outlineLevel="2" x14ac:dyDescent="0.3">
      <c r="B127" s="544"/>
      <c r="C127" s="62" t="s">
        <v>413</v>
      </c>
      <c r="D127" s="502"/>
      <c r="E127" s="502"/>
      <c r="F127" s="502"/>
      <c r="G127" s="502"/>
      <c r="H127" s="672">
        <f>H128+H129</f>
        <v>0</v>
      </c>
      <c r="I127" s="562" t="str">
        <f t="shared" si="21"/>
        <v>-</v>
      </c>
      <c r="J127" s="672">
        <f>J128+J129</f>
        <v>0</v>
      </c>
      <c r="K127" s="562" t="str">
        <f t="shared" si="22"/>
        <v>-</v>
      </c>
      <c r="L127" s="672">
        <f>L128+L129</f>
        <v>0</v>
      </c>
      <c r="M127" s="562" t="str">
        <f t="shared" si="23"/>
        <v>-</v>
      </c>
      <c r="N127" s="672">
        <f>N128+N129</f>
        <v>0</v>
      </c>
      <c r="O127" s="562" t="str">
        <f t="shared" si="24"/>
        <v>-</v>
      </c>
      <c r="P127" s="547"/>
    </row>
    <row r="128" spans="2:17" hidden="1" outlineLevel="2" x14ac:dyDescent="0.3">
      <c r="B128" s="544"/>
      <c r="C128" s="501" t="s">
        <v>4115</v>
      </c>
      <c r="D128" s="62"/>
      <c r="E128" s="62"/>
      <c r="F128" s="62"/>
      <c r="G128" s="62"/>
      <c r="H128" s="672">
        <f>'Life Risk'!D46</f>
        <v>0</v>
      </c>
      <c r="I128" s="562" t="str">
        <f t="shared" si="21"/>
        <v>-</v>
      </c>
      <c r="J128" s="672">
        <f>'Life Risk'!E46</f>
        <v>0</v>
      </c>
      <c r="K128" s="562" t="str">
        <f t="shared" si="22"/>
        <v>-</v>
      </c>
      <c r="L128" s="672">
        <f>'Life Risk'!F46</f>
        <v>0</v>
      </c>
      <c r="M128" s="562" t="str">
        <f t="shared" si="23"/>
        <v>-</v>
      </c>
      <c r="N128" s="672">
        <f>'Life Risk'!G46</f>
        <v>0</v>
      </c>
      <c r="O128" s="562" t="str">
        <f t="shared" si="24"/>
        <v>-</v>
      </c>
      <c r="P128" s="547"/>
    </row>
    <row r="129" spans="2:16" hidden="1" outlineLevel="2" x14ac:dyDescent="0.3">
      <c r="B129" s="544"/>
      <c r="C129" s="171" t="s">
        <v>4114</v>
      </c>
      <c r="D129" s="62"/>
      <c r="E129" s="62"/>
      <c r="F129" s="62"/>
      <c r="G129" s="62"/>
      <c r="H129" s="672">
        <f>'Life Risk'!D50</f>
        <v>0</v>
      </c>
      <c r="I129" s="562" t="str">
        <f t="shared" si="21"/>
        <v>-</v>
      </c>
      <c r="J129" s="672">
        <f>'Life Risk'!E50</f>
        <v>0</v>
      </c>
      <c r="K129" s="562" t="str">
        <f t="shared" si="22"/>
        <v>-</v>
      </c>
      <c r="L129" s="672">
        <f>'Life Risk'!F50</f>
        <v>0</v>
      </c>
      <c r="M129" s="562" t="str">
        <f t="shared" si="23"/>
        <v>-</v>
      </c>
      <c r="N129" s="672">
        <f>'Life Risk'!G50</f>
        <v>0</v>
      </c>
      <c r="O129" s="562" t="str">
        <f t="shared" si="24"/>
        <v>-</v>
      </c>
      <c r="P129" s="547"/>
    </row>
    <row r="130" spans="2:16" outlineLevel="1" collapsed="1" x14ac:dyDescent="0.3">
      <c r="B130" s="544"/>
      <c r="C130" s="62"/>
      <c r="D130" s="62"/>
      <c r="E130" s="62"/>
      <c r="F130" s="62"/>
      <c r="G130" s="62"/>
      <c r="H130" s="672"/>
      <c r="I130" s="562"/>
      <c r="J130" s="672"/>
      <c r="K130" s="562"/>
      <c r="L130" s="672"/>
      <c r="M130" s="562"/>
      <c r="N130" s="672"/>
      <c r="O130" s="562"/>
      <c r="P130" s="547"/>
    </row>
    <row r="131" spans="2:16" x14ac:dyDescent="0.3">
      <c r="B131" s="544"/>
      <c r="C131" s="545" t="s">
        <v>4470</v>
      </c>
      <c r="D131" s="502"/>
      <c r="E131" s="502"/>
      <c r="F131" s="502"/>
      <c r="G131" s="502"/>
      <c r="H131" s="568">
        <f>SUM(H65,H74,H83,H86,H100)</f>
        <v>0</v>
      </c>
      <c r="I131" s="562" t="str">
        <f>IF(H$149=0,"-",H131/H$149)</f>
        <v>-</v>
      </c>
      <c r="J131" s="568">
        <f>SUM(J65,J74,J83,J86,J100)</f>
        <v>0</v>
      </c>
      <c r="K131" s="562" t="str">
        <f>IF(J$149=0,"-",J131/J$149)</f>
        <v>-</v>
      </c>
      <c r="L131" s="568">
        <f>SUM(L65,L74,L83,L86,L100)</f>
        <v>0</v>
      </c>
      <c r="M131" s="562" t="str">
        <f>IF(L$149=0,"-",L131/L$149)</f>
        <v>-</v>
      </c>
      <c r="N131" s="568">
        <f>SUM(N65,N74,N83,N86,N100)</f>
        <v>0</v>
      </c>
      <c r="O131" s="562" t="str">
        <f>IF(N$149=0,"-",N131/N$149)</f>
        <v>-</v>
      </c>
      <c r="P131" s="547"/>
    </row>
    <row r="132" spans="2:16" ht="13.5" thickBot="1" x14ac:dyDescent="0.35">
      <c r="B132" s="549"/>
      <c r="C132" s="550"/>
      <c r="D132" s="550"/>
      <c r="E132" s="550"/>
      <c r="F132" s="550"/>
      <c r="G132" s="550"/>
      <c r="H132" s="550"/>
      <c r="I132" s="550"/>
      <c r="J132" s="550"/>
      <c r="K132" s="550"/>
      <c r="L132" s="550"/>
      <c r="M132" s="550"/>
      <c r="N132" s="550"/>
      <c r="O132" s="550"/>
      <c r="P132" s="551"/>
    </row>
    <row r="133" spans="2:16" ht="13.5" thickBot="1" x14ac:dyDescent="0.35">
      <c r="B133" s="760"/>
      <c r="C133" s="760"/>
      <c r="D133" s="760"/>
      <c r="E133" s="760"/>
      <c r="F133" s="760"/>
      <c r="G133" s="760"/>
      <c r="H133" s="761"/>
      <c r="I133" s="762"/>
      <c r="J133" s="761"/>
      <c r="K133" s="762"/>
      <c r="L133" s="761"/>
      <c r="M133" s="762"/>
      <c r="N133" s="761"/>
      <c r="O133" s="762"/>
      <c r="P133" s="62"/>
    </row>
    <row r="134" spans="2:16" x14ac:dyDescent="0.3">
      <c r="B134" s="541"/>
      <c r="C134" s="542"/>
      <c r="D134" s="542"/>
      <c r="E134" s="542"/>
      <c r="F134" s="542"/>
      <c r="G134" s="542"/>
      <c r="H134" s="561"/>
      <c r="I134" s="561"/>
      <c r="J134" s="561"/>
      <c r="K134" s="561"/>
      <c r="L134" s="561"/>
      <c r="M134" s="561"/>
      <c r="N134" s="561"/>
      <c r="O134" s="561"/>
      <c r="P134" s="543"/>
    </row>
    <row r="135" spans="2:16" x14ac:dyDescent="0.3">
      <c r="B135" s="544"/>
      <c r="C135" s="573" t="s">
        <v>1474</v>
      </c>
      <c r="D135" s="62"/>
      <c r="E135" s="62"/>
      <c r="F135" s="62"/>
      <c r="G135" s="62"/>
      <c r="H135" s="673"/>
      <c r="I135" s="674"/>
      <c r="J135" s="673"/>
      <c r="K135" s="674"/>
      <c r="L135" s="673"/>
      <c r="M135" s="674"/>
      <c r="N135" s="673"/>
      <c r="O135" s="674"/>
      <c r="P135" s="547"/>
    </row>
    <row r="136" spans="2:16" outlineLevel="1" x14ac:dyDescent="0.3">
      <c r="B136" s="544"/>
      <c r="C136" s="62" t="s">
        <v>345</v>
      </c>
      <c r="D136" s="62"/>
      <c r="E136" s="62"/>
      <c r="F136" s="62"/>
      <c r="G136" s="62"/>
      <c r="H136" s="672">
        <f>Diversification!D54</f>
        <v>0</v>
      </c>
      <c r="I136" s="562" t="str">
        <f t="shared" ref="I136:I141" si="25">IF(H$149=0,"-",H136/H$149)</f>
        <v>-</v>
      </c>
      <c r="J136" s="672">
        <f>Diversification!E54</f>
        <v>0</v>
      </c>
      <c r="K136" s="562" t="str">
        <f t="shared" ref="K136:K141" si="26">IF(J$149=0,"-",J136/J$149)</f>
        <v>-</v>
      </c>
      <c r="L136" s="672">
        <f>Diversification!F54</f>
        <v>0</v>
      </c>
      <c r="M136" s="562" t="str">
        <f t="shared" ref="M136:M141" si="27">IF(L$149=0,"-",L136/L$149)</f>
        <v>-</v>
      </c>
      <c r="N136" s="672">
        <f>Diversification!G54</f>
        <v>0</v>
      </c>
      <c r="O136" s="562" t="str">
        <f t="shared" ref="O136:O141" si="28">IF(N$149=0,"-",N136/N$149)</f>
        <v>-</v>
      </c>
      <c r="P136" s="547"/>
    </row>
    <row r="137" spans="2:16" outlineLevel="1" x14ac:dyDescent="0.3">
      <c r="B137" s="544"/>
      <c r="C137" s="62" t="s">
        <v>343</v>
      </c>
      <c r="D137" s="62"/>
      <c r="E137" s="62"/>
      <c r="F137" s="62"/>
      <c r="G137" s="62"/>
      <c r="H137" s="672">
        <f>H138+H139</f>
        <v>0</v>
      </c>
      <c r="I137" s="562" t="str">
        <f t="shared" si="25"/>
        <v>-</v>
      </c>
      <c r="J137" s="672">
        <f>J138+J139</f>
        <v>0</v>
      </c>
      <c r="K137" s="562" t="str">
        <f t="shared" si="26"/>
        <v>-</v>
      </c>
      <c r="L137" s="672">
        <f>L138+L139</f>
        <v>0</v>
      </c>
      <c r="M137" s="562" t="str">
        <f t="shared" si="27"/>
        <v>-</v>
      </c>
      <c r="N137" s="672">
        <f>N138+N139</f>
        <v>0</v>
      </c>
      <c r="O137" s="562" t="str">
        <f t="shared" si="28"/>
        <v>-</v>
      </c>
      <c r="P137" s="547"/>
    </row>
    <row r="138" spans="2:16" hidden="1" outlineLevel="2" x14ac:dyDescent="0.3">
      <c r="B138" s="544"/>
      <c r="C138" s="62" t="s">
        <v>1455</v>
      </c>
      <c r="D138" s="62"/>
      <c r="E138" s="62"/>
      <c r="F138" s="62"/>
      <c r="G138" s="62"/>
      <c r="H138" s="672">
        <f>Diversification!D101</f>
        <v>0</v>
      </c>
      <c r="I138" s="562" t="str">
        <f t="shared" si="25"/>
        <v>-</v>
      </c>
      <c r="J138" s="672">
        <f>Diversification!E101</f>
        <v>0</v>
      </c>
      <c r="K138" s="562" t="str">
        <f t="shared" si="26"/>
        <v>-</v>
      </c>
      <c r="L138" s="672">
        <f>Diversification!F101</f>
        <v>0</v>
      </c>
      <c r="M138" s="562" t="str">
        <f t="shared" si="27"/>
        <v>-</v>
      </c>
      <c r="N138" s="672">
        <f>Diversification!G101</f>
        <v>0</v>
      </c>
      <c r="O138" s="562" t="str">
        <f t="shared" si="28"/>
        <v>-</v>
      </c>
      <c r="P138" s="547"/>
    </row>
    <row r="139" spans="2:16" hidden="1" outlineLevel="2" x14ac:dyDescent="0.3">
      <c r="B139" s="544"/>
      <c r="C139" s="62" t="s">
        <v>1456</v>
      </c>
      <c r="D139" s="62"/>
      <c r="E139" s="62"/>
      <c r="F139" s="62"/>
      <c r="G139" s="62"/>
      <c r="H139" s="672">
        <f>Diversification!D90</f>
        <v>0</v>
      </c>
      <c r="I139" s="562" t="str">
        <f t="shared" si="25"/>
        <v>-</v>
      </c>
      <c r="J139" s="672">
        <f>Diversification!E90</f>
        <v>0</v>
      </c>
      <c r="K139" s="562" t="str">
        <f t="shared" si="26"/>
        <v>-</v>
      </c>
      <c r="L139" s="672">
        <f>Diversification!F90</f>
        <v>0</v>
      </c>
      <c r="M139" s="562" t="str">
        <f t="shared" si="27"/>
        <v>-</v>
      </c>
      <c r="N139" s="672">
        <f>Diversification!G90</f>
        <v>0</v>
      </c>
      <c r="O139" s="562" t="str">
        <f t="shared" si="28"/>
        <v>-</v>
      </c>
      <c r="P139" s="547"/>
    </row>
    <row r="140" spans="2:16" outlineLevel="1" collapsed="1" x14ac:dyDescent="0.3">
      <c r="B140" s="544"/>
      <c r="C140" s="62" t="s">
        <v>344</v>
      </c>
      <c r="D140" s="62"/>
      <c r="E140" s="62"/>
      <c r="F140" s="62"/>
      <c r="G140" s="62"/>
      <c r="H140" s="672">
        <f>Diversification!Q57</f>
        <v>0</v>
      </c>
      <c r="I140" s="562" t="str">
        <f t="shared" si="25"/>
        <v>-</v>
      </c>
      <c r="J140" s="672">
        <f>Diversification!R57</f>
        <v>0</v>
      </c>
      <c r="K140" s="562" t="str">
        <f t="shared" si="26"/>
        <v>-</v>
      </c>
      <c r="L140" s="672">
        <f>Diversification!S57</f>
        <v>0</v>
      </c>
      <c r="M140" s="562" t="str">
        <f t="shared" si="27"/>
        <v>-</v>
      </c>
      <c r="N140" s="672">
        <f>Diversification!T57</f>
        <v>0</v>
      </c>
      <c r="O140" s="562" t="str">
        <f t="shared" si="28"/>
        <v>-</v>
      </c>
      <c r="P140" s="547"/>
    </row>
    <row r="141" spans="2:16" outlineLevel="1" x14ac:dyDescent="0.3">
      <c r="B141" s="544"/>
      <c r="C141" s="62" t="s">
        <v>1476</v>
      </c>
      <c r="D141" s="62"/>
      <c r="E141" s="62"/>
      <c r="F141" s="62"/>
      <c r="G141" s="62"/>
      <c r="H141" s="672">
        <f>Diversification!D35</f>
        <v>0</v>
      </c>
      <c r="I141" s="562" t="str">
        <f t="shared" si="25"/>
        <v>-</v>
      </c>
      <c r="J141" s="672">
        <f>Diversification!E35</f>
        <v>0</v>
      </c>
      <c r="K141" s="562" t="str">
        <f t="shared" si="26"/>
        <v>-</v>
      </c>
      <c r="L141" s="672">
        <f>Diversification!F35</f>
        <v>0</v>
      </c>
      <c r="M141" s="562" t="str">
        <f t="shared" si="27"/>
        <v>-</v>
      </c>
      <c r="N141" s="672">
        <f>Diversification!G35</f>
        <v>0</v>
      </c>
      <c r="O141" s="562" t="str">
        <f t="shared" si="28"/>
        <v>-</v>
      </c>
      <c r="P141" s="547"/>
    </row>
    <row r="142" spans="2:16" outlineLevel="1" x14ac:dyDescent="0.3">
      <c r="B142" s="544"/>
      <c r="C142" s="62"/>
      <c r="D142" s="62"/>
      <c r="E142" s="62"/>
      <c r="F142" s="62"/>
      <c r="G142" s="62"/>
      <c r="H142" s="672"/>
      <c r="I142" s="562"/>
      <c r="J142" s="672"/>
      <c r="K142" s="562"/>
      <c r="L142" s="672"/>
      <c r="M142" s="562"/>
      <c r="N142" s="672"/>
      <c r="O142" s="562"/>
      <c r="P142" s="547"/>
    </row>
    <row r="143" spans="2:16" outlineLevel="1" x14ac:dyDescent="0.3">
      <c r="B143" s="544"/>
      <c r="C143" s="502" t="s">
        <v>1458</v>
      </c>
      <c r="D143" s="62"/>
      <c r="E143" s="62"/>
      <c r="F143" s="62"/>
      <c r="G143" s="62"/>
      <c r="H143" s="574">
        <f>H136+H137+H140+H141</f>
        <v>0</v>
      </c>
      <c r="I143" s="562" t="str">
        <f>IF(H$149=0,"-",H143/H$149)</f>
        <v>-</v>
      </c>
      <c r="J143" s="574">
        <f>J136+J137+J140+J141</f>
        <v>0</v>
      </c>
      <c r="K143" s="562" t="str">
        <f>IF(J$149=0,"-",J143/J$149)</f>
        <v>-</v>
      </c>
      <c r="L143" s="574">
        <f>L136+L137+L140+L141</f>
        <v>0</v>
      </c>
      <c r="M143" s="562" t="str">
        <f>IF(L$149=0,"-",L143/L$149)</f>
        <v>-</v>
      </c>
      <c r="N143" s="574">
        <f>N136+N137+N140+N141</f>
        <v>0</v>
      </c>
      <c r="O143" s="562" t="str">
        <f>IF(N$149=0,"-",N143/N$149)</f>
        <v>-</v>
      </c>
      <c r="P143" s="547"/>
    </row>
    <row r="144" spans="2:16" outlineLevel="1" x14ac:dyDescent="0.3">
      <c r="B144" s="544"/>
      <c r="C144" s="62" t="s">
        <v>1459</v>
      </c>
      <c r="D144" s="62"/>
      <c r="E144" s="62"/>
      <c r="F144" s="62"/>
      <c r="G144" s="62"/>
      <c r="H144" s="672">
        <f>H143*Diversification!D6</f>
        <v>0</v>
      </c>
      <c r="I144" s="562" t="str">
        <f>IF(H$149=0,"-",H144/H$149)</f>
        <v>-</v>
      </c>
      <c r="J144" s="672">
        <f>J143*Diversification!E6</f>
        <v>0</v>
      </c>
      <c r="K144" s="562" t="str">
        <f>IF(J$149=0,"-",J144/J$149)</f>
        <v>-</v>
      </c>
      <c r="L144" s="672">
        <f>L143*Diversification!F6</f>
        <v>0</v>
      </c>
      <c r="M144" s="562" t="str">
        <f>IF(L$149=0,"-",L144/L$149)</f>
        <v>-</v>
      </c>
      <c r="N144" s="672">
        <f>N143*Diversification!G6</f>
        <v>0</v>
      </c>
      <c r="O144" s="562" t="str">
        <f>IF(N$149=0,"-",N144/N$149)</f>
        <v>-</v>
      </c>
      <c r="P144" s="547"/>
    </row>
    <row r="145" spans="2:16" x14ac:dyDescent="0.3">
      <c r="B145" s="544"/>
      <c r="C145" s="545" t="s">
        <v>1460</v>
      </c>
      <c r="D145" s="62"/>
      <c r="E145" s="62"/>
      <c r="F145" s="62"/>
      <c r="G145" s="62"/>
      <c r="H145" s="568">
        <f>H143-H144</f>
        <v>0</v>
      </c>
      <c r="I145" s="562" t="str">
        <f>IF(H$149=0,"-",H145/H$149)</f>
        <v>-</v>
      </c>
      <c r="J145" s="568">
        <f>J143-J144</f>
        <v>0</v>
      </c>
      <c r="K145" s="562" t="str">
        <f>IF(J$149=0,"-",J145/J$149)</f>
        <v>-</v>
      </c>
      <c r="L145" s="568">
        <f>L143-L144</f>
        <v>0</v>
      </c>
      <c r="M145" s="562" t="str">
        <f>IF(L$149=0,"-",L145/L$149)</f>
        <v>-</v>
      </c>
      <c r="N145" s="568">
        <f>N143-N144</f>
        <v>0</v>
      </c>
      <c r="O145" s="562" t="str">
        <f>IF(N$149=0,"-",N145/N$149)</f>
        <v>-</v>
      </c>
      <c r="P145" s="547"/>
    </row>
    <row r="146" spans="2:16" ht="13.5" thickBot="1" x14ac:dyDescent="0.35">
      <c r="B146" s="549"/>
      <c r="C146" s="550"/>
      <c r="D146" s="550"/>
      <c r="E146" s="550"/>
      <c r="F146" s="550"/>
      <c r="G146" s="550"/>
      <c r="H146" s="550"/>
      <c r="I146" s="550"/>
      <c r="J146" s="550"/>
      <c r="K146" s="550"/>
      <c r="L146" s="570"/>
      <c r="M146" s="550"/>
      <c r="N146" s="550"/>
      <c r="O146" s="550"/>
      <c r="P146" s="551"/>
    </row>
    <row r="147" spans="2:16" ht="13.5" thickBot="1" x14ac:dyDescent="0.35">
      <c r="B147" s="760"/>
      <c r="C147" s="760"/>
      <c r="D147" s="760"/>
      <c r="E147" s="760"/>
      <c r="F147" s="760"/>
      <c r="G147" s="760"/>
      <c r="H147" s="761"/>
      <c r="I147" s="762"/>
      <c r="J147" s="761"/>
      <c r="K147" s="762"/>
      <c r="L147" s="761"/>
      <c r="M147" s="762"/>
      <c r="N147" s="761"/>
      <c r="O147" s="762"/>
      <c r="P147" s="62"/>
    </row>
    <row r="148" spans="2:16" x14ac:dyDescent="0.3">
      <c r="B148" s="541"/>
      <c r="C148" s="542"/>
      <c r="D148" s="542"/>
      <c r="E148" s="542"/>
      <c r="F148" s="542"/>
      <c r="G148" s="542"/>
      <c r="H148" s="561"/>
      <c r="I148" s="561"/>
      <c r="J148" s="561"/>
      <c r="K148" s="561"/>
      <c r="L148" s="561"/>
      <c r="M148" s="561"/>
      <c r="N148" s="561"/>
      <c r="O148" s="561"/>
      <c r="P148" s="543"/>
    </row>
    <row r="149" spans="2:16" x14ac:dyDescent="0.3">
      <c r="B149" s="544"/>
      <c r="C149" s="502" t="s">
        <v>4471</v>
      </c>
      <c r="D149" s="62"/>
      <c r="E149" s="62"/>
      <c r="F149" s="62"/>
      <c r="G149" s="62"/>
      <c r="H149" s="568">
        <f>H150+H151</f>
        <v>0</v>
      </c>
      <c r="I149" s="562" t="str">
        <f t="shared" ref="I149:I156" si="29">IF(H$149=0,"-",H149/H$149)</f>
        <v>-</v>
      </c>
      <c r="J149" s="568">
        <f>J150+J151</f>
        <v>0</v>
      </c>
      <c r="K149" s="562" t="str">
        <f t="shared" ref="K149:M156" si="30">IF(J$149=0,"-",J149/J$149)</f>
        <v>-</v>
      </c>
      <c r="L149" s="568">
        <f>L150+L151</f>
        <v>0</v>
      </c>
      <c r="M149" s="562" t="str">
        <f t="shared" ref="M149:M154" si="31">IF(L$149=0,"-",L149/L$149)</f>
        <v>-</v>
      </c>
      <c r="N149" s="568">
        <f>N150+N151</f>
        <v>0</v>
      </c>
      <c r="O149" s="562" t="str">
        <f t="shared" ref="O149:O156" si="32">IF(N$149=0,"-",N149/N$149)</f>
        <v>-</v>
      </c>
      <c r="P149" s="547"/>
    </row>
    <row r="150" spans="2:16" x14ac:dyDescent="0.3">
      <c r="B150" s="544"/>
      <c r="C150" s="62" t="s">
        <v>4472</v>
      </c>
      <c r="D150" s="62"/>
      <c r="E150" s="62"/>
      <c r="F150" s="62"/>
      <c r="G150" s="62"/>
      <c r="H150" s="672">
        <f>H60</f>
        <v>0</v>
      </c>
      <c r="I150" s="562" t="str">
        <f t="shared" si="29"/>
        <v>-</v>
      </c>
      <c r="J150" s="672">
        <f>J60</f>
        <v>0</v>
      </c>
      <c r="K150" s="562" t="str">
        <f t="shared" si="30"/>
        <v>-</v>
      </c>
      <c r="L150" s="672">
        <f>L60</f>
        <v>0</v>
      </c>
      <c r="M150" s="562" t="str">
        <f t="shared" si="31"/>
        <v>-</v>
      </c>
      <c r="N150" s="672">
        <f>N60</f>
        <v>0</v>
      </c>
      <c r="O150" s="562" t="str">
        <f t="shared" si="32"/>
        <v>-</v>
      </c>
      <c r="P150" s="547"/>
    </row>
    <row r="151" spans="2:16" x14ac:dyDescent="0.3">
      <c r="B151" s="544"/>
      <c r="C151" s="62" t="s">
        <v>4473</v>
      </c>
      <c r="D151" s="62"/>
      <c r="E151" s="62"/>
      <c r="F151" s="62"/>
      <c r="G151" s="62"/>
      <c r="H151" s="672">
        <f>H131</f>
        <v>0</v>
      </c>
      <c r="I151" s="562" t="str">
        <f t="shared" si="29"/>
        <v>-</v>
      </c>
      <c r="J151" s="672">
        <f>J131</f>
        <v>0</v>
      </c>
      <c r="K151" s="562" t="str">
        <f t="shared" si="30"/>
        <v>-</v>
      </c>
      <c r="L151" s="672">
        <f>L131</f>
        <v>0</v>
      </c>
      <c r="M151" s="562" t="str">
        <f t="shared" si="31"/>
        <v>-</v>
      </c>
      <c r="N151" s="672">
        <f>N131</f>
        <v>0</v>
      </c>
      <c r="O151" s="562" t="str">
        <f t="shared" si="32"/>
        <v>-</v>
      </c>
      <c r="P151" s="547"/>
    </row>
    <row r="152" spans="2:16" x14ac:dyDescent="0.3">
      <c r="B152" s="544"/>
      <c r="C152" s="62" t="s">
        <v>1475</v>
      </c>
      <c r="D152" s="62"/>
      <c r="E152" s="62"/>
      <c r="F152" s="62"/>
      <c r="G152" s="62"/>
      <c r="H152" s="672">
        <f>H145</f>
        <v>0</v>
      </c>
      <c r="I152" s="562" t="str">
        <f t="shared" si="29"/>
        <v>-</v>
      </c>
      <c r="J152" s="672">
        <f>J145</f>
        <v>0</v>
      </c>
      <c r="K152" s="562" t="str">
        <f t="shared" si="30"/>
        <v>-</v>
      </c>
      <c r="L152" s="672">
        <f>L145</f>
        <v>0</v>
      </c>
      <c r="M152" s="562" t="str">
        <f t="shared" si="31"/>
        <v>-</v>
      </c>
      <c r="N152" s="672">
        <f>N145</f>
        <v>0</v>
      </c>
      <c r="O152" s="562" t="str">
        <f t="shared" si="32"/>
        <v>-</v>
      </c>
      <c r="P152" s="547"/>
    </row>
    <row r="153" spans="2:16" s="35" customFormat="1" x14ac:dyDescent="0.3">
      <c r="B153" s="556"/>
      <c r="C153" s="171" t="s">
        <v>915</v>
      </c>
      <c r="D153" s="575"/>
      <c r="E153" s="171"/>
      <c r="F153" s="171"/>
      <c r="G153" s="171"/>
      <c r="H153" s="566">
        <f>'Life Risk'!D179</f>
        <v>0</v>
      </c>
      <c r="I153" s="562" t="str">
        <f t="shared" si="29"/>
        <v>-</v>
      </c>
      <c r="J153" s="566">
        <f>'Life Risk'!E179</f>
        <v>0</v>
      </c>
      <c r="K153" s="562" t="str">
        <f t="shared" si="30"/>
        <v>-</v>
      </c>
      <c r="L153" s="566">
        <f>'Life Risk'!F179</f>
        <v>0</v>
      </c>
      <c r="M153" s="562" t="str">
        <f t="shared" si="31"/>
        <v>-</v>
      </c>
      <c r="N153" s="566">
        <f>'Life Risk'!G179</f>
        <v>0</v>
      </c>
      <c r="O153" s="562" t="str">
        <f t="shared" si="32"/>
        <v>-</v>
      </c>
      <c r="P153" s="557"/>
    </row>
    <row r="154" spans="2:16" s="35" customFormat="1" x14ac:dyDescent="0.3">
      <c r="B154" s="556"/>
      <c r="C154" s="171" t="s">
        <v>2153</v>
      </c>
      <c r="D154" s="576"/>
      <c r="E154" s="171"/>
      <c r="F154" s="171"/>
      <c r="G154" s="171"/>
      <c r="H154" s="566">
        <f>Input!F823</f>
        <v>0</v>
      </c>
      <c r="I154" s="562" t="str">
        <f t="shared" si="29"/>
        <v>-</v>
      </c>
      <c r="J154" s="566">
        <f>Input!F824</f>
        <v>0</v>
      </c>
      <c r="K154" s="562" t="str">
        <f t="shared" si="30"/>
        <v>-</v>
      </c>
      <c r="L154" s="566">
        <f>Input!F825</f>
        <v>0</v>
      </c>
      <c r="M154" s="562" t="str">
        <f t="shared" si="31"/>
        <v>-</v>
      </c>
      <c r="N154" s="566">
        <f>Input!F826</f>
        <v>0</v>
      </c>
      <c r="O154" s="562" t="str">
        <f t="shared" si="32"/>
        <v>-</v>
      </c>
      <c r="P154" s="557"/>
    </row>
    <row r="155" spans="2:16" s="35" customFormat="1" x14ac:dyDescent="0.3">
      <c r="B155" s="556"/>
      <c r="C155" s="171" t="s">
        <v>2154</v>
      </c>
      <c r="D155" s="576"/>
      <c r="E155" s="171"/>
      <c r="F155" s="171"/>
      <c r="G155" s="171"/>
      <c r="H155" s="566">
        <f>SUMIF(Adjustment!$L$5:$L$24,Lists!$L$37,Adjustment!M$5:M$24)</f>
        <v>0</v>
      </c>
      <c r="I155" s="562" t="str">
        <f t="shared" si="29"/>
        <v>-</v>
      </c>
      <c r="J155" s="566">
        <f>SUMIF(Adjustment!$L$5:$L$24,Lists!$L$37,Adjustment!N$5:N$24)</f>
        <v>0</v>
      </c>
      <c r="K155" s="562" t="str">
        <f t="shared" si="30"/>
        <v>-</v>
      </c>
      <c r="L155" s="566">
        <f>SUMIF(Adjustment!$L$5:$L$24,Lists!$L$37,Adjustment!O$5:O$24)</f>
        <v>0</v>
      </c>
      <c r="M155" s="562" t="str">
        <f t="shared" si="30"/>
        <v>-</v>
      </c>
      <c r="N155" s="566">
        <f>SUMIF(Adjustment!$L$5:$L$24,Lists!$L$37,Adjustment!P$5:P$24)</f>
        <v>0</v>
      </c>
      <c r="O155" s="562" t="str">
        <f t="shared" si="32"/>
        <v>-</v>
      </c>
      <c r="P155" s="557"/>
    </row>
    <row r="156" spans="2:16" x14ac:dyDescent="0.3">
      <c r="B156" s="544"/>
      <c r="C156" s="545" t="s">
        <v>4474</v>
      </c>
      <c r="D156" s="62"/>
      <c r="E156" s="62"/>
      <c r="F156" s="62"/>
      <c r="G156" s="62"/>
      <c r="H156" s="577">
        <f>H149-H152+H153+H154+H155</f>
        <v>0</v>
      </c>
      <c r="I156" s="562" t="str">
        <f t="shared" si="29"/>
        <v>-</v>
      </c>
      <c r="J156" s="577">
        <f>J149-J152+J153+J154+J155</f>
        <v>0</v>
      </c>
      <c r="K156" s="562" t="str">
        <f t="shared" si="30"/>
        <v>-</v>
      </c>
      <c r="L156" s="577">
        <f>L149-L152+L153+L154+L155</f>
        <v>0</v>
      </c>
      <c r="M156" s="562" t="str">
        <f t="shared" si="30"/>
        <v>-</v>
      </c>
      <c r="N156" s="577">
        <f>N149-N152+N153+N154+N155</f>
        <v>0</v>
      </c>
      <c r="O156" s="562" t="str">
        <f t="shared" si="32"/>
        <v>-</v>
      </c>
      <c r="P156" s="547"/>
    </row>
    <row r="157" spans="2:16" ht="13.5" thickBot="1" x14ac:dyDescent="0.35">
      <c r="B157" s="549"/>
      <c r="C157" s="550"/>
      <c r="D157" s="550"/>
      <c r="E157" s="550"/>
      <c r="F157" s="550"/>
      <c r="G157" s="550"/>
      <c r="H157" s="550"/>
      <c r="I157" s="550"/>
      <c r="J157" s="550"/>
      <c r="K157" s="550"/>
      <c r="L157" s="550"/>
      <c r="M157" s="550"/>
      <c r="N157" s="550"/>
      <c r="O157" s="550"/>
      <c r="P157" s="551"/>
    </row>
    <row r="160" spans="2:16" x14ac:dyDescent="0.3">
      <c r="C160" s="34" t="str">
        <f t="shared" ref="C160:C174" si="33">C17</f>
        <v>1. Common shareholders' equity/policyholders’ surplus</v>
      </c>
      <c r="D160" s="242" t="str">
        <f t="shared" ref="D160:D173" si="34">I17</f>
        <v>-</v>
      </c>
    </row>
    <row r="161" spans="3:4" x14ac:dyDescent="0.3">
      <c r="C161" s="34" t="str">
        <f t="shared" si="33"/>
        <v>2. Equity noncontrolling interests</v>
      </c>
      <c r="D161" s="242" t="str">
        <f t="shared" si="34"/>
        <v>-</v>
      </c>
    </row>
    <row r="162" spans="3:4" x14ac:dyDescent="0.3">
      <c r="C162" s="34" t="str">
        <f t="shared" si="33"/>
        <v xml:space="preserve">3. Investments in own shares/treasury shares </v>
      </c>
      <c r="D162" s="242" t="str">
        <f t="shared" si="34"/>
        <v>-</v>
      </c>
    </row>
    <row r="163" spans="3:4" x14ac:dyDescent="0.3">
      <c r="C163" s="34" t="str">
        <f t="shared" si="33"/>
        <v>4. Shareholder distributions not accrued</v>
      </c>
      <c r="D163" s="242" t="str">
        <f t="shared" si="34"/>
        <v>-</v>
      </c>
    </row>
    <row r="164" spans="3:4" x14ac:dyDescent="0.3">
      <c r="C164" s="34" t="str">
        <f t="shared" si="33"/>
        <v>5. Intangible Assets</v>
      </c>
      <c r="D164" s="242" t="str">
        <f t="shared" si="34"/>
        <v>-</v>
      </c>
    </row>
    <row r="165" spans="3:4" x14ac:dyDescent="0.3">
      <c r="C165" s="34" t="str">
        <f t="shared" si="33"/>
        <v>6. Postretirement employee benefits</v>
      </c>
      <c r="D165" s="242" t="str">
        <f t="shared" si="34"/>
        <v>-</v>
      </c>
    </row>
    <row r="166" spans="3:4" x14ac:dyDescent="0.3">
      <c r="C166" s="34" t="str">
        <f t="shared" si="33"/>
        <v xml:space="preserve">7. Unrealized gains and losses on investments </v>
      </c>
      <c r="D166" s="242" t="str">
        <f t="shared" si="34"/>
        <v>-</v>
      </c>
    </row>
    <row r="167" spans="3:4" x14ac:dyDescent="0.3">
      <c r="C167" s="34" t="str">
        <f t="shared" si="33"/>
        <v>8. Non-life reserve adjustments</v>
      </c>
      <c r="D167" s="242" t="str">
        <f t="shared" si="34"/>
        <v>-</v>
      </c>
    </row>
    <row r="168" spans="3:4" x14ac:dyDescent="0.3">
      <c r="C168" s="34" t="str">
        <f t="shared" si="33"/>
        <v>9. Life reserve adjustments</v>
      </c>
      <c r="D168" s="242" t="str">
        <f t="shared" si="34"/>
        <v>-</v>
      </c>
    </row>
    <row r="169" spans="3:4" x14ac:dyDescent="0.3">
      <c r="C169" s="34" t="str">
        <f t="shared" si="33"/>
        <v>10. Hybrid capital/debt-funded capital (subject to tolerance limits)</v>
      </c>
      <c r="D169" s="242" t="str">
        <f t="shared" si="34"/>
        <v>-</v>
      </c>
    </row>
    <row r="170" spans="3:4" x14ac:dyDescent="0.3">
      <c r="C170" s="34" t="str">
        <f t="shared" si="33"/>
        <v>11.Investments in noninsurance subsidiaries and joint ventures</v>
      </c>
      <c r="D170" s="242" t="str">
        <f t="shared" si="34"/>
        <v>-</v>
      </c>
    </row>
    <row r="171" spans="3:4" x14ac:dyDescent="0.3">
      <c r="C171" s="34" t="str">
        <f t="shared" si="33"/>
        <v>12. Policyholder capital available to absorb losses</v>
      </c>
      <c r="D171" s="242" t="str">
        <f t="shared" si="34"/>
        <v>-</v>
      </c>
    </row>
    <row r="172" spans="3:4" x14ac:dyDescent="0.3">
      <c r="C172" s="34" t="str">
        <f t="shared" si="33"/>
        <v>13. Unrealized gains on investments backing participating life business</v>
      </c>
      <c r="D172" s="242" t="str">
        <f t="shared" si="34"/>
        <v>-</v>
      </c>
    </row>
    <row r="173" spans="3:4" x14ac:dyDescent="0.3">
      <c r="C173" s="34" t="str">
        <f t="shared" si="33"/>
        <v>14. Company-specific analytical adjustments</v>
      </c>
      <c r="D173" s="242" t="str">
        <f t="shared" si="34"/>
        <v>-</v>
      </c>
    </row>
    <row r="174" spans="3:4" x14ac:dyDescent="0.3">
      <c r="C174" s="34" t="str">
        <f t="shared" si="33"/>
        <v>TAC - Total Adjusted Capital</v>
      </c>
      <c r="D174" s="242">
        <f>IF(H31&lt;&gt;0,1,0)</f>
        <v>0</v>
      </c>
    </row>
    <row r="200" spans="5:10" x14ac:dyDescent="0.3">
      <c r="E200" s="183"/>
      <c r="F200" s="183"/>
      <c r="G200" s="183"/>
      <c r="H200" s="183"/>
      <c r="I200" s="183"/>
      <c r="J200" s="183"/>
    </row>
    <row r="201" spans="5:10" x14ac:dyDescent="0.3">
      <c r="E201" s="183"/>
      <c r="F201" s="183"/>
      <c r="G201" s="183"/>
      <c r="H201" s="183"/>
      <c r="I201" s="183"/>
      <c r="J201" s="183"/>
    </row>
    <row r="202" spans="5:10" x14ac:dyDescent="0.3">
      <c r="E202" s="183"/>
      <c r="F202" s="183"/>
      <c r="G202" s="183"/>
      <c r="H202" s="183"/>
      <c r="I202" s="183"/>
      <c r="J202" s="183"/>
    </row>
    <row r="203" spans="5:10" x14ac:dyDescent="0.3">
      <c r="E203" s="183"/>
      <c r="F203" s="183"/>
      <c r="G203" s="183"/>
      <c r="H203" s="183"/>
      <c r="I203" s="183"/>
      <c r="J203" s="183"/>
    </row>
    <row r="204" spans="5:10" x14ac:dyDescent="0.3">
      <c r="E204" s="183"/>
      <c r="F204" s="183"/>
      <c r="G204" s="183"/>
      <c r="H204" s="183"/>
      <c r="I204" s="183"/>
      <c r="J204" s="183"/>
    </row>
    <row r="205" spans="5:10" x14ac:dyDescent="0.3">
      <c r="E205" s="183"/>
      <c r="F205" s="183"/>
      <c r="G205" s="183"/>
      <c r="H205" s="183"/>
      <c r="I205" s="183"/>
      <c r="J205" s="183"/>
    </row>
    <row r="206" spans="5:10" x14ac:dyDescent="0.3">
      <c r="E206" s="183"/>
      <c r="F206" s="183"/>
      <c r="G206" s="183"/>
      <c r="H206" s="183"/>
      <c r="I206" s="183"/>
      <c r="J206" s="183"/>
    </row>
    <row r="207" spans="5:10" x14ac:dyDescent="0.3">
      <c r="E207" s="183"/>
      <c r="F207" s="183"/>
      <c r="G207" s="183"/>
      <c r="H207" s="183"/>
      <c r="I207" s="183"/>
      <c r="J207" s="183"/>
    </row>
    <row r="208" spans="5:10" x14ac:dyDescent="0.3">
      <c r="E208" s="183"/>
      <c r="F208" s="183"/>
      <c r="G208" s="183"/>
      <c r="H208" s="183"/>
      <c r="I208" s="183"/>
      <c r="J208" s="183"/>
    </row>
    <row r="209" spans="5:10" x14ac:dyDescent="0.3">
      <c r="E209" s="183"/>
      <c r="F209" s="183"/>
      <c r="G209" s="183"/>
      <c r="H209" s="183"/>
      <c r="I209" s="183"/>
      <c r="J209" s="183"/>
    </row>
    <row r="210" spans="5:10" x14ac:dyDescent="0.3">
      <c r="E210" s="183"/>
      <c r="F210" s="183"/>
      <c r="G210" s="183"/>
      <c r="H210" s="183"/>
      <c r="I210" s="183"/>
      <c r="J210" s="183"/>
    </row>
    <row r="211" spans="5:10" x14ac:dyDescent="0.3">
      <c r="E211" s="183"/>
      <c r="F211" s="183"/>
      <c r="G211" s="183"/>
      <c r="H211" s="183"/>
      <c r="I211" s="183"/>
      <c r="J211" s="183"/>
    </row>
    <row r="212" spans="5:10" x14ac:dyDescent="0.3">
      <c r="E212" s="183"/>
      <c r="F212" s="183"/>
      <c r="G212" s="183"/>
      <c r="H212" s="183"/>
      <c r="I212" s="183"/>
      <c r="J212" s="183"/>
    </row>
    <row r="213" spans="5:10" x14ac:dyDescent="0.3">
      <c r="E213" s="183"/>
      <c r="F213" s="183"/>
      <c r="G213" s="183"/>
      <c r="H213" s="183"/>
      <c r="I213" s="183"/>
      <c r="J213" s="183"/>
    </row>
  </sheetData>
  <sheetProtection algorithmName="SHA-512" hashValue="Bmd7DRAYCVBEuMy3/4OFApWZJA+mT6+6TTnCd+QWHpsWrhfCReap4wPEP/BNJuO3hiON5YAFOqKNwjIfxmU1KQ==" saltValue="KFfTFqgw3uQ+hAFZ7G8afg==" spinCount="100000" sheet="1" objects="1" scenarios="1" formatColumns="0" formatRows="0"/>
  <mergeCells count="54">
    <mergeCell ref="H8:I8"/>
    <mergeCell ref="N8:O8"/>
    <mergeCell ref="L8:M8"/>
    <mergeCell ref="J8:K8"/>
    <mergeCell ref="H9:I9"/>
    <mergeCell ref="J9:K9"/>
    <mergeCell ref="L9:M9"/>
    <mergeCell ref="N9:O9"/>
    <mergeCell ref="N31:O31"/>
    <mergeCell ref="H31:I31"/>
    <mergeCell ref="L31:M31"/>
    <mergeCell ref="H10:I10"/>
    <mergeCell ref="J10:K10"/>
    <mergeCell ref="L10:M10"/>
    <mergeCell ref="N10:O10"/>
    <mergeCell ref="N14:O14"/>
    <mergeCell ref="H14:I14"/>
    <mergeCell ref="J14:K14"/>
    <mergeCell ref="L14:M14"/>
    <mergeCell ref="N11:O11"/>
    <mergeCell ref="N12:O12"/>
    <mergeCell ref="H11:I11"/>
    <mergeCell ref="J11:K11"/>
    <mergeCell ref="L11:M11"/>
    <mergeCell ref="B14:G14"/>
    <mergeCell ref="J12:K12"/>
    <mergeCell ref="H12:I12"/>
    <mergeCell ref="L12:M12"/>
    <mergeCell ref="J31:K31"/>
    <mergeCell ref="B6:G6"/>
    <mergeCell ref="H6:I6"/>
    <mergeCell ref="J6:K6"/>
    <mergeCell ref="L6:M6"/>
    <mergeCell ref="N6:O6"/>
    <mergeCell ref="B33:G33"/>
    <mergeCell ref="H33:I33"/>
    <mergeCell ref="J33:K33"/>
    <mergeCell ref="L33:M33"/>
    <mergeCell ref="N33:O33"/>
    <mergeCell ref="B62:G62"/>
    <mergeCell ref="H62:I62"/>
    <mergeCell ref="J62:K62"/>
    <mergeCell ref="L62:M62"/>
    <mergeCell ref="N62:O62"/>
    <mergeCell ref="B133:G133"/>
    <mergeCell ref="H133:I133"/>
    <mergeCell ref="J133:K133"/>
    <mergeCell ref="L133:M133"/>
    <mergeCell ref="N133:O133"/>
    <mergeCell ref="B147:G147"/>
    <mergeCell ref="H147:I147"/>
    <mergeCell ref="J147:K147"/>
    <mergeCell ref="L147:M147"/>
    <mergeCell ref="N147:O147"/>
  </mergeCells>
  <conditionalFormatting sqref="N3">
    <cfRule type="cellIs" dxfId="49" priority="3" stopIfTrue="1" operator="equal">
      <formula>Error_Message</formula>
    </cfRule>
  </conditionalFormatting>
  <pageMargins left="0.7" right="0.7" top="0.75" bottom="0.75" header="0.3" footer="0.3"/>
  <pageSetup scale="39" fitToHeight="0" orientation="portrait" r:id="rId1"/>
  <ignoredErrors>
    <ignoredError sqref="I48:N48 I132:N132 I60:K60 I99:N99 I146:N146 I148:N148 I134:N135 I50:N50 J52:J58 L52:L58 N52:N58 L60:M60 N60 J83:J86 L83:L86 N83:N86 J101:J103 L101:L103 N101:N103 I142:N142 J136:J139 L136:L139 N136:N139 I143:K143 L143:M143 N143:N145 J149:J156 L149:L156 N149:N156 J140:J141 L140:L141 N140:N141 J104:J111 L104:L111 N104:N111 J121:J129 L121:L129 N121:N129 J90:J94 L90:L94 N90:N94 J95:J96 L95:L96 N95:N96 J97:J98 L97:L98 N97:N98 N87:N89 L87:L89 J87:J89 N65:N82 L65:L82 J65:J82 J36:J44 L36:L44 N36:N44 N112:N120 L112:L120 J112:J120 I74 K74 M74 I36 K36 M36 I44 K44 M44 J49 L49 N49 I51:N51 I65 K65 M65 I83 K83 M83 I86 K86 M86 I88 K88 M88 I100:N100 I119 K119 M119 I127 K127 M127 I131:N131 I137 K137 M137 J144:J145 L144:L145 I145 K145 M145 I149:I152 K149:K152 M149:M152 I156 K156 M156 J45:J47 L45:L47 N45:N47"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92DCC-922B-4B1D-A0DD-23C4A559C5AB}">
  <sheetPr codeName="Sheet35">
    <tabColor theme="6" tint="0.39997558519241921"/>
    <pageSetUpPr fitToPage="1"/>
  </sheetPr>
  <dimension ref="A1:O179"/>
  <sheetViews>
    <sheetView showGridLines="0" zoomScaleNormal="100" workbookViewId="0"/>
  </sheetViews>
  <sheetFormatPr defaultColWidth="9.08984375" defaultRowHeight="13" outlineLevelRow="1" x14ac:dyDescent="0.3"/>
  <cols>
    <col min="1" max="1" width="3.90625" style="132" customWidth="1"/>
    <col min="2" max="2" width="3.6328125" style="132" customWidth="1"/>
    <col min="3" max="3" width="53.36328125" style="27" customWidth="1"/>
    <col min="4" max="4" width="61.54296875" style="131" bestFit="1" customWidth="1"/>
    <col min="5" max="5" width="12.453125" style="132" bestFit="1" customWidth="1"/>
    <col min="6" max="6" width="14.90625" style="132" bestFit="1" customWidth="1"/>
    <col min="7" max="7" width="15.453125" style="132" customWidth="1"/>
    <col min="8" max="8" width="9.08984375" style="27" customWidth="1"/>
    <col min="9" max="9" width="8" style="27" customWidth="1"/>
    <col min="10" max="10" width="12.453125" style="27" bestFit="1" customWidth="1"/>
    <col min="11" max="12" width="4.36328125" style="27" customWidth="1"/>
    <col min="13" max="13" width="29.6328125" style="27" customWidth="1"/>
    <col min="14" max="14" width="15.6328125" style="27" customWidth="1"/>
    <col min="15" max="16384" width="9.08984375" style="27"/>
  </cols>
  <sheetData>
    <row r="1" spans="1:11" ht="26" x14ac:dyDescent="0.6">
      <c r="A1" s="128"/>
      <c r="B1" s="129"/>
      <c r="C1" s="130"/>
    </row>
    <row r="2" spans="1:11" ht="17.25" customHeight="1" x14ac:dyDescent="0.6">
      <c r="A2" s="129"/>
      <c r="B2" s="129"/>
      <c r="C2" s="130"/>
      <c r="G2" s="291"/>
      <c r="H2" s="291"/>
    </row>
    <row r="3" spans="1:11" ht="21" x14ac:dyDescent="0.5">
      <c r="B3" s="133" t="s">
        <v>246</v>
      </c>
      <c r="C3" s="130"/>
      <c r="D3" s="527" t="str">
        <f>IF(Input!F10="","Enter Company/Group in 'Input' Sheet",Input!F10)</f>
        <v>Enter Company/Group in 'Input' Sheet</v>
      </c>
    </row>
    <row r="4" spans="1:11" ht="18" customHeight="1" thickBot="1" x14ac:dyDescent="0.65">
      <c r="A4" s="129"/>
      <c r="B4" s="129"/>
      <c r="C4" s="130"/>
      <c r="D4" s="134"/>
    </row>
    <row r="5" spans="1:11" ht="30" customHeight="1" x14ac:dyDescent="0.35">
      <c r="B5" s="144"/>
      <c r="C5" s="503" t="s">
        <v>248</v>
      </c>
      <c r="D5" s="146"/>
      <c r="E5" s="504"/>
      <c r="F5" s="504"/>
      <c r="G5" s="504"/>
      <c r="H5" s="145"/>
      <c r="I5" s="145"/>
      <c r="J5" s="145"/>
      <c r="K5" s="148"/>
    </row>
    <row r="6" spans="1:11" ht="21" customHeight="1" x14ac:dyDescent="0.35">
      <c r="B6" s="149"/>
      <c r="C6" s="505" t="s">
        <v>249</v>
      </c>
      <c r="F6" s="506"/>
      <c r="K6" s="151"/>
    </row>
    <row r="7" spans="1:11" ht="15.5" x14ac:dyDescent="0.35">
      <c r="B7" s="149"/>
      <c r="C7" s="505"/>
      <c r="E7" s="27"/>
      <c r="F7" s="27"/>
      <c r="G7" s="27"/>
      <c r="K7" s="151"/>
    </row>
    <row r="8" spans="1:11" x14ac:dyDescent="0.3">
      <c r="B8" s="149"/>
      <c r="C8" s="507"/>
      <c r="D8" s="27"/>
      <c r="F8" s="506"/>
      <c r="K8" s="151"/>
    </row>
    <row r="9" spans="1:11" x14ac:dyDescent="0.3">
      <c r="B9" s="149"/>
      <c r="C9" s="508" t="s">
        <v>250</v>
      </c>
      <c r="D9" s="27"/>
      <c r="F9" s="506"/>
      <c r="K9" s="151"/>
    </row>
    <row r="10" spans="1:11" x14ac:dyDescent="0.3">
      <c r="B10" s="149"/>
      <c r="C10" s="507" t="s">
        <v>3088</v>
      </c>
      <c r="D10" s="27"/>
      <c r="F10" s="187">
        <f>IF(Input!F42&gt;=1,(Input!F37)*(1-(1/(1+Input!F41)^Input!F42)),0)</f>
        <v>0</v>
      </c>
      <c r="K10" s="151"/>
    </row>
    <row r="11" spans="1:11" x14ac:dyDescent="0.3">
      <c r="B11" s="149"/>
      <c r="C11" s="507" t="s">
        <v>371</v>
      </c>
      <c r="D11" s="27"/>
      <c r="F11" s="187">
        <f>F10+IF(Input!F45&gt;0,Input!F45,Input!F40)</f>
        <v>0</v>
      </c>
      <c r="K11" s="151"/>
    </row>
    <row r="12" spans="1:11" x14ac:dyDescent="0.3">
      <c r="B12" s="149"/>
      <c r="C12" s="507" t="s">
        <v>2155</v>
      </c>
      <c r="D12" s="27"/>
      <c r="F12" s="187">
        <f>IFERROR(Input!F43/(1-inp_appl_tax_rate)*F11/(Input!F37+Input!F38+Input!F40),0)</f>
        <v>0</v>
      </c>
      <c r="K12" s="151"/>
    </row>
    <row r="13" spans="1:11" x14ac:dyDescent="0.3">
      <c r="B13" s="149"/>
      <c r="C13" s="509" t="s">
        <v>2156</v>
      </c>
      <c r="D13" s="27"/>
      <c r="F13" s="187">
        <f>(F11-Input!F40-F12)*(1-inp_appl_tax_rate)</f>
        <v>0</v>
      </c>
      <c r="K13" s="151"/>
    </row>
    <row r="14" spans="1:11" x14ac:dyDescent="0.3">
      <c r="B14" s="149"/>
      <c r="F14" s="506"/>
      <c r="K14" s="151"/>
    </row>
    <row r="15" spans="1:11" x14ac:dyDescent="0.3">
      <c r="B15" s="149"/>
      <c r="C15" s="510" t="s">
        <v>4168</v>
      </c>
      <c r="F15" s="506"/>
      <c r="K15" s="151"/>
    </row>
    <row r="16" spans="1:11" x14ac:dyDescent="0.3">
      <c r="B16" s="149"/>
      <c r="F16" s="506"/>
      <c r="K16" s="151"/>
    </row>
    <row r="17" spans="2:15" ht="14.4" customHeight="1" x14ac:dyDescent="0.35">
      <c r="B17" s="149"/>
      <c r="C17" s="511"/>
      <c r="D17" s="135" t="s">
        <v>802</v>
      </c>
      <c r="E17" s="135" t="s">
        <v>4386</v>
      </c>
      <c r="F17" s="135" t="s">
        <v>803</v>
      </c>
      <c r="G17" s="136" t="s">
        <v>804</v>
      </c>
      <c r="H17" s="136" t="s">
        <v>805</v>
      </c>
      <c r="I17" s="136" t="s">
        <v>806</v>
      </c>
      <c r="J17" s="691" t="s">
        <v>4387</v>
      </c>
      <c r="K17" s="631"/>
      <c r="L17" s="136"/>
      <c r="M17" s="578" t="s">
        <v>1388</v>
      </c>
      <c r="N17" s="521"/>
      <c r="O17" s="137"/>
    </row>
    <row r="18" spans="2:15" ht="14.4" customHeight="1" x14ac:dyDescent="0.35">
      <c r="B18" s="149"/>
      <c r="C18" s="692" t="s">
        <v>1390</v>
      </c>
      <c r="D18" s="512">
        <f>Input!F58</f>
        <v>0</v>
      </c>
      <c r="E18" s="83">
        <f>N18</f>
        <v>0.4</v>
      </c>
      <c r="F18" s="512">
        <f>E18*$D$24</f>
        <v>0</v>
      </c>
      <c r="G18" s="187">
        <f>MIN(D18,F18)</f>
        <v>0</v>
      </c>
      <c r="H18" s="513">
        <f>MAX(D18-F18,0)</f>
        <v>0</v>
      </c>
      <c r="I18" s="579">
        <f>IFERROR(D18/$D$24,0)</f>
        <v>0</v>
      </c>
      <c r="J18" s="636">
        <f>IFERROR(G18/$D$24,0)</f>
        <v>0</v>
      </c>
      <c r="K18" s="632"/>
      <c r="L18" s="579"/>
      <c r="M18" s="139" t="s">
        <v>1390</v>
      </c>
      <c r="N18" s="140">
        <v>0.4</v>
      </c>
      <c r="O18" s="137"/>
    </row>
    <row r="19" spans="2:15" ht="14.4" customHeight="1" x14ac:dyDescent="0.35">
      <c r="B19" s="149"/>
      <c r="C19" s="692" t="s">
        <v>1391</v>
      </c>
      <c r="D19" s="512">
        <f>Input!F59</f>
        <v>0</v>
      </c>
      <c r="E19" s="83">
        <f>N19-MAX(0,J18-(N18-N19))</f>
        <v>0.3</v>
      </c>
      <c r="F19" s="512">
        <f>E19*$D$24</f>
        <v>0</v>
      </c>
      <c r="G19" s="187">
        <f>MIN(D19,F19)</f>
        <v>0</v>
      </c>
      <c r="H19" s="513">
        <f>MAX(D19-F19,0)</f>
        <v>0</v>
      </c>
      <c r="I19" s="579">
        <f>IFERROR(D19/$D$24,0)</f>
        <v>0</v>
      </c>
      <c r="J19" s="636">
        <f>IFERROR(G19/$D$24,0)</f>
        <v>0</v>
      </c>
      <c r="K19" s="632"/>
      <c r="L19" s="579"/>
      <c r="M19" s="139" t="s">
        <v>1391</v>
      </c>
      <c r="N19" s="140">
        <v>0.3</v>
      </c>
      <c r="O19" s="137"/>
    </row>
    <row r="20" spans="2:15" ht="15" customHeight="1" x14ac:dyDescent="0.35">
      <c r="B20" s="149"/>
      <c r="C20" s="514"/>
      <c r="D20" s="514"/>
      <c r="E20" s="83"/>
      <c r="F20" s="514"/>
      <c r="G20" s="138"/>
      <c r="H20" s="515"/>
      <c r="I20" s="580"/>
      <c r="J20" s="637"/>
      <c r="K20" s="633"/>
      <c r="L20" s="580"/>
      <c r="M20" s="141" t="s">
        <v>1389</v>
      </c>
      <c r="N20" s="140">
        <v>0</v>
      </c>
      <c r="O20" s="137"/>
    </row>
    <row r="21" spans="2:15" x14ac:dyDescent="0.3">
      <c r="B21" s="149"/>
      <c r="C21" s="692" t="s">
        <v>4388</v>
      </c>
      <c r="D21" s="512">
        <f>IF(Input!F63="Yes",Input!F64+Input!F65,0)</f>
        <v>0</v>
      </c>
      <c r="E21" s="83">
        <f>N21-MAX(J19-(N19-N21),J18+J19-(N18-N21),0)</f>
        <v>0.2</v>
      </c>
      <c r="F21" s="512">
        <f>E21*$D$24</f>
        <v>0</v>
      </c>
      <c r="G21" s="187">
        <f>MIN(D21,F21)</f>
        <v>0</v>
      </c>
      <c r="H21" s="513">
        <f>MAX(D21-F21,0)</f>
        <v>0</v>
      </c>
      <c r="I21" s="579">
        <f>IFERROR(D21/$D$24,0)</f>
        <v>0</v>
      </c>
      <c r="J21" s="636">
        <f>IFERROR(G21/$D$24,0)</f>
        <v>0</v>
      </c>
      <c r="K21" s="632"/>
      <c r="L21" s="579"/>
      <c r="M21" s="142" t="s">
        <v>807</v>
      </c>
      <c r="N21" s="143">
        <v>0.2</v>
      </c>
    </row>
    <row r="22" spans="2:15" x14ac:dyDescent="0.3">
      <c r="B22" s="149"/>
      <c r="C22" s="692"/>
      <c r="D22" s="514"/>
      <c r="E22" s="515"/>
      <c r="F22" s="515"/>
      <c r="G22" s="138"/>
      <c r="H22" s="138"/>
      <c r="I22" s="138"/>
      <c r="K22" s="634"/>
      <c r="L22" s="138"/>
      <c r="M22" s="518" t="s">
        <v>4163</v>
      </c>
      <c r="N22" s="519">
        <v>0.2</v>
      </c>
    </row>
    <row r="23" spans="2:15" x14ac:dyDescent="0.3">
      <c r="B23" s="149"/>
      <c r="C23" s="693" t="s">
        <v>4389</v>
      </c>
      <c r="D23" s="635">
        <f>SUM(D18:D19,D21)</f>
        <v>0</v>
      </c>
      <c r="E23" s="515"/>
      <c r="F23" s="515"/>
      <c r="G23" s="513">
        <f t="shared" ref="G23:H23" si="0">SUM(G18:G19,G21)</f>
        <v>0</v>
      </c>
      <c r="H23" s="513">
        <f t="shared" si="0"/>
        <v>0</v>
      </c>
      <c r="I23" s="83">
        <f>SUM(I18:I19,I21)</f>
        <v>0</v>
      </c>
      <c r="J23" s="83">
        <f>SUM(J18:J19,J21)</f>
        <v>0</v>
      </c>
      <c r="K23" s="634"/>
      <c r="L23" s="138"/>
    </row>
    <row r="24" spans="2:15" x14ac:dyDescent="0.3">
      <c r="B24" s="149"/>
      <c r="C24" s="693" t="s">
        <v>2141</v>
      </c>
      <c r="D24" s="187">
        <f>MAX(0,($F$54+D23))</f>
        <v>0</v>
      </c>
      <c r="F24" s="506"/>
      <c r="K24" s="151"/>
    </row>
    <row r="25" spans="2:15" x14ac:dyDescent="0.3">
      <c r="B25" s="149"/>
      <c r="K25" s="151"/>
    </row>
    <row r="26" spans="2:15" ht="13.5" thickBot="1" x14ac:dyDescent="0.35">
      <c r="B26" s="153"/>
      <c r="C26" s="155"/>
      <c r="D26" s="516"/>
      <c r="E26" s="155"/>
      <c r="F26" s="517"/>
      <c r="G26" s="155"/>
      <c r="H26" s="581"/>
      <c r="I26" s="581"/>
      <c r="J26" s="581"/>
      <c r="K26" s="156"/>
    </row>
    <row r="27" spans="2:15" ht="13.5" thickBot="1" x14ac:dyDescent="0.35"/>
    <row r="28" spans="2:15" x14ac:dyDescent="0.3">
      <c r="B28" s="144"/>
      <c r="C28" s="145"/>
      <c r="D28" s="146"/>
      <c r="E28" s="147"/>
      <c r="F28" s="147"/>
      <c r="G28" s="147"/>
      <c r="H28" s="145"/>
      <c r="I28" s="145"/>
      <c r="J28" s="145"/>
      <c r="K28" s="148"/>
    </row>
    <row r="29" spans="2:15" ht="14.5" x14ac:dyDescent="0.35">
      <c r="B29" s="149"/>
      <c r="C29" s="582" t="s">
        <v>238</v>
      </c>
      <c r="D29" s="27"/>
      <c r="E29" s="150"/>
      <c r="G29" s="150"/>
      <c r="K29" s="151"/>
    </row>
    <row r="30" spans="2:15" ht="14.5" x14ac:dyDescent="0.35">
      <c r="B30" s="149"/>
      <c r="D30" s="436" t="s">
        <v>2160</v>
      </c>
      <c r="E30" s="150"/>
      <c r="F30" s="188">
        <f>Input!F17</f>
        <v>0</v>
      </c>
      <c r="G30" s="150"/>
      <c r="K30" s="151"/>
    </row>
    <row r="31" spans="2:15" ht="14.5" x14ac:dyDescent="0.35">
      <c r="B31" s="149"/>
      <c r="D31" s="27"/>
      <c r="E31" s="150"/>
      <c r="F31" s="15"/>
      <c r="G31" s="150"/>
      <c r="K31" s="151"/>
    </row>
    <row r="32" spans="2:15" ht="14.5" x14ac:dyDescent="0.35">
      <c r="B32" s="149"/>
      <c r="C32" s="27" t="s">
        <v>251</v>
      </c>
      <c r="D32" s="27" t="s">
        <v>2161</v>
      </c>
      <c r="F32" s="188">
        <f>Input!F20</f>
        <v>0</v>
      </c>
      <c r="G32" s="150"/>
      <c r="I32" s="630"/>
      <c r="J32" s="630"/>
      <c r="K32" s="584"/>
      <c r="L32" s="630"/>
    </row>
    <row r="33" spans="2:12" ht="14.5" x14ac:dyDescent="0.35">
      <c r="B33" s="149"/>
      <c r="C33" s="27" t="s">
        <v>253</v>
      </c>
      <c r="D33" s="27" t="s">
        <v>2162</v>
      </c>
      <c r="F33" s="188">
        <f>-Input!F25</f>
        <v>0</v>
      </c>
      <c r="G33" s="150"/>
      <c r="I33" s="630"/>
      <c r="J33" s="630"/>
      <c r="K33" s="584"/>
      <c r="L33" s="630"/>
    </row>
    <row r="34" spans="2:12" ht="14.5" x14ac:dyDescent="0.35">
      <c r="B34" s="149"/>
      <c r="C34" s="27" t="s">
        <v>253</v>
      </c>
      <c r="D34" s="27" t="s">
        <v>2163</v>
      </c>
      <c r="F34" s="188">
        <f>-Input!F21</f>
        <v>0</v>
      </c>
      <c r="G34" s="150"/>
      <c r="I34" s="630"/>
      <c r="J34" s="630"/>
      <c r="K34" s="584"/>
      <c r="L34" s="630"/>
    </row>
    <row r="35" spans="2:12" ht="14.5" x14ac:dyDescent="0.35">
      <c r="B35" s="149"/>
      <c r="C35" s="27" t="s">
        <v>253</v>
      </c>
      <c r="D35" s="27" t="s">
        <v>2164</v>
      </c>
      <c r="F35" s="188">
        <f>-(F36+F37)</f>
        <v>0</v>
      </c>
      <c r="G35" s="150"/>
      <c r="H35" s="585"/>
      <c r="K35" s="151"/>
    </row>
    <row r="36" spans="2:12" ht="14.5" hidden="1" outlineLevel="1" x14ac:dyDescent="0.35">
      <c r="B36" s="149"/>
      <c r="C36" s="520" t="s">
        <v>4118</v>
      </c>
      <c r="D36" s="520" t="s">
        <v>1410</v>
      </c>
      <c r="F36" s="188">
        <f>MAX(0,Input!F28)</f>
        <v>0</v>
      </c>
      <c r="G36" s="150"/>
      <c r="K36" s="151"/>
    </row>
    <row r="37" spans="2:12" ht="14.5" hidden="1" outlineLevel="1" x14ac:dyDescent="0.35">
      <c r="B37" s="149"/>
      <c r="C37" s="520" t="s">
        <v>4118</v>
      </c>
      <c r="D37" s="520" t="s">
        <v>1411</v>
      </c>
      <c r="F37" s="188">
        <f>Input!F29</f>
        <v>0</v>
      </c>
      <c r="G37" s="150"/>
      <c r="K37" s="151"/>
    </row>
    <row r="38" spans="2:12" ht="14.5" collapsed="1" x14ac:dyDescent="0.35">
      <c r="B38" s="149"/>
      <c r="C38" s="27" t="s">
        <v>254</v>
      </c>
      <c r="D38" s="27" t="s">
        <v>2165</v>
      </c>
      <c r="F38" s="188">
        <f>F40-(F39+F41)</f>
        <v>0</v>
      </c>
      <c r="G38" s="150"/>
      <c r="K38" s="151"/>
    </row>
    <row r="39" spans="2:12" ht="14.5" hidden="1" outlineLevel="1" x14ac:dyDescent="0.35">
      <c r="B39" s="149"/>
      <c r="C39" s="520" t="s">
        <v>4118</v>
      </c>
      <c r="D39" s="520" t="s">
        <v>1412</v>
      </c>
      <c r="F39" s="188">
        <f>Input!F22</f>
        <v>0</v>
      </c>
      <c r="G39" s="150"/>
      <c r="K39" s="151"/>
    </row>
    <row r="40" spans="2:12" ht="14.5" hidden="1" outlineLevel="1" x14ac:dyDescent="0.35">
      <c r="B40" s="149"/>
      <c r="C40" s="520" t="s">
        <v>4119</v>
      </c>
      <c r="D40" s="520" t="s">
        <v>1423</v>
      </c>
      <c r="F40" s="188">
        <f>Input!F23</f>
        <v>0</v>
      </c>
      <c r="G40" s="150"/>
      <c r="K40" s="151"/>
    </row>
    <row r="41" spans="2:12" ht="14.5" hidden="1" outlineLevel="1" x14ac:dyDescent="0.35">
      <c r="B41" s="149"/>
      <c r="C41" s="520" t="s">
        <v>4118</v>
      </c>
      <c r="D41" s="520" t="s">
        <v>1413</v>
      </c>
      <c r="F41" s="188">
        <f>Input!F24</f>
        <v>0</v>
      </c>
      <c r="G41" s="150"/>
      <c r="K41" s="151"/>
    </row>
    <row r="42" spans="2:12" ht="14.5" collapsed="1" x14ac:dyDescent="0.35">
      <c r="B42" s="149"/>
      <c r="C42" s="27" t="s">
        <v>254</v>
      </c>
      <c r="D42" s="27" t="s">
        <v>4142</v>
      </c>
      <c r="F42" s="188">
        <f>Input!F32+IF(OR(ISBLANK(Input!F33), ISBLANK(Input!F34)), 0, (Input!F33-Input!F34))*(1-inp_appl_tax_rate)</f>
        <v>0</v>
      </c>
      <c r="G42" s="586"/>
      <c r="K42" s="151"/>
    </row>
    <row r="43" spans="2:12" ht="14.5" x14ac:dyDescent="0.35">
      <c r="B43" s="149"/>
      <c r="C43" s="27" t="s">
        <v>254</v>
      </c>
      <c r="D43" s="27" t="s">
        <v>2166</v>
      </c>
      <c r="F43" s="188">
        <f>F44+F45+F46</f>
        <v>0</v>
      </c>
      <c r="G43" s="150"/>
      <c r="K43" s="151"/>
    </row>
    <row r="44" spans="2:12" ht="14.5" hidden="1" outlineLevel="1" x14ac:dyDescent="0.35">
      <c r="B44" s="149"/>
      <c r="C44" s="520" t="s">
        <v>4119</v>
      </c>
      <c r="D44" s="520" t="s">
        <v>1414</v>
      </c>
      <c r="F44" s="188">
        <f>Input!F43</f>
        <v>0</v>
      </c>
      <c r="G44" s="150"/>
      <c r="H44" s="585"/>
      <c r="K44" s="151"/>
    </row>
    <row r="45" spans="2:12" ht="14.5" hidden="1" outlineLevel="1" x14ac:dyDescent="0.35">
      <c r="B45" s="149"/>
      <c r="C45" s="520" t="s">
        <v>4119</v>
      </c>
      <c r="D45" s="520" t="s">
        <v>1420</v>
      </c>
      <c r="F45" s="188">
        <f>F13</f>
        <v>0</v>
      </c>
      <c r="G45" s="150"/>
      <c r="H45" s="585"/>
      <c r="K45" s="151"/>
    </row>
    <row r="46" spans="2:12" ht="14.5" hidden="1" outlineLevel="1" x14ac:dyDescent="0.35">
      <c r="B46" s="149"/>
      <c r="C46" s="520" t="s">
        <v>4119</v>
      </c>
      <c r="D46" s="520" t="s">
        <v>1415</v>
      </c>
      <c r="F46" s="188">
        <f>Input!F44</f>
        <v>0</v>
      </c>
      <c r="G46" s="150"/>
      <c r="H46" s="585"/>
      <c r="K46" s="151"/>
    </row>
    <row r="47" spans="2:12" ht="14.5" collapsed="1" x14ac:dyDescent="0.35">
      <c r="B47" s="149"/>
      <c r="C47" s="27" t="s">
        <v>254</v>
      </c>
      <c r="D47" s="27" t="s">
        <v>2167</v>
      </c>
      <c r="F47" s="188">
        <f>F48+F49+F50</f>
        <v>0</v>
      </c>
      <c r="G47" s="150"/>
      <c r="K47" s="151"/>
    </row>
    <row r="48" spans="2:12" ht="14.5" hidden="1" outlineLevel="1" x14ac:dyDescent="0.35">
      <c r="B48" s="149"/>
      <c r="C48" s="520" t="s">
        <v>4119</v>
      </c>
      <c r="D48" s="520" t="s">
        <v>3104</v>
      </c>
      <c r="F48" s="188">
        <f>Input!F48</f>
        <v>0</v>
      </c>
      <c r="G48" s="150"/>
      <c r="K48" s="151"/>
    </row>
    <row r="49" spans="2:11" ht="14.5" hidden="1" outlineLevel="1" x14ac:dyDescent="0.35">
      <c r="B49" s="149"/>
      <c r="C49" s="520" t="s">
        <v>4119</v>
      </c>
      <c r="D49" s="520" t="s">
        <v>1416</v>
      </c>
      <c r="F49" s="188">
        <f>Input!F51</f>
        <v>0</v>
      </c>
      <c r="G49" s="150"/>
      <c r="K49" s="151"/>
    </row>
    <row r="50" spans="2:11" ht="14.5" hidden="1" outlineLevel="1" x14ac:dyDescent="0.35">
      <c r="B50" s="149"/>
      <c r="C50" s="520" t="s">
        <v>4119</v>
      </c>
      <c r="D50" s="520" t="s">
        <v>1417</v>
      </c>
      <c r="F50" s="188">
        <f>Input!F50</f>
        <v>0</v>
      </c>
      <c r="G50" s="150"/>
      <c r="K50" s="151"/>
    </row>
    <row r="51" spans="2:11" ht="14.5" collapsed="1" x14ac:dyDescent="0.35">
      <c r="B51" s="149"/>
      <c r="D51" s="27"/>
      <c r="E51" s="27"/>
      <c r="F51" s="27"/>
      <c r="G51" s="150"/>
      <c r="K51" s="151"/>
    </row>
    <row r="52" spans="2:11" ht="14.5" x14ac:dyDescent="0.35">
      <c r="B52" s="149"/>
      <c r="D52" s="587" t="s">
        <v>1404</v>
      </c>
      <c r="F52" s="188">
        <f>SUM(F30:F35,F38,F42:F43,F47)</f>
        <v>0</v>
      </c>
      <c r="G52" s="150"/>
      <c r="K52" s="151"/>
    </row>
    <row r="53" spans="2:11" ht="14.5" x14ac:dyDescent="0.35">
      <c r="B53" s="149"/>
      <c r="C53" s="27" t="s">
        <v>254</v>
      </c>
      <c r="D53" s="27" t="s">
        <v>1406</v>
      </c>
      <c r="F53" s="188">
        <f>SUMIF(Adjustment!$D$30:$D$49,Lists!$M$4,Adjustment!E$30:E$49)</f>
        <v>0</v>
      </c>
      <c r="G53" s="150"/>
      <c r="K53" s="151"/>
    </row>
    <row r="54" spans="2:11" ht="14.5" x14ac:dyDescent="0.35">
      <c r="B54" s="149"/>
      <c r="D54" s="587" t="s">
        <v>1405</v>
      </c>
      <c r="F54" s="188">
        <f>F52+F53</f>
        <v>0</v>
      </c>
      <c r="G54" s="150"/>
      <c r="K54" s="151"/>
    </row>
    <row r="55" spans="2:11" ht="14.5" x14ac:dyDescent="0.35">
      <c r="B55" s="149"/>
      <c r="G55" s="150"/>
      <c r="K55" s="151"/>
    </row>
    <row r="56" spans="2:11" ht="14.5" x14ac:dyDescent="0.35">
      <c r="B56" s="149"/>
      <c r="C56" s="27" t="s">
        <v>252</v>
      </c>
      <c r="D56" s="27" t="s">
        <v>2168</v>
      </c>
      <c r="F56" s="188">
        <f>F57+F58-F59</f>
        <v>0</v>
      </c>
      <c r="G56" s="150"/>
      <c r="K56" s="151"/>
    </row>
    <row r="57" spans="2:11" ht="14.5" hidden="1" outlineLevel="1" x14ac:dyDescent="0.35">
      <c r="B57" s="149"/>
      <c r="C57" s="520" t="s">
        <v>4119</v>
      </c>
      <c r="D57" s="520" t="s">
        <v>1419</v>
      </c>
      <c r="F57" s="188">
        <f>G18+G19</f>
        <v>0</v>
      </c>
      <c r="G57" s="150"/>
      <c r="K57" s="151"/>
    </row>
    <row r="58" spans="2:11" ht="14.5" hidden="1" outlineLevel="1" x14ac:dyDescent="0.35">
      <c r="B58" s="149"/>
      <c r="C58" s="520" t="s">
        <v>4119</v>
      </c>
      <c r="D58" s="520" t="s">
        <v>1418</v>
      </c>
      <c r="F58" s="188">
        <f>G21</f>
        <v>0</v>
      </c>
      <c r="G58" s="150"/>
      <c r="H58" s="588"/>
      <c r="K58" s="151"/>
    </row>
    <row r="59" spans="2:11" ht="14.5" hidden="1" outlineLevel="1" x14ac:dyDescent="0.35">
      <c r="B59" s="149"/>
      <c r="C59" s="520" t="s">
        <v>4118</v>
      </c>
      <c r="D59" s="520" t="s">
        <v>4134</v>
      </c>
      <c r="F59" s="188">
        <f>IF(inp_tac_is_debt_eligible="Yes",MIN(MAX(G21-Input!F65,0), Input!F67*MAX(N22,Input!F68)), 0)</f>
        <v>0</v>
      </c>
      <c r="G59" s="150"/>
      <c r="H59" s="588"/>
      <c r="K59" s="151"/>
    </row>
    <row r="60" spans="2:11" ht="14.5" collapsed="1" x14ac:dyDescent="0.35">
      <c r="B60" s="149"/>
      <c r="C60" s="27" t="s">
        <v>255</v>
      </c>
      <c r="D60" s="27" t="s">
        <v>4467</v>
      </c>
      <c r="F60" s="188">
        <f>-Input!F73-Input!F74</f>
        <v>0</v>
      </c>
      <c r="G60" s="150"/>
      <c r="H60" s="588"/>
      <c r="K60" s="151"/>
    </row>
    <row r="61" spans="2:11" ht="14.5" x14ac:dyDescent="0.35">
      <c r="B61" s="149"/>
      <c r="C61" s="27" t="s">
        <v>252</v>
      </c>
      <c r="D61" s="27" t="s">
        <v>4155</v>
      </c>
      <c r="F61" s="188">
        <f>Input!F53</f>
        <v>0</v>
      </c>
      <c r="G61" s="150"/>
      <c r="K61" s="151"/>
    </row>
    <row r="62" spans="2:11" ht="14.4" customHeight="1" x14ac:dyDescent="0.35">
      <c r="B62" s="149"/>
      <c r="C62" s="27" t="s">
        <v>252</v>
      </c>
      <c r="D62" s="27" t="s">
        <v>4156</v>
      </c>
      <c r="F62" s="188">
        <f>Input!F55</f>
        <v>0</v>
      </c>
      <c r="G62" s="150"/>
      <c r="K62" s="151"/>
    </row>
    <row r="63" spans="2:11" ht="14.5" x14ac:dyDescent="0.35">
      <c r="B63" s="149"/>
      <c r="C63" s="27" t="s">
        <v>254</v>
      </c>
      <c r="D63" s="620" t="s">
        <v>1409</v>
      </c>
      <c r="F63" s="188">
        <f>SUMIF(Adjustment!$D$30:$D$49,Lists!$M$3,Adjustment!E$30:E$49)</f>
        <v>0</v>
      </c>
      <c r="G63" s="150"/>
      <c r="K63" s="151"/>
    </row>
    <row r="64" spans="2:11" ht="14.5" x14ac:dyDescent="0.35">
      <c r="B64" s="149"/>
      <c r="D64" s="587" t="s">
        <v>801</v>
      </c>
      <c r="E64" s="152"/>
      <c r="F64" s="188">
        <f>F54+SUM(F56,F60:F63)</f>
        <v>0</v>
      </c>
      <c r="G64" s="150"/>
      <c r="K64" s="151"/>
    </row>
    <row r="65" spans="2:11" ht="14.5" x14ac:dyDescent="0.35">
      <c r="B65" s="149"/>
      <c r="G65" s="150"/>
      <c r="K65" s="151"/>
    </row>
    <row r="66" spans="2:11" ht="14.5" x14ac:dyDescent="0.35">
      <c r="B66" s="149"/>
      <c r="C66" s="589"/>
      <c r="D66" s="583"/>
      <c r="E66" s="152"/>
      <c r="F66" s="506"/>
      <c r="G66" s="150"/>
      <c r="K66" s="151"/>
    </row>
    <row r="67" spans="2:11" ht="12" customHeight="1" thickBot="1" x14ac:dyDescent="0.35">
      <c r="B67" s="153"/>
      <c r="C67" s="154"/>
      <c r="D67" s="154"/>
      <c r="E67" s="154"/>
      <c r="F67" s="155"/>
      <c r="G67" s="154"/>
      <c r="H67" s="581"/>
      <c r="I67" s="581"/>
      <c r="J67" s="581"/>
      <c r="K67" s="156"/>
    </row>
    <row r="68" spans="2:11" ht="12" customHeight="1" x14ac:dyDescent="0.3">
      <c r="C68" s="152"/>
      <c r="D68" s="152"/>
      <c r="E68" s="152"/>
      <c r="G68" s="152"/>
    </row>
    <row r="69" spans="2:11" ht="14.5" x14ac:dyDescent="0.35">
      <c r="D69" s="150"/>
      <c r="E69" s="150"/>
      <c r="G69" s="150"/>
    </row>
    <row r="70" spans="2:11" ht="14.5" x14ac:dyDescent="0.35">
      <c r="C70" s="152"/>
      <c r="D70" s="150"/>
      <c r="E70" s="150"/>
      <c r="G70" s="150"/>
    </row>
    <row r="71" spans="2:11" ht="14.5" x14ac:dyDescent="0.35">
      <c r="C71" s="152"/>
      <c r="D71" s="150"/>
      <c r="E71" s="150"/>
      <c r="G71" s="150"/>
    </row>
    <row r="131" spans="1:7" x14ac:dyDescent="0.3">
      <c r="F131" s="27"/>
    </row>
    <row r="132" spans="1:7" x14ac:dyDescent="0.3">
      <c r="F132" s="27"/>
    </row>
    <row r="133" spans="1:7" x14ac:dyDescent="0.3">
      <c r="F133" s="27"/>
    </row>
    <row r="134" spans="1:7" x14ac:dyDescent="0.3">
      <c r="F134" s="27"/>
    </row>
    <row r="135" spans="1:7" x14ac:dyDescent="0.3">
      <c r="F135" s="27"/>
    </row>
    <row r="136" spans="1:7" x14ac:dyDescent="0.3">
      <c r="F136" s="27"/>
    </row>
    <row r="137" spans="1:7" x14ac:dyDescent="0.3">
      <c r="A137" s="27"/>
      <c r="B137" s="27"/>
      <c r="D137" s="27"/>
      <c r="E137" s="27"/>
      <c r="F137" s="27"/>
      <c r="G137" s="27"/>
    </row>
    <row r="138" spans="1:7" x14ac:dyDescent="0.3">
      <c r="A138" s="27"/>
      <c r="B138" s="27"/>
      <c r="D138" s="27"/>
      <c r="E138" s="27"/>
      <c r="F138" s="27"/>
      <c r="G138" s="27"/>
    </row>
    <row r="139" spans="1:7" x14ac:dyDescent="0.3">
      <c r="A139" s="27"/>
      <c r="B139" s="27"/>
      <c r="D139" s="27"/>
      <c r="E139" s="27"/>
      <c r="F139" s="27"/>
      <c r="G139" s="27"/>
    </row>
    <row r="140" spans="1:7" x14ac:dyDescent="0.3">
      <c r="A140" s="27"/>
      <c r="B140" s="27"/>
      <c r="D140" s="27"/>
      <c r="E140" s="27"/>
      <c r="F140" s="27"/>
      <c r="G140" s="27"/>
    </row>
    <row r="141" spans="1:7" x14ac:dyDescent="0.3">
      <c r="A141" s="27"/>
      <c r="B141" s="27"/>
      <c r="D141" s="27"/>
      <c r="E141" s="27"/>
      <c r="F141" s="27"/>
      <c r="G141" s="27"/>
    </row>
    <row r="142" spans="1:7" x14ac:dyDescent="0.3">
      <c r="A142" s="27"/>
      <c r="B142" s="27"/>
      <c r="D142" s="27"/>
      <c r="E142" s="27"/>
      <c r="F142" s="27"/>
      <c r="G142" s="27"/>
    </row>
    <row r="143" spans="1:7" x14ac:dyDescent="0.3">
      <c r="A143" s="27"/>
      <c r="B143" s="27"/>
      <c r="D143" s="27"/>
      <c r="E143" s="27"/>
      <c r="F143" s="27"/>
      <c r="G143" s="27"/>
    </row>
    <row r="144" spans="1:7" x14ac:dyDescent="0.3">
      <c r="A144" s="27"/>
      <c r="B144" s="27"/>
      <c r="D144" s="27"/>
      <c r="E144" s="27"/>
      <c r="F144" s="27"/>
      <c r="G144" s="27"/>
    </row>
    <row r="145" s="27" customFormat="1" x14ac:dyDescent="0.3"/>
    <row r="146" s="27" customFormat="1" x14ac:dyDescent="0.3"/>
    <row r="147" s="27" customFormat="1" x14ac:dyDescent="0.3"/>
    <row r="148" s="27" customFormat="1" x14ac:dyDescent="0.3"/>
    <row r="149" s="27" customFormat="1" x14ac:dyDescent="0.3"/>
    <row r="150" s="27" customFormat="1" x14ac:dyDescent="0.3"/>
    <row r="151" s="27" customFormat="1" x14ac:dyDescent="0.3"/>
    <row r="152" s="27" customFormat="1" x14ac:dyDescent="0.3"/>
    <row r="153" s="27" customFormat="1" x14ac:dyDescent="0.3"/>
    <row r="154" s="27" customFormat="1" x14ac:dyDescent="0.3"/>
    <row r="155" s="27" customFormat="1" x14ac:dyDescent="0.3"/>
    <row r="156" s="27" customFormat="1" x14ac:dyDescent="0.3"/>
    <row r="157" s="27" customFormat="1" x14ac:dyDescent="0.3"/>
    <row r="158" s="27" customFormat="1" x14ac:dyDescent="0.3"/>
    <row r="176" spans="4:6" x14ac:dyDescent="0.3">
      <c r="D176" s="27"/>
      <c r="E176" s="27"/>
      <c r="F176" s="27"/>
    </row>
    <row r="177" spans="4:6" x14ac:dyDescent="0.3">
      <c r="D177" s="27"/>
      <c r="E177" s="27"/>
      <c r="F177" s="27"/>
    </row>
    <row r="178" spans="4:6" x14ac:dyDescent="0.3">
      <c r="D178" s="27"/>
      <c r="E178" s="27"/>
      <c r="F178" s="27"/>
    </row>
    <row r="179" spans="4:6" x14ac:dyDescent="0.3">
      <c r="D179" s="27"/>
      <c r="E179" s="27"/>
      <c r="F179" s="27"/>
    </row>
  </sheetData>
  <sheetProtection algorithmName="SHA-512" hashValue="dp54rH2JiREJaXPTFjzzszycWZQZQlsNO8Kr+rETeTehJ4eCSt8LqBk7l+JaecofmZuIxdQ5a2aSEIdAuTNc3g==" saltValue="6hRaF6YoG0SCs5nr9RCGSA==" spinCount="100000" sheet="1" objects="1" scenarios="1" formatColumns="0" formatRows="0"/>
  <conditionalFormatting sqref="B3:C3 A1:Q2 E3:Q3 A4:Q16 A25:Q101 K17:Q23 A17:I17 A18:B24 D24:Q24 D18:I23">
    <cfRule type="expression" dxfId="48" priority="10">
      <formula>_xlfn.ISFORMULA(A1)</formula>
    </cfRule>
  </conditionalFormatting>
  <conditionalFormatting sqref="J17:J22">
    <cfRule type="expression" dxfId="47" priority="3">
      <formula>_xlfn.ISFORMULA(J17)</formula>
    </cfRule>
  </conditionalFormatting>
  <conditionalFormatting sqref="J23">
    <cfRule type="expression" dxfId="46" priority="2">
      <formula>_xlfn.ISFORMULA(J23)</formula>
    </cfRule>
  </conditionalFormatting>
  <conditionalFormatting sqref="C18:C24">
    <cfRule type="expression" dxfId="45" priority="1">
      <formula>_xlfn.ISFORMULA(C18)</formula>
    </cfRule>
  </conditionalFormatting>
  <printOptions headings="1"/>
  <pageMargins left="0.66929133858267698" right="0.47244094488188998" top="0.59055118110236204" bottom="0.59055118110236204" header="0.511811023622047" footer="0.511811023622047"/>
  <pageSetup paperSize="9" scale="48" orientation="landscape" cellComments="asDisplayed" r:id="rId1"/>
  <headerFooter alignWithMargins="0">
    <oddFooter>Page &amp;P of &amp;N</oddFooter>
  </headerFooter>
  <ignoredErrors>
    <ignoredError sqref="I23" 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59E3D-31C4-4227-8B31-3C0436CAEDD5}">
  <sheetPr codeName="Sheet5">
    <tabColor theme="6" tint="0.39997558519241921"/>
  </sheetPr>
  <dimension ref="A1:CC224"/>
  <sheetViews>
    <sheetView showGridLines="0" zoomScaleNormal="100" workbookViewId="0"/>
  </sheetViews>
  <sheetFormatPr defaultColWidth="8.90625" defaultRowHeight="13" outlineLevelRow="1" x14ac:dyDescent="0.3"/>
  <cols>
    <col min="1" max="1" width="4" style="35" customWidth="1"/>
    <col min="2" max="2" width="12.36328125" style="35" customWidth="1"/>
    <col min="3" max="3" width="27.453125" style="35" bestFit="1" customWidth="1"/>
    <col min="4" max="4" width="12.08984375" style="35" customWidth="1"/>
    <col min="5" max="5" width="11" style="35" customWidth="1"/>
    <col min="6" max="7" width="11.6328125" style="35" bestFit="1" customWidth="1"/>
    <col min="8" max="8" width="11.36328125" style="35" customWidth="1"/>
    <col min="9" max="9" width="12.36328125" style="35" customWidth="1"/>
    <col min="10" max="10" width="10.453125" style="35" customWidth="1"/>
    <col min="11" max="11" width="11" style="35" customWidth="1"/>
    <col min="12" max="12" width="12.453125" style="35" customWidth="1"/>
    <col min="13" max="13" width="9.36328125" style="168" customWidth="1"/>
    <col min="14" max="14" width="14.90625" style="106" bestFit="1" customWidth="1"/>
    <col min="15" max="15" width="13.36328125" style="106" customWidth="1"/>
    <col min="16" max="16" width="11.54296875" style="168" customWidth="1"/>
    <col min="17" max="17" width="10.6328125" style="35" bestFit="1" customWidth="1"/>
    <col min="18" max="18" width="12.6328125" style="35" customWidth="1"/>
    <col min="19" max="21" width="8.90625" style="35"/>
    <col min="22" max="22" width="13" style="35" customWidth="1"/>
    <col min="23" max="23" width="11.6328125" style="35" customWidth="1"/>
    <col min="24" max="24" width="14.90625" style="35" bestFit="1" customWidth="1"/>
    <col min="25" max="25" width="14.90625" style="35" customWidth="1"/>
    <col min="26" max="26" width="9.08984375" style="35" customWidth="1"/>
    <col min="27" max="33" width="8.90625" style="35"/>
    <col min="34" max="34" width="14.90625" style="35" bestFit="1" customWidth="1"/>
    <col min="35" max="35" width="8.90625" style="35" customWidth="1"/>
    <col min="36" max="36" width="14.90625" style="35" bestFit="1" customWidth="1"/>
    <col min="37" max="43" width="8.90625" style="35"/>
    <col min="44" max="44" width="11.6328125" style="35" customWidth="1"/>
    <col min="45" max="53" width="8.90625" style="35"/>
    <col min="54" max="54" width="15.453125" style="35" customWidth="1"/>
    <col min="55" max="16384" width="8.90625" style="35"/>
  </cols>
  <sheetData>
    <row r="1" spans="1:11" ht="42.65" customHeight="1" x14ac:dyDescent="0.3">
      <c r="A1" s="189"/>
    </row>
    <row r="2" spans="1:11" x14ac:dyDescent="0.3">
      <c r="B2" s="46" t="s">
        <v>357</v>
      </c>
      <c r="C2" s="48"/>
      <c r="D2" s="48"/>
      <c r="E2" s="48"/>
      <c r="F2" s="48"/>
      <c r="G2" s="48"/>
      <c r="H2" s="48"/>
      <c r="I2" s="48"/>
      <c r="J2" s="48"/>
      <c r="K2" s="48"/>
    </row>
    <row r="3" spans="1:11" hidden="1" outlineLevel="1" x14ac:dyDescent="0.3"/>
    <row r="4" spans="1:11" hidden="1" outlineLevel="1" x14ac:dyDescent="0.3">
      <c r="C4" s="57"/>
      <c r="D4" s="58">
        <v>0.99990000000000001</v>
      </c>
      <c r="E4" s="58">
        <v>0.99950000000000006</v>
      </c>
      <c r="F4" s="58">
        <v>0.998</v>
      </c>
      <c r="G4" s="58">
        <v>0.995</v>
      </c>
    </row>
    <row r="5" spans="1:11" hidden="1" outlineLevel="1" x14ac:dyDescent="0.3">
      <c r="C5" s="52" t="s">
        <v>235</v>
      </c>
      <c r="D5" s="190">
        <f>SUM(D9,D13,D17)</f>
        <v>0</v>
      </c>
      <c r="E5" s="190">
        <f>SUM(E9,E13,E17)</f>
        <v>0</v>
      </c>
      <c r="F5" s="190">
        <f>SUM(F9,F13,F17)</f>
        <v>0</v>
      </c>
      <c r="G5" s="190">
        <f>SUM(G9,G13,G17)</f>
        <v>0</v>
      </c>
    </row>
    <row r="6" spans="1:11" hidden="1" outlineLevel="1" x14ac:dyDescent="0.3">
      <c r="C6" s="52" t="s">
        <v>276</v>
      </c>
      <c r="D6" s="192">
        <f>SUMIF(Adjustment!$L$5:$L$24,Lists!$L$3,Adjustment!M$5:M$24)</f>
        <v>0</v>
      </c>
      <c r="E6" s="192">
        <f>SUMIF(Adjustment!$L$5:$L$24,Lists!$L$3,Adjustment!N$5:N$24)</f>
        <v>0</v>
      </c>
      <c r="F6" s="192">
        <f>SUMIF(Adjustment!$L$5:$L$24,Lists!$L$3,Adjustment!O$5:O$24)</f>
        <v>0</v>
      </c>
      <c r="G6" s="192">
        <f>SUMIF(Adjustment!$L$5:$L$24,Lists!$L$3,Adjustment!P$5:P$24)</f>
        <v>0</v>
      </c>
    </row>
    <row r="7" spans="1:11" hidden="1" outlineLevel="1" x14ac:dyDescent="0.3">
      <c r="C7" s="52" t="s">
        <v>356</v>
      </c>
      <c r="D7" s="192">
        <f>D5+D6+D10+D18+D14</f>
        <v>0</v>
      </c>
      <c r="E7" s="192">
        <f t="shared" ref="E7:G7" si="0">E5+E6+E10+E18+E14</f>
        <v>0</v>
      </c>
      <c r="F7" s="192">
        <f t="shared" si="0"/>
        <v>0</v>
      </c>
      <c r="G7" s="192">
        <f t="shared" si="0"/>
        <v>0</v>
      </c>
    </row>
    <row r="8" spans="1:11" hidden="1" outlineLevel="1" x14ac:dyDescent="0.3">
      <c r="C8" s="50"/>
      <c r="D8" s="191"/>
      <c r="E8" s="191"/>
      <c r="F8" s="191"/>
      <c r="G8" s="191"/>
    </row>
    <row r="9" spans="1:11" hidden="1" outlineLevel="1" x14ac:dyDescent="0.3">
      <c r="C9" s="52" t="s">
        <v>358</v>
      </c>
      <c r="D9" s="190">
        <f>D156</f>
        <v>0</v>
      </c>
      <c r="E9" s="190">
        <f>E156</f>
        <v>0</v>
      </c>
      <c r="F9" s="190">
        <f>F156</f>
        <v>0</v>
      </c>
      <c r="G9" s="190">
        <f>G156</f>
        <v>0</v>
      </c>
    </row>
    <row r="10" spans="1:11" hidden="1" outlineLevel="1" x14ac:dyDescent="0.3">
      <c r="C10" s="52" t="s">
        <v>276</v>
      </c>
      <c r="D10" s="192">
        <f>SUMIF(Adjustment!$L$5:$L$24,Lists!$L$9,Adjustment!M$5:M$24)</f>
        <v>0</v>
      </c>
      <c r="E10" s="192">
        <f>SUMIF(Adjustment!$L$5:$L$24,Lists!$L$9,Adjustment!N$5:N$24)</f>
        <v>0</v>
      </c>
      <c r="F10" s="192">
        <f>SUMIF(Adjustment!$L$5:$L$24,Lists!$L$9,Adjustment!O$5:O$24)</f>
        <v>0</v>
      </c>
      <c r="G10" s="192">
        <f>SUMIF(Adjustment!$L$5:$L$24,Lists!$L$9,Adjustment!P$5:P$24)</f>
        <v>0</v>
      </c>
    </row>
    <row r="11" spans="1:11" hidden="1" outlineLevel="1" x14ac:dyDescent="0.3">
      <c r="C11" s="52" t="s">
        <v>356</v>
      </c>
      <c r="D11" s="192">
        <f>D9+D10</f>
        <v>0</v>
      </c>
      <c r="E11" s="192">
        <f t="shared" ref="E11" si="1">E9+E10</f>
        <v>0</v>
      </c>
      <c r="F11" s="192">
        <f t="shared" ref="F11" si="2">F9+F10</f>
        <v>0</v>
      </c>
      <c r="G11" s="192">
        <f t="shared" ref="G11" si="3">G9+G10</f>
        <v>0</v>
      </c>
    </row>
    <row r="12" spans="1:11" hidden="1" outlineLevel="1" x14ac:dyDescent="0.3">
      <c r="C12" s="50"/>
      <c r="D12" s="191"/>
      <c r="E12" s="191"/>
      <c r="F12" s="191"/>
      <c r="G12" s="191"/>
    </row>
    <row r="13" spans="1:11" hidden="1" outlineLevel="1" x14ac:dyDescent="0.3">
      <c r="C13" s="52" t="s">
        <v>370</v>
      </c>
      <c r="D13" s="190">
        <f>'Interest Rate Risk'!W46</f>
        <v>0</v>
      </c>
      <c r="E13" s="190">
        <f>'Interest Rate Risk'!Y46</f>
        <v>0</v>
      </c>
      <c r="F13" s="190">
        <f>'Interest Rate Risk'!AA46</f>
        <v>0</v>
      </c>
      <c r="G13" s="190">
        <f>'Interest Rate Risk'!AC46</f>
        <v>0</v>
      </c>
    </row>
    <row r="14" spans="1:11" hidden="1" outlineLevel="1" x14ac:dyDescent="0.3">
      <c r="C14" s="52" t="s">
        <v>276</v>
      </c>
      <c r="D14" s="192">
        <f>SUMIF(Adjustment!$L$5:$L$24,Lists!$L$11,Adjustment!M$5:M$24)</f>
        <v>0</v>
      </c>
      <c r="E14" s="192">
        <f>SUMIF(Adjustment!$L$5:$L$24,Lists!$L$11,Adjustment!N$5:N$24)</f>
        <v>0</v>
      </c>
      <c r="F14" s="192">
        <f>SUMIF(Adjustment!$L$5:$L$24,Lists!$L$11,Adjustment!O$5:O$24)</f>
        <v>0</v>
      </c>
      <c r="G14" s="192">
        <f>SUMIF(Adjustment!$L$5:$L$24,Lists!$L$11,Adjustment!P$5:P$24)</f>
        <v>0</v>
      </c>
    </row>
    <row r="15" spans="1:11" hidden="1" outlineLevel="1" x14ac:dyDescent="0.3">
      <c r="C15" s="52" t="s">
        <v>356</v>
      </c>
      <c r="D15" s="192">
        <f>D13+D14</f>
        <v>0</v>
      </c>
      <c r="E15" s="192">
        <f>E13+E14</f>
        <v>0</v>
      </c>
      <c r="F15" s="192">
        <f>F13+F14</f>
        <v>0</v>
      </c>
      <c r="G15" s="192">
        <f t="shared" ref="G15" si="4">G13+G14</f>
        <v>0</v>
      </c>
    </row>
    <row r="16" spans="1:11" hidden="1" outlineLevel="1" x14ac:dyDescent="0.3">
      <c r="C16" s="50"/>
      <c r="D16" s="191"/>
      <c r="E16" s="191"/>
      <c r="F16" s="191"/>
      <c r="G16" s="191"/>
    </row>
    <row r="17" spans="2:11" hidden="1" outlineLevel="1" x14ac:dyDescent="0.3">
      <c r="C17" s="52" t="s">
        <v>359</v>
      </c>
      <c r="D17" s="190">
        <f>D170</f>
        <v>0</v>
      </c>
      <c r="E17" s="190">
        <f t="shared" ref="E17:G17" si="5">E170</f>
        <v>0</v>
      </c>
      <c r="F17" s="190">
        <f t="shared" si="5"/>
        <v>0</v>
      </c>
      <c r="G17" s="190">
        <f t="shared" si="5"/>
        <v>0</v>
      </c>
    </row>
    <row r="18" spans="2:11" hidden="1" outlineLevel="1" x14ac:dyDescent="0.3">
      <c r="C18" s="52" t="s">
        <v>276</v>
      </c>
      <c r="D18" s="192">
        <f>SUMIF(Adjustment!$L$5:$L$24,Lists!$L$10,Adjustment!M$5:M$24)</f>
        <v>0</v>
      </c>
      <c r="E18" s="192">
        <f>SUMIF(Adjustment!$L$5:$L$24,Lists!$L$10,Adjustment!N$5:N$24)</f>
        <v>0</v>
      </c>
      <c r="F18" s="192">
        <f>SUMIF(Adjustment!$L$5:$L$24,Lists!$L$10,Adjustment!O$5:O$24)</f>
        <v>0</v>
      </c>
      <c r="G18" s="192">
        <f>SUMIF(Adjustment!$L$5:$L$24,Lists!$L$10,Adjustment!P$5:P$24)</f>
        <v>0</v>
      </c>
    </row>
    <row r="19" spans="2:11" hidden="1" outlineLevel="1" x14ac:dyDescent="0.3">
      <c r="C19" s="52" t="s">
        <v>356</v>
      </c>
      <c r="D19" s="192">
        <f>D17+D18</f>
        <v>0</v>
      </c>
      <c r="E19" s="192">
        <f t="shared" ref="E19" si="6">E17+E18</f>
        <v>0</v>
      </c>
      <c r="F19" s="192">
        <f t="shared" ref="F19" si="7">F17+F18</f>
        <v>0</v>
      </c>
      <c r="G19" s="192">
        <f t="shared" ref="G19" si="8">G17+G18</f>
        <v>0</v>
      </c>
    </row>
    <row r="20" spans="2:11" hidden="1" outlineLevel="1" x14ac:dyDescent="0.3">
      <c r="C20" s="50"/>
      <c r="D20" s="191"/>
      <c r="E20" s="191"/>
      <c r="F20" s="191"/>
      <c r="G20" s="191"/>
    </row>
    <row r="21" spans="2:11" hidden="1" outlineLevel="1" x14ac:dyDescent="0.3">
      <c r="C21" s="52" t="s">
        <v>233</v>
      </c>
      <c r="D21" s="190">
        <f>SUM(D22:D28)</f>
        <v>0</v>
      </c>
      <c r="E21" s="190">
        <f t="shared" ref="E21:G21" si="9">SUM(E22:E28)</f>
        <v>0</v>
      </c>
      <c r="F21" s="190">
        <f t="shared" si="9"/>
        <v>0</v>
      </c>
      <c r="G21" s="190">
        <f t="shared" si="9"/>
        <v>0</v>
      </c>
    </row>
    <row r="22" spans="2:11" hidden="1" outlineLevel="1" x14ac:dyDescent="0.3">
      <c r="C22" s="52" t="s">
        <v>864</v>
      </c>
      <c r="D22" s="190">
        <f>SUM(D118,D127,D136,D145)</f>
        <v>0</v>
      </c>
      <c r="E22" s="190">
        <f>SUM(O118,O127,O136,O145)</f>
        <v>0</v>
      </c>
      <c r="F22" s="190">
        <f>SUM(Z118,Z127,Z136,Z145)</f>
        <v>0</v>
      </c>
      <c r="G22" s="190">
        <f>SUM(AK118,AK127,AK136,AK145)</f>
        <v>0</v>
      </c>
    </row>
    <row r="23" spans="2:11" hidden="1" outlineLevel="1" x14ac:dyDescent="0.3">
      <c r="C23" s="52" t="s">
        <v>865</v>
      </c>
      <c r="D23" s="190">
        <f>D183</f>
        <v>0</v>
      </c>
      <c r="E23" s="190">
        <f t="shared" ref="E23:G23" si="10">E183</f>
        <v>0</v>
      </c>
      <c r="F23" s="190">
        <f t="shared" si="10"/>
        <v>0</v>
      </c>
      <c r="G23" s="190">
        <f t="shared" si="10"/>
        <v>0</v>
      </c>
    </row>
    <row r="24" spans="2:11" hidden="1" outlineLevel="1" x14ac:dyDescent="0.3">
      <c r="C24" s="52" t="s">
        <v>866</v>
      </c>
      <c r="D24" s="190">
        <f>D207</f>
        <v>0</v>
      </c>
      <c r="E24" s="190">
        <f>E207</f>
        <v>0</v>
      </c>
      <c r="F24" s="190">
        <f>F207</f>
        <v>0</v>
      </c>
      <c r="G24" s="190">
        <f>G207</f>
        <v>0</v>
      </c>
    </row>
    <row r="25" spans="2:11" hidden="1" outlineLevel="1" x14ac:dyDescent="0.3">
      <c r="C25" s="52" t="s">
        <v>867</v>
      </c>
      <c r="D25" s="190">
        <f>D217</f>
        <v>0</v>
      </c>
      <c r="E25" s="190">
        <f>E217</f>
        <v>0</v>
      </c>
      <c r="F25" s="190">
        <f>F217</f>
        <v>0</v>
      </c>
      <c r="G25" s="190">
        <f>G217</f>
        <v>0</v>
      </c>
    </row>
    <row r="26" spans="2:11" hidden="1" outlineLevel="1" x14ac:dyDescent="0.3">
      <c r="C26" s="18" t="s">
        <v>1064</v>
      </c>
      <c r="D26" s="190">
        <f>D221</f>
        <v>0</v>
      </c>
      <c r="E26" s="190">
        <f>E221</f>
        <v>0</v>
      </c>
      <c r="F26" s="190">
        <f>F221</f>
        <v>0</v>
      </c>
      <c r="G26" s="190">
        <f>G221</f>
        <v>0</v>
      </c>
    </row>
    <row r="27" spans="2:11" hidden="1" outlineLevel="1" x14ac:dyDescent="0.3">
      <c r="C27" s="52" t="s">
        <v>1041</v>
      </c>
      <c r="D27" s="190">
        <f>D222</f>
        <v>0</v>
      </c>
      <c r="E27" s="190">
        <f t="shared" ref="E27:G27" si="11">E222</f>
        <v>0</v>
      </c>
      <c r="F27" s="190">
        <f t="shared" si="11"/>
        <v>0</v>
      </c>
      <c r="G27" s="190">
        <f t="shared" si="11"/>
        <v>0</v>
      </c>
    </row>
    <row r="28" spans="2:11" hidden="1" outlineLevel="1" x14ac:dyDescent="0.3">
      <c r="C28" s="52" t="s">
        <v>883</v>
      </c>
      <c r="D28" s="190">
        <f>D223</f>
        <v>0</v>
      </c>
      <c r="E28" s="190">
        <f>E223</f>
        <v>0</v>
      </c>
      <c r="F28" s="190">
        <f>F223</f>
        <v>0</v>
      </c>
      <c r="G28" s="190">
        <f>G223</f>
        <v>0</v>
      </c>
    </row>
    <row r="29" spans="2:11" hidden="1" outlineLevel="1" x14ac:dyDescent="0.3">
      <c r="C29" s="52" t="s">
        <v>276</v>
      </c>
      <c r="D29" s="192">
        <f>SUMIF(Adjustment!$L$5:$L$24,Lists!$L$12,Adjustment!M$5:M$24)</f>
        <v>0</v>
      </c>
      <c r="E29" s="192">
        <f>SUMIF(Adjustment!$L$5:$L$24,Lists!$L$12,Adjustment!N$5:N$24)</f>
        <v>0</v>
      </c>
      <c r="F29" s="192">
        <f>SUMIF(Adjustment!$L$5:$L$24,Lists!$L$12,Adjustment!O$5:O$24)</f>
        <v>0</v>
      </c>
      <c r="G29" s="192">
        <f>SUMIF(Adjustment!$L$5:$L$24,Lists!$L$12,Adjustment!P$5:P$24)</f>
        <v>0</v>
      </c>
    </row>
    <row r="30" spans="2:11" hidden="1" outlineLevel="1" x14ac:dyDescent="0.3">
      <c r="C30" s="52" t="s">
        <v>356</v>
      </c>
      <c r="D30" s="192">
        <f>D21+D29</f>
        <v>0</v>
      </c>
      <c r="E30" s="192">
        <f>E21+E29</f>
        <v>0</v>
      </c>
      <c r="F30" s="192">
        <f>F21+F29</f>
        <v>0</v>
      </c>
      <c r="G30" s="192">
        <f>G21+G29</f>
        <v>0</v>
      </c>
    </row>
    <row r="31" spans="2:11" collapsed="1" x14ac:dyDescent="0.3">
      <c r="D31" s="108"/>
      <c r="E31" s="108"/>
      <c r="F31" s="108"/>
      <c r="G31" s="108"/>
    </row>
    <row r="32" spans="2:11" x14ac:dyDescent="0.3">
      <c r="B32" s="46" t="s">
        <v>4437</v>
      </c>
      <c r="C32" s="48"/>
      <c r="D32" s="48"/>
      <c r="E32" s="48"/>
      <c r="F32" s="48"/>
      <c r="G32" s="48"/>
      <c r="H32" s="48"/>
      <c r="I32" s="48"/>
      <c r="J32" s="48"/>
      <c r="K32" s="48"/>
    </row>
    <row r="33" spans="2:61" hidden="1" outlineLevel="1" x14ac:dyDescent="0.3">
      <c r="B33" s="88"/>
      <c r="C33" s="52" t="s">
        <v>2101</v>
      </c>
      <c r="D33" s="31">
        <f>Lists!$C$3</f>
        <v>1</v>
      </c>
    </row>
    <row r="34" spans="2:61" ht="14" hidden="1" customHeight="1" outlineLevel="1" x14ac:dyDescent="0.3">
      <c r="C34" s="57" t="s">
        <v>1056</v>
      </c>
      <c r="D34" s="57" t="s">
        <v>0</v>
      </c>
      <c r="E34" s="57" t="s">
        <v>1</v>
      </c>
      <c r="F34" s="57" t="s">
        <v>2</v>
      </c>
      <c r="G34" s="57" t="s">
        <v>3</v>
      </c>
      <c r="H34" s="57" t="s">
        <v>4</v>
      </c>
      <c r="I34" s="57" t="s">
        <v>5</v>
      </c>
      <c r="J34" s="57" t="s">
        <v>1457</v>
      </c>
      <c r="K34" s="57" t="s">
        <v>1123</v>
      </c>
      <c r="M34" s="170" t="s">
        <v>882</v>
      </c>
    </row>
    <row r="35" spans="2:61" hidden="1" outlineLevel="1" x14ac:dyDescent="0.3">
      <c r="C35" s="52" t="s">
        <v>934</v>
      </c>
      <c r="D35" s="192">
        <f>SUM(D73,O73,Y73,AI73,AS73,BC73,BM73,BW73)</f>
        <v>0</v>
      </c>
      <c r="E35" s="192">
        <f t="shared" ref="E35:K35" si="12">SUM(E73,P73,Z73,AJ73,AT73,BD73,BN73,BX73)</f>
        <v>0</v>
      </c>
      <c r="F35" s="192">
        <f t="shared" si="12"/>
        <v>0</v>
      </c>
      <c r="G35" s="192">
        <f t="shared" si="12"/>
        <v>0</v>
      </c>
      <c r="H35" s="192">
        <f t="shared" si="12"/>
        <v>0</v>
      </c>
      <c r="I35" s="192">
        <f t="shared" si="12"/>
        <v>0</v>
      </c>
      <c r="J35" s="192">
        <f t="shared" si="12"/>
        <v>0</v>
      </c>
      <c r="K35" s="192">
        <f t="shared" si="12"/>
        <v>0</v>
      </c>
      <c r="L35" s="108"/>
      <c r="M35" s="192">
        <f>SUM(D40,D49,D58,D67)</f>
        <v>0</v>
      </c>
      <c r="N35" s="60"/>
      <c r="O35" s="60"/>
      <c r="P35" s="251"/>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c r="AN35" s="108"/>
      <c r="AO35" s="108"/>
      <c r="AP35" s="108"/>
      <c r="AQ35" s="108"/>
      <c r="AR35" s="108"/>
      <c r="AS35" s="108"/>
      <c r="AT35" s="108"/>
      <c r="AU35" s="108"/>
      <c r="AV35" s="108"/>
      <c r="AW35" s="108"/>
      <c r="AX35" s="108"/>
      <c r="AY35" s="108"/>
      <c r="AZ35" s="108"/>
      <c r="BA35" s="108"/>
      <c r="BB35" s="108"/>
      <c r="BC35" s="108"/>
      <c r="BD35" s="108"/>
      <c r="BE35" s="108"/>
      <c r="BF35" s="108"/>
      <c r="BG35" s="108"/>
      <c r="BH35" s="108"/>
      <c r="BI35" s="108"/>
    </row>
    <row r="36" spans="2:61" hidden="1" outlineLevel="1" x14ac:dyDescent="0.3">
      <c r="C36" s="52" t="s">
        <v>935</v>
      </c>
      <c r="D36" s="192">
        <f t="shared" ref="D36:K36" si="13">SUM(D74,O74,Y74,AI74,AS74,BC74,BM74,BW74)</f>
        <v>0</v>
      </c>
      <c r="E36" s="192">
        <f t="shared" si="13"/>
        <v>0</v>
      </c>
      <c r="F36" s="192">
        <f t="shared" si="13"/>
        <v>0</v>
      </c>
      <c r="G36" s="192">
        <f t="shared" si="13"/>
        <v>0</v>
      </c>
      <c r="H36" s="192">
        <f t="shared" si="13"/>
        <v>0</v>
      </c>
      <c r="I36" s="192">
        <f t="shared" si="13"/>
        <v>0</v>
      </c>
      <c r="J36" s="192">
        <f t="shared" si="13"/>
        <v>0</v>
      </c>
      <c r="K36" s="192">
        <f t="shared" si="13"/>
        <v>0</v>
      </c>
      <c r="L36" s="108"/>
      <c r="M36" s="251"/>
      <c r="N36" s="60"/>
      <c r="O36" s="60"/>
      <c r="P36" s="251"/>
      <c r="Q36" s="108"/>
      <c r="R36" s="108"/>
      <c r="S36" s="108"/>
      <c r="T36" s="108"/>
      <c r="U36" s="108"/>
      <c r="V36" s="108"/>
      <c r="W36" s="108"/>
      <c r="X36" s="108"/>
      <c r="Y36" s="108"/>
      <c r="Z36" s="108"/>
      <c r="AA36" s="108"/>
      <c r="AB36" s="108"/>
      <c r="AC36" s="108"/>
      <c r="AD36" s="108"/>
      <c r="AE36" s="108"/>
      <c r="AF36" s="108"/>
      <c r="AG36" s="108"/>
      <c r="AH36" s="108"/>
      <c r="AI36" s="108"/>
      <c r="AJ36" s="108"/>
      <c r="AK36" s="108"/>
      <c r="AL36" s="108"/>
      <c r="AM36" s="108"/>
      <c r="AN36" s="108"/>
      <c r="AO36" s="108"/>
      <c r="AP36" s="108"/>
      <c r="AQ36" s="108"/>
      <c r="AR36" s="108"/>
      <c r="AS36" s="108"/>
      <c r="AT36" s="108"/>
      <c r="AU36" s="108"/>
      <c r="AV36" s="108"/>
      <c r="AW36" s="108"/>
      <c r="AX36" s="108"/>
      <c r="AY36" s="108"/>
      <c r="AZ36" s="108"/>
      <c r="BA36" s="108"/>
      <c r="BB36" s="108"/>
      <c r="BC36" s="108"/>
      <c r="BD36" s="108"/>
      <c r="BE36" s="108"/>
      <c r="BF36" s="108"/>
      <c r="BG36" s="108"/>
      <c r="BH36" s="108"/>
      <c r="BI36" s="108"/>
    </row>
    <row r="37" spans="2:61" hidden="1" outlineLevel="1" x14ac:dyDescent="0.3">
      <c r="C37" s="52" t="s">
        <v>936</v>
      </c>
      <c r="D37" s="192">
        <f t="shared" ref="D37:K37" si="14">SUM(D75,O75,Y75,AI75,AS75,BC75,BM75,BW75)</f>
        <v>0</v>
      </c>
      <c r="E37" s="192">
        <f t="shared" si="14"/>
        <v>0</v>
      </c>
      <c r="F37" s="192">
        <f t="shared" si="14"/>
        <v>0</v>
      </c>
      <c r="G37" s="192">
        <f t="shared" si="14"/>
        <v>0</v>
      </c>
      <c r="H37" s="192">
        <f t="shared" si="14"/>
        <v>0</v>
      </c>
      <c r="I37" s="192">
        <f t="shared" si="14"/>
        <v>0</v>
      </c>
      <c r="J37" s="192">
        <f t="shared" si="14"/>
        <v>0</v>
      </c>
      <c r="K37" s="192">
        <f t="shared" si="14"/>
        <v>0</v>
      </c>
      <c r="L37" s="108"/>
      <c r="M37" s="251"/>
      <c r="N37" s="60"/>
      <c r="O37" s="60"/>
      <c r="P37" s="251"/>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c r="AN37" s="108"/>
      <c r="AO37" s="108"/>
      <c r="AP37" s="108"/>
      <c r="AQ37" s="108"/>
      <c r="AR37" s="108"/>
      <c r="AS37" s="108"/>
      <c r="AT37" s="108"/>
      <c r="AU37" s="108"/>
      <c r="AV37" s="108"/>
      <c r="AW37" s="108"/>
      <c r="AX37" s="108"/>
      <c r="AY37" s="108"/>
      <c r="AZ37" s="108"/>
      <c r="BA37" s="108"/>
      <c r="BB37" s="108"/>
      <c r="BC37" s="108"/>
      <c r="BD37" s="108"/>
      <c r="BE37" s="108"/>
      <c r="BF37" s="108"/>
      <c r="BG37" s="108"/>
      <c r="BH37" s="108"/>
      <c r="BI37" s="108"/>
    </row>
    <row r="38" spans="2:61" hidden="1" outlineLevel="1" x14ac:dyDescent="0.3">
      <c r="C38" s="52" t="s">
        <v>937</v>
      </c>
      <c r="D38" s="192">
        <f t="shared" ref="D38:K38" si="15">SUM(D76,O76,Y76,AI76,AS76,BC76,BM76,BW76)</f>
        <v>0</v>
      </c>
      <c r="E38" s="192">
        <f t="shared" si="15"/>
        <v>0</v>
      </c>
      <c r="F38" s="192">
        <f t="shared" si="15"/>
        <v>0</v>
      </c>
      <c r="G38" s="192">
        <f t="shared" si="15"/>
        <v>0</v>
      </c>
      <c r="H38" s="192">
        <f t="shared" si="15"/>
        <v>0</v>
      </c>
      <c r="I38" s="192">
        <f t="shared" si="15"/>
        <v>0</v>
      </c>
      <c r="J38" s="192">
        <f t="shared" si="15"/>
        <v>0</v>
      </c>
      <c r="K38" s="192">
        <f t="shared" si="15"/>
        <v>0</v>
      </c>
      <c r="L38" s="108"/>
      <c r="M38" s="251"/>
      <c r="N38" s="60"/>
      <c r="O38" s="60"/>
      <c r="P38" s="251"/>
      <c r="Q38" s="108"/>
      <c r="R38" s="108"/>
      <c r="S38" s="108"/>
      <c r="T38" s="108"/>
      <c r="U38" s="108"/>
      <c r="V38" s="108"/>
      <c r="W38" s="108"/>
      <c r="X38" s="108"/>
      <c r="Y38" s="108"/>
      <c r="Z38" s="108"/>
      <c r="AA38" s="108"/>
      <c r="AB38" s="108"/>
      <c r="AC38" s="108"/>
      <c r="AD38" s="108"/>
      <c r="AE38" s="108"/>
      <c r="AF38" s="108"/>
      <c r="AG38" s="108"/>
      <c r="AH38" s="108"/>
      <c r="AI38" s="108"/>
      <c r="AJ38" s="108"/>
      <c r="AK38" s="108"/>
      <c r="AL38" s="108"/>
      <c r="AM38" s="108"/>
      <c r="AN38" s="108"/>
      <c r="AO38" s="108"/>
      <c r="AP38" s="108"/>
      <c r="AQ38" s="108"/>
      <c r="AR38" s="108"/>
      <c r="AS38" s="108"/>
      <c r="AT38" s="108"/>
      <c r="AU38" s="108"/>
      <c r="AV38" s="108"/>
      <c r="AW38" s="108"/>
      <c r="AX38" s="108"/>
      <c r="AY38" s="108"/>
      <c r="AZ38" s="108"/>
      <c r="BA38" s="108"/>
      <c r="BB38" s="108"/>
      <c r="BC38" s="108"/>
      <c r="BD38" s="108"/>
      <c r="BE38" s="108"/>
      <c r="BF38" s="108"/>
      <c r="BG38" s="108"/>
      <c r="BH38" s="108"/>
      <c r="BI38" s="108"/>
    </row>
    <row r="39" spans="2:61" hidden="1" outlineLevel="1" x14ac:dyDescent="0.3">
      <c r="C39" s="52" t="s">
        <v>938</v>
      </c>
      <c r="D39" s="192">
        <f t="shared" ref="D39:K39" si="16">SUM(D77,O77,Y77,AI77,AS77,BC77,BM77,BW77)</f>
        <v>0</v>
      </c>
      <c r="E39" s="192">
        <f t="shared" si="16"/>
        <v>0</v>
      </c>
      <c r="F39" s="192">
        <f t="shared" si="16"/>
        <v>0</v>
      </c>
      <c r="G39" s="192">
        <f t="shared" si="16"/>
        <v>0</v>
      </c>
      <c r="H39" s="192">
        <f t="shared" si="16"/>
        <v>0</v>
      </c>
      <c r="I39" s="192">
        <f t="shared" si="16"/>
        <v>0</v>
      </c>
      <c r="J39" s="192">
        <f t="shared" si="16"/>
        <v>0</v>
      </c>
      <c r="K39" s="192">
        <f t="shared" si="16"/>
        <v>0</v>
      </c>
      <c r="L39" s="108"/>
      <c r="M39" s="251"/>
      <c r="N39" s="60"/>
      <c r="O39" s="60"/>
      <c r="P39" s="251"/>
      <c r="Q39" s="108"/>
      <c r="R39" s="108"/>
      <c r="S39" s="108"/>
      <c r="T39" s="108"/>
      <c r="U39" s="108"/>
      <c r="V39" s="108"/>
      <c r="W39" s="108"/>
      <c r="X39" s="108"/>
      <c r="Y39" s="108"/>
      <c r="Z39" s="108"/>
      <c r="AA39" s="108"/>
      <c r="AB39" s="108"/>
      <c r="AC39" s="108"/>
      <c r="AD39" s="108"/>
      <c r="AE39" s="108"/>
      <c r="AF39" s="108"/>
      <c r="AG39" s="108"/>
      <c r="AH39" s="108"/>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08"/>
      <c r="BE39" s="108"/>
      <c r="BF39" s="108"/>
      <c r="BG39" s="108"/>
      <c r="BH39" s="108"/>
      <c r="BI39" s="108"/>
    </row>
    <row r="40" spans="2:61" hidden="1" outlineLevel="1" x14ac:dyDescent="0.3">
      <c r="C40" s="52" t="s">
        <v>6</v>
      </c>
      <c r="D40" s="192">
        <f>SUM(D35:K39)</f>
        <v>0</v>
      </c>
      <c r="E40" s="191"/>
      <c r="F40" s="191"/>
      <c r="G40" s="191"/>
      <c r="H40" s="191"/>
      <c r="I40" s="191"/>
      <c r="J40" s="191"/>
      <c r="K40" s="191"/>
      <c r="L40" s="108"/>
      <c r="M40" s="251"/>
      <c r="N40" s="60"/>
      <c r="O40" s="60"/>
      <c r="P40" s="251"/>
      <c r="Q40" s="108"/>
      <c r="R40" s="108"/>
      <c r="S40" s="108"/>
      <c r="T40" s="108"/>
      <c r="U40" s="108"/>
      <c r="V40" s="108"/>
      <c r="W40" s="108"/>
      <c r="X40" s="108"/>
      <c r="Y40" s="108"/>
      <c r="Z40" s="108"/>
      <c r="AA40" s="108"/>
      <c r="AB40" s="108"/>
      <c r="AC40" s="108"/>
      <c r="AD40" s="108"/>
      <c r="AE40" s="108"/>
      <c r="AF40" s="108"/>
      <c r="AG40" s="108"/>
      <c r="AH40" s="108"/>
      <c r="AI40" s="108"/>
      <c r="AJ40" s="108"/>
      <c r="AK40" s="108"/>
      <c r="AL40" s="108"/>
      <c r="AM40" s="108"/>
      <c r="AN40" s="108"/>
      <c r="AO40" s="108"/>
      <c r="AP40" s="108"/>
      <c r="AQ40" s="108"/>
      <c r="AR40" s="108"/>
      <c r="AS40" s="108"/>
      <c r="AT40" s="108"/>
      <c r="AU40" s="108"/>
      <c r="AV40" s="108"/>
      <c r="AW40" s="108"/>
      <c r="AX40" s="108"/>
      <c r="AY40" s="108"/>
      <c r="AZ40" s="108"/>
      <c r="BA40" s="108"/>
      <c r="BB40" s="108"/>
      <c r="BC40" s="108"/>
      <c r="BD40" s="108"/>
      <c r="BE40" s="108"/>
      <c r="BF40" s="108"/>
      <c r="BG40" s="108"/>
      <c r="BH40" s="108"/>
      <c r="BI40" s="108"/>
    </row>
    <row r="41" spans="2:61" hidden="1" outlineLevel="1" x14ac:dyDescent="0.3">
      <c r="C41" s="52"/>
      <c r="D41" s="192"/>
      <c r="E41" s="191"/>
      <c r="F41" s="191"/>
      <c r="G41" s="191"/>
      <c r="H41" s="191"/>
      <c r="I41" s="191"/>
      <c r="J41" s="191"/>
      <c r="K41" s="191"/>
      <c r="L41" s="108"/>
      <c r="M41" s="251"/>
      <c r="N41" s="60"/>
      <c r="O41" s="60"/>
      <c r="P41" s="251"/>
      <c r="Q41" s="108"/>
      <c r="R41" s="108"/>
      <c r="S41" s="108"/>
      <c r="T41" s="108"/>
      <c r="U41" s="108"/>
      <c r="V41" s="108"/>
      <c r="W41" s="108"/>
      <c r="X41" s="108"/>
      <c r="Y41" s="108"/>
      <c r="Z41" s="108"/>
      <c r="AA41" s="108"/>
      <c r="AB41" s="108"/>
      <c r="AC41" s="108"/>
      <c r="AD41" s="108"/>
      <c r="AE41" s="108"/>
      <c r="AF41" s="108"/>
      <c r="AG41" s="108"/>
      <c r="AH41" s="108"/>
      <c r="AI41" s="108"/>
      <c r="AJ41" s="108"/>
      <c r="AK41" s="108"/>
      <c r="AL41" s="108"/>
      <c r="AM41" s="108"/>
      <c r="AN41" s="108"/>
      <c r="AO41" s="108"/>
      <c r="AP41" s="108"/>
      <c r="AQ41" s="108"/>
      <c r="AR41" s="108"/>
      <c r="AS41" s="108"/>
      <c r="AT41" s="108"/>
      <c r="AU41" s="108"/>
      <c r="AV41" s="108"/>
      <c r="AW41" s="108"/>
      <c r="AX41" s="108"/>
      <c r="AY41" s="108"/>
      <c r="AZ41" s="108"/>
      <c r="BA41" s="108"/>
      <c r="BB41" s="108"/>
      <c r="BC41" s="108"/>
      <c r="BD41" s="108"/>
      <c r="BE41" s="108"/>
      <c r="BF41" s="108"/>
      <c r="BG41" s="108"/>
      <c r="BH41" s="108"/>
      <c r="BI41" s="108"/>
    </row>
    <row r="42" spans="2:61" hidden="1" outlineLevel="1" x14ac:dyDescent="0.3">
      <c r="B42" s="88"/>
      <c r="C42" s="52" t="s">
        <v>2101</v>
      </c>
      <c r="D42" s="31">
        <f>Lists!$C$4</f>
        <v>2</v>
      </c>
      <c r="E42" s="191"/>
      <c r="F42" s="191"/>
      <c r="G42" s="191"/>
      <c r="H42" s="191"/>
      <c r="I42" s="191"/>
      <c r="J42" s="191"/>
      <c r="K42" s="191"/>
      <c r="L42" s="108"/>
      <c r="M42" s="251"/>
      <c r="N42" s="60"/>
      <c r="O42" s="60"/>
      <c r="P42" s="251"/>
      <c r="Q42" s="108"/>
      <c r="R42" s="108"/>
      <c r="S42" s="108"/>
      <c r="T42" s="108"/>
      <c r="U42" s="108"/>
      <c r="V42" s="108"/>
      <c r="W42" s="108"/>
      <c r="X42" s="108"/>
      <c r="Y42" s="108"/>
      <c r="Z42" s="108"/>
      <c r="AA42" s="108"/>
      <c r="AB42" s="108"/>
      <c r="AC42" s="108"/>
      <c r="AD42" s="108"/>
      <c r="AE42" s="108"/>
      <c r="AF42" s="108"/>
      <c r="AG42" s="108"/>
      <c r="AH42" s="108"/>
      <c r="AI42" s="108"/>
      <c r="AJ42" s="108"/>
      <c r="AK42" s="108"/>
      <c r="AL42" s="108"/>
      <c r="AM42" s="108"/>
      <c r="AN42" s="108"/>
      <c r="AO42" s="108"/>
      <c r="AP42" s="108"/>
      <c r="AQ42" s="108"/>
      <c r="AR42" s="108"/>
      <c r="AS42" s="108"/>
      <c r="AT42" s="108"/>
      <c r="AU42" s="108"/>
      <c r="AV42" s="108"/>
      <c r="AW42" s="108"/>
      <c r="AX42" s="108"/>
      <c r="AY42" s="108"/>
      <c r="AZ42" s="108"/>
      <c r="BA42" s="108"/>
      <c r="BB42" s="108"/>
      <c r="BC42" s="108"/>
      <c r="BD42" s="108"/>
      <c r="BE42" s="108"/>
      <c r="BF42" s="108"/>
      <c r="BG42" s="108"/>
      <c r="BH42" s="108"/>
      <c r="BI42" s="108"/>
    </row>
    <row r="43" spans="2:61" ht="14" hidden="1" customHeight="1" outlineLevel="1" x14ac:dyDescent="0.3">
      <c r="C43" s="57" t="s">
        <v>939</v>
      </c>
      <c r="D43" s="192" t="s">
        <v>0</v>
      </c>
      <c r="E43" s="192" t="s">
        <v>1</v>
      </c>
      <c r="F43" s="192" t="s">
        <v>2</v>
      </c>
      <c r="G43" s="192" t="s">
        <v>3</v>
      </c>
      <c r="H43" s="192" t="s">
        <v>4</v>
      </c>
      <c r="I43" s="192" t="s">
        <v>5</v>
      </c>
      <c r="J43" s="192" t="s">
        <v>1457</v>
      </c>
      <c r="K43" s="192" t="s">
        <v>1123</v>
      </c>
      <c r="L43" s="108"/>
      <c r="M43" s="251"/>
      <c r="N43" s="60"/>
      <c r="O43" s="60"/>
      <c r="P43" s="251"/>
      <c r="Q43" s="108"/>
      <c r="R43" s="108"/>
      <c r="S43" s="108"/>
      <c r="T43" s="108"/>
      <c r="U43" s="108"/>
      <c r="V43" s="108"/>
      <c r="W43" s="108"/>
      <c r="X43" s="108"/>
      <c r="Y43" s="108"/>
      <c r="Z43" s="108"/>
      <c r="AA43" s="108"/>
      <c r="AB43" s="108"/>
      <c r="AC43" s="108"/>
      <c r="AD43" s="108"/>
      <c r="AE43" s="108"/>
      <c r="AF43" s="108"/>
      <c r="AG43" s="108"/>
      <c r="AH43" s="108"/>
      <c r="AI43" s="108"/>
      <c r="AJ43" s="108"/>
      <c r="AK43" s="108"/>
      <c r="AL43" s="108"/>
      <c r="AM43" s="108"/>
      <c r="AN43" s="108"/>
      <c r="AO43" s="108"/>
      <c r="AP43" s="108"/>
      <c r="AQ43" s="108"/>
      <c r="AR43" s="108"/>
      <c r="AS43" s="108"/>
      <c r="AT43" s="108"/>
      <c r="AU43" s="108"/>
      <c r="AV43" s="108"/>
      <c r="AW43" s="108"/>
      <c r="AX43" s="108"/>
      <c r="AY43" s="108"/>
      <c r="AZ43" s="108"/>
      <c r="BA43" s="108"/>
      <c r="BB43" s="108"/>
      <c r="BC43" s="108"/>
      <c r="BD43" s="108"/>
      <c r="BE43" s="108"/>
      <c r="BF43" s="108"/>
      <c r="BG43" s="108"/>
      <c r="BH43" s="108"/>
      <c r="BI43" s="108"/>
    </row>
    <row r="44" spans="2:61" hidden="1" outlineLevel="1" x14ac:dyDescent="0.3">
      <c r="C44" s="52" t="s">
        <v>934</v>
      </c>
      <c r="D44" s="192">
        <f>SUM(D82,O82,Y82,AI82,AS82,BC82,BM82,BW82)</f>
        <v>0</v>
      </c>
      <c r="E44" s="192">
        <f t="shared" ref="E44:E48" si="17">SUM(E82,P82,Z82,AJ82,AT82,BD82,BN82,BX82)</f>
        <v>0</v>
      </c>
      <c r="F44" s="192">
        <f t="shared" ref="F44:F48" si="18">SUM(F82,Q82,AA82,AK82,AU82,BE82,BO82,BY82)</f>
        <v>0</v>
      </c>
      <c r="G44" s="192">
        <f t="shared" ref="G44:G48" si="19">SUM(G82,R82,AB82,AL82,AV82,BF82,BP82,BZ82)</f>
        <v>0</v>
      </c>
      <c r="H44" s="192">
        <f t="shared" ref="H44:H48" si="20">SUM(H82,S82,AC82,AM82,AW82,BG82,BQ82,CA82)</f>
        <v>0</v>
      </c>
      <c r="I44" s="192">
        <f t="shared" ref="I44:I48" si="21">SUM(I82,T82,AD82,AN82,AX82,BH82,BR82,CB82)</f>
        <v>0</v>
      </c>
      <c r="J44" s="192">
        <f t="shared" ref="J44:J48" si="22">SUM(J82,U82,AE82,AO82,AY82,BI82,BS82,CC82)</f>
        <v>0</v>
      </c>
      <c r="K44" s="192">
        <f t="shared" ref="K44:K48" si="23">SUM(K82,V82,AF82,AP82,AZ82,BJ82,BT82,CD82)</f>
        <v>0</v>
      </c>
      <c r="L44" s="108"/>
      <c r="M44" s="251"/>
      <c r="N44" s="60"/>
      <c r="O44" s="60"/>
      <c r="P44" s="251"/>
      <c r="Q44" s="108"/>
      <c r="R44" s="108"/>
      <c r="S44" s="108"/>
      <c r="T44" s="108"/>
      <c r="U44" s="108"/>
      <c r="V44" s="108"/>
      <c r="W44" s="108"/>
      <c r="X44" s="108"/>
      <c r="Y44" s="108"/>
      <c r="Z44" s="108"/>
      <c r="AA44" s="108"/>
      <c r="AB44" s="108"/>
      <c r="AC44" s="108"/>
      <c r="AD44" s="108"/>
      <c r="AE44" s="108"/>
      <c r="AF44" s="108"/>
      <c r="AG44" s="108"/>
      <c r="AH44" s="108"/>
      <c r="AI44" s="108"/>
      <c r="AJ44" s="108"/>
      <c r="AK44" s="108"/>
      <c r="AL44" s="108"/>
      <c r="AM44" s="108"/>
      <c r="AN44" s="108"/>
      <c r="AO44" s="108"/>
      <c r="AP44" s="108"/>
      <c r="AQ44" s="108"/>
      <c r="AR44" s="108"/>
      <c r="AS44" s="108"/>
      <c r="AT44" s="108"/>
      <c r="AU44" s="108"/>
      <c r="AV44" s="108"/>
      <c r="AW44" s="108"/>
      <c r="AX44" s="108"/>
      <c r="AY44" s="108"/>
      <c r="AZ44" s="108"/>
      <c r="BA44" s="108"/>
      <c r="BB44" s="108"/>
      <c r="BC44" s="108"/>
      <c r="BD44" s="108"/>
      <c r="BE44" s="108"/>
      <c r="BF44" s="108"/>
      <c r="BG44" s="108"/>
      <c r="BH44" s="108"/>
      <c r="BI44" s="108"/>
    </row>
    <row r="45" spans="2:61" hidden="1" outlineLevel="1" x14ac:dyDescent="0.3">
      <c r="C45" s="52" t="s">
        <v>935</v>
      </c>
      <c r="D45" s="192">
        <f t="shared" ref="D45:D48" si="24">SUM(D83,O83,Y83,AI83,AS83,BC83,BM83,BW83)</f>
        <v>0</v>
      </c>
      <c r="E45" s="192">
        <f t="shared" si="17"/>
        <v>0</v>
      </c>
      <c r="F45" s="192">
        <f t="shared" si="18"/>
        <v>0</v>
      </c>
      <c r="G45" s="192">
        <f t="shared" si="19"/>
        <v>0</v>
      </c>
      <c r="H45" s="192">
        <f t="shared" si="20"/>
        <v>0</v>
      </c>
      <c r="I45" s="192">
        <f t="shared" si="21"/>
        <v>0</v>
      </c>
      <c r="J45" s="192">
        <f t="shared" si="22"/>
        <v>0</v>
      </c>
      <c r="K45" s="192">
        <f t="shared" si="23"/>
        <v>0</v>
      </c>
      <c r="L45" s="108"/>
      <c r="M45" s="251"/>
      <c r="N45" s="60"/>
      <c r="O45" s="60"/>
      <c r="P45" s="251"/>
      <c r="Q45" s="108"/>
      <c r="R45" s="108"/>
      <c r="S45" s="108"/>
      <c r="T45" s="108"/>
      <c r="U45" s="108"/>
      <c r="V45" s="108"/>
      <c r="W45" s="108"/>
      <c r="X45" s="108"/>
      <c r="Y45" s="108"/>
      <c r="Z45" s="108"/>
      <c r="AA45" s="108"/>
      <c r="AB45" s="108"/>
      <c r="AC45" s="108"/>
      <c r="AD45" s="108"/>
      <c r="AE45" s="108"/>
      <c r="AF45" s="108"/>
      <c r="AG45" s="108"/>
      <c r="AH45" s="108"/>
      <c r="AI45" s="108"/>
      <c r="AJ45" s="108"/>
      <c r="AK45" s="108"/>
      <c r="AL45" s="108"/>
      <c r="AM45" s="108"/>
      <c r="AN45" s="108"/>
      <c r="AO45" s="108"/>
      <c r="AP45" s="108"/>
      <c r="AQ45" s="108"/>
      <c r="AR45" s="108"/>
      <c r="AS45" s="108"/>
      <c r="AT45" s="108"/>
      <c r="AU45" s="108"/>
      <c r="AV45" s="108"/>
      <c r="AW45" s="108"/>
      <c r="AX45" s="108"/>
      <c r="AY45" s="108"/>
      <c r="AZ45" s="108"/>
      <c r="BA45" s="108"/>
      <c r="BB45" s="108"/>
      <c r="BC45" s="108"/>
      <c r="BD45" s="108"/>
      <c r="BE45" s="108"/>
      <c r="BF45" s="108"/>
      <c r="BG45" s="108"/>
      <c r="BH45" s="108"/>
      <c r="BI45" s="108"/>
    </row>
    <row r="46" spans="2:61" hidden="1" outlineLevel="1" x14ac:dyDescent="0.3">
      <c r="C46" s="52" t="s">
        <v>936</v>
      </c>
      <c r="D46" s="192">
        <f t="shared" si="24"/>
        <v>0</v>
      </c>
      <c r="E46" s="192">
        <f t="shared" si="17"/>
        <v>0</v>
      </c>
      <c r="F46" s="192">
        <f t="shared" si="18"/>
        <v>0</v>
      </c>
      <c r="G46" s="192">
        <f t="shared" si="19"/>
        <v>0</v>
      </c>
      <c r="H46" s="192">
        <f t="shared" si="20"/>
        <v>0</v>
      </c>
      <c r="I46" s="192">
        <f t="shared" si="21"/>
        <v>0</v>
      </c>
      <c r="J46" s="192">
        <f t="shared" si="22"/>
        <v>0</v>
      </c>
      <c r="K46" s="192">
        <f t="shared" si="23"/>
        <v>0</v>
      </c>
      <c r="L46" s="108"/>
      <c r="M46" s="251"/>
      <c r="N46" s="60"/>
      <c r="O46" s="60"/>
      <c r="P46" s="251"/>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c r="AN46" s="108"/>
      <c r="AO46" s="108"/>
      <c r="AP46" s="108"/>
      <c r="AQ46" s="108"/>
      <c r="AR46" s="108"/>
      <c r="AS46" s="108"/>
      <c r="AT46" s="108"/>
      <c r="AU46" s="108"/>
      <c r="AV46" s="108"/>
      <c r="AW46" s="108"/>
      <c r="AX46" s="108"/>
      <c r="AY46" s="108"/>
      <c r="AZ46" s="108"/>
      <c r="BA46" s="108"/>
      <c r="BB46" s="108"/>
      <c r="BC46" s="108"/>
      <c r="BD46" s="108"/>
      <c r="BE46" s="108"/>
      <c r="BF46" s="108"/>
      <c r="BG46" s="108"/>
      <c r="BH46" s="108"/>
      <c r="BI46" s="108"/>
    </row>
    <row r="47" spans="2:61" hidden="1" outlineLevel="1" x14ac:dyDescent="0.3">
      <c r="C47" s="52" t="s">
        <v>937</v>
      </c>
      <c r="D47" s="192">
        <f t="shared" si="24"/>
        <v>0</v>
      </c>
      <c r="E47" s="192">
        <f t="shared" si="17"/>
        <v>0</v>
      </c>
      <c r="F47" s="192">
        <f t="shared" si="18"/>
        <v>0</v>
      </c>
      <c r="G47" s="192">
        <f t="shared" si="19"/>
        <v>0</v>
      </c>
      <c r="H47" s="192">
        <f t="shared" si="20"/>
        <v>0</v>
      </c>
      <c r="I47" s="192">
        <f t="shared" si="21"/>
        <v>0</v>
      </c>
      <c r="J47" s="192">
        <f t="shared" si="22"/>
        <v>0</v>
      </c>
      <c r="K47" s="192">
        <f t="shared" si="23"/>
        <v>0</v>
      </c>
      <c r="L47" s="108"/>
      <c r="M47" s="251"/>
      <c r="N47" s="60"/>
      <c r="O47" s="60"/>
      <c r="P47" s="251"/>
      <c r="Q47" s="108"/>
      <c r="R47" s="108"/>
      <c r="S47" s="108"/>
      <c r="T47" s="108"/>
      <c r="U47" s="108"/>
      <c r="V47" s="108"/>
      <c r="W47" s="108"/>
      <c r="X47" s="108"/>
      <c r="Y47" s="108"/>
      <c r="Z47" s="108"/>
      <c r="AA47" s="108"/>
      <c r="AB47" s="108"/>
      <c r="AC47" s="108"/>
      <c r="AD47" s="108"/>
      <c r="AE47" s="108"/>
      <c r="AF47" s="108"/>
      <c r="AG47" s="108"/>
      <c r="AH47" s="108"/>
      <c r="AI47" s="108"/>
      <c r="AJ47" s="108"/>
      <c r="AK47" s="108"/>
      <c r="AL47" s="108"/>
      <c r="AM47" s="108"/>
      <c r="AN47" s="108"/>
      <c r="AO47" s="108"/>
      <c r="AP47" s="108"/>
      <c r="AQ47" s="108"/>
      <c r="AR47" s="108"/>
      <c r="AS47" s="108"/>
      <c r="AT47" s="108"/>
      <c r="AU47" s="108"/>
      <c r="AV47" s="108"/>
      <c r="AW47" s="108"/>
      <c r="AX47" s="108"/>
      <c r="AY47" s="108"/>
      <c r="AZ47" s="108"/>
      <c r="BA47" s="108"/>
      <c r="BB47" s="108"/>
      <c r="BC47" s="108"/>
      <c r="BD47" s="108"/>
      <c r="BE47" s="108"/>
      <c r="BF47" s="108"/>
      <c r="BG47" s="108"/>
      <c r="BH47" s="108"/>
      <c r="BI47" s="108"/>
    </row>
    <row r="48" spans="2:61" hidden="1" outlineLevel="1" x14ac:dyDescent="0.3">
      <c r="C48" s="52" t="s">
        <v>938</v>
      </c>
      <c r="D48" s="192">
        <f t="shared" si="24"/>
        <v>0</v>
      </c>
      <c r="E48" s="192">
        <f t="shared" si="17"/>
        <v>0</v>
      </c>
      <c r="F48" s="192">
        <f t="shared" si="18"/>
        <v>0</v>
      </c>
      <c r="G48" s="192">
        <f t="shared" si="19"/>
        <v>0</v>
      </c>
      <c r="H48" s="192">
        <f t="shared" si="20"/>
        <v>0</v>
      </c>
      <c r="I48" s="192">
        <f t="shared" si="21"/>
        <v>0</v>
      </c>
      <c r="J48" s="192">
        <f t="shared" si="22"/>
        <v>0</v>
      </c>
      <c r="K48" s="192">
        <f t="shared" si="23"/>
        <v>0</v>
      </c>
      <c r="L48" s="108"/>
      <c r="M48" s="251"/>
      <c r="N48" s="60"/>
      <c r="O48" s="60"/>
      <c r="P48" s="251"/>
      <c r="Q48" s="108"/>
      <c r="R48" s="108"/>
      <c r="S48" s="108"/>
      <c r="T48" s="108"/>
      <c r="U48" s="108"/>
      <c r="V48" s="108"/>
      <c r="W48" s="108"/>
      <c r="X48" s="50"/>
      <c r="Y48" s="50"/>
      <c r="Z48" s="50"/>
      <c r="AA48" s="50"/>
      <c r="AB48" s="50"/>
      <c r="AC48" s="108"/>
      <c r="AD48" s="108"/>
      <c r="AE48" s="108"/>
      <c r="AF48" s="108"/>
      <c r="AG48" s="108"/>
      <c r="AH48" s="108"/>
      <c r="AI48" s="108"/>
      <c r="AJ48" s="108"/>
      <c r="AK48" s="108"/>
      <c r="AL48" s="108"/>
      <c r="AM48" s="108"/>
      <c r="AN48" s="108"/>
      <c r="AO48" s="108"/>
      <c r="AP48" s="108"/>
      <c r="AQ48" s="108"/>
      <c r="AR48" s="108"/>
      <c r="AS48" s="108"/>
      <c r="AT48" s="108"/>
      <c r="AU48" s="108"/>
      <c r="AV48" s="108"/>
      <c r="AW48" s="108"/>
      <c r="AX48" s="108"/>
      <c r="AY48" s="108"/>
      <c r="AZ48" s="108"/>
      <c r="BA48" s="108"/>
      <c r="BB48" s="108"/>
      <c r="BC48" s="108"/>
      <c r="BD48" s="108"/>
      <c r="BE48" s="108"/>
      <c r="BF48" s="108"/>
      <c r="BG48" s="108"/>
      <c r="BH48" s="108"/>
      <c r="BI48" s="108"/>
    </row>
    <row r="49" spans="2:61" hidden="1" outlineLevel="1" x14ac:dyDescent="0.3">
      <c r="C49" s="52" t="s">
        <v>6</v>
      </c>
      <c r="D49" s="192">
        <f>SUM(D44:K48)</f>
        <v>0</v>
      </c>
      <c r="E49" s="191"/>
      <c r="F49" s="191"/>
      <c r="G49" s="191"/>
      <c r="H49" s="191"/>
      <c r="I49" s="191"/>
      <c r="J49" s="191"/>
      <c r="K49" s="191"/>
      <c r="L49" s="108"/>
      <c r="M49" s="251"/>
      <c r="N49" s="60"/>
      <c r="O49" s="60"/>
      <c r="P49" s="251"/>
      <c r="Q49" s="108"/>
      <c r="R49" s="108"/>
      <c r="S49" s="108"/>
      <c r="T49" s="108"/>
      <c r="U49" s="108"/>
      <c r="V49" s="108"/>
      <c r="W49" s="108"/>
      <c r="X49" s="108"/>
      <c r="Y49" s="108"/>
      <c r="Z49" s="108"/>
      <c r="AA49" s="108"/>
      <c r="AB49" s="108"/>
      <c r="AC49" s="108"/>
      <c r="AD49" s="108"/>
      <c r="AE49" s="108"/>
      <c r="AF49" s="108"/>
      <c r="AG49" s="108"/>
      <c r="AH49" s="108"/>
      <c r="AI49" s="108"/>
      <c r="AJ49" s="108"/>
      <c r="AK49" s="108"/>
      <c r="AL49" s="108"/>
      <c r="AM49" s="108"/>
      <c r="AN49" s="108"/>
      <c r="AO49" s="108"/>
      <c r="AP49" s="108"/>
      <c r="AQ49" s="108"/>
      <c r="AR49" s="108"/>
      <c r="AS49" s="108"/>
      <c r="AT49" s="108"/>
      <c r="AU49" s="108"/>
      <c r="AV49" s="108"/>
      <c r="AW49" s="108"/>
      <c r="AX49" s="108"/>
      <c r="AY49" s="108"/>
      <c r="AZ49" s="108"/>
      <c r="BA49" s="108"/>
      <c r="BB49" s="108"/>
      <c r="BC49" s="108"/>
      <c r="BD49" s="108"/>
      <c r="BE49" s="108"/>
      <c r="BF49" s="108"/>
      <c r="BG49" s="108"/>
      <c r="BH49" s="108"/>
      <c r="BI49" s="108"/>
    </row>
    <row r="50" spans="2:61" hidden="1" outlineLevel="1" x14ac:dyDescent="0.3">
      <c r="C50" s="52"/>
      <c r="D50" s="192"/>
      <c r="E50" s="191"/>
      <c r="F50" s="191"/>
      <c r="G50" s="191"/>
      <c r="H50" s="191"/>
      <c r="I50" s="191"/>
      <c r="J50" s="191"/>
      <c r="K50" s="191"/>
      <c r="L50" s="108"/>
      <c r="M50" s="251"/>
      <c r="N50" s="60"/>
      <c r="O50" s="60"/>
      <c r="P50" s="251"/>
      <c r="Q50" s="108"/>
      <c r="R50" s="108"/>
      <c r="S50" s="108"/>
      <c r="T50" s="108"/>
      <c r="U50" s="108"/>
      <c r="V50" s="108"/>
      <c r="W50" s="108"/>
      <c r="X50" s="50"/>
      <c r="Y50" s="50"/>
      <c r="Z50" s="50"/>
      <c r="AA50" s="50"/>
      <c r="AB50" s="50"/>
      <c r="AC50" s="108"/>
      <c r="AD50" s="108"/>
      <c r="AE50" s="108"/>
      <c r="AF50" s="108"/>
      <c r="AG50" s="108"/>
      <c r="AH50" s="108"/>
      <c r="AI50" s="108"/>
      <c r="AJ50" s="108"/>
      <c r="AK50" s="108"/>
      <c r="AL50" s="108"/>
      <c r="AM50" s="108"/>
      <c r="AN50" s="108"/>
      <c r="AO50" s="108"/>
      <c r="AP50" s="108"/>
      <c r="AQ50" s="108"/>
      <c r="AR50" s="108"/>
      <c r="AS50" s="108"/>
      <c r="AT50" s="108"/>
      <c r="AU50" s="108"/>
      <c r="AV50" s="108"/>
      <c r="AW50" s="108"/>
      <c r="AX50" s="108"/>
      <c r="AY50" s="108"/>
      <c r="AZ50" s="108"/>
      <c r="BA50" s="108"/>
      <c r="BB50" s="108"/>
      <c r="BC50" s="108"/>
      <c r="BD50" s="108"/>
      <c r="BE50" s="108"/>
      <c r="BF50" s="108"/>
      <c r="BG50" s="108"/>
      <c r="BH50" s="108"/>
      <c r="BI50" s="108"/>
    </row>
    <row r="51" spans="2:61" hidden="1" outlineLevel="1" x14ac:dyDescent="0.3">
      <c r="B51" s="88"/>
      <c r="C51" s="52" t="s">
        <v>2101</v>
      </c>
      <c r="D51" s="31">
        <f>Lists!$C$5</f>
        <v>3</v>
      </c>
      <c r="E51" s="191"/>
      <c r="F51" s="191"/>
      <c r="G51" s="191"/>
      <c r="H51" s="191"/>
      <c r="I51" s="191"/>
      <c r="J51" s="191"/>
      <c r="K51" s="191"/>
      <c r="L51" s="108"/>
      <c r="M51" s="251"/>
      <c r="N51" s="60"/>
      <c r="O51" s="60"/>
      <c r="P51" s="251"/>
      <c r="Q51" s="108"/>
      <c r="R51" s="108"/>
      <c r="S51" s="108"/>
      <c r="T51" s="108"/>
      <c r="U51" s="108"/>
      <c r="V51" s="108"/>
      <c r="W51" s="108"/>
      <c r="X51" s="108"/>
      <c r="Y51" s="108"/>
      <c r="Z51" s="108"/>
      <c r="AA51" s="108"/>
      <c r="AB51" s="108"/>
      <c r="AC51" s="108"/>
      <c r="AD51" s="108"/>
      <c r="AE51" s="108"/>
      <c r="AF51" s="108"/>
      <c r="AG51" s="108"/>
      <c r="AH51" s="108"/>
      <c r="AI51" s="108"/>
      <c r="AJ51" s="108"/>
      <c r="AK51" s="108"/>
      <c r="AL51" s="108"/>
      <c r="AM51" s="108"/>
      <c r="AN51" s="108"/>
      <c r="AO51" s="108"/>
      <c r="AP51" s="108"/>
      <c r="AQ51" s="108"/>
      <c r="AR51" s="108"/>
      <c r="AS51" s="108"/>
      <c r="AT51" s="108"/>
      <c r="AU51" s="108"/>
      <c r="AV51" s="108"/>
      <c r="AW51" s="108"/>
      <c r="AX51" s="108"/>
      <c r="AY51" s="108"/>
      <c r="AZ51" s="108"/>
      <c r="BA51" s="108"/>
      <c r="BB51" s="108"/>
      <c r="BC51" s="108"/>
      <c r="BD51" s="108"/>
      <c r="BE51" s="108"/>
      <c r="BF51" s="108"/>
      <c r="BG51" s="108"/>
      <c r="BH51" s="108"/>
      <c r="BI51" s="108"/>
    </row>
    <row r="52" spans="2:61" ht="14" hidden="1" customHeight="1" outlineLevel="1" x14ac:dyDescent="0.3">
      <c r="C52" s="57" t="s">
        <v>939</v>
      </c>
      <c r="D52" s="192" t="s">
        <v>0</v>
      </c>
      <c r="E52" s="192" t="s">
        <v>1</v>
      </c>
      <c r="F52" s="192" t="s">
        <v>2</v>
      </c>
      <c r="G52" s="192" t="s">
        <v>3</v>
      </c>
      <c r="H52" s="192" t="s">
        <v>4</v>
      </c>
      <c r="I52" s="192" t="s">
        <v>5</v>
      </c>
      <c r="J52" s="192" t="s">
        <v>1457</v>
      </c>
      <c r="K52" s="192" t="s">
        <v>1123</v>
      </c>
      <c r="L52" s="108"/>
      <c r="M52" s="251"/>
      <c r="N52" s="60"/>
      <c r="O52" s="60"/>
      <c r="P52" s="251"/>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08"/>
      <c r="AN52" s="108"/>
      <c r="AO52" s="108"/>
      <c r="AP52" s="108"/>
      <c r="AQ52" s="108"/>
      <c r="AR52" s="108"/>
      <c r="AS52" s="108"/>
      <c r="AT52" s="108"/>
      <c r="AU52" s="108"/>
      <c r="AV52" s="108"/>
      <c r="AW52" s="108"/>
      <c r="AX52" s="108"/>
      <c r="AY52" s="108"/>
      <c r="AZ52" s="108"/>
      <c r="BA52" s="108"/>
      <c r="BB52" s="108"/>
      <c r="BC52" s="108"/>
      <c r="BD52" s="108"/>
      <c r="BE52" s="108"/>
      <c r="BF52" s="108"/>
      <c r="BG52" s="108"/>
      <c r="BH52" s="108"/>
      <c r="BI52" s="108"/>
    </row>
    <row r="53" spans="2:61" hidden="1" outlineLevel="1" x14ac:dyDescent="0.3">
      <c r="C53" s="52" t="s">
        <v>934</v>
      </c>
      <c r="D53" s="192">
        <f>SUM(D91,O91,Y91,AI91,AS91,BC91,BM91,BW91)</f>
        <v>0</v>
      </c>
      <c r="E53" s="192">
        <f t="shared" ref="E53:E57" si="25">SUM(E91,P91,Z91,AJ91,AT91,BD91,BN91,BX91)</f>
        <v>0</v>
      </c>
      <c r="F53" s="192">
        <f t="shared" ref="F53:F57" si="26">SUM(F91,Q91,AA91,AK91,AU91,BE91,BO91,BY91)</f>
        <v>0</v>
      </c>
      <c r="G53" s="192">
        <f t="shared" ref="G53:G57" si="27">SUM(G91,R91,AB91,AL91,AV91,BF91,BP91,BZ91)</f>
        <v>0</v>
      </c>
      <c r="H53" s="192">
        <f t="shared" ref="H53:H57" si="28">SUM(H91,S91,AC91,AM91,AW91,BG91,BQ91,CA91)</f>
        <v>0</v>
      </c>
      <c r="I53" s="192">
        <f t="shared" ref="I53:I57" si="29">SUM(I91,T91,AD91,AN91,AX91,BH91,BR91,CB91)</f>
        <v>0</v>
      </c>
      <c r="J53" s="192">
        <f t="shared" ref="J53:J57" si="30">SUM(J91,U91,AE91,AO91,AY91,BI91,BS91,CC91)</f>
        <v>0</v>
      </c>
      <c r="K53" s="192">
        <f t="shared" ref="K53:K57" si="31">SUM(K91,V91,AF91,AP91,AZ91,BJ91,BT91,CD91)</f>
        <v>0</v>
      </c>
      <c r="L53" s="108"/>
      <c r="M53" s="251"/>
      <c r="N53" s="60"/>
      <c r="O53" s="60"/>
      <c r="P53" s="251"/>
      <c r="Q53" s="108"/>
      <c r="R53" s="108"/>
      <c r="S53" s="108"/>
      <c r="T53" s="108"/>
      <c r="U53" s="108"/>
      <c r="V53" s="108"/>
      <c r="W53" s="108"/>
      <c r="X53" s="50"/>
      <c r="Y53" s="50"/>
      <c r="Z53" s="50"/>
      <c r="AA53" s="50"/>
      <c r="AB53" s="50"/>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08"/>
      <c r="BE53" s="108"/>
      <c r="BF53" s="108"/>
      <c r="BG53" s="108"/>
      <c r="BH53" s="108"/>
      <c r="BI53" s="108"/>
    </row>
    <row r="54" spans="2:61" hidden="1" outlineLevel="1" x14ac:dyDescent="0.3">
      <c r="C54" s="52" t="s">
        <v>935</v>
      </c>
      <c r="D54" s="192">
        <f t="shared" ref="D54:D57" si="32">SUM(D92,O92,Y92,AI92,AS92,BC92,BM92,BW92)</f>
        <v>0</v>
      </c>
      <c r="E54" s="192">
        <f t="shared" si="25"/>
        <v>0</v>
      </c>
      <c r="F54" s="192">
        <f t="shared" si="26"/>
        <v>0</v>
      </c>
      <c r="G54" s="192">
        <f t="shared" si="27"/>
        <v>0</v>
      </c>
      <c r="H54" s="192">
        <f t="shared" si="28"/>
        <v>0</v>
      </c>
      <c r="I54" s="192">
        <f t="shared" si="29"/>
        <v>0</v>
      </c>
      <c r="J54" s="192">
        <f t="shared" si="30"/>
        <v>0</v>
      </c>
      <c r="K54" s="192">
        <f t="shared" si="31"/>
        <v>0</v>
      </c>
      <c r="L54" s="108"/>
      <c r="M54" s="251"/>
      <c r="N54" s="60"/>
      <c r="O54" s="60"/>
      <c r="P54" s="251"/>
      <c r="Q54" s="108"/>
      <c r="R54" s="108"/>
      <c r="S54" s="108"/>
      <c r="T54" s="108"/>
      <c r="U54" s="108"/>
      <c r="V54" s="108"/>
      <c r="W54" s="108"/>
      <c r="X54" s="108"/>
      <c r="Y54" s="108"/>
      <c r="Z54" s="108"/>
      <c r="AA54" s="108"/>
      <c r="AB54" s="108"/>
      <c r="AC54" s="108"/>
      <c r="AD54" s="108"/>
      <c r="AE54" s="108"/>
      <c r="AF54" s="108"/>
      <c r="AG54" s="108"/>
      <c r="AH54" s="108"/>
      <c r="AI54" s="108"/>
      <c r="AJ54" s="108"/>
      <c r="AK54" s="108"/>
      <c r="AL54" s="108"/>
      <c r="AM54" s="108"/>
      <c r="AN54" s="108"/>
      <c r="AO54" s="108"/>
      <c r="AP54" s="108"/>
      <c r="AQ54" s="108"/>
      <c r="AR54" s="108"/>
      <c r="AS54" s="108"/>
      <c r="AT54" s="108"/>
      <c r="AU54" s="108"/>
      <c r="AV54" s="108"/>
      <c r="AW54" s="108"/>
      <c r="AX54" s="108"/>
      <c r="AY54" s="108"/>
      <c r="AZ54" s="108"/>
      <c r="BA54" s="108"/>
      <c r="BB54" s="108"/>
      <c r="BC54" s="108"/>
      <c r="BD54" s="108"/>
      <c r="BE54" s="108"/>
      <c r="BF54" s="108"/>
      <c r="BG54" s="108"/>
      <c r="BH54" s="108"/>
      <c r="BI54" s="108"/>
    </row>
    <row r="55" spans="2:61" hidden="1" outlineLevel="1" x14ac:dyDescent="0.3">
      <c r="C55" s="52" t="s">
        <v>936</v>
      </c>
      <c r="D55" s="192">
        <f t="shared" si="32"/>
        <v>0</v>
      </c>
      <c r="E55" s="192">
        <f t="shared" si="25"/>
        <v>0</v>
      </c>
      <c r="F55" s="192">
        <f t="shared" si="26"/>
        <v>0</v>
      </c>
      <c r="G55" s="192">
        <f t="shared" si="27"/>
        <v>0</v>
      </c>
      <c r="H55" s="192">
        <f t="shared" si="28"/>
        <v>0</v>
      </c>
      <c r="I55" s="192">
        <f t="shared" si="29"/>
        <v>0</v>
      </c>
      <c r="J55" s="192">
        <f t="shared" si="30"/>
        <v>0</v>
      </c>
      <c r="K55" s="192">
        <f t="shared" si="31"/>
        <v>0</v>
      </c>
      <c r="L55" s="108"/>
      <c r="M55" s="251"/>
      <c r="N55" s="60"/>
      <c r="O55" s="60"/>
      <c r="P55" s="251"/>
      <c r="Q55" s="108"/>
      <c r="R55" s="108"/>
      <c r="S55" s="108"/>
      <c r="T55" s="108"/>
      <c r="U55" s="108"/>
      <c r="V55" s="108"/>
      <c r="W55" s="108"/>
      <c r="X55" s="108"/>
      <c r="Y55" s="108"/>
      <c r="Z55" s="108"/>
      <c r="AA55" s="108"/>
      <c r="AB55" s="108"/>
      <c r="AC55" s="108"/>
      <c r="AD55" s="108"/>
      <c r="AE55" s="108"/>
      <c r="AF55" s="108"/>
      <c r="AG55" s="108"/>
      <c r="AH55" s="108"/>
      <c r="AI55" s="108"/>
      <c r="AJ55" s="108"/>
      <c r="AK55" s="108"/>
      <c r="AL55" s="108"/>
      <c r="AM55" s="108"/>
      <c r="AN55" s="108"/>
      <c r="AO55" s="108"/>
      <c r="AP55" s="108"/>
      <c r="AQ55" s="108"/>
      <c r="AR55" s="108"/>
      <c r="AS55" s="108"/>
      <c r="AT55" s="108"/>
      <c r="AU55" s="108"/>
      <c r="AV55" s="108"/>
      <c r="AW55" s="108"/>
      <c r="AX55" s="108"/>
      <c r="AY55" s="108"/>
      <c r="AZ55" s="108"/>
      <c r="BA55" s="108"/>
      <c r="BB55" s="108"/>
      <c r="BC55" s="108"/>
      <c r="BD55" s="108"/>
      <c r="BE55" s="108"/>
      <c r="BF55" s="108"/>
      <c r="BG55" s="108"/>
      <c r="BH55" s="108"/>
      <c r="BI55" s="108"/>
    </row>
    <row r="56" spans="2:61" hidden="1" outlineLevel="1" x14ac:dyDescent="0.3">
      <c r="C56" s="52" t="s">
        <v>937</v>
      </c>
      <c r="D56" s="192">
        <f t="shared" si="32"/>
        <v>0</v>
      </c>
      <c r="E56" s="192">
        <f t="shared" si="25"/>
        <v>0</v>
      </c>
      <c r="F56" s="192">
        <f t="shared" si="26"/>
        <v>0</v>
      </c>
      <c r="G56" s="192">
        <f t="shared" si="27"/>
        <v>0</v>
      </c>
      <c r="H56" s="192">
        <f t="shared" si="28"/>
        <v>0</v>
      </c>
      <c r="I56" s="192">
        <f t="shared" si="29"/>
        <v>0</v>
      </c>
      <c r="J56" s="192">
        <f t="shared" si="30"/>
        <v>0</v>
      </c>
      <c r="K56" s="192">
        <f t="shared" si="31"/>
        <v>0</v>
      </c>
      <c r="L56" s="108"/>
      <c r="M56" s="251"/>
      <c r="N56" s="60"/>
      <c r="O56" s="60"/>
      <c r="P56" s="251"/>
      <c r="Q56" s="108"/>
      <c r="R56" s="108"/>
      <c r="S56" s="108"/>
      <c r="T56" s="108"/>
      <c r="U56" s="108"/>
      <c r="V56" s="108"/>
      <c r="W56" s="108"/>
      <c r="X56" s="108"/>
      <c r="Y56" s="108"/>
      <c r="Z56" s="108"/>
      <c r="AA56" s="108"/>
      <c r="AB56" s="108"/>
      <c r="AC56" s="108"/>
      <c r="AD56" s="108"/>
      <c r="AE56" s="108"/>
      <c r="AF56" s="108"/>
      <c r="AG56" s="108"/>
      <c r="AH56" s="108"/>
      <c r="AI56" s="108"/>
      <c r="AJ56" s="108"/>
      <c r="AK56" s="108"/>
      <c r="AL56" s="108"/>
      <c r="AM56" s="108"/>
      <c r="AN56" s="108"/>
      <c r="AO56" s="108"/>
      <c r="AP56" s="108"/>
      <c r="AQ56" s="108"/>
      <c r="AR56" s="108"/>
      <c r="AS56" s="108"/>
      <c r="AT56" s="108"/>
      <c r="AU56" s="108"/>
      <c r="AV56" s="108"/>
      <c r="AW56" s="108"/>
      <c r="AX56" s="108"/>
      <c r="AY56" s="108"/>
      <c r="AZ56" s="108"/>
      <c r="BA56" s="108"/>
      <c r="BB56" s="108"/>
      <c r="BC56" s="108"/>
      <c r="BD56" s="108"/>
      <c r="BE56" s="108"/>
      <c r="BF56" s="108"/>
      <c r="BG56" s="108"/>
      <c r="BH56" s="108"/>
      <c r="BI56" s="108"/>
    </row>
    <row r="57" spans="2:61" hidden="1" outlineLevel="1" x14ac:dyDescent="0.3">
      <c r="C57" s="52" t="s">
        <v>938</v>
      </c>
      <c r="D57" s="192">
        <f t="shared" si="32"/>
        <v>0</v>
      </c>
      <c r="E57" s="192">
        <f t="shared" si="25"/>
        <v>0</v>
      </c>
      <c r="F57" s="192">
        <f t="shared" si="26"/>
        <v>0</v>
      </c>
      <c r="G57" s="192">
        <f t="shared" si="27"/>
        <v>0</v>
      </c>
      <c r="H57" s="192">
        <f t="shared" si="28"/>
        <v>0</v>
      </c>
      <c r="I57" s="192">
        <f t="shared" si="29"/>
        <v>0</v>
      </c>
      <c r="J57" s="192">
        <f t="shared" si="30"/>
        <v>0</v>
      </c>
      <c r="K57" s="192">
        <f t="shared" si="31"/>
        <v>0</v>
      </c>
      <c r="L57" s="108"/>
      <c r="M57" s="251"/>
      <c r="N57" s="60"/>
      <c r="O57" s="60"/>
      <c r="P57" s="251"/>
      <c r="Q57" s="108"/>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08"/>
      <c r="BE57" s="108"/>
      <c r="BF57" s="108"/>
      <c r="BG57" s="108"/>
      <c r="BH57" s="108"/>
      <c r="BI57" s="108"/>
    </row>
    <row r="58" spans="2:61" hidden="1" outlineLevel="1" x14ac:dyDescent="0.3">
      <c r="C58" s="52" t="s">
        <v>6</v>
      </c>
      <c r="D58" s="192">
        <f>SUM(D53:K57)</f>
        <v>0</v>
      </c>
      <c r="E58" s="191"/>
      <c r="F58" s="191"/>
      <c r="G58" s="191"/>
      <c r="H58" s="191"/>
      <c r="I58" s="191"/>
      <c r="J58" s="191"/>
      <c r="K58" s="191"/>
      <c r="L58" s="108"/>
      <c r="M58" s="251"/>
      <c r="N58" s="60"/>
      <c r="O58" s="60"/>
      <c r="P58" s="251"/>
      <c r="Q58" s="108"/>
      <c r="R58" s="108"/>
      <c r="S58" s="108"/>
      <c r="T58" s="108"/>
      <c r="U58" s="108"/>
      <c r="V58" s="108"/>
      <c r="W58" s="108"/>
      <c r="X58" s="108"/>
      <c r="Y58" s="108"/>
      <c r="Z58" s="108"/>
      <c r="AA58" s="108"/>
      <c r="AB58" s="108"/>
      <c r="AC58" s="108"/>
      <c r="AD58" s="108"/>
      <c r="AE58" s="108"/>
      <c r="AF58" s="108"/>
      <c r="AG58" s="108"/>
      <c r="AH58" s="108"/>
      <c r="AI58" s="108"/>
      <c r="AJ58" s="108"/>
      <c r="AK58" s="108"/>
      <c r="AL58" s="108"/>
      <c r="AM58" s="108"/>
      <c r="AN58" s="108"/>
      <c r="AO58" s="108"/>
      <c r="AP58" s="108"/>
      <c r="AQ58" s="108"/>
      <c r="AR58" s="108"/>
      <c r="AS58" s="108"/>
      <c r="AT58" s="108"/>
      <c r="AU58" s="108"/>
      <c r="AV58" s="108"/>
      <c r="AW58" s="108"/>
      <c r="AX58" s="108"/>
      <c r="AY58" s="108"/>
      <c r="AZ58" s="108"/>
      <c r="BA58" s="108"/>
      <c r="BB58" s="108"/>
      <c r="BC58" s="108"/>
      <c r="BD58" s="108"/>
      <c r="BE58" s="108"/>
      <c r="BF58" s="108"/>
      <c r="BG58" s="108"/>
      <c r="BH58" s="108"/>
      <c r="BI58" s="108"/>
    </row>
    <row r="59" spans="2:61" hidden="1" outlineLevel="1" x14ac:dyDescent="0.3">
      <c r="D59" s="191"/>
      <c r="E59" s="191"/>
      <c r="F59" s="191"/>
      <c r="G59" s="191"/>
      <c r="H59" s="191"/>
      <c r="I59" s="191"/>
      <c r="J59" s="191"/>
      <c r="K59" s="191"/>
      <c r="L59" s="108"/>
      <c r="M59" s="251"/>
      <c r="N59" s="60"/>
      <c r="O59" s="60"/>
      <c r="P59" s="251"/>
      <c r="Q59" s="108"/>
      <c r="R59" s="108"/>
      <c r="S59" s="108"/>
      <c r="T59" s="108"/>
      <c r="U59" s="108"/>
      <c r="V59" s="108"/>
      <c r="W59" s="108"/>
      <c r="X59" s="108"/>
      <c r="Y59" s="108"/>
      <c r="Z59" s="108"/>
      <c r="AA59" s="108"/>
      <c r="AB59" s="108"/>
      <c r="AC59" s="108"/>
      <c r="AD59" s="108"/>
      <c r="AE59" s="108"/>
      <c r="AF59" s="108"/>
      <c r="AG59" s="108"/>
      <c r="AH59" s="108"/>
      <c r="AI59" s="108"/>
      <c r="AJ59" s="108"/>
      <c r="AK59" s="108"/>
      <c r="AL59" s="108"/>
      <c r="AM59" s="108"/>
      <c r="AN59" s="108"/>
      <c r="AO59" s="108"/>
      <c r="AP59" s="108"/>
      <c r="AQ59" s="108"/>
      <c r="AR59" s="108"/>
      <c r="AS59" s="108"/>
      <c r="AT59" s="108"/>
      <c r="AU59" s="108"/>
      <c r="AV59" s="108"/>
      <c r="AW59" s="108"/>
      <c r="AX59" s="108"/>
      <c r="AY59" s="108"/>
      <c r="AZ59" s="108"/>
      <c r="BA59" s="108"/>
      <c r="BB59" s="108"/>
      <c r="BC59" s="108"/>
      <c r="BD59" s="108"/>
      <c r="BE59" s="108"/>
      <c r="BF59" s="108"/>
      <c r="BG59" s="108"/>
      <c r="BH59" s="108"/>
      <c r="BI59" s="108"/>
    </row>
    <row r="60" spans="2:61" hidden="1" outlineLevel="1" x14ac:dyDescent="0.3">
      <c r="B60" s="88"/>
      <c r="C60" s="52" t="s">
        <v>2101</v>
      </c>
      <c r="D60" s="31">
        <f>Lists!$C$6</f>
        <v>4</v>
      </c>
      <c r="E60" s="191"/>
      <c r="F60" s="191"/>
      <c r="G60" s="191"/>
      <c r="H60" s="191"/>
      <c r="I60" s="191"/>
      <c r="J60" s="191"/>
      <c r="K60" s="191"/>
      <c r="L60" s="108"/>
      <c r="M60" s="251"/>
      <c r="N60" s="60"/>
      <c r="O60" s="60"/>
      <c r="P60" s="251"/>
      <c r="Q60" s="108"/>
      <c r="R60" s="108"/>
      <c r="S60" s="108"/>
      <c r="T60" s="108"/>
      <c r="U60" s="108"/>
      <c r="V60" s="108"/>
      <c r="W60" s="108"/>
      <c r="X60" s="108"/>
      <c r="Y60" s="108"/>
      <c r="Z60" s="108"/>
      <c r="AA60" s="108"/>
      <c r="AB60" s="108"/>
      <c r="AC60" s="108"/>
      <c r="AD60" s="108"/>
      <c r="AE60" s="108"/>
      <c r="AF60" s="108"/>
      <c r="AG60" s="108"/>
      <c r="AH60" s="108"/>
      <c r="AI60" s="108"/>
      <c r="AJ60" s="108"/>
      <c r="AK60" s="108"/>
      <c r="AL60" s="108"/>
      <c r="AM60" s="108"/>
      <c r="AN60" s="108"/>
      <c r="AO60" s="108"/>
      <c r="AP60" s="108"/>
      <c r="AQ60" s="108"/>
      <c r="AR60" s="108"/>
      <c r="AS60" s="108"/>
      <c r="AT60" s="108"/>
      <c r="AU60" s="108"/>
      <c r="AV60" s="108"/>
      <c r="AW60" s="108"/>
      <c r="AX60" s="108"/>
      <c r="AY60" s="108"/>
      <c r="AZ60" s="108"/>
      <c r="BA60" s="108"/>
      <c r="BB60" s="108"/>
      <c r="BC60" s="108"/>
      <c r="BD60" s="108"/>
      <c r="BE60" s="108"/>
      <c r="BF60" s="108"/>
      <c r="BG60" s="108"/>
      <c r="BH60" s="108"/>
      <c r="BI60" s="108"/>
    </row>
    <row r="61" spans="2:61" ht="14" hidden="1" customHeight="1" outlineLevel="1" x14ac:dyDescent="0.3">
      <c r="C61" s="57" t="s">
        <v>939</v>
      </c>
      <c r="D61" s="192" t="s">
        <v>0</v>
      </c>
      <c r="E61" s="192" t="s">
        <v>1</v>
      </c>
      <c r="F61" s="192" t="s">
        <v>2</v>
      </c>
      <c r="G61" s="192" t="s">
        <v>3</v>
      </c>
      <c r="H61" s="192" t="s">
        <v>4</v>
      </c>
      <c r="I61" s="192" t="s">
        <v>5</v>
      </c>
      <c r="J61" s="192" t="s">
        <v>1457</v>
      </c>
      <c r="K61" s="192" t="s">
        <v>1123</v>
      </c>
      <c r="L61" s="108"/>
      <c r="M61" s="251"/>
      <c r="N61" s="60"/>
      <c r="O61" s="60"/>
      <c r="P61" s="251"/>
      <c r="Q61" s="108"/>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08"/>
      <c r="BE61" s="108"/>
      <c r="BF61" s="108"/>
      <c r="BG61" s="108"/>
      <c r="BH61" s="108"/>
      <c r="BI61" s="108"/>
    </row>
    <row r="62" spans="2:61" hidden="1" outlineLevel="1" x14ac:dyDescent="0.3">
      <c r="C62" s="52" t="s">
        <v>934</v>
      </c>
      <c r="D62" s="192">
        <f>SUM(D100,O100,Y100,AI100,AS100,BC100,BM100,BW100)</f>
        <v>0</v>
      </c>
      <c r="E62" s="192">
        <f t="shared" ref="E62:E66" si="33">SUM(E100,P100,Z100,AJ100,AT100,BD100,BN100,BX100)</f>
        <v>0</v>
      </c>
      <c r="F62" s="192">
        <f t="shared" ref="F62:F66" si="34">SUM(F100,Q100,AA100,AK100,AU100,BE100,BO100,BY100)</f>
        <v>0</v>
      </c>
      <c r="G62" s="192">
        <f t="shared" ref="G62:G66" si="35">SUM(G100,R100,AB100,AL100,AV100,BF100,BP100,BZ100)</f>
        <v>0</v>
      </c>
      <c r="H62" s="192">
        <f t="shared" ref="H62:H66" si="36">SUM(H100,S100,AC100,AM100,AW100,BG100,BQ100,CA100)</f>
        <v>0</v>
      </c>
      <c r="I62" s="192">
        <f t="shared" ref="I62:I66" si="37">SUM(I100,T100,AD100,AN100,AX100,BH100,BR100,CB100)</f>
        <v>0</v>
      </c>
      <c r="J62" s="192">
        <f t="shared" ref="J62:J66" si="38">SUM(J100,U100,AE100,AO100,AY100,BI100,BS100,CC100)</f>
        <v>0</v>
      </c>
      <c r="K62" s="192">
        <f t="shared" ref="K62:K66" si="39">SUM(K100,V100,AF100,AP100,AZ100,BJ100,BT100,CD100)</f>
        <v>0</v>
      </c>
      <c r="L62" s="108"/>
      <c r="M62" s="251"/>
      <c r="N62" s="60"/>
      <c r="O62" s="60"/>
      <c r="P62" s="251"/>
      <c r="Q62" s="108"/>
      <c r="R62" s="108"/>
      <c r="S62" s="108"/>
      <c r="T62" s="108"/>
      <c r="U62" s="108"/>
      <c r="V62" s="108"/>
      <c r="W62" s="108"/>
      <c r="X62" s="108"/>
      <c r="Y62" s="108"/>
      <c r="Z62" s="108"/>
      <c r="AA62" s="108"/>
      <c r="AB62" s="108"/>
      <c r="AC62" s="108"/>
      <c r="AD62" s="108"/>
      <c r="AE62" s="108"/>
      <c r="AF62" s="108"/>
      <c r="AG62" s="108"/>
      <c r="AH62" s="108"/>
      <c r="AI62" s="108"/>
      <c r="AJ62" s="108"/>
      <c r="AK62" s="108"/>
      <c r="AL62" s="108"/>
      <c r="AM62" s="108"/>
      <c r="AN62" s="108"/>
      <c r="AO62" s="108"/>
      <c r="AP62" s="108"/>
      <c r="AQ62" s="108"/>
      <c r="AR62" s="108"/>
      <c r="AS62" s="108"/>
      <c r="AT62" s="108"/>
      <c r="AU62" s="108"/>
      <c r="AV62" s="108"/>
      <c r="AW62" s="108"/>
      <c r="AX62" s="108"/>
      <c r="AY62" s="108"/>
      <c r="AZ62" s="108"/>
      <c r="BA62" s="108"/>
      <c r="BB62" s="108"/>
      <c r="BC62" s="108"/>
      <c r="BD62" s="108"/>
      <c r="BE62" s="108"/>
      <c r="BF62" s="108"/>
      <c r="BG62" s="108"/>
      <c r="BH62" s="108"/>
      <c r="BI62" s="108"/>
    </row>
    <row r="63" spans="2:61" hidden="1" outlineLevel="1" x14ac:dyDescent="0.3">
      <c r="C63" s="52" t="s">
        <v>935</v>
      </c>
      <c r="D63" s="192">
        <f t="shared" ref="D63:D66" si="40">SUM(D101,O101,Y101,AI101,AS101,BC101,BM101,BW101)</f>
        <v>0</v>
      </c>
      <c r="E63" s="192">
        <f t="shared" si="33"/>
        <v>0</v>
      </c>
      <c r="F63" s="192">
        <f t="shared" si="34"/>
        <v>0</v>
      </c>
      <c r="G63" s="192">
        <f t="shared" si="35"/>
        <v>0</v>
      </c>
      <c r="H63" s="192">
        <f t="shared" si="36"/>
        <v>0</v>
      </c>
      <c r="I63" s="192">
        <f t="shared" si="37"/>
        <v>0</v>
      </c>
      <c r="J63" s="192">
        <f t="shared" si="38"/>
        <v>0</v>
      </c>
      <c r="K63" s="192">
        <f t="shared" si="39"/>
        <v>0</v>
      </c>
      <c r="L63" s="108"/>
      <c r="M63" s="251"/>
      <c r="N63" s="60"/>
      <c r="O63" s="60"/>
      <c r="P63" s="251"/>
      <c r="Q63" s="108"/>
      <c r="R63" s="108"/>
      <c r="S63" s="108"/>
      <c r="T63" s="108"/>
      <c r="U63" s="108"/>
      <c r="V63" s="108"/>
      <c r="W63" s="108"/>
      <c r="X63" s="108"/>
      <c r="Y63" s="108"/>
      <c r="Z63" s="108"/>
      <c r="AA63" s="108"/>
      <c r="AB63" s="108"/>
      <c r="AC63" s="108"/>
      <c r="AD63" s="108"/>
      <c r="AE63" s="108"/>
      <c r="AF63" s="108"/>
      <c r="AG63" s="108"/>
      <c r="AH63" s="108"/>
      <c r="AI63" s="108"/>
      <c r="AJ63" s="108"/>
      <c r="AK63" s="108"/>
      <c r="AL63" s="108"/>
      <c r="AM63" s="108"/>
      <c r="AN63" s="108"/>
      <c r="AO63" s="108"/>
      <c r="AP63" s="108"/>
      <c r="AQ63" s="108"/>
      <c r="AR63" s="108"/>
      <c r="AS63" s="108"/>
      <c r="AT63" s="108"/>
      <c r="AU63" s="108"/>
      <c r="AV63" s="108"/>
      <c r="AW63" s="108"/>
      <c r="AX63" s="108"/>
      <c r="AY63" s="108"/>
      <c r="AZ63" s="108"/>
      <c r="BA63" s="108"/>
      <c r="BB63" s="108"/>
      <c r="BC63" s="108"/>
      <c r="BD63" s="108"/>
      <c r="BE63" s="108"/>
      <c r="BF63" s="108"/>
      <c r="BG63" s="108"/>
      <c r="BH63" s="108"/>
      <c r="BI63" s="108"/>
    </row>
    <row r="64" spans="2:61" hidden="1" outlineLevel="1" x14ac:dyDescent="0.3">
      <c r="C64" s="52" t="s">
        <v>936</v>
      </c>
      <c r="D64" s="192">
        <f t="shared" si="40"/>
        <v>0</v>
      </c>
      <c r="E64" s="192">
        <f t="shared" si="33"/>
        <v>0</v>
      </c>
      <c r="F64" s="192">
        <f t="shared" si="34"/>
        <v>0</v>
      </c>
      <c r="G64" s="192">
        <f t="shared" si="35"/>
        <v>0</v>
      </c>
      <c r="H64" s="192">
        <f t="shared" si="36"/>
        <v>0</v>
      </c>
      <c r="I64" s="192">
        <f t="shared" si="37"/>
        <v>0</v>
      </c>
      <c r="J64" s="192">
        <f t="shared" si="38"/>
        <v>0</v>
      </c>
      <c r="K64" s="192">
        <f t="shared" si="39"/>
        <v>0</v>
      </c>
      <c r="L64" s="108"/>
      <c r="M64" s="251"/>
      <c r="N64" s="60"/>
      <c r="O64" s="60"/>
      <c r="P64" s="251"/>
      <c r="Q64" s="108"/>
      <c r="R64" s="108"/>
      <c r="S64" s="108"/>
      <c r="T64" s="108"/>
      <c r="U64" s="108"/>
      <c r="V64" s="108"/>
      <c r="W64" s="108"/>
      <c r="X64" s="108"/>
      <c r="Y64" s="108"/>
      <c r="Z64" s="108"/>
      <c r="AA64" s="108"/>
      <c r="AB64" s="108"/>
      <c r="AC64" s="108"/>
      <c r="AD64" s="108"/>
      <c r="AE64" s="108"/>
      <c r="AF64" s="108"/>
      <c r="AG64" s="108"/>
      <c r="AH64" s="108"/>
      <c r="AI64" s="108"/>
      <c r="AJ64" s="108"/>
      <c r="AK64" s="108"/>
      <c r="AL64" s="108"/>
      <c r="AM64" s="108"/>
      <c r="AN64" s="108"/>
      <c r="AO64" s="108"/>
      <c r="AP64" s="108"/>
      <c r="AQ64" s="108"/>
      <c r="AR64" s="108"/>
      <c r="AS64" s="108"/>
      <c r="AT64" s="108"/>
      <c r="AU64" s="108"/>
      <c r="AV64" s="108"/>
      <c r="AW64" s="108"/>
      <c r="AX64" s="108"/>
      <c r="AY64" s="108"/>
      <c r="AZ64" s="108"/>
      <c r="BA64" s="108"/>
      <c r="BB64" s="108"/>
      <c r="BC64" s="108"/>
      <c r="BD64" s="108"/>
      <c r="BE64" s="108"/>
      <c r="BF64" s="108"/>
      <c r="BG64" s="108"/>
      <c r="BH64" s="108"/>
      <c r="BI64" s="108"/>
    </row>
    <row r="65" spans="2:81" hidden="1" outlineLevel="1" x14ac:dyDescent="0.3">
      <c r="C65" s="52" t="s">
        <v>937</v>
      </c>
      <c r="D65" s="192">
        <f t="shared" si="40"/>
        <v>0</v>
      </c>
      <c r="E65" s="192">
        <f t="shared" si="33"/>
        <v>0</v>
      </c>
      <c r="F65" s="192">
        <f t="shared" si="34"/>
        <v>0</v>
      </c>
      <c r="G65" s="192">
        <f t="shared" si="35"/>
        <v>0</v>
      </c>
      <c r="H65" s="192">
        <f t="shared" si="36"/>
        <v>0</v>
      </c>
      <c r="I65" s="192">
        <f t="shared" si="37"/>
        <v>0</v>
      </c>
      <c r="J65" s="192">
        <f t="shared" si="38"/>
        <v>0</v>
      </c>
      <c r="K65" s="192">
        <f t="shared" si="39"/>
        <v>0</v>
      </c>
      <c r="L65" s="108"/>
      <c r="M65" s="251"/>
      <c r="N65" s="60"/>
      <c r="O65" s="60"/>
      <c r="P65" s="251"/>
      <c r="Q65" s="108"/>
      <c r="R65" s="108"/>
      <c r="S65" s="108"/>
      <c r="T65" s="108"/>
      <c r="U65" s="108"/>
      <c r="V65" s="108"/>
      <c r="W65" s="108"/>
      <c r="X65" s="108"/>
      <c r="Y65" s="108"/>
      <c r="Z65" s="108"/>
      <c r="AA65" s="108"/>
      <c r="AB65" s="108"/>
      <c r="AC65" s="108"/>
      <c r="AD65" s="108"/>
      <c r="AE65" s="108"/>
      <c r="AF65" s="108"/>
      <c r="AG65" s="108"/>
      <c r="AH65" s="108"/>
      <c r="AI65" s="108"/>
      <c r="AJ65" s="108"/>
      <c r="AK65" s="108"/>
      <c r="AL65" s="108"/>
      <c r="AM65" s="108"/>
      <c r="AN65" s="108"/>
      <c r="AO65" s="108"/>
      <c r="AP65" s="108"/>
      <c r="AQ65" s="108"/>
      <c r="AR65" s="108"/>
      <c r="AS65" s="108"/>
      <c r="AT65" s="108"/>
      <c r="AU65" s="108"/>
      <c r="AV65" s="108"/>
      <c r="AW65" s="108"/>
      <c r="AX65" s="108"/>
      <c r="AY65" s="108"/>
      <c r="AZ65" s="108"/>
      <c r="BA65" s="108"/>
      <c r="BB65" s="108"/>
      <c r="BC65" s="108"/>
      <c r="BD65" s="108"/>
      <c r="BE65" s="108"/>
      <c r="BF65" s="108"/>
      <c r="BG65" s="108"/>
      <c r="BH65" s="108"/>
      <c r="BI65" s="108"/>
    </row>
    <row r="66" spans="2:81" hidden="1" outlineLevel="1" x14ac:dyDescent="0.3">
      <c r="C66" s="52" t="s">
        <v>938</v>
      </c>
      <c r="D66" s="192">
        <f t="shared" si="40"/>
        <v>0</v>
      </c>
      <c r="E66" s="192">
        <f t="shared" si="33"/>
        <v>0</v>
      </c>
      <c r="F66" s="192">
        <f t="shared" si="34"/>
        <v>0</v>
      </c>
      <c r="G66" s="192">
        <f t="shared" si="35"/>
        <v>0</v>
      </c>
      <c r="H66" s="192">
        <f t="shared" si="36"/>
        <v>0</v>
      </c>
      <c r="I66" s="192">
        <f t="shared" si="37"/>
        <v>0</v>
      </c>
      <c r="J66" s="192">
        <f t="shared" si="38"/>
        <v>0</v>
      </c>
      <c r="K66" s="192">
        <f t="shared" si="39"/>
        <v>0</v>
      </c>
      <c r="L66" s="108"/>
      <c r="M66" s="251"/>
      <c r="N66" s="60"/>
      <c r="O66" s="60"/>
      <c r="P66" s="251"/>
      <c r="Q66" s="108"/>
      <c r="R66" s="108"/>
      <c r="S66" s="108"/>
      <c r="T66" s="108"/>
      <c r="U66" s="108"/>
      <c r="V66" s="108"/>
      <c r="W66" s="108"/>
      <c r="X66" s="108"/>
      <c r="Y66" s="108"/>
      <c r="Z66" s="108"/>
      <c r="AA66" s="108"/>
      <c r="AB66" s="108"/>
      <c r="AC66" s="108"/>
      <c r="AD66" s="108"/>
      <c r="AE66" s="108"/>
      <c r="AF66" s="108"/>
      <c r="AG66" s="108"/>
      <c r="AH66" s="108"/>
      <c r="AI66" s="108"/>
      <c r="AJ66" s="108"/>
      <c r="AK66" s="108"/>
      <c r="AL66" s="108"/>
      <c r="AM66" s="108"/>
      <c r="AN66" s="108"/>
      <c r="AO66" s="108"/>
      <c r="AP66" s="108"/>
      <c r="AQ66" s="108"/>
      <c r="AR66" s="108"/>
      <c r="AS66" s="108"/>
      <c r="AT66" s="108"/>
      <c r="AU66" s="108"/>
      <c r="AV66" s="108"/>
      <c r="AW66" s="108"/>
      <c r="AX66" s="108"/>
      <c r="AY66" s="108"/>
      <c r="AZ66" s="108"/>
      <c r="BA66" s="108"/>
      <c r="BB66" s="108"/>
      <c r="BC66" s="108"/>
      <c r="BD66" s="108"/>
      <c r="BE66" s="108"/>
      <c r="BF66" s="108"/>
      <c r="BG66" s="108"/>
      <c r="BH66" s="108"/>
      <c r="BI66" s="108"/>
    </row>
    <row r="67" spans="2:81" hidden="1" outlineLevel="1" x14ac:dyDescent="0.3">
      <c r="C67" s="52" t="s">
        <v>6</v>
      </c>
      <c r="D67" s="192">
        <f>SUM(D62:K66)</f>
        <v>0</v>
      </c>
      <c r="E67" s="191"/>
      <c r="F67" s="191"/>
      <c r="G67" s="191"/>
      <c r="H67" s="191"/>
      <c r="I67" s="191"/>
      <c r="J67" s="191"/>
      <c r="K67" s="191"/>
      <c r="L67" s="108"/>
      <c r="M67" s="251"/>
      <c r="N67" s="60"/>
      <c r="O67" s="60"/>
      <c r="P67" s="251"/>
      <c r="Q67" s="108"/>
      <c r="R67" s="108"/>
      <c r="S67" s="108"/>
      <c r="T67" s="108"/>
      <c r="U67" s="108"/>
      <c r="V67" s="108"/>
      <c r="W67" s="108"/>
      <c r="X67" s="108"/>
      <c r="Y67" s="108"/>
      <c r="Z67" s="108"/>
      <c r="AA67" s="108"/>
      <c r="AB67" s="108"/>
      <c r="AC67" s="108"/>
      <c r="AD67" s="108"/>
      <c r="AE67" s="108"/>
      <c r="AF67" s="108"/>
      <c r="AG67" s="108"/>
      <c r="AH67" s="108"/>
      <c r="AI67" s="108"/>
      <c r="AJ67" s="108"/>
      <c r="AK67" s="108"/>
      <c r="AL67" s="108"/>
      <c r="AM67" s="108"/>
      <c r="AN67" s="108"/>
      <c r="AO67" s="108"/>
      <c r="AP67" s="108"/>
      <c r="AQ67" s="108"/>
      <c r="AR67" s="108"/>
      <c r="AS67" s="108"/>
      <c r="AT67" s="108"/>
      <c r="AU67" s="108"/>
      <c r="AV67" s="108"/>
      <c r="AW67" s="108"/>
      <c r="AX67" s="108"/>
      <c r="AY67" s="108"/>
      <c r="AZ67" s="108"/>
      <c r="BA67" s="108"/>
      <c r="BB67" s="108"/>
      <c r="BC67" s="108"/>
      <c r="BD67" s="108"/>
      <c r="BE67" s="108"/>
      <c r="BF67" s="108"/>
      <c r="BG67" s="108"/>
      <c r="BH67" s="108"/>
      <c r="BI67" s="108"/>
    </row>
    <row r="68" spans="2:81" hidden="1" outlineLevel="1" x14ac:dyDescent="0.3">
      <c r="D68" s="108"/>
      <c r="E68" s="108"/>
      <c r="F68" s="108"/>
      <c r="G68" s="108"/>
      <c r="H68" s="108"/>
      <c r="I68" s="108"/>
      <c r="J68" s="108"/>
      <c r="K68" s="108"/>
      <c r="L68" s="108"/>
      <c r="M68" s="251"/>
      <c r="N68" s="60"/>
      <c r="O68" s="60"/>
      <c r="P68" s="251"/>
      <c r="Q68" s="108"/>
      <c r="R68" s="108"/>
      <c r="S68" s="108"/>
      <c r="T68" s="108"/>
      <c r="U68" s="108"/>
      <c r="V68" s="108"/>
      <c r="W68" s="108"/>
      <c r="X68" s="108"/>
      <c r="Y68" s="108"/>
      <c r="Z68" s="108"/>
      <c r="AA68" s="108"/>
      <c r="AB68" s="108"/>
      <c r="AC68" s="108"/>
      <c r="AD68" s="108"/>
      <c r="AE68" s="108"/>
      <c r="AF68" s="108"/>
      <c r="AG68" s="108"/>
      <c r="AH68" s="108"/>
      <c r="AI68" s="108"/>
      <c r="AJ68" s="108"/>
      <c r="AK68" s="108"/>
      <c r="AL68" s="108"/>
      <c r="AM68" s="108"/>
      <c r="AN68" s="108"/>
      <c r="AO68" s="108"/>
      <c r="AP68" s="108"/>
      <c r="AQ68" s="108"/>
      <c r="AR68" s="108"/>
      <c r="AS68" s="108"/>
      <c r="AT68" s="108"/>
      <c r="AU68" s="108"/>
      <c r="AV68" s="108"/>
      <c r="AW68" s="108"/>
      <c r="AX68" s="108"/>
      <c r="AY68" s="108"/>
      <c r="AZ68" s="108"/>
      <c r="BA68" s="108"/>
      <c r="BB68" s="108"/>
      <c r="BC68" s="108"/>
      <c r="BD68" s="108"/>
      <c r="BE68" s="108"/>
      <c r="BF68" s="108"/>
      <c r="BG68" s="108"/>
      <c r="BH68" s="108"/>
      <c r="BI68" s="108"/>
    </row>
    <row r="69" spans="2:81" collapsed="1" x14ac:dyDescent="0.3">
      <c r="B69" s="50"/>
      <c r="D69" s="108"/>
      <c r="E69" s="108"/>
      <c r="F69" s="108"/>
      <c r="G69" s="108"/>
      <c r="H69" s="108"/>
      <c r="I69" s="108"/>
      <c r="J69" s="108"/>
      <c r="K69" s="108"/>
      <c r="L69" s="108"/>
      <c r="M69" s="251"/>
      <c r="N69" s="60"/>
      <c r="O69" s="60"/>
      <c r="P69" s="251"/>
      <c r="Q69" s="108"/>
      <c r="R69" s="108"/>
      <c r="S69" s="108"/>
      <c r="T69" s="108"/>
      <c r="U69" s="108"/>
      <c r="V69" s="108"/>
      <c r="W69" s="108" t="str">
        <f>Lists!B3</f>
        <v>Non-financial Corporates</v>
      </c>
      <c r="X69" s="108"/>
      <c r="Y69" s="108"/>
      <c r="Z69" s="108"/>
      <c r="AA69" s="108"/>
      <c r="AB69" s="108"/>
      <c r="AC69" s="108"/>
      <c r="AD69" s="108"/>
      <c r="AE69" s="108"/>
      <c r="AF69" s="108"/>
      <c r="AG69" s="108" t="str">
        <f>Lists!B4</f>
        <v>Financials</v>
      </c>
      <c r="AH69" s="108"/>
      <c r="AI69" s="108"/>
      <c r="AJ69" s="108"/>
      <c r="AK69" s="108"/>
      <c r="AL69" s="108"/>
      <c r="AM69" s="108"/>
      <c r="AN69" s="108"/>
      <c r="AO69" s="108"/>
      <c r="AP69" s="108"/>
      <c r="AQ69" s="108" t="str">
        <f>Lists!B5</f>
        <v>Sovereign / Public Finance</v>
      </c>
      <c r="AR69" s="108"/>
      <c r="AS69" s="108"/>
      <c r="AT69" s="108"/>
      <c r="AU69" s="108"/>
      <c r="AV69" s="108"/>
      <c r="AW69" s="108"/>
      <c r="AX69" s="108"/>
      <c r="AY69" s="108"/>
      <c r="AZ69" s="108"/>
      <c r="BA69" s="108" t="str">
        <f>Lists!B6</f>
        <v>Structured Finance - Senior</v>
      </c>
      <c r="BB69" s="108"/>
      <c r="BC69" s="108"/>
      <c r="BD69" s="108"/>
      <c r="BE69" s="108"/>
      <c r="BF69" s="108"/>
      <c r="BG69" s="108"/>
      <c r="BH69" s="108"/>
      <c r="BI69" s="108"/>
      <c r="BK69" s="108" t="str">
        <f>Lists!B7</f>
        <v>Structured Finance - Mezz.</v>
      </c>
      <c r="BL69" s="108"/>
      <c r="BM69" s="108"/>
      <c r="BN69" s="108"/>
      <c r="BO69" s="108"/>
      <c r="BP69" s="108"/>
      <c r="BQ69" s="108"/>
      <c r="BR69" s="108"/>
      <c r="BS69" s="108"/>
      <c r="BU69" s="108" t="str">
        <f>Lists!B8</f>
        <v>Structured Finance - Junior</v>
      </c>
      <c r="BV69" s="108"/>
      <c r="BW69" s="108"/>
      <c r="BX69" s="108"/>
      <c r="BY69" s="108"/>
      <c r="BZ69" s="108"/>
      <c r="CA69" s="108"/>
      <c r="CB69" s="108"/>
      <c r="CC69" s="108"/>
    </row>
    <row r="70" spans="2:81" x14ac:dyDescent="0.3">
      <c r="B70" s="46" t="s">
        <v>4438</v>
      </c>
      <c r="C70" s="48"/>
      <c r="D70" s="252"/>
      <c r="E70" s="252"/>
      <c r="F70" s="252"/>
      <c r="G70" s="252"/>
      <c r="H70" s="252"/>
      <c r="I70" s="252"/>
      <c r="J70" s="252"/>
      <c r="K70" s="252"/>
      <c r="L70" s="108"/>
      <c r="M70" s="253" t="s">
        <v>4439</v>
      </c>
      <c r="N70" s="252"/>
      <c r="O70" s="252"/>
      <c r="P70" s="252"/>
      <c r="Q70" s="252"/>
      <c r="R70" s="252"/>
      <c r="S70" s="252"/>
      <c r="T70" s="252"/>
      <c r="U70" s="252"/>
      <c r="V70" s="108"/>
      <c r="W70" s="253" t="s">
        <v>4440</v>
      </c>
      <c r="X70" s="252"/>
      <c r="Y70" s="252"/>
      <c r="Z70" s="252"/>
      <c r="AA70" s="252"/>
      <c r="AB70" s="252"/>
      <c r="AC70" s="252"/>
      <c r="AD70" s="252"/>
      <c r="AE70" s="252"/>
      <c r="AF70" s="108"/>
      <c r="AG70" s="253" t="s">
        <v>4440</v>
      </c>
      <c r="AH70" s="252"/>
      <c r="AI70" s="252"/>
      <c r="AJ70" s="252"/>
      <c r="AK70" s="252"/>
      <c r="AL70" s="252"/>
      <c r="AM70" s="252"/>
      <c r="AN70" s="252"/>
      <c r="AO70" s="252"/>
      <c r="AP70" s="108"/>
      <c r="AQ70" s="253" t="s">
        <v>4440</v>
      </c>
      <c r="AR70" s="252"/>
      <c r="AS70" s="252"/>
      <c r="AT70" s="252"/>
      <c r="AU70" s="252"/>
      <c r="AV70" s="252"/>
      <c r="AW70" s="252"/>
      <c r="AX70" s="252"/>
      <c r="AY70" s="252"/>
      <c r="AZ70" s="108"/>
      <c r="BA70" s="253" t="s">
        <v>4440</v>
      </c>
      <c r="BB70" s="252"/>
      <c r="BC70" s="252"/>
      <c r="BD70" s="252"/>
      <c r="BE70" s="252"/>
      <c r="BF70" s="252"/>
      <c r="BG70" s="252"/>
      <c r="BH70" s="252"/>
      <c r="BI70" s="252"/>
      <c r="BK70" s="253" t="s">
        <v>4440</v>
      </c>
      <c r="BL70" s="252"/>
      <c r="BM70" s="252"/>
      <c r="BN70" s="252"/>
      <c r="BO70" s="252"/>
      <c r="BP70" s="252"/>
      <c r="BQ70" s="252"/>
      <c r="BR70" s="252"/>
      <c r="BS70" s="252"/>
      <c r="BU70" s="253" t="s">
        <v>4440</v>
      </c>
      <c r="BV70" s="252"/>
      <c r="BW70" s="252"/>
      <c r="BX70" s="252"/>
      <c r="BY70" s="252"/>
      <c r="BZ70" s="252"/>
      <c r="CA70" s="252"/>
      <c r="CB70" s="252"/>
      <c r="CC70" s="252"/>
    </row>
    <row r="71" spans="2:81" hidden="1" outlineLevel="1" x14ac:dyDescent="0.3">
      <c r="B71" s="88"/>
      <c r="C71" s="52" t="s">
        <v>2101</v>
      </c>
      <c r="D71" s="31">
        <f>Lists!$C$3</f>
        <v>1</v>
      </c>
      <c r="L71" s="108"/>
      <c r="N71" s="52" t="s">
        <v>2101</v>
      </c>
      <c r="O71" s="31">
        <f>Lists!$C$3</f>
        <v>1</v>
      </c>
      <c r="P71" s="108"/>
      <c r="Q71" s="108"/>
      <c r="R71" s="108"/>
      <c r="S71" s="108"/>
      <c r="T71" s="108"/>
      <c r="U71" s="108"/>
      <c r="V71" s="108"/>
      <c r="W71" s="168"/>
      <c r="X71" s="52" t="s">
        <v>2101</v>
      </c>
      <c r="Y71" s="31">
        <f>Lists!$C$3</f>
        <v>1</v>
      </c>
      <c r="Z71" s="108"/>
      <c r="AA71" s="108"/>
      <c r="AB71" s="108"/>
      <c r="AC71" s="108"/>
      <c r="AD71" s="108"/>
      <c r="AE71" s="108"/>
      <c r="AF71" s="108"/>
      <c r="AG71" s="168"/>
      <c r="AH71" s="52" t="s">
        <v>2101</v>
      </c>
      <c r="AI71" s="31">
        <f>Lists!$C$3</f>
        <v>1</v>
      </c>
      <c r="AJ71" s="108"/>
      <c r="AK71" s="108"/>
      <c r="AL71" s="108"/>
      <c r="AM71" s="108"/>
      <c r="AN71" s="108"/>
      <c r="AO71" s="108"/>
      <c r="AP71" s="108"/>
      <c r="AQ71" s="168"/>
      <c r="AR71" s="52" t="s">
        <v>2101</v>
      </c>
      <c r="AS71" s="31">
        <f>Lists!$C$3</f>
        <v>1</v>
      </c>
      <c r="AT71" s="108"/>
      <c r="AU71" s="108"/>
      <c r="AV71" s="108"/>
      <c r="AW71" s="108"/>
      <c r="AX71" s="108"/>
      <c r="AY71" s="108"/>
      <c r="AZ71" s="108"/>
      <c r="BA71" s="168"/>
      <c r="BB71" s="52" t="s">
        <v>2101</v>
      </c>
      <c r="BC71" s="31">
        <f>Lists!$C$3</f>
        <v>1</v>
      </c>
      <c r="BD71" s="108"/>
      <c r="BE71" s="108"/>
      <c r="BF71" s="108"/>
      <c r="BG71" s="108"/>
      <c r="BH71" s="108"/>
      <c r="BI71" s="108"/>
      <c r="BK71" s="168"/>
      <c r="BL71" s="52" t="s">
        <v>2101</v>
      </c>
      <c r="BM71" s="31">
        <f>Lists!$C$3</f>
        <v>1</v>
      </c>
      <c r="BN71" s="108"/>
      <c r="BO71" s="108"/>
      <c r="BP71" s="108"/>
      <c r="BQ71" s="108"/>
      <c r="BR71" s="108"/>
      <c r="BS71" s="108"/>
      <c r="BU71" s="168"/>
      <c r="BV71" s="52" t="s">
        <v>2101</v>
      </c>
      <c r="BW71" s="31">
        <f>Lists!$C$3</f>
        <v>1</v>
      </c>
      <c r="BX71" s="108"/>
      <c r="BY71" s="108"/>
      <c r="BZ71" s="108"/>
      <c r="CA71" s="108"/>
      <c r="CB71" s="108"/>
      <c r="CC71" s="108"/>
    </row>
    <row r="72" spans="2:81" ht="14.4" hidden="1" customHeight="1" outlineLevel="1" x14ac:dyDescent="0.3">
      <c r="C72" s="57" t="s">
        <v>939</v>
      </c>
      <c r="D72" s="675" t="s">
        <v>0</v>
      </c>
      <c r="E72" s="675" t="s">
        <v>1</v>
      </c>
      <c r="F72" s="675" t="s">
        <v>2</v>
      </c>
      <c r="G72" s="675" t="s">
        <v>3</v>
      </c>
      <c r="H72" s="675" t="s">
        <v>4</v>
      </c>
      <c r="I72" s="675" t="s">
        <v>5</v>
      </c>
      <c r="J72" s="675" t="s">
        <v>1457</v>
      </c>
      <c r="K72" s="675" t="s">
        <v>1123</v>
      </c>
      <c r="L72" s="108"/>
      <c r="M72" s="35"/>
      <c r="N72" s="675" t="s">
        <v>939</v>
      </c>
      <c r="O72" s="675" t="s">
        <v>0</v>
      </c>
      <c r="P72" s="675" t="s">
        <v>1</v>
      </c>
      <c r="Q72" s="675" t="s">
        <v>2</v>
      </c>
      <c r="R72" s="675" t="s">
        <v>3</v>
      </c>
      <c r="S72" s="675" t="s">
        <v>4</v>
      </c>
      <c r="T72" s="675" t="s">
        <v>5</v>
      </c>
      <c r="U72" s="675" t="s">
        <v>1457</v>
      </c>
      <c r="V72" s="108"/>
      <c r="X72" s="675" t="s">
        <v>939</v>
      </c>
      <c r="Y72" s="675" t="s">
        <v>0</v>
      </c>
      <c r="Z72" s="675" t="s">
        <v>1</v>
      </c>
      <c r="AA72" s="675" t="s">
        <v>2</v>
      </c>
      <c r="AB72" s="675" t="s">
        <v>3</v>
      </c>
      <c r="AC72" s="675" t="s">
        <v>4</v>
      </c>
      <c r="AD72" s="675" t="s">
        <v>5</v>
      </c>
      <c r="AE72" s="675" t="s">
        <v>1457</v>
      </c>
      <c r="AF72" s="108"/>
      <c r="AH72" s="675" t="s">
        <v>939</v>
      </c>
      <c r="AI72" s="675" t="s">
        <v>0</v>
      </c>
      <c r="AJ72" s="675" t="s">
        <v>1</v>
      </c>
      <c r="AK72" s="675" t="s">
        <v>2</v>
      </c>
      <c r="AL72" s="675" t="s">
        <v>3</v>
      </c>
      <c r="AM72" s="675" t="s">
        <v>4</v>
      </c>
      <c r="AN72" s="675" t="s">
        <v>5</v>
      </c>
      <c r="AO72" s="675" t="s">
        <v>1457</v>
      </c>
      <c r="AP72" s="108"/>
      <c r="AR72" s="675" t="s">
        <v>939</v>
      </c>
      <c r="AS72" s="675" t="s">
        <v>0</v>
      </c>
      <c r="AT72" s="675" t="s">
        <v>1</v>
      </c>
      <c r="AU72" s="675" t="s">
        <v>2</v>
      </c>
      <c r="AV72" s="675" t="s">
        <v>3</v>
      </c>
      <c r="AW72" s="675" t="s">
        <v>4</v>
      </c>
      <c r="AX72" s="675" t="s">
        <v>5</v>
      </c>
      <c r="AY72" s="675" t="s">
        <v>1457</v>
      </c>
      <c r="AZ72" s="108"/>
      <c r="BB72" s="675" t="s">
        <v>939</v>
      </c>
      <c r="BC72" s="675" t="s">
        <v>0</v>
      </c>
      <c r="BD72" s="675" t="s">
        <v>1</v>
      </c>
      <c r="BE72" s="675" t="s">
        <v>2</v>
      </c>
      <c r="BF72" s="675" t="s">
        <v>3</v>
      </c>
      <c r="BG72" s="675" t="s">
        <v>4</v>
      </c>
      <c r="BH72" s="675" t="s">
        <v>5</v>
      </c>
      <c r="BI72" s="675" t="s">
        <v>1457</v>
      </c>
      <c r="BL72" s="675" t="s">
        <v>939</v>
      </c>
      <c r="BM72" s="675" t="s">
        <v>0</v>
      </c>
      <c r="BN72" s="675" t="s">
        <v>1</v>
      </c>
      <c r="BO72" s="675" t="s">
        <v>2</v>
      </c>
      <c r="BP72" s="675" t="s">
        <v>3</v>
      </c>
      <c r="BQ72" s="675" t="s">
        <v>4</v>
      </c>
      <c r="BR72" s="675" t="s">
        <v>5</v>
      </c>
      <c r="BS72" s="675" t="s">
        <v>1457</v>
      </c>
      <c r="BV72" s="675" t="s">
        <v>939</v>
      </c>
      <c r="BW72" s="675" t="s">
        <v>0</v>
      </c>
      <c r="BX72" s="675" t="s">
        <v>1</v>
      </c>
      <c r="BY72" s="675" t="s">
        <v>2</v>
      </c>
      <c r="BZ72" s="675" t="s">
        <v>3</v>
      </c>
      <c r="CA72" s="675" t="s">
        <v>4</v>
      </c>
      <c r="CB72" s="675" t="s">
        <v>5</v>
      </c>
      <c r="CC72" s="675" t="s">
        <v>1457</v>
      </c>
    </row>
    <row r="73" spans="2:81" ht="14.4" hidden="1" customHeight="1" outlineLevel="1" x14ac:dyDescent="0.3">
      <c r="C73" s="52" t="s">
        <v>934</v>
      </c>
      <c r="D73" s="192">
        <f>Input!F83</f>
        <v>0</v>
      </c>
      <c r="E73" s="192">
        <f>Input!G83</f>
        <v>0</v>
      </c>
      <c r="F73" s="192">
        <f>Input!H83</f>
        <v>0</v>
      </c>
      <c r="G73" s="192">
        <f>Input!I83</f>
        <v>0</v>
      </c>
      <c r="H73" s="192">
        <f>Input!J83</f>
        <v>0</v>
      </c>
      <c r="I73" s="192">
        <f>Input!K83</f>
        <v>0</v>
      </c>
      <c r="J73" s="192">
        <f>Input!L83</f>
        <v>0</v>
      </c>
      <c r="K73" s="192">
        <f>Input!M83</f>
        <v>0</v>
      </c>
      <c r="L73" s="191"/>
      <c r="M73" s="191"/>
      <c r="N73" s="254" t="s">
        <v>934</v>
      </c>
      <c r="O73" s="192">
        <f>Input!F123+Input!F156</f>
        <v>0</v>
      </c>
      <c r="P73" s="192">
        <f>Input!G123+Input!G156</f>
        <v>0</v>
      </c>
      <c r="Q73" s="192">
        <f>Input!H123+Input!H156</f>
        <v>0</v>
      </c>
      <c r="R73" s="192">
        <f>Input!I123+Input!I156</f>
        <v>0</v>
      </c>
      <c r="S73" s="192">
        <f>Input!J123+Input!J156</f>
        <v>0</v>
      </c>
      <c r="T73" s="192">
        <f>Input!K123+Input!K156</f>
        <v>0</v>
      </c>
      <c r="U73" s="192">
        <f>Input!L123+Input!L156</f>
        <v>0</v>
      </c>
      <c r="V73" s="255"/>
      <c r="W73" s="191"/>
      <c r="X73" s="254" t="s">
        <v>934</v>
      </c>
      <c r="Y73" s="192">
        <f>SUMIFS('Step 4 bond aggregation'!$B$2:$B$661,'Step 4 bond aggregation'!$A$2:$A$661,$W$69,'Step 4 bond aggregation'!$F$2:$F$661,Y$72,'Step 4 bond aggregation'!$G$2:$G$661,MATCH($X73,lov_term_buckets,0),'Step 4 bond aggregation'!$E$2:$E$661,$Y$71)</f>
        <v>0</v>
      </c>
      <c r="Z73" s="192">
        <f>SUMIFS('Step 4 bond aggregation'!$B$2:$B$661,'Step 4 bond aggregation'!$A$2:$A$661,$W$69,'Step 4 bond aggregation'!$F$2:$F$661,Z$72,'Step 4 bond aggregation'!$G$2:$G$661,MATCH($X73,lov_term_buckets,0),'Step 4 bond aggregation'!$E$2:$E$661,$Y$71)</f>
        <v>0</v>
      </c>
      <c r="AA73" s="192">
        <f>SUMIFS('Step 4 bond aggregation'!$B$2:$B$661,'Step 4 bond aggregation'!$A$2:$A$661,$W$69,'Step 4 bond aggregation'!$F$2:$F$661,AA$72,'Step 4 bond aggregation'!$G$2:$G$661,MATCH($X73,lov_term_buckets,0),'Step 4 bond aggregation'!$E$2:$E$661,$Y$71)</f>
        <v>0</v>
      </c>
      <c r="AB73" s="192">
        <f>SUMIFS('Step 4 bond aggregation'!$B$2:$B$661,'Step 4 bond aggregation'!$A$2:$A$661,$W$69,'Step 4 bond aggregation'!$F$2:$F$661,AB$72,'Step 4 bond aggregation'!$G$2:$G$661,MATCH($X73,lov_term_buckets,0),'Step 4 bond aggregation'!$E$2:$E$661,$Y$71)</f>
        <v>0</v>
      </c>
      <c r="AC73" s="192">
        <f>SUMIFS('Step 4 bond aggregation'!$B$2:$B$661,'Step 4 bond aggregation'!$A$2:$A$661,$W$69,'Step 4 bond aggregation'!$F$2:$F$661,AC$72,'Step 4 bond aggregation'!$G$2:$G$661,MATCH($X73,lov_term_buckets,0),'Step 4 bond aggregation'!$E$2:$E$661,$Y$71)</f>
        <v>0</v>
      </c>
      <c r="AD73" s="192">
        <f>SUMIFS('Step 4 bond aggregation'!$B$2:$B$661,'Step 4 bond aggregation'!$A$2:$A$661,$W$69,'Step 4 bond aggregation'!$F$2:$F$661,AD$72,'Step 4 bond aggregation'!$G$2:$G$661,MATCH($X73,lov_term_buckets,0),'Step 4 bond aggregation'!$E$2:$E$661,$Y$71)</f>
        <v>0</v>
      </c>
      <c r="AE73" s="192">
        <f>SUMIFS('Step 4 bond aggregation'!$B$2:$B$661,'Step 4 bond aggregation'!$A$2:$A$661,$W$69,'Step 4 bond aggregation'!$F$2:$F$661,AE$72,'Step 4 bond aggregation'!$G$2:$G$661,MATCH($X73,lov_term_buckets,0),'Step 4 bond aggregation'!$E$2:$E$661,$Y$71)</f>
        <v>0</v>
      </c>
      <c r="AF73" s="191"/>
      <c r="AG73" s="191"/>
      <c r="AH73" s="254" t="s">
        <v>934</v>
      </c>
      <c r="AI73" s="192">
        <f>SUMIFS('Step 4 bond aggregation'!$B$2:$B$661,'Step 4 bond aggregation'!$A$2:$A$661,$AG$69,'Step 4 bond aggregation'!$F$2:$F$661,AI$72,'Step 4 bond aggregation'!$G$2:$G$661,MATCH($AH73,lov_term_buckets,0),'Step 4 bond aggregation'!$E$2:$E$661,$AI$71)</f>
        <v>0</v>
      </c>
      <c r="AJ73" s="192">
        <f>SUMIFS('Step 4 bond aggregation'!$B$2:$B$661,'Step 4 bond aggregation'!$A$2:$A$661,$AG$69,'Step 4 bond aggregation'!$F$2:$F$661,AJ$72,'Step 4 bond aggregation'!$G$2:$G$661,MATCH($AH73,lov_term_buckets,0),'Step 4 bond aggregation'!$E$2:$E$661,$AI$71)</f>
        <v>0</v>
      </c>
      <c r="AK73" s="192">
        <f>SUMIFS('Step 4 bond aggregation'!$B$2:$B$661,'Step 4 bond aggregation'!$A$2:$A$661,$AG$69,'Step 4 bond aggregation'!$F$2:$F$661,AK$72,'Step 4 bond aggregation'!$G$2:$G$661,MATCH($AH73,lov_term_buckets,0),'Step 4 bond aggregation'!$E$2:$E$661,$AI$71)</f>
        <v>0</v>
      </c>
      <c r="AL73" s="192">
        <f>SUMIFS('Step 4 bond aggregation'!$B$2:$B$661,'Step 4 bond aggregation'!$A$2:$A$661,$AG$69,'Step 4 bond aggregation'!$F$2:$F$661,AL$72,'Step 4 bond aggregation'!$G$2:$G$661,MATCH($AH73,lov_term_buckets,0),'Step 4 bond aggregation'!$E$2:$E$661,$AI$71)</f>
        <v>0</v>
      </c>
      <c r="AM73" s="192">
        <f>SUMIFS('Step 4 bond aggregation'!$B$2:$B$661,'Step 4 bond aggregation'!$A$2:$A$661,$AG$69,'Step 4 bond aggregation'!$F$2:$F$661,AM$72,'Step 4 bond aggregation'!$G$2:$G$661,MATCH($AH73,lov_term_buckets,0),'Step 4 bond aggregation'!$E$2:$E$661,$AI$71)</f>
        <v>0</v>
      </c>
      <c r="AN73" s="192">
        <f>SUMIFS('Step 4 bond aggregation'!$B$2:$B$661,'Step 4 bond aggregation'!$A$2:$A$661,$AG$69,'Step 4 bond aggregation'!$F$2:$F$661,AN$72,'Step 4 bond aggregation'!$G$2:$G$661,MATCH($AH73,lov_term_buckets,0),'Step 4 bond aggregation'!$E$2:$E$661,$AI$71)</f>
        <v>0</v>
      </c>
      <c r="AO73" s="192">
        <f>SUMIFS('Step 4 bond aggregation'!$B$2:$B$661,'Step 4 bond aggregation'!$A$2:$A$661,$AG$69,'Step 4 bond aggregation'!$F$2:$F$661,AO$72,'Step 4 bond aggregation'!$G$2:$G$661,MATCH($AH73,lov_term_buckets,0),'Step 4 bond aggregation'!$E$2:$E$661,$AI$71)</f>
        <v>0</v>
      </c>
      <c r="AP73" s="191"/>
      <c r="AQ73" s="191"/>
      <c r="AR73" s="254" t="s">
        <v>934</v>
      </c>
      <c r="AS73" s="192">
        <f>SUMIFS('Step 4 bond aggregation'!$B$2:$B$661,'Step 4 bond aggregation'!$A$2:$A$661,$AQ$69,'Step 4 bond aggregation'!$F$2:$F$661,AS$72,'Step 4 bond aggregation'!$G$2:$G$661,MATCH($AR73,lov_term_buckets,0),'Step 4 bond aggregation'!$E$2:$E$661,$AS$71)</f>
        <v>0</v>
      </c>
      <c r="AT73" s="192">
        <f>SUMIFS('Step 4 bond aggregation'!$B$2:$B$661,'Step 4 bond aggregation'!$A$2:$A$661,$AQ$69,'Step 4 bond aggregation'!$F$2:$F$661,AT$72,'Step 4 bond aggregation'!$G$2:$G$661,MATCH($AR73,lov_term_buckets,0),'Step 4 bond aggregation'!$E$2:$E$661,$AS$71)</f>
        <v>0</v>
      </c>
      <c r="AU73" s="192">
        <f>SUMIFS('Step 4 bond aggregation'!$B$2:$B$661,'Step 4 bond aggregation'!$A$2:$A$661,$AQ$69,'Step 4 bond aggregation'!$F$2:$F$661,AU$72,'Step 4 bond aggregation'!$G$2:$G$661,MATCH($AR73,lov_term_buckets,0),'Step 4 bond aggregation'!$E$2:$E$661,$AS$71)</f>
        <v>0</v>
      </c>
      <c r="AV73" s="192">
        <f>SUMIFS('Step 4 bond aggregation'!$B$2:$B$661,'Step 4 bond aggregation'!$A$2:$A$661,$AQ$69,'Step 4 bond aggregation'!$F$2:$F$661,AV$72,'Step 4 bond aggregation'!$G$2:$G$661,MATCH($AR73,lov_term_buckets,0),'Step 4 bond aggregation'!$E$2:$E$661,$AS$71)</f>
        <v>0</v>
      </c>
      <c r="AW73" s="192">
        <f>SUMIFS('Step 4 bond aggregation'!$B$2:$B$661,'Step 4 bond aggregation'!$A$2:$A$661,$AQ$69,'Step 4 bond aggregation'!$F$2:$F$661,AW$72,'Step 4 bond aggregation'!$G$2:$G$661,MATCH($AR73,lov_term_buckets,0),'Step 4 bond aggregation'!$E$2:$E$661,$AS$71)</f>
        <v>0</v>
      </c>
      <c r="AX73" s="192">
        <f>SUMIFS('Step 4 bond aggregation'!$B$2:$B$661,'Step 4 bond aggregation'!$A$2:$A$661,$AQ$69,'Step 4 bond aggregation'!$F$2:$F$661,AX$72,'Step 4 bond aggregation'!$G$2:$G$661,MATCH($AR73,lov_term_buckets,0),'Step 4 bond aggregation'!$E$2:$E$661,$AS$71)</f>
        <v>0</v>
      </c>
      <c r="AY73" s="192">
        <f>SUMIFS('Step 4 bond aggregation'!$B$2:$B$661,'Step 4 bond aggregation'!$A$2:$A$661,$AQ$69,'Step 4 bond aggregation'!$F$2:$F$661,AY$72,'Step 4 bond aggregation'!$G$2:$G$661,MATCH($AR73,lov_term_buckets,0),'Step 4 bond aggregation'!$E$2:$E$661,$AS$71)</f>
        <v>0</v>
      </c>
      <c r="AZ73" s="191"/>
      <c r="BA73" s="191"/>
      <c r="BB73" s="254" t="s">
        <v>934</v>
      </c>
      <c r="BC73" s="192">
        <f>SUMIFS('Step 4 bond aggregation'!$B$2:$B$661,'Step 4 bond aggregation'!$A$2:$A$661,$BA$69,'Step 4 bond aggregation'!$F$2:$F$661,BC$72,'Step 4 bond aggregation'!$G$2:$G$661,MATCH($BB73,lov_term_buckets,0),'Step 4 bond aggregation'!$E$2:$E$661,$BC$71)</f>
        <v>0</v>
      </c>
      <c r="BD73" s="192">
        <f>SUMIFS('Step 4 bond aggregation'!$B$2:$B$661,'Step 4 bond aggregation'!$A$2:$A$661,$BA$69,'Step 4 bond aggregation'!$F$2:$F$661,BD$72,'Step 4 bond aggregation'!$G$2:$G$661,MATCH($BB73,lov_term_buckets,0),'Step 4 bond aggregation'!$E$2:$E$661,$BC$71)</f>
        <v>0</v>
      </c>
      <c r="BE73" s="192">
        <f>SUMIFS('Step 4 bond aggregation'!$B$2:$B$661,'Step 4 bond aggregation'!$A$2:$A$661,$BA$69,'Step 4 bond aggregation'!$F$2:$F$661,BE$72,'Step 4 bond aggregation'!$G$2:$G$661,MATCH($BB73,lov_term_buckets,0),'Step 4 bond aggregation'!$E$2:$E$661,$BC$71)</f>
        <v>0</v>
      </c>
      <c r="BF73" s="192">
        <f>SUMIFS('Step 4 bond aggregation'!$B$2:$B$661,'Step 4 bond aggregation'!$A$2:$A$661,$BA$69,'Step 4 bond aggregation'!$F$2:$F$661,BF$72,'Step 4 bond aggregation'!$G$2:$G$661,MATCH($BB73,lov_term_buckets,0),'Step 4 bond aggregation'!$E$2:$E$661,$BC$71)</f>
        <v>0</v>
      </c>
      <c r="BG73" s="192">
        <f>SUMIFS('Step 4 bond aggregation'!$B$2:$B$661,'Step 4 bond aggregation'!$A$2:$A$661,$BA$69,'Step 4 bond aggregation'!$F$2:$F$661,BG$72,'Step 4 bond aggregation'!$G$2:$G$661,MATCH($BB73,lov_term_buckets,0),'Step 4 bond aggregation'!$E$2:$E$661,$BC$71)</f>
        <v>0</v>
      </c>
      <c r="BH73" s="192">
        <f>SUMIFS('Step 4 bond aggregation'!$B$2:$B$661,'Step 4 bond aggregation'!$A$2:$A$661,$BA$69,'Step 4 bond aggregation'!$F$2:$F$661,BH$72,'Step 4 bond aggregation'!$G$2:$G$661,MATCH($BB73,lov_term_buckets,0),'Step 4 bond aggregation'!$E$2:$E$661,$BC$71)</f>
        <v>0</v>
      </c>
      <c r="BI73" s="192">
        <f>SUMIFS('Step 4 bond aggregation'!$B$2:$B$661,'Step 4 bond aggregation'!$A$2:$A$661,$BA$69,'Step 4 bond aggregation'!$F$2:$F$661,BI$72,'Step 4 bond aggregation'!$G$2:$G$661,MATCH($BB73,lov_term_buckets,0),'Step 4 bond aggregation'!$E$2:$E$661,$BC$71)</f>
        <v>0</v>
      </c>
      <c r="BK73" s="191"/>
      <c r="BL73" s="254" t="s">
        <v>934</v>
      </c>
      <c r="BM73" s="192">
        <f>SUMIFS('Step 4 bond aggregation'!$B$2:$B$661,'Step 4 bond aggregation'!$A$2:$A$661,$BK$69,'Step 4 bond aggregation'!$F$2:$F$661,BM$72,'Step 4 bond aggregation'!$G$2:$G$661,MATCH($BB73,lov_term_buckets,0),'Step 4 bond aggregation'!$E$2:$E$661,$BC$71)</f>
        <v>0</v>
      </c>
      <c r="BN73" s="192">
        <f>SUMIFS('Step 4 bond aggregation'!$B$2:$B$661,'Step 4 bond aggregation'!$A$2:$A$661,$BK$69,'Step 4 bond aggregation'!$F$2:$F$661,BN$72,'Step 4 bond aggregation'!$G$2:$G$661,MATCH($BB73,lov_term_buckets,0),'Step 4 bond aggregation'!$E$2:$E$661,$BC$71)</f>
        <v>0</v>
      </c>
      <c r="BO73" s="192">
        <f>SUMIFS('Step 4 bond aggregation'!$B$2:$B$661,'Step 4 bond aggregation'!$A$2:$A$661,$BK$69,'Step 4 bond aggregation'!$F$2:$F$661,BO$72,'Step 4 bond aggregation'!$G$2:$G$661,MATCH($BB73,lov_term_buckets,0),'Step 4 bond aggregation'!$E$2:$E$661,$BC$71)</f>
        <v>0</v>
      </c>
      <c r="BP73" s="192">
        <f>SUMIFS('Step 4 bond aggregation'!$B$2:$B$661,'Step 4 bond aggregation'!$A$2:$A$661,$BK$69,'Step 4 bond aggregation'!$F$2:$F$661,BP$72,'Step 4 bond aggregation'!$G$2:$G$661,MATCH($BB73,lov_term_buckets,0),'Step 4 bond aggregation'!$E$2:$E$661,$BC$71)</f>
        <v>0</v>
      </c>
      <c r="BQ73" s="192">
        <f>SUMIFS('Step 4 bond aggregation'!$B$2:$B$661,'Step 4 bond aggregation'!$A$2:$A$661,$BK$69,'Step 4 bond aggregation'!$F$2:$F$661,BQ$72,'Step 4 bond aggregation'!$G$2:$G$661,MATCH($BB73,lov_term_buckets,0),'Step 4 bond aggregation'!$E$2:$E$661,$BC$71)</f>
        <v>0</v>
      </c>
      <c r="BR73" s="192">
        <f>SUMIFS('Step 4 bond aggregation'!$B$2:$B$661,'Step 4 bond aggregation'!$A$2:$A$661,$BK$69,'Step 4 bond aggregation'!$F$2:$F$661,BR$72,'Step 4 bond aggregation'!$G$2:$G$661,MATCH($BB73,lov_term_buckets,0),'Step 4 bond aggregation'!$E$2:$E$661,$BC$71)</f>
        <v>0</v>
      </c>
      <c r="BS73" s="192">
        <f>SUMIFS('Step 4 bond aggregation'!$B$2:$B$661,'Step 4 bond aggregation'!$A$2:$A$661,$BK$69,'Step 4 bond aggregation'!$F$2:$F$661,BS$72,'Step 4 bond aggregation'!$G$2:$G$661,MATCH($BB73,lov_term_buckets,0),'Step 4 bond aggregation'!$E$2:$E$661,$BC$71)</f>
        <v>0</v>
      </c>
      <c r="BU73" s="191"/>
      <c r="BV73" s="254" t="s">
        <v>934</v>
      </c>
      <c r="BW73" s="192">
        <f>SUMIFS('Step 4 bond aggregation'!$B$2:$B$661,'Step 4 bond aggregation'!$A$2:$A$661,$BU$69,'Step 4 bond aggregation'!$F$2:$F$661,BW$72,'Step 4 bond aggregation'!$G$2:$G$661,MATCH($BB73,lov_term_buckets,0),'Step 4 bond aggregation'!$E$2:$E$661,$BC$71)</f>
        <v>0</v>
      </c>
      <c r="BX73" s="192">
        <f>SUMIFS('Step 4 bond aggregation'!$B$2:$B$661,'Step 4 bond aggregation'!$A$2:$A$661,$BU$69,'Step 4 bond aggregation'!$F$2:$F$661,BX$72,'Step 4 bond aggregation'!$G$2:$G$661,MATCH($BB73,lov_term_buckets,0),'Step 4 bond aggregation'!$E$2:$E$661,$BC$71)</f>
        <v>0</v>
      </c>
      <c r="BY73" s="192">
        <f>SUMIFS('Step 4 bond aggregation'!$B$2:$B$661,'Step 4 bond aggregation'!$A$2:$A$661,$BU$69,'Step 4 bond aggregation'!$F$2:$F$661,BY$72,'Step 4 bond aggregation'!$G$2:$G$661,MATCH($BB73,lov_term_buckets,0),'Step 4 bond aggregation'!$E$2:$E$661,$BC$71)</f>
        <v>0</v>
      </c>
      <c r="BZ73" s="192">
        <f>SUMIFS('Step 4 bond aggregation'!$B$2:$B$661,'Step 4 bond aggregation'!$A$2:$A$661,$BU$69,'Step 4 bond aggregation'!$F$2:$F$661,BZ$72,'Step 4 bond aggregation'!$G$2:$G$661,MATCH($BB73,lov_term_buckets,0),'Step 4 bond aggregation'!$E$2:$E$661,$BC$71)</f>
        <v>0</v>
      </c>
      <c r="CA73" s="192">
        <f>SUMIFS('Step 4 bond aggregation'!$B$2:$B$661,'Step 4 bond aggregation'!$A$2:$A$661,$BU$69,'Step 4 bond aggregation'!$F$2:$F$661,CA$72,'Step 4 bond aggregation'!$G$2:$G$661,MATCH($BB73,lov_term_buckets,0),'Step 4 bond aggregation'!$E$2:$E$661,$BC$71)</f>
        <v>0</v>
      </c>
      <c r="CB73" s="192">
        <f>SUMIFS('Step 4 bond aggregation'!$B$2:$B$661,'Step 4 bond aggregation'!$A$2:$A$661,$BU$69,'Step 4 bond aggregation'!$F$2:$F$661,CB$72,'Step 4 bond aggregation'!$G$2:$G$661,MATCH($BB73,lov_term_buckets,0),'Step 4 bond aggregation'!$E$2:$E$661,$BC$71)</f>
        <v>0</v>
      </c>
      <c r="CC73" s="192">
        <f>SUMIFS('Step 4 bond aggregation'!$B$2:$B$661,'Step 4 bond aggregation'!$A$2:$A$661,$BU$69,'Step 4 bond aggregation'!$F$2:$F$661,CC$72,'Step 4 bond aggregation'!$G$2:$G$661,MATCH($BB73,lov_term_buckets,0),'Step 4 bond aggregation'!$E$2:$E$661,$BC$71)</f>
        <v>0</v>
      </c>
    </row>
    <row r="74" spans="2:81" ht="14.4" hidden="1" customHeight="1" outlineLevel="1" x14ac:dyDescent="0.3">
      <c r="C74" s="52" t="s">
        <v>935</v>
      </c>
      <c r="D74" s="192">
        <f>Input!F84</f>
        <v>0</v>
      </c>
      <c r="E74" s="192">
        <f>Input!G84</f>
        <v>0</v>
      </c>
      <c r="F74" s="192">
        <f>Input!H84</f>
        <v>0</v>
      </c>
      <c r="G74" s="192">
        <f>Input!I84</f>
        <v>0</v>
      </c>
      <c r="H74" s="192">
        <f>Input!J84</f>
        <v>0</v>
      </c>
      <c r="I74" s="192">
        <f>Input!K84</f>
        <v>0</v>
      </c>
      <c r="J74" s="192">
        <f>Input!L84</f>
        <v>0</v>
      </c>
      <c r="K74" s="192">
        <f>Input!M84</f>
        <v>0</v>
      </c>
      <c r="L74" s="191"/>
      <c r="M74" s="191"/>
      <c r="N74" s="254" t="s">
        <v>935</v>
      </c>
      <c r="O74" s="192">
        <f>Input!F124+Input!F157</f>
        <v>0</v>
      </c>
      <c r="P74" s="192">
        <f>Input!G124+Input!G157</f>
        <v>0</v>
      </c>
      <c r="Q74" s="192">
        <f>Input!H124+Input!H157</f>
        <v>0</v>
      </c>
      <c r="R74" s="192">
        <f>Input!I124+Input!I157</f>
        <v>0</v>
      </c>
      <c r="S74" s="192">
        <f>Input!J124+Input!J157</f>
        <v>0</v>
      </c>
      <c r="T74" s="192">
        <f>Input!K124+Input!K157</f>
        <v>0</v>
      </c>
      <c r="U74" s="192">
        <f>Input!L124+Input!L157</f>
        <v>0</v>
      </c>
      <c r="V74" s="255"/>
      <c r="W74" s="191"/>
      <c r="X74" s="254" t="s">
        <v>935</v>
      </c>
      <c r="Y74" s="192">
        <f>SUMIFS('Step 4 bond aggregation'!$B$2:$B$661,'Step 4 bond aggregation'!$A$2:$A$661,$W$69,'Step 4 bond aggregation'!$F$2:$F$661,Y$72,'Step 4 bond aggregation'!$G$2:$G$661,MATCH($X74,lov_term_buckets,0),'Step 4 bond aggregation'!$E$2:$E$661,$Y$71)</f>
        <v>0</v>
      </c>
      <c r="Z74" s="192">
        <f>SUMIFS('Step 4 bond aggregation'!$B$2:$B$661,'Step 4 bond aggregation'!$A$2:$A$661,$W$69,'Step 4 bond aggregation'!$F$2:$F$661,Z$72,'Step 4 bond aggregation'!$G$2:$G$661,MATCH($X74,lov_term_buckets,0),'Step 4 bond aggregation'!$E$2:$E$661,$Y$71)</f>
        <v>0</v>
      </c>
      <c r="AA74" s="192">
        <f>SUMIFS('Step 4 bond aggregation'!$B$2:$B$661,'Step 4 bond aggregation'!$A$2:$A$661,$W$69,'Step 4 bond aggregation'!$F$2:$F$661,AA$72,'Step 4 bond aggregation'!$G$2:$G$661,MATCH($X74,lov_term_buckets,0),'Step 4 bond aggregation'!$E$2:$E$661,$Y$71)</f>
        <v>0</v>
      </c>
      <c r="AB74" s="192">
        <f>SUMIFS('Step 4 bond aggregation'!$B$2:$B$661,'Step 4 bond aggregation'!$A$2:$A$661,$W$69,'Step 4 bond aggregation'!$F$2:$F$661,AB$72,'Step 4 bond aggregation'!$G$2:$G$661,MATCH($X74,lov_term_buckets,0),'Step 4 bond aggregation'!$E$2:$E$661,$Y$71)</f>
        <v>0</v>
      </c>
      <c r="AC74" s="192">
        <f>SUMIFS('Step 4 bond aggregation'!$B$2:$B$661,'Step 4 bond aggregation'!$A$2:$A$661,$W$69,'Step 4 bond aggregation'!$F$2:$F$661,AC$72,'Step 4 bond aggregation'!$G$2:$G$661,MATCH($X74,lov_term_buckets,0),'Step 4 bond aggregation'!$E$2:$E$661,$Y$71)</f>
        <v>0</v>
      </c>
      <c r="AD74" s="192">
        <f>SUMIFS('Step 4 bond aggregation'!$B$2:$B$661,'Step 4 bond aggregation'!$A$2:$A$661,$W$69,'Step 4 bond aggregation'!$F$2:$F$661,AD$72,'Step 4 bond aggregation'!$G$2:$G$661,MATCH($X74,lov_term_buckets,0),'Step 4 bond aggregation'!$E$2:$E$661,$Y$71)</f>
        <v>0</v>
      </c>
      <c r="AE74" s="192">
        <f>SUMIFS('Step 4 bond aggregation'!$B$2:$B$661,'Step 4 bond aggregation'!$A$2:$A$661,$W$69,'Step 4 bond aggregation'!$F$2:$F$661,AE$72,'Step 4 bond aggregation'!$G$2:$G$661,MATCH($X74,lov_term_buckets,0),'Step 4 bond aggregation'!$E$2:$E$661,$Y$71)</f>
        <v>0</v>
      </c>
      <c r="AF74" s="191"/>
      <c r="AG74" s="191"/>
      <c r="AH74" s="254" t="s">
        <v>935</v>
      </c>
      <c r="AI74" s="192">
        <f>SUMIFS('Step 4 bond aggregation'!$B$2:$B$661,'Step 4 bond aggregation'!$A$2:$A$661,$AG$69,'Step 4 bond aggregation'!$F$2:$F$661,AI$72,'Step 4 bond aggregation'!$G$2:$G$661,MATCH($AH74,lov_term_buckets,0),'Step 4 bond aggregation'!$E$2:$E$661,$AI$71)</f>
        <v>0</v>
      </c>
      <c r="AJ74" s="192">
        <f>SUMIFS('Step 4 bond aggregation'!$B$2:$B$661,'Step 4 bond aggregation'!$A$2:$A$661,$AG$69,'Step 4 bond aggregation'!$F$2:$F$661,AJ$72,'Step 4 bond aggregation'!$G$2:$G$661,MATCH($AH74,lov_term_buckets,0),'Step 4 bond aggregation'!$E$2:$E$661,$AI$71)</f>
        <v>0</v>
      </c>
      <c r="AK74" s="192">
        <f>SUMIFS('Step 4 bond aggregation'!$B$2:$B$661,'Step 4 bond aggregation'!$A$2:$A$661,$AG$69,'Step 4 bond aggregation'!$F$2:$F$661,AK$72,'Step 4 bond aggregation'!$G$2:$G$661,MATCH($AH74,lov_term_buckets,0),'Step 4 bond aggregation'!$E$2:$E$661,$AI$71)</f>
        <v>0</v>
      </c>
      <c r="AL74" s="192">
        <f>SUMIFS('Step 4 bond aggregation'!$B$2:$B$661,'Step 4 bond aggregation'!$A$2:$A$661,$AG$69,'Step 4 bond aggregation'!$F$2:$F$661,AL$72,'Step 4 bond aggregation'!$G$2:$G$661,MATCH($AH74,lov_term_buckets,0),'Step 4 bond aggregation'!$E$2:$E$661,$AI$71)</f>
        <v>0</v>
      </c>
      <c r="AM74" s="192">
        <f>SUMIFS('Step 4 bond aggregation'!$B$2:$B$661,'Step 4 bond aggregation'!$A$2:$A$661,$AG$69,'Step 4 bond aggregation'!$F$2:$F$661,AM$72,'Step 4 bond aggregation'!$G$2:$G$661,MATCH($AH74,lov_term_buckets,0),'Step 4 bond aggregation'!$E$2:$E$661,$AI$71)</f>
        <v>0</v>
      </c>
      <c r="AN74" s="192">
        <f>SUMIFS('Step 4 bond aggregation'!$B$2:$B$661,'Step 4 bond aggregation'!$A$2:$A$661,$AG$69,'Step 4 bond aggregation'!$F$2:$F$661,AN$72,'Step 4 bond aggregation'!$G$2:$G$661,MATCH($AH74,lov_term_buckets,0),'Step 4 bond aggregation'!$E$2:$E$661,$AI$71)</f>
        <v>0</v>
      </c>
      <c r="AO74" s="192">
        <f>SUMIFS('Step 4 bond aggregation'!$B$2:$B$661,'Step 4 bond aggregation'!$A$2:$A$661,$AG$69,'Step 4 bond aggregation'!$F$2:$F$661,AO$72,'Step 4 bond aggregation'!$G$2:$G$661,MATCH($AH74,lov_term_buckets,0),'Step 4 bond aggregation'!$E$2:$E$661,$AI$71)</f>
        <v>0</v>
      </c>
      <c r="AP74" s="191"/>
      <c r="AQ74" s="191"/>
      <c r="AR74" s="254" t="s">
        <v>935</v>
      </c>
      <c r="AS74" s="192">
        <f>SUMIFS('Step 4 bond aggregation'!$B$2:$B$661,'Step 4 bond aggregation'!$A$2:$A$661,$AQ$69,'Step 4 bond aggregation'!$F$2:$F$661,AS$72,'Step 4 bond aggregation'!$G$2:$G$661,MATCH($AR74,lov_term_buckets,0),'Step 4 bond aggregation'!$E$2:$E$661,$AS$71)</f>
        <v>0</v>
      </c>
      <c r="AT74" s="192">
        <f>SUMIFS('Step 4 bond aggregation'!$B$2:$B$661,'Step 4 bond aggregation'!$A$2:$A$661,$AQ$69,'Step 4 bond aggregation'!$F$2:$F$661,AT$72,'Step 4 bond aggregation'!$G$2:$G$661,MATCH($AR74,lov_term_buckets,0),'Step 4 bond aggregation'!$E$2:$E$661,$AS$71)</f>
        <v>0</v>
      </c>
      <c r="AU74" s="192">
        <f>SUMIFS('Step 4 bond aggregation'!$B$2:$B$661,'Step 4 bond aggregation'!$A$2:$A$661,$AQ$69,'Step 4 bond aggregation'!$F$2:$F$661,AU$72,'Step 4 bond aggregation'!$G$2:$G$661,MATCH($AR74,lov_term_buckets,0),'Step 4 bond aggregation'!$E$2:$E$661,$AS$71)</f>
        <v>0</v>
      </c>
      <c r="AV74" s="192">
        <f>SUMIFS('Step 4 bond aggregation'!$B$2:$B$661,'Step 4 bond aggregation'!$A$2:$A$661,$AQ$69,'Step 4 bond aggregation'!$F$2:$F$661,AV$72,'Step 4 bond aggregation'!$G$2:$G$661,MATCH($AR74,lov_term_buckets,0),'Step 4 bond aggregation'!$E$2:$E$661,$AS$71)</f>
        <v>0</v>
      </c>
      <c r="AW74" s="192">
        <f>SUMIFS('Step 4 bond aggregation'!$B$2:$B$661,'Step 4 bond aggregation'!$A$2:$A$661,$AQ$69,'Step 4 bond aggregation'!$F$2:$F$661,AW$72,'Step 4 bond aggregation'!$G$2:$G$661,MATCH($AR74,lov_term_buckets,0),'Step 4 bond aggregation'!$E$2:$E$661,$AS$71)</f>
        <v>0</v>
      </c>
      <c r="AX74" s="192">
        <f>SUMIFS('Step 4 bond aggregation'!$B$2:$B$661,'Step 4 bond aggregation'!$A$2:$A$661,$AQ$69,'Step 4 bond aggregation'!$F$2:$F$661,AX$72,'Step 4 bond aggregation'!$G$2:$G$661,MATCH($AR74,lov_term_buckets,0),'Step 4 bond aggregation'!$E$2:$E$661,$AS$71)</f>
        <v>0</v>
      </c>
      <c r="AY74" s="192">
        <f>SUMIFS('Step 4 bond aggregation'!$B$2:$B$661,'Step 4 bond aggregation'!$A$2:$A$661,$AQ$69,'Step 4 bond aggregation'!$F$2:$F$661,AY$72,'Step 4 bond aggregation'!$G$2:$G$661,MATCH($AR74,lov_term_buckets,0),'Step 4 bond aggregation'!$E$2:$E$661,$AS$71)</f>
        <v>0</v>
      </c>
      <c r="AZ74" s="191"/>
      <c r="BA74" s="191"/>
      <c r="BB74" s="254" t="s">
        <v>935</v>
      </c>
      <c r="BC74" s="192">
        <f>SUMIFS('Step 4 bond aggregation'!$B$2:$B$661,'Step 4 bond aggregation'!$A$2:$A$661,$BA$69,'Step 4 bond aggregation'!$F$2:$F$661,BC$72,'Step 4 bond aggregation'!$G$2:$G$661,MATCH($BB74,lov_term_buckets,0),'Step 4 bond aggregation'!$E$2:$E$661,$BC$71)</f>
        <v>0</v>
      </c>
      <c r="BD74" s="192">
        <f>SUMIFS('Step 4 bond aggregation'!$B$2:$B$661,'Step 4 bond aggregation'!$A$2:$A$661,$BA$69,'Step 4 bond aggregation'!$F$2:$F$661,BD$72,'Step 4 bond aggregation'!$G$2:$G$661,MATCH($BB74,lov_term_buckets,0),'Step 4 bond aggregation'!$E$2:$E$661,$BC$71)</f>
        <v>0</v>
      </c>
      <c r="BE74" s="192">
        <f>SUMIFS('Step 4 bond aggregation'!$B$2:$B$661,'Step 4 bond aggregation'!$A$2:$A$661,$BA$69,'Step 4 bond aggregation'!$F$2:$F$661,BE$72,'Step 4 bond aggregation'!$G$2:$G$661,MATCH($BB74,lov_term_buckets,0),'Step 4 bond aggregation'!$E$2:$E$661,$BC$71)</f>
        <v>0</v>
      </c>
      <c r="BF74" s="192">
        <f>SUMIFS('Step 4 bond aggregation'!$B$2:$B$661,'Step 4 bond aggregation'!$A$2:$A$661,$BA$69,'Step 4 bond aggregation'!$F$2:$F$661,BF$72,'Step 4 bond aggregation'!$G$2:$G$661,MATCH($BB74,lov_term_buckets,0),'Step 4 bond aggregation'!$E$2:$E$661,$BC$71)</f>
        <v>0</v>
      </c>
      <c r="BG74" s="192">
        <f>SUMIFS('Step 4 bond aggregation'!$B$2:$B$661,'Step 4 bond aggregation'!$A$2:$A$661,$BA$69,'Step 4 bond aggregation'!$F$2:$F$661,BG$72,'Step 4 bond aggregation'!$G$2:$G$661,MATCH($BB74,lov_term_buckets,0),'Step 4 bond aggregation'!$E$2:$E$661,$BC$71)</f>
        <v>0</v>
      </c>
      <c r="BH74" s="192">
        <f>SUMIFS('Step 4 bond aggregation'!$B$2:$B$661,'Step 4 bond aggregation'!$A$2:$A$661,$BA$69,'Step 4 bond aggregation'!$F$2:$F$661,BH$72,'Step 4 bond aggregation'!$G$2:$G$661,MATCH($BB74,lov_term_buckets,0),'Step 4 bond aggregation'!$E$2:$E$661,$BC$71)</f>
        <v>0</v>
      </c>
      <c r="BI74" s="192">
        <f>SUMIFS('Step 4 bond aggregation'!$B$2:$B$661,'Step 4 bond aggregation'!$A$2:$A$661,$BA$69,'Step 4 bond aggregation'!$F$2:$F$661,BI$72,'Step 4 bond aggregation'!$G$2:$G$661,MATCH($BB74,lov_term_buckets,0),'Step 4 bond aggregation'!$E$2:$E$661,$BC$71)</f>
        <v>0</v>
      </c>
      <c r="BK74" s="191"/>
      <c r="BL74" s="254" t="s">
        <v>935</v>
      </c>
      <c r="BM74" s="192">
        <f>SUMIFS('Step 4 bond aggregation'!$B$2:$B$661,'Step 4 bond aggregation'!$A$2:$A$661,$BK$69,'Step 4 bond aggregation'!$F$2:$F$661,BM$72,'Step 4 bond aggregation'!$G$2:$G$661,MATCH($BB74,lov_term_buckets,0),'Step 4 bond aggregation'!$E$2:$E$661,$BC$71)</f>
        <v>0</v>
      </c>
      <c r="BN74" s="192">
        <f>SUMIFS('Step 4 bond aggregation'!$B$2:$B$661,'Step 4 bond aggregation'!$A$2:$A$661,$BK$69,'Step 4 bond aggregation'!$F$2:$F$661,BN$72,'Step 4 bond aggregation'!$G$2:$G$661,MATCH($BB74,lov_term_buckets,0),'Step 4 bond aggregation'!$E$2:$E$661,$BC$71)</f>
        <v>0</v>
      </c>
      <c r="BO74" s="192">
        <f>SUMIFS('Step 4 bond aggregation'!$B$2:$B$661,'Step 4 bond aggregation'!$A$2:$A$661,$BK$69,'Step 4 bond aggregation'!$F$2:$F$661,BO$72,'Step 4 bond aggregation'!$G$2:$G$661,MATCH($BB74,lov_term_buckets,0),'Step 4 bond aggregation'!$E$2:$E$661,$BC$71)</f>
        <v>0</v>
      </c>
      <c r="BP74" s="192">
        <f>SUMIFS('Step 4 bond aggregation'!$B$2:$B$661,'Step 4 bond aggregation'!$A$2:$A$661,$BK$69,'Step 4 bond aggregation'!$F$2:$F$661,BP$72,'Step 4 bond aggregation'!$G$2:$G$661,MATCH($BB74,lov_term_buckets,0),'Step 4 bond aggregation'!$E$2:$E$661,$BC$71)</f>
        <v>0</v>
      </c>
      <c r="BQ74" s="192">
        <f>SUMIFS('Step 4 bond aggregation'!$B$2:$B$661,'Step 4 bond aggregation'!$A$2:$A$661,$BK$69,'Step 4 bond aggregation'!$F$2:$F$661,BQ$72,'Step 4 bond aggregation'!$G$2:$G$661,MATCH($BB74,lov_term_buckets,0),'Step 4 bond aggregation'!$E$2:$E$661,$BC$71)</f>
        <v>0</v>
      </c>
      <c r="BR74" s="192">
        <f>SUMIFS('Step 4 bond aggregation'!$B$2:$B$661,'Step 4 bond aggregation'!$A$2:$A$661,$BK$69,'Step 4 bond aggregation'!$F$2:$F$661,BR$72,'Step 4 bond aggregation'!$G$2:$G$661,MATCH($BB74,lov_term_buckets,0),'Step 4 bond aggregation'!$E$2:$E$661,$BC$71)</f>
        <v>0</v>
      </c>
      <c r="BS74" s="192">
        <f>SUMIFS('Step 4 bond aggregation'!$B$2:$B$661,'Step 4 bond aggregation'!$A$2:$A$661,$BK$69,'Step 4 bond aggregation'!$F$2:$F$661,BS$72,'Step 4 bond aggregation'!$G$2:$G$661,MATCH($BB74,lov_term_buckets,0),'Step 4 bond aggregation'!$E$2:$E$661,$BC$71)</f>
        <v>0</v>
      </c>
      <c r="BU74" s="191"/>
      <c r="BV74" s="254" t="s">
        <v>935</v>
      </c>
      <c r="BW74" s="192">
        <f>SUMIFS('Step 4 bond aggregation'!$B$2:$B$661,'Step 4 bond aggregation'!$A$2:$A$661,$BU$69,'Step 4 bond aggregation'!$F$2:$F$661,BW$72,'Step 4 bond aggregation'!$G$2:$G$661,MATCH($BB74,lov_term_buckets,0),'Step 4 bond aggregation'!$E$2:$E$661,$BC$71)</f>
        <v>0</v>
      </c>
      <c r="BX74" s="192">
        <f>SUMIFS('Step 4 bond aggregation'!$B$2:$B$661,'Step 4 bond aggregation'!$A$2:$A$661,$BU$69,'Step 4 bond aggregation'!$F$2:$F$661,BX$72,'Step 4 bond aggregation'!$G$2:$G$661,MATCH($BB74,lov_term_buckets,0),'Step 4 bond aggregation'!$E$2:$E$661,$BC$71)</f>
        <v>0</v>
      </c>
      <c r="BY74" s="192">
        <f>SUMIFS('Step 4 bond aggregation'!$B$2:$B$661,'Step 4 bond aggregation'!$A$2:$A$661,$BU$69,'Step 4 bond aggregation'!$F$2:$F$661,BY$72,'Step 4 bond aggregation'!$G$2:$G$661,MATCH($BB74,lov_term_buckets,0),'Step 4 bond aggregation'!$E$2:$E$661,$BC$71)</f>
        <v>0</v>
      </c>
      <c r="BZ74" s="192">
        <f>SUMIFS('Step 4 bond aggregation'!$B$2:$B$661,'Step 4 bond aggregation'!$A$2:$A$661,$BU$69,'Step 4 bond aggregation'!$F$2:$F$661,BZ$72,'Step 4 bond aggregation'!$G$2:$G$661,MATCH($BB74,lov_term_buckets,0),'Step 4 bond aggregation'!$E$2:$E$661,$BC$71)</f>
        <v>0</v>
      </c>
      <c r="CA74" s="192">
        <f>SUMIFS('Step 4 bond aggregation'!$B$2:$B$661,'Step 4 bond aggregation'!$A$2:$A$661,$BU$69,'Step 4 bond aggregation'!$F$2:$F$661,CA$72,'Step 4 bond aggregation'!$G$2:$G$661,MATCH($BB74,lov_term_buckets,0),'Step 4 bond aggregation'!$E$2:$E$661,$BC$71)</f>
        <v>0</v>
      </c>
      <c r="CB74" s="192">
        <f>SUMIFS('Step 4 bond aggregation'!$B$2:$B$661,'Step 4 bond aggregation'!$A$2:$A$661,$BU$69,'Step 4 bond aggregation'!$F$2:$F$661,CB$72,'Step 4 bond aggregation'!$G$2:$G$661,MATCH($BB74,lov_term_buckets,0),'Step 4 bond aggregation'!$E$2:$E$661,$BC$71)</f>
        <v>0</v>
      </c>
      <c r="CC74" s="192">
        <f>SUMIFS('Step 4 bond aggregation'!$B$2:$B$661,'Step 4 bond aggregation'!$A$2:$A$661,$BU$69,'Step 4 bond aggregation'!$F$2:$F$661,CC$72,'Step 4 bond aggregation'!$G$2:$G$661,MATCH($BB74,lov_term_buckets,0),'Step 4 bond aggregation'!$E$2:$E$661,$BC$71)</f>
        <v>0</v>
      </c>
    </row>
    <row r="75" spans="2:81" ht="14.4" hidden="1" customHeight="1" outlineLevel="1" x14ac:dyDescent="0.3">
      <c r="C75" s="52" t="s">
        <v>936</v>
      </c>
      <c r="D75" s="192">
        <f>Input!F85</f>
        <v>0</v>
      </c>
      <c r="E75" s="192">
        <f>Input!G85</f>
        <v>0</v>
      </c>
      <c r="F75" s="192">
        <f>Input!H85</f>
        <v>0</v>
      </c>
      <c r="G75" s="192">
        <f>Input!I85</f>
        <v>0</v>
      </c>
      <c r="H75" s="192">
        <f>Input!J85</f>
        <v>0</v>
      </c>
      <c r="I75" s="192">
        <f>Input!K85</f>
        <v>0</v>
      </c>
      <c r="J75" s="192">
        <f>Input!L85</f>
        <v>0</v>
      </c>
      <c r="K75" s="192">
        <f>Input!M85</f>
        <v>0</v>
      </c>
      <c r="L75" s="191"/>
      <c r="M75" s="191"/>
      <c r="N75" s="254" t="s">
        <v>936</v>
      </c>
      <c r="O75" s="192">
        <f>Input!F125+Input!F158</f>
        <v>0</v>
      </c>
      <c r="P75" s="192">
        <f>Input!G125+Input!G158</f>
        <v>0</v>
      </c>
      <c r="Q75" s="192">
        <f>Input!H125+Input!H158</f>
        <v>0</v>
      </c>
      <c r="R75" s="192">
        <f>Input!I125+Input!I158</f>
        <v>0</v>
      </c>
      <c r="S75" s="192">
        <f>Input!J125+Input!J158</f>
        <v>0</v>
      </c>
      <c r="T75" s="192">
        <f>Input!K125+Input!K158</f>
        <v>0</v>
      </c>
      <c r="U75" s="192">
        <f>Input!L125+Input!L158</f>
        <v>0</v>
      </c>
      <c r="V75" s="255"/>
      <c r="W75" s="191"/>
      <c r="X75" s="254" t="s">
        <v>936</v>
      </c>
      <c r="Y75" s="192">
        <f>SUMIFS('Step 4 bond aggregation'!$B$2:$B$661,'Step 4 bond aggregation'!$A$2:$A$661,$W$69,'Step 4 bond aggregation'!$F$2:$F$661,Y$72,'Step 4 bond aggregation'!$G$2:$G$661,MATCH($X75,lov_term_buckets,0),'Step 4 bond aggregation'!$E$2:$E$661,$Y$71)</f>
        <v>0</v>
      </c>
      <c r="Z75" s="192">
        <f>SUMIFS('Step 4 bond aggregation'!$B$2:$B$661,'Step 4 bond aggregation'!$A$2:$A$661,$W$69,'Step 4 bond aggregation'!$F$2:$F$661,Z$72,'Step 4 bond aggregation'!$G$2:$G$661,MATCH($X75,lov_term_buckets,0),'Step 4 bond aggregation'!$E$2:$E$661,$Y$71)</f>
        <v>0</v>
      </c>
      <c r="AA75" s="192">
        <f>SUMIFS('Step 4 bond aggregation'!$B$2:$B$661,'Step 4 bond aggregation'!$A$2:$A$661,$W$69,'Step 4 bond aggregation'!$F$2:$F$661,AA$72,'Step 4 bond aggregation'!$G$2:$G$661,MATCH($X75,lov_term_buckets,0),'Step 4 bond aggregation'!$E$2:$E$661,$Y$71)</f>
        <v>0</v>
      </c>
      <c r="AB75" s="192">
        <f>SUMIFS('Step 4 bond aggregation'!$B$2:$B$661,'Step 4 bond aggregation'!$A$2:$A$661,$W$69,'Step 4 bond aggregation'!$F$2:$F$661,AB$72,'Step 4 bond aggregation'!$G$2:$G$661,MATCH($X75,lov_term_buckets,0),'Step 4 bond aggregation'!$E$2:$E$661,$Y$71)</f>
        <v>0</v>
      </c>
      <c r="AC75" s="192">
        <f>SUMIFS('Step 4 bond aggregation'!$B$2:$B$661,'Step 4 bond aggregation'!$A$2:$A$661,$W$69,'Step 4 bond aggregation'!$F$2:$F$661,AC$72,'Step 4 bond aggregation'!$G$2:$G$661,MATCH($X75,lov_term_buckets,0),'Step 4 bond aggregation'!$E$2:$E$661,$Y$71)</f>
        <v>0</v>
      </c>
      <c r="AD75" s="192">
        <f>SUMIFS('Step 4 bond aggregation'!$B$2:$B$661,'Step 4 bond aggregation'!$A$2:$A$661,$W$69,'Step 4 bond aggregation'!$F$2:$F$661,AD$72,'Step 4 bond aggregation'!$G$2:$G$661,MATCH($X75,lov_term_buckets,0),'Step 4 bond aggregation'!$E$2:$E$661,$Y$71)</f>
        <v>0</v>
      </c>
      <c r="AE75" s="192">
        <f>SUMIFS('Step 4 bond aggregation'!$B$2:$B$661,'Step 4 bond aggregation'!$A$2:$A$661,$W$69,'Step 4 bond aggregation'!$F$2:$F$661,AE$72,'Step 4 bond aggregation'!$G$2:$G$661,MATCH($X75,lov_term_buckets,0),'Step 4 bond aggregation'!$E$2:$E$661,$Y$71)</f>
        <v>0</v>
      </c>
      <c r="AF75" s="191"/>
      <c r="AG75" s="191"/>
      <c r="AH75" s="254" t="s">
        <v>936</v>
      </c>
      <c r="AI75" s="192">
        <f>SUMIFS('Step 4 bond aggregation'!$B$2:$B$661,'Step 4 bond aggregation'!$A$2:$A$661,$AG$69,'Step 4 bond aggregation'!$F$2:$F$661,AI$72,'Step 4 bond aggregation'!$G$2:$G$661,MATCH($AH75,lov_term_buckets,0),'Step 4 bond aggregation'!$E$2:$E$661,$AI$71)</f>
        <v>0</v>
      </c>
      <c r="AJ75" s="192">
        <f>SUMIFS('Step 4 bond aggregation'!$B$2:$B$661,'Step 4 bond aggregation'!$A$2:$A$661,$AG$69,'Step 4 bond aggregation'!$F$2:$F$661,AJ$72,'Step 4 bond aggregation'!$G$2:$G$661,MATCH($AH75,lov_term_buckets,0),'Step 4 bond aggregation'!$E$2:$E$661,$AI$71)</f>
        <v>0</v>
      </c>
      <c r="AK75" s="192">
        <f>SUMIFS('Step 4 bond aggregation'!$B$2:$B$661,'Step 4 bond aggregation'!$A$2:$A$661,$AG$69,'Step 4 bond aggregation'!$F$2:$F$661,AK$72,'Step 4 bond aggregation'!$G$2:$G$661,MATCH($AH75,lov_term_buckets,0),'Step 4 bond aggregation'!$E$2:$E$661,$AI$71)</f>
        <v>0</v>
      </c>
      <c r="AL75" s="192">
        <f>SUMIFS('Step 4 bond aggregation'!$B$2:$B$661,'Step 4 bond aggregation'!$A$2:$A$661,$AG$69,'Step 4 bond aggregation'!$F$2:$F$661,AL$72,'Step 4 bond aggregation'!$G$2:$G$661,MATCH($AH75,lov_term_buckets,0),'Step 4 bond aggregation'!$E$2:$E$661,$AI$71)</f>
        <v>0</v>
      </c>
      <c r="AM75" s="192">
        <f>SUMIFS('Step 4 bond aggregation'!$B$2:$B$661,'Step 4 bond aggregation'!$A$2:$A$661,$AG$69,'Step 4 bond aggregation'!$F$2:$F$661,AM$72,'Step 4 bond aggregation'!$G$2:$G$661,MATCH($AH75,lov_term_buckets,0),'Step 4 bond aggregation'!$E$2:$E$661,$AI$71)</f>
        <v>0</v>
      </c>
      <c r="AN75" s="192">
        <f>SUMIFS('Step 4 bond aggregation'!$B$2:$B$661,'Step 4 bond aggregation'!$A$2:$A$661,$AG$69,'Step 4 bond aggregation'!$F$2:$F$661,AN$72,'Step 4 bond aggregation'!$G$2:$G$661,MATCH($AH75,lov_term_buckets,0),'Step 4 bond aggregation'!$E$2:$E$661,$AI$71)</f>
        <v>0</v>
      </c>
      <c r="AO75" s="192">
        <f>SUMIFS('Step 4 bond aggregation'!$B$2:$B$661,'Step 4 bond aggregation'!$A$2:$A$661,$AG$69,'Step 4 bond aggregation'!$F$2:$F$661,AO$72,'Step 4 bond aggregation'!$G$2:$G$661,MATCH($AH75,lov_term_buckets,0),'Step 4 bond aggregation'!$E$2:$E$661,$AI$71)</f>
        <v>0</v>
      </c>
      <c r="AP75" s="191"/>
      <c r="AQ75" s="191"/>
      <c r="AR75" s="254" t="s">
        <v>936</v>
      </c>
      <c r="AS75" s="192">
        <f>SUMIFS('Step 4 bond aggregation'!$B$2:$B$661,'Step 4 bond aggregation'!$A$2:$A$661,$AQ$69,'Step 4 bond aggregation'!$F$2:$F$661,AS$72,'Step 4 bond aggregation'!$G$2:$G$661,MATCH($AR75,lov_term_buckets,0),'Step 4 bond aggregation'!$E$2:$E$661,$AS$71)</f>
        <v>0</v>
      </c>
      <c r="AT75" s="192">
        <f>SUMIFS('Step 4 bond aggregation'!$B$2:$B$661,'Step 4 bond aggregation'!$A$2:$A$661,$AQ$69,'Step 4 bond aggregation'!$F$2:$F$661,AT$72,'Step 4 bond aggregation'!$G$2:$G$661,MATCH($AR75,lov_term_buckets,0),'Step 4 bond aggregation'!$E$2:$E$661,$AS$71)</f>
        <v>0</v>
      </c>
      <c r="AU75" s="192">
        <f>SUMIFS('Step 4 bond aggregation'!$B$2:$B$661,'Step 4 bond aggregation'!$A$2:$A$661,$AQ$69,'Step 4 bond aggregation'!$F$2:$F$661,AU$72,'Step 4 bond aggregation'!$G$2:$G$661,MATCH($AR75,lov_term_buckets,0),'Step 4 bond aggregation'!$E$2:$E$661,$AS$71)</f>
        <v>0</v>
      </c>
      <c r="AV75" s="192">
        <f>SUMIFS('Step 4 bond aggregation'!$B$2:$B$661,'Step 4 bond aggregation'!$A$2:$A$661,$AQ$69,'Step 4 bond aggregation'!$F$2:$F$661,AV$72,'Step 4 bond aggregation'!$G$2:$G$661,MATCH($AR75,lov_term_buckets,0),'Step 4 bond aggregation'!$E$2:$E$661,$AS$71)</f>
        <v>0</v>
      </c>
      <c r="AW75" s="192">
        <f>SUMIFS('Step 4 bond aggregation'!$B$2:$B$661,'Step 4 bond aggregation'!$A$2:$A$661,$AQ$69,'Step 4 bond aggregation'!$F$2:$F$661,AW$72,'Step 4 bond aggregation'!$G$2:$G$661,MATCH($AR75,lov_term_buckets,0),'Step 4 bond aggregation'!$E$2:$E$661,$AS$71)</f>
        <v>0</v>
      </c>
      <c r="AX75" s="192">
        <f>SUMIFS('Step 4 bond aggregation'!$B$2:$B$661,'Step 4 bond aggregation'!$A$2:$A$661,$AQ$69,'Step 4 bond aggregation'!$F$2:$F$661,AX$72,'Step 4 bond aggregation'!$G$2:$G$661,MATCH($AR75,lov_term_buckets,0),'Step 4 bond aggregation'!$E$2:$E$661,$AS$71)</f>
        <v>0</v>
      </c>
      <c r="AY75" s="192">
        <f>SUMIFS('Step 4 bond aggregation'!$B$2:$B$661,'Step 4 bond aggregation'!$A$2:$A$661,$AQ$69,'Step 4 bond aggregation'!$F$2:$F$661,AY$72,'Step 4 bond aggregation'!$G$2:$G$661,MATCH($AR75,lov_term_buckets,0),'Step 4 bond aggregation'!$E$2:$E$661,$AS$71)</f>
        <v>0</v>
      </c>
      <c r="AZ75" s="191"/>
      <c r="BA75" s="191"/>
      <c r="BB75" s="254" t="s">
        <v>936</v>
      </c>
      <c r="BC75" s="192">
        <f>SUMIFS('Step 4 bond aggregation'!$B$2:$B$661,'Step 4 bond aggregation'!$A$2:$A$661,$BA$69,'Step 4 bond aggregation'!$F$2:$F$661,BC$72,'Step 4 bond aggregation'!$G$2:$G$661,MATCH($BB75,lov_term_buckets,0),'Step 4 bond aggregation'!$E$2:$E$661,$BC$71)</f>
        <v>0</v>
      </c>
      <c r="BD75" s="192">
        <f>SUMIFS('Step 4 bond aggregation'!$B$2:$B$661,'Step 4 bond aggregation'!$A$2:$A$661,$BA$69,'Step 4 bond aggregation'!$F$2:$F$661,BD$72,'Step 4 bond aggregation'!$G$2:$G$661,MATCH($BB75,lov_term_buckets,0),'Step 4 bond aggregation'!$E$2:$E$661,$BC$71)</f>
        <v>0</v>
      </c>
      <c r="BE75" s="192">
        <f>SUMIFS('Step 4 bond aggregation'!$B$2:$B$661,'Step 4 bond aggregation'!$A$2:$A$661,$BA$69,'Step 4 bond aggregation'!$F$2:$F$661,BE$72,'Step 4 bond aggregation'!$G$2:$G$661,MATCH($BB75,lov_term_buckets,0),'Step 4 bond aggregation'!$E$2:$E$661,$BC$71)</f>
        <v>0</v>
      </c>
      <c r="BF75" s="192">
        <f>SUMIFS('Step 4 bond aggregation'!$B$2:$B$661,'Step 4 bond aggregation'!$A$2:$A$661,$BA$69,'Step 4 bond aggregation'!$F$2:$F$661,BF$72,'Step 4 bond aggregation'!$G$2:$G$661,MATCH($BB75,lov_term_buckets,0),'Step 4 bond aggregation'!$E$2:$E$661,$BC$71)</f>
        <v>0</v>
      </c>
      <c r="BG75" s="192">
        <f>SUMIFS('Step 4 bond aggregation'!$B$2:$B$661,'Step 4 bond aggregation'!$A$2:$A$661,$BA$69,'Step 4 bond aggregation'!$F$2:$F$661,BG$72,'Step 4 bond aggregation'!$G$2:$G$661,MATCH($BB75,lov_term_buckets,0),'Step 4 bond aggregation'!$E$2:$E$661,$BC$71)</f>
        <v>0</v>
      </c>
      <c r="BH75" s="192">
        <f>SUMIFS('Step 4 bond aggregation'!$B$2:$B$661,'Step 4 bond aggregation'!$A$2:$A$661,$BA$69,'Step 4 bond aggregation'!$F$2:$F$661,BH$72,'Step 4 bond aggregation'!$G$2:$G$661,MATCH($BB75,lov_term_buckets,0),'Step 4 bond aggregation'!$E$2:$E$661,$BC$71)</f>
        <v>0</v>
      </c>
      <c r="BI75" s="192">
        <f>SUMIFS('Step 4 bond aggregation'!$B$2:$B$661,'Step 4 bond aggregation'!$A$2:$A$661,$BA$69,'Step 4 bond aggregation'!$F$2:$F$661,BI$72,'Step 4 bond aggregation'!$G$2:$G$661,MATCH($BB75,lov_term_buckets,0),'Step 4 bond aggregation'!$E$2:$E$661,$BC$71)</f>
        <v>0</v>
      </c>
      <c r="BK75" s="191"/>
      <c r="BL75" s="254" t="s">
        <v>936</v>
      </c>
      <c r="BM75" s="192">
        <f>SUMIFS('Step 4 bond aggregation'!$B$2:$B$661,'Step 4 bond aggregation'!$A$2:$A$661,$BK$69,'Step 4 bond aggregation'!$F$2:$F$661,BM$72,'Step 4 bond aggregation'!$G$2:$G$661,MATCH($BB75,lov_term_buckets,0),'Step 4 bond aggregation'!$E$2:$E$661,$BC$71)</f>
        <v>0</v>
      </c>
      <c r="BN75" s="192">
        <f>SUMIFS('Step 4 bond aggregation'!$B$2:$B$661,'Step 4 bond aggregation'!$A$2:$A$661,$BK$69,'Step 4 bond aggregation'!$F$2:$F$661,BN$72,'Step 4 bond aggregation'!$G$2:$G$661,MATCH($BB75,lov_term_buckets,0),'Step 4 bond aggregation'!$E$2:$E$661,$BC$71)</f>
        <v>0</v>
      </c>
      <c r="BO75" s="192">
        <f>SUMIFS('Step 4 bond aggregation'!$B$2:$B$661,'Step 4 bond aggregation'!$A$2:$A$661,$BK$69,'Step 4 bond aggregation'!$F$2:$F$661,BO$72,'Step 4 bond aggregation'!$G$2:$G$661,MATCH($BB75,lov_term_buckets,0),'Step 4 bond aggregation'!$E$2:$E$661,$BC$71)</f>
        <v>0</v>
      </c>
      <c r="BP75" s="192">
        <f>SUMIFS('Step 4 bond aggregation'!$B$2:$B$661,'Step 4 bond aggregation'!$A$2:$A$661,$BK$69,'Step 4 bond aggregation'!$F$2:$F$661,BP$72,'Step 4 bond aggregation'!$G$2:$G$661,MATCH($BB75,lov_term_buckets,0),'Step 4 bond aggregation'!$E$2:$E$661,$BC$71)</f>
        <v>0</v>
      </c>
      <c r="BQ75" s="192">
        <f>SUMIFS('Step 4 bond aggregation'!$B$2:$B$661,'Step 4 bond aggregation'!$A$2:$A$661,$BK$69,'Step 4 bond aggregation'!$F$2:$F$661,BQ$72,'Step 4 bond aggregation'!$G$2:$G$661,MATCH($BB75,lov_term_buckets,0),'Step 4 bond aggregation'!$E$2:$E$661,$BC$71)</f>
        <v>0</v>
      </c>
      <c r="BR75" s="192">
        <f>SUMIFS('Step 4 bond aggregation'!$B$2:$B$661,'Step 4 bond aggregation'!$A$2:$A$661,$BK$69,'Step 4 bond aggregation'!$F$2:$F$661,BR$72,'Step 4 bond aggregation'!$G$2:$G$661,MATCH($BB75,lov_term_buckets,0),'Step 4 bond aggregation'!$E$2:$E$661,$BC$71)</f>
        <v>0</v>
      </c>
      <c r="BS75" s="192">
        <f>SUMIFS('Step 4 bond aggregation'!$B$2:$B$661,'Step 4 bond aggregation'!$A$2:$A$661,$BK$69,'Step 4 bond aggregation'!$F$2:$F$661,BS$72,'Step 4 bond aggregation'!$G$2:$G$661,MATCH($BB75,lov_term_buckets,0),'Step 4 bond aggregation'!$E$2:$E$661,$BC$71)</f>
        <v>0</v>
      </c>
      <c r="BU75" s="191"/>
      <c r="BV75" s="254" t="s">
        <v>936</v>
      </c>
      <c r="BW75" s="192">
        <f>SUMIFS('Step 4 bond aggregation'!$B$2:$B$661,'Step 4 bond aggregation'!$A$2:$A$661,$BU$69,'Step 4 bond aggregation'!$F$2:$F$661,BW$72,'Step 4 bond aggregation'!$G$2:$G$661,MATCH($BB75,lov_term_buckets,0),'Step 4 bond aggregation'!$E$2:$E$661,$BC$71)</f>
        <v>0</v>
      </c>
      <c r="BX75" s="192">
        <f>SUMIFS('Step 4 bond aggregation'!$B$2:$B$661,'Step 4 bond aggregation'!$A$2:$A$661,$BU$69,'Step 4 bond aggregation'!$F$2:$F$661,BX$72,'Step 4 bond aggregation'!$G$2:$G$661,MATCH($BB75,lov_term_buckets,0),'Step 4 bond aggregation'!$E$2:$E$661,$BC$71)</f>
        <v>0</v>
      </c>
      <c r="BY75" s="192">
        <f>SUMIFS('Step 4 bond aggregation'!$B$2:$B$661,'Step 4 bond aggregation'!$A$2:$A$661,$BU$69,'Step 4 bond aggregation'!$F$2:$F$661,BY$72,'Step 4 bond aggregation'!$G$2:$G$661,MATCH($BB75,lov_term_buckets,0),'Step 4 bond aggregation'!$E$2:$E$661,$BC$71)</f>
        <v>0</v>
      </c>
      <c r="BZ75" s="192">
        <f>SUMIFS('Step 4 bond aggregation'!$B$2:$B$661,'Step 4 bond aggregation'!$A$2:$A$661,$BU$69,'Step 4 bond aggregation'!$F$2:$F$661,BZ$72,'Step 4 bond aggregation'!$G$2:$G$661,MATCH($BB75,lov_term_buckets,0),'Step 4 bond aggregation'!$E$2:$E$661,$BC$71)</f>
        <v>0</v>
      </c>
      <c r="CA75" s="192">
        <f>SUMIFS('Step 4 bond aggregation'!$B$2:$B$661,'Step 4 bond aggregation'!$A$2:$A$661,$BU$69,'Step 4 bond aggregation'!$F$2:$F$661,CA$72,'Step 4 bond aggregation'!$G$2:$G$661,MATCH($BB75,lov_term_buckets,0),'Step 4 bond aggregation'!$E$2:$E$661,$BC$71)</f>
        <v>0</v>
      </c>
      <c r="CB75" s="192">
        <f>SUMIFS('Step 4 bond aggregation'!$B$2:$B$661,'Step 4 bond aggregation'!$A$2:$A$661,$BU$69,'Step 4 bond aggregation'!$F$2:$F$661,CB$72,'Step 4 bond aggregation'!$G$2:$G$661,MATCH($BB75,lov_term_buckets,0),'Step 4 bond aggregation'!$E$2:$E$661,$BC$71)</f>
        <v>0</v>
      </c>
      <c r="CC75" s="192">
        <f>SUMIFS('Step 4 bond aggregation'!$B$2:$B$661,'Step 4 bond aggregation'!$A$2:$A$661,$BU$69,'Step 4 bond aggregation'!$F$2:$F$661,CC$72,'Step 4 bond aggregation'!$G$2:$G$661,MATCH($BB75,lov_term_buckets,0),'Step 4 bond aggregation'!$E$2:$E$661,$BC$71)</f>
        <v>0</v>
      </c>
    </row>
    <row r="76" spans="2:81" ht="14.4" hidden="1" customHeight="1" outlineLevel="1" x14ac:dyDescent="0.3">
      <c r="C76" s="52" t="s">
        <v>937</v>
      </c>
      <c r="D76" s="192">
        <f>Input!F86</f>
        <v>0</v>
      </c>
      <c r="E76" s="192">
        <f>Input!G86</f>
        <v>0</v>
      </c>
      <c r="F76" s="192">
        <f>Input!H86</f>
        <v>0</v>
      </c>
      <c r="G76" s="192">
        <f>Input!I86</f>
        <v>0</v>
      </c>
      <c r="H76" s="192">
        <f>Input!J86</f>
        <v>0</v>
      </c>
      <c r="I76" s="192">
        <f>Input!K86</f>
        <v>0</v>
      </c>
      <c r="J76" s="192">
        <f>Input!L86</f>
        <v>0</v>
      </c>
      <c r="K76" s="192">
        <f>Input!M86</f>
        <v>0</v>
      </c>
      <c r="L76" s="191"/>
      <c r="M76" s="191"/>
      <c r="N76" s="254" t="s">
        <v>937</v>
      </c>
      <c r="O76" s="192">
        <f>Input!F126+Input!F159</f>
        <v>0</v>
      </c>
      <c r="P76" s="192">
        <f>Input!G126+Input!G159</f>
        <v>0</v>
      </c>
      <c r="Q76" s="192">
        <f>Input!H126+Input!H159</f>
        <v>0</v>
      </c>
      <c r="R76" s="192">
        <f>Input!I126+Input!I159</f>
        <v>0</v>
      </c>
      <c r="S76" s="192">
        <f>Input!J126+Input!J159</f>
        <v>0</v>
      </c>
      <c r="T76" s="192">
        <f>Input!K126+Input!K159</f>
        <v>0</v>
      </c>
      <c r="U76" s="192">
        <f>Input!L126+Input!L159</f>
        <v>0</v>
      </c>
      <c r="V76" s="255"/>
      <c r="W76" s="191"/>
      <c r="X76" s="254" t="s">
        <v>937</v>
      </c>
      <c r="Y76" s="192">
        <f>SUMIFS('Step 4 bond aggregation'!$B$2:$B$661,'Step 4 bond aggregation'!$A$2:$A$661,$W$69,'Step 4 bond aggregation'!$F$2:$F$661,Y$72,'Step 4 bond aggregation'!$G$2:$G$661,MATCH($X76,lov_term_buckets,0),'Step 4 bond aggregation'!$E$2:$E$661,$Y$71)</f>
        <v>0</v>
      </c>
      <c r="Z76" s="192">
        <f>SUMIFS('Step 4 bond aggregation'!$B$2:$B$661,'Step 4 bond aggregation'!$A$2:$A$661,$W$69,'Step 4 bond aggregation'!$F$2:$F$661,Z$72,'Step 4 bond aggregation'!$G$2:$G$661,MATCH($X76,lov_term_buckets,0),'Step 4 bond aggregation'!$E$2:$E$661,$Y$71)</f>
        <v>0</v>
      </c>
      <c r="AA76" s="192">
        <f>SUMIFS('Step 4 bond aggregation'!$B$2:$B$661,'Step 4 bond aggregation'!$A$2:$A$661,$W$69,'Step 4 bond aggregation'!$F$2:$F$661,AA$72,'Step 4 bond aggregation'!$G$2:$G$661,MATCH($X76,lov_term_buckets,0),'Step 4 bond aggregation'!$E$2:$E$661,$Y$71)</f>
        <v>0</v>
      </c>
      <c r="AB76" s="192">
        <f>SUMIFS('Step 4 bond aggregation'!$B$2:$B$661,'Step 4 bond aggregation'!$A$2:$A$661,$W$69,'Step 4 bond aggregation'!$F$2:$F$661,AB$72,'Step 4 bond aggregation'!$G$2:$G$661,MATCH($X76,lov_term_buckets,0),'Step 4 bond aggregation'!$E$2:$E$661,$Y$71)</f>
        <v>0</v>
      </c>
      <c r="AC76" s="192">
        <f>SUMIFS('Step 4 bond aggregation'!$B$2:$B$661,'Step 4 bond aggregation'!$A$2:$A$661,$W$69,'Step 4 bond aggregation'!$F$2:$F$661,AC$72,'Step 4 bond aggregation'!$G$2:$G$661,MATCH($X76,lov_term_buckets,0),'Step 4 bond aggregation'!$E$2:$E$661,$Y$71)</f>
        <v>0</v>
      </c>
      <c r="AD76" s="192">
        <f>SUMIFS('Step 4 bond aggregation'!$B$2:$B$661,'Step 4 bond aggregation'!$A$2:$A$661,$W$69,'Step 4 bond aggregation'!$F$2:$F$661,AD$72,'Step 4 bond aggregation'!$G$2:$G$661,MATCH($X76,lov_term_buckets,0),'Step 4 bond aggregation'!$E$2:$E$661,$Y$71)</f>
        <v>0</v>
      </c>
      <c r="AE76" s="192">
        <f>SUMIFS('Step 4 bond aggregation'!$B$2:$B$661,'Step 4 bond aggregation'!$A$2:$A$661,$W$69,'Step 4 bond aggregation'!$F$2:$F$661,AE$72,'Step 4 bond aggregation'!$G$2:$G$661,MATCH($X76,lov_term_buckets,0),'Step 4 bond aggregation'!$E$2:$E$661,$Y$71)</f>
        <v>0</v>
      </c>
      <c r="AF76" s="191"/>
      <c r="AG76" s="191"/>
      <c r="AH76" s="254" t="s">
        <v>937</v>
      </c>
      <c r="AI76" s="192">
        <f>SUMIFS('Step 4 bond aggregation'!$B$2:$B$661,'Step 4 bond aggregation'!$A$2:$A$661,$AG$69,'Step 4 bond aggregation'!$F$2:$F$661,AI$72,'Step 4 bond aggregation'!$G$2:$G$661,MATCH($AH76,lov_term_buckets,0),'Step 4 bond aggregation'!$E$2:$E$661,$AI$71)</f>
        <v>0</v>
      </c>
      <c r="AJ76" s="192">
        <f>SUMIFS('Step 4 bond aggregation'!$B$2:$B$661,'Step 4 bond aggregation'!$A$2:$A$661,$AG$69,'Step 4 bond aggregation'!$F$2:$F$661,AJ$72,'Step 4 bond aggregation'!$G$2:$G$661,MATCH($AH76,lov_term_buckets,0),'Step 4 bond aggregation'!$E$2:$E$661,$AI$71)</f>
        <v>0</v>
      </c>
      <c r="AK76" s="192">
        <f>SUMIFS('Step 4 bond aggregation'!$B$2:$B$661,'Step 4 bond aggregation'!$A$2:$A$661,$AG$69,'Step 4 bond aggregation'!$F$2:$F$661,AK$72,'Step 4 bond aggregation'!$G$2:$G$661,MATCH($AH76,lov_term_buckets,0),'Step 4 bond aggregation'!$E$2:$E$661,$AI$71)</f>
        <v>0</v>
      </c>
      <c r="AL76" s="192">
        <f>SUMIFS('Step 4 bond aggregation'!$B$2:$B$661,'Step 4 bond aggregation'!$A$2:$A$661,$AG$69,'Step 4 bond aggregation'!$F$2:$F$661,AL$72,'Step 4 bond aggregation'!$G$2:$G$661,MATCH($AH76,lov_term_buckets,0),'Step 4 bond aggregation'!$E$2:$E$661,$AI$71)</f>
        <v>0</v>
      </c>
      <c r="AM76" s="192">
        <f>SUMIFS('Step 4 bond aggregation'!$B$2:$B$661,'Step 4 bond aggregation'!$A$2:$A$661,$AG$69,'Step 4 bond aggregation'!$F$2:$F$661,AM$72,'Step 4 bond aggregation'!$G$2:$G$661,MATCH($AH76,lov_term_buckets,0),'Step 4 bond aggregation'!$E$2:$E$661,$AI$71)</f>
        <v>0</v>
      </c>
      <c r="AN76" s="192">
        <f>SUMIFS('Step 4 bond aggregation'!$B$2:$B$661,'Step 4 bond aggregation'!$A$2:$A$661,$AG$69,'Step 4 bond aggregation'!$F$2:$F$661,AN$72,'Step 4 bond aggregation'!$G$2:$G$661,MATCH($AH76,lov_term_buckets,0),'Step 4 bond aggregation'!$E$2:$E$661,$AI$71)</f>
        <v>0</v>
      </c>
      <c r="AO76" s="192">
        <f>SUMIFS('Step 4 bond aggregation'!$B$2:$B$661,'Step 4 bond aggregation'!$A$2:$A$661,$AG$69,'Step 4 bond aggregation'!$F$2:$F$661,AO$72,'Step 4 bond aggregation'!$G$2:$G$661,MATCH($AH76,lov_term_buckets,0),'Step 4 bond aggregation'!$E$2:$E$661,$AI$71)</f>
        <v>0</v>
      </c>
      <c r="AP76" s="191"/>
      <c r="AQ76" s="191"/>
      <c r="AR76" s="254" t="s">
        <v>937</v>
      </c>
      <c r="AS76" s="192">
        <f>SUMIFS('Step 4 bond aggregation'!$B$2:$B$661,'Step 4 bond aggregation'!$A$2:$A$661,$AQ$69,'Step 4 bond aggregation'!$F$2:$F$661,AS$72,'Step 4 bond aggregation'!$G$2:$G$661,MATCH($AR76,lov_term_buckets,0),'Step 4 bond aggregation'!$E$2:$E$661,$AS$71)</f>
        <v>0</v>
      </c>
      <c r="AT76" s="192">
        <f>SUMIFS('Step 4 bond aggregation'!$B$2:$B$661,'Step 4 bond aggregation'!$A$2:$A$661,$AQ$69,'Step 4 bond aggregation'!$F$2:$F$661,AT$72,'Step 4 bond aggregation'!$G$2:$G$661,MATCH($AR76,lov_term_buckets,0),'Step 4 bond aggregation'!$E$2:$E$661,$AS$71)</f>
        <v>0</v>
      </c>
      <c r="AU76" s="192">
        <f>SUMIFS('Step 4 bond aggregation'!$B$2:$B$661,'Step 4 bond aggregation'!$A$2:$A$661,$AQ$69,'Step 4 bond aggregation'!$F$2:$F$661,AU$72,'Step 4 bond aggregation'!$G$2:$G$661,MATCH($AR76,lov_term_buckets,0),'Step 4 bond aggregation'!$E$2:$E$661,$AS$71)</f>
        <v>0</v>
      </c>
      <c r="AV76" s="192">
        <f>SUMIFS('Step 4 bond aggregation'!$B$2:$B$661,'Step 4 bond aggregation'!$A$2:$A$661,$AQ$69,'Step 4 bond aggregation'!$F$2:$F$661,AV$72,'Step 4 bond aggregation'!$G$2:$G$661,MATCH($AR76,lov_term_buckets,0),'Step 4 bond aggregation'!$E$2:$E$661,$AS$71)</f>
        <v>0</v>
      </c>
      <c r="AW76" s="192">
        <f>SUMIFS('Step 4 bond aggregation'!$B$2:$B$661,'Step 4 bond aggregation'!$A$2:$A$661,$AQ$69,'Step 4 bond aggregation'!$F$2:$F$661,AW$72,'Step 4 bond aggregation'!$G$2:$G$661,MATCH($AR76,lov_term_buckets,0),'Step 4 bond aggregation'!$E$2:$E$661,$AS$71)</f>
        <v>0</v>
      </c>
      <c r="AX76" s="192">
        <f>SUMIFS('Step 4 bond aggregation'!$B$2:$B$661,'Step 4 bond aggregation'!$A$2:$A$661,$AQ$69,'Step 4 bond aggregation'!$F$2:$F$661,AX$72,'Step 4 bond aggregation'!$G$2:$G$661,MATCH($AR76,lov_term_buckets,0),'Step 4 bond aggregation'!$E$2:$E$661,$AS$71)</f>
        <v>0</v>
      </c>
      <c r="AY76" s="192">
        <f>SUMIFS('Step 4 bond aggregation'!$B$2:$B$661,'Step 4 bond aggregation'!$A$2:$A$661,$AQ$69,'Step 4 bond aggregation'!$F$2:$F$661,AY$72,'Step 4 bond aggregation'!$G$2:$G$661,MATCH($AR76,lov_term_buckets,0),'Step 4 bond aggregation'!$E$2:$E$661,$AS$71)</f>
        <v>0</v>
      </c>
      <c r="AZ76" s="191"/>
      <c r="BA76" s="191"/>
      <c r="BB76" s="254" t="s">
        <v>937</v>
      </c>
      <c r="BC76" s="192">
        <f>SUMIFS('Step 4 bond aggregation'!$B$2:$B$661,'Step 4 bond aggregation'!$A$2:$A$661,$BA$69,'Step 4 bond aggregation'!$F$2:$F$661,BC$72,'Step 4 bond aggregation'!$G$2:$G$661,MATCH($BB76,lov_term_buckets,0),'Step 4 bond aggregation'!$E$2:$E$661,$BC$71)</f>
        <v>0</v>
      </c>
      <c r="BD76" s="192">
        <f>SUMIFS('Step 4 bond aggregation'!$B$2:$B$661,'Step 4 bond aggregation'!$A$2:$A$661,$BA$69,'Step 4 bond aggregation'!$F$2:$F$661,BD$72,'Step 4 bond aggregation'!$G$2:$G$661,MATCH($BB76,lov_term_buckets,0),'Step 4 bond aggregation'!$E$2:$E$661,$BC$71)</f>
        <v>0</v>
      </c>
      <c r="BE76" s="192">
        <f>SUMIFS('Step 4 bond aggregation'!$B$2:$B$661,'Step 4 bond aggregation'!$A$2:$A$661,$BA$69,'Step 4 bond aggregation'!$F$2:$F$661,BE$72,'Step 4 bond aggregation'!$G$2:$G$661,MATCH($BB76,lov_term_buckets,0),'Step 4 bond aggregation'!$E$2:$E$661,$BC$71)</f>
        <v>0</v>
      </c>
      <c r="BF76" s="192">
        <f>SUMIFS('Step 4 bond aggregation'!$B$2:$B$661,'Step 4 bond aggregation'!$A$2:$A$661,$BA$69,'Step 4 bond aggregation'!$F$2:$F$661,BF$72,'Step 4 bond aggregation'!$G$2:$G$661,MATCH($BB76,lov_term_buckets,0),'Step 4 bond aggregation'!$E$2:$E$661,$BC$71)</f>
        <v>0</v>
      </c>
      <c r="BG76" s="192">
        <f>SUMIFS('Step 4 bond aggregation'!$B$2:$B$661,'Step 4 bond aggregation'!$A$2:$A$661,$BA$69,'Step 4 bond aggregation'!$F$2:$F$661,BG$72,'Step 4 bond aggregation'!$G$2:$G$661,MATCH($BB76,lov_term_buckets,0),'Step 4 bond aggregation'!$E$2:$E$661,$BC$71)</f>
        <v>0</v>
      </c>
      <c r="BH76" s="192">
        <f>SUMIFS('Step 4 bond aggregation'!$B$2:$B$661,'Step 4 bond aggregation'!$A$2:$A$661,$BA$69,'Step 4 bond aggregation'!$F$2:$F$661,BH$72,'Step 4 bond aggregation'!$G$2:$G$661,MATCH($BB76,lov_term_buckets,0),'Step 4 bond aggregation'!$E$2:$E$661,$BC$71)</f>
        <v>0</v>
      </c>
      <c r="BI76" s="192">
        <f>SUMIFS('Step 4 bond aggregation'!$B$2:$B$661,'Step 4 bond aggregation'!$A$2:$A$661,$BA$69,'Step 4 bond aggregation'!$F$2:$F$661,BI$72,'Step 4 bond aggregation'!$G$2:$G$661,MATCH($BB76,lov_term_buckets,0),'Step 4 bond aggregation'!$E$2:$E$661,$BC$71)</f>
        <v>0</v>
      </c>
      <c r="BK76" s="191"/>
      <c r="BL76" s="254" t="s">
        <v>937</v>
      </c>
      <c r="BM76" s="192">
        <f>SUMIFS('Step 4 bond aggregation'!$B$2:$B$661,'Step 4 bond aggregation'!$A$2:$A$661,$BK$69,'Step 4 bond aggregation'!$F$2:$F$661,BM$72,'Step 4 bond aggregation'!$G$2:$G$661,MATCH($BB76,lov_term_buckets,0),'Step 4 bond aggregation'!$E$2:$E$661,$BC$71)</f>
        <v>0</v>
      </c>
      <c r="BN76" s="192">
        <f>SUMIFS('Step 4 bond aggregation'!$B$2:$B$661,'Step 4 bond aggregation'!$A$2:$A$661,$BK$69,'Step 4 bond aggregation'!$F$2:$F$661,BN$72,'Step 4 bond aggregation'!$G$2:$G$661,MATCH($BB76,lov_term_buckets,0),'Step 4 bond aggregation'!$E$2:$E$661,$BC$71)</f>
        <v>0</v>
      </c>
      <c r="BO76" s="192">
        <f>SUMIFS('Step 4 bond aggregation'!$B$2:$B$661,'Step 4 bond aggregation'!$A$2:$A$661,$BK$69,'Step 4 bond aggregation'!$F$2:$F$661,BO$72,'Step 4 bond aggregation'!$G$2:$G$661,MATCH($BB76,lov_term_buckets,0),'Step 4 bond aggregation'!$E$2:$E$661,$BC$71)</f>
        <v>0</v>
      </c>
      <c r="BP76" s="192">
        <f>SUMIFS('Step 4 bond aggregation'!$B$2:$B$661,'Step 4 bond aggregation'!$A$2:$A$661,$BK$69,'Step 4 bond aggregation'!$F$2:$F$661,BP$72,'Step 4 bond aggregation'!$G$2:$G$661,MATCH($BB76,lov_term_buckets,0),'Step 4 bond aggregation'!$E$2:$E$661,$BC$71)</f>
        <v>0</v>
      </c>
      <c r="BQ76" s="192">
        <f>SUMIFS('Step 4 bond aggregation'!$B$2:$B$661,'Step 4 bond aggregation'!$A$2:$A$661,$BK$69,'Step 4 bond aggregation'!$F$2:$F$661,BQ$72,'Step 4 bond aggregation'!$G$2:$G$661,MATCH($BB76,lov_term_buckets,0),'Step 4 bond aggregation'!$E$2:$E$661,$BC$71)</f>
        <v>0</v>
      </c>
      <c r="BR76" s="192">
        <f>SUMIFS('Step 4 bond aggregation'!$B$2:$B$661,'Step 4 bond aggregation'!$A$2:$A$661,$BK$69,'Step 4 bond aggregation'!$F$2:$F$661,BR$72,'Step 4 bond aggregation'!$G$2:$G$661,MATCH($BB76,lov_term_buckets,0),'Step 4 bond aggregation'!$E$2:$E$661,$BC$71)</f>
        <v>0</v>
      </c>
      <c r="BS76" s="192">
        <f>SUMIFS('Step 4 bond aggregation'!$B$2:$B$661,'Step 4 bond aggregation'!$A$2:$A$661,$BK$69,'Step 4 bond aggregation'!$F$2:$F$661,BS$72,'Step 4 bond aggregation'!$G$2:$G$661,MATCH($BB76,lov_term_buckets,0),'Step 4 bond aggregation'!$E$2:$E$661,$BC$71)</f>
        <v>0</v>
      </c>
      <c r="BU76" s="191"/>
      <c r="BV76" s="254" t="s">
        <v>937</v>
      </c>
      <c r="BW76" s="192">
        <f>SUMIFS('Step 4 bond aggregation'!$B$2:$B$661,'Step 4 bond aggregation'!$A$2:$A$661,$BU$69,'Step 4 bond aggregation'!$F$2:$F$661,BW$72,'Step 4 bond aggregation'!$G$2:$G$661,MATCH($BB76,lov_term_buckets,0),'Step 4 bond aggregation'!$E$2:$E$661,$BC$71)</f>
        <v>0</v>
      </c>
      <c r="BX76" s="192">
        <f>SUMIFS('Step 4 bond aggregation'!$B$2:$B$661,'Step 4 bond aggregation'!$A$2:$A$661,$BU$69,'Step 4 bond aggregation'!$F$2:$F$661,BX$72,'Step 4 bond aggregation'!$G$2:$G$661,MATCH($BB76,lov_term_buckets,0),'Step 4 bond aggregation'!$E$2:$E$661,$BC$71)</f>
        <v>0</v>
      </c>
      <c r="BY76" s="192">
        <f>SUMIFS('Step 4 bond aggregation'!$B$2:$B$661,'Step 4 bond aggregation'!$A$2:$A$661,$BU$69,'Step 4 bond aggregation'!$F$2:$F$661,BY$72,'Step 4 bond aggregation'!$G$2:$G$661,MATCH($BB76,lov_term_buckets,0),'Step 4 bond aggregation'!$E$2:$E$661,$BC$71)</f>
        <v>0</v>
      </c>
      <c r="BZ76" s="192">
        <f>SUMIFS('Step 4 bond aggregation'!$B$2:$B$661,'Step 4 bond aggregation'!$A$2:$A$661,$BU$69,'Step 4 bond aggregation'!$F$2:$F$661,BZ$72,'Step 4 bond aggregation'!$G$2:$G$661,MATCH($BB76,lov_term_buckets,0),'Step 4 bond aggregation'!$E$2:$E$661,$BC$71)</f>
        <v>0</v>
      </c>
      <c r="CA76" s="192">
        <f>SUMIFS('Step 4 bond aggregation'!$B$2:$B$661,'Step 4 bond aggregation'!$A$2:$A$661,$BU$69,'Step 4 bond aggregation'!$F$2:$F$661,CA$72,'Step 4 bond aggregation'!$G$2:$G$661,MATCH($BB76,lov_term_buckets,0),'Step 4 bond aggregation'!$E$2:$E$661,$BC$71)</f>
        <v>0</v>
      </c>
      <c r="CB76" s="192">
        <f>SUMIFS('Step 4 bond aggregation'!$B$2:$B$661,'Step 4 bond aggregation'!$A$2:$A$661,$BU$69,'Step 4 bond aggregation'!$F$2:$F$661,CB$72,'Step 4 bond aggregation'!$G$2:$G$661,MATCH($BB76,lov_term_buckets,0),'Step 4 bond aggregation'!$E$2:$E$661,$BC$71)</f>
        <v>0</v>
      </c>
      <c r="CC76" s="192">
        <f>SUMIFS('Step 4 bond aggregation'!$B$2:$B$661,'Step 4 bond aggregation'!$A$2:$A$661,$BU$69,'Step 4 bond aggregation'!$F$2:$F$661,CC$72,'Step 4 bond aggregation'!$G$2:$G$661,MATCH($BB76,lov_term_buckets,0),'Step 4 bond aggregation'!$E$2:$E$661,$BC$71)</f>
        <v>0</v>
      </c>
    </row>
    <row r="77" spans="2:81" ht="14.4" hidden="1" customHeight="1" outlineLevel="1" x14ac:dyDescent="0.3">
      <c r="C77" s="52" t="s">
        <v>938</v>
      </c>
      <c r="D77" s="192">
        <f>Input!F87</f>
        <v>0</v>
      </c>
      <c r="E77" s="192">
        <f>Input!G87</f>
        <v>0</v>
      </c>
      <c r="F77" s="192">
        <f>Input!H87</f>
        <v>0</v>
      </c>
      <c r="G77" s="192">
        <f>Input!I87</f>
        <v>0</v>
      </c>
      <c r="H77" s="192">
        <f>Input!J87</f>
        <v>0</v>
      </c>
      <c r="I77" s="192">
        <f>Input!K87</f>
        <v>0</v>
      </c>
      <c r="J77" s="192">
        <f>Input!L87</f>
        <v>0</v>
      </c>
      <c r="K77" s="192">
        <f>Input!M87</f>
        <v>0</v>
      </c>
      <c r="L77" s="191"/>
      <c r="M77" s="191"/>
      <c r="N77" s="254" t="s">
        <v>938</v>
      </c>
      <c r="O77" s="192">
        <f>Input!F127+Input!F160</f>
        <v>0</v>
      </c>
      <c r="P77" s="192">
        <f>Input!G127+Input!G160</f>
        <v>0</v>
      </c>
      <c r="Q77" s="192">
        <f>Input!H127+Input!H160</f>
        <v>0</v>
      </c>
      <c r="R77" s="192">
        <f>Input!I127+Input!I160</f>
        <v>0</v>
      </c>
      <c r="S77" s="192">
        <f>Input!J127+Input!J160</f>
        <v>0</v>
      </c>
      <c r="T77" s="192">
        <f>Input!K127+Input!K160</f>
        <v>0</v>
      </c>
      <c r="U77" s="192">
        <f>Input!L127+Input!L160</f>
        <v>0</v>
      </c>
      <c r="V77" s="255"/>
      <c r="W77" s="191"/>
      <c r="X77" s="254" t="s">
        <v>938</v>
      </c>
      <c r="Y77" s="192">
        <f>SUMIFS('Step 4 bond aggregation'!$B$2:$B$661,'Step 4 bond aggregation'!$A$2:$A$661,$W$69,'Step 4 bond aggregation'!$F$2:$F$661,Y$72,'Step 4 bond aggregation'!$G$2:$G$661,MATCH($X77,lov_term_buckets,0),'Step 4 bond aggregation'!$E$2:$E$661,$Y$71)</f>
        <v>0</v>
      </c>
      <c r="Z77" s="192">
        <f>SUMIFS('Step 4 bond aggregation'!$B$2:$B$661,'Step 4 bond aggregation'!$A$2:$A$661,$W$69,'Step 4 bond aggregation'!$F$2:$F$661,Z$72,'Step 4 bond aggregation'!$G$2:$G$661,MATCH($X77,lov_term_buckets,0),'Step 4 bond aggregation'!$E$2:$E$661,$Y$71)</f>
        <v>0</v>
      </c>
      <c r="AA77" s="192">
        <f>SUMIFS('Step 4 bond aggregation'!$B$2:$B$661,'Step 4 bond aggregation'!$A$2:$A$661,$W$69,'Step 4 bond aggregation'!$F$2:$F$661,AA$72,'Step 4 bond aggregation'!$G$2:$G$661,MATCH($X77,lov_term_buckets,0),'Step 4 bond aggregation'!$E$2:$E$661,$Y$71)</f>
        <v>0</v>
      </c>
      <c r="AB77" s="192">
        <f>SUMIFS('Step 4 bond aggregation'!$B$2:$B$661,'Step 4 bond aggregation'!$A$2:$A$661,$W$69,'Step 4 bond aggregation'!$F$2:$F$661,AB$72,'Step 4 bond aggregation'!$G$2:$G$661,MATCH($X77,lov_term_buckets,0),'Step 4 bond aggregation'!$E$2:$E$661,$Y$71)</f>
        <v>0</v>
      </c>
      <c r="AC77" s="192">
        <f>SUMIFS('Step 4 bond aggregation'!$B$2:$B$661,'Step 4 bond aggregation'!$A$2:$A$661,$W$69,'Step 4 bond aggregation'!$F$2:$F$661,AC$72,'Step 4 bond aggregation'!$G$2:$G$661,MATCH($X77,lov_term_buckets,0),'Step 4 bond aggregation'!$E$2:$E$661,$Y$71)</f>
        <v>0</v>
      </c>
      <c r="AD77" s="192">
        <f>SUMIFS('Step 4 bond aggregation'!$B$2:$B$661,'Step 4 bond aggregation'!$A$2:$A$661,$W$69,'Step 4 bond aggregation'!$F$2:$F$661,AD$72,'Step 4 bond aggregation'!$G$2:$G$661,MATCH($X77,lov_term_buckets,0),'Step 4 bond aggregation'!$E$2:$E$661,$Y$71)</f>
        <v>0</v>
      </c>
      <c r="AE77" s="192">
        <f>SUMIFS('Step 4 bond aggregation'!$B$2:$B$661,'Step 4 bond aggregation'!$A$2:$A$661,$W$69,'Step 4 bond aggregation'!$F$2:$F$661,AE$72,'Step 4 bond aggregation'!$G$2:$G$661,MATCH($X77,lov_term_buckets,0),'Step 4 bond aggregation'!$E$2:$E$661,$Y$71)</f>
        <v>0</v>
      </c>
      <c r="AF77" s="191"/>
      <c r="AG77" s="191"/>
      <c r="AH77" s="254" t="s">
        <v>938</v>
      </c>
      <c r="AI77" s="192">
        <f>SUMIFS('Step 4 bond aggregation'!$B$2:$B$661,'Step 4 bond aggregation'!$A$2:$A$661,$AG$69,'Step 4 bond aggregation'!$F$2:$F$661,AI$72,'Step 4 bond aggregation'!$G$2:$G$661,MATCH($AH77,lov_term_buckets,0),'Step 4 bond aggregation'!$E$2:$E$661,$AI$71)</f>
        <v>0</v>
      </c>
      <c r="AJ77" s="192">
        <f>SUMIFS('Step 4 bond aggregation'!$B$2:$B$661,'Step 4 bond aggregation'!$A$2:$A$661,$AG$69,'Step 4 bond aggregation'!$F$2:$F$661,AJ$72,'Step 4 bond aggregation'!$G$2:$G$661,MATCH($AH77,lov_term_buckets,0),'Step 4 bond aggregation'!$E$2:$E$661,$AI$71)</f>
        <v>0</v>
      </c>
      <c r="AK77" s="192">
        <f>SUMIFS('Step 4 bond aggregation'!$B$2:$B$661,'Step 4 bond aggregation'!$A$2:$A$661,$AG$69,'Step 4 bond aggregation'!$F$2:$F$661,AK$72,'Step 4 bond aggregation'!$G$2:$G$661,MATCH($AH77,lov_term_buckets,0),'Step 4 bond aggregation'!$E$2:$E$661,$AI$71)</f>
        <v>0</v>
      </c>
      <c r="AL77" s="192">
        <f>SUMIFS('Step 4 bond aggregation'!$B$2:$B$661,'Step 4 bond aggregation'!$A$2:$A$661,$AG$69,'Step 4 bond aggregation'!$F$2:$F$661,AL$72,'Step 4 bond aggregation'!$G$2:$G$661,MATCH($AH77,lov_term_buckets,0),'Step 4 bond aggregation'!$E$2:$E$661,$AI$71)</f>
        <v>0</v>
      </c>
      <c r="AM77" s="192">
        <f>SUMIFS('Step 4 bond aggregation'!$B$2:$B$661,'Step 4 bond aggregation'!$A$2:$A$661,$AG$69,'Step 4 bond aggregation'!$F$2:$F$661,AM$72,'Step 4 bond aggregation'!$G$2:$G$661,MATCH($AH77,lov_term_buckets,0),'Step 4 bond aggregation'!$E$2:$E$661,$AI$71)</f>
        <v>0</v>
      </c>
      <c r="AN77" s="192">
        <f>SUMIFS('Step 4 bond aggregation'!$B$2:$B$661,'Step 4 bond aggregation'!$A$2:$A$661,$AG$69,'Step 4 bond aggregation'!$F$2:$F$661,AN$72,'Step 4 bond aggregation'!$G$2:$G$661,MATCH($AH77,lov_term_buckets,0),'Step 4 bond aggregation'!$E$2:$E$661,$AI$71)</f>
        <v>0</v>
      </c>
      <c r="AO77" s="192">
        <f>SUMIFS('Step 4 bond aggregation'!$B$2:$B$661,'Step 4 bond aggregation'!$A$2:$A$661,$AG$69,'Step 4 bond aggregation'!$F$2:$F$661,AO$72,'Step 4 bond aggregation'!$G$2:$G$661,MATCH($AH77,lov_term_buckets,0),'Step 4 bond aggregation'!$E$2:$E$661,$AI$71)</f>
        <v>0</v>
      </c>
      <c r="AP77" s="191"/>
      <c r="AQ77" s="191"/>
      <c r="AR77" s="254" t="s">
        <v>938</v>
      </c>
      <c r="AS77" s="192">
        <f>SUMIFS('Step 4 bond aggregation'!$B$2:$B$661,'Step 4 bond aggregation'!$A$2:$A$661,$AQ$69,'Step 4 bond aggregation'!$F$2:$F$661,AS$72,'Step 4 bond aggregation'!$G$2:$G$661,MATCH($AR77,lov_term_buckets,0),'Step 4 bond aggregation'!$E$2:$E$661,$AS$71)</f>
        <v>0</v>
      </c>
      <c r="AT77" s="192">
        <f>SUMIFS('Step 4 bond aggregation'!$B$2:$B$661,'Step 4 bond aggregation'!$A$2:$A$661,$AQ$69,'Step 4 bond aggregation'!$F$2:$F$661,AT$72,'Step 4 bond aggregation'!$G$2:$G$661,MATCH($AR77,lov_term_buckets,0),'Step 4 bond aggregation'!$E$2:$E$661,$AS$71)</f>
        <v>0</v>
      </c>
      <c r="AU77" s="192">
        <f>SUMIFS('Step 4 bond aggregation'!$B$2:$B$661,'Step 4 bond aggregation'!$A$2:$A$661,$AQ$69,'Step 4 bond aggregation'!$F$2:$F$661,AU$72,'Step 4 bond aggregation'!$G$2:$G$661,MATCH($AR77,lov_term_buckets,0),'Step 4 bond aggregation'!$E$2:$E$661,$AS$71)</f>
        <v>0</v>
      </c>
      <c r="AV77" s="192">
        <f>SUMIFS('Step 4 bond aggregation'!$B$2:$B$661,'Step 4 bond aggregation'!$A$2:$A$661,$AQ$69,'Step 4 bond aggregation'!$F$2:$F$661,AV$72,'Step 4 bond aggregation'!$G$2:$G$661,MATCH($AR77,lov_term_buckets,0),'Step 4 bond aggregation'!$E$2:$E$661,$AS$71)</f>
        <v>0</v>
      </c>
      <c r="AW77" s="192">
        <f>SUMIFS('Step 4 bond aggregation'!$B$2:$B$661,'Step 4 bond aggregation'!$A$2:$A$661,$AQ$69,'Step 4 bond aggregation'!$F$2:$F$661,AW$72,'Step 4 bond aggregation'!$G$2:$G$661,MATCH($AR77,lov_term_buckets,0),'Step 4 bond aggregation'!$E$2:$E$661,$AS$71)</f>
        <v>0</v>
      </c>
      <c r="AX77" s="192">
        <f>SUMIFS('Step 4 bond aggregation'!$B$2:$B$661,'Step 4 bond aggregation'!$A$2:$A$661,$AQ$69,'Step 4 bond aggregation'!$F$2:$F$661,AX$72,'Step 4 bond aggregation'!$G$2:$G$661,MATCH($AR77,lov_term_buckets,0),'Step 4 bond aggregation'!$E$2:$E$661,$AS$71)</f>
        <v>0</v>
      </c>
      <c r="AY77" s="192">
        <f>SUMIFS('Step 4 bond aggregation'!$B$2:$B$661,'Step 4 bond aggregation'!$A$2:$A$661,$AQ$69,'Step 4 bond aggregation'!$F$2:$F$661,AY$72,'Step 4 bond aggregation'!$G$2:$G$661,MATCH($AR77,lov_term_buckets,0),'Step 4 bond aggregation'!$E$2:$E$661,$AS$71)</f>
        <v>0</v>
      </c>
      <c r="AZ77" s="191"/>
      <c r="BA77" s="191"/>
      <c r="BB77" s="254" t="s">
        <v>938</v>
      </c>
      <c r="BC77" s="192">
        <f>SUMIFS('Step 4 bond aggregation'!$B$2:$B$661,'Step 4 bond aggregation'!$A$2:$A$661,$BA$69,'Step 4 bond aggregation'!$F$2:$F$661,BC$72,'Step 4 bond aggregation'!$G$2:$G$661,MATCH($BB77,lov_term_buckets,0),'Step 4 bond aggregation'!$E$2:$E$661,$BC$71)</f>
        <v>0</v>
      </c>
      <c r="BD77" s="192">
        <f>SUMIFS('Step 4 bond aggregation'!$B$2:$B$661,'Step 4 bond aggregation'!$A$2:$A$661,$BA$69,'Step 4 bond aggregation'!$F$2:$F$661,BD$72,'Step 4 bond aggregation'!$G$2:$G$661,MATCH($BB77,lov_term_buckets,0),'Step 4 bond aggregation'!$E$2:$E$661,$BC$71)</f>
        <v>0</v>
      </c>
      <c r="BE77" s="192">
        <f>SUMIFS('Step 4 bond aggregation'!$B$2:$B$661,'Step 4 bond aggregation'!$A$2:$A$661,$BA$69,'Step 4 bond aggregation'!$F$2:$F$661,BE$72,'Step 4 bond aggregation'!$G$2:$G$661,MATCH($BB77,lov_term_buckets,0),'Step 4 bond aggregation'!$E$2:$E$661,$BC$71)</f>
        <v>0</v>
      </c>
      <c r="BF77" s="192">
        <f>SUMIFS('Step 4 bond aggregation'!$B$2:$B$661,'Step 4 bond aggregation'!$A$2:$A$661,$BA$69,'Step 4 bond aggregation'!$F$2:$F$661,BF$72,'Step 4 bond aggregation'!$G$2:$G$661,MATCH($BB77,lov_term_buckets,0),'Step 4 bond aggregation'!$E$2:$E$661,$BC$71)</f>
        <v>0</v>
      </c>
      <c r="BG77" s="192">
        <f>SUMIFS('Step 4 bond aggregation'!$B$2:$B$661,'Step 4 bond aggregation'!$A$2:$A$661,$BA$69,'Step 4 bond aggregation'!$F$2:$F$661,BG$72,'Step 4 bond aggregation'!$G$2:$G$661,MATCH($BB77,lov_term_buckets,0),'Step 4 bond aggregation'!$E$2:$E$661,$BC$71)</f>
        <v>0</v>
      </c>
      <c r="BH77" s="192">
        <f>SUMIFS('Step 4 bond aggregation'!$B$2:$B$661,'Step 4 bond aggregation'!$A$2:$A$661,$BA$69,'Step 4 bond aggregation'!$F$2:$F$661,BH$72,'Step 4 bond aggregation'!$G$2:$G$661,MATCH($BB77,lov_term_buckets,0),'Step 4 bond aggregation'!$E$2:$E$661,$BC$71)</f>
        <v>0</v>
      </c>
      <c r="BI77" s="192">
        <f>SUMIFS('Step 4 bond aggregation'!$B$2:$B$661,'Step 4 bond aggregation'!$A$2:$A$661,$BA$69,'Step 4 bond aggregation'!$F$2:$F$661,BI$72,'Step 4 bond aggregation'!$G$2:$G$661,MATCH($BB77,lov_term_buckets,0),'Step 4 bond aggregation'!$E$2:$E$661,$BC$71)</f>
        <v>0</v>
      </c>
      <c r="BK77" s="191"/>
      <c r="BL77" s="254" t="s">
        <v>938</v>
      </c>
      <c r="BM77" s="192">
        <f>SUMIFS('Step 4 bond aggregation'!$B$2:$B$661,'Step 4 bond aggregation'!$A$2:$A$661,$BK$69,'Step 4 bond aggregation'!$F$2:$F$661,BM$72,'Step 4 bond aggregation'!$G$2:$G$661,MATCH($BB77,lov_term_buckets,0),'Step 4 bond aggregation'!$E$2:$E$661,$BC$71)</f>
        <v>0</v>
      </c>
      <c r="BN77" s="192">
        <f>SUMIFS('Step 4 bond aggregation'!$B$2:$B$661,'Step 4 bond aggregation'!$A$2:$A$661,$BK$69,'Step 4 bond aggregation'!$F$2:$F$661,BN$72,'Step 4 bond aggregation'!$G$2:$G$661,MATCH($BB77,lov_term_buckets,0),'Step 4 bond aggregation'!$E$2:$E$661,$BC$71)</f>
        <v>0</v>
      </c>
      <c r="BO77" s="192">
        <f>SUMIFS('Step 4 bond aggregation'!$B$2:$B$661,'Step 4 bond aggregation'!$A$2:$A$661,$BK$69,'Step 4 bond aggregation'!$F$2:$F$661,BO$72,'Step 4 bond aggregation'!$G$2:$G$661,MATCH($BB77,lov_term_buckets,0),'Step 4 bond aggregation'!$E$2:$E$661,$BC$71)</f>
        <v>0</v>
      </c>
      <c r="BP77" s="192">
        <f>SUMIFS('Step 4 bond aggregation'!$B$2:$B$661,'Step 4 bond aggregation'!$A$2:$A$661,$BK$69,'Step 4 bond aggregation'!$F$2:$F$661,BP$72,'Step 4 bond aggregation'!$G$2:$G$661,MATCH($BB77,lov_term_buckets,0),'Step 4 bond aggregation'!$E$2:$E$661,$BC$71)</f>
        <v>0</v>
      </c>
      <c r="BQ77" s="192">
        <f>SUMIFS('Step 4 bond aggregation'!$B$2:$B$661,'Step 4 bond aggregation'!$A$2:$A$661,$BK$69,'Step 4 bond aggregation'!$F$2:$F$661,BQ$72,'Step 4 bond aggregation'!$G$2:$G$661,MATCH($BB77,lov_term_buckets,0),'Step 4 bond aggregation'!$E$2:$E$661,$BC$71)</f>
        <v>0</v>
      </c>
      <c r="BR77" s="192">
        <f>SUMIFS('Step 4 bond aggregation'!$B$2:$B$661,'Step 4 bond aggregation'!$A$2:$A$661,$BK$69,'Step 4 bond aggregation'!$F$2:$F$661,BR$72,'Step 4 bond aggregation'!$G$2:$G$661,MATCH($BB77,lov_term_buckets,0),'Step 4 bond aggregation'!$E$2:$E$661,$BC$71)</f>
        <v>0</v>
      </c>
      <c r="BS77" s="192">
        <f>SUMIFS('Step 4 bond aggregation'!$B$2:$B$661,'Step 4 bond aggregation'!$A$2:$A$661,$BK$69,'Step 4 bond aggregation'!$F$2:$F$661,BS$72,'Step 4 bond aggregation'!$G$2:$G$661,MATCH($BB77,lov_term_buckets,0),'Step 4 bond aggregation'!$E$2:$E$661,$BC$71)</f>
        <v>0</v>
      </c>
      <c r="BU77" s="191"/>
      <c r="BV77" s="254" t="s">
        <v>938</v>
      </c>
      <c r="BW77" s="192">
        <f>SUMIFS('Step 4 bond aggregation'!$B$2:$B$661,'Step 4 bond aggregation'!$A$2:$A$661,$BU$69,'Step 4 bond aggregation'!$F$2:$F$661,BW$72,'Step 4 bond aggregation'!$G$2:$G$661,MATCH($BB77,lov_term_buckets,0),'Step 4 bond aggregation'!$E$2:$E$661,$BC$71)</f>
        <v>0</v>
      </c>
      <c r="BX77" s="192">
        <f>SUMIFS('Step 4 bond aggregation'!$B$2:$B$661,'Step 4 bond aggregation'!$A$2:$A$661,$BU$69,'Step 4 bond aggregation'!$F$2:$F$661,BX$72,'Step 4 bond aggregation'!$G$2:$G$661,MATCH($BB77,lov_term_buckets,0),'Step 4 bond aggregation'!$E$2:$E$661,$BC$71)</f>
        <v>0</v>
      </c>
      <c r="BY77" s="192">
        <f>SUMIFS('Step 4 bond aggregation'!$B$2:$B$661,'Step 4 bond aggregation'!$A$2:$A$661,$BU$69,'Step 4 bond aggregation'!$F$2:$F$661,BY$72,'Step 4 bond aggregation'!$G$2:$G$661,MATCH($BB77,lov_term_buckets,0),'Step 4 bond aggregation'!$E$2:$E$661,$BC$71)</f>
        <v>0</v>
      </c>
      <c r="BZ77" s="192">
        <f>SUMIFS('Step 4 bond aggregation'!$B$2:$B$661,'Step 4 bond aggregation'!$A$2:$A$661,$BU$69,'Step 4 bond aggregation'!$F$2:$F$661,BZ$72,'Step 4 bond aggregation'!$G$2:$G$661,MATCH($BB77,lov_term_buckets,0),'Step 4 bond aggregation'!$E$2:$E$661,$BC$71)</f>
        <v>0</v>
      </c>
      <c r="CA77" s="192">
        <f>SUMIFS('Step 4 bond aggregation'!$B$2:$B$661,'Step 4 bond aggregation'!$A$2:$A$661,$BU$69,'Step 4 bond aggregation'!$F$2:$F$661,CA$72,'Step 4 bond aggregation'!$G$2:$G$661,MATCH($BB77,lov_term_buckets,0),'Step 4 bond aggregation'!$E$2:$E$661,$BC$71)</f>
        <v>0</v>
      </c>
      <c r="CB77" s="192">
        <f>SUMIFS('Step 4 bond aggregation'!$B$2:$B$661,'Step 4 bond aggregation'!$A$2:$A$661,$BU$69,'Step 4 bond aggregation'!$F$2:$F$661,CB$72,'Step 4 bond aggregation'!$G$2:$G$661,MATCH($BB77,lov_term_buckets,0),'Step 4 bond aggregation'!$E$2:$E$661,$BC$71)</f>
        <v>0</v>
      </c>
      <c r="CC77" s="192">
        <f>SUMIFS('Step 4 bond aggregation'!$B$2:$B$661,'Step 4 bond aggregation'!$A$2:$A$661,$BU$69,'Step 4 bond aggregation'!$F$2:$F$661,CC$72,'Step 4 bond aggregation'!$G$2:$G$661,MATCH($BB77,lov_term_buckets,0),'Step 4 bond aggregation'!$E$2:$E$661,$BC$71)</f>
        <v>0</v>
      </c>
    </row>
    <row r="78" spans="2:81" ht="14.4" hidden="1" customHeight="1" outlineLevel="1" x14ac:dyDescent="0.3">
      <c r="C78" s="52" t="s">
        <v>6</v>
      </c>
      <c r="D78" s="192">
        <f>SUM(D73:K77)</f>
        <v>0</v>
      </c>
      <c r="E78" s="191"/>
      <c r="F78" s="191"/>
      <c r="G78" s="191"/>
      <c r="H78" s="191"/>
      <c r="I78" s="191"/>
      <c r="J78" s="191"/>
      <c r="K78" s="191"/>
      <c r="L78" s="191"/>
      <c r="M78" s="191"/>
      <c r="N78" s="254" t="s">
        <v>6</v>
      </c>
      <c r="O78" s="192">
        <f>SUM(O73:U77)</f>
        <v>0</v>
      </c>
      <c r="P78" s="191"/>
      <c r="Q78" s="191"/>
      <c r="R78" s="191"/>
      <c r="S78" s="191"/>
      <c r="T78" s="191"/>
      <c r="U78" s="191"/>
      <c r="V78" s="191"/>
      <c r="W78" s="191"/>
      <c r="X78" s="254" t="s">
        <v>6</v>
      </c>
      <c r="Y78" s="192">
        <f>SUM(Y73:AE77)</f>
        <v>0</v>
      </c>
      <c r="Z78" s="191"/>
      <c r="AA78" s="191"/>
      <c r="AB78" s="191"/>
      <c r="AC78" s="191"/>
      <c r="AD78" s="191"/>
      <c r="AE78" s="191"/>
      <c r="AF78" s="191"/>
      <c r="AG78" s="191"/>
      <c r="AH78" s="254" t="s">
        <v>6</v>
      </c>
      <c r="AI78" s="192">
        <f>SUM(AI73:AO77)</f>
        <v>0</v>
      </c>
      <c r="AJ78" s="191"/>
      <c r="AK78" s="191"/>
      <c r="AL78" s="191"/>
      <c r="AM78" s="191"/>
      <c r="AN78" s="191"/>
      <c r="AO78" s="191"/>
      <c r="AP78" s="191"/>
      <c r="AQ78" s="191"/>
      <c r="AR78" s="254" t="s">
        <v>6</v>
      </c>
      <c r="AS78" s="192">
        <f>SUM(AS73:AY77)</f>
        <v>0</v>
      </c>
      <c r="AT78" s="191"/>
      <c r="AU78" s="191"/>
      <c r="AV78" s="191"/>
      <c r="AW78" s="191"/>
      <c r="AX78" s="191"/>
      <c r="AY78" s="191"/>
      <c r="AZ78" s="191"/>
      <c r="BA78" s="191"/>
      <c r="BB78" s="254" t="s">
        <v>6</v>
      </c>
      <c r="BC78" s="192">
        <f>SUM(BC73:BI77)</f>
        <v>0</v>
      </c>
      <c r="BD78" s="191"/>
      <c r="BE78" s="191"/>
      <c r="BF78" s="191"/>
      <c r="BG78" s="191"/>
      <c r="BH78" s="191"/>
      <c r="BI78" s="191"/>
      <c r="BK78" s="191"/>
      <c r="BL78" s="254" t="s">
        <v>6</v>
      </c>
      <c r="BM78" s="192">
        <f>SUM(BM73:BS77)</f>
        <v>0</v>
      </c>
      <c r="BN78" s="191"/>
      <c r="BO78" s="191"/>
      <c r="BP78" s="191"/>
      <c r="BQ78" s="191"/>
      <c r="BR78" s="191"/>
      <c r="BS78" s="191"/>
      <c r="BU78" s="191"/>
      <c r="BV78" s="254" t="s">
        <v>6</v>
      </c>
      <c r="BW78" s="192">
        <f>SUM(BW73:CC77)</f>
        <v>0</v>
      </c>
      <c r="BX78" s="191"/>
      <c r="BY78" s="191"/>
      <c r="BZ78" s="191"/>
      <c r="CA78" s="191"/>
      <c r="CB78" s="191"/>
      <c r="CC78" s="191"/>
    </row>
    <row r="79" spans="2:81" hidden="1" outlineLevel="1" x14ac:dyDescent="0.3">
      <c r="C79" s="52"/>
      <c r="D79" s="60"/>
      <c r="E79" s="108"/>
      <c r="F79" s="108"/>
      <c r="G79" s="108"/>
      <c r="H79" s="108"/>
      <c r="I79" s="108"/>
      <c r="J79" s="108"/>
      <c r="K79" s="108"/>
      <c r="L79" s="108"/>
      <c r="M79" s="251"/>
      <c r="N79" s="256"/>
      <c r="O79" s="60"/>
      <c r="P79" s="108"/>
      <c r="Q79" s="108"/>
      <c r="R79" s="108"/>
      <c r="S79" s="108"/>
      <c r="T79" s="108"/>
      <c r="U79" s="108"/>
      <c r="V79" s="108"/>
      <c r="W79" s="251"/>
      <c r="X79" s="256"/>
      <c r="Y79" s="60"/>
      <c r="Z79" s="108"/>
      <c r="AA79" s="108"/>
      <c r="AB79" s="108"/>
      <c r="AC79" s="108"/>
      <c r="AD79" s="108"/>
      <c r="AE79" s="108"/>
      <c r="AF79" s="108"/>
      <c r="AG79" s="251"/>
      <c r="AH79" s="256"/>
      <c r="AI79" s="60"/>
      <c r="AJ79" s="108"/>
      <c r="AK79" s="108"/>
      <c r="AL79" s="108"/>
      <c r="AM79" s="108"/>
      <c r="AN79" s="108"/>
      <c r="AO79" s="108"/>
      <c r="AP79" s="108"/>
      <c r="AQ79" s="251"/>
      <c r="AR79" s="256"/>
      <c r="AS79" s="60"/>
      <c r="AT79" s="108"/>
      <c r="AU79" s="108"/>
      <c r="AV79" s="108"/>
      <c r="AW79" s="108"/>
      <c r="AX79" s="108"/>
      <c r="AY79" s="108"/>
      <c r="AZ79" s="108"/>
      <c r="BA79" s="251"/>
      <c r="BB79" s="256"/>
      <c r="BC79" s="60"/>
      <c r="BD79" s="108"/>
      <c r="BE79" s="108"/>
      <c r="BF79" s="108"/>
      <c r="BG79" s="108"/>
      <c r="BH79" s="108"/>
      <c r="BI79" s="108"/>
      <c r="BK79" s="251"/>
      <c r="BL79" s="256"/>
      <c r="BM79" s="60"/>
      <c r="BN79" s="108"/>
      <c r="BO79" s="108"/>
      <c r="BP79" s="108"/>
      <c r="BQ79" s="108"/>
      <c r="BR79" s="108"/>
      <c r="BS79" s="108"/>
      <c r="BU79" s="251"/>
      <c r="BV79" s="256"/>
      <c r="BW79" s="60"/>
      <c r="BX79" s="108"/>
      <c r="BY79" s="108"/>
      <c r="BZ79" s="108"/>
      <c r="CA79" s="108"/>
      <c r="CB79" s="108"/>
      <c r="CC79" s="108"/>
    </row>
    <row r="80" spans="2:81" hidden="1" outlineLevel="1" x14ac:dyDescent="0.3">
      <c r="B80" s="88"/>
      <c r="C80" s="52" t="s">
        <v>2101</v>
      </c>
      <c r="D80" s="31">
        <f>Lists!$C$4</f>
        <v>2</v>
      </c>
      <c r="E80" s="108"/>
      <c r="F80" s="108"/>
      <c r="G80" s="108"/>
      <c r="H80" s="108"/>
      <c r="I80" s="108"/>
      <c r="J80" s="108"/>
      <c r="K80" s="108"/>
      <c r="L80" s="108"/>
      <c r="N80" s="52" t="s">
        <v>2101</v>
      </c>
      <c r="O80" s="31">
        <f>Lists!$C$4</f>
        <v>2</v>
      </c>
      <c r="P80" s="108"/>
      <c r="Q80" s="108"/>
      <c r="R80" s="108"/>
      <c r="S80" s="108"/>
      <c r="T80" s="108"/>
      <c r="U80" s="108"/>
      <c r="V80" s="108"/>
      <c r="W80" s="168"/>
      <c r="X80" s="52" t="s">
        <v>2101</v>
      </c>
      <c r="Y80" s="31">
        <f>Lists!$C$4</f>
        <v>2</v>
      </c>
      <c r="Z80" s="108"/>
      <c r="AA80" s="108"/>
      <c r="AB80" s="108"/>
      <c r="AC80" s="108"/>
      <c r="AD80" s="108"/>
      <c r="AE80" s="108"/>
      <c r="AF80" s="108"/>
      <c r="AG80" s="168"/>
      <c r="AH80" s="52" t="s">
        <v>2101</v>
      </c>
      <c r="AI80" s="31">
        <f>Lists!$C$4</f>
        <v>2</v>
      </c>
      <c r="AJ80" s="108"/>
      <c r="AK80" s="108"/>
      <c r="AL80" s="108"/>
      <c r="AM80" s="108"/>
      <c r="AN80" s="108"/>
      <c r="AO80" s="108"/>
      <c r="AP80" s="108"/>
      <c r="AQ80" s="168"/>
      <c r="AR80" s="52" t="s">
        <v>2101</v>
      </c>
      <c r="AS80" s="31">
        <f>Lists!$C$4</f>
        <v>2</v>
      </c>
      <c r="AT80" s="108"/>
      <c r="AU80" s="108"/>
      <c r="AV80" s="108"/>
      <c r="AW80" s="108"/>
      <c r="AX80" s="108"/>
      <c r="AY80" s="108"/>
      <c r="AZ80" s="108"/>
      <c r="BA80" s="168"/>
      <c r="BB80" s="52" t="s">
        <v>2101</v>
      </c>
      <c r="BC80" s="31">
        <f>Lists!$C$4</f>
        <v>2</v>
      </c>
      <c r="BD80" s="108"/>
      <c r="BE80" s="108"/>
      <c r="BF80" s="108"/>
      <c r="BG80" s="108"/>
      <c r="BH80" s="108"/>
      <c r="BI80" s="108"/>
      <c r="BK80" s="168"/>
      <c r="BL80" s="52" t="s">
        <v>2101</v>
      </c>
      <c r="BM80" s="31">
        <f>Lists!$C$4</f>
        <v>2</v>
      </c>
      <c r="BN80" s="108"/>
      <c r="BO80" s="108"/>
      <c r="BP80" s="108"/>
      <c r="BQ80" s="108"/>
      <c r="BR80" s="108"/>
      <c r="BS80" s="108"/>
      <c r="BU80" s="168"/>
      <c r="BV80" s="52" t="s">
        <v>2101</v>
      </c>
      <c r="BW80" s="31">
        <f>Lists!$C$4</f>
        <v>2</v>
      </c>
      <c r="BX80" s="108"/>
      <c r="BY80" s="108"/>
      <c r="BZ80" s="108"/>
      <c r="CA80" s="108"/>
      <c r="CB80" s="108"/>
      <c r="CC80" s="108"/>
    </row>
    <row r="81" spans="2:81" ht="14" hidden="1" customHeight="1" outlineLevel="1" x14ac:dyDescent="0.3">
      <c r="C81" s="57" t="s">
        <v>939</v>
      </c>
      <c r="D81" s="675" t="s">
        <v>0</v>
      </c>
      <c r="E81" s="675" t="s">
        <v>1</v>
      </c>
      <c r="F81" s="675" t="s">
        <v>2</v>
      </c>
      <c r="G81" s="675" t="s">
        <v>3</v>
      </c>
      <c r="H81" s="675" t="s">
        <v>4</v>
      </c>
      <c r="I81" s="675" t="s">
        <v>5</v>
      </c>
      <c r="J81" s="675" t="s">
        <v>1457</v>
      </c>
      <c r="K81" s="675" t="s">
        <v>1123</v>
      </c>
      <c r="L81" s="108"/>
      <c r="M81" s="35"/>
      <c r="N81" s="675" t="s">
        <v>939</v>
      </c>
      <c r="O81" s="675" t="s">
        <v>0</v>
      </c>
      <c r="P81" s="675" t="s">
        <v>1</v>
      </c>
      <c r="Q81" s="675" t="s">
        <v>2</v>
      </c>
      <c r="R81" s="675" t="s">
        <v>3</v>
      </c>
      <c r="S81" s="675" t="s">
        <v>4</v>
      </c>
      <c r="T81" s="675" t="s">
        <v>5</v>
      </c>
      <c r="U81" s="675" t="s">
        <v>1457</v>
      </c>
      <c r="V81" s="108"/>
      <c r="X81" s="675" t="s">
        <v>939</v>
      </c>
      <c r="Y81" s="675" t="s">
        <v>0</v>
      </c>
      <c r="Z81" s="675" t="s">
        <v>1</v>
      </c>
      <c r="AA81" s="675" t="s">
        <v>2</v>
      </c>
      <c r="AB81" s="675" t="s">
        <v>3</v>
      </c>
      <c r="AC81" s="675" t="s">
        <v>4</v>
      </c>
      <c r="AD81" s="675" t="s">
        <v>5</v>
      </c>
      <c r="AE81" s="675" t="s">
        <v>1457</v>
      </c>
      <c r="AF81" s="108"/>
      <c r="AH81" s="675" t="s">
        <v>939</v>
      </c>
      <c r="AI81" s="675" t="s">
        <v>0</v>
      </c>
      <c r="AJ81" s="675" t="s">
        <v>1</v>
      </c>
      <c r="AK81" s="675" t="s">
        <v>2</v>
      </c>
      <c r="AL81" s="675" t="s">
        <v>3</v>
      </c>
      <c r="AM81" s="675" t="s">
        <v>4</v>
      </c>
      <c r="AN81" s="675" t="s">
        <v>5</v>
      </c>
      <c r="AO81" s="675" t="s">
        <v>1457</v>
      </c>
      <c r="AP81" s="108"/>
      <c r="AR81" s="675" t="s">
        <v>939</v>
      </c>
      <c r="AS81" s="675" t="s">
        <v>0</v>
      </c>
      <c r="AT81" s="675" t="s">
        <v>1</v>
      </c>
      <c r="AU81" s="675" t="s">
        <v>2</v>
      </c>
      <c r="AV81" s="675" t="s">
        <v>3</v>
      </c>
      <c r="AW81" s="675" t="s">
        <v>4</v>
      </c>
      <c r="AX81" s="675" t="s">
        <v>5</v>
      </c>
      <c r="AY81" s="675" t="s">
        <v>1457</v>
      </c>
      <c r="AZ81" s="108"/>
      <c r="BB81" s="675" t="s">
        <v>939</v>
      </c>
      <c r="BC81" s="675" t="s">
        <v>0</v>
      </c>
      <c r="BD81" s="675" t="s">
        <v>1</v>
      </c>
      <c r="BE81" s="675" t="s">
        <v>2</v>
      </c>
      <c r="BF81" s="675" t="s">
        <v>3</v>
      </c>
      <c r="BG81" s="675" t="s">
        <v>4</v>
      </c>
      <c r="BH81" s="675" t="s">
        <v>5</v>
      </c>
      <c r="BI81" s="675" t="s">
        <v>1457</v>
      </c>
      <c r="BL81" s="675" t="s">
        <v>939</v>
      </c>
      <c r="BM81" s="675" t="s">
        <v>0</v>
      </c>
      <c r="BN81" s="675" t="s">
        <v>1</v>
      </c>
      <c r="BO81" s="675" t="s">
        <v>2</v>
      </c>
      <c r="BP81" s="675" t="s">
        <v>3</v>
      </c>
      <c r="BQ81" s="675" t="s">
        <v>4</v>
      </c>
      <c r="BR81" s="675" t="s">
        <v>5</v>
      </c>
      <c r="BS81" s="675" t="s">
        <v>1457</v>
      </c>
      <c r="BV81" s="675" t="s">
        <v>939</v>
      </c>
      <c r="BW81" s="675" t="s">
        <v>0</v>
      </c>
      <c r="BX81" s="675" t="s">
        <v>1</v>
      </c>
      <c r="BY81" s="675" t="s">
        <v>2</v>
      </c>
      <c r="BZ81" s="675" t="s">
        <v>3</v>
      </c>
      <c r="CA81" s="675" t="s">
        <v>4</v>
      </c>
      <c r="CB81" s="675" t="s">
        <v>5</v>
      </c>
      <c r="CC81" s="675" t="s">
        <v>1457</v>
      </c>
    </row>
    <row r="82" spans="2:81" ht="14.4" hidden="1" customHeight="1" outlineLevel="1" x14ac:dyDescent="0.3">
      <c r="C82" s="52" t="s">
        <v>934</v>
      </c>
      <c r="D82" s="192">
        <f>Input!F91</f>
        <v>0</v>
      </c>
      <c r="E82" s="192">
        <f>Input!G91</f>
        <v>0</v>
      </c>
      <c r="F82" s="192">
        <f>Input!H91</f>
        <v>0</v>
      </c>
      <c r="G82" s="192">
        <f>Input!I91</f>
        <v>0</v>
      </c>
      <c r="H82" s="192">
        <f>Input!J91</f>
        <v>0</v>
      </c>
      <c r="I82" s="192">
        <f>Input!K91</f>
        <v>0</v>
      </c>
      <c r="J82" s="192">
        <f>Input!L91</f>
        <v>0</v>
      </c>
      <c r="K82" s="192">
        <f>Input!M91</f>
        <v>0</v>
      </c>
      <c r="L82" s="191"/>
      <c r="M82" s="191"/>
      <c r="N82" s="254" t="s">
        <v>934</v>
      </c>
      <c r="O82" s="192">
        <f>Input!F131+Input!F164</f>
        <v>0</v>
      </c>
      <c r="P82" s="192">
        <f>Input!G131+Input!G164</f>
        <v>0</v>
      </c>
      <c r="Q82" s="192">
        <f>Input!H131+Input!H164</f>
        <v>0</v>
      </c>
      <c r="R82" s="192">
        <f>Input!I131+Input!I164</f>
        <v>0</v>
      </c>
      <c r="S82" s="192">
        <f>Input!J131+Input!J164</f>
        <v>0</v>
      </c>
      <c r="T82" s="192">
        <f>Input!K131+Input!K164</f>
        <v>0</v>
      </c>
      <c r="U82" s="192">
        <f>Input!L131+Input!L164</f>
        <v>0</v>
      </c>
      <c r="V82" s="191"/>
      <c r="W82" s="191"/>
      <c r="X82" s="254" t="s">
        <v>934</v>
      </c>
      <c r="Y82" s="192">
        <f>SUMIFS('Step 4 bond aggregation'!$B$2:$B$661,'Step 4 bond aggregation'!$A$2:$A$661,$W$69,'Step 4 bond aggregation'!$F$2:$F$661,Y$72,'Step 4 bond aggregation'!$G$2:$G$661,MATCH($X82,lov_term_buckets,0),'Step 4 bond aggregation'!$E$2:$E$661,$Y$80)</f>
        <v>0</v>
      </c>
      <c r="Z82" s="192">
        <f>SUMIFS('Step 4 bond aggregation'!$B$2:$B$661,'Step 4 bond aggregation'!$A$2:$A$661,$W$69,'Step 4 bond aggregation'!$F$2:$F$661,Z$72,'Step 4 bond aggregation'!$G$2:$G$661,MATCH($X82,lov_term_buckets,0),'Step 4 bond aggregation'!$E$2:$E$661,$Y$80)</f>
        <v>0</v>
      </c>
      <c r="AA82" s="192">
        <f>SUMIFS('Step 4 bond aggregation'!$B$2:$B$661,'Step 4 bond aggregation'!$A$2:$A$661,$W$69,'Step 4 bond aggregation'!$F$2:$F$661,AA$72,'Step 4 bond aggregation'!$G$2:$G$661,MATCH($X82,lov_term_buckets,0),'Step 4 bond aggregation'!$E$2:$E$661,$Y$80)</f>
        <v>0</v>
      </c>
      <c r="AB82" s="192">
        <f>SUMIFS('Step 4 bond aggregation'!$B$2:$B$661,'Step 4 bond aggregation'!$A$2:$A$661,$W$69,'Step 4 bond aggregation'!$F$2:$F$661,AB$72,'Step 4 bond aggregation'!$G$2:$G$661,MATCH($X82,lov_term_buckets,0),'Step 4 bond aggregation'!$E$2:$E$661,$Y$80)</f>
        <v>0</v>
      </c>
      <c r="AC82" s="192">
        <f>SUMIFS('Step 4 bond aggregation'!$B$2:$B$661,'Step 4 bond aggregation'!$A$2:$A$661,$W$69,'Step 4 bond aggregation'!$F$2:$F$661,AC$72,'Step 4 bond aggregation'!$G$2:$G$661,MATCH($X82,lov_term_buckets,0),'Step 4 bond aggregation'!$E$2:$E$661,$Y$80)</f>
        <v>0</v>
      </c>
      <c r="AD82" s="192">
        <f>SUMIFS('Step 4 bond aggregation'!$B$2:$B$661,'Step 4 bond aggregation'!$A$2:$A$661,$W$69,'Step 4 bond aggregation'!$F$2:$F$661,AD$72,'Step 4 bond aggregation'!$G$2:$G$661,MATCH($X82,lov_term_buckets,0),'Step 4 bond aggregation'!$E$2:$E$661,$Y$80)</f>
        <v>0</v>
      </c>
      <c r="AE82" s="192">
        <f>SUMIFS('Step 4 bond aggregation'!$B$2:$B$661,'Step 4 bond aggregation'!$A$2:$A$661,$W$69,'Step 4 bond aggregation'!$F$2:$F$661,AE$72,'Step 4 bond aggregation'!$G$2:$G$661,MATCH($X82,lov_term_buckets,0),'Step 4 bond aggregation'!$E$2:$E$661,$Y$80)</f>
        <v>0</v>
      </c>
      <c r="AF82" s="191"/>
      <c r="AG82" s="191"/>
      <c r="AH82" s="254" t="s">
        <v>934</v>
      </c>
      <c r="AI82" s="192">
        <f>SUMIFS('Step 4 bond aggregation'!$B$2:$B$661,'Step 4 bond aggregation'!$A$2:$A$661,$AG$69,'Step 4 bond aggregation'!$F$2:$F$661,AI$72,'Step 4 bond aggregation'!$G$2:$G$661,MATCH($AH82,lov_term_buckets,0),'Step 4 bond aggregation'!$E$2:$E$661,$AI$80)</f>
        <v>0</v>
      </c>
      <c r="AJ82" s="192">
        <f>SUMIFS('Step 4 bond aggregation'!$B$2:$B$661,'Step 4 bond aggregation'!$A$2:$A$661,$AG$69,'Step 4 bond aggregation'!$F$2:$F$661,AJ$72,'Step 4 bond aggregation'!$G$2:$G$661,MATCH($AH82,lov_term_buckets,0),'Step 4 bond aggregation'!$E$2:$E$661,$AI$80)</f>
        <v>0</v>
      </c>
      <c r="AK82" s="192">
        <f>SUMIFS('Step 4 bond aggregation'!$B$2:$B$661,'Step 4 bond aggregation'!$A$2:$A$661,$AG$69,'Step 4 bond aggregation'!$F$2:$F$661,AK$72,'Step 4 bond aggregation'!$G$2:$G$661,MATCH($AH82,lov_term_buckets,0),'Step 4 bond aggregation'!$E$2:$E$661,$AI$80)</f>
        <v>0</v>
      </c>
      <c r="AL82" s="192">
        <f>SUMIFS('Step 4 bond aggregation'!$B$2:$B$661,'Step 4 bond aggregation'!$A$2:$A$661,$AG$69,'Step 4 bond aggregation'!$F$2:$F$661,AL$72,'Step 4 bond aggregation'!$G$2:$G$661,MATCH($AH82,lov_term_buckets,0),'Step 4 bond aggregation'!$E$2:$E$661,$AI$80)</f>
        <v>0</v>
      </c>
      <c r="AM82" s="192">
        <f>SUMIFS('Step 4 bond aggregation'!$B$2:$B$661,'Step 4 bond aggregation'!$A$2:$A$661,$AG$69,'Step 4 bond aggregation'!$F$2:$F$661,AM$72,'Step 4 bond aggregation'!$G$2:$G$661,MATCH($AH82,lov_term_buckets,0),'Step 4 bond aggregation'!$E$2:$E$661,$AI$80)</f>
        <v>0</v>
      </c>
      <c r="AN82" s="192">
        <f>SUMIFS('Step 4 bond aggregation'!$B$2:$B$661,'Step 4 bond aggregation'!$A$2:$A$661,$AG$69,'Step 4 bond aggregation'!$F$2:$F$661,AN$72,'Step 4 bond aggregation'!$G$2:$G$661,MATCH($AH82,lov_term_buckets,0),'Step 4 bond aggregation'!$E$2:$E$661,$AI$80)</f>
        <v>0</v>
      </c>
      <c r="AO82" s="192">
        <f>SUMIFS('Step 4 bond aggregation'!$B$2:$B$661,'Step 4 bond aggregation'!$A$2:$A$661,$AG$69,'Step 4 bond aggregation'!$F$2:$F$661,AO$72,'Step 4 bond aggregation'!$G$2:$G$661,MATCH($AH82,lov_term_buckets,0),'Step 4 bond aggregation'!$E$2:$E$661,$AI$80)</f>
        <v>0</v>
      </c>
      <c r="AP82" s="191"/>
      <c r="AQ82" s="191"/>
      <c r="AR82" s="254" t="s">
        <v>934</v>
      </c>
      <c r="AS82" s="192">
        <f>SUMIFS('Step 4 bond aggregation'!$B$2:$B$661,'Step 4 bond aggregation'!$A$2:$A$661,$AQ$69,'Step 4 bond aggregation'!$F$2:$F$661,AS$72,'Step 4 bond aggregation'!$G$2:$G$661,MATCH($AR82,lov_term_buckets,0),'Step 4 bond aggregation'!$E$2:$E$661,$AS$80)</f>
        <v>0</v>
      </c>
      <c r="AT82" s="192">
        <f>SUMIFS('Step 4 bond aggregation'!$B$2:$B$661,'Step 4 bond aggregation'!$A$2:$A$661,$AQ$69,'Step 4 bond aggregation'!$F$2:$F$661,AT$72,'Step 4 bond aggregation'!$G$2:$G$661,MATCH($AR82,lov_term_buckets,0),'Step 4 bond aggregation'!$E$2:$E$661,$AS$80)</f>
        <v>0</v>
      </c>
      <c r="AU82" s="192">
        <f>SUMIFS('Step 4 bond aggregation'!$B$2:$B$661,'Step 4 bond aggregation'!$A$2:$A$661,$AQ$69,'Step 4 bond aggregation'!$F$2:$F$661,AU$72,'Step 4 bond aggregation'!$G$2:$G$661,MATCH($AR82,lov_term_buckets,0),'Step 4 bond aggregation'!$E$2:$E$661,$AS$80)</f>
        <v>0</v>
      </c>
      <c r="AV82" s="192">
        <f>SUMIFS('Step 4 bond aggregation'!$B$2:$B$661,'Step 4 bond aggregation'!$A$2:$A$661,$AQ$69,'Step 4 bond aggregation'!$F$2:$F$661,AV$72,'Step 4 bond aggregation'!$G$2:$G$661,MATCH($AR82,lov_term_buckets,0),'Step 4 bond aggregation'!$E$2:$E$661,$AS$80)</f>
        <v>0</v>
      </c>
      <c r="AW82" s="192">
        <f>SUMIFS('Step 4 bond aggregation'!$B$2:$B$661,'Step 4 bond aggregation'!$A$2:$A$661,$AQ$69,'Step 4 bond aggregation'!$F$2:$F$661,AW$72,'Step 4 bond aggregation'!$G$2:$G$661,MATCH($AR82,lov_term_buckets,0),'Step 4 bond aggregation'!$E$2:$E$661,$AS$80)</f>
        <v>0</v>
      </c>
      <c r="AX82" s="192">
        <f>SUMIFS('Step 4 bond aggregation'!$B$2:$B$661,'Step 4 bond aggregation'!$A$2:$A$661,$AQ$69,'Step 4 bond aggregation'!$F$2:$F$661,AX$72,'Step 4 bond aggregation'!$G$2:$G$661,MATCH($AR82,lov_term_buckets,0),'Step 4 bond aggregation'!$E$2:$E$661,$AS$80)</f>
        <v>0</v>
      </c>
      <c r="AY82" s="192">
        <f>SUMIFS('Step 4 bond aggregation'!$B$2:$B$661,'Step 4 bond aggregation'!$A$2:$A$661,$AQ$69,'Step 4 bond aggregation'!$F$2:$F$661,AY$72,'Step 4 bond aggregation'!$G$2:$G$661,MATCH($AR82,lov_term_buckets,0),'Step 4 bond aggregation'!$E$2:$E$661,$AS$80)</f>
        <v>0</v>
      </c>
      <c r="AZ82" s="191"/>
      <c r="BA82" s="191"/>
      <c r="BB82" s="254" t="s">
        <v>934</v>
      </c>
      <c r="BC82" s="192">
        <f>SUMIFS('Step 4 bond aggregation'!$B$2:$B$661,'Step 4 bond aggregation'!$A$2:$A$661,$BA$69,'Step 4 bond aggregation'!$F$2:$F$661,BC$72,'Step 4 bond aggregation'!$G$2:$G$661,MATCH($BB82,lov_term_buckets,0),'Step 4 bond aggregation'!$E$2:$E$661,$BC$80)</f>
        <v>0</v>
      </c>
      <c r="BD82" s="192">
        <f>SUMIFS('Step 4 bond aggregation'!$B$2:$B$661,'Step 4 bond aggregation'!$A$2:$A$661,$BA$69,'Step 4 bond aggregation'!$F$2:$F$661,BD$72,'Step 4 bond aggregation'!$G$2:$G$661,MATCH($BB82,lov_term_buckets,0),'Step 4 bond aggregation'!$E$2:$E$661,$BC$80)</f>
        <v>0</v>
      </c>
      <c r="BE82" s="192">
        <f>SUMIFS('Step 4 bond aggregation'!$B$2:$B$661,'Step 4 bond aggregation'!$A$2:$A$661,$BA$69,'Step 4 bond aggregation'!$F$2:$F$661,BE$72,'Step 4 bond aggregation'!$G$2:$G$661,MATCH($BB82,lov_term_buckets,0),'Step 4 bond aggregation'!$E$2:$E$661,$BC$80)</f>
        <v>0</v>
      </c>
      <c r="BF82" s="192">
        <f>SUMIFS('Step 4 bond aggregation'!$B$2:$B$661,'Step 4 bond aggregation'!$A$2:$A$661,$BA$69,'Step 4 bond aggregation'!$F$2:$F$661,BF$72,'Step 4 bond aggregation'!$G$2:$G$661,MATCH($BB82,lov_term_buckets,0),'Step 4 bond aggregation'!$E$2:$E$661,$BC$80)</f>
        <v>0</v>
      </c>
      <c r="BG82" s="192">
        <f>SUMIFS('Step 4 bond aggregation'!$B$2:$B$661,'Step 4 bond aggregation'!$A$2:$A$661,$BA$69,'Step 4 bond aggregation'!$F$2:$F$661,BG$72,'Step 4 bond aggregation'!$G$2:$G$661,MATCH($BB82,lov_term_buckets,0),'Step 4 bond aggregation'!$E$2:$E$661,$BC$80)</f>
        <v>0</v>
      </c>
      <c r="BH82" s="192">
        <f>SUMIFS('Step 4 bond aggregation'!$B$2:$B$661,'Step 4 bond aggregation'!$A$2:$A$661,$BA$69,'Step 4 bond aggregation'!$F$2:$F$661,BH$72,'Step 4 bond aggregation'!$G$2:$G$661,MATCH($BB82,lov_term_buckets,0),'Step 4 bond aggregation'!$E$2:$E$661,$BC$80)</f>
        <v>0</v>
      </c>
      <c r="BI82" s="192">
        <f>SUMIFS('Step 4 bond aggregation'!$B$2:$B$661,'Step 4 bond aggregation'!$A$2:$A$661,$BA$69,'Step 4 bond aggregation'!$F$2:$F$661,BI$72,'Step 4 bond aggregation'!$G$2:$G$661,MATCH($BB82,lov_term_buckets,0),'Step 4 bond aggregation'!$E$2:$E$661,$BC$80)</f>
        <v>0</v>
      </c>
      <c r="BK82" s="191"/>
      <c r="BL82" s="254" t="s">
        <v>934</v>
      </c>
      <c r="BM82" s="192">
        <f>SUMIFS('Step 4 bond aggregation'!$B$2:$B$661,'Step 4 bond aggregation'!$A$2:$A$661,$BK$69,'Step 4 bond aggregation'!$F$2:$F$661,BM$72,'Step 4 bond aggregation'!$G$2:$G$661,MATCH($BB82,lov_term_buckets,0),'Step 4 bond aggregation'!$E$2:$E$661,$BC$80)</f>
        <v>0</v>
      </c>
      <c r="BN82" s="192">
        <f>SUMIFS('Step 4 bond aggregation'!$B$2:$B$661,'Step 4 bond aggregation'!$A$2:$A$661,$BK$69,'Step 4 bond aggregation'!$F$2:$F$661,BN$72,'Step 4 bond aggregation'!$G$2:$G$661,MATCH($BB82,lov_term_buckets,0),'Step 4 bond aggregation'!$E$2:$E$661,$BC$80)</f>
        <v>0</v>
      </c>
      <c r="BO82" s="192">
        <f>SUMIFS('Step 4 bond aggregation'!$B$2:$B$661,'Step 4 bond aggregation'!$A$2:$A$661,$BK$69,'Step 4 bond aggregation'!$F$2:$F$661,BO$72,'Step 4 bond aggregation'!$G$2:$G$661,MATCH($BB82,lov_term_buckets,0),'Step 4 bond aggregation'!$E$2:$E$661,$BC$80)</f>
        <v>0</v>
      </c>
      <c r="BP82" s="192">
        <f>SUMIFS('Step 4 bond aggregation'!$B$2:$B$661,'Step 4 bond aggregation'!$A$2:$A$661,$BK$69,'Step 4 bond aggregation'!$F$2:$F$661,BP$72,'Step 4 bond aggregation'!$G$2:$G$661,MATCH($BB82,lov_term_buckets,0),'Step 4 bond aggregation'!$E$2:$E$661,$BC$80)</f>
        <v>0</v>
      </c>
      <c r="BQ82" s="192">
        <f>SUMIFS('Step 4 bond aggregation'!$B$2:$B$661,'Step 4 bond aggregation'!$A$2:$A$661,$BK$69,'Step 4 bond aggregation'!$F$2:$F$661,BQ$72,'Step 4 bond aggregation'!$G$2:$G$661,MATCH($BB82,lov_term_buckets,0),'Step 4 bond aggregation'!$E$2:$E$661,$BC$80)</f>
        <v>0</v>
      </c>
      <c r="BR82" s="192">
        <f>SUMIFS('Step 4 bond aggregation'!$B$2:$B$661,'Step 4 bond aggregation'!$A$2:$A$661,$BK$69,'Step 4 bond aggregation'!$F$2:$F$661,BR$72,'Step 4 bond aggregation'!$G$2:$G$661,MATCH($BB82,lov_term_buckets,0),'Step 4 bond aggregation'!$E$2:$E$661,$BC$80)</f>
        <v>0</v>
      </c>
      <c r="BS82" s="192">
        <f>SUMIFS('Step 4 bond aggregation'!$B$2:$B$661,'Step 4 bond aggregation'!$A$2:$A$661,$BK$69,'Step 4 bond aggregation'!$F$2:$F$661,BS$72,'Step 4 bond aggregation'!$G$2:$G$661,MATCH($BB82,lov_term_buckets,0),'Step 4 bond aggregation'!$E$2:$E$661,$BC$80)</f>
        <v>0</v>
      </c>
      <c r="BU82" s="191"/>
      <c r="BV82" s="254" t="s">
        <v>934</v>
      </c>
      <c r="BW82" s="192">
        <f>SUMIFS('Step 4 bond aggregation'!$B$2:$B$661,'Step 4 bond aggregation'!$A$2:$A$661,$BU$69,'Step 4 bond aggregation'!$F$2:$F$661,BW$72,'Step 4 bond aggregation'!$G$2:$G$661,MATCH($BB82,lov_term_buckets,0),'Step 4 bond aggregation'!$E$2:$E$661,$BC$80)</f>
        <v>0</v>
      </c>
      <c r="BX82" s="192">
        <f>SUMIFS('Step 4 bond aggregation'!$B$2:$B$661,'Step 4 bond aggregation'!$A$2:$A$661,$BU$69,'Step 4 bond aggregation'!$F$2:$F$661,BX$72,'Step 4 bond aggregation'!$G$2:$G$661,MATCH($BB82,lov_term_buckets,0),'Step 4 bond aggregation'!$E$2:$E$661,$BC$80)</f>
        <v>0</v>
      </c>
      <c r="BY82" s="192">
        <f>SUMIFS('Step 4 bond aggregation'!$B$2:$B$661,'Step 4 bond aggregation'!$A$2:$A$661,$BU$69,'Step 4 bond aggregation'!$F$2:$F$661,BY$72,'Step 4 bond aggregation'!$G$2:$G$661,MATCH($BB82,lov_term_buckets,0),'Step 4 bond aggregation'!$E$2:$E$661,$BC$80)</f>
        <v>0</v>
      </c>
      <c r="BZ82" s="192">
        <f>SUMIFS('Step 4 bond aggregation'!$B$2:$B$661,'Step 4 bond aggregation'!$A$2:$A$661,$BU$69,'Step 4 bond aggregation'!$F$2:$F$661,BZ$72,'Step 4 bond aggregation'!$G$2:$G$661,MATCH($BB82,lov_term_buckets,0),'Step 4 bond aggregation'!$E$2:$E$661,$BC$80)</f>
        <v>0</v>
      </c>
      <c r="CA82" s="192">
        <f>SUMIFS('Step 4 bond aggregation'!$B$2:$B$661,'Step 4 bond aggregation'!$A$2:$A$661,$BU$69,'Step 4 bond aggregation'!$F$2:$F$661,CA$72,'Step 4 bond aggregation'!$G$2:$G$661,MATCH($BB82,lov_term_buckets,0),'Step 4 bond aggregation'!$E$2:$E$661,$BC$80)</f>
        <v>0</v>
      </c>
      <c r="CB82" s="192">
        <f>SUMIFS('Step 4 bond aggregation'!$B$2:$B$661,'Step 4 bond aggregation'!$A$2:$A$661,$BU$69,'Step 4 bond aggregation'!$F$2:$F$661,CB$72,'Step 4 bond aggregation'!$G$2:$G$661,MATCH($BB82,lov_term_buckets,0),'Step 4 bond aggregation'!$E$2:$E$661,$BC$80)</f>
        <v>0</v>
      </c>
      <c r="CC82" s="192">
        <f>SUMIFS('Step 4 bond aggregation'!$B$2:$B$661,'Step 4 bond aggregation'!$A$2:$A$661,$BU$69,'Step 4 bond aggregation'!$F$2:$F$661,CC$72,'Step 4 bond aggregation'!$G$2:$G$661,MATCH($BB82,lov_term_buckets,0),'Step 4 bond aggregation'!$E$2:$E$661,$BC$80)</f>
        <v>0</v>
      </c>
    </row>
    <row r="83" spans="2:81" ht="14.4" hidden="1" customHeight="1" outlineLevel="1" x14ac:dyDescent="0.3">
      <c r="C83" s="52" t="s">
        <v>935</v>
      </c>
      <c r="D83" s="192">
        <f>Input!F92</f>
        <v>0</v>
      </c>
      <c r="E83" s="192">
        <f>Input!G92</f>
        <v>0</v>
      </c>
      <c r="F83" s="192">
        <f>Input!H92</f>
        <v>0</v>
      </c>
      <c r="G83" s="192">
        <f>Input!I92</f>
        <v>0</v>
      </c>
      <c r="H83" s="192">
        <f>Input!J92</f>
        <v>0</v>
      </c>
      <c r="I83" s="192">
        <f>Input!K92</f>
        <v>0</v>
      </c>
      <c r="J83" s="192">
        <f>Input!L92</f>
        <v>0</v>
      </c>
      <c r="K83" s="192">
        <f>Input!M92</f>
        <v>0</v>
      </c>
      <c r="L83" s="191"/>
      <c r="M83" s="191"/>
      <c r="N83" s="254" t="s">
        <v>935</v>
      </c>
      <c r="O83" s="192">
        <f>Input!F132+Input!F165</f>
        <v>0</v>
      </c>
      <c r="P83" s="192">
        <f>Input!G132+Input!G165</f>
        <v>0</v>
      </c>
      <c r="Q83" s="192">
        <f>Input!H132+Input!H165</f>
        <v>0</v>
      </c>
      <c r="R83" s="192">
        <f>Input!I132+Input!I165</f>
        <v>0</v>
      </c>
      <c r="S83" s="192">
        <f>Input!J132+Input!J165</f>
        <v>0</v>
      </c>
      <c r="T83" s="192">
        <f>Input!K132+Input!K165</f>
        <v>0</v>
      </c>
      <c r="U83" s="192">
        <f>Input!L132+Input!L165</f>
        <v>0</v>
      </c>
      <c r="V83" s="191"/>
      <c r="W83" s="191"/>
      <c r="X83" s="254" t="s">
        <v>935</v>
      </c>
      <c r="Y83" s="192">
        <f>SUMIFS('Step 4 bond aggregation'!$B$2:$B$661,'Step 4 bond aggregation'!$A$2:$A$661,$W$69,'Step 4 bond aggregation'!$F$2:$F$661,Y$72,'Step 4 bond aggregation'!$G$2:$G$661,MATCH($X83,lov_term_buckets,0),'Step 4 bond aggregation'!$E$2:$E$661,$Y$80)</f>
        <v>0</v>
      </c>
      <c r="Z83" s="192">
        <f>SUMIFS('Step 4 bond aggregation'!$B$2:$B$661,'Step 4 bond aggregation'!$A$2:$A$661,$W$69,'Step 4 bond aggregation'!$F$2:$F$661,Z$72,'Step 4 bond aggregation'!$G$2:$G$661,MATCH($X83,lov_term_buckets,0),'Step 4 bond aggregation'!$E$2:$E$661,$Y$80)</f>
        <v>0</v>
      </c>
      <c r="AA83" s="192">
        <f>SUMIFS('Step 4 bond aggregation'!$B$2:$B$661,'Step 4 bond aggregation'!$A$2:$A$661,$W$69,'Step 4 bond aggregation'!$F$2:$F$661,AA$72,'Step 4 bond aggregation'!$G$2:$G$661,MATCH($X83,lov_term_buckets,0),'Step 4 bond aggregation'!$E$2:$E$661,$Y$80)</f>
        <v>0</v>
      </c>
      <c r="AB83" s="192">
        <f>SUMIFS('Step 4 bond aggregation'!$B$2:$B$661,'Step 4 bond aggregation'!$A$2:$A$661,$W$69,'Step 4 bond aggregation'!$F$2:$F$661,AB$72,'Step 4 bond aggregation'!$G$2:$G$661,MATCH($X83,lov_term_buckets,0),'Step 4 bond aggregation'!$E$2:$E$661,$Y$80)</f>
        <v>0</v>
      </c>
      <c r="AC83" s="192">
        <f>SUMIFS('Step 4 bond aggregation'!$B$2:$B$661,'Step 4 bond aggregation'!$A$2:$A$661,$W$69,'Step 4 bond aggregation'!$F$2:$F$661,AC$72,'Step 4 bond aggregation'!$G$2:$G$661,MATCH($X83,lov_term_buckets,0),'Step 4 bond aggregation'!$E$2:$E$661,$Y$80)</f>
        <v>0</v>
      </c>
      <c r="AD83" s="192">
        <f>SUMIFS('Step 4 bond aggregation'!$B$2:$B$661,'Step 4 bond aggregation'!$A$2:$A$661,$W$69,'Step 4 bond aggregation'!$F$2:$F$661,AD$72,'Step 4 bond aggregation'!$G$2:$G$661,MATCH($X83,lov_term_buckets,0),'Step 4 bond aggregation'!$E$2:$E$661,$Y$80)</f>
        <v>0</v>
      </c>
      <c r="AE83" s="192">
        <f>SUMIFS('Step 4 bond aggregation'!$B$2:$B$661,'Step 4 bond aggregation'!$A$2:$A$661,$W$69,'Step 4 bond aggregation'!$F$2:$F$661,AE$72,'Step 4 bond aggregation'!$G$2:$G$661,MATCH($X83,lov_term_buckets,0),'Step 4 bond aggregation'!$E$2:$E$661,$Y$80)</f>
        <v>0</v>
      </c>
      <c r="AF83" s="191"/>
      <c r="AG83" s="191"/>
      <c r="AH83" s="254" t="s">
        <v>935</v>
      </c>
      <c r="AI83" s="192">
        <f>SUMIFS('Step 4 bond aggregation'!$B$2:$B$661,'Step 4 bond aggregation'!$A$2:$A$661,$AG$69,'Step 4 bond aggregation'!$F$2:$F$661,AI$72,'Step 4 bond aggregation'!$G$2:$G$661,MATCH($AH83,lov_term_buckets,0),'Step 4 bond aggregation'!$E$2:$E$661,$AI$80)</f>
        <v>0</v>
      </c>
      <c r="AJ83" s="192">
        <f>SUMIFS('Step 4 bond aggregation'!$B$2:$B$661,'Step 4 bond aggregation'!$A$2:$A$661,$AG$69,'Step 4 bond aggregation'!$F$2:$F$661,AJ$72,'Step 4 bond aggregation'!$G$2:$G$661,MATCH($AH83,lov_term_buckets,0),'Step 4 bond aggregation'!$E$2:$E$661,$AI$80)</f>
        <v>0</v>
      </c>
      <c r="AK83" s="192">
        <f>SUMIFS('Step 4 bond aggregation'!$B$2:$B$661,'Step 4 bond aggregation'!$A$2:$A$661,$AG$69,'Step 4 bond aggregation'!$F$2:$F$661,AK$72,'Step 4 bond aggregation'!$G$2:$G$661,MATCH($AH83,lov_term_buckets,0),'Step 4 bond aggregation'!$E$2:$E$661,$AI$80)</f>
        <v>0</v>
      </c>
      <c r="AL83" s="192">
        <f>SUMIFS('Step 4 bond aggregation'!$B$2:$B$661,'Step 4 bond aggregation'!$A$2:$A$661,$AG$69,'Step 4 bond aggregation'!$F$2:$F$661,AL$72,'Step 4 bond aggregation'!$G$2:$G$661,MATCH($AH83,lov_term_buckets,0),'Step 4 bond aggregation'!$E$2:$E$661,$AI$80)</f>
        <v>0</v>
      </c>
      <c r="AM83" s="192">
        <f>SUMIFS('Step 4 bond aggregation'!$B$2:$B$661,'Step 4 bond aggregation'!$A$2:$A$661,$AG$69,'Step 4 bond aggregation'!$F$2:$F$661,AM$72,'Step 4 bond aggregation'!$G$2:$G$661,MATCH($AH83,lov_term_buckets,0),'Step 4 bond aggregation'!$E$2:$E$661,$AI$80)</f>
        <v>0</v>
      </c>
      <c r="AN83" s="192">
        <f>SUMIFS('Step 4 bond aggregation'!$B$2:$B$661,'Step 4 bond aggregation'!$A$2:$A$661,$AG$69,'Step 4 bond aggregation'!$F$2:$F$661,AN$72,'Step 4 bond aggregation'!$G$2:$G$661,MATCH($AH83,lov_term_buckets,0),'Step 4 bond aggregation'!$E$2:$E$661,$AI$80)</f>
        <v>0</v>
      </c>
      <c r="AO83" s="192">
        <f>SUMIFS('Step 4 bond aggregation'!$B$2:$B$661,'Step 4 bond aggregation'!$A$2:$A$661,$AG$69,'Step 4 bond aggregation'!$F$2:$F$661,AO$72,'Step 4 bond aggregation'!$G$2:$G$661,MATCH($AH83,lov_term_buckets,0),'Step 4 bond aggregation'!$E$2:$E$661,$AI$80)</f>
        <v>0</v>
      </c>
      <c r="AP83" s="191"/>
      <c r="AQ83" s="191"/>
      <c r="AR83" s="254" t="s">
        <v>935</v>
      </c>
      <c r="AS83" s="192">
        <f>SUMIFS('Step 4 bond aggregation'!$B$2:$B$661,'Step 4 bond aggregation'!$A$2:$A$661,$AQ$69,'Step 4 bond aggregation'!$F$2:$F$661,AS$72,'Step 4 bond aggregation'!$G$2:$G$661,MATCH($AR83,lov_term_buckets,0),'Step 4 bond aggregation'!$E$2:$E$661,$AS$80)</f>
        <v>0</v>
      </c>
      <c r="AT83" s="192">
        <f>SUMIFS('Step 4 bond aggregation'!$B$2:$B$661,'Step 4 bond aggregation'!$A$2:$A$661,$AQ$69,'Step 4 bond aggregation'!$F$2:$F$661,AT$72,'Step 4 bond aggregation'!$G$2:$G$661,MATCH($AR83,lov_term_buckets,0),'Step 4 bond aggregation'!$E$2:$E$661,$AS$80)</f>
        <v>0</v>
      </c>
      <c r="AU83" s="192">
        <f>SUMIFS('Step 4 bond aggregation'!$B$2:$B$661,'Step 4 bond aggregation'!$A$2:$A$661,$AQ$69,'Step 4 bond aggregation'!$F$2:$F$661,AU$72,'Step 4 bond aggregation'!$G$2:$G$661,MATCH($AR83,lov_term_buckets,0),'Step 4 bond aggregation'!$E$2:$E$661,$AS$80)</f>
        <v>0</v>
      </c>
      <c r="AV83" s="192">
        <f>SUMIFS('Step 4 bond aggregation'!$B$2:$B$661,'Step 4 bond aggregation'!$A$2:$A$661,$AQ$69,'Step 4 bond aggregation'!$F$2:$F$661,AV$72,'Step 4 bond aggregation'!$G$2:$G$661,MATCH($AR83,lov_term_buckets,0),'Step 4 bond aggregation'!$E$2:$E$661,$AS$80)</f>
        <v>0</v>
      </c>
      <c r="AW83" s="192">
        <f>SUMIFS('Step 4 bond aggregation'!$B$2:$B$661,'Step 4 bond aggregation'!$A$2:$A$661,$AQ$69,'Step 4 bond aggregation'!$F$2:$F$661,AW$72,'Step 4 bond aggregation'!$G$2:$G$661,MATCH($AR83,lov_term_buckets,0),'Step 4 bond aggregation'!$E$2:$E$661,$AS$80)</f>
        <v>0</v>
      </c>
      <c r="AX83" s="192">
        <f>SUMIFS('Step 4 bond aggregation'!$B$2:$B$661,'Step 4 bond aggregation'!$A$2:$A$661,$AQ$69,'Step 4 bond aggregation'!$F$2:$F$661,AX$72,'Step 4 bond aggregation'!$G$2:$G$661,MATCH($AR83,lov_term_buckets,0),'Step 4 bond aggregation'!$E$2:$E$661,$AS$80)</f>
        <v>0</v>
      </c>
      <c r="AY83" s="192">
        <f>SUMIFS('Step 4 bond aggregation'!$B$2:$B$661,'Step 4 bond aggregation'!$A$2:$A$661,$AQ$69,'Step 4 bond aggregation'!$F$2:$F$661,AY$72,'Step 4 bond aggregation'!$G$2:$G$661,MATCH($AR83,lov_term_buckets,0),'Step 4 bond aggregation'!$E$2:$E$661,$AS$80)</f>
        <v>0</v>
      </c>
      <c r="AZ83" s="191"/>
      <c r="BA83" s="191"/>
      <c r="BB83" s="254" t="s">
        <v>935</v>
      </c>
      <c r="BC83" s="192">
        <f>SUMIFS('Step 4 bond aggregation'!$B$2:$B$661,'Step 4 bond aggregation'!$A$2:$A$661,$BA$69,'Step 4 bond aggregation'!$F$2:$F$661,BC$72,'Step 4 bond aggregation'!$G$2:$G$661,MATCH($BB83,lov_term_buckets,0),'Step 4 bond aggregation'!$E$2:$E$661,$BC$80)</f>
        <v>0</v>
      </c>
      <c r="BD83" s="192">
        <f>SUMIFS('Step 4 bond aggregation'!$B$2:$B$661,'Step 4 bond aggregation'!$A$2:$A$661,$BA$69,'Step 4 bond aggregation'!$F$2:$F$661,BD$72,'Step 4 bond aggregation'!$G$2:$G$661,MATCH($BB83,lov_term_buckets,0),'Step 4 bond aggregation'!$E$2:$E$661,$BC$80)</f>
        <v>0</v>
      </c>
      <c r="BE83" s="192">
        <f>SUMIFS('Step 4 bond aggregation'!$B$2:$B$661,'Step 4 bond aggregation'!$A$2:$A$661,$BA$69,'Step 4 bond aggregation'!$F$2:$F$661,BE$72,'Step 4 bond aggregation'!$G$2:$G$661,MATCH($BB83,lov_term_buckets,0),'Step 4 bond aggregation'!$E$2:$E$661,$BC$80)</f>
        <v>0</v>
      </c>
      <c r="BF83" s="192">
        <f>SUMIFS('Step 4 bond aggregation'!$B$2:$B$661,'Step 4 bond aggregation'!$A$2:$A$661,$BA$69,'Step 4 bond aggregation'!$F$2:$F$661,BF$72,'Step 4 bond aggregation'!$G$2:$G$661,MATCH($BB83,lov_term_buckets,0),'Step 4 bond aggregation'!$E$2:$E$661,$BC$80)</f>
        <v>0</v>
      </c>
      <c r="BG83" s="192">
        <f>SUMIFS('Step 4 bond aggregation'!$B$2:$B$661,'Step 4 bond aggregation'!$A$2:$A$661,$BA$69,'Step 4 bond aggregation'!$F$2:$F$661,BG$72,'Step 4 bond aggregation'!$G$2:$G$661,MATCH($BB83,lov_term_buckets,0),'Step 4 bond aggregation'!$E$2:$E$661,$BC$80)</f>
        <v>0</v>
      </c>
      <c r="BH83" s="192">
        <f>SUMIFS('Step 4 bond aggregation'!$B$2:$B$661,'Step 4 bond aggregation'!$A$2:$A$661,$BA$69,'Step 4 bond aggregation'!$F$2:$F$661,BH$72,'Step 4 bond aggregation'!$G$2:$G$661,MATCH($BB83,lov_term_buckets,0),'Step 4 bond aggregation'!$E$2:$E$661,$BC$80)</f>
        <v>0</v>
      </c>
      <c r="BI83" s="192">
        <f>SUMIFS('Step 4 bond aggregation'!$B$2:$B$661,'Step 4 bond aggregation'!$A$2:$A$661,$BA$69,'Step 4 bond aggregation'!$F$2:$F$661,BI$72,'Step 4 bond aggregation'!$G$2:$G$661,MATCH($BB83,lov_term_buckets,0),'Step 4 bond aggregation'!$E$2:$E$661,$BC$80)</f>
        <v>0</v>
      </c>
      <c r="BK83" s="191"/>
      <c r="BL83" s="254" t="s">
        <v>935</v>
      </c>
      <c r="BM83" s="192">
        <f>SUMIFS('Step 4 bond aggregation'!$B$2:$B$661,'Step 4 bond aggregation'!$A$2:$A$661,$BK$69,'Step 4 bond aggregation'!$F$2:$F$661,BM$72,'Step 4 bond aggregation'!$G$2:$G$661,MATCH($BB83,lov_term_buckets,0),'Step 4 bond aggregation'!$E$2:$E$661,$BC$80)</f>
        <v>0</v>
      </c>
      <c r="BN83" s="192">
        <f>SUMIFS('Step 4 bond aggregation'!$B$2:$B$661,'Step 4 bond aggregation'!$A$2:$A$661,$BK$69,'Step 4 bond aggregation'!$F$2:$F$661,BN$72,'Step 4 bond aggregation'!$G$2:$G$661,MATCH($BB83,lov_term_buckets,0),'Step 4 bond aggregation'!$E$2:$E$661,$BC$80)</f>
        <v>0</v>
      </c>
      <c r="BO83" s="192">
        <f>SUMIFS('Step 4 bond aggregation'!$B$2:$B$661,'Step 4 bond aggregation'!$A$2:$A$661,$BK$69,'Step 4 bond aggregation'!$F$2:$F$661,BO$72,'Step 4 bond aggregation'!$G$2:$G$661,MATCH($BB83,lov_term_buckets,0),'Step 4 bond aggregation'!$E$2:$E$661,$BC$80)</f>
        <v>0</v>
      </c>
      <c r="BP83" s="192">
        <f>SUMIFS('Step 4 bond aggregation'!$B$2:$B$661,'Step 4 bond aggregation'!$A$2:$A$661,$BK$69,'Step 4 bond aggregation'!$F$2:$F$661,BP$72,'Step 4 bond aggregation'!$G$2:$G$661,MATCH($BB83,lov_term_buckets,0),'Step 4 bond aggregation'!$E$2:$E$661,$BC$80)</f>
        <v>0</v>
      </c>
      <c r="BQ83" s="192">
        <f>SUMIFS('Step 4 bond aggregation'!$B$2:$B$661,'Step 4 bond aggregation'!$A$2:$A$661,$BK$69,'Step 4 bond aggregation'!$F$2:$F$661,BQ$72,'Step 4 bond aggregation'!$G$2:$G$661,MATCH($BB83,lov_term_buckets,0),'Step 4 bond aggregation'!$E$2:$E$661,$BC$80)</f>
        <v>0</v>
      </c>
      <c r="BR83" s="192">
        <f>SUMIFS('Step 4 bond aggregation'!$B$2:$B$661,'Step 4 bond aggregation'!$A$2:$A$661,$BK$69,'Step 4 bond aggregation'!$F$2:$F$661,BR$72,'Step 4 bond aggregation'!$G$2:$G$661,MATCH($BB83,lov_term_buckets,0),'Step 4 bond aggregation'!$E$2:$E$661,$BC$80)</f>
        <v>0</v>
      </c>
      <c r="BS83" s="192">
        <f>SUMIFS('Step 4 bond aggregation'!$B$2:$B$661,'Step 4 bond aggregation'!$A$2:$A$661,$BK$69,'Step 4 bond aggregation'!$F$2:$F$661,BS$72,'Step 4 bond aggregation'!$G$2:$G$661,MATCH($BB83,lov_term_buckets,0),'Step 4 bond aggregation'!$E$2:$E$661,$BC$80)</f>
        <v>0</v>
      </c>
      <c r="BU83" s="191"/>
      <c r="BV83" s="254" t="s">
        <v>935</v>
      </c>
      <c r="BW83" s="192">
        <f>SUMIFS('Step 4 bond aggregation'!$B$2:$B$661,'Step 4 bond aggregation'!$A$2:$A$661,$BU$69,'Step 4 bond aggregation'!$F$2:$F$661,BW$72,'Step 4 bond aggregation'!$G$2:$G$661,MATCH($BB83,lov_term_buckets,0),'Step 4 bond aggregation'!$E$2:$E$661,$BC$80)</f>
        <v>0</v>
      </c>
      <c r="BX83" s="192">
        <f>SUMIFS('Step 4 bond aggregation'!$B$2:$B$661,'Step 4 bond aggregation'!$A$2:$A$661,$BU$69,'Step 4 bond aggregation'!$F$2:$F$661,BX$72,'Step 4 bond aggregation'!$G$2:$G$661,MATCH($BB83,lov_term_buckets,0),'Step 4 bond aggregation'!$E$2:$E$661,$BC$80)</f>
        <v>0</v>
      </c>
      <c r="BY83" s="192">
        <f>SUMIFS('Step 4 bond aggregation'!$B$2:$B$661,'Step 4 bond aggregation'!$A$2:$A$661,$BU$69,'Step 4 bond aggregation'!$F$2:$F$661,BY$72,'Step 4 bond aggregation'!$G$2:$G$661,MATCH($BB83,lov_term_buckets,0),'Step 4 bond aggregation'!$E$2:$E$661,$BC$80)</f>
        <v>0</v>
      </c>
      <c r="BZ83" s="192">
        <f>SUMIFS('Step 4 bond aggregation'!$B$2:$B$661,'Step 4 bond aggregation'!$A$2:$A$661,$BU$69,'Step 4 bond aggregation'!$F$2:$F$661,BZ$72,'Step 4 bond aggregation'!$G$2:$G$661,MATCH($BB83,lov_term_buckets,0),'Step 4 bond aggregation'!$E$2:$E$661,$BC$80)</f>
        <v>0</v>
      </c>
      <c r="CA83" s="192">
        <f>SUMIFS('Step 4 bond aggregation'!$B$2:$B$661,'Step 4 bond aggregation'!$A$2:$A$661,$BU$69,'Step 4 bond aggregation'!$F$2:$F$661,CA$72,'Step 4 bond aggregation'!$G$2:$G$661,MATCH($BB83,lov_term_buckets,0),'Step 4 bond aggregation'!$E$2:$E$661,$BC$80)</f>
        <v>0</v>
      </c>
      <c r="CB83" s="192">
        <f>SUMIFS('Step 4 bond aggregation'!$B$2:$B$661,'Step 4 bond aggregation'!$A$2:$A$661,$BU$69,'Step 4 bond aggregation'!$F$2:$F$661,CB$72,'Step 4 bond aggregation'!$G$2:$G$661,MATCH($BB83,lov_term_buckets,0),'Step 4 bond aggregation'!$E$2:$E$661,$BC$80)</f>
        <v>0</v>
      </c>
      <c r="CC83" s="192">
        <f>SUMIFS('Step 4 bond aggregation'!$B$2:$B$661,'Step 4 bond aggregation'!$A$2:$A$661,$BU$69,'Step 4 bond aggregation'!$F$2:$F$661,CC$72,'Step 4 bond aggregation'!$G$2:$G$661,MATCH($BB83,lov_term_buckets,0),'Step 4 bond aggregation'!$E$2:$E$661,$BC$80)</f>
        <v>0</v>
      </c>
    </row>
    <row r="84" spans="2:81" ht="14.4" hidden="1" customHeight="1" outlineLevel="1" x14ac:dyDescent="0.3">
      <c r="C84" s="52" t="s">
        <v>936</v>
      </c>
      <c r="D84" s="192">
        <f>Input!F93</f>
        <v>0</v>
      </c>
      <c r="E84" s="192">
        <f>Input!G93</f>
        <v>0</v>
      </c>
      <c r="F84" s="192">
        <f>Input!H93</f>
        <v>0</v>
      </c>
      <c r="G84" s="192">
        <f>Input!I93</f>
        <v>0</v>
      </c>
      <c r="H84" s="192">
        <f>Input!J93</f>
        <v>0</v>
      </c>
      <c r="I84" s="192">
        <f>Input!K93</f>
        <v>0</v>
      </c>
      <c r="J84" s="192">
        <f>Input!L93</f>
        <v>0</v>
      </c>
      <c r="K84" s="192">
        <f>Input!M93</f>
        <v>0</v>
      </c>
      <c r="L84" s="191"/>
      <c r="M84" s="191"/>
      <c r="N84" s="254" t="s">
        <v>936</v>
      </c>
      <c r="O84" s="192">
        <f>Input!F133+Input!F166</f>
        <v>0</v>
      </c>
      <c r="P84" s="192">
        <f>Input!G133+Input!G166</f>
        <v>0</v>
      </c>
      <c r="Q84" s="192">
        <f>Input!H133+Input!H166</f>
        <v>0</v>
      </c>
      <c r="R84" s="192">
        <f>Input!I133+Input!I166</f>
        <v>0</v>
      </c>
      <c r="S84" s="192">
        <f>Input!J133+Input!J166</f>
        <v>0</v>
      </c>
      <c r="T84" s="192">
        <f>Input!K133+Input!K166</f>
        <v>0</v>
      </c>
      <c r="U84" s="192">
        <f>Input!L133+Input!L166</f>
        <v>0</v>
      </c>
      <c r="V84" s="191"/>
      <c r="W84" s="191"/>
      <c r="X84" s="254" t="s">
        <v>936</v>
      </c>
      <c r="Y84" s="192">
        <f>SUMIFS('Step 4 bond aggregation'!$B$2:$B$661,'Step 4 bond aggregation'!$A$2:$A$661,$W$69,'Step 4 bond aggregation'!$F$2:$F$661,Y$72,'Step 4 bond aggregation'!$G$2:$G$661,MATCH($X84,lov_term_buckets,0),'Step 4 bond aggregation'!$E$2:$E$661,$Y$80)</f>
        <v>0</v>
      </c>
      <c r="Z84" s="192">
        <f>SUMIFS('Step 4 bond aggregation'!$B$2:$B$661,'Step 4 bond aggregation'!$A$2:$A$661,$W$69,'Step 4 bond aggregation'!$F$2:$F$661,Z$72,'Step 4 bond aggregation'!$G$2:$G$661,MATCH($X84,lov_term_buckets,0),'Step 4 bond aggregation'!$E$2:$E$661,$Y$80)</f>
        <v>0</v>
      </c>
      <c r="AA84" s="192">
        <f>SUMIFS('Step 4 bond aggregation'!$B$2:$B$661,'Step 4 bond aggregation'!$A$2:$A$661,$W$69,'Step 4 bond aggregation'!$F$2:$F$661,AA$72,'Step 4 bond aggregation'!$G$2:$G$661,MATCH($X84,lov_term_buckets,0),'Step 4 bond aggregation'!$E$2:$E$661,$Y$80)</f>
        <v>0</v>
      </c>
      <c r="AB84" s="192">
        <f>SUMIFS('Step 4 bond aggregation'!$B$2:$B$661,'Step 4 bond aggregation'!$A$2:$A$661,$W$69,'Step 4 bond aggregation'!$F$2:$F$661,AB$72,'Step 4 bond aggregation'!$G$2:$G$661,MATCH($X84,lov_term_buckets,0),'Step 4 bond aggregation'!$E$2:$E$661,$Y$80)</f>
        <v>0</v>
      </c>
      <c r="AC84" s="192">
        <f>SUMIFS('Step 4 bond aggregation'!$B$2:$B$661,'Step 4 bond aggregation'!$A$2:$A$661,$W$69,'Step 4 bond aggregation'!$F$2:$F$661,AC$72,'Step 4 bond aggregation'!$G$2:$G$661,MATCH($X84,lov_term_buckets,0),'Step 4 bond aggregation'!$E$2:$E$661,$Y$80)</f>
        <v>0</v>
      </c>
      <c r="AD84" s="192">
        <f>SUMIFS('Step 4 bond aggregation'!$B$2:$B$661,'Step 4 bond aggregation'!$A$2:$A$661,$W$69,'Step 4 bond aggregation'!$F$2:$F$661,AD$72,'Step 4 bond aggregation'!$G$2:$G$661,MATCH($X84,lov_term_buckets,0),'Step 4 bond aggregation'!$E$2:$E$661,$Y$80)</f>
        <v>0</v>
      </c>
      <c r="AE84" s="192">
        <f>SUMIFS('Step 4 bond aggregation'!$B$2:$B$661,'Step 4 bond aggregation'!$A$2:$A$661,$W$69,'Step 4 bond aggregation'!$F$2:$F$661,AE$72,'Step 4 bond aggregation'!$G$2:$G$661,MATCH($X84,lov_term_buckets,0),'Step 4 bond aggregation'!$E$2:$E$661,$Y$80)</f>
        <v>0</v>
      </c>
      <c r="AF84" s="191"/>
      <c r="AG84" s="191"/>
      <c r="AH84" s="254" t="s">
        <v>936</v>
      </c>
      <c r="AI84" s="192">
        <f>SUMIFS('Step 4 bond aggregation'!$B$2:$B$661,'Step 4 bond aggregation'!$A$2:$A$661,$AG$69,'Step 4 bond aggregation'!$F$2:$F$661,AI$72,'Step 4 bond aggregation'!$G$2:$G$661,MATCH($AH84,lov_term_buckets,0),'Step 4 bond aggregation'!$E$2:$E$661,$AI$80)</f>
        <v>0</v>
      </c>
      <c r="AJ84" s="192">
        <f>SUMIFS('Step 4 bond aggregation'!$B$2:$B$661,'Step 4 bond aggregation'!$A$2:$A$661,$AG$69,'Step 4 bond aggregation'!$F$2:$F$661,AJ$72,'Step 4 bond aggregation'!$G$2:$G$661,MATCH($AH84,lov_term_buckets,0),'Step 4 bond aggregation'!$E$2:$E$661,$AI$80)</f>
        <v>0</v>
      </c>
      <c r="AK84" s="192">
        <f>SUMIFS('Step 4 bond aggregation'!$B$2:$B$661,'Step 4 bond aggregation'!$A$2:$A$661,$AG$69,'Step 4 bond aggregation'!$F$2:$F$661,AK$72,'Step 4 bond aggregation'!$G$2:$G$661,MATCH($AH84,lov_term_buckets,0),'Step 4 bond aggregation'!$E$2:$E$661,$AI$80)</f>
        <v>0</v>
      </c>
      <c r="AL84" s="192">
        <f>SUMIFS('Step 4 bond aggregation'!$B$2:$B$661,'Step 4 bond aggregation'!$A$2:$A$661,$AG$69,'Step 4 bond aggregation'!$F$2:$F$661,AL$72,'Step 4 bond aggregation'!$G$2:$G$661,MATCH($AH84,lov_term_buckets,0),'Step 4 bond aggregation'!$E$2:$E$661,$AI$80)</f>
        <v>0</v>
      </c>
      <c r="AM84" s="192">
        <f>SUMIFS('Step 4 bond aggregation'!$B$2:$B$661,'Step 4 bond aggregation'!$A$2:$A$661,$AG$69,'Step 4 bond aggregation'!$F$2:$F$661,AM$72,'Step 4 bond aggregation'!$G$2:$G$661,MATCH($AH84,lov_term_buckets,0),'Step 4 bond aggregation'!$E$2:$E$661,$AI$80)</f>
        <v>0</v>
      </c>
      <c r="AN84" s="192">
        <f>SUMIFS('Step 4 bond aggregation'!$B$2:$B$661,'Step 4 bond aggregation'!$A$2:$A$661,$AG$69,'Step 4 bond aggregation'!$F$2:$F$661,AN$72,'Step 4 bond aggregation'!$G$2:$G$661,MATCH($AH84,lov_term_buckets,0),'Step 4 bond aggregation'!$E$2:$E$661,$AI$80)</f>
        <v>0</v>
      </c>
      <c r="AO84" s="192">
        <f>SUMIFS('Step 4 bond aggregation'!$B$2:$B$661,'Step 4 bond aggregation'!$A$2:$A$661,$AG$69,'Step 4 bond aggregation'!$F$2:$F$661,AO$72,'Step 4 bond aggregation'!$G$2:$G$661,MATCH($AH84,lov_term_buckets,0),'Step 4 bond aggregation'!$E$2:$E$661,$AI$80)</f>
        <v>0</v>
      </c>
      <c r="AP84" s="191"/>
      <c r="AQ84" s="191"/>
      <c r="AR84" s="254" t="s">
        <v>936</v>
      </c>
      <c r="AS84" s="192">
        <f>SUMIFS('Step 4 bond aggregation'!$B$2:$B$661,'Step 4 bond aggregation'!$A$2:$A$661,$AQ$69,'Step 4 bond aggregation'!$F$2:$F$661,AS$72,'Step 4 bond aggregation'!$G$2:$G$661,MATCH($AR84,lov_term_buckets,0),'Step 4 bond aggregation'!$E$2:$E$661,$AS$80)</f>
        <v>0</v>
      </c>
      <c r="AT84" s="192">
        <f>SUMIFS('Step 4 bond aggregation'!$B$2:$B$661,'Step 4 bond aggregation'!$A$2:$A$661,$AQ$69,'Step 4 bond aggregation'!$F$2:$F$661,AT$72,'Step 4 bond aggregation'!$G$2:$G$661,MATCH($AR84,lov_term_buckets,0),'Step 4 bond aggregation'!$E$2:$E$661,$AS$80)</f>
        <v>0</v>
      </c>
      <c r="AU84" s="192">
        <f>SUMIFS('Step 4 bond aggregation'!$B$2:$B$661,'Step 4 bond aggregation'!$A$2:$A$661,$AQ$69,'Step 4 bond aggregation'!$F$2:$F$661,AU$72,'Step 4 bond aggregation'!$G$2:$G$661,MATCH($AR84,lov_term_buckets,0),'Step 4 bond aggregation'!$E$2:$E$661,$AS$80)</f>
        <v>0</v>
      </c>
      <c r="AV84" s="192">
        <f>SUMIFS('Step 4 bond aggregation'!$B$2:$B$661,'Step 4 bond aggregation'!$A$2:$A$661,$AQ$69,'Step 4 bond aggregation'!$F$2:$F$661,AV$72,'Step 4 bond aggregation'!$G$2:$G$661,MATCH($AR84,lov_term_buckets,0),'Step 4 bond aggregation'!$E$2:$E$661,$AS$80)</f>
        <v>0</v>
      </c>
      <c r="AW84" s="192">
        <f>SUMIFS('Step 4 bond aggregation'!$B$2:$B$661,'Step 4 bond aggregation'!$A$2:$A$661,$AQ$69,'Step 4 bond aggregation'!$F$2:$F$661,AW$72,'Step 4 bond aggregation'!$G$2:$G$661,MATCH($AR84,lov_term_buckets,0),'Step 4 bond aggregation'!$E$2:$E$661,$AS$80)</f>
        <v>0</v>
      </c>
      <c r="AX84" s="192">
        <f>SUMIFS('Step 4 bond aggregation'!$B$2:$B$661,'Step 4 bond aggregation'!$A$2:$A$661,$AQ$69,'Step 4 bond aggregation'!$F$2:$F$661,AX$72,'Step 4 bond aggregation'!$G$2:$G$661,MATCH($AR84,lov_term_buckets,0),'Step 4 bond aggregation'!$E$2:$E$661,$AS$80)</f>
        <v>0</v>
      </c>
      <c r="AY84" s="192">
        <f>SUMIFS('Step 4 bond aggregation'!$B$2:$B$661,'Step 4 bond aggregation'!$A$2:$A$661,$AQ$69,'Step 4 bond aggregation'!$F$2:$F$661,AY$72,'Step 4 bond aggregation'!$G$2:$G$661,MATCH($AR84,lov_term_buckets,0),'Step 4 bond aggregation'!$E$2:$E$661,$AS$80)</f>
        <v>0</v>
      </c>
      <c r="AZ84" s="191"/>
      <c r="BA84" s="191"/>
      <c r="BB84" s="254" t="s">
        <v>936</v>
      </c>
      <c r="BC84" s="192">
        <f>SUMIFS('Step 4 bond aggregation'!$B$2:$B$661,'Step 4 bond aggregation'!$A$2:$A$661,$BA$69,'Step 4 bond aggregation'!$F$2:$F$661,BC$72,'Step 4 bond aggregation'!$G$2:$G$661,MATCH($BB84,lov_term_buckets,0),'Step 4 bond aggregation'!$E$2:$E$661,$BC$80)</f>
        <v>0</v>
      </c>
      <c r="BD84" s="192">
        <f>SUMIFS('Step 4 bond aggregation'!$B$2:$B$661,'Step 4 bond aggregation'!$A$2:$A$661,$BA$69,'Step 4 bond aggregation'!$F$2:$F$661,BD$72,'Step 4 bond aggregation'!$G$2:$G$661,MATCH($BB84,lov_term_buckets,0),'Step 4 bond aggregation'!$E$2:$E$661,$BC$80)</f>
        <v>0</v>
      </c>
      <c r="BE84" s="192">
        <f>SUMIFS('Step 4 bond aggregation'!$B$2:$B$661,'Step 4 bond aggregation'!$A$2:$A$661,$BA$69,'Step 4 bond aggregation'!$F$2:$F$661,BE$72,'Step 4 bond aggregation'!$G$2:$G$661,MATCH($BB84,lov_term_buckets,0),'Step 4 bond aggregation'!$E$2:$E$661,$BC$80)</f>
        <v>0</v>
      </c>
      <c r="BF84" s="192">
        <f>SUMIFS('Step 4 bond aggregation'!$B$2:$B$661,'Step 4 bond aggregation'!$A$2:$A$661,$BA$69,'Step 4 bond aggregation'!$F$2:$F$661,BF$72,'Step 4 bond aggregation'!$G$2:$G$661,MATCH($BB84,lov_term_buckets,0),'Step 4 bond aggregation'!$E$2:$E$661,$BC$80)</f>
        <v>0</v>
      </c>
      <c r="BG84" s="192">
        <f>SUMIFS('Step 4 bond aggregation'!$B$2:$B$661,'Step 4 bond aggregation'!$A$2:$A$661,$BA$69,'Step 4 bond aggregation'!$F$2:$F$661,BG$72,'Step 4 bond aggregation'!$G$2:$G$661,MATCH($BB84,lov_term_buckets,0),'Step 4 bond aggregation'!$E$2:$E$661,$BC$80)</f>
        <v>0</v>
      </c>
      <c r="BH84" s="192">
        <f>SUMIFS('Step 4 bond aggregation'!$B$2:$B$661,'Step 4 bond aggregation'!$A$2:$A$661,$BA$69,'Step 4 bond aggregation'!$F$2:$F$661,BH$72,'Step 4 bond aggregation'!$G$2:$G$661,MATCH($BB84,lov_term_buckets,0),'Step 4 bond aggregation'!$E$2:$E$661,$BC$80)</f>
        <v>0</v>
      </c>
      <c r="BI84" s="192">
        <f>SUMIFS('Step 4 bond aggregation'!$B$2:$B$661,'Step 4 bond aggregation'!$A$2:$A$661,$BA$69,'Step 4 bond aggregation'!$F$2:$F$661,BI$72,'Step 4 bond aggregation'!$G$2:$G$661,MATCH($BB84,lov_term_buckets,0),'Step 4 bond aggregation'!$E$2:$E$661,$BC$80)</f>
        <v>0</v>
      </c>
      <c r="BK84" s="191"/>
      <c r="BL84" s="254" t="s">
        <v>936</v>
      </c>
      <c r="BM84" s="192">
        <f>SUMIFS('Step 4 bond aggregation'!$B$2:$B$661,'Step 4 bond aggregation'!$A$2:$A$661,$BK$69,'Step 4 bond aggregation'!$F$2:$F$661,BM$72,'Step 4 bond aggregation'!$G$2:$G$661,MATCH($BB84,lov_term_buckets,0),'Step 4 bond aggregation'!$E$2:$E$661,$BC$80)</f>
        <v>0</v>
      </c>
      <c r="BN84" s="192">
        <f>SUMIFS('Step 4 bond aggregation'!$B$2:$B$661,'Step 4 bond aggregation'!$A$2:$A$661,$BK$69,'Step 4 bond aggregation'!$F$2:$F$661,BN$72,'Step 4 bond aggregation'!$G$2:$G$661,MATCH($BB84,lov_term_buckets,0),'Step 4 bond aggregation'!$E$2:$E$661,$BC$80)</f>
        <v>0</v>
      </c>
      <c r="BO84" s="192">
        <f>SUMIFS('Step 4 bond aggregation'!$B$2:$B$661,'Step 4 bond aggregation'!$A$2:$A$661,$BK$69,'Step 4 bond aggregation'!$F$2:$F$661,BO$72,'Step 4 bond aggregation'!$G$2:$G$661,MATCH($BB84,lov_term_buckets,0),'Step 4 bond aggregation'!$E$2:$E$661,$BC$80)</f>
        <v>0</v>
      </c>
      <c r="BP84" s="192">
        <f>SUMIFS('Step 4 bond aggregation'!$B$2:$B$661,'Step 4 bond aggregation'!$A$2:$A$661,$BK$69,'Step 4 bond aggregation'!$F$2:$F$661,BP$72,'Step 4 bond aggregation'!$G$2:$G$661,MATCH($BB84,lov_term_buckets,0),'Step 4 bond aggregation'!$E$2:$E$661,$BC$80)</f>
        <v>0</v>
      </c>
      <c r="BQ84" s="192">
        <f>SUMIFS('Step 4 bond aggregation'!$B$2:$B$661,'Step 4 bond aggregation'!$A$2:$A$661,$BK$69,'Step 4 bond aggregation'!$F$2:$F$661,BQ$72,'Step 4 bond aggregation'!$G$2:$G$661,MATCH($BB84,lov_term_buckets,0),'Step 4 bond aggregation'!$E$2:$E$661,$BC$80)</f>
        <v>0</v>
      </c>
      <c r="BR84" s="192">
        <f>SUMIFS('Step 4 bond aggregation'!$B$2:$B$661,'Step 4 bond aggregation'!$A$2:$A$661,$BK$69,'Step 4 bond aggregation'!$F$2:$F$661,BR$72,'Step 4 bond aggregation'!$G$2:$G$661,MATCH($BB84,lov_term_buckets,0),'Step 4 bond aggregation'!$E$2:$E$661,$BC$80)</f>
        <v>0</v>
      </c>
      <c r="BS84" s="192">
        <f>SUMIFS('Step 4 bond aggregation'!$B$2:$B$661,'Step 4 bond aggregation'!$A$2:$A$661,$BK$69,'Step 4 bond aggregation'!$F$2:$F$661,BS$72,'Step 4 bond aggregation'!$G$2:$G$661,MATCH($BB84,lov_term_buckets,0),'Step 4 bond aggregation'!$E$2:$E$661,$BC$80)</f>
        <v>0</v>
      </c>
      <c r="BU84" s="191"/>
      <c r="BV84" s="254" t="s">
        <v>936</v>
      </c>
      <c r="BW84" s="192">
        <f>SUMIFS('Step 4 bond aggregation'!$B$2:$B$661,'Step 4 bond aggregation'!$A$2:$A$661,$BU$69,'Step 4 bond aggregation'!$F$2:$F$661,BW$72,'Step 4 bond aggregation'!$G$2:$G$661,MATCH($BB84,lov_term_buckets,0),'Step 4 bond aggregation'!$E$2:$E$661,$BC$80)</f>
        <v>0</v>
      </c>
      <c r="BX84" s="192">
        <f>SUMIFS('Step 4 bond aggregation'!$B$2:$B$661,'Step 4 bond aggregation'!$A$2:$A$661,$BU$69,'Step 4 bond aggregation'!$F$2:$F$661,BX$72,'Step 4 bond aggregation'!$G$2:$G$661,MATCH($BB84,lov_term_buckets,0),'Step 4 bond aggregation'!$E$2:$E$661,$BC$80)</f>
        <v>0</v>
      </c>
      <c r="BY84" s="192">
        <f>SUMIFS('Step 4 bond aggregation'!$B$2:$B$661,'Step 4 bond aggregation'!$A$2:$A$661,$BU$69,'Step 4 bond aggregation'!$F$2:$F$661,BY$72,'Step 4 bond aggregation'!$G$2:$G$661,MATCH($BB84,lov_term_buckets,0),'Step 4 bond aggregation'!$E$2:$E$661,$BC$80)</f>
        <v>0</v>
      </c>
      <c r="BZ84" s="192">
        <f>SUMIFS('Step 4 bond aggregation'!$B$2:$B$661,'Step 4 bond aggregation'!$A$2:$A$661,$BU$69,'Step 4 bond aggregation'!$F$2:$F$661,BZ$72,'Step 4 bond aggregation'!$G$2:$G$661,MATCH($BB84,lov_term_buckets,0),'Step 4 bond aggregation'!$E$2:$E$661,$BC$80)</f>
        <v>0</v>
      </c>
      <c r="CA84" s="192">
        <f>SUMIFS('Step 4 bond aggregation'!$B$2:$B$661,'Step 4 bond aggregation'!$A$2:$A$661,$BU$69,'Step 4 bond aggregation'!$F$2:$F$661,CA$72,'Step 4 bond aggregation'!$G$2:$G$661,MATCH($BB84,lov_term_buckets,0),'Step 4 bond aggregation'!$E$2:$E$661,$BC$80)</f>
        <v>0</v>
      </c>
      <c r="CB84" s="192">
        <f>SUMIFS('Step 4 bond aggregation'!$B$2:$B$661,'Step 4 bond aggregation'!$A$2:$A$661,$BU$69,'Step 4 bond aggregation'!$F$2:$F$661,CB$72,'Step 4 bond aggregation'!$G$2:$G$661,MATCH($BB84,lov_term_buckets,0),'Step 4 bond aggregation'!$E$2:$E$661,$BC$80)</f>
        <v>0</v>
      </c>
      <c r="CC84" s="192">
        <f>SUMIFS('Step 4 bond aggregation'!$B$2:$B$661,'Step 4 bond aggregation'!$A$2:$A$661,$BU$69,'Step 4 bond aggregation'!$F$2:$F$661,CC$72,'Step 4 bond aggregation'!$G$2:$G$661,MATCH($BB84,lov_term_buckets,0),'Step 4 bond aggregation'!$E$2:$E$661,$BC$80)</f>
        <v>0</v>
      </c>
    </row>
    <row r="85" spans="2:81" ht="14.4" hidden="1" customHeight="1" outlineLevel="1" x14ac:dyDescent="0.3">
      <c r="C85" s="52" t="s">
        <v>937</v>
      </c>
      <c r="D85" s="192">
        <f>Input!F94</f>
        <v>0</v>
      </c>
      <c r="E85" s="192">
        <f>Input!G94</f>
        <v>0</v>
      </c>
      <c r="F85" s="192">
        <f>Input!H94</f>
        <v>0</v>
      </c>
      <c r="G85" s="192">
        <f>Input!I94</f>
        <v>0</v>
      </c>
      <c r="H85" s="192">
        <f>Input!J94</f>
        <v>0</v>
      </c>
      <c r="I85" s="192">
        <f>Input!K94</f>
        <v>0</v>
      </c>
      <c r="J85" s="192">
        <f>Input!L94</f>
        <v>0</v>
      </c>
      <c r="K85" s="192">
        <f>Input!M94</f>
        <v>0</v>
      </c>
      <c r="L85" s="191"/>
      <c r="M85" s="191"/>
      <c r="N85" s="254" t="s">
        <v>937</v>
      </c>
      <c r="O85" s="192">
        <f>Input!F134+Input!F167</f>
        <v>0</v>
      </c>
      <c r="P85" s="192">
        <f>Input!G134+Input!G167</f>
        <v>0</v>
      </c>
      <c r="Q85" s="192">
        <f>Input!H134+Input!H167</f>
        <v>0</v>
      </c>
      <c r="R85" s="192">
        <f>Input!I134+Input!I167</f>
        <v>0</v>
      </c>
      <c r="S85" s="192">
        <f>Input!J134+Input!J167</f>
        <v>0</v>
      </c>
      <c r="T85" s="192">
        <f>Input!K134+Input!K167</f>
        <v>0</v>
      </c>
      <c r="U85" s="192">
        <f>Input!L134+Input!L167</f>
        <v>0</v>
      </c>
      <c r="V85" s="191"/>
      <c r="W85" s="191"/>
      <c r="X85" s="254" t="s">
        <v>937</v>
      </c>
      <c r="Y85" s="192">
        <f>SUMIFS('Step 4 bond aggregation'!$B$2:$B$661,'Step 4 bond aggregation'!$A$2:$A$661,$W$69,'Step 4 bond aggregation'!$F$2:$F$661,Y$72,'Step 4 bond aggregation'!$G$2:$G$661,MATCH($X85,lov_term_buckets,0),'Step 4 bond aggregation'!$E$2:$E$661,$Y$80)</f>
        <v>0</v>
      </c>
      <c r="Z85" s="192">
        <f>SUMIFS('Step 4 bond aggregation'!$B$2:$B$661,'Step 4 bond aggregation'!$A$2:$A$661,$W$69,'Step 4 bond aggregation'!$F$2:$F$661,Z$72,'Step 4 bond aggregation'!$G$2:$G$661,MATCH($X85,lov_term_buckets,0),'Step 4 bond aggregation'!$E$2:$E$661,$Y$80)</f>
        <v>0</v>
      </c>
      <c r="AA85" s="192">
        <f>SUMIFS('Step 4 bond aggregation'!$B$2:$B$661,'Step 4 bond aggregation'!$A$2:$A$661,$W$69,'Step 4 bond aggregation'!$F$2:$F$661,AA$72,'Step 4 bond aggregation'!$G$2:$G$661,MATCH($X85,lov_term_buckets,0),'Step 4 bond aggregation'!$E$2:$E$661,$Y$80)</f>
        <v>0</v>
      </c>
      <c r="AB85" s="192">
        <f>SUMIFS('Step 4 bond aggregation'!$B$2:$B$661,'Step 4 bond aggregation'!$A$2:$A$661,$W$69,'Step 4 bond aggregation'!$F$2:$F$661,AB$72,'Step 4 bond aggregation'!$G$2:$G$661,MATCH($X85,lov_term_buckets,0),'Step 4 bond aggregation'!$E$2:$E$661,$Y$80)</f>
        <v>0</v>
      </c>
      <c r="AC85" s="192">
        <f>SUMIFS('Step 4 bond aggregation'!$B$2:$B$661,'Step 4 bond aggregation'!$A$2:$A$661,$W$69,'Step 4 bond aggregation'!$F$2:$F$661,AC$72,'Step 4 bond aggregation'!$G$2:$G$661,MATCH($X85,lov_term_buckets,0),'Step 4 bond aggregation'!$E$2:$E$661,$Y$80)</f>
        <v>0</v>
      </c>
      <c r="AD85" s="192">
        <f>SUMIFS('Step 4 bond aggregation'!$B$2:$B$661,'Step 4 bond aggregation'!$A$2:$A$661,$W$69,'Step 4 bond aggregation'!$F$2:$F$661,AD$72,'Step 4 bond aggregation'!$G$2:$G$661,MATCH($X85,lov_term_buckets,0),'Step 4 bond aggregation'!$E$2:$E$661,$Y$80)</f>
        <v>0</v>
      </c>
      <c r="AE85" s="192">
        <f>SUMIFS('Step 4 bond aggregation'!$B$2:$B$661,'Step 4 bond aggregation'!$A$2:$A$661,$W$69,'Step 4 bond aggregation'!$F$2:$F$661,AE$72,'Step 4 bond aggregation'!$G$2:$G$661,MATCH($X85,lov_term_buckets,0),'Step 4 bond aggregation'!$E$2:$E$661,$Y$80)</f>
        <v>0</v>
      </c>
      <c r="AF85" s="191"/>
      <c r="AG85" s="191"/>
      <c r="AH85" s="254" t="s">
        <v>937</v>
      </c>
      <c r="AI85" s="192">
        <f>SUMIFS('Step 4 bond aggregation'!$B$2:$B$661,'Step 4 bond aggregation'!$A$2:$A$661,$AG$69,'Step 4 bond aggregation'!$F$2:$F$661,AI$72,'Step 4 bond aggregation'!$G$2:$G$661,MATCH($AH85,lov_term_buckets,0),'Step 4 bond aggregation'!$E$2:$E$661,$AI$80)</f>
        <v>0</v>
      </c>
      <c r="AJ85" s="192">
        <f>SUMIFS('Step 4 bond aggregation'!$B$2:$B$661,'Step 4 bond aggregation'!$A$2:$A$661,$AG$69,'Step 4 bond aggregation'!$F$2:$F$661,AJ$72,'Step 4 bond aggregation'!$G$2:$G$661,MATCH($AH85,lov_term_buckets,0),'Step 4 bond aggregation'!$E$2:$E$661,$AI$80)</f>
        <v>0</v>
      </c>
      <c r="AK85" s="192">
        <f>SUMIFS('Step 4 bond aggregation'!$B$2:$B$661,'Step 4 bond aggregation'!$A$2:$A$661,$AG$69,'Step 4 bond aggregation'!$F$2:$F$661,AK$72,'Step 4 bond aggregation'!$G$2:$G$661,MATCH($AH85,lov_term_buckets,0),'Step 4 bond aggregation'!$E$2:$E$661,$AI$80)</f>
        <v>0</v>
      </c>
      <c r="AL85" s="192">
        <f>SUMIFS('Step 4 bond aggregation'!$B$2:$B$661,'Step 4 bond aggregation'!$A$2:$A$661,$AG$69,'Step 4 bond aggregation'!$F$2:$F$661,AL$72,'Step 4 bond aggregation'!$G$2:$G$661,MATCH($AH85,lov_term_buckets,0),'Step 4 bond aggregation'!$E$2:$E$661,$AI$80)</f>
        <v>0</v>
      </c>
      <c r="AM85" s="192">
        <f>SUMIFS('Step 4 bond aggregation'!$B$2:$B$661,'Step 4 bond aggregation'!$A$2:$A$661,$AG$69,'Step 4 bond aggregation'!$F$2:$F$661,AM$72,'Step 4 bond aggregation'!$G$2:$G$661,MATCH($AH85,lov_term_buckets,0),'Step 4 bond aggregation'!$E$2:$E$661,$AI$80)</f>
        <v>0</v>
      </c>
      <c r="AN85" s="192">
        <f>SUMIFS('Step 4 bond aggregation'!$B$2:$B$661,'Step 4 bond aggregation'!$A$2:$A$661,$AG$69,'Step 4 bond aggregation'!$F$2:$F$661,AN$72,'Step 4 bond aggregation'!$G$2:$G$661,MATCH($AH85,lov_term_buckets,0),'Step 4 bond aggregation'!$E$2:$E$661,$AI$80)</f>
        <v>0</v>
      </c>
      <c r="AO85" s="192">
        <f>SUMIFS('Step 4 bond aggregation'!$B$2:$B$661,'Step 4 bond aggregation'!$A$2:$A$661,$AG$69,'Step 4 bond aggregation'!$F$2:$F$661,AO$72,'Step 4 bond aggregation'!$G$2:$G$661,MATCH($AH85,lov_term_buckets,0),'Step 4 bond aggregation'!$E$2:$E$661,$AI$80)</f>
        <v>0</v>
      </c>
      <c r="AP85" s="191"/>
      <c r="AQ85" s="191"/>
      <c r="AR85" s="254" t="s">
        <v>937</v>
      </c>
      <c r="AS85" s="192">
        <f>SUMIFS('Step 4 bond aggregation'!$B$2:$B$661,'Step 4 bond aggregation'!$A$2:$A$661,$AQ$69,'Step 4 bond aggregation'!$F$2:$F$661,AS$72,'Step 4 bond aggregation'!$G$2:$G$661,MATCH($AR85,lov_term_buckets,0),'Step 4 bond aggregation'!$E$2:$E$661,$AS$80)</f>
        <v>0</v>
      </c>
      <c r="AT85" s="192">
        <f>SUMIFS('Step 4 bond aggregation'!$B$2:$B$661,'Step 4 bond aggregation'!$A$2:$A$661,$AQ$69,'Step 4 bond aggregation'!$F$2:$F$661,AT$72,'Step 4 bond aggregation'!$G$2:$G$661,MATCH($AR85,lov_term_buckets,0),'Step 4 bond aggregation'!$E$2:$E$661,$AS$80)</f>
        <v>0</v>
      </c>
      <c r="AU85" s="192">
        <f>SUMIFS('Step 4 bond aggregation'!$B$2:$B$661,'Step 4 bond aggregation'!$A$2:$A$661,$AQ$69,'Step 4 bond aggregation'!$F$2:$F$661,AU$72,'Step 4 bond aggregation'!$G$2:$G$661,MATCH($AR85,lov_term_buckets,0),'Step 4 bond aggregation'!$E$2:$E$661,$AS$80)</f>
        <v>0</v>
      </c>
      <c r="AV85" s="192">
        <f>SUMIFS('Step 4 bond aggregation'!$B$2:$B$661,'Step 4 bond aggregation'!$A$2:$A$661,$AQ$69,'Step 4 bond aggregation'!$F$2:$F$661,AV$72,'Step 4 bond aggregation'!$G$2:$G$661,MATCH($AR85,lov_term_buckets,0),'Step 4 bond aggregation'!$E$2:$E$661,$AS$80)</f>
        <v>0</v>
      </c>
      <c r="AW85" s="192">
        <f>SUMIFS('Step 4 bond aggregation'!$B$2:$B$661,'Step 4 bond aggregation'!$A$2:$A$661,$AQ$69,'Step 4 bond aggregation'!$F$2:$F$661,AW$72,'Step 4 bond aggregation'!$G$2:$G$661,MATCH($AR85,lov_term_buckets,0),'Step 4 bond aggregation'!$E$2:$E$661,$AS$80)</f>
        <v>0</v>
      </c>
      <c r="AX85" s="192">
        <f>SUMIFS('Step 4 bond aggregation'!$B$2:$B$661,'Step 4 bond aggregation'!$A$2:$A$661,$AQ$69,'Step 4 bond aggregation'!$F$2:$F$661,AX$72,'Step 4 bond aggregation'!$G$2:$G$661,MATCH($AR85,lov_term_buckets,0),'Step 4 bond aggregation'!$E$2:$E$661,$AS$80)</f>
        <v>0</v>
      </c>
      <c r="AY85" s="192">
        <f>SUMIFS('Step 4 bond aggregation'!$B$2:$B$661,'Step 4 bond aggregation'!$A$2:$A$661,$AQ$69,'Step 4 bond aggregation'!$F$2:$F$661,AY$72,'Step 4 bond aggregation'!$G$2:$G$661,MATCH($AR85,lov_term_buckets,0),'Step 4 bond aggregation'!$E$2:$E$661,$AS$80)</f>
        <v>0</v>
      </c>
      <c r="AZ85" s="191"/>
      <c r="BA85" s="191"/>
      <c r="BB85" s="254" t="s">
        <v>937</v>
      </c>
      <c r="BC85" s="192">
        <f>SUMIFS('Step 4 bond aggregation'!$B$2:$B$661,'Step 4 bond aggregation'!$A$2:$A$661,$BA$69,'Step 4 bond aggregation'!$F$2:$F$661,BC$72,'Step 4 bond aggregation'!$G$2:$G$661,MATCH($BB85,lov_term_buckets,0),'Step 4 bond aggregation'!$E$2:$E$661,$BC$80)</f>
        <v>0</v>
      </c>
      <c r="BD85" s="192">
        <f>SUMIFS('Step 4 bond aggregation'!$B$2:$B$661,'Step 4 bond aggregation'!$A$2:$A$661,$BA$69,'Step 4 bond aggregation'!$F$2:$F$661,BD$72,'Step 4 bond aggregation'!$G$2:$G$661,MATCH($BB85,lov_term_buckets,0),'Step 4 bond aggregation'!$E$2:$E$661,$BC$80)</f>
        <v>0</v>
      </c>
      <c r="BE85" s="192">
        <f>SUMIFS('Step 4 bond aggregation'!$B$2:$B$661,'Step 4 bond aggregation'!$A$2:$A$661,$BA$69,'Step 4 bond aggregation'!$F$2:$F$661,BE$72,'Step 4 bond aggregation'!$G$2:$G$661,MATCH($BB85,lov_term_buckets,0),'Step 4 bond aggregation'!$E$2:$E$661,$BC$80)</f>
        <v>0</v>
      </c>
      <c r="BF85" s="192">
        <f>SUMIFS('Step 4 bond aggregation'!$B$2:$B$661,'Step 4 bond aggregation'!$A$2:$A$661,$BA$69,'Step 4 bond aggregation'!$F$2:$F$661,BF$72,'Step 4 bond aggregation'!$G$2:$G$661,MATCH($BB85,lov_term_buckets,0),'Step 4 bond aggregation'!$E$2:$E$661,$BC$80)</f>
        <v>0</v>
      </c>
      <c r="BG85" s="192">
        <f>SUMIFS('Step 4 bond aggregation'!$B$2:$B$661,'Step 4 bond aggregation'!$A$2:$A$661,$BA$69,'Step 4 bond aggregation'!$F$2:$F$661,BG$72,'Step 4 bond aggregation'!$G$2:$G$661,MATCH($BB85,lov_term_buckets,0),'Step 4 bond aggregation'!$E$2:$E$661,$BC$80)</f>
        <v>0</v>
      </c>
      <c r="BH85" s="192">
        <f>SUMIFS('Step 4 bond aggregation'!$B$2:$B$661,'Step 4 bond aggregation'!$A$2:$A$661,$BA$69,'Step 4 bond aggregation'!$F$2:$F$661,BH$72,'Step 4 bond aggregation'!$G$2:$G$661,MATCH($BB85,lov_term_buckets,0),'Step 4 bond aggregation'!$E$2:$E$661,$BC$80)</f>
        <v>0</v>
      </c>
      <c r="BI85" s="192">
        <f>SUMIFS('Step 4 bond aggregation'!$B$2:$B$661,'Step 4 bond aggregation'!$A$2:$A$661,$BA$69,'Step 4 bond aggregation'!$F$2:$F$661,BI$72,'Step 4 bond aggregation'!$G$2:$G$661,MATCH($BB85,lov_term_buckets,0),'Step 4 bond aggregation'!$E$2:$E$661,$BC$80)</f>
        <v>0</v>
      </c>
      <c r="BK85" s="191"/>
      <c r="BL85" s="254" t="s">
        <v>937</v>
      </c>
      <c r="BM85" s="192">
        <f>SUMIFS('Step 4 bond aggregation'!$B$2:$B$661,'Step 4 bond aggregation'!$A$2:$A$661,$BK$69,'Step 4 bond aggregation'!$F$2:$F$661,BM$72,'Step 4 bond aggregation'!$G$2:$G$661,MATCH($BB85,lov_term_buckets,0),'Step 4 bond aggregation'!$E$2:$E$661,$BC$80)</f>
        <v>0</v>
      </c>
      <c r="BN85" s="192">
        <f>SUMIFS('Step 4 bond aggregation'!$B$2:$B$661,'Step 4 bond aggregation'!$A$2:$A$661,$BK$69,'Step 4 bond aggregation'!$F$2:$F$661,BN$72,'Step 4 bond aggregation'!$G$2:$G$661,MATCH($BB85,lov_term_buckets,0),'Step 4 bond aggregation'!$E$2:$E$661,$BC$80)</f>
        <v>0</v>
      </c>
      <c r="BO85" s="192">
        <f>SUMIFS('Step 4 bond aggregation'!$B$2:$B$661,'Step 4 bond aggregation'!$A$2:$A$661,$BK$69,'Step 4 bond aggregation'!$F$2:$F$661,BO$72,'Step 4 bond aggregation'!$G$2:$G$661,MATCH($BB85,lov_term_buckets,0),'Step 4 bond aggregation'!$E$2:$E$661,$BC$80)</f>
        <v>0</v>
      </c>
      <c r="BP85" s="192">
        <f>SUMIFS('Step 4 bond aggregation'!$B$2:$B$661,'Step 4 bond aggregation'!$A$2:$A$661,$BK$69,'Step 4 bond aggregation'!$F$2:$F$661,BP$72,'Step 4 bond aggregation'!$G$2:$G$661,MATCH($BB85,lov_term_buckets,0),'Step 4 bond aggregation'!$E$2:$E$661,$BC$80)</f>
        <v>0</v>
      </c>
      <c r="BQ85" s="192">
        <f>SUMIFS('Step 4 bond aggregation'!$B$2:$B$661,'Step 4 bond aggregation'!$A$2:$A$661,$BK$69,'Step 4 bond aggregation'!$F$2:$F$661,BQ$72,'Step 4 bond aggregation'!$G$2:$G$661,MATCH($BB85,lov_term_buckets,0),'Step 4 bond aggregation'!$E$2:$E$661,$BC$80)</f>
        <v>0</v>
      </c>
      <c r="BR85" s="192">
        <f>SUMIFS('Step 4 bond aggregation'!$B$2:$B$661,'Step 4 bond aggregation'!$A$2:$A$661,$BK$69,'Step 4 bond aggregation'!$F$2:$F$661,BR$72,'Step 4 bond aggregation'!$G$2:$G$661,MATCH($BB85,lov_term_buckets,0),'Step 4 bond aggregation'!$E$2:$E$661,$BC$80)</f>
        <v>0</v>
      </c>
      <c r="BS85" s="192">
        <f>SUMIFS('Step 4 bond aggregation'!$B$2:$B$661,'Step 4 bond aggregation'!$A$2:$A$661,$BK$69,'Step 4 bond aggregation'!$F$2:$F$661,BS$72,'Step 4 bond aggregation'!$G$2:$G$661,MATCH($BB85,lov_term_buckets,0),'Step 4 bond aggregation'!$E$2:$E$661,$BC$80)</f>
        <v>0</v>
      </c>
      <c r="BU85" s="191"/>
      <c r="BV85" s="254" t="s">
        <v>937</v>
      </c>
      <c r="BW85" s="192">
        <f>SUMIFS('Step 4 bond aggregation'!$B$2:$B$661,'Step 4 bond aggregation'!$A$2:$A$661,$BU$69,'Step 4 bond aggregation'!$F$2:$F$661,BW$72,'Step 4 bond aggregation'!$G$2:$G$661,MATCH($BB85,lov_term_buckets,0),'Step 4 bond aggregation'!$E$2:$E$661,$BC$80)</f>
        <v>0</v>
      </c>
      <c r="BX85" s="192">
        <f>SUMIFS('Step 4 bond aggregation'!$B$2:$B$661,'Step 4 bond aggregation'!$A$2:$A$661,$BU$69,'Step 4 bond aggregation'!$F$2:$F$661,BX$72,'Step 4 bond aggregation'!$G$2:$G$661,MATCH($BB85,lov_term_buckets,0),'Step 4 bond aggregation'!$E$2:$E$661,$BC$80)</f>
        <v>0</v>
      </c>
      <c r="BY85" s="192">
        <f>SUMIFS('Step 4 bond aggregation'!$B$2:$B$661,'Step 4 bond aggregation'!$A$2:$A$661,$BU$69,'Step 4 bond aggregation'!$F$2:$F$661,BY$72,'Step 4 bond aggregation'!$G$2:$G$661,MATCH($BB85,lov_term_buckets,0),'Step 4 bond aggregation'!$E$2:$E$661,$BC$80)</f>
        <v>0</v>
      </c>
      <c r="BZ85" s="192">
        <f>SUMIFS('Step 4 bond aggregation'!$B$2:$B$661,'Step 4 bond aggregation'!$A$2:$A$661,$BU$69,'Step 4 bond aggregation'!$F$2:$F$661,BZ$72,'Step 4 bond aggregation'!$G$2:$G$661,MATCH($BB85,lov_term_buckets,0),'Step 4 bond aggregation'!$E$2:$E$661,$BC$80)</f>
        <v>0</v>
      </c>
      <c r="CA85" s="192">
        <f>SUMIFS('Step 4 bond aggregation'!$B$2:$B$661,'Step 4 bond aggregation'!$A$2:$A$661,$BU$69,'Step 4 bond aggregation'!$F$2:$F$661,CA$72,'Step 4 bond aggregation'!$G$2:$G$661,MATCH($BB85,lov_term_buckets,0),'Step 4 bond aggregation'!$E$2:$E$661,$BC$80)</f>
        <v>0</v>
      </c>
      <c r="CB85" s="192">
        <f>SUMIFS('Step 4 bond aggregation'!$B$2:$B$661,'Step 4 bond aggregation'!$A$2:$A$661,$BU$69,'Step 4 bond aggregation'!$F$2:$F$661,CB$72,'Step 4 bond aggregation'!$G$2:$G$661,MATCH($BB85,lov_term_buckets,0),'Step 4 bond aggregation'!$E$2:$E$661,$BC$80)</f>
        <v>0</v>
      </c>
      <c r="CC85" s="192">
        <f>SUMIFS('Step 4 bond aggregation'!$B$2:$B$661,'Step 4 bond aggregation'!$A$2:$A$661,$BU$69,'Step 4 bond aggregation'!$F$2:$F$661,CC$72,'Step 4 bond aggregation'!$G$2:$G$661,MATCH($BB85,lov_term_buckets,0),'Step 4 bond aggregation'!$E$2:$E$661,$BC$80)</f>
        <v>0</v>
      </c>
    </row>
    <row r="86" spans="2:81" ht="14.4" hidden="1" customHeight="1" outlineLevel="1" x14ac:dyDescent="0.3">
      <c r="C86" s="52" t="s">
        <v>938</v>
      </c>
      <c r="D86" s="192">
        <f>Input!F95</f>
        <v>0</v>
      </c>
      <c r="E86" s="192">
        <f>Input!G95</f>
        <v>0</v>
      </c>
      <c r="F86" s="192">
        <f>Input!H95</f>
        <v>0</v>
      </c>
      <c r="G86" s="192">
        <f>Input!I95</f>
        <v>0</v>
      </c>
      <c r="H86" s="192">
        <f>Input!J95</f>
        <v>0</v>
      </c>
      <c r="I86" s="192">
        <f>Input!K95</f>
        <v>0</v>
      </c>
      <c r="J86" s="192">
        <f>Input!L95</f>
        <v>0</v>
      </c>
      <c r="K86" s="192">
        <f>Input!M95</f>
        <v>0</v>
      </c>
      <c r="L86" s="191"/>
      <c r="M86" s="191"/>
      <c r="N86" s="254" t="s">
        <v>938</v>
      </c>
      <c r="O86" s="192">
        <f>Input!F135+Input!F168</f>
        <v>0</v>
      </c>
      <c r="P86" s="192">
        <f>Input!G135+Input!G168</f>
        <v>0</v>
      </c>
      <c r="Q86" s="192">
        <f>Input!H135+Input!H168</f>
        <v>0</v>
      </c>
      <c r="R86" s="192">
        <f>Input!I135+Input!I168</f>
        <v>0</v>
      </c>
      <c r="S86" s="192">
        <f>Input!J135+Input!J168</f>
        <v>0</v>
      </c>
      <c r="T86" s="192">
        <f>Input!K135+Input!K168</f>
        <v>0</v>
      </c>
      <c r="U86" s="192">
        <f>Input!L135+Input!L168</f>
        <v>0</v>
      </c>
      <c r="V86" s="191"/>
      <c r="W86" s="191"/>
      <c r="X86" s="254" t="s">
        <v>938</v>
      </c>
      <c r="Y86" s="192">
        <f>SUMIFS('Step 4 bond aggregation'!$B$2:$B$661,'Step 4 bond aggregation'!$A$2:$A$661,$W$69,'Step 4 bond aggregation'!$F$2:$F$661,Y$72,'Step 4 bond aggregation'!$G$2:$G$661,MATCH($X86,lov_term_buckets,0),'Step 4 bond aggregation'!$E$2:$E$661,$Y$80)</f>
        <v>0</v>
      </c>
      <c r="Z86" s="192">
        <f>SUMIFS('Step 4 bond aggregation'!$B$2:$B$661,'Step 4 bond aggregation'!$A$2:$A$661,$W$69,'Step 4 bond aggregation'!$F$2:$F$661,Z$72,'Step 4 bond aggregation'!$G$2:$G$661,MATCH($X86,lov_term_buckets,0),'Step 4 bond aggregation'!$E$2:$E$661,$Y$80)</f>
        <v>0</v>
      </c>
      <c r="AA86" s="192">
        <f>SUMIFS('Step 4 bond aggregation'!$B$2:$B$661,'Step 4 bond aggregation'!$A$2:$A$661,$W$69,'Step 4 bond aggregation'!$F$2:$F$661,AA$72,'Step 4 bond aggregation'!$G$2:$G$661,MATCH($X86,lov_term_buckets,0),'Step 4 bond aggregation'!$E$2:$E$661,$Y$80)</f>
        <v>0</v>
      </c>
      <c r="AB86" s="192">
        <f>SUMIFS('Step 4 bond aggregation'!$B$2:$B$661,'Step 4 bond aggregation'!$A$2:$A$661,$W$69,'Step 4 bond aggregation'!$F$2:$F$661,AB$72,'Step 4 bond aggregation'!$G$2:$G$661,MATCH($X86,lov_term_buckets,0),'Step 4 bond aggregation'!$E$2:$E$661,$Y$80)</f>
        <v>0</v>
      </c>
      <c r="AC86" s="192">
        <f>SUMIFS('Step 4 bond aggregation'!$B$2:$B$661,'Step 4 bond aggregation'!$A$2:$A$661,$W$69,'Step 4 bond aggregation'!$F$2:$F$661,AC$72,'Step 4 bond aggregation'!$G$2:$G$661,MATCH($X86,lov_term_buckets,0),'Step 4 bond aggregation'!$E$2:$E$661,$Y$80)</f>
        <v>0</v>
      </c>
      <c r="AD86" s="192">
        <f>SUMIFS('Step 4 bond aggregation'!$B$2:$B$661,'Step 4 bond aggregation'!$A$2:$A$661,$W$69,'Step 4 bond aggregation'!$F$2:$F$661,AD$72,'Step 4 bond aggregation'!$G$2:$G$661,MATCH($X86,lov_term_buckets,0),'Step 4 bond aggregation'!$E$2:$E$661,$Y$80)</f>
        <v>0</v>
      </c>
      <c r="AE86" s="192">
        <f>SUMIFS('Step 4 bond aggregation'!$B$2:$B$661,'Step 4 bond aggregation'!$A$2:$A$661,$W$69,'Step 4 bond aggregation'!$F$2:$F$661,AE$72,'Step 4 bond aggregation'!$G$2:$G$661,MATCH($X86,lov_term_buckets,0),'Step 4 bond aggregation'!$E$2:$E$661,$Y$80)</f>
        <v>0</v>
      </c>
      <c r="AF86" s="191"/>
      <c r="AG86" s="191"/>
      <c r="AH86" s="254" t="s">
        <v>938</v>
      </c>
      <c r="AI86" s="192">
        <f>SUMIFS('Step 4 bond aggregation'!$B$2:$B$661,'Step 4 bond aggregation'!$A$2:$A$661,$AG$69,'Step 4 bond aggregation'!$F$2:$F$661,AI$72,'Step 4 bond aggregation'!$G$2:$G$661,MATCH($AH86,lov_term_buckets,0),'Step 4 bond aggregation'!$E$2:$E$661,$AI$80)</f>
        <v>0</v>
      </c>
      <c r="AJ86" s="192">
        <f>SUMIFS('Step 4 bond aggregation'!$B$2:$B$661,'Step 4 bond aggregation'!$A$2:$A$661,$AG$69,'Step 4 bond aggregation'!$F$2:$F$661,AJ$72,'Step 4 bond aggregation'!$G$2:$G$661,MATCH($AH86,lov_term_buckets,0),'Step 4 bond aggregation'!$E$2:$E$661,$AI$80)</f>
        <v>0</v>
      </c>
      <c r="AK86" s="192">
        <f>SUMIFS('Step 4 bond aggregation'!$B$2:$B$661,'Step 4 bond aggregation'!$A$2:$A$661,$AG$69,'Step 4 bond aggregation'!$F$2:$F$661,AK$72,'Step 4 bond aggregation'!$G$2:$G$661,MATCH($AH86,lov_term_buckets,0),'Step 4 bond aggregation'!$E$2:$E$661,$AI$80)</f>
        <v>0</v>
      </c>
      <c r="AL86" s="192">
        <f>SUMIFS('Step 4 bond aggregation'!$B$2:$B$661,'Step 4 bond aggregation'!$A$2:$A$661,$AG$69,'Step 4 bond aggregation'!$F$2:$F$661,AL$72,'Step 4 bond aggregation'!$G$2:$G$661,MATCH($AH86,lov_term_buckets,0),'Step 4 bond aggregation'!$E$2:$E$661,$AI$80)</f>
        <v>0</v>
      </c>
      <c r="AM86" s="192">
        <f>SUMIFS('Step 4 bond aggregation'!$B$2:$B$661,'Step 4 bond aggregation'!$A$2:$A$661,$AG$69,'Step 4 bond aggregation'!$F$2:$F$661,AM$72,'Step 4 bond aggregation'!$G$2:$G$661,MATCH($AH86,lov_term_buckets,0),'Step 4 bond aggregation'!$E$2:$E$661,$AI$80)</f>
        <v>0</v>
      </c>
      <c r="AN86" s="192">
        <f>SUMIFS('Step 4 bond aggregation'!$B$2:$B$661,'Step 4 bond aggregation'!$A$2:$A$661,$AG$69,'Step 4 bond aggregation'!$F$2:$F$661,AN$72,'Step 4 bond aggregation'!$G$2:$G$661,MATCH($AH86,lov_term_buckets,0),'Step 4 bond aggregation'!$E$2:$E$661,$AI$80)</f>
        <v>0</v>
      </c>
      <c r="AO86" s="192">
        <f>SUMIFS('Step 4 bond aggregation'!$B$2:$B$661,'Step 4 bond aggregation'!$A$2:$A$661,$AG$69,'Step 4 bond aggregation'!$F$2:$F$661,AO$72,'Step 4 bond aggregation'!$G$2:$G$661,MATCH($AH86,lov_term_buckets,0),'Step 4 bond aggregation'!$E$2:$E$661,$AI$80)</f>
        <v>0</v>
      </c>
      <c r="AP86" s="191"/>
      <c r="AQ86" s="191"/>
      <c r="AR86" s="254" t="s">
        <v>938</v>
      </c>
      <c r="AS86" s="192">
        <f>SUMIFS('Step 4 bond aggregation'!$B$2:$B$661,'Step 4 bond aggregation'!$A$2:$A$661,$AQ$69,'Step 4 bond aggregation'!$F$2:$F$661,AS$72,'Step 4 bond aggregation'!$G$2:$G$661,MATCH($AR86,lov_term_buckets,0),'Step 4 bond aggregation'!$E$2:$E$661,$AS$80)</f>
        <v>0</v>
      </c>
      <c r="AT86" s="192">
        <f>SUMIFS('Step 4 bond aggregation'!$B$2:$B$661,'Step 4 bond aggregation'!$A$2:$A$661,$AQ$69,'Step 4 bond aggregation'!$F$2:$F$661,AT$72,'Step 4 bond aggregation'!$G$2:$G$661,MATCH($AR86,lov_term_buckets,0),'Step 4 bond aggregation'!$E$2:$E$661,$AS$80)</f>
        <v>0</v>
      </c>
      <c r="AU86" s="192">
        <f>SUMIFS('Step 4 bond aggregation'!$B$2:$B$661,'Step 4 bond aggregation'!$A$2:$A$661,$AQ$69,'Step 4 bond aggregation'!$F$2:$F$661,AU$72,'Step 4 bond aggregation'!$G$2:$G$661,MATCH($AR86,lov_term_buckets,0),'Step 4 bond aggregation'!$E$2:$E$661,$AS$80)</f>
        <v>0</v>
      </c>
      <c r="AV86" s="192">
        <f>SUMIFS('Step 4 bond aggregation'!$B$2:$B$661,'Step 4 bond aggregation'!$A$2:$A$661,$AQ$69,'Step 4 bond aggregation'!$F$2:$F$661,AV$72,'Step 4 bond aggregation'!$G$2:$G$661,MATCH($AR86,lov_term_buckets,0),'Step 4 bond aggregation'!$E$2:$E$661,$AS$80)</f>
        <v>0</v>
      </c>
      <c r="AW86" s="192">
        <f>SUMIFS('Step 4 bond aggregation'!$B$2:$B$661,'Step 4 bond aggregation'!$A$2:$A$661,$AQ$69,'Step 4 bond aggregation'!$F$2:$F$661,AW$72,'Step 4 bond aggregation'!$G$2:$G$661,MATCH($AR86,lov_term_buckets,0),'Step 4 bond aggregation'!$E$2:$E$661,$AS$80)</f>
        <v>0</v>
      </c>
      <c r="AX86" s="192">
        <f>SUMIFS('Step 4 bond aggregation'!$B$2:$B$661,'Step 4 bond aggregation'!$A$2:$A$661,$AQ$69,'Step 4 bond aggregation'!$F$2:$F$661,AX$72,'Step 4 bond aggregation'!$G$2:$G$661,MATCH($AR86,lov_term_buckets,0),'Step 4 bond aggregation'!$E$2:$E$661,$AS$80)</f>
        <v>0</v>
      </c>
      <c r="AY86" s="192">
        <f>SUMIFS('Step 4 bond aggregation'!$B$2:$B$661,'Step 4 bond aggregation'!$A$2:$A$661,$AQ$69,'Step 4 bond aggregation'!$F$2:$F$661,AY$72,'Step 4 bond aggregation'!$G$2:$G$661,MATCH($AR86,lov_term_buckets,0),'Step 4 bond aggregation'!$E$2:$E$661,$AS$80)</f>
        <v>0</v>
      </c>
      <c r="AZ86" s="191"/>
      <c r="BA86" s="191"/>
      <c r="BB86" s="254" t="s">
        <v>938</v>
      </c>
      <c r="BC86" s="192">
        <f>SUMIFS('Step 4 bond aggregation'!$B$2:$B$661,'Step 4 bond aggregation'!$A$2:$A$661,$BA$69,'Step 4 bond aggregation'!$F$2:$F$661,BC$72,'Step 4 bond aggregation'!$G$2:$G$661,MATCH($BB86,lov_term_buckets,0),'Step 4 bond aggregation'!$E$2:$E$661,$BC$80)</f>
        <v>0</v>
      </c>
      <c r="BD86" s="192">
        <f>SUMIFS('Step 4 bond aggregation'!$B$2:$B$661,'Step 4 bond aggregation'!$A$2:$A$661,$BA$69,'Step 4 bond aggregation'!$F$2:$F$661,BD$72,'Step 4 bond aggregation'!$G$2:$G$661,MATCH($BB86,lov_term_buckets,0),'Step 4 bond aggregation'!$E$2:$E$661,$BC$80)</f>
        <v>0</v>
      </c>
      <c r="BE86" s="192">
        <f>SUMIFS('Step 4 bond aggregation'!$B$2:$B$661,'Step 4 bond aggregation'!$A$2:$A$661,$BA$69,'Step 4 bond aggregation'!$F$2:$F$661,BE$72,'Step 4 bond aggregation'!$G$2:$G$661,MATCH($BB86,lov_term_buckets,0),'Step 4 bond aggregation'!$E$2:$E$661,$BC$80)</f>
        <v>0</v>
      </c>
      <c r="BF86" s="192">
        <f>SUMIFS('Step 4 bond aggregation'!$B$2:$B$661,'Step 4 bond aggregation'!$A$2:$A$661,$BA$69,'Step 4 bond aggregation'!$F$2:$F$661,BF$72,'Step 4 bond aggregation'!$G$2:$G$661,MATCH($BB86,lov_term_buckets,0),'Step 4 bond aggregation'!$E$2:$E$661,$BC$80)</f>
        <v>0</v>
      </c>
      <c r="BG86" s="192">
        <f>SUMIFS('Step 4 bond aggregation'!$B$2:$B$661,'Step 4 bond aggregation'!$A$2:$A$661,$BA$69,'Step 4 bond aggregation'!$F$2:$F$661,BG$72,'Step 4 bond aggregation'!$G$2:$G$661,MATCH($BB86,lov_term_buckets,0),'Step 4 bond aggregation'!$E$2:$E$661,$BC$80)</f>
        <v>0</v>
      </c>
      <c r="BH86" s="192">
        <f>SUMIFS('Step 4 bond aggregation'!$B$2:$B$661,'Step 4 bond aggregation'!$A$2:$A$661,$BA$69,'Step 4 bond aggregation'!$F$2:$F$661,BH$72,'Step 4 bond aggregation'!$G$2:$G$661,MATCH($BB86,lov_term_buckets,0),'Step 4 bond aggregation'!$E$2:$E$661,$BC$80)</f>
        <v>0</v>
      </c>
      <c r="BI86" s="192">
        <f>SUMIFS('Step 4 bond aggregation'!$B$2:$B$661,'Step 4 bond aggregation'!$A$2:$A$661,$BA$69,'Step 4 bond aggregation'!$F$2:$F$661,BI$72,'Step 4 bond aggregation'!$G$2:$G$661,MATCH($BB86,lov_term_buckets,0),'Step 4 bond aggregation'!$E$2:$E$661,$BC$80)</f>
        <v>0</v>
      </c>
      <c r="BK86" s="191"/>
      <c r="BL86" s="254" t="s">
        <v>938</v>
      </c>
      <c r="BM86" s="192">
        <f>SUMIFS('Step 4 bond aggregation'!$B$2:$B$661,'Step 4 bond aggregation'!$A$2:$A$661,$BK$69,'Step 4 bond aggregation'!$F$2:$F$661,BM$72,'Step 4 bond aggregation'!$G$2:$G$661,MATCH($BB86,lov_term_buckets,0),'Step 4 bond aggregation'!$E$2:$E$661,$BC$80)</f>
        <v>0</v>
      </c>
      <c r="BN86" s="192">
        <f>SUMIFS('Step 4 bond aggregation'!$B$2:$B$661,'Step 4 bond aggregation'!$A$2:$A$661,$BK$69,'Step 4 bond aggregation'!$F$2:$F$661,BN$72,'Step 4 bond aggregation'!$G$2:$G$661,MATCH($BB86,lov_term_buckets,0),'Step 4 bond aggregation'!$E$2:$E$661,$BC$80)</f>
        <v>0</v>
      </c>
      <c r="BO86" s="192">
        <f>SUMIFS('Step 4 bond aggregation'!$B$2:$B$661,'Step 4 bond aggregation'!$A$2:$A$661,$BK$69,'Step 4 bond aggregation'!$F$2:$F$661,BO$72,'Step 4 bond aggregation'!$G$2:$G$661,MATCH($BB86,lov_term_buckets,0),'Step 4 bond aggregation'!$E$2:$E$661,$BC$80)</f>
        <v>0</v>
      </c>
      <c r="BP86" s="192">
        <f>SUMIFS('Step 4 bond aggregation'!$B$2:$B$661,'Step 4 bond aggregation'!$A$2:$A$661,$BK$69,'Step 4 bond aggregation'!$F$2:$F$661,BP$72,'Step 4 bond aggregation'!$G$2:$G$661,MATCH($BB86,lov_term_buckets,0),'Step 4 bond aggregation'!$E$2:$E$661,$BC$80)</f>
        <v>0</v>
      </c>
      <c r="BQ86" s="192">
        <f>SUMIFS('Step 4 bond aggregation'!$B$2:$B$661,'Step 4 bond aggregation'!$A$2:$A$661,$BK$69,'Step 4 bond aggregation'!$F$2:$F$661,BQ$72,'Step 4 bond aggregation'!$G$2:$G$661,MATCH($BB86,lov_term_buckets,0),'Step 4 bond aggregation'!$E$2:$E$661,$BC$80)</f>
        <v>0</v>
      </c>
      <c r="BR86" s="192">
        <f>SUMIFS('Step 4 bond aggregation'!$B$2:$B$661,'Step 4 bond aggregation'!$A$2:$A$661,$BK$69,'Step 4 bond aggregation'!$F$2:$F$661,BR$72,'Step 4 bond aggregation'!$G$2:$G$661,MATCH($BB86,lov_term_buckets,0),'Step 4 bond aggregation'!$E$2:$E$661,$BC$80)</f>
        <v>0</v>
      </c>
      <c r="BS86" s="192">
        <f>SUMIFS('Step 4 bond aggregation'!$B$2:$B$661,'Step 4 bond aggregation'!$A$2:$A$661,$BK$69,'Step 4 bond aggregation'!$F$2:$F$661,BS$72,'Step 4 bond aggregation'!$G$2:$G$661,MATCH($BB86,lov_term_buckets,0),'Step 4 bond aggregation'!$E$2:$E$661,$BC$80)</f>
        <v>0</v>
      </c>
      <c r="BU86" s="191"/>
      <c r="BV86" s="254" t="s">
        <v>938</v>
      </c>
      <c r="BW86" s="192">
        <f>SUMIFS('Step 4 bond aggregation'!$B$2:$B$661,'Step 4 bond aggregation'!$A$2:$A$661,$BU$69,'Step 4 bond aggregation'!$F$2:$F$661,BW$72,'Step 4 bond aggregation'!$G$2:$G$661,MATCH($BB86,lov_term_buckets,0),'Step 4 bond aggregation'!$E$2:$E$661,$BC$80)</f>
        <v>0</v>
      </c>
      <c r="BX86" s="192">
        <f>SUMIFS('Step 4 bond aggregation'!$B$2:$B$661,'Step 4 bond aggregation'!$A$2:$A$661,$BU$69,'Step 4 bond aggregation'!$F$2:$F$661,BX$72,'Step 4 bond aggregation'!$G$2:$G$661,MATCH($BB86,lov_term_buckets,0),'Step 4 bond aggregation'!$E$2:$E$661,$BC$80)</f>
        <v>0</v>
      </c>
      <c r="BY86" s="192">
        <f>SUMIFS('Step 4 bond aggregation'!$B$2:$B$661,'Step 4 bond aggregation'!$A$2:$A$661,$BU$69,'Step 4 bond aggregation'!$F$2:$F$661,BY$72,'Step 4 bond aggregation'!$G$2:$G$661,MATCH($BB86,lov_term_buckets,0),'Step 4 bond aggregation'!$E$2:$E$661,$BC$80)</f>
        <v>0</v>
      </c>
      <c r="BZ86" s="192">
        <f>SUMIFS('Step 4 bond aggregation'!$B$2:$B$661,'Step 4 bond aggregation'!$A$2:$A$661,$BU$69,'Step 4 bond aggregation'!$F$2:$F$661,BZ$72,'Step 4 bond aggregation'!$G$2:$G$661,MATCH($BB86,lov_term_buckets,0),'Step 4 bond aggregation'!$E$2:$E$661,$BC$80)</f>
        <v>0</v>
      </c>
      <c r="CA86" s="192">
        <f>SUMIFS('Step 4 bond aggregation'!$B$2:$B$661,'Step 4 bond aggregation'!$A$2:$A$661,$BU$69,'Step 4 bond aggregation'!$F$2:$F$661,CA$72,'Step 4 bond aggregation'!$G$2:$G$661,MATCH($BB86,lov_term_buckets,0),'Step 4 bond aggregation'!$E$2:$E$661,$BC$80)</f>
        <v>0</v>
      </c>
      <c r="CB86" s="192">
        <f>SUMIFS('Step 4 bond aggregation'!$B$2:$B$661,'Step 4 bond aggregation'!$A$2:$A$661,$BU$69,'Step 4 bond aggregation'!$F$2:$F$661,CB$72,'Step 4 bond aggregation'!$G$2:$G$661,MATCH($BB86,lov_term_buckets,0),'Step 4 bond aggregation'!$E$2:$E$661,$BC$80)</f>
        <v>0</v>
      </c>
      <c r="CC86" s="192">
        <f>SUMIFS('Step 4 bond aggregation'!$B$2:$B$661,'Step 4 bond aggregation'!$A$2:$A$661,$BU$69,'Step 4 bond aggregation'!$F$2:$F$661,CC$72,'Step 4 bond aggregation'!$G$2:$G$661,MATCH($BB86,lov_term_buckets,0),'Step 4 bond aggregation'!$E$2:$E$661,$BC$80)</f>
        <v>0</v>
      </c>
    </row>
    <row r="87" spans="2:81" ht="14.4" hidden="1" customHeight="1" outlineLevel="1" x14ac:dyDescent="0.3">
      <c r="C87" s="52" t="s">
        <v>6</v>
      </c>
      <c r="D87" s="192">
        <f>SUM(D82:K86)</f>
        <v>0</v>
      </c>
      <c r="E87" s="191"/>
      <c r="F87" s="191"/>
      <c r="G87" s="191"/>
      <c r="H87" s="191"/>
      <c r="I87" s="191"/>
      <c r="J87" s="191"/>
      <c r="K87" s="191"/>
      <c r="L87" s="191"/>
      <c r="M87" s="191"/>
      <c r="N87" s="254" t="s">
        <v>6</v>
      </c>
      <c r="O87" s="192">
        <f>SUM(O82:U86)</f>
        <v>0</v>
      </c>
      <c r="P87" s="191"/>
      <c r="Q87" s="191"/>
      <c r="R87" s="191"/>
      <c r="S87" s="191"/>
      <c r="T87" s="191"/>
      <c r="U87" s="191"/>
      <c r="V87" s="191"/>
      <c r="W87" s="191"/>
      <c r="X87" s="254" t="s">
        <v>6</v>
      </c>
      <c r="Y87" s="192">
        <f>SUM(Y82:AE86)</f>
        <v>0</v>
      </c>
      <c r="Z87" s="191"/>
      <c r="AA87" s="191"/>
      <c r="AB87" s="191"/>
      <c r="AC87" s="191"/>
      <c r="AD87" s="191"/>
      <c r="AE87" s="191"/>
      <c r="AF87" s="191"/>
      <c r="AG87" s="191"/>
      <c r="AH87" s="254" t="s">
        <v>6</v>
      </c>
      <c r="AI87" s="192">
        <f>SUM(AI82:AO86)</f>
        <v>0</v>
      </c>
      <c r="AJ87" s="191"/>
      <c r="AK87" s="191"/>
      <c r="AL87" s="191"/>
      <c r="AM87" s="191"/>
      <c r="AN87" s="191"/>
      <c r="AO87" s="191"/>
      <c r="AP87" s="191"/>
      <c r="AQ87" s="191"/>
      <c r="AR87" s="254" t="s">
        <v>6</v>
      </c>
      <c r="AS87" s="192">
        <f>SUM(AS82:AY86)</f>
        <v>0</v>
      </c>
      <c r="AT87" s="191"/>
      <c r="AU87" s="191"/>
      <c r="AV87" s="191"/>
      <c r="AW87" s="191"/>
      <c r="AX87" s="191"/>
      <c r="AY87" s="191"/>
      <c r="AZ87" s="191"/>
      <c r="BA87" s="191"/>
      <c r="BB87" s="254" t="s">
        <v>6</v>
      </c>
      <c r="BC87" s="192">
        <f>SUM(BC82:BI86)</f>
        <v>0</v>
      </c>
      <c r="BD87" s="191"/>
      <c r="BE87" s="191"/>
      <c r="BF87" s="191"/>
      <c r="BG87" s="191"/>
      <c r="BH87" s="191"/>
      <c r="BI87" s="191"/>
      <c r="BK87" s="191"/>
      <c r="BL87" s="254" t="s">
        <v>6</v>
      </c>
      <c r="BM87" s="192">
        <f>SUM(BM82:BS86)</f>
        <v>0</v>
      </c>
      <c r="BN87" s="191"/>
      <c r="BO87" s="191"/>
      <c r="BP87" s="191"/>
      <c r="BQ87" s="191"/>
      <c r="BR87" s="191"/>
      <c r="BS87" s="191"/>
      <c r="BU87" s="191"/>
      <c r="BV87" s="254" t="s">
        <v>6</v>
      </c>
      <c r="BW87" s="192">
        <f>SUM(BW82:CC86)</f>
        <v>0</v>
      </c>
      <c r="BX87" s="191"/>
      <c r="BY87" s="191"/>
      <c r="BZ87" s="191"/>
      <c r="CA87" s="191"/>
      <c r="CB87" s="191"/>
      <c r="CC87" s="191"/>
    </row>
    <row r="88" spans="2:81" hidden="1" outlineLevel="1" x14ac:dyDescent="0.3">
      <c r="C88" s="52"/>
      <c r="D88" s="60"/>
      <c r="E88" s="108"/>
      <c r="F88" s="108"/>
      <c r="G88" s="108"/>
      <c r="H88" s="108"/>
      <c r="I88" s="108"/>
      <c r="J88" s="108"/>
      <c r="K88" s="108"/>
      <c r="L88" s="108"/>
      <c r="M88" s="251"/>
      <c r="N88" s="256"/>
      <c r="O88" s="60"/>
      <c r="P88" s="108"/>
      <c r="Q88" s="108"/>
      <c r="R88" s="108"/>
      <c r="S88" s="108"/>
      <c r="T88" s="108"/>
      <c r="U88" s="108"/>
      <c r="V88" s="108"/>
      <c r="W88" s="251"/>
      <c r="X88" s="256"/>
      <c r="Y88" s="60"/>
      <c r="Z88" s="108"/>
      <c r="AA88" s="108"/>
      <c r="AB88" s="108"/>
      <c r="AC88" s="108"/>
      <c r="AD88" s="108"/>
      <c r="AE88" s="108"/>
      <c r="AF88" s="108"/>
      <c r="AG88" s="251"/>
      <c r="AH88" s="256"/>
      <c r="AI88" s="60"/>
      <c r="AJ88" s="108"/>
      <c r="AK88" s="108"/>
      <c r="AL88" s="108"/>
      <c r="AM88" s="108"/>
      <c r="AN88" s="108"/>
      <c r="AO88" s="108"/>
      <c r="AP88" s="108"/>
      <c r="AQ88" s="251"/>
      <c r="AR88" s="256"/>
      <c r="AS88" s="60"/>
      <c r="AT88" s="108"/>
      <c r="AU88" s="108"/>
      <c r="AV88" s="108"/>
      <c r="AW88" s="108"/>
      <c r="AX88" s="108"/>
      <c r="AY88" s="108"/>
      <c r="AZ88" s="108"/>
      <c r="BA88" s="251"/>
      <c r="BB88" s="256"/>
      <c r="BC88" s="60"/>
      <c r="BD88" s="108"/>
      <c r="BE88" s="108"/>
      <c r="BF88" s="108"/>
      <c r="BG88" s="108"/>
      <c r="BH88" s="108"/>
      <c r="BI88" s="108"/>
      <c r="BK88" s="251"/>
      <c r="BL88" s="256"/>
      <c r="BM88" s="60"/>
      <c r="BN88" s="108"/>
      <c r="BO88" s="108"/>
      <c r="BP88" s="108"/>
      <c r="BQ88" s="108"/>
      <c r="BR88" s="108"/>
      <c r="BS88" s="108"/>
      <c r="BU88" s="251"/>
      <c r="BV88" s="256"/>
      <c r="BW88" s="60"/>
      <c r="BX88" s="108"/>
      <c r="BY88" s="108"/>
      <c r="BZ88" s="108"/>
      <c r="CA88" s="108"/>
      <c r="CB88" s="108"/>
      <c r="CC88" s="108"/>
    </row>
    <row r="89" spans="2:81" hidden="1" outlineLevel="1" x14ac:dyDescent="0.3">
      <c r="B89" s="88"/>
      <c r="C89" s="52" t="s">
        <v>2101</v>
      </c>
      <c r="D89" s="31">
        <f>Lists!$C$5</f>
        <v>3</v>
      </c>
      <c r="E89" s="108"/>
      <c r="F89" s="108"/>
      <c r="G89" s="108"/>
      <c r="H89" s="108"/>
      <c r="I89" s="108"/>
      <c r="J89" s="108"/>
      <c r="K89" s="108"/>
      <c r="L89" s="251"/>
      <c r="N89" s="52" t="s">
        <v>2101</v>
      </c>
      <c r="O89" s="31">
        <f>Lists!$C$5</f>
        <v>3</v>
      </c>
      <c r="P89" s="108"/>
      <c r="Q89" s="108"/>
      <c r="R89" s="108"/>
      <c r="S89" s="108"/>
      <c r="T89" s="108"/>
      <c r="U89" s="108"/>
      <c r="V89" s="108"/>
      <c r="W89" s="168"/>
      <c r="X89" s="52" t="s">
        <v>2101</v>
      </c>
      <c r="Y89" s="31">
        <f>Lists!$C$5</f>
        <v>3</v>
      </c>
      <c r="Z89" s="108"/>
      <c r="AA89" s="108"/>
      <c r="AB89" s="108"/>
      <c r="AC89" s="108"/>
      <c r="AD89" s="108"/>
      <c r="AE89" s="108"/>
      <c r="AF89" s="108"/>
      <c r="AG89" s="168"/>
      <c r="AH89" s="52" t="s">
        <v>2101</v>
      </c>
      <c r="AI89" s="31">
        <f>Lists!$C$5</f>
        <v>3</v>
      </c>
      <c r="AJ89" s="108"/>
      <c r="AK89" s="108"/>
      <c r="AL89" s="108"/>
      <c r="AM89" s="108"/>
      <c r="AN89" s="108"/>
      <c r="AO89" s="108"/>
      <c r="AP89" s="108"/>
      <c r="AQ89" s="168"/>
      <c r="AR89" s="52" t="s">
        <v>2101</v>
      </c>
      <c r="AS89" s="31">
        <f>Lists!$C$5</f>
        <v>3</v>
      </c>
      <c r="AT89" s="108"/>
      <c r="AU89" s="108"/>
      <c r="AV89" s="108"/>
      <c r="AW89" s="108"/>
      <c r="AX89" s="108"/>
      <c r="AY89" s="108"/>
      <c r="AZ89" s="108"/>
      <c r="BA89" s="168"/>
      <c r="BB89" s="52" t="s">
        <v>2101</v>
      </c>
      <c r="BC89" s="31">
        <f>Lists!$C$5</f>
        <v>3</v>
      </c>
      <c r="BD89" s="108"/>
      <c r="BE89" s="108"/>
      <c r="BF89" s="108"/>
      <c r="BG89" s="108"/>
      <c r="BH89" s="108"/>
      <c r="BI89" s="108"/>
      <c r="BK89" s="168"/>
      <c r="BL89" s="52" t="s">
        <v>2101</v>
      </c>
      <c r="BM89" s="31">
        <f>Lists!$C$5</f>
        <v>3</v>
      </c>
      <c r="BN89" s="108"/>
      <c r="BO89" s="108"/>
      <c r="BP89" s="108"/>
      <c r="BQ89" s="108"/>
      <c r="BR89" s="108"/>
      <c r="BS89" s="108"/>
      <c r="BU89" s="168"/>
      <c r="BV89" s="52" t="s">
        <v>2101</v>
      </c>
      <c r="BW89" s="31">
        <f>Lists!$C$5</f>
        <v>3</v>
      </c>
      <c r="BX89" s="108"/>
      <c r="BY89" s="108"/>
      <c r="BZ89" s="108"/>
      <c r="CA89" s="108"/>
      <c r="CB89" s="108"/>
      <c r="CC89" s="108"/>
    </row>
    <row r="90" spans="2:81" ht="14" hidden="1" customHeight="1" outlineLevel="1" x14ac:dyDescent="0.3">
      <c r="C90" s="57" t="s">
        <v>939</v>
      </c>
      <c r="D90" s="675" t="s">
        <v>0</v>
      </c>
      <c r="E90" s="675" t="s">
        <v>1</v>
      </c>
      <c r="F90" s="675" t="s">
        <v>2</v>
      </c>
      <c r="G90" s="675" t="s">
        <v>3</v>
      </c>
      <c r="H90" s="675" t="s">
        <v>4</v>
      </c>
      <c r="I90" s="675" t="s">
        <v>5</v>
      </c>
      <c r="J90" s="675" t="s">
        <v>1457</v>
      </c>
      <c r="K90" s="675" t="s">
        <v>1123</v>
      </c>
      <c r="L90" s="108"/>
      <c r="M90" s="35"/>
      <c r="N90" s="675" t="s">
        <v>939</v>
      </c>
      <c r="O90" s="675" t="s">
        <v>0</v>
      </c>
      <c r="P90" s="675" t="s">
        <v>1</v>
      </c>
      <c r="Q90" s="675" t="s">
        <v>2</v>
      </c>
      <c r="R90" s="675" t="s">
        <v>3</v>
      </c>
      <c r="S90" s="675" t="s">
        <v>4</v>
      </c>
      <c r="T90" s="675" t="s">
        <v>5</v>
      </c>
      <c r="U90" s="675" t="s">
        <v>1457</v>
      </c>
      <c r="V90" s="108"/>
      <c r="X90" s="675" t="s">
        <v>939</v>
      </c>
      <c r="Y90" s="675" t="s">
        <v>0</v>
      </c>
      <c r="Z90" s="675" t="s">
        <v>1</v>
      </c>
      <c r="AA90" s="675" t="s">
        <v>2</v>
      </c>
      <c r="AB90" s="675" t="s">
        <v>3</v>
      </c>
      <c r="AC90" s="675" t="s">
        <v>4</v>
      </c>
      <c r="AD90" s="675" t="s">
        <v>5</v>
      </c>
      <c r="AE90" s="675" t="s">
        <v>1457</v>
      </c>
      <c r="AF90" s="108"/>
      <c r="AH90" s="675" t="s">
        <v>939</v>
      </c>
      <c r="AI90" s="675" t="s">
        <v>0</v>
      </c>
      <c r="AJ90" s="675" t="s">
        <v>1</v>
      </c>
      <c r="AK90" s="675" t="s">
        <v>2</v>
      </c>
      <c r="AL90" s="675" t="s">
        <v>3</v>
      </c>
      <c r="AM90" s="675" t="s">
        <v>4</v>
      </c>
      <c r="AN90" s="675" t="s">
        <v>5</v>
      </c>
      <c r="AO90" s="675" t="s">
        <v>1457</v>
      </c>
      <c r="AP90" s="108"/>
      <c r="AR90" s="675" t="s">
        <v>939</v>
      </c>
      <c r="AS90" s="675" t="s">
        <v>0</v>
      </c>
      <c r="AT90" s="675" t="s">
        <v>1</v>
      </c>
      <c r="AU90" s="675" t="s">
        <v>2</v>
      </c>
      <c r="AV90" s="675" t="s">
        <v>3</v>
      </c>
      <c r="AW90" s="675" t="s">
        <v>4</v>
      </c>
      <c r="AX90" s="675" t="s">
        <v>5</v>
      </c>
      <c r="AY90" s="675" t="s">
        <v>1457</v>
      </c>
      <c r="AZ90" s="108"/>
      <c r="BB90" s="675" t="s">
        <v>939</v>
      </c>
      <c r="BC90" s="675" t="s">
        <v>0</v>
      </c>
      <c r="BD90" s="675" t="s">
        <v>1</v>
      </c>
      <c r="BE90" s="675" t="s">
        <v>2</v>
      </c>
      <c r="BF90" s="675" t="s">
        <v>3</v>
      </c>
      <c r="BG90" s="675" t="s">
        <v>4</v>
      </c>
      <c r="BH90" s="675" t="s">
        <v>5</v>
      </c>
      <c r="BI90" s="675" t="s">
        <v>1457</v>
      </c>
      <c r="BL90" s="675" t="s">
        <v>939</v>
      </c>
      <c r="BM90" s="675" t="s">
        <v>0</v>
      </c>
      <c r="BN90" s="675" t="s">
        <v>1</v>
      </c>
      <c r="BO90" s="675" t="s">
        <v>2</v>
      </c>
      <c r="BP90" s="675" t="s">
        <v>3</v>
      </c>
      <c r="BQ90" s="675" t="s">
        <v>4</v>
      </c>
      <c r="BR90" s="675" t="s">
        <v>5</v>
      </c>
      <c r="BS90" s="675" t="s">
        <v>1457</v>
      </c>
      <c r="BV90" s="675" t="s">
        <v>939</v>
      </c>
      <c r="BW90" s="675" t="s">
        <v>0</v>
      </c>
      <c r="BX90" s="675" t="s">
        <v>1</v>
      </c>
      <c r="BY90" s="675" t="s">
        <v>2</v>
      </c>
      <c r="BZ90" s="675" t="s">
        <v>3</v>
      </c>
      <c r="CA90" s="675" t="s">
        <v>4</v>
      </c>
      <c r="CB90" s="675" t="s">
        <v>5</v>
      </c>
      <c r="CC90" s="675" t="s">
        <v>1457</v>
      </c>
    </row>
    <row r="91" spans="2:81" hidden="1" outlineLevel="1" x14ac:dyDescent="0.3">
      <c r="C91" s="52" t="s">
        <v>934</v>
      </c>
      <c r="D91" s="192">
        <f>Input!F99</f>
        <v>0</v>
      </c>
      <c r="E91" s="192">
        <f>Input!G99</f>
        <v>0</v>
      </c>
      <c r="F91" s="192">
        <f>Input!H99</f>
        <v>0</v>
      </c>
      <c r="G91" s="192">
        <f>Input!I99</f>
        <v>0</v>
      </c>
      <c r="H91" s="192">
        <f>Input!J99</f>
        <v>0</v>
      </c>
      <c r="I91" s="192">
        <f>Input!K99</f>
        <v>0</v>
      </c>
      <c r="J91" s="192">
        <f>Input!L99</f>
        <v>0</v>
      </c>
      <c r="K91" s="192">
        <f>Input!M99</f>
        <v>0</v>
      </c>
      <c r="L91" s="191"/>
      <c r="M91" s="191"/>
      <c r="N91" s="254" t="s">
        <v>934</v>
      </c>
      <c r="O91" s="192">
        <f>Input!F139+Input!F172</f>
        <v>0</v>
      </c>
      <c r="P91" s="192">
        <f>Input!G139+Input!G172</f>
        <v>0</v>
      </c>
      <c r="Q91" s="192">
        <f>Input!H139+Input!H172</f>
        <v>0</v>
      </c>
      <c r="R91" s="192">
        <f>Input!I139+Input!I172</f>
        <v>0</v>
      </c>
      <c r="S91" s="192">
        <f>Input!J139+Input!J172</f>
        <v>0</v>
      </c>
      <c r="T91" s="192">
        <f>Input!K139+Input!K172</f>
        <v>0</v>
      </c>
      <c r="U91" s="192">
        <f>Input!L139+Input!L172</f>
        <v>0</v>
      </c>
      <c r="V91" s="191"/>
      <c r="W91" s="191"/>
      <c r="X91" s="254" t="s">
        <v>934</v>
      </c>
      <c r="Y91" s="192">
        <f>SUMIFS('Step 4 bond aggregation'!$B$2:$B$661,'Step 4 bond aggregation'!$A$2:$A$661,$W$69,'Step 4 bond aggregation'!$F$2:$F$661,Y$72,'Step 4 bond aggregation'!$G$2:$G$661,MATCH($X91,lov_term_buckets,0),'Step 4 bond aggregation'!$E$2:$E$661,$Y$89)</f>
        <v>0</v>
      </c>
      <c r="Z91" s="192">
        <f>SUMIFS('Step 4 bond aggregation'!$B$2:$B$661,'Step 4 bond aggregation'!$A$2:$A$661,$W$69,'Step 4 bond aggregation'!$F$2:$F$661,Z$72,'Step 4 bond aggregation'!$G$2:$G$661,MATCH($X91,lov_term_buckets,0),'Step 4 bond aggregation'!$E$2:$E$661,$Y$89)</f>
        <v>0</v>
      </c>
      <c r="AA91" s="192">
        <f>SUMIFS('Step 4 bond aggregation'!$B$2:$B$661,'Step 4 bond aggregation'!$A$2:$A$661,$W$69,'Step 4 bond aggregation'!$F$2:$F$661,AA$72,'Step 4 bond aggregation'!$G$2:$G$661,MATCH($X91,lov_term_buckets,0),'Step 4 bond aggregation'!$E$2:$E$661,$Y$89)</f>
        <v>0</v>
      </c>
      <c r="AB91" s="192">
        <f>SUMIFS('Step 4 bond aggregation'!$B$2:$B$661,'Step 4 bond aggregation'!$A$2:$A$661,$W$69,'Step 4 bond aggregation'!$F$2:$F$661,AB$72,'Step 4 bond aggregation'!$G$2:$G$661,MATCH($X91,lov_term_buckets,0),'Step 4 bond aggregation'!$E$2:$E$661,$Y$89)</f>
        <v>0</v>
      </c>
      <c r="AC91" s="192">
        <f>SUMIFS('Step 4 bond aggregation'!$B$2:$B$661,'Step 4 bond aggregation'!$A$2:$A$661,$W$69,'Step 4 bond aggregation'!$F$2:$F$661,AC$72,'Step 4 bond aggregation'!$G$2:$G$661,MATCH($X91,lov_term_buckets,0),'Step 4 bond aggregation'!$E$2:$E$661,$Y$89)</f>
        <v>0</v>
      </c>
      <c r="AD91" s="192">
        <f>SUMIFS('Step 4 bond aggregation'!$B$2:$B$661,'Step 4 bond aggregation'!$A$2:$A$661,$W$69,'Step 4 bond aggregation'!$F$2:$F$661,AD$72,'Step 4 bond aggregation'!$G$2:$G$661,MATCH($X91,lov_term_buckets,0),'Step 4 bond aggregation'!$E$2:$E$661,$Y$89)</f>
        <v>0</v>
      </c>
      <c r="AE91" s="192">
        <f>SUMIFS('Step 4 bond aggregation'!$B$2:$B$661,'Step 4 bond aggregation'!$A$2:$A$661,$W$69,'Step 4 bond aggregation'!$F$2:$F$661,AE$72,'Step 4 bond aggregation'!$G$2:$G$661,MATCH($X91,lov_term_buckets,0),'Step 4 bond aggregation'!$E$2:$E$661,$Y$89)</f>
        <v>0</v>
      </c>
      <c r="AF91" s="191"/>
      <c r="AG91" s="191"/>
      <c r="AH91" s="254" t="s">
        <v>934</v>
      </c>
      <c r="AI91" s="192">
        <f>SUMIFS('Step 4 bond aggregation'!$B$2:$B$661,'Step 4 bond aggregation'!$A$2:$A$661,$AG$69,'Step 4 bond aggregation'!$F$2:$F$661,AI$72,'Step 4 bond aggregation'!$G$2:$G$661,MATCH($AH91,lov_term_buckets,0),'Step 4 bond aggregation'!$E$2:$E$661,$AI$89)</f>
        <v>0</v>
      </c>
      <c r="AJ91" s="192">
        <f>SUMIFS('Step 4 bond aggregation'!$B$2:$B$661,'Step 4 bond aggregation'!$A$2:$A$661,$AG$69,'Step 4 bond aggregation'!$F$2:$F$661,AJ$72,'Step 4 bond aggregation'!$G$2:$G$661,MATCH($AH91,lov_term_buckets,0),'Step 4 bond aggregation'!$E$2:$E$661,$AI$89)</f>
        <v>0</v>
      </c>
      <c r="AK91" s="192">
        <f>SUMIFS('Step 4 bond aggregation'!$B$2:$B$661,'Step 4 bond aggregation'!$A$2:$A$661,$AG$69,'Step 4 bond aggregation'!$F$2:$F$661,AK$72,'Step 4 bond aggregation'!$G$2:$G$661,MATCH($AH91,lov_term_buckets,0),'Step 4 bond aggregation'!$E$2:$E$661,$AI$89)</f>
        <v>0</v>
      </c>
      <c r="AL91" s="192">
        <f>SUMIFS('Step 4 bond aggregation'!$B$2:$B$661,'Step 4 bond aggregation'!$A$2:$A$661,$AG$69,'Step 4 bond aggregation'!$F$2:$F$661,AL$72,'Step 4 bond aggregation'!$G$2:$G$661,MATCH($AH91,lov_term_buckets,0),'Step 4 bond aggregation'!$E$2:$E$661,$AI$89)</f>
        <v>0</v>
      </c>
      <c r="AM91" s="192">
        <f>SUMIFS('Step 4 bond aggregation'!$B$2:$B$661,'Step 4 bond aggregation'!$A$2:$A$661,$AG$69,'Step 4 bond aggregation'!$F$2:$F$661,AM$72,'Step 4 bond aggregation'!$G$2:$G$661,MATCH($AH91,lov_term_buckets,0),'Step 4 bond aggregation'!$E$2:$E$661,$AI$89)</f>
        <v>0</v>
      </c>
      <c r="AN91" s="192">
        <f>SUMIFS('Step 4 bond aggregation'!$B$2:$B$661,'Step 4 bond aggregation'!$A$2:$A$661,$AG$69,'Step 4 bond aggregation'!$F$2:$F$661,AN$72,'Step 4 bond aggregation'!$G$2:$G$661,MATCH($AH91,lov_term_buckets,0),'Step 4 bond aggregation'!$E$2:$E$661,$AI$89)</f>
        <v>0</v>
      </c>
      <c r="AO91" s="192">
        <f>SUMIFS('Step 4 bond aggregation'!$B$2:$B$661,'Step 4 bond aggregation'!$A$2:$A$661,$AG$69,'Step 4 bond aggregation'!$F$2:$F$661,AO$72,'Step 4 bond aggregation'!$G$2:$G$661,MATCH($AH91,lov_term_buckets,0),'Step 4 bond aggregation'!$E$2:$E$661,$AI$89)</f>
        <v>0</v>
      </c>
      <c r="AP91" s="191"/>
      <c r="AQ91" s="191"/>
      <c r="AR91" s="254" t="s">
        <v>934</v>
      </c>
      <c r="AS91" s="192">
        <f>SUMIFS('Step 4 bond aggregation'!$B$2:$B$661,'Step 4 bond aggregation'!$A$2:$A$661,$AQ$69,'Step 4 bond aggregation'!$F$2:$F$661,AS$72,'Step 4 bond aggregation'!$G$2:$G$661,MATCH($AR91,lov_term_buckets,0),'Step 4 bond aggregation'!$E$2:$E$661,$AS$89)</f>
        <v>0</v>
      </c>
      <c r="AT91" s="192">
        <f>SUMIFS('Step 4 bond aggregation'!$B$2:$B$661,'Step 4 bond aggregation'!$A$2:$A$661,$AQ$69,'Step 4 bond aggregation'!$F$2:$F$661,AT$72,'Step 4 bond aggregation'!$G$2:$G$661,MATCH($AR91,lov_term_buckets,0),'Step 4 bond aggregation'!$E$2:$E$661,$AS$89)</f>
        <v>0</v>
      </c>
      <c r="AU91" s="192">
        <f>SUMIFS('Step 4 bond aggregation'!$B$2:$B$661,'Step 4 bond aggregation'!$A$2:$A$661,$AQ$69,'Step 4 bond aggregation'!$F$2:$F$661,AU$72,'Step 4 bond aggregation'!$G$2:$G$661,MATCH($AR91,lov_term_buckets,0),'Step 4 bond aggregation'!$E$2:$E$661,$AS$89)</f>
        <v>0</v>
      </c>
      <c r="AV91" s="192">
        <f>SUMIFS('Step 4 bond aggregation'!$B$2:$B$661,'Step 4 bond aggregation'!$A$2:$A$661,$AQ$69,'Step 4 bond aggregation'!$F$2:$F$661,AV$72,'Step 4 bond aggregation'!$G$2:$G$661,MATCH($AR91,lov_term_buckets,0),'Step 4 bond aggregation'!$E$2:$E$661,$AS$89)</f>
        <v>0</v>
      </c>
      <c r="AW91" s="192">
        <f>SUMIFS('Step 4 bond aggregation'!$B$2:$B$661,'Step 4 bond aggregation'!$A$2:$A$661,$AQ$69,'Step 4 bond aggregation'!$F$2:$F$661,AW$72,'Step 4 bond aggregation'!$G$2:$G$661,MATCH($AR91,lov_term_buckets,0),'Step 4 bond aggregation'!$E$2:$E$661,$AS$89)</f>
        <v>0</v>
      </c>
      <c r="AX91" s="192">
        <f>SUMIFS('Step 4 bond aggregation'!$B$2:$B$661,'Step 4 bond aggregation'!$A$2:$A$661,$AQ$69,'Step 4 bond aggregation'!$F$2:$F$661,AX$72,'Step 4 bond aggregation'!$G$2:$G$661,MATCH($AR91,lov_term_buckets,0),'Step 4 bond aggregation'!$E$2:$E$661,$AS$89)</f>
        <v>0</v>
      </c>
      <c r="AY91" s="192">
        <f>SUMIFS('Step 4 bond aggregation'!$B$2:$B$661,'Step 4 bond aggregation'!$A$2:$A$661,$AQ$69,'Step 4 bond aggregation'!$F$2:$F$661,AY$72,'Step 4 bond aggregation'!$G$2:$G$661,MATCH($AR91,lov_term_buckets,0),'Step 4 bond aggregation'!$E$2:$E$661,$AS$89)</f>
        <v>0</v>
      </c>
      <c r="AZ91" s="191"/>
      <c r="BA91" s="191"/>
      <c r="BB91" s="254" t="s">
        <v>934</v>
      </c>
      <c r="BC91" s="192">
        <f>SUMIFS('Step 4 bond aggregation'!$B$2:$B$661,'Step 4 bond aggregation'!$A$2:$A$661,$BA$69,'Step 4 bond aggregation'!$F$2:$F$661,BC$72,'Step 4 bond aggregation'!$G$2:$G$661,MATCH($BB91,lov_term_buckets,0),'Step 4 bond aggregation'!$E$2:$E$661,$BC$89)</f>
        <v>0</v>
      </c>
      <c r="BD91" s="192">
        <f>SUMIFS('Step 4 bond aggregation'!$B$2:$B$661,'Step 4 bond aggregation'!$A$2:$A$661,$BA$69,'Step 4 bond aggregation'!$F$2:$F$661,BD$72,'Step 4 bond aggregation'!$G$2:$G$661,MATCH($BB91,lov_term_buckets,0),'Step 4 bond aggregation'!$E$2:$E$661,$BC$89)</f>
        <v>0</v>
      </c>
      <c r="BE91" s="192">
        <f>SUMIFS('Step 4 bond aggregation'!$B$2:$B$661,'Step 4 bond aggregation'!$A$2:$A$661,$BA$69,'Step 4 bond aggregation'!$F$2:$F$661,BE$72,'Step 4 bond aggregation'!$G$2:$G$661,MATCH($BB91,lov_term_buckets,0),'Step 4 bond aggregation'!$E$2:$E$661,$BC$89)</f>
        <v>0</v>
      </c>
      <c r="BF91" s="192">
        <f>SUMIFS('Step 4 bond aggregation'!$B$2:$B$661,'Step 4 bond aggregation'!$A$2:$A$661,$BA$69,'Step 4 bond aggregation'!$F$2:$F$661,BF$72,'Step 4 bond aggregation'!$G$2:$G$661,MATCH($BB91,lov_term_buckets,0),'Step 4 bond aggregation'!$E$2:$E$661,$BC$89)</f>
        <v>0</v>
      </c>
      <c r="BG91" s="192">
        <f>SUMIFS('Step 4 bond aggregation'!$B$2:$B$661,'Step 4 bond aggregation'!$A$2:$A$661,$BA$69,'Step 4 bond aggregation'!$F$2:$F$661,BG$72,'Step 4 bond aggregation'!$G$2:$G$661,MATCH($BB91,lov_term_buckets,0),'Step 4 bond aggregation'!$E$2:$E$661,$BC$89)</f>
        <v>0</v>
      </c>
      <c r="BH91" s="192">
        <f>SUMIFS('Step 4 bond aggregation'!$B$2:$B$661,'Step 4 bond aggregation'!$A$2:$A$661,$BA$69,'Step 4 bond aggregation'!$F$2:$F$661,BH$72,'Step 4 bond aggregation'!$G$2:$G$661,MATCH($BB91,lov_term_buckets,0),'Step 4 bond aggregation'!$E$2:$E$661,$BC$89)</f>
        <v>0</v>
      </c>
      <c r="BI91" s="192">
        <f>SUMIFS('Step 4 bond aggregation'!$B$2:$B$661,'Step 4 bond aggregation'!$A$2:$A$661,$BA$69,'Step 4 bond aggregation'!$F$2:$F$661,BI$72,'Step 4 bond aggregation'!$G$2:$G$661,MATCH($BB91,lov_term_buckets,0),'Step 4 bond aggregation'!$E$2:$E$661,$BC$89)</f>
        <v>0</v>
      </c>
      <c r="BK91" s="191"/>
      <c r="BL91" s="254" t="s">
        <v>934</v>
      </c>
      <c r="BM91" s="192">
        <f>SUMIFS('Step 4 bond aggregation'!$B$2:$B$661,'Step 4 bond aggregation'!$A$2:$A$661,$BK$69,'Step 4 bond aggregation'!$F$2:$F$661,BM$72,'Step 4 bond aggregation'!$G$2:$G$661,MATCH($BB91,lov_term_buckets,0),'Step 4 bond aggregation'!$E$2:$E$661,$BC$89)</f>
        <v>0</v>
      </c>
      <c r="BN91" s="192">
        <f>SUMIFS('Step 4 bond aggregation'!$B$2:$B$661,'Step 4 bond aggregation'!$A$2:$A$661,$BK$69,'Step 4 bond aggregation'!$F$2:$F$661,BN$72,'Step 4 bond aggregation'!$G$2:$G$661,MATCH($BB91,lov_term_buckets,0),'Step 4 bond aggregation'!$E$2:$E$661,$BC$89)</f>
        <v>0</v>
      </c>
      <c r="BO91" s="192">
        <f>SUMIFS('Step 4 bond aggregation'!$B$2:$B$661,'Step 4 bond aggregation'!$A$2:$A$661,$BK$69,'Step 4 bond aggregation'!$F$2:$F$661,BO$72,'Step 4 bond aggregation'!$G$2:$G$661,MATCH($BB91,lov_term_buckets,0),'Step 4 bond aggregation'!$E$2:$E$661,$BC$89)</f>
        <v>0</v>
      </c>
      <c r="BP91" s="192">
        <f>SUMIFS('Step 4 bond aggregation'!$B$2:$B$661,'Step 4 bond aggregation'!$A$2:$A$661,$BK$69,'Step 4 bond aggregation'!$F$2:$F$661,BP$72,'Step 4 bond aggregation'!$G$2:$G$661,MATCH($BB91,lov_term_buckets,0),'Step 4 bond aggregation'!$E$2:$E$661,$BC$89)</f>
        <v>0</v>
      </c>
      <c r="BQ91" s="192">
        <f>SUMIFS('Step 4 bond aggregation'!$B$2:$B$661,'Step 4 bond aggregation'!$A$2:$A$661,$BK$69,'Step 4 bond aggregation'!$F$2:$F$661,BQ$72,'Step 4 bond aggregation'!$G$2:$G$661,MATCH($BB91,lov_term_buckets,0),'Step 4 bond aggregation'!$E$2:$E$661,$BC$89)</f>
        <v>0</v>
      </c>
      <c r="BR91" s="192">
        <f>SUMIFS('Step 4 bond aggregation'!$B$2:$B$661,'Step 4 bond aggregation'!$A$2:$A$661,$BK$69,'Step 4 bond aggregation'!$F$2:$F$661,BR$72,'Step 4 bond aggregation'!$G$2:$G$661,MATCH($BB91,lov_term_buckets,0),'Step 4 bond aggregation'!$E$2:$E$661,$BC$89)</f>
        <v>0</v>
      </c>
      <c r="BS91" s="192">
        <f>SUMIFS('Step 4 bond aggregation'!$B$2:$B$661,'Step 4 bond aggregation'!$A$2:$A$661,$BK$69,'Step 4 bond aggregation'!$F$2:$F$661,BS$72,'Step 4 bond aggregation'!$G$2:$G$661,MATCH($BB91,lov_term_buckets,0),'Step 4 bond aggregation'!$E$2:$E$661,$BC$89)</f>
        <v>0</v>
      </c>
      <c r="BU91" s="191"/>
      <c r="BV91" s="254" t="s">
        <v>934</v>
      </c>
      <c r="BW91" s="192">
        <f>SUMIFS('Step 4 bond aggregation'!$B$2:$B$661,'Step 4 bond aggregation'!$A$2:$A$661,$BU$69,'Step 4 bond aggregation'!$F$2:$F$661,BW$72,'Step 4 bond aggregation'!$G$2:$G$661,MATCH($BB91,lov_term_buckets,0),'Step 4 bond aggregation'!$E$2:$E$661,$BC$89)</f>
        <v>0</v>
      </c>
      <c r="BX91" s="192">
        <f>SUMIFS('Step 4 bond aggregation'!$B$2:$B$661,'Step 4 bond aggregation'!$A$2:$A$661,$BU$69,'Step 4 bond aggregation'!$F$2:$F$661,BX$72,'Step 4 bond aggregation'!$G$2:$G$661,MATCH($BB91,lov_term_buckets,0),'Step 4 bond aggregation'!$E$2:$E$661,$BC$89)</f>
        <v>0</v>
      </c>
      <c r="BY91" s="192">
        <f>SUMIFS('Step 4 bond aggregation'!$B$2:$B$661,'Step 4 bond aggregation'!$A$2:$A$661,$BU$69,'Step 4 bond aggregation'!$F$2:$F$661,BY$72,'Step 4 bond aggregation'!$G$2:$G$661,MATCH($BB91,lov_term_buckets,0),'Step 4 bond aggregation'!$E$2:$E$661,$BC$89)</f>
        <v>0</v>
      </c>
      <c r="BZ91" s="192">
        <f>SUMIFS('Step 4 bond aggregation'!$B$2:$B$661,'Step 4 bond aggregation'!$A$2:$A$661,$BU$69,'Step 4 bond aggregation'!$F$2:$F$661,BZ$72,'Step 4 bond aggregation'!$G$2:$G$661,MATCH($BB91,lov_term_buckets,0),'Step 4 bond aggregation'!$E$2:$E$661,$BC$89)</f>
        <v>0</v>
      </c>
      <c r="CA91" s="192">
        <f>SUMIFS('Step 4 bond aggregation'!$B$2:$B$661,'Step 4 bond aggregation'!$A$2:$A$661,$BU$69,'Step 4 bond aggregation'!$F$2:$F$661,CA$72,'Step 4 bond aggregation'!$G$2:$G$661,MATCH($BB91,lov_term_buckets,0),'Step 4 bond aggregation'!$E$2:$E$661,$BC$89)</f>
        <v>0</v>
      </c>
      <c r="CB91" s="192">
        <f>SUMIFS('Step 4 bond aggregation'!$B$2:$B$661,'Step 4 bond aggregation'!$A$2:$A$661,$BU$69,'Step 4 bond aggregation'!$F$2:$F$661,CB$72,'Step 4 bond aggregation'!$G$2:$G$661,MATCH($BB91,lov_term_buckets,0),'Step 4 bond aggregation'!$E$2:$E$661,$BC$89)</f>
        <v>0</v>
      </c>
      <c r="CC91" s="192">
        <f>SUMIFS('Step 4 bond aggregation'!$B$2:$B$661,'Step 4 bond aggregation'!$A$2:$A$661,$BU$69,'Step 4 bond aggregation'!$F$2:$F$661,CC$72,'Step 4 bond aggregation'!$G$2:$G$661,MATCH($BB91,lov_term_buckets,0),'Step 4 bond aggregation'!$E$2:$E$661,$BC$89)</f>
        <v>0</v>
      </c>
    </row>
    <row r="92" spans="2:81" hidden="1" outlineLevel="1" x14ac:dyDescent="0.3">
      <c r="C92" s="52" t="s">
        <v>935</v>
      </c>
      <c r="D92" s="192">
        <f>Input!F100</f>
        <v>0</v>
      </c>
      <c r="E92" s="192">
        <f>Input!G100</f>
        <v>0</v>
      </c>
      <c r="F92" s="192">
        <f>Input!H100</f>
        <v>0</v>
      </c>
      <c r="G92" s="192">
        <f>Input!I100</f>
        <v>0</v>
      </c>
      <c r="H92" s="192">
        <f>Input!J100</f>
        <v>0</v>
      </c>
      <c r="I92" s="192">
        <f>Input!K100</f>
        <v>0</v>
      </c>
      <c r="J92" s="192">
        <f>Input!L100</f>
        <v>0</v>
      </c>
      <c r="K92" s="192">
        <f>Input!M100</f>
        <v>0</v>
      </c>
      <c r="L92" s="191"/>
      <c r="M92" s="191"/>
      <c r="N92" s="254" t="s">
        <v>935</v>
      </c>
      <c r="O92" s="192">
        <f>Input!F140+Input!F173</f>
        <v>0</v>
      </c>
      <c r="P92" s="192">
        <f>Input!G140+Input!G173</f>
        <v>0</v>
      </c>
      <c r="Q92" s="192">
        <f>Input!H140+Input!H173</f>
        <v>0</v>
      </c>
      <c r="R92" s="192">
        <f>Input!I140+Input!I173</f>
        <v>0</v>
      </c>
      <c r="S92" s="192">
        <f>Input!J140+Input!J173</f>
        <v>0</v>
      </c>
      <c r="T92" s="192">
        <f>Input!K140+Input!K173</f>
        <v>0</v>
      </c>
      <c r="U92" s="192">
        <f>Input!L140+Input!L173</f>
        <v>0</v>
      </c>
      <c r="V92" s="191"/>
      <c r="W92" s="191"/>
      <c r="X92" s="254" t="s">
        <v>935</v>
      </c>
      <c r="Y92" s="192">
        <f>SUMIFS('Step 4 bond aggregation'!$B$2:$B$661,'Step 4 bond aggregation'!$A$2:$A$661,$W$69,'Step 4 bond aggregation'!$F$2:$F$661,Y$72,'Step 4 bond aggregation'!$G$2:$G$661,MATCH($X92,lov_term_buckets,0),'Step 4 bond aggregation'!$E$2:$E$661,$Y$89)</f>
        <v>0</v>
      </c>
      <c r="Z92" s="192">
        <f>SUMIFS('Step 4 bond aggregation'!$B$2:$B$661,'Step 4 bond aggregation'!$A$2:$A$661,$W$69,'Step 4 bond aggregation'!$F$2:$F$661,Z$72,'Step 4 bond aggregation'!$G$2:$G$661,MATCH($X92,lov_term_buckets,0),'Step 4 bond aggregation'!$E$2:$E$661,$Y$89)</f>
        <v>0</v>
      </c>
      <c r="AA92" s="192">
        <f>SUMIFS('Step 4 bond aggregation'!$B$2:$B$661,'Step 4 bond aggregation'!$A$2:$A$661,$W$69,'Step 4 bond aggregation'!$F$2:$F$661,AA$72,'Step 4 bond aggregation'!$G$2:$G$661,MATCH($X92,lov_term_buckets,0),'Step 4 bond aggregation'!$E$2:$E$661,$Y$89)</f>
        <v>0</v>
      </c>
      <c r="AB92" s="192">
        <f>SUMIFS('Step 4 bond aggregation'!$B$2:$B$661,'Step 4 bond aggregation'!$A$2:$A$661,$W$69,'Step 4 bond aggregation'!$F$2:$F$661,AB$72,'Step 4 bond aggregation'!$G$2:$G$661,MATCH($X92,lov_term_buckets,0),'Step 4 bond aggregation'!$E$2:$E$661,$Y$89)</f>
        <v>0</v>
      </c>
      <c r="AC92" s="192">
        <f>SUMIFS('Step 4 bond aggregation'!$B$2:$B$661,'Step 4 bond aggregation'!$A$2:$A$661,$W$69,'Step 4 bond aggregation'!$F$2:$F$661,AC$72,'Step 4 bond aggregation'!$G$2:$G$661,MATCH($X92,lov_term_buckets,0),'Step 4 bond aggregation'!$E$2:$E$661,$Y$89)</f>
        <v>0</v>
      </c>
      <c r="AD92" s="192">
        <f>SUMIFS('Step 4 bond aggregation'!$B$2:$B$661,'Step 4 bond aggregation'!$A$2:$A$661,$W$69,'Step 4 bond aggregation'!$F$2:$F$661,AD$72,'Step 4 bond aggregation'!$G$2:$G$661,MATCH($X92,lov_term_buckets,0),'Step 4 bond aggregation'!$E$2:$E$661,$Y$89)</f>
        <v>0</v>
      </c>
      <c r="AE92" s="192">
        <f>SUMIFS('Step 4 bond aggregation'!$B$2:$B$661,'Step 4 bond aggregation'!$A$2:$A$661,$W$69,'Step 4 bond aggregation'!$F$2:$F$661,AE$72,'Step 4 bond aggregation'!$G$2:$G$661,MATCH($X92,lov_term_buckets,0),'Step 4 bond aggregation'!$E$2:$E$661,$Y$89)</f>
        <v>0</v>
      </c>
      <c r="AF92" s="191"/>
      <c r="AG92" s="191"/>
      <c r="AH92" s="254" t="s">
        <v>935</v>
      </c>
      <c r="AI92" s="192">
        <f>SUMIFS('Step 4 bond aggregation'!$B$2:$B$661,'Step 4 bond aggregation'!$A$2:$A$661,$AG$69,'Step 4 bond aggregation'!$F$2:$F$661,AI$72,'Step 4 bond aggregation'!$G$2:$G$661,MATCH($AH92,lov_term_buckets,0),'Step 4 bond aggregation'!$E$2:$E$661,$AI$89)</f>
        <v>0</v>
      </c>
      <c r="AJ92" s="192">
        <f>SUMIFS('Step 4 bond aggregation'!$B$2:$B$661,'Step 4 bond aggregation'!$A$2:$A$661,$AG$69,'Step 4 bond aggregation'!$F$2:$F$661,AJ$72,'Step 4 bond aggregation'!$G$2:$G$661,MATCH($AH92,lov_term_buckets,0),'Step 4 bond aggregation'!$E$2:$E$661,$AI$89)</f>
        <v>0</v>
      </c>
      <c r="AK92" s="192">
        <f>SUMIFS('Step 4 bond aggregation'!$B$2:$B$661,'Step 4 bond aggregation'!$A$2:$A$661,$AG$69,'Step 4 bond aggregation'!$F$2:$F$661,AK$72,'Step 4 bond aggregation'!$G$2:$G$661,MATCH($AH92,lov_term_buckets,0),'Step 4 bond aggregation'!$E$2:$E$661,$AI$89)</f>
        <v>0</v>
      </c>
      <c r="AL92" s="192">
        <f>SUMIFS('Step 4 bond aggregation'!$B$2:$B$661,'Step 4 bond aggregation'!$A$2:$A$661,$AG$69,'Step 4 bond aggregation'!$F$2:$F$661,AL$72,'Step 4 bond aggregation'!$G$2:$G$661,MATCH($AH92,lov_term_buckets,0),'Step 4 bond aggregation'!$E$2:$E$661,$AI$89)</f>
        <v>0</v>
      </c>
      <c r="AM92" s="192">
        <f>SUMIFS('Step 4 bond aggregation'!$B$2:$B$661,'Step 4 bond aggregation'!$A$2:$A$661,$AG$69,'Step 4 bond aggregation'!$F$2:$F$661,AM$72,'Step 4 bond aggregation'!$G$2:$G$661,MATCH($AH92,lov_term_buckets,0),'Step 4 bond aggregation'!$E$2:$E$661,$AI$89)</f>
        <v>0</v>
      </c>
      <c r="AN92" s="192">
        <f>SUMIFS('Step 4 bond aggregation'!$B$2:$B$661,'Step 4 bond aggregation'!$A$2:$A$661,$AG$69,'Step 4 bond aggregation'!$F$2:$F$661,AN$72,'Step 4 bond aggregation'!$G$2:$G$661,MATCH($AH92,lov_term_buckets,0),'Step 4 bond aggregation'!$E$2:$E$661,$AI$89)</f>
        <v>0</v>
      </c>
      <c r="AO92" s="192">
        <f>SUMIFS('Step 4 bond aggregation'!$B$2:$B$661,'Step 4 bond aggregation'!$A$2:$A$661,$AG$69,'Step 4 bond aggregation'!$F$2:$F$661,AO$72,'Step 4 bond aggregation'!$G$2:$G$661,MATCH($AH92,lov_term_buckets,0),'Step 4 bond aggregation'!$E$2:$E$661,$AI$89)</f>
        <v>0</v>
      </c>
      <c r="AP92" s="191"/>
      <c r="AQ92" s="191"/>
      <c r="AR92" s="254" t="s">
        <v>935</v>
      </c>
      <c r="AS92" s="192">
        <f>SUMIFS('Step 4 bond aggregation'!$B$2:$B$661,'Step 4 bond aggregation'!$A$2:$A$661,$AQ$69,'Step 4 bond aggregation'!$F$2:$F$661,AS$72,'Step 4 bond aggregation'!$G$2:$G$661,MATCH($AR92,lov_term_buckets,0),'Step 4 bond aggregation'!$E$2:$E$661,$AS$89)</f>
        <v>0</v>
      </c>
      <c r="AT92" s="192">
        <f>SUMIFS('Step 4 bond aggregation'!$B$2:$B$661,'Step 4 bond aggregation'!$A$2:$A$661,$AQ$69,'Step 4 bond aggregation'!$F$2:$F$661,AT$72,'Step 4 bond aggregation'!$G$2:$G$661,MATCH($AR92,lov_term_buckets,0),'Step 4 bond aggregation'!$E$2:$E$661,$AS$89)</f>
        <v>0</v>
      </c>
      <c r="AU92" s="192">
        <f>SUMIFS('Step 4 bond aggregation'!$B$2:$B$661,'Step 4 bond aggregation'!$A$2:$A$661,$AQ$69,'Step 4 bond aggregation'!$F$2:$F$661,AU$72,'Step 4 bond aggregation'!$G$2:$G$661,MATCH($AR92,lov_term_buckets,0),'Step 4 bond aggregation'!$E$2:$E$661,$AS$89)</f>
        <v>0</v>
      </c>
      <c r="AV92" s="192">
        <f>SUMIFS('Step 4 bond aggregation'!$B$2:$B$661,'Step 4 bond aggregation'!$A$2:$A$661,$AQ$69,'Step 4 bond aggregation'!$F$2:$F$661,AV$72,'Step 4 bond aggregation'!$G$2:$G$661,MATCH($AR92,lov_term_buckets,0),'Step 4 bond aggregation'!$E$2:$E$661,$AS$89)</f>
        <v>0</v>
      </c>
      <c r="AW92" s="192">
        <f>SUMIFS('Step 4 bond aggregation'!$B$2:$B$661,'Step 4 bond aggregation'!$A$2:$A$661,$AQ$69,'Step 4 bond aggregation'!$F$2:$F$661,AW$72,'Step 4 bond aggregation'!$G$2:$G$661,MATCH($AR92,lov_term_buckets,0),'Step 4 bond aggregation'!$E$2:$E$661,$AS$89)</f>
        <v>0</v>
      </c>
      <c r="AX92" s="192">
        <f>SUMIFS('Step 4 bond aggregation'!$B$2:$B$661,'Step 4 bond aggregation'!$A$2:$A$661,$AQ$69,'Step 4 bond aggregation'!$F$2:$F$661,AX$72,'Step 4 bond aggregation'!$G$2:$G$661,MATCH($AR92,lov_term_buckets,0),'Step 4 bond aggregation'!$E$2:$E$661,$AS$89)</f>
        <v>0</v>
      </c>
      <c r="AY92" s="192">
        <f>SUMIFS('Step 4 bond aggregation'!$B$2:$B$661,'Step 4 bond aggregation'!$A$2:$A$661,$AQ$69,'Step 4 bond aggregation'!$F$2:$F$661,AY$72,'Step 4 bond aggregation'!$G$2:$G$661,MATCH($AR92,lov_term_buckets,0),'Step 4 bond aggregation'!$E$2:$E$661,$AS$89)</f>
        <v>0</v>
      </c>
      <c r="AZ92" s="191"/>
      <c r="BA92" s="191"/>
      <c r="BB92" s="254" t="s">
        <v>935</v>
      </c>
      <c r="BC92" s="192">
        <f>SUMIFS('Step 4 bond aggregation'!$B$2:$B$661,'Step 4 bond aggregation'!$A$2:$A$661,$BA$69,'Step 4 bond aggregation'!$F$2:$F$661,BC$72,'Step 4 bond aggregation'!$G$2:$G$661,MATCH($BB92,lov_term_buckets,0),'Step 4 bond aggregation'!$E$2:$E$661,$BC$89)</f>
        <v>0</v>
      </c>
      <c r="BD92" s="192">
        <f>SUMIFS('Step 4 bond aggregation'!$B$2:$B$661,'Step 4 bond aggregation'!$A$2:$A$661,$BA$69,'Step 4 bond aggregation'!$F$2:$F$661,BD$72,'Step 4 bond aggregation'!$G$2:$G$661,MATCH($BB92,lov_term_buckets,0),'Step 4 bond aggregation'!$E$2:$E$661,$BC$89)</f>
        <v>0</v>
      </c>
      <c r="BE92" s="192">
        <f>SUMIFS('Step 4 bond aggregation'!$B$2:$B$661,'Step 4 bond aggregation'!$A$2:$A$661,$BA$69,'Step 4 bond aggregation'!$F$2:$F$661,BE$72,'Step 4 bond aggregation'!$G$2:$G$661,MATCH($BB92,lov_term_buckets,0),'Step 4 bond aggregation'!$E$2:$E$661,$BC$89)</f>
        <v>0</v>
      </c>
      <c r="BF92" s="192">
        <f>SUMIFS('Step 4 bond aggregation'!$B$2:$B$661,'Step 4 bond aggregation'!$A$2:$A$661,$BA$69,'Step 4 bond aggregation'!$F$2:$F$661,BF$72,'Step 4 bond aggregation'!$G$2:$G$661,MATCH($BB92,lov_term_buckets,0),'Step 4 bond aggregation'!$E$2:$E$661,$BC$89)</f>
        <v>0</v>
      </c>
      <c r="BG92" s="192">
        <f>SUMIFS('Step 4 bond aggregation'!$B$2:$B$661,'Step 4 bond aggregation'!$A$2:$A$661,$BA$69,'Step 4 bond aggregation'!$F$2:$F$661,BG$72,'Step 4 bond aggregation'!$G$2:$G$661,MATCH($BB92,lov_term_buckets,0),'Step 4 bond aggregation'!$E$2:$E$661,$BC$89)</f>
        <v>0</v>
      </c>
      <c r="BH92" s="192">
        <f>SUMIFS('Step 4 bond aggregation'!$B$2:$B$661,'Step 4 bond aggregation'!$A$2:$A$661,$BA$69,'Step 4 bond aggregation'!$F$2:$F$661,BH$72,'Step 4 bond aggregation'!$G$2:$G$661,MATCH($BB92,lov_term_buckets,0),'Step 4 bond aggregation'!$E$2:$E$661,$BC$89)</f>
        <v>0</v>
      </c>
      <c r="BI92" s="192">
        <f>SUMIFS('Step 4 bond aggregation'!$B$2:$B$661,'Step 4 bond aggregation'!$A$2:$A$661,$BA$69,'Step 4 bond aggregation'!$F$2:$F$661,BI$72,'Step 4 bond aggregation'!$G$2:$G$661,MATCH($BB92,lov_term_buckets,0),'Step 4 bond aggregation'!$E$2:$E$661,$BC$89)</f>
        <v>0</v>
      </c>
      <c r="BK92" s="191"/>
      <c r="BL92" s="254" t="s">
        <v>935</v>
      </c>
      <c r="BM92" s="192">
        <f>SUMIFS('Step 4 bond aggregation'!$B$2:$B$661,'Step 4 bond aggregation'!$A$2:$A$661,$BK$69,'Step 4 bond aggregation'!$F$2:$F$661,BM$72,'Step 4 bond aggregation'!$G$2:$G$661,MATCH($BB92,lov_term_buckets,0),'Step 4 bond aggregation'!$E$2:$E$661,$BC$89)</f>
        <v>0</v>
      </c>
      <c r="BN92" s="192">
        <f>SUMIFS('Step 4 bond aggregation'!$B$2:$B$661,'Step 4 bond aggregation'!$A$2:$A$661,$BK$69,'Step 4 bond aggregation'!$F$2:$F$661,BN$72,'Step 4 bond aggregation'!$G$2:$G$661,MATCH($BB92,lov_term_buckets,0),'Step 4 bond aggregation'!$E$2:$E$661,$BC$89)</f>
        <v>0</v>
      </c>
      <c r="BO92" s="192">
        <f>SUMIFS('Step 4 bond aggregation'!$B$2:$B$661,'Step 4 bond aggregation'!$A$2:$A$661,$BK$69,'Step 4 bond aggregation'!$F$2:$F$661,BO$72,'Step 4 bond aggregation'!$G$2:$G$661,MATCH($BB92,lov_term_buckets,0),'Step 4 bond aggregation'!$E$2:$E$661,$BC$89)</f>
        <v>0</v>
      </c>
      <c r="BP92" s="192">
        <f>SUMIFS('Step 4 bond aggregation'!$B$2:$B$661,'Step 4 bond aggregation'!$A$2:$A$661,$BK$69,'Step 4 bond aggregation'!$F$2:$F$661,BP$72,'Step 4 bond aggregation'!$G$2:$G$661,MATCH($BB92,lov_term_buckets,0),'Step 4 bond aggregation'!$E$2:$E$661,$BC$89)</f>
        <v>0</v>
      </c>
      <c r="BQ92" s="192">
        <f>SUMIFS('Step 4 bond aggregation'!$B$2:$B$661,'Step 4 bond aggregation'!$A$2:$A$661,$BK$69,'Step 4 bond aggregation'!$F$2:$F$661,BQ$72,'Step 4 bond aggregation'!$G$2:$G$661,MATCH($BB92,lov_term_buckets,0),'Step 4 bond aggregation'!$E$2:$E$661,$BC$89)</f>
        <v>0</v>
      </c>
      <c r="BR92" s="192">
        <f>SUMIFS('Step 4 bond aggregation'!$B$2:$B$661,'Step 4 bond aggregation'!$A$2:$A$661,$BK$69,'Step 4 bond aggregation'!$F$2:$F$661,BR$72,'Step 4 bond aggregation'!$G$2:$G$661,MATCH($BB92,lov_term_buckets,0),'Step 4 bond aggregation'!$E$2:$E$661,$BC$89)</f>
        <v>0</v>
      </c>
      <c r="BS92" s="192">
        <f>SUMIFS('Step 4 bond aggregation'!$B$2:$B$661,'Step 4 bond aggregation'!$A$2:$A$661,$BK$69,'Step 4 bond aggregation'!$F$2:$F$661,BS$72,'Step 4 bond aggregation'!$G$2:$G$661,MATCH($BB92,lov_term_buckets,0),'Step 4 bond aggregation'!$E$2:$E$661,$BC$89)</f>
        <v>0</v>
      </c>
      <c r="BU92" s="191"/>
      <c r="BV92" s="254" t="s">
        <v>935</v>
      </c>
      <c r="BW92" s="192">
        <f>SUMIFS('Step 4 bond aggregation'!$B$2:$B$661,'Step 4 bond aggregation'!$A$2:$A$661,$BU$69,'Step 4 bond aggregation'!$F$2:$F$661,BW$72,'Step 4 bond aggregation'!$G$2:$G$661,MATCH($BB92,lov_term_buckets,0),'Step 4 bond aggregation'!$E$2:$E$661,$BC$89)</f>
        <v>0</v>
      </c>
      <c r="BX92" s="192">
        <f>SUMIFS('Step 4 bond aggregation'!$B$2:$B$661,'Step 4 bond aggregation'!$A$2:$A$661,$BU$69,'Step 4 bond aggregation'!$F$2:$F$661,BX$72,'Step 4 bond aggregation'!$G$2:$G$661,MATCH($BB92,lov_term_buckets,0),'Step 4 bond aggregation'!$E$2:$E$661,$BC$89)</f>
        <v>0</v>
      </c>
      <c r="BY92" s="192">
        <f>SUMIFS('Step 4 bond aggregation'!$B$2:$B$661,'Step 4 bond aggregation'!$A$2:$A$661,$BU$69,'Step 4 bond aggregation'!$F$2:$F$661,BY$72,'Step 4 bond aggregation'!$G$2:$G$661,MATCH($BB92,lov_term_buckets,0),'Step 4 bond aggregation'!$E$2:$E$661,$BC$89)</f>
        <v>0</v>
      </c>
      <c r="BZ92" s="192">
        <f>SUMIFS('Step 4 bond aggregation'!$B$2:$B$661,'Step 4 bond aggregation'!$A$2:$A$661,$BU$69,'Step 4 bond aggregation'!$F$2:$F$661,BZ$72,'Step 4 bond aggregation'!$G$2:$G$661,MATCH($BB92,lov_term_buckets,0),'Step 4 bond aggregation'!$E$2:$E$661,$BC$89)</f>
        <v>0</v>
      </c>
      <c r="CA92" s="192">
        <f>SUMIFS('Step 4 bond aggregation'!$B$2:$B$661,'Step 4 bond aggregation'!$A$2:$A$661,$BU$69,'Step 4 bond aggregation'!$F$2:$F$661,CA$72,'Step 4 bond aggregation'!$G$2:$G$661,MATCH($BB92,lov_term_buckets,0),'Step 4 bond aggregation'!$E$2:$E$661,$BC$89)</f>
        <v>0</v>
      </c>
      <c r="CB92" s="192">
        <f>SUMIFS('Step 4 bond aggregation'!$B$2:$B$661,'Step 4 bond aggregation'!$A$2:$A$661,$BU$69,'Step 4 bond aggregation'!$F$2:$F$661,CB$72,'Step 4 bond aggregation'!$G$2:$G$661,MATCH($BB92,lov_term_buckets,0),'Step 4 bond aggregation'!$E$2:$E$661,$BC$89)</f>
        <v>0</v>
      </c>
      <c r="CC92" s="192">
        <f>SUMIFS('Step 4 bond aggregation'!$B$2:$B$661,'Step 4 bond aggregation'!$A$2:$A$661,$BU$69,'Step 4 bond aggregation'!$F$2:$F$661,CC$72,'Step 4 bond aggregation'!$G$2:$G$661,MATCH($BB92,lov_term_buckets,0),'Step 4 bond aggregation'!$E$2:$E$661,$BC$89)</f>
        <v>0</v>
      </c>
    </row>
    <row r="93" spans="2:81" hidden="1" outlineLevel="1" x14ac:dyDescent="0.3">
      <c r="C93" s="52" t="s">
        <v>936</v>
      </c>
      <c r="D93" s="192">
        <f>Input!F101</f>
        <v>0</v>
      </c>
      <c r="E93" s="192">
        <f>Input!G101</f>
        <v>0</v>
      </c>
      <c r="F93" s="192">
        <f>Input!H101</f>
        <v>0</v>
      </c>
      <c r="G93" s="192">
        <f>Input!I101</f>
        <v>0</v>
      </c>
      <c r="H93" s="192">
        <f>Input!J101</f>
        <v>0</v>
      </c>
      <c r="I93" s="192">
        <f>Input!K101</f>
        <v>0</v>
      </c>
      <c r="J93" s="192">
        <f>Input!L101</f>
        <v>0</v>
      </c>
      <c r="K93" s="192">
        <f>Input!M101</f>
        <v>0</v>
      </c>
      <c r="L93" s="191"/>
      <c r="M93" s="191"/>
      <c r="N93" s="254" t="s">
        <v>936</v>
      </c>
      <c r="O93" s="192">
        <f>Input!F141+Input!F174</f>
        <v>0</v>
      </c>
      <c r="P93" s="192">
        <f>Input!G141+Input!G174</f>
        <v>0</v>
      </c>
      <c r="Q93" s="192">
        <f>Input!H141+Input!H174</f>
        <v>0</v>
      </c>
      <c r="R93" s="192">
        <f>Input!I141+Input!I174</f>
        <v>0</v>
      </c>
      <c r="S93" s="192">
        <f>Input!J141+Input!J174</f>
        <v>0</v>
      </c>
      <c r="T93" s="192">
        <f>Input!K141+Input!K174</f>
        <v>0</v>
      </c>
      <c r="U93" s="192">
        <f>Input!L141+Input!L174</f>
        <v>0</v>
      </c>
      <c r="V93" s="191"/>
      <c r="W93" s="191"/>
      <c r="X93" s="254" t="s">
        <v>936</v>
      </c>
      <c r="Y93" s="192">
        <f>SUMIFS('Step 4 bond aggregation'!$B$2:$B$661,'Step 4 bond aggregation'!$A$2:$A$661,$W$69,'Step 4 bond aggregation'!$F$2:$F$661,Y$72,'Step 4 bond aggregation'!$G$2:$G$661,MATCH($X93,lov_term_buckets,0),'Step 4 bond aggregation'!$E$2:$E$661,$Y$89)</f>
        <v>0</v>
      </c>
      <c r="Z93" s="192">
        <f>SUMIFS('Step 4 bond aggregation'!$B$2:$B$661,'Step 4 bond aggregation'!$A$2:$A$661,$W$69,'Step 4 bond aggregation'!$F$2:$F$661,Z$72,'Step 4 bond aggregation'!$G$2:$G$661,MATCH($X93,lov_term_buckets,0),'Step 4 bond aggregation'!$E$2:$E$661,$Y$89)</f>
        <v>0</v>
      </c>
      <c r="AA93" s="192">
        <f>SUMIFS('Step 4 bond aggregation'!$B$2:$B$661,'Step 4 bond aggregation'!$A$2:$A$661,$W$69,'Step 4 bond aggregation'!$F$2:$F$661,AA$72,'Step 4 bond aggregation'!$G$2:$G$661,MATCH($X93,lov_term_buckets,0),'Step 4 bond aggregation'!$E$2:$E$661,$Y$89)</f>
        <v>0</v>
      </c>
      <c r="AB93" s="192">
        <f>SUMIFS('Step 4 bond aggregation'!$B$2:$B$661,'Step 4 bond aggregation'!$A$2:$A$661,$W$69,'Step 4 bond aggregation'!$F$2:$F$661,AB$72,'Step 4 bond aggregation'!$G$2:$G$661,MATCH($X93,lov_term_buckets,0),'Step 4 bond aggregation'!$E$2:$E$661,$Y$89)</f>
        <v>0</v>
      </c>
      <c r="AC93" s="192">
        <f>SUMIFS('Step 4 bond aggregation'!$B$2:$B$661,'Step 4 bond aggregation'!$A$2:$A$661,$W$69,'Step 4 bond aggregation'!$F$2:$F$661,AC$72,'Step 4 bond aggregation'!$G$2:$G$661,MATCH($X93,lov_term_buckets,0),'Step 4 bond aggregation'!$E$2:$E$661,$Y$89)</f>
        <v>0</v>
      </c>
      <c r="AD93" s="192">
        <f>SUMIFS('Step 4 bond aggregation'!$B$2:$B$661,'Step 4 bond aggregation'!$A$2:$A$661,$W$69,'Step 4 bond aggregation'!$F$2:$F$661,AD$72,'Step 4 bond aggregation'!$G$2:$G$661,MATCH($X93,lov_term_buckets,0),'Step 4 bond aggregation'!$E$2:$E$661,$Y$89)</f>
        <v>0</v>
      </c>
      <c r="AE93" s="192">
        <f>SUMIFS('Step 4 bond aggregation'!$B$2:$B$661,'Step 4 bond aggregation'!$A$2:$A$661,$W$69,'Step 4 bond aggregation'!$F$2:$F$661,AE$72,'Step 4 bond aggregation'!$G$2:$G$661,MATCH($X93,lov_term_buckets,0),'Step 4 bond aggregation'!$E$2:$E$661,$Y$89)</f>
        <v>0</v>
      </c>
      <c r="AF93" s="191"/>
      <c r="AG93" s="191"/>
      <c r="AH93" s="254" t="s">
        <v>936</v>
      </c>
      <c r="AI93" s="192">
        <f>SUMIFS('Step 4 bond aggregation'!$B$2:$B$661,'Step 4 bond aggregation'!$A$2:$A$661,$AG$69,'Step 4 bond aggregation'!$F$2:$F$661,AI$72,'Step 4 bond aggregation'!$G$2:$G$661,MATCH($AH93,lov_term_buckets,0),'Step 4 bond aggregation'!$E$2:$E$661,$AI$89)</f>
        <v>0</v>
      </c>
      <c r="AJ93" s="192">
        <f>SUMIFS('Step 4 bond aggregation'!$B$2:$B$661,'Step 4 bond aggregation'!$A$2:$A$661,$AG$69,'Step 4 bond aggregation'!$F$2:$F$661,AJ$72,'Step 4 bond aggregation'!$G$2:$G$661,MATCH($AH93,lov_term_buckets,0),'Step 4 bond aggregation'!$E$2:$E$661,$AI$89)</f>
        <v>0</v>
      </c>
      <c r="AK93" s="192">
        <f>SUMIFS('Step 4 bond aggregation'!$B$2:$B$661,'Step 4 bond aggregation'!$A$2:$A$661,$AG$69,'Step 4 bond aggregation'!$F$2:$F$661,AK$72,'Step 4 bond aggregation'!$G$2:$G$661,MATCH($AH93,lov_term_buckets,0),'Step 4 bond aggregation'!$E$2:$E$661,$AI$89)</f>
        <v>0</v>
      </c>
      <c r="AL93" s="192">
        <f>SUMIFS('Step 4 bond aggregation'!$B$2:$B$661,'Step 4 bond aggregation'!$A$2:$A$661,$AG$69,'Step 4 bond aggregation'!$F$2:$F$661,AL$72,'Step 4 bond aggregation'!$G$2:$G$661,MATCH($AH93,lov_term_buckets,0),'Step 4 bond aggregation'!$E$2:$E$661,$AI$89)</f>
        <v>0</v>
      </c>
      <c r="AM93" s="192">
        <f>SUMIFS('Step 4 bond aggregation'!$B$2:$B$661,'Step 4 bond aggregation'!$A$2:$A$661,$AG$69,'Step 4 bond aggregation'!$F$2:$F$661,AM$72,'Step 4 bond aggregation'!$G$2:$G$661,MATCH($AH93,lov_term_buckets,0),'Step 4 bond aggregation'!$E$2:$E$661,$AI$89)</f>
        <v>0</v>
      </c>
      <c r="AN93" s="192">
        <f>SUMIFS('Step 4 bond aggregation'!$B$2:$B$661,'Step 4 bond aggregation'!$A$2:$A$661,$AG$69,'Step 4 bond aggregation'!$F$2:$F$661,AN$72,'Step 4 bond aggregation'!$G$2:$G$661,MATCH($AH93,lov_term_buckets,0),'Step 4 bond aggregation'!$E$2:$E$661,$AI$89)</f>
        <v>0</v>
      </c>
      <c r="AO93" s="192">
        <f>SUMIFS('Step 4 bond aggregation'!$B$2:$B$661,'Step 4 bond aggregation'!$A$2:$A$661,$AG$69,'Step 4 bond aggregation'!$F$2:$F$661,AO$72,'Step 4 bond aggregation'!$G$2:$G$661,MATCH($AH93,lov_term_buckets,0),'Step 4 bond aggregation'!$E$2:$E$661,$AI$89)</f>
        <v>0</v>
      </c>
      <c r="AP93" s="191"/>
      <c r="AQ93" s="191"/>
      <c r="AR93" s="254" t="s">
        <v>936</v>
      </c>
      <c r="AS93" s="192">
        <f>SUMIFS('Step 4 bond aggregation'!$B$2:$B$661,'Step 4 bond aggregation'!$A$2:$A$661,$AQ$69,'Step 4 bond aggregation'!$F$2:$F$661,AS$72,'Step 4 bond aggregation'!$G$2:$G$661,MATCH($AR93,lov_term_buckets,0),'Step 4 bond aggregation'!$E$2:$E$661,$AS$89)</f>
        <v>0</v>
      </c>
      <c r="AT93" s="192">
        <f>SUMIFS('Step 4 bond aggregation'!$B$2:$B$661,'Step 4 bond aggregation'!$A$2:$A$661,$AQ$69,'Step 4 bond aggregation'!$F$2:$F$661,AT$72,'Step 4 bond aggregation'!$G$2:$G$661,MATCH($AR93,lov_term_buckets,0),'Step 4 bond aggregation'!$E$2:$E$661,$AS$89)</f>
        <v>0</v>
      </c>
      <c r="AU93" s="192">
        <f>SUMIFS('Step 4 bond aggregation'!$B$2:$B$661,'Step 4 bond aggregation'!$A$2:$A$661,$AQ$69,'Step 4 bond aggregation'!$F$2:$F$661,AU$72,'Step 4 bond aggregation'!$G$2:$G$661,MATCH($AR93,lov_term_buckets,0),'Step 4 bond aggregation'!$E$2:$E$661,$AS$89)</f>
        <v>0</v>
      </c>
      <c r="AV93" s="192">
        <f>SUMIFS('Step 4 bond aggregation'!$B$2:$B$661,'Step 4 bond aggregation'!$A$2:$A$661,$AQ$69,'Step 4 bond aggregation'!$F$2:$F$661,AV$72,'Step 4 bond aggregation'!$G$2:$G$661,MATCH($AR93,lov_term_buckets,0),'Step 4 bond aggregation'!$E$2:$E$661,$AS$89)</f>
        <v>0</v>
      </c>
      <c r="AW93" s="192">
        <f>SUMIFS('Step 4 bond aggregation'!$B$2:$B$661,'Step 4 bond aggregation'!$A$2:$A$661,$AQ$69,'Step 4 bond aggregation'!$F$2:$F$661,AW$72,'Step 4 bond aggregation'!$G$2:$G$661,MATCH($AR93,lov_term_buckets,0),'Step 4 bond aggregation'!$E$2:$E$661,$AS$89)</f>
        <v>0</v>
      </c>
      <c r="AX93" s="192">
        <f>SUMIFS('Step 4 bond aggregation'!$B$2:$B$661,'Step 4 bond aggregation'!$A$2:$A$661,$AQ$69,'Step 4 bond aggregation'!$F$2:$F$661,AX$72,'Step 4 bond aggregation'!$G$2:$G$661,MATCH($AR93,lov_term_buckets,0),'Step 4 bond aggregation'!$E$2:$E$661,$AS$89)</f>
        <v>0</v>
      </c>
      <c r="AY93" s="192">
        <f>SUMIFS('Step 4 bond aggregation'!$B$2:$B$661,'Step 4 bond aggregation'!$A$2:$A$661,$AQ$69,'Step 4 bond aggregation'!$F$2:$F$661,AY$72,'Step 4 bond aggregation'!$G$2:$G$661,MATCH($AR93,lov_term_buckets,0),'Step 4 bond aggregation'!$E$2:$E$661,$AS$89)</f>
        <v>0</v>
      </c>
      <c r="AZ93" s="191"/>
      <c r="BA93" s="191"/>
      <c r="BB93" s="254" t="s">
        <v>936</v>
      </c>
      <c r="BC93" s="192">
        <f>SUMIFS('Step 4 bond aggregation'!$B$2:$B$661,'Step 4 bond aggregation'!$A$2:$A$661,$BA$69,'Step 4 bond aggregation'!$F$2:$F$661,BC$72,'Step 4 bond aggregation'!$G$2:$G$661,MATCH($BB93,lov_term_buckets,0),'Step 4 bond aggregation'!$E$2:$E$661,$BC$89)</f>
        <v>0</v>
      </c>
      <c r="BD93" s="192">
        <f>SUMIFS('Step 4 bond aggregation'!$B$2:$B$661,'Step 4 bond aggregation'!$A$2:$A$661,$BA$69,'Step 4 bond aggregation'!$F$2:$F$661,BD$72,'Step 4 bond aggregation'!$G$2:$G$661,MATCH($BB93,lov_term_buckets,0),'Step 4 bond aggregation'!$E$2:$E$661,$BC$89)</f>
        <v>0</v>
      </c>
      <c r="BE93" s="192">
        <f>SUMIFS('Step 4 bond aggregation'!$B$2:$B$661,'Step 4 bond aggregation'!$A$2:$A$661,$BA$69,'Step 4 bond aggregation'!$F$2:$F$661,BE$72,'Step 4 bond aggregation'!$G$2:$G$661,MATCH($BB93,lov_term_buckets,0),'Step 4 bond aggregation'!$E$2:$E$661,$BC$89)</f>
        <v>0</v>
      </c>
      <c r="BF93" s="192">
        <f>SUMIFS('Step 4 bond aggregation'!$B$2:$B$661,'Step 4 bond aggregation'!$A$2:$A$661,$BA$69,'Step 4 bond aggregation'!$F$2:$F$661,BF$72,'Step 4 bond aggregation'!$G$2:$G$661,MATCH($BB93,lov_term_buckets,0),'Step 4 bond aggregation'!$E$2:$E$661,$BC$89)</f>
        <v>0</v>
      </c>
      <c r="BG93" s="192">
        <f>SUMIFS('Step 4 bond aggregation'!$B$2:$B$661,'Step 4 bond aggregation'!$A$2:$A$661,$BA$69,'Step 4 bond aggregation'!$F$2:$F$661,BG$72,'Step 4 bond aggregation'!$G$2:$G$661,MATCH($BB93,lov_term_buckets,0),'Step 4 bond aggregation'!$E$2:$E$661,$BC$89)</f>
        <v>0</v>
      </c>
      <c r="BH93" s="192">
        <f>SUMIFS('Step 4 bond aggregation'!$B$2:$B$661,'Step 4 bond aggregation'!$A$2:$A$661,$BA$69,'Step 4 bond aggregation'!$F$2:$F$661,BH$72,'Step 4 bond aggregation'!$G$2:$G$661,MATCH($BB93,lov_term_buckets,0),'Step 4 bond aggregation'!$E$2:$E$661,$BC$89)</f>
        <v>0</v>
      </c>
      <c r="BI93" s="192">
        <f>SUMIFS('Step 4 bond aggregation'!$B$2:$B$661,'Step 4 bond aggregation'!$A$2:$A$661,$BA$69,'Step 4 bond aggregation'!$F$2:$F$661,BI$72,'Step 4 bond aggregation'!$G$2:$G$661,MATCH($BB93,lov_term_buckets,0),'Step 4 bond aggregation'!$E$2:$E$661,$BC$89)</f>
        <v>0</v>
      </c>
      <c r="BK93" s="191"/>
      <c r="BL93" s="254" t="s">
        <v>936</v>
      </c>
      <c r="BM93" s="192">
        <f>SUMIFS('Step 4 bond aggregation'!$B$2:$B$661,'Step 4 bond aggregation'!$A$2:$A$661,$BK$69,'Step 4 bond aggregation'!$F$2:$F$661,BM$72,'Step 4 bond aggregation'!$G$2:$G$661,MATCH($BB93,lov_term_buckets,0),'Step 4 bond aggregation'!$E$2:$E$661,$BC$89)</f>
        <v>0</v>
      </c>
      <c r="BN93" s="192">
        <f>SUMIFS('Step 4 bond aggregation'!$B$2:$B$661,'Step 4 bond aggregation'!$A$2:$A$661,$BK$69,'Step 4 bond aggregation'!$F$2:$F$661,BN$72,'Step 4 bond aggregation'!$G$2:$G$661,MATCH($BB93,lov_term_buckets,0),'Step 4 bond aggregation'!$E$2:$E$661,$BC$89)</f>
        <v>0</v>
      </c>
      <c r="BO93" s="192">
        <f>SUMIFS('Step 4 bond aggregation'!$B$2:$B$661,'Step 4 bond aggregation'!$A$2:$A$661,$BK$69,'Step 4 bond aggregation'!$F$2:$F$661,BO$72,'Step 4 bond aggregation'!$G$2:$G$661,MATCH($BB93,lov_term_buckets,0),'Step 4 bond aggregation'!$E$2:$E$661,$BC$89)</f>
        <v>0</v>
      </c>
      <c r="BP93" s="192">
        <f>SUMIFS('Step 4 bond aggregation'!$B$2:$B$661,'Step 4 bond aggregation'!$A$2:$A$661,$BK$69,'Step 4 bond aggregation'!$F$2:$F$661,BP$72,'Step 4 bond aggregation'!$G$2:$G$661,MATCH($BB93,lov_term_buckets,0),'Step 4 bond aggregation'!$E$2:$E$661,$BC$89)</f>
        <v>0</v>
      </c>
      <c r="BQ93" s="192">
        <f>SUMIFS('Step 4 bond aggregation'!$B$2:$B$661,'Step 4 bond aggregation'!$A$2:$A$661,$BK$69,'Step 4 bond aggregation'!$F$2:$F$661,BQ$72,'Step 4 bond aggregation'!$G$2:$G$661,MATCH($BB93,lov_term_buckets,0),'Step 4 bond aggregation'!$E$2:$E$661,$BC$89)</f>
        <v>0</v>
      </c>
      <c r="BR93" s="192">
        <f>SUMIFS('Step 4 bond aggregation'!$B$2:$B$661,'Step 4 bond aggregation'!$A$2:$A$661,$BK$69,'Step 4 bond aggregation'!$F$2:$F$661,BR$72,'Step 4 bond aggregation'!$G$2:$G$661,MATCH($BB93,lov_term_buckets,0),'Step 4 bond aggregation'!$E$2:$E$661,$BC$89)</f>
        <v>0</v>
      </c>
      <c r="BS93" s="192">
        <f>SUMIFS('Step 4 bond aggregation'!$B$2:$B$661,'Step 4 bond aggregation'!$A$2:$A$661,$BK$69,'Step 4 bond aggregation'!$F$2:$F$661,BS$72,'Step 4 bond aggregation'!$G$2:$G$661,MATCH($BB93,lov_term_buckets,0),'Step 4 bond aggregation'!$E$2:$E$661,$BC$89)</f>
        <v>0</v>
      </c>
      <c r="BU93" s="191"/>
      <c r="BV93" s="254" t="s">
        <v>936</v>
      </c>
      <c r="BW93" s="192">
        <f>SUMIFS('Step 4 bond aggregation'!$B$2:$B$661,'Step 4 bond aggregation'!$A$2:$A$661,$BU$69,'Step 4 bond aggregation'!$F$2:$F$661,BW$72,'Step 4 bond aggregation'!$G$2:$G$661,MATCH($BB93,lov_term_buckets,0),'Step 4 bond aggregation'!$E$2:$E$661,$BC$89)</f>
        <v>0</v>
      </c>
      <c r="BX93" s="192">
        <f>SUMIFS('Step 4 bond aggregation'!$B$2:$B$661,'Step 4 bond aggregation'!$A$2:$A$661,$BU$69,'Step 4 bond aggregation'!$F$2:$F$661,BX$72,'Step 4 bond aggregation'!$G$2:$G$661,MATCH($BB93,lov_term_buckets,0),'Step 4 bond aggregation'!$E$2:$E$661,$BC$89)</f>
        <v>0</v>
      </c>
      <c r="BY93" s="192">
        <f>SUMIFS('Step 4 bond aggregation'!$B$2:$B$661,'Step 4 bond aggregation'!$A$2:$A$661,$BU$69,'Step 4 bond aggregation'!$F$2:$F$661,BY$72,'Step 4 bond aggregation'!$G$2:$G$661,MATCH($BB93,lov_term_buckets,0),'Step 4 bond aggregation'!$E$2:$E$661,$BC$89)</f>
        <v>0</v>
      </c>
      <c r="BZ93" s="192">
        <f>SUMIFS('Step 4 bond aggregation'!$B$2:$B$661,'Step 4 bond aggregation'!$A$2:$A$661,$BU$69,'Step 4 bond aggregation'!$F$2:$F$661,BZ$72,'Step 4 bond aggregation'!$G$2:$G$661,MATCH($BB93,lov_term_buckets,0),'Step 4 bond aggregation'!$E$2:$E$661,$BC$89)</f>
        <v>0</v>
      </c>
      <c r="CA93" s="192">
        <f>SUMIFS('Step 4 bond aggregation'!$B$2:$B$661,'Step 4 bond aggregation'!$A$2:$A$661,$BU$69,'Step 4 bond aggregation'!$F$2:$F$661,CA$72,'Step 4 bond aggregation'!$G$2:$G$661,MATCH($BB93,lov_term_buckets,0),'Step 4 bond aggregation'!$E$2:$E$661,$BC$89)</f>
        <v>0</v>
      </c>
      <c r="CB93" s="192">
        <f>SUMIFS('Step 4 bond aggregation'!$B$2:$B$661,'Step 4 bond aggregation'!$A$2:$A$661,$BU$69,'Step 4 bond aggregation'!$F$2:$F$661,CB$72,'Step 4 bond aggregation'!$G$2:$G$661,MATCH($BB93,lov_term_buckets,0),'Step 4 bond aggregation'!$E$2:$E$661,$BC$89)</f>
        <v>0</v>
      </c>
      <c r="CC93" s="192">
        <f>SUMIFS('Step 4 bond aggregation'!$B$2:$B$661,'Step 4 bond aggregation'!$A$2:$A$661,$BU$69,'Step 4 bond aggregation'!$F$2:$F$661,CC$72,'Step 4 bond aggregation'!$G$2:$G$661,MATCH($BB93,lov_term_buckets,0),'Step 4 bond aggregation'!$E$2:$E$661,$BC$89)</f>
        <v>0</v>
      </c>
    </row>
    <row r="94" spans="2:81" hidden="1" outlineLevel="1" x14ac:dyDescent="0.3">
      <c r="C94" s="52" t="s">
        <v>937</v>
      </c>
      <c r="D94" s="192">
        <f>Input!F102</f>
        <v>0</v>
      </c>
      <c r="E94" s="192">
        <f>Input!G102</f>
        <v>0</v>
      </c>
      <c r="F94" s="192">
        <f>Input!H102</f>
        <v>0</v>
      </c>
      <c r="G94" s="192">
        <f>Input!I102</f>
        <v>0</v>
      </c>
      <c r="H94" s="192">
        <f>Input!J102</f>
        <v>0</v>
      </c>
      <c r="I94" s="192">
        <f>Input!K102</f>
        <v>0</v>
      </c>
      <c r="J94" s="192">
        <f>Input!L102</f>
        <v>0</v>
      </c>
      <c r="K94" s="192">
        <f>Input!M102</f>
        <v>0</v>
      </c>
      <c r="L94" s="191"/>
      <c r="M94" s="191"/>
      <c r="N94" s="254" t="s">
        <v>937</v>
      </c>
      <c r="O94" s="192">
        <f>Input!F142+Input!F175</f>
        <v>0</v>
      </c>
      <c r="P94" s="192">
        <f>Input!G142+Input!G175</f>
        <v>0</v>
      </c>
      <c r="Q94" s="192">
        <f>Input!H142+Input!H175</f>
        <v>0</v>
      </c>
      <c r="R94" s="192">
        <f>Input!I142+Input!I175</f>
        <v>0</v>
      </c>
      <c r="S94" s="192">
        <f>Input!J142+Input!J175</f>
        <v>0</v>
      </c>
      <c r="T94" s="192">
        <f>Input!K142+Input!K175</f>
        <v>0</v>
      </c>
      <c r="U94" s="192">
        <f>Input!L142+Input!L175</f>
        <v>0</v>
      </c>
      <c r="V94" s="191"/>
      <c r="W94" s="191"/>
      <c r="X94" s="254" t="s">
        <v>937</v>
      </c>
      <c r="Y94" s="192">
        <f>SUMIFS('Step 4 bond aggregation'!$B$2:$B$661,'Step 4 bond aggregation'!$A$2:$A$661,$W$69,'Step 4 bond aggregation'!$F$2:$F$661,Y$72,'Step 4 bond aggregation'!$G$2:$G$661,MATCH($X94,lov_term_buckets,0),'Step 4 bond aggregation'!$E$2:$E$661,$Y$89)</f>
        <v>0</v>
      </c>
      <c r="Z94" s="192">
        <f>SUMIFS('Step 4 bond aggregation'!$B$2:$B$661,'Step 4 bond aggregation'!$A$2:$A$661,$W$69,'Step 4 bond aggregation'!$F$2:$F$661,Z$72,'Step 4 bond aggregation'!$G$2:$G$661,MATCH($X94,lov_term_buckets,0),'Step 4 bond aggregation'!$E$2:$E$661,$Y$89)</f>
        <v>0</v>
      </c>
      <c r="AA94" s="192">
        <f>SUMIFS('Step 4 bond aggregation'!$B$2:$B$661,'Step 4 bond aggregation'!$A$2:$A$661,$W$69,'Step 4 bond aggregation'!$F$2:$F$661,AA$72,'Step 4 bond aggregation'!$G$2:$G$661,MATCH($X94,lov_term_buckets,0),'Step 4 bond aggregation'!$E$2:$E$661,$Y$89)</f>
        <v>0</v>
      </c>
      <c r="AB94" s="192">
        <f>SUMIFS('Step 4 bond aggregation'!$B$2:$B$661,'Step 4 bond aggregation'!$A$2:$A$661,$W$69,'Step 4 bond aggregation'!$F$2:$F$661,AB$72,'Step 4 bond aggregation'!$G$2:$G$661,MATCH($X94,lov_term_buckets,0),'Step 4 bond aggregation'!$E$2:$E$661,$Y$89)</f>
        <v>0</v>
      </c>
      <c r="AC94" s="192">
        <f>SUMIFS('Step 4 bond aggregation'!$B$2:$B$661,'Step 4 bond aggregation'!$A$2:$A$661,$W$69,'Step 4 bond aggregation'!$F$2:$F$661,AC$72,'Step 4 bond aggregation'!$G$2:$G$661,MATCH($X94,lov_term_buckets,0),'Step 4 bond aggregation'!$E$2:$E$661,$Y$89)</f>
        <v>0</v>
      </c>
      <c r="AD94" s="192">
        <f>SUMIFS('Step 4 bond aggregation'!$B$2:$B$661,'Step 4 bond aggregation'!$A$2:$A$661,$W$69,'Step 4 bond aggregation'!$F$2:$F$661,AD$72,'Step 4 bond aggregation'!$G$2:$G$661,MATCH($X94,lov_term_buckets,0),'Step 4 bond aggregation'!$E$2:$E$661,$Y$89)</f>
        <v>0</v>
      </c>
      <c r="AE94" s="192">
        <f>SUMIFS('Step 4 bond aggregation'!$B$2:$B$661,'Step 4 bond aggregation'!$A$2:$A$661,$W$69,'Step 4 bond aggregation'!$F$2:$F$661,AE$72,'Step 4 bond aggregation'!$G$2:$G$661,MATCH($X94,lov_term_buckets,0),'Step 4 bond aggregation'!$E$2:$E$661,$Y$89)</f>
        <v>0</v>
      </c>
      <c r="AF94" s="191"/>
      <c r="AG94" s="191"/>
      <c r="AH94" s="254" t="s">
        <v>937</v>
      </c>
      <c r="AI94" s="192">
        <f>SUMIFS('Step 4 bond aggregation'!$B$2:$B$661,'Step 4 bond aggregation'!$A$2:$A$661,$AG$69,'Step 4 bond aggregation'!$F$2:$F$661,AI$72,'Step 4 bond aggregation'!$G$2:$G$661,MATCH($AH94,lov_term_buckets,0),'Step 4 bond aggregation'!$E$2:$E$661,$AI$89)</f>
        <v>0</v>
      </c>
      <c r="AJ94" s="192">
        <f>SUMIFS('Step 4 bond aggregation'!$B$2:$B$661,'Step 4 bond aggregation'!$A$2:$A$661,$AG$69,'Step 4 bond aggregation'!$F$2:$F$661,AJ$72,'Step 4 bond aggregation'!$G$2:$G$661,MATCH($AH94,lov_term_buckets,0),'Step 4 bond aggregation'!$E$2:$E$661,$AI$89)</f>
        <v>0</v>
      </c>
      <c r="AK94" s="192">
        <f>SUMIFS('Step 4 bond aggregation'!$B$2:$B$661,'Step 4 bond aggregation'!$A$2:$A$661,$AG$69,'Step 4 bond aggregation'!$F$2:$F$661,AK$72,'Step 4 bond aggregation'!$G$2:$G$661,MATCH($AH94,lov_term_buckets,0),'Step 4 bond aggregation'!$E$2:$E$661,$AI$89)</f>
        <v>0</v>
      </c>
      <c r="AL94" s="192">
        <f>SUMIFS('Step 4 bond aggregation'!$B$2:$B$661,'Step 4 bond aggregation'!$A$2:$A$661,$AG$69,'Step 4 bond aggregation'!$F$2:$F$661,AL$72,'Step 4 bond aggregation'!$G$2:$G$661,MATCH($AH94,lov_term_buckets,0),'Step 4 bond aggregation'!$E$2:$E$661,$AI$89)</f>
        <v>0</v>
      </c>
      <c r="AM94" s="192">
        <f>SUMIFS('Step 4 bond aggregation'!$B$2:$B$661,'Step 4 bond aggregation'!$A$2:$A$661,$AG$69,'Step 4 bond aggregation'!$F$2:$F$661,AM$72,'Step 4 bond aggregation'!$G$2:$G$661,MATCH($AH94,lov_term_buckets,0),'Step 4 bond aggregation'!$E$2:$E$661,$AI$89)</f>
        <v>0</v>
      </c>
      <c r="AN94" s="192">
        <f>SUMIFS('Step 4 bond aggregation'!$B$2:$B$661,'Step 4 bond aggregation'!$A$2:$A$661,$AG$69,'Step 4 bond aggregation'!$F$2:$F$661,AN$72,'Step 4 bond aggregation'!$G$2:$G$661,MATCH($AH94,lov_term_buckets,0),'Step 4 bond aggregation'!$E$2:$E$661,$AI$89)</f>
        <v>0</v>
      </c>
      <c r="AO94" s="192">
        <f>SUMIFS('Step 4 bond aggregation'!$B$2:$B$661,'Step 4 bond aggregation'!$A$2:$A$661,$AG$69,'Step 4 bond aggregation'!$F$2:$F$661,AO$72,'Step 4 bond aggregation'!$G$2:$G$661,MATCH($AH94,lov_term_buckets,0),'Step 4 bond aggregation'!$E$2:$E$661,$AI$89)</f>
        <v>0</v>
      </c>
      <c r="AP94" s="191"/>
      <c r="AQ94" s="191"/>
      <c r="AR94" s="254" t="s">
        <v>937</v>
      </c>
      <c r="AS94" s="192">
        <f>SUMIFS('Step 4 bond aggregation'!$B$2:$B$661,'Step 4 bond aggregation'!$A$2:$A$661,$AQ$69,'Step 4 bond aggregation'!$F$2:$F$661,AS$72,'Step 4 bond aggregation'!$G$2:$G$661,MATCH($AR94,lov_term_buckets,0),'Step 4 bond aggregation'!$E$2:$E$661,$AS$89)</f>
        <v>0</v>
      </c>
      <c r="AT94" s="192">
        <f>SUMIFS('Step 4 bond aggregation'!$B$2:$B$661,'Step 4 bond aggregation'!$A$2:$A$661,$AQ$69,'Step 4 bond aggregation'!$F$2:$F$661,AT$72,'Step 4 bond aggregation'!$G$2:$G$661,MATCH($AR94,lov_term_buckets,0),'Step 4 bond aggregation'!$E$2:$E$661,$AS$89)</f>
        <v>0</v>
      </c>
      <c r="AU94" s="192">
        <f>SUMIFS('Step 4 bond aggregation'!$B$2:$B$661,'Step 4 bond aggregation'!$A$2:$A$661,$AQ$69,'Step 4 bond aggregation'!$F$2:$F$661,AU$72,'Step 4 bond aggregation'!$G$2:$G$661,MATCH($AR94,lov_term_buckets,0),'Step 4 bond aggregation'!$E$2:$E$661,$AS$89)</f>
        <v>0</v>
      </c>
      <c r="AV94" s="192">
        <f>SUMIFS('Step 4 bond aggregation'!$B$2:$B$661,'Step 4 bond aggregation'!$A$2:$A$661,$AQ$69,'Step 4 bond aggregation'!$F$2:$F$661,AV$72,'Step 4 bond aggregation'!$G$2:$G$661,MATCH($AR94,lov_term_buckets,0),'Step 4 bond aggregation'!$E$2:$E$661,$AS$89)</f>
        <v>0</v>
      </c>
      <c r="AW94" s="192">
        <f>SUMIFS('Step 4 bond aggregation'!$B$2:$B$661,'Step 4 bond aggregation'!$A$2:$A$661,$AQ$69,'Step 4 bond aggregation'!$F$2:$F$661,AW$72,'Step 4 bond aggregation'!$G$2:$G$661,MATCH($AR94,lov_term_buckets,0),'Step 4 bond aggregation'!$E$2:$E$661,$AS$89)</f>
        <v>0</v>
      </c>
      <c r="AX94" s="192">
        <f>SUMIFS('Step 4 bond aggregation'!$B$2:$B$661,'Step 4 bond aggregation'!$A$2:$A$661,$AQ$69,'Step 4 bond aggregation'!$F$2:$F$661,AX$72,'Step 4 bond aggregation'!$G$2:$G$661,MATCH($AR94,lov_term_buckets,0),'Step 4 bond aggregation'!$E$2:$E$661,$AS$89)</f>
        <v>0</v>
      </c>
      <c r="AY94" s="192">
        <f>SUMIFS('Step 4 bond aggregation'!$B$2:$B$661,'Step 4 bond aggregation'!$A$2:$A$661,$AQ$69,'Step 4 bond aggregation'!$F$2:$F$661,AY$72,'Step 4 bond aggregation'!$G$2:$G$661,MATCH($AR94,lov_term_buckets,0),'Step 4 bond aggregation'!$E$2:$E$661,$AS$89)</f>
        <v>0</v>
      </c>
      <c r="AZ94" s="191"/>
      <c r="BA94" s="191"/>
      <c r="BB94" s="254" t="s">
        <v>937</v>
      </c>
      <c r="BC94" s="192">
        <f>SUMIFS('Step 4 bond aggregation'!$B$2:$B$661,'Step 4 bond aggregation'!$A$2:$A$661,$BA$69,'Step 4 bond aggregation'!$F$2:$F$661,BC$72,'Step 4 bond aggregation'!$G$2:$G$661,MATCH($BB94,lov_term_buckets,0),'Step 4 bond aggregation'!$E$2:$E$661,$BC$89)</f>
        <v>0</v>
      </c>
      <c r="BD94" s="192">
        <f>SUMIFS('Step 4 bond aggregation'!$B$2:$B$661,'Step 4 bond aggregation'!$A$2:$A$661,$BA$69,'Step 4 bond aggregation'!$F$2:$F$661,BD$72,'Step 4 bond aggregation'!$G$2:$G$661,MATCH($BB94,lov_term_buckets,0),'Step 4 bond aggregation'!$E$2:$E$661,$BC$89)</f>
        <v>0</v>
      </c>
      <c r="BE94" s="192">
        <f>SUMIFS('Step 4 bond aggregation'!$B$2:$B$661,'Step 4 bond aggregation'!$A$2:$A$661,$BA$69,'Step 4 bond aggregation'!$F$2:$F$661,BE$72,'Step 4 bond aggregation'!$G$2:$G$661,MATCH($BB94,lov_term_buckets,0),'Step 4 bond aggregation'!$E$2:$E$661,$BC$89)</f>
        <v>0</v>
      </c>
      <c r="BF94" s="192">
        <f>SUMIFS('Step 4 bond aggregation'!$B$2:$B$661,'Step 4 bond aggregation'!$A$2:$A$661,$BA$69,'Step 4 bond aggregation'!$F$2:$F$661,BF$72,'Step 4 bond aggregation'!$G$2:$G$661,MATCH($BB94,lov_term_buckets,0),'Step 4 bond aggregation'!$E$2:$E$661,$BC$89)</f>
        <v>0</v>
      </c>
      <c r="BG94" s="192">
        <f>SUMIFS('Step 4 bond aggregation'!$B$2:$B$661,'Step 4 bond aggregation'!$A$2:$A$661,$BA$69,'Step 4 bond aggregation'!$F$2:$F$661,BG$72,'Step 4 bond aggregation'!$G$2:$G$661,MATCH($BB94,lov_term_buckets,0),'Step 4 bond aggregation'!$E$2:$E$661,$BC$89)</f>
        <v>0</v>
      </c>
      <c r="BH94" s="192">
        <f>SUMIFS('Step 4 bond aggregation'!$B$2:$B$661,'Step 4 bond aggregation'!$A$2:$A$661,$BA$69,'Step 4 bond aggregation'!$F$2:$F$661,BH$72,'Step 4 bond aggregation'!$G$2:$G$661,MATCH($BB94,lov_term_buckets,0),'Step 4 bond aggregation'!$E$2:$E$661,$BC$89)</f>
        <v>0</v>
      </c>
      <c r="BI94" s="192">
        <f>SUMIFS('Step 4 bond aggregation'!$B$2:$B$661,'Step 4 bond aggregation'!$A$2:$A$661,$BA$69,'Step 4 bond aggregation'!$F$2:$F$661,BI$72,'Step 4 bond aggregation'!$G$2:$G$661,MATCH($BB94,lov_term_buckets,0),'Step 4 bond aggregation'!$E$2:$E$661,$BC$89)</f>
        <v>0</v>
      </c>
      <c r="BK94" s="191"/>
      <c r="BL94" s="254" t="s">
        <v>937</v>
      </c>
      <c r="BM94" s="192">
        <f>SUMIFS('Step 4 bond aggregation'!$B$2:$B$661,'Step 4 bond aggregation'!$A$2:$A$661,$BK$69,'Step 4 bond aggregation'!$F$2:$F$661,BM$72,'Step 4 bond aggregation'!$G$2:$G$661,MATCH($BB94,lov_term_buckets,0),'Step 4 bond aggregation'!$E$2:$E$661,$BC$89)</f>
        <v>0</v>
      </c>
      <c r="BN94" s="192">
        <f>SUMIFS('Step 4 bond aggregation'!$B$2:$B$661,'Step 4 bond aggregation'!$A$2:$A$661,$BK$69,'Step 4 bond aggregation'!$F$2:$F$661,BN$72,'Step 4 bond aggregation'!$G$2:$G$661,MATCH($BB94,lov_term_buckets,0),'Step 4 bond aggregation'!$E$2:$E$661,$BC$89)</f>
        <v>0</v>
      </c>
      <c r="BO94" s="192">
        <f>SUMIFS('Step 4 bond aggregation'!$B$2:$B$661,'Step 4 bond aggregation'!$A$2:$A$661,$BK$69,'Step 4 bond aggregation'!$F$2:$F$661,BO$72,'Step 4 bond aggregation'!$G$2:$G$661,MATCH($BB94,lov_term_buckets,0),'Step 4 bond aggregation'!$E$2:$E$661,$BC$89)</f>
        <v>0</v>
      </c>
      <c r="BP94" s="192">
        <f>SUMIFS('Step 4 bond aggregation'!$B$2:$B$661,'Step 4 bond aggregation'!$A$2:$A$661,$BK$69,'Step 4 bond aggregation'!$F$2:$F$661,BP$72,'Step 4 bond aggregation'!$G$2:$G$661,MATCH($BB94,lov_term_buckets,0),'Step 4 bond aggregation'!$E$2:$E$661,$BC$89)</f>
        <v>0</v>
      </c>
      <c r="BQ94" s="192">
        <f>SUMIFS('Step 4 bond aggregation'!$B$2:$B$661,'Step 4 bond aggregation'!$A$2:$A$661,$BK$69,'Step 4 bond aggregation'!$F$2:$F$661,BQ$72,'Step 4 bond aggregation'!$G$2:$G$661,MATCH($BB94,lov_term_buckets,0),'Step 4 bond aggregation'!$E$2:$E$661,$BC$89)</f>
        <v>0</v>
      </c>
      <c r="BR94" s="192">
        <f>SUMIFS('Step 4 bond aggregation'!$B$2:$B$661,'Step 4 bond aggregation'!$A$2:$A$661,$BK$69,'Step 4 bond aggregation'!$F$2:$F$661,BR$72,'Step 4 bond aggregation'!$G$2:$G$661,MATCH($BB94,lov_term_buckets,0),'Step 4 bond aggregation'!$E$2:$E$661,$BC$89)</f>
        <v>0</v>
      </c>
      <c r="BS94" s="192">
        <f>SUMIFS('Step 4 bond aggregation'!$B$2:$B$661,'Step 4 bond aggregation'!$A$2:$A$661,$BK$69,'Step 4 bond aggregation'!$F$2:$F$661,BS$72,'Step 4 bond aggregation'!$G$2:$G$661,MATCH($BB94,lov_term_buckets,0),'Step 4 bond aggregation'!$E$2:$E$661,$BC$89)</f>
        <v>0</v>
      </c>
      <c r="BU94" s="191"/>
      <c r="BV94" s="254" t="s">
        <v>937</v>
      </c>
      <c r="BW94" s="192">
        <f>SUMIFS('Step 4 bond aggregation'!$B$2:$B$661,'Step 4 bond aggregation'!$A$2:$A$661,$BU$69,'Step 4 bond aggregation'!$F$2:$F$661,BW$72,'Step 4 bond aggregation'!$G$2:$G$661,MATCH($BB94,lov_term_buckets,0),'Step 4 bond aggregation'!$E$2:$E$661,$BC$89)</f>
        <v>0</v>
      </c>
      <c r="BX94" s="192">
        <f>SUMIFS('Step 4 bond aggregation'!$B$2:$B$661,'Step 4 bond aggregation'!$A$2:$A$661,$BU$69,'Step 4 bond aggregation'!$F$2:$F$661,BX$72,'Step 4 bond aggregation'!$G$2:$G$661,MATCH($BB94,lov_term_buckets,0),'Step 4 bond aggregation'!$E$2:$E$661,$BC$89)</f>
        <v>0</v>
      </c>
      <c r="BY94" s="192">
        <f>SUMIFS('Step 4 bond aggregation'!$B$2:$B$661,'Step 4 bond aggregation'!$A$2:$A$661,$BU$69,'Step 4 bond aggregation'!$F$2:$F$661,BY$72,'Step 4 bond aggregation'!$G$2:$G$661,MATCH($BB94,lov_term_buckets,0),'Step 4 bond aggregation'!$E$2:$E$661,$BC$89)</f>
        <v>0</v>
      </c>
      <c r="BZ94" s="192">
        <f>SUMIFS('Step 4 bond aggregation'!$B$2:$B$661,'Step 4 bond aggregation'!$A$2:$A$661,$BU$69,'Step 4 bond aggregation'!$F$2:$F$661,BZ$72,'Step 4 bond aggregation'!$G$2:$G$661,MATCH($BB94,lov_term_buckets,0),'Step 4 bond aggregation'!$E$2:$E$661,$BC$89)</f>
        <v>0</v>
      </c>
      <c r="CA94" s="192">
        <f>SUMIFS('Step 4 bond aggregation'!$B$2:$B$661,'Step 4 bond aggregation'!$A$2:$A$661,$BU$69,'Step 4 bond aggregation'!$F$2:$F$661,CA$72,'Step 4 bond aggregation'!$G$2:$G$661,MATCH($BB94,lov_term_buckets,0),'Step 4 bond aggregation'!$E$2:$E$661,$BC$89)</f>
        <v>0</v>
      </c>
      <c r="CB94" s="192">
        <f>SUMIFS('Step 4 bond aggregation'!$B$2:$B$661,'Step 4 bond aggregation'!$A$2:$A$661,$BU$69,'Step 4 bond aggregation'!$F$2:$F$661,CB$72,'Step 4 bond aggregation'!$G$2:$G$661,MATCH($BB94,lov_term_buckets,0),'Step 4 bond aggregation'!$E$2:$E$661,$BC$89)</f>
        <v>0</v>
      </c>
      <c r="CC94" s="192">
        <f>SUMIFS('Step 4 bond aggregation'!$B$2:$B$661,'Step 4 bond aggregation'!$A$2:$A$661,$BU$69,'Step 4 bond aggregation'!$F$2:$F$661,CC$72,'Step 4 bond aggregation'!$G$2:$G$661,MATCH($BB94,lov_term_buckets,0),'Step 4 bond aggregation'!$E$2:$E$661,$BC$89)</f>
        <v>0</v>
      </c>
    </row>
    <row r="95" spans="2:81" hidden="1" outlineLevel="1" x14ac:dyDescent="0.3">
      <c r="C95" s="52" t="s">
        <v>938</v>
      </c>
      <c r="D95" s="192">
        <f>Input!F103</f>
        <v>0</v>
      </c>
      <c r="E95" s="192">
        <f>Input!G103</f>
        <v>0</v>
      </c>
      <c r="F95" s="192">
        <f>Input!H103</f>
        <v>0</v>
      </c>
      <c r="G95" s="192">
        <f>Input!I103</f>
        <v>0</v>
      </c>
      <c r="H95" s="192">
        <f>Input!J103</f>
        <v>0</v>
      </c>
      <c r="I95" s="192">
        <f>Input!K103</f>
        <v>0</v>
      </c>
      <c r="J95" s="192">
        <f>Input!L103</f>
        <v>0</v>
      </c>
      <c r="K95" s="192">
        <f>Input!M103</f>
        <v>0</v>
      </c>
      <c r="L95" s="191"/>
      <c r="M95" s="191"/>
      <c r="N95" s="254" t="s">
        <v>938</v>
      </c>
      <c r="O95" s="192">
        <f>Input!F143+Input!F176</f>
        <v>0</v>
      </c>
      <c r="P95" s="192">
        <f>Input!G143+Input!G176</f>
        <v>0</v>
      </c>
      <c r="Q95" s="192">
        <f>Input!H143+Input!H176</f>
        <v>0</v>
      </c>
      <c r="R95" s="192">
        <f>Input!I143+Input!I176</f>
        <v>0</v>
      </c>
      <c r="S95" s="192">
        <f>Input!J143+Input!J176</f>
        <v>0</v>
      </c>
      <c r="T95" s="192">
        <f>Input!K143+Input!K176</f>
        <v>0</v>
      </c>
      <c r="U95" s="192">
        <f>Input!L143+Input!L176</f>
        <v>0</v>
      </c>
      <c r="V95" s="191"/>
      <c r="W95" s="191"/>
      <c r="X95" s="254" t="s">
        <v>938</v>
      </c>
      <c r="Y95" s="192">
        <f>SUMIFS('Step 4 bond aggregation'!$B$2:$B$661,'Step 4 bond aggregation'!$A$2:$A$661,$W$69,'Step 4 bond aggregation'!$F$2:$F$661,Y$72,'Step 4 bond aggregation'!$G$2:$G$661,MATCH($X95,lov_term_buckets,0),'Step 4 bond aggregation'!$E$2:$E$661,$Y$89)</f>
        <v>0</v>
      </c>
      <c r="Z95" s="192">
        <f>SUMIFS('Step 4 bond aggregation'!$B$2:$B$661,'Step 4 bond aggregation'!$A$2:$A$661,$W$69,'Step 4 bond aggregation'!$F$2:$F$661,Z$72,'Step 4 bond aggregation'!$G$2:$G$661,MATCH($X95,lov_term_buckets,0),'Step 4 bond aggregation'!$E$2:$E$661,$Y$89)</f>
        <v>0</v>
      </c>
      <c r="AA95" s="192">
        <f>SUMIFS('Step 4 bond aggregation'!$B$2:$B$661,'Step 4 bond aggregation'!$A$2:$A$661,$W$69,'Step 4 bond aggregation'!$F$2:$F$661,AA$72,'Step 4 bond aggregation'!$G$2:$G$661,MATCH($X95,lov_term_buckets,0),'Step 4 bond aggregation'!$E$2:$E$661,$Y$89)</f>
        <v>0</v>
      </c>
      <c r="AB95" s="192">
        <f>SUMIFS('Step 4 bond aggregation'!$B$2:$B$661,'Step 4 bond aggregation'!$A$2:$A$661,$W$69,'Step 4 bond aggregation'!$F$2:$F$661,AB$72,'Step 4 bond aggregation'!$G$2:$G$661,MATCH($X95,lov_term_buckets,0),'Step 4 bond aggregation'!$E$2:$E$661,$Y$89)</f>
        <v>0</v>
      </c>
      <c r="AC95" s="192">
        <f>SUMIFS('Step 4 bond aggregation'!$B$2:$B$661,'Step 4 bond aggregation'!$A$2:$A$661,$W$69,'Step 4 bond aggregation'!$F$2:$F$661,AC$72,'Step 4 bond aggregation'!$G$2:$G$661,MATCH($X95,lov_term_buckets,0),'Step 4 bond aggregation'!$E$2:$E$661,$Y$89)</f>
        <v>0</v>
      </c>
      <c r="AD95" s="192">
        <f>SUMIFS('Step 4 bond aggregation'!$B$2:$B$661,'Step 4 bond aggregation'!$A$2:$A$661,$W$69,'Step 4 bond aggregation'!$F$2:$F$661,AD$72,'Step 4 bond aggregation'!$G$2:$G$661,MATCH($X95,lov_term_buckets,0),'Step 4 bond aggregation'!$E$2:$E$661,$Y$89)</f>
        <v>0</v>
      </c>
      <c r="AE95" s="192">
        <f>SUMIFS('Step 4 bond aggregation'!$B$2:$B$661,'Step 4 bond aggregation'!$A$2:$A$661,$W$69,'Step 4 bond aggregation'!$F$2:$F$661,AE$72,'Step 4 bond aggregation'!$G$2:$G$661,MATCH($X95,lov_term_buckets,0),'Step 4 bond aggregation'!$E$2:$E$661,$Y$89)</f>
        <v>0</v>
      </c>
      <c r="AF95" s="191"/>
      <c r="AG95" s="191"/>
      <c r="AH95" s="254" t="s">
        <v>938</v>
      </c>
      <c r="AI95" s="192">
        <f>SUMIFS('Step 4 bond aggregation'!$B$2:$B$661,'Step 4 bond aggregation'!$A$2:$A$661,$AG$69,'Step 4 bond aggregation'!$F$2:$F$661,AI$72,'Step 4 bond aggregation'!$G$2:$G$661,MATCH($AH95,lov_term_buckets,0),'Step 4 bond aggregation'!$E$2:$E$661,$AI$89)</f>
        <v>0</v>
      </c>
      <c r="AJ95" s="192">
        <f>SUMIFS('Step 4 bond aggregation'!$B$2:$B$661,'Step 4 bond aggregation'!$A$2:$A$661,$AG$69,'Step 4 bond aggregation'!$F$2:$F$661,AJ$72,'Step 4 bond aggregation'!$G$2:$G$661,MATCH($AH95,lov_term_buckets,0),'Step 4 bond aggregation'!$E$2:$E$661,$AI$89)</f>
        <v>0</v>
      </c>
      <c r="AK95" s="192">
        <f>SUMIFS('Step 4 bond aggregation'!$B$2:$B$661,'Step 4 bond aggregation'!$A$2:$A$661,$AG$69,'Step 4 bond aggregation'!$F$2:$F$661,AK$72,'Step 4 bond aggregation'!$G$2:$G$661,MATCH($AH95,lov_term_buckets,0),'Step 4 bond aggregation'!$E$2:$E$661,$AI$89)</f>
        <v>0</v>
      </c>
      <c r="AL95" s="192">
        <f>SUMIFS('Step 4 bond aggregation'!$B$2:$B$661,'Step 4 bond aggregation'!$A$2:$A$661,$AG$69,'Step 4 bond aggregation'!$F$2:$F$661,AL$72,'Step 4 bond aggregation'!$G$2:$G$661,MATCH($AH95,lov_term_buckets,0),'Step 4 bond aggregation'!$E$2:$E$661,$AI$89)</f>
        <v>0</v>
      </c>
      <c r="AM95" s="192">
        <f>SUMIFS('Step 4 bond aggregation'!$B$2:$B$661,'Step 4 bond aggregation'!$A$2:$A$661,$AG$69,'Step 4 bond aggregation'!$F$2:$F$661,AM$72,'Step 4 bond aggregation'!$G$2:$G$661,MATCH($AH95,lov_term_buckets,0),'Step 4 bond aggregation'!$E$2:$E$661,$AI$89)</f>
        <v>0</v>
      </c>
      <c r="AN95" s="192">
        <f>SUMIFS('Step 4 bond aggregation'!$B$2:$B$661,'Step 4 bond aggregation'!$A$2:$A$661,$AG$69,'Step 4 bond aggregation'!$F$2:$F$661,AN$72,'Step 4 bond aggregation'!$G$2:$G$661,MATCH($AH95,lov_term_buckets,0),'Step 4 bond aggregation'!$E$2:$E$661,$AI$89)</f>
        <v>0</v>
      </c>
      <c r="AO95" s="192">
        <f>SUMIFS('Step 4 bond aggregation'!$B$2:$B$661,'Step 4 bond aggregation'!$A$2:$A$661,$AG$69,'Step 4 bond aggregation'!$F$2:$F$661,AO$72,'Step 4 bond aggregation'!$G$2:$G$661,MATCH($AH95,lov_term_buckets,0),'Step 4 bond aggregation'!$E$2:$E$661,$AI$89)</f>
        <v>0</v>
      </c>
      <c r="AP95" s="191"/>
      <c r="AQ95" s="191"/>
      <c r="AR95" s="254" t="s">
        <v>938</v>
      </c>
      <c r="AS95" s="192">
        <f>SUMIFS('Step 4 bond aggregation'!$B$2:$B$661,'Step 4 bond aggregation'!$A$2:$A$661,$AQ$69,'Step 4 bond aggregation'!$F$2:$F$661,AS$72,'Step 4 bond aggregation'!$G$2:$G$661,MATCH($AR95,lov_term_buckets,0),'Step 4 bond aggregation'!$E$2:$E$661,$AS$89)</f>
        <v>0</v>
      </c>
      <c r="AT95" s="192">
        <f>SUMIFS('Step 4 bond aggregation'!$B$2:$B$661,'Step 4 bond aggregation'!$A$2:$A$661,$AQ$69,'Step 4 bond aggregation'!$F$2:$F$661,AT$72,'Step 4 bond aggregation'!$G$2:$G$661,MATCH($AR95,lov_term_buckets,0),'Step 4 bond aggregation'!$E$2:$E$661,$AS$89)</f>
        <v>0</v>
      </c>
      <c r="AU95" s="192">
        <f>SUMIFS('Step 4 bond aggregation'!$B$2:$B$661,'Step 4 bond aggregation'!$A$2:$A$661,$AQ$69,'Step 4 bond aggregation'!$F$2:$F$661,AU$72,'Step 4 bond aggregation'!$G$2:$G$661,MATCH($AR95,lov_term_buckets,0),'Step 4 bond aggregation'!$E$2:$E$661,$AS$89)</f>
        <v>0</v>
      </c>
      <c r="AV95" s="192">
        <f>SUMIFS('Step 4 bond aggregation'!$B$2:$B$661,'Step 4 bond aggregation'!$A$2:$A$661,$AQ$69,'Step 4 bond aggregation'!$F$2:$F$661,AV$72,'Step 4 bond aggregation'!$G$2:$G$661,MATCH($AR95,lov_term_buckets,0),'Step 4 bond aggregation'!$E$2:$E$661,$AS$89)</f>
        <v>0</v>
      </c>
      <c r="AW95" s="192">
        <f>SUMIFS('Step 4 bond aggregation'!$B$2:$B$661,'Step 4 bond aggregation'!$A$2:$A$661,$AQ$69,'Step 4 bond aggregation'!$F$2:$F$661,AW$72,'Step 4 bond aggregation'!$G$2:$G$661,MATCH($AR95,lov_term_buckets,0),'Step 4 bond aggregation'!$E$2:$E$661,$AS$89)</f>
        <v>0</v>
      </c>
      <c r="AX95" s="192">
        <f>SUMIFS('Step 4 bond aggregation'!$B$2:$B$661,'Step 4 bond aggregation'!$A$2:$A$661,$AQ$69,'Step 4 bond aggregation'!$F$2:$F$661,AX$72,'Step 4 bond aggregation'!$G$2:$G$661,MATCH($AR95,lov_term_buckets,0),'Step 4 bond aggregation'!$E$2:$E$661,$AS$89)</f>
        <v>0</v>
      </c>
      <c r="AY95" s="192">
        <f>SUMIFS('Step 4 bond aggregation'!$B$2:$B$661,'Step 4 bond aggregation'!$A$2:$A$661,$AQ$69,'Step 4 bond aggregation'!$F$2:$F$661,AY$72,'Step 4 bond aggregation'!$G$2:$G$661,MATCH($AR95,lov_term_buckets,0),'Step 4 bond aggregation'!$E$2:$E$661,$AS$89)</f>
        <v>0</v>
      </c>
      <c r="AZ95" s="191"/>
      <c r="BA95" s="191"/>
      <c r="BB95" s="254" t="s">
        <v>938</v>
      </c>
      <c r="BC95" s="192">
        <f>SUMIFS('Step 4 bond aggregation'!$B$2:$B$661,'Step 4 bond aggregation'!$A$2:$A$661,$BA$69,'Step 4 bond aggregation'!$F$2:$F$661,BC$72,'Step 4 bond aggregation'!$G$2:$G$661,MATCH($BB95,lov_term_buckets,0),'Step 4 bond aggregation'!$E$2:$E$661,$BC$89)</f>
        <v>0</v>
      </c>
      <c r="BD95" s="192">
        <f>SUMIFS('Step 4 bond aggregation'!$B$2:$B$661,'Step 4 bond aggregation'!$A$2:$A$661,$BA$69,'Step 4 bond aggregation'!$F$2:$F$661,BD$72,'Step 4 bond aggregation'!$G$2:$G$661,MATCH($BB95,lov_term_buckets,0),'Step 4 bond aggregation'!$E$2:$E$661,$BC$89)</f>
        <v>0</v>
      </c>
      <c r="BE95" s="192">
        <f>SUMIFS('Step 4 bond aggregation'!$B$2:$B$661,'Step 4 bond aggregation'!$A$2:$A$661,$BA$69,'Step 4 bond aggregation'!$F$2:$F$661,BE$72,'Step 4 bond aggregation'!$G$2:$G$661,MATCH($BB95,lov_term_buckets,0),'Step 4 bond aggregation'!$E$2:$E$661,$BC$89)</f>
        <v>0</v>
      </c>
      <c r="BF95" s="192">
        <f>SUMIFS('Step 4 bond aggregation'!$B$2:$B$661,'Step 4 bond aggregation'!$A$2:$A$661,$BA$69,'Step 4 bond aggregation'!$F$2:$F$661,BF$72,'Step 4 bond aggregation'!$G$2:$G$661,MATCH($BB95,lov_term_buckets,0),'Step 4 bond aggregation'!$E$2:$E$661,$BC$89)</f>
        <v>0</v>
      </c>
      <c r="BG95" s="192">
        <f>SUMIFS('Step 4 bond aggregation'!$B$2:$B$661,'Step 4 bond aggregation'!$A$2:$A$661,$BA$69,'Step 4 bond aggregation'!$F$2:$F$661,BG$72,'Step 4 bond aggregation'!$G$2:$G$661,MATCH($BB95,lov_term_buckets,0),'Step 4 bond aggregation'!$E$2:$E$661,$BC$89)</f>
        <v>0</v>
      </c>
      <c r="BH95" s="192">
        <f>SUMIFS('Step 4 bond aggregation'!$B$2:$B$661,'Step 4 bond aggregation'!$A$2:$A$661,$BA$69,'Step 4 bond aggregation'!$F$2:$F$661,BH$72,'Step 4 bond aggregation'!$G$2:$G$661,MATCH($BB95,lov_term_buckets,0),'Step 4 bond aggregation'!$E$2:$E$661,$BC$89)</f>
        <v>0</v>
      </c>
      <c r="BI95" s="192">
        <f>SUMIFS('Step 4 bond aggregation'!$B$2:$B$661,'Step 4 bond aggregation'!$A$2:$A$661,$BA$69,'Step 4 bond aggregation'!$F$2:$F$661,BI$72,'Step 4 bond aggregation'!$G$2:$G$661,MATCH($BB95,lov_term_buckets,0),'Step 4 bond aggregation'!$E$2:$E$661,$BC$89)</f>
        <v>0</v>
      </c>
      <c r="BK95" s="191"/>
      <c r="BL95" s="254" t="s">
        <v>938</v>
      </c>
      <c r="BM95" s="192">
        <f>SUMIFS('Step 4 bond aggregation'!$B$2:$B$661,'Step 4 bond aggregation'!$A$2:$A$661,$BK$69,'Step 4 bond aggregation'!$F$2:$F$661,BM$72,'Step 4 bond aggregation'!$G$2:$G$661,MATCH($BB95,lov_term_buckets,0),'Step 4 bond aggregation'!$E$2:$E$661,$BC$89)</f>
        <v>0</v>
      </c>
      <c r="BN95" s="192">
        <f>SUMIFS('Step 4 bond aggregation'!$B$2:$B$661,'Step 4 bond aggregation'!$A$2:$A$661,$BK$69,'Step 4 bond aggregation'!$F$2:$F$661,BN$72,'Step 4 bond aggregation'!$G$2:$G$661,MATCH($BB95,lov_term_buckets,0),'Step 4 bond aggregation'!$E$2:$E$661,$BC$89)</f>
        <v>0</v>
      </c>
      <c r="BO95" s="192">
        <f>SUMIFS('Step 4 bond aggregation'!$B$2:$B$661,'Step 4 bond aggregation'!$A$2:$A$661,$BK$69,'Step 4 bond aggregation'!$F$2:$F$661,BO$72,'Step 4 bond aggregation'!$G$2:$G$661,MATCH($BB95,lov_term_buckets,0),'Step 4 bond aggregation'!$E$2:$E$661,$BC$89)</f>
        <v>0</v>
      </c>
      <c r="BP95" s="192">
        <f>SUMIFS('Step 4 bond aggregation'!$B$2:$B$661,'Step 4 bond aggregation'!$A$2:$A$661,$BK$69,'Step 4 bond aggregation'!$F$2:$F$661,BP$72,'Step 4 bond aggregation'!$G$2:$G$661,MATCH($BB95,lov_term_buckets,0),'Step 4 bond aggregation'!$E$2:$E$661,$BC$89)</f>
        <v>0</v>
      </c>
      <c r="BQ95" s="192">
        <f>SUMIFS('Step 4 bond aggregation'!$B$2:$B$661,'Step 4 bond aggregation'!$A$2:$A$661,$BK$69,'Step 4 bond aggregation'!$F$2:$F$661,BQ$72,'Step 4 bond aggregation'!$G$2:$G$661,MATCH($BB95,lov_term_buckets,0),'Step 4 bond aggregation'!$E$2:$E$661,$BC$89)</f>
        <v>0</v>
      </c>
      <c r="BR95" s="192">
        <f>SUMIFS('Step 4 bond aggregation'!$B$2:$B$661,'Step 4 bond aggregation'!$A$2:$A$661,$BK$69,'Step 4 bond aggregation'!$F$2:$F$661,BR$72,'Step 4 bond aggregation'!$G$2:$G$661,MATCH($BB95,lov_term_buckets,0),'Step 4 bond aggregation'!$E$2:$E$661,$BC$89)</f>
        <v>0</v>
      </c>
      <c r="BS95" s="192">
        <f>SUMIFS('Step 4 bond aggregation'!$B$2:$B$661,'Step 4 bond aggregation'!$A$2:$A$661,$BK$69,'Step 4 bond aggregation'!$F$2:$F$661,BS$72,'Step 4 bond aggregation'!$G$2:$G$661,MATCH($BB95,lov_term_buckets,0),'Step 4 bond aggregation'!$E$2:$E$661,$BC$89)</f>
        <v>0</v>
      </c>
      <c r="BU95" s="191"/>
      <c r="BV95" s="254" t="s">
        <v>938</v>
      </c>
      <c r="BW95" s="192">
        <f>SUMIFS('Step 4 bond aggregation'!$B$2:$B$661,'Step 4 bond aggregation'!$A$2:$A$661,$BU$69,'Step 4 bond aggregation'!$F$2:$F$661,BW$72,'Step 4 bond aggregation'!$G$2:$G$661,MATCH($BB95,lov_term_buckets,0),'Step 4 bond aggregation'!$E$2:$E$661,$BC$89)</f>
        <v>0</v>
      </c>
      <c r="BX95" s="192">
        <f>SUMIFS('Step 4 bond aggregation'!$B$2:$B$661,'Step 4 bond aggregation'!$A$2:$A$661,$BU$69,'Step 4 bond aggregation'!$F$2:$F$661,BX$72,'Step 4 bond aggregation'!$G$2:$G$661,MATCH($BB95,lov_term_buckets,0),'Step 4 bond aggregation'!$E$2:$E$661,$BC$89)</f>
        <v>0</v>
      </c>
      <c r="BY95" s="192">
        <f>SUMIFS('Step 4 bond aggregation'!$B$2:$B$661,'Step 4 bond aggregation'!$A$2:$A$661,$BU$69,'Step 4 bond aggregation'!$F$2:$F$661,BY$72,'Step 4 bond aggregation'!$G$2:$G$661,MATCH($BB95,lov_term_buckets,0),'Step 4 bond aggregation'!$E$2:$E$661,$BC$89)</f>
        <v>0</v>
      </c>
      <c r="BZ95" s="192">
        <f>SUMIFS('Step 4 bond aggregation'!$B$2:$B$661,'Step 4 bond aggregation'!$A$2:$A$661,$BU$69,'Step 4 bond aggregation'!$F$2:$F$661,BZ$72,'Step 4 bond aggregation'!$G$2:$G$661,MATCH($BB95,lov_term_buckets,0),'Step 4 bond aggregation'!$E$2:$E$661,$BC$89)</f>
        <v>0</v>
      </c>
      <c r="CA95" s="192">
        <f>SUMIFS('Step 4 bond aggregation'!$B$2:$B$661,'Step 4 bond aggregation'!$A$2:$A$661,$BU$69,'Step 4 bond aggregation'!$F$2:$F$661,CA$72,'Step 4 bond aggregation'!$G$2:$G$661,MATCH($BB95,lov_term_buckets,0),'Step 4 bond aggregation'!$E$2:$E$661,$BC$89)</f>
        <v>0</v>
      </c>
      <c r="CB95" s="192">
        <f>SUMIFS('Step 4 bond aggregation'!$B$2:$B$661,'Step 4 bond aggregation'!$A$2:$A$661,$BU$69,'Step 4 bond aggregation'!$F$2:$F$661,CB$72,'Step 4 bond aggregation'!$G$2:$G$661,MATCH($BB95,lov_term_buckets,0),'Step 4 bond aggregation'!$E$2:$E$661,$BC$89)</f>
        <v>0</v>
      </c>
      <c r="CC95" s="192">
        <f>SUMIFS('Step 4 bond aggregation'!$B$2:$B$661,'Step 4 bond aggregation'!$A$2:$A$661,$BU$69,'Step 4 bond aggregation'!$F$2:$F$661,CC$72,'Step 4 bond aggregation'!$G$2:$G$661,MATCH($BB95,lov_term_buckets,0),'Step 4 bond aggregation'!$E$2:$E$661,$BC$89)</f>
        <v>0</v>
      </c>
    </row>
    <row r="96" spans="2:81" hidden="1" outlineLevel="1" x14ac:dyDescent="0.3">
      <c r="C96" s="52" t="s">
        <v>6</v>
      </c>
      <c r="D96" s="192">
        <f>SUM(D91:K95)</f>
        <v>0</v>
      </c>
      <c r="E96" s="191"/>
      <c r="F96" s="191"/>
      <c r="G96" s="191"/>
      <c r="H96" s="191"/>
      <c r="I96" s="191"/>
      <c r="J96" s="191"/>
      <c r="K96" s="191"/>
      <c r="L96" s="191"/>
      <c r="M96" s="191"/>
      <c r="N96" s="254" t="s">
        <v>6</v>
      </c>
      <c r="O96" s="192">
        <f>SUM(O91:U95)</f>
        <v>0</v>
      </c>
      <c r="P96" s="191"/>
      <c r="Q96" s="191"/>
      <c r="R96" s="191"/>
      <c r="S96" s="191"/>
      <c r="T96" s="191"/>
      <c r="U96" s="191"/>
      <c r="V96" s="191"/>
      <c r="W96" s="191"/>
      <c r="X96" s="254" t="s">
        <v>6</v>
      </c>
      <c r="Y96" s="192">
        <f>SUM(Y91:AE95)</f>
        <v>0</v>
      </c>
      <c r="Z96" s="191"/>
      <c r="AA96" s="191"/>
      <c r="AB96" s="191"/>
      <c r="AC96" s="191"/>
      <c r="AD96" s="191"/>
      <c r="AE96" s="191"/>
      <c r="AF96" s="191"/>
      <c r="AG96" s="191"/>
      <c r="AH96" s="254" t="s">
        <v>6</v>
      </c>
      <c r="AI96" s="192">
        <f>SUM(AI91:AO95)</f>
        <v>0</v>
      </c>
      <c r="AJ96" s="191"/>
      <c r="AK96" s="191"/>
      <c r="AL96" s="191"/>
      <c r="AM96" s="191"/>
      <c r="AN96" s="191"/>
      <c r="AO96" s="191"/>
      <c r="AP96" s="191"/>
      <c r="AQ96" s="191"/>
      <c r="AR96" s="254" t="s">
        <v>6</v>
      </c>
      <c r="AS96" s="192">
        <f>SUM(AS91:AY95)</f>
        <v>0</v>
      </c>
      <c r="AT96" s="191"/>
      <c r="AU96" s="191"/>
      <c r="AV96" s="191"/>
      <c r="AW96" s="191"/>
      <c r="AX96" s="191"/>
      <c r="AY96" s="191"/>
      <c r="AZ96" s="191"/>
      <c r="BA96" s="191"/>
      <c r="BB96" s="254" t="s">
        <v>6</v>
      </c>
      <c r="BC96" s="192">
        <f>SUM(BC91:BI95)</f>
        <v>0</v>
      </c>
      <c r="BD96" s="191"/>
      <c r="BE96" s="191"/>
      <c r="BF96" s="191"/>
      <c r="BG96" s="191"/>
      <c r="BH96" s="191"/>
      <c r="BI96" s="191"/>
      <c r="BK96" s="191"/>
      <c r="BL96" s="254" t="s">
        <v>6</v>
      </c>
      <c r="BM96" s="192">
        <f>SUM(BM91:BS95)</f>
        <v>0</v>
      </c>
      <c r="BN96" s="191"/>
      <c r="BO96" s="191"/>
      <c r="BP96" s="191"/>
      <c r="BQ96" s="191"/>
      <c r="BR96" s="191"/>
      <c r="BS96" s="191"/>
      <c r="BU96" s="191"/>
      <c r="BV96" s="254" t="s">
        <v>6</v>
      </c>
      <c r="BW96" s="192">
        <f>SUM(BW91:CC95)</f>
        <v>0</v>
      </c>
      <c r="BX96" s="191"/>
      <c r="BY96" s="191"/>
      <c r="BZ96" s="191"/>
      <c r="CA96" s="191"/>
      <c r="CB96" s="191"/>
      <c r="CC96" s="191"/>
    </row>
    <row r="97" spans="2:81" hidden="1" outlineLevel="1" x14ac:dyDescent="0.3"/>
    <row r="98" spans="2:81" hidden="1" outlineLevel="1" x14ac:dyDescent="0.3">
      <c r="B98" s="88"/>
      <c r="C98" s="52" t="s">
        <v>2101</v>
      </c>
      <c r="D98" s="31">
        <f>Lists!$C$6</f>
        <v>4</v>
      </c>
      <c r="E98" s="108"/>
      <c r="F98" s="108"/>
      <c r="G98" s="108"/>
      <c r="H98" s="108"/>
      <c r="I98" s="108"/>
      <c r="J98" s="108"/>
      <c r="K98" s="108"/>
      <c r="L98" s="251"/>
      <c r="N98" s="52" t="s">
        <v>2101</v>
      </c>
      <c r="O98" s="31">
        <f>Lists!$C$6</f>
        <v>4</v>
      </c>
      <c r="P98" s="108"/>
      <c r="Q98" s="108"/>
      <c r="R98" s="108"/>
      <c r="S98" s="108"/>
      <c r="T98" s="108"/>
      <c r="U98" s="108"/>
      <c r="V98" s="108"/>
      <c r="W98" s="168"/>
      <c r="X98" s="52" t="s">
        <v>2101</v>
      </c>
      <c r="Y98" s="31">
        <f>Lists!$C$6</f>
        <v>4</v>
      </c>
      <c r="Z98" s="108"/>
      <c r="AA98" s="108"/>
      <c r="AB98" s="108"/>
      <c r="AC98" s="108"/>
      <c r="AD98" s="108"/>
      <c r="AE98" s="108"/>
      <c r="AF98" s="108"/>
      <c r="AG98" s="168"/>
      <c r="AH98" s="52" t="s">
        <v>2101</v>
      </c>
      <c r="AI98" s="31">
        <f>Lists!$C$6</f>
        <v>4</v>
      </c>
      <c r="AJ98" s="108"/>
      <c r="AK98" s="108"/>
      <c r="AL98" s="108"/>
      <c r="AM98" s="108"/>
      <c r="AN98" s="108"/>
      <c r="AO98" s="108"/>
      <c r="AP98" s="108"/>
      <c r="AQ98" s="168"/>
      <c r="AR98" s="52" t="s">
        <v>2101</v>
      </c>
      <c r="AS98" s="31">
        <f>Lists!$C$6</f>
        <v>4</v>
      </c>
      <c r="AT98" s="108"/>
      <c r="AU98" s="108"/>
      <c r="AV98" s="108"/>
      <c r="AW98" s="108"/>
      <c r="AX98" s="108"/>
      <c r="AY98" s="108"/>
      <c r="AZ98" s="108"/>
      <c r="BA98" s="168"/>
      <c r="BB98" s="52" t="s">
        <v>2101</v>
      </c>
      <c r="BC98" s="31">
        <f>Lists!$C$6</f>
        <v>4</v>
      </c>
      <c r="BD98" s="108"/>
      <c r="BE98" s="108"/>
      <c r="BF98" s="108"/>
      <c r="BG98" s="108"/>
      <c r="BH98" s="108"/>
      <c r="BI98" s="108"/>
      <c r="BK98" s="168"/>
      <c r="BL98" s="52" t="s">
        <v>2101</v>
      </c>
      <c r="BM98" s="31">
        <f>Lists!$C$6</f>
        <v>4</v>
      </c>
      <c r="BN98" s="108"/>
      <c r="BO98" s="108"/>
      <c r="BP98" s="108"/>
      <c r="BQ98" s="108"/>
      <c r="BR98" s="108"/>
      <c r="BS98" s="108"/>
      <c r="BU98" s="168"/>
      <c r="BV98" s="52" t="s">
        <v>2101</v>
      </c>
      <c r="BW98" s="31">
        <f>Lists!$C$6</f>
        <v>4</v>
      </c>
      <c r="BX98" s="108"/>
      <c r="BY98" s="108"/>
      <c r="BZ98" s="108"/>
      <c r="CA98" s="108"/>
      <c r="CB98" s="108"/>
      <c r="CC98" s="108"/>
    </row>
    <row r="99" spans="2:81" ht="14" hidden="1" customHeight="1" outlineLevel="1" x14ac:dyDescent="0.3">
      <c r="C99" s="57" t="s">
        <v>939</v>
      </c>
      <c r="D99" s="675" t="s">
        <v>0</v>
      </c>
      <c r="E99" s="675" t="s">
        <v>1</v>
      </c>
      <c r="F99" s="675" t="s">
        <v>2</v>
      </c>
      <c r="G99" s="675" t="s">
        <v>3</v>
      </c>
      <c r="H99" s="675" t="s">
        <v>4</v>
      </c>
      <c r="I99" s="675" t="s">
        <v>5</v>
      </c>
      <c r="J99" s="675" t="s">
        <v>1457</v>
      </c>
      <c r="K99" s="675" t="s">
        <v>1123</v>
      </c>
      <c r="L99" s="108"/>
      <c r="M99" s="35"/>
      <c r="N99" s="675" t="s">
        <v>939</v>
      </c>
      <c r="O99" s="675" t="s">
        <v>0</v>
      </c>
      <c r="P99" s="675" t="s">
        <v>1</v>
      </c>
      <c r="Q99" s="675" t="s">
        <v>2</v>
      </c>
      <c r="R99" s="675" t="s">
        <v>3</v>
      </c>
      <c r="S99" s="675" t="s">
        <v>4</v>
      </c>
      <c r="T99" s="675" t="s">
        <v>5</v>
      </c>
      <c r="U99" s="675" t="s">
        <v>1457</v>
      </c>
      <c r="V99" s="108"/>
      <c r="X99" s="675" t="s">
        <v>939</v>
      </c>
      <c r="Y99" s="675" t="s">
        <v>0</v>
      </c>
      <c r="Z99" s="675" t="s">
        <v>1</v>
      </c>
      <c r="AA99" s="675" t="s">
        <v>2</v>
      </c>
      <c r="AB99" s="675" t="s">
        <v>3</v>
      </c>
      <c r="AC99" s="675" t="s">
        <v>4</v>
      </c>
      <c r="AD99" s="675" t="s">
        <v>5</v>
      </c>
      <c r="AE99" s="675" t="s">
        <v>1457</v>
      </c>
      <c r="AF99" s="108"/>
      <c r="AH99" s="675" t="s">
        <v>939</v>
      </c>
      <c r="AI99" s="675" t="s">
        <v>0</v>
      </c>
      <c r="AJ99" s="675" t="s">
        <v>1</v>
      </c>
      <c r="AK99" s="675" t="s">
        <v>2</v>
      </c>
      <c r="AL99" s="675" t="s">
        <v>3</v>
      </c>
      <c r="AM99" s="675" t="s">
        <v>4</v>
      </c>
      <c r="AN99" s="675" t="s">
        <v>5</v>
      </c>
      <c r="AO99" s="675" t="s">
        <v>1457</v>
      </c>
      <c r="AP99" s="108"/>
      <c r="AR99" s="675" t="s">
        <v>939</v>
      </c>
      <c r="AS99" s="675" t="s">
        <v>0</v>
      </c>
      <c r="AT99" s="675" t="s">
        <v>1</v>
      </c>
      <c r="AU99" s="675" t="s">
        <v>2</v>
      </c>
      <c r="AV99" s="675" t="s">
        <v>3</v>
      </c>
      <c r="AW99" s="675" t="s">
        <v>4</v>
      </c>
      <c r="AX99" s="675" t="s">
        <v>5</v>
      </c>
      <c r="AY99" s="675" t="s">
        <v>1457</v>
      </c>
      <c r="AZ99" s="108"/>
      <c r="BB99" s="675" t="s">
        <v>939</v>
      </c>
      <c r="BC99" s="675" t="s">
        <v>0</v>
      </c>
      <c r="BD99" s="675" t="s">
        <v>1</v>
      </c>
      <c r="BE99" s="675" t="s">
        <v>2</v>
      </c>
      <c r="BF99" s="675" t="s">
        <v>3</v>
      </c>
      <c r="BG99" s="675" t="s">
        <v>4</v>
      </c>
      <c r="BH99" s="675" t="s">
        <v>5</v>
      </c>
      <c r="BI99" s="675" t="s">
        <v>1457</v>
      </c>
      <c r="BL99" s="675" t="s">
        <v>939</v>
      </c>
      <c r="BM99" s="675" t="s">
        <v>0</v>
      </c>
      <c r="BN99" s="675" t="s">
        <v>1</v>
      </c>
      <c r="BO99" s="675" t="s">
        <v>2</v>
      </c>
      <c r="BP99" s="675" t="s">
        <v>3</v>
      </c>
      <c r="BQ99" s="675" t="s">
        <v>4</v>
      </c>
      <c r="BR99" s="675" t="s">
        <v>5</v>
      </c>
      <c r="BS99" s="675" t="s">
        <v>1457</v>
      </c>
      <c r="BV99" s="675" t="s">
        <v>939</v>
      </c>
      <c r="BW99" s="675" t="s">
        <v>0</v>
      </c>
      <c r="BX99" s="675" t="s">
        <v>1</v>
      </c>
      <c r="BY99" s="675" t="s">
        <v>2</v>
      </c>
      <c r="BZ99" s="675" t="s">
        <v>3</v>
      </c>
      <c r="CA99" s="675" t="s">
        <v>4</v>
      </c>
      <c r="CB99" s="675" t="s">
        <v>5</v>
      </c>
      <c r="CC99" s="675" t="s">
        <v>1457</v>
      </c>
    </row>
    <row r="100" spans="2:81" hidden="1" outlineLevel="1" x14ac:dyDescent="0.3">
      <c r="C100" s="52" t="s">
        <v>934</v>
      </c>
      <c r="D100" s="192">
        <f>Input!F107</f>
        <v>0</v>
      </c>
      <c r="E100" s="192">
        <f>Input!G107</f>
        <v>0</v>
      </c>
      <c r="F100" s="192">
        <f>Input!H107</f>
        <v>0</v>
      </c>
      <c r="G100" s="192">
        <f>Input!I107</f>
        <v>0</v>
      </c>
      <c r="H100" s="192">
        <f>Input!J107</f>
        <v>0</v>
      </c>
      <c r="I100" s="192">
        <f>Input!K107</f>
        <v>0</v>
      </c>
      <c r="J100" s="192">
        <f>Input!L107</f>
        <v>0</v>
      </c>
      <c r="K100" s="192">
        <f>Input!M107</f>
        <v>0</v>
      </c>
      <c r="L100" s="191"/>
      <c r="M100" s="191"/>
      <c r="N100" s="254" t="s">
        <v>934</v>
      </c>
      <c r="O100" s="192">
        <f>Input!F147+Input!F180</f>
        <v>0</v>
      </c>
      <c r="P100" s="192">
        <f>Input!G147+Input!G180</f>
        <v>0</v>
      </c>
      <c r="Q100" s="192">
        <f>Input!H147+Input!H180</f>
        <v>0</v>
      </c>
      <c r="R100" s="192">
        <f>Input!I147+Input!I180</f>
        <v>0</v>
      </c>
      <c r="S100" s="192">
        <f>Input!J147+Input!J180</f>
        <v>0</v>
      </c>
      <c r="T100" s="192">
        <f>Input!K147+Input!K180</f>
        <v>0</v>
      </c>
      <c r="U100" s="192">
        <f>Input!L147+Input!L180</f>
        <v>0</v>
      </c>
      <c r="V100" s="191"/>
      <c r="W100" s="191"/>
      <c r="X100" s="254" t="s">
        <v>934</v>
      </c>
      <c r="Y100" s="192">
        <f>SUMIFS('Step 4 bond aggregation'!$B$2:$B$661,'Step 4 bond aggregation'!$A$2:$A$661,$W$69,'Step 4 bond aggregation'!$F$2:$F$661,Y$72,'Step 4 bond aggregation'!$G$2:$G$661,MATCH($X100,lov_term_buckets,0),'Step 4 bond aggregation'!$E$2:$E$661,$Y$98)</f>
        <v>0</v>
      </c>
      <c r="Z100" s="192">
        <f>SUMIFS('Step 4 bond aggregation'!$B$2:$B$661,'Step 4 bond aggregation'!$A$2:$A$661,$W$69,'Step 4 bond aggregation'!$F$2:$F$661,Z$72,'Step 4 bond aggregation'!$G$2:$G$661,MATCH($X100,lov_term_buckets,0),'Step 4 bond aggregation'!$E$2:$E$661,$Y$98)</f>
        <v>0</v>
      </c>
      <c r="AA100" s="192">
        <f>SUMIFS('Step 4 bond aggregation'!$B$2:$B$661,'Step 4 bond aggregation'!$A$2:$A$661,$W$69,'Step 4 bond aggregation'!$F$2:$F$661,AA$72,'Step 4 bond aggregation'!$G$2:$G$661,MATCH($X100,lov_term_buckets,0),'Step 4 bond aggregation'!$E$2:$E$661,$Y$98)</f>
        <v>0</v>
      </c>
      <c r="AB100" s="192">
        <f>SUMIFS('Step 4 bond aggregation'!$B$2:$B$661,'Step 4 bond aggregation'!$A$2:$A$661,$W$69,'Step 4 bond aggregation'!$F$2:$F$661,AB$72,'Step 4 bond aggregation'!$G$2:$G$661,MATCH($X100,lov_term_buckets,0),'Step 4 bond aggregation'!$E$2:$E$661,$Y$98)</f>
        <v>0</v>
      </c>
      <c r="AC100" s="192">
        <f>SUMIFS('Step 4 bond aggregation'!$B$2:$B$661,'Step 4 bond aggregation'!$A$2:$A$661,$W$69,'Step 4 bond aggregation'!$F$2:$F$661,AC$72,'Step 4 bond aggregation'!$G$2:$G$661,MATCH($X100,lov_term_buckets,0),'Step 4 bond aggregation'!$E$2:$E$661,$Y$98)</f>
        <v>0</v>
      </c>
      <c r="AD100" s="192">
        <f>SUMIFS('Step 4 bond aggregation'!$B$2:$B$661,'Step 4 bond aggregation'!$A$2:$A$661,$W$69,'Step 4 bond aggregation'!$F$2:$F$661,AD$72,'Step 4 bond aggregation'!$G$2:$G$661,MATCH($X100,lov_term_buckets,0),'Step 4 bond aggregation'!$E$2:$E$661,$Y$98)</f>
        <v>0</v>
      </c>
      <c r="AE100" s="192">
        <f>SUMIFS('Step 4 bond aggregation'!$B$2:$B$661,'Step 4 bond aggregation'!$A$2:$A$661,$W$69,'Step 4 bond aggregation'!$F$2:$F$661,AE$72,'Step 4 bond aggregation'!$G$2:$G$661,MATCH($X100,lov_term_buckets,0),'Step 4 bond aggregation'!$E$2:$E$661,$Y$98)</f>
        <v>0</v>
      </c>
      <c r="AF100" s="191"/>
      <c r="AG100" s="191"/>
      <c r="AH100" s="254" t="s">
        <v>934</v>
      </c>
      <c r="AI100" s="192">
        <f>SUMIFS('Step 4 bond aggregation'!$B$2:$B$661,'Step 4 bond aggregation'!$A$2:$A$661,$AG$69,'Step 4 bond aggregation'!$F$2:$F$661,AI$72,'Step 4 bond aggregation'!$G$2:$G$661,MATCH($AH100,lov_term_buckets,0),'Step 4 bond aggregation'!$E$2:$E$661,$AI$98)</f>
        <v>0</v>
      </c>
      <c r="AJ100" s="192">
        <f>SUMIFS('Step 4 bond aggregation'!$B$2:$B$661,'Step 4 bond aggregation'!$A$2:$A$661,$AG$69,'Step 4 bond aggregation'!$F$2:$F$661,AJ$72,'Step 4 bond aggregation'!$G$2:$G$661,MATCH($AH100,lov_term_buckets,0),'Step 4 bond aggregation'!$E$2:$E$661,$AI$98)</f>
        <v>0</v>
      </c>
      <c r="AK100" s="192">
        <f>SUMIFS('Step 4 bond aggregation'!$B$2:$B$661,'Step 4 bond aggregation'!$A$2:$A$661,$AG$69,'Step 4 bond aggregation'!$F$2:$F$661,AK$72,'Step 4 bond aggregation'!$G$2:$G$661,MATCH($AH100,lov_term_buckets,0),'Step 4 bond aggregation'!$E$2:$E$661,$AI$98)</f>
        <v>0</v>
      </c>
      <c r="AL100" s="192">
        <f>SUMIFS('Step 4 bond aggregation'!$B$2:$B$661,'Step 4 bond aggregation'!$A$2:$A$661,$AG$69,'Step 4 bond aggregation'!$F$2:$F$661,AL$72,'Step 4 bond aggregation'!$G$2:$G$661,MATCH($AH100,lov_term_buckets,0),'Step 4 bond aggregation'!$E$2:$E$661,$AI$98)</f>
        <v>0</v>
      </c>
      <c r="AM100" s="192">
        <f>SUMIFS('Step 4 bond aggregation'!$B$2:$B$661,'Step 4 bond aggregation'!$A$2:$A$661,$AG$69,'Step 4 bond aggregation'!$F$2:$F$661,AM$72,'Step 4 bond aggregation'!$G$2:$G$661,MATCH($AH100,lov_term_buckets,0),'Step 4 bond aggregation'!$E$2:$E$661,$AI$98)</f>
        <v>0</v>
      </c>
      <c r="AN100" s="192">
        <f>SUMIFS('Step 4 bond aggregation'!$B$2:$B$661,'Step 4 bond aggregation'!$A$2:$A$661,$AG$69,'Step 4 bond aggregation'!$F$2:$F$661,AN$72,'Step 4 bond aggregation'!$G$2:$G$661,MATCH($AH100,lov_term_buckets,0),'Step 4 bond aggregation'!$E$2:$E$661,$AI$98)</f>
        <v>0</v>
      </c>
      <c r="AO100" s="192">
        <f>SUMIFS('Step 4 bond aggregation'!$B$2:$B$661,'Step 4 bond aggregation'!$A$2:$A$661,$AG$69,'Step 4 bond aggregation'!$F$2:$F$661,AO$72,'Step 4 bond aggregation'!$G$2:$G$661,MATCH($AH100,lov_term_buckets,0),'Step 4 bond aggregation'!$E$2:$E$661,$AI$98)</f>
        <v>0</v>
      </c>
      <c r="AP100" s="191"/>
      <c r="AQ100" s="191"/>
      <c r="AR100" s="254" t="s">
        <v>934</v>
      </c>
      <c r="AS100" s="192">
        <f>SUMIFS('Step 4 bond aggregation'!$B$2:$B$661,'Step 4 bond aggregation'!$A$2:$A$661,$AQ$69,'Step 4 bond aggregation'!$F$2:$F$661,AS$72,'Step 4 bond aggregation'!$G$2:$G$661,MATCH($AR100,lov_term_buckets,0),'Step 4 bond aggregation'!$E$2:$E$661,$AS$98)</f>
        <v>0</v>
      </c>
      <c r="AT100" s="192">
        <f>SUMIFS('Step 4 bond aggregation'!$B$2:$B$661,'Step 4 bond aggregation'!$A$2:$A$661,$AQ$69,'Step 4 bond aggregation'!$F$2:$F$661,AT$72,'Step 4 bond aggregation'!$G$2:$G$661,MATCH($AR100,lov_term_buckets,0),'Step 4 bond aggregation'!$E$2:$E$661,$AS$98)</f>
        <v>0</v>
      </c>
      <c r="AU100" s="192">
        <f>SUMIFS('Step 4 bond aggregation'!$B$2:$B$661,'Step 4 bond aggregation'!$A$2:$A$661,$AQ$69,'Step 4 bond aggregation'!$F$2:$F$661,AU$72,'Step 4 bond aggregation'!$G$2:$G$661,MATCH($AR100,lov_term_buckets,0),'Step 4 bond aggregation'!$E$2:$E$661,$AS$98)</f>
        <v>0</v>
      </c>
      <c r="AV100" s="192">
        <f>SUMIFS('Step 4 bond aggregation'!$B$2:$B$661,'Step 4 bond aggregation'!$A$2:$A$661,$AQ$69,'Step 4 bond aggregation'!$F$2:$F$661,AV$72,'Step 4 bond aggregation'!$G$2:$G$661,MATCH($AR100,lov_term_buckets,0),'Step 4 bond aggregation'!$E$2:$E$661,$AS$98)</f>
        <v>0</v>
      </c>
      <c r="AW100" s="192">
        <f>SUMIFS('Step 4 bond aggregation'!$B$2:$B$661,'Step 4 bond aggregation'!$A$2:$A$661,$AQ$69,'Step 4 bond aggregation'!$F$2:$F$661,AW$72,'Step 4 bond aggregation'!$G$2:$G$661,MATCH($AR100,lov_term_buckets,0),'Step 4 bond aggregation'!$E$2:$E$661,$AS$98)</f>
        <v>0</v>
      </c>
      <c r="AX100" s="192">
        <f>SUMIFS('Step 4 bond aggregation'!$B$2:$B$661,'Step 4 bond aggregation'!$A$2:$A$661,$AQ$69,'Step 4 bond aggregation'!$F$2:$F$661,AX$72,'Step 4 bond aggregation'!$G$2:$G$661,MATCH($AR100,lov_term_buckets,0),'Step 4 bond aggregation'!$E$2:$E$661,$AS$98)</f>
        <v>0</v>
      </c>
      <c r="AY100" s="192">
        <f>SUMIFS('Step 4 bond aggregation'!$B$2:$B$661,'Step 4 bond aggregation'!$A$2:$A$661,$AQ$69,'Step 4 bond aggregation'!$F$2:$F$661,AY$72,'Step 4 bond aggregation'!$G$2:$G$661,MATCH($AR100,lov_term_buckets,0),'Step 4 bond aggregation'!$E$2:$E$661,$AS$98)</f>
        <v>0</v>
      </c>
      <c r="AZ100" s="191"/>
      <c r="BA100" s="191"/>
      <c r="BB100" s="254" t="s">
        <v>934</v>
      </c>
      <c r="BC100" s="192">
        <f>SUMIFS('Step 4 bond aggregation'!$B$2:$B$661,'Step 4 bond aggregation'!$A$2:$A$661,$BA$69,'Step 4 bond aggregation'!$F$2:$F$661,BC$72,'Step 4 bond aggregation'!$G$2:$G$661,MATCH($BB100,lov_term_buckets,0),'Step 4 bond aggregation'!$E$2:$E$661,$BC$98)</f>
        <v>0</v>
      </c>
      <c r="BD100" s="192">
        <f>SUMIFS('Step 4 bond aggregation'!$B$2:$B$661,'Step 4 bond aggregation'!$A$2:$A$661,$BA$69,'Step 4 bond aggregation'!$F$2:$F$661,BD$72,'Step 4 bond aggregation'!$G$2:$G$661,MATCH($BB100,lov_term_buckets,0),'Step 4 bond aggregation'!$E$2:$E$661,$BC$98)</f>
        <v>0</v>
      </c>
      <c r="BE100" s="192">
        <f>SUMIFS('Step 4 bond aggregation'!$B$2:$B$661,'Step 4 bond aggregation'!$A$2:$A$661,$BA$69,'Step 4 bond aggregation'!$F$2:$F$661,BE$72,'Step 4 bond aggregation'!$G$2:$G$661,MATCH($BB100,lov_term_buckets,0),'Step 4 bond aggregation'!$E$2:$E$661,$BC$98)</f>
        <v>0</v>
      </c>
      <c r="BF100" s="192">
        <f>SUMIFS('Step 4 bond aggregation'!$B$2:$B$661,'Step 4 bond aggregation'!$A$2:$A$661,$BA$69,'Step 4 bond aggregation'!$F$2:$F$661,BF$72,'Step 4 bond aggregation'!$G$2:$G$661,MATCH($BB100,lov_term_buckets,0),'Step 4 bond aggregation'!$E$2:$E$661,$BC$98)</f>
        <v>0</v>
      </c>
      <c r="BG100" s="192">
        <f>SUMIFS('Step 4 bond aggregation'!$B$2:$B$661,'Step 4 bond aggregation'!$A$2:$A$661,$BA$69,'Step 4 bond aggregation'!$F$2:$F$661,BG$72,'Step 4 bond aggregation'!$G$2:$G$661,MATCH($BB100,lov_term_buckets,0),'Step 4 bond aggregation'!$E$2:$E$661,$BC$98)</f>
        <v>0</v>
      </c>
      <c r="BH100" s="192">
        <f>SUMIFS('Step 4 bond aggregation'!$B$2:$B$661,'Step 4 bond aggregation'!$A$2:$A$661,$BA$69,'Step 4 bond aggregation'!$F$2:$F$661,BH$72,'Step 4 bond aggregation'!$G$2:$G$661,MATCH($BB100,lov_term_buckets,0),'Step 4 bond aggregation'!$E$2:$E$661,$BC$98)</f>
        <v>0</v>
      </c>
      <c r="BI100" s="192">
        <f>SUMIFS('Step 4 bond aggregation'!$B$2:$B$661,'Step 4 bond aggregation'!$A$2:$A$661,$BA$69,'Step 4 bond aggregation'!$F$2:$F$661,BI$72,'Step 4 bond aggregation'!$G$2:$G$661,MATCH($BB100,lov_term_buckets,0),'Step 4 bond aggregation'!$E$2:$E$661,$BC$98)</f>
        <v>0</v>
      </c>
      <c r="BK100" s="191"/>
      <c r="BL100" s="254" t="s">
        <v>934</v>
      </c>
      <c r="BM100" s="192">
        <f>SUMIFS('Step 4 bond aggregation'!$B$2:$B$661,'Step 4 bond aggregation'!$A$2:$A$661,$BK$69,'Step 4 bond aggregation'!$F$2:$F$661,BM$72,'Step 4 bond aggregation'!$G$2:$G$661,MATCH($BB100,lov_term_buckets,0),'Step 4 bond aggregation'!$E$2:$E$661,$BC$98)</f>
        <v>0</v>
      </c>
      <c r="BN100" s="192">
        <f>SUMIFS('Step 4 bond aggregation'!$B$2:$B$661,'Step 4 bond aggregation'!$A$2:$A$661,$BK$69,'Step 4 bond aggregation'!$F$2:$F$661,BN$72,'Step 4 bond aggregation'!$G$2:$G$661,MATCH($BB100,lov_term_buckets,0),'Step 4 bond aggregation'!$E$2:$E$661,$BC$98)</f>
        <v>0</v>
      </c>
      <c r="BO100" s="192">
        <f>SUMIFS('Step 4 bond aggregation'!$B$2:$B$661,'Step 4 bond aggregation'!$A$2:$A$661,$BK$69,'Step 4 bond aggregation'!$F$2:$F$661,BO$72,'Step 4 bond aggregation'!$G$2:$G$661,MATCH($BB100,lov_term_buckets,0),'Step 4 bond aggregation'!$E$2:$E$661,$BC$98)</f>
        <v>0</v>
      </c>
      <c r="BP100" s="192">
        <f>SUMIFS('Step 4 bond aggregation'!$B$2:$B$661,'Step 4 bond aggregation'!$A$2:$A$661,$BK$69,'Step 4 bond aggregation'!$F$2:$F$661,BP$72,'Step 4 bond aggregation'!$G$2:$G$661,MATCH($BB100,lov_term_buckets,0),'Step 4 bond aggregation'!$E$2:$E$661,$BC$98)</f>
        <v>0</v>
      </c>
      <c r="BQ100" s="192">
        <f>SUMIFS('Step 4 bond aggregation'!$B$2:$B$661,'Step 4 bond aggregation'!$A$2:$A$661,$BK$69,'Step 4 bond aggregation'!$F$2:$F$661,BQ$72,'Step 4 bond aggregation'!$G$2:$G$661,MATCH($BB100,lov_term_buckets,0),'Step 4 bond aggregation'!$E$2:$E$661,$BC$98)</f>
        <v>0</v>
      </c>
      <c r="BR100" s="192">
        <f>SUMIFS('Step 4 bond aggregation'!$B$2:$B$661,'Step 4 bond aggregation'!$A$2:$A$661,$BK$69,'Step 4 bond aggregation'!$F$2:$F$661,BR$72,'Step 4 bond aggregation'!$G$2:$G$661,MATCH($BB100,lov_term_buckets,0),'Step 4 bond aggregation'!$E$2:$E$661,$BC$98)</f>
        <v>0</v>
      </c>
      <c r="BS100" s="192">
        <f>SUMIFS('Step 4 bond aggregation'!$B$2:$B$661,'Step 4 bond aggregation'!$A$2:$A$661,$BK$69,'Step 4 bond aggregation'!$F$2:$F$661,BS$72,'Step 4 bond aggregation'!$G$2:$G$661,MATCH($BB100,lov_term_buckets,0),'Step 4 bond aggregation'!$E$2:$E$661,$BC$98)</f>
        <v>0</v>
      </c>
      <c r="BU100" s="191"/>
      <c r="BV100" s="254" t="s">
        <v>934</v>
      </c>
      <c r="BW100" s="192">
        <f>SUMIFS('Step 4 bond aggregation'!$B$2:$B$661,'Step 4 bond aggregation'!$A$2:$A$661,$BU$69,'Step 4 bond aggregation'!$F$2:$F$661,BW$72,'Step 4 bond aggregation'!$G$2:$G$661,MATCH($BB100,lov_term_buckets,0),'Step 4 bond aggregation'!$E$2:$E$661,$BC$98)</f>
        <v>0</v>
      </c>
      <c r="BX100" s="192">
        <f>SUMIFS('Step 4 bond aggregation'!$B$2:$B$661,'Step 4 bond aggregation'!$A$2:$A$661,$BU$69,'Step 4 bond aggregation'!$F$2:$F$661,BX$72,'Step 4 bond aggregation'!$G$2:$G$661,MATCH($BB100,lov_term_buckets,0),'Step 4 bond aggregation'!$E$2:$E$661,$BC$98)</f>
        <v>0</v>
      </c>
      <c r="BY100" s="192">
        <f>SUMIFS('Step 4 bond aggregation'!$B$2:$B$661,'Step 4 bond aggregation'!$A$2:$A$661,$BU$69,'Step 4 bond aggregation'!$F$2:$F$661,BY$72,'Step 4 bond aggregation'!$G$2:$G$661,MATCH($BB100,lov_term_buckets,0),'Step 4 bond aggregation'!$E$2:$E$661,$BC$98)</f>
        <v>0</v>
      </c>
      <c r="BZ100" s="192">
        <f>SUMIFS('Step 4 bond aggregation'!$B$2:$B$661,'Step 4 bond aggregation'!$A$2:$A$661,$BU$69,'Step 4 bond aggregation'!$F$2:$F$661,BZ$72,'Step 4 bond aggregation'!$G$2:$G$661,MATCH($BB100,lov_term_buckets,0),'Step 4 bond aggregation'!$E$2:$E$661,$BC$98)</f>
        <v>0</v>
      </c>
      <c r="CA100" s="192">
        <f>SUMIFS('Step 4 bond aggregation'!$B$2:$B$661,'Step 4 bond aggregation'!$A$2:$A$661,$BU$69,'Step 4 bond aggregation'!$F$2:$F$661,CA$72,'Step 4 bond aggregation'!$G$2:$G$661,MATCH($BB100,lov_term_buckets,0),'Step 4 bond aggregation'!$E$2:$E$661,$BC$98)</f>
        <v>0</v>
      </c>
      <c r="CB100" s="192">
        <f>SUMIFS('Step 4 bond aggregation'!$B$2:$B$661,'Step 4 bond aggregation'!$A$2:$A$661,$BU$69,'Step 4 bond aggregation'!$F$2:$F$661,CB$72,'Step 4 bond aggregation'!$G$2:$G$661,MATCH($BB100,lov_term_buckets,0),'Step 4 bond aggregation'!$E$2:$E$661,$BC$98)</f>
        <v>0</v>
      </c>
      <c r="CC100" s="192">
        <f>SUMIFS('Step 4 bond aggregation'!$B$2:$B$661,'Step 4 bond aggregation'!$A$2:$A$661,$BU$69,'Step 4 bond aggregation'!$F$2:$F$661,CC$72,'Step 4 bond aggregation'!$G$2:$G$661,MATCH($BB100,lov_term_buckets,0),'Step 4 bond aggregation'!$E$2:$E$661,$BC$98)</f>
        <v>0</v>
      </c>
    </row>
    <row r="101" spans="2:81" hidden="1" outlineLevel="1" x14ac:dyDescent="0.3">
      <c r="C101" s="52" t="s">
        <v>935</v>
      </c>
      <c r="D101" s="192">
        <f>Input!F108</f>
        <v>0</v>
      </c>
      <c r="E101" s="192">
        <f>Input!G108</f>
        <v>0</v>
      </c>
      <c r="F101" s="192">
        <f>Input!H108</f>
        <v>0</v>
      </c>
      <c r="G101" s="192">
        <f>Input!I108</f>
        <v>0</v>
      </c>
      <c r="H101" s="192">
        <f>Input!J108</f>
        <v>0</v>
      </c>
      <c r="I101" s="192">
        <f>Input!K108</f>
        <v>0</v>
      </c>
      <c r="J101" s="192">
        <f>Input!L108</f>
        <v>0</v>
      </c>
      <c r="K101" s="192">
        <f>Input!M108</f>
        <v>0</v>
      </c>
      <c r="L101" s="191"/>
      <c r="M101" s="191"/>
      <c r="N101" s="254" t="s">
        <v>935</v>
      </c>
      <c r="O101" s="192">
        <f>Input!F148+Input!F181</f>
        <v>0</v>
      </c>
      <c r="P101" s="192">
        <f>Input!G148+Input!G181</f>
        <v>0</v>
      </c>
      <c r="Q101" s="192">
        <f>Input!H148+Input!H181</f>
        <v>0</v>
      </c>
      <c r="R101" s="192">
        <f>Input!I148+Input!I181</f>
        <v>0</v>
      </c>
      <c r="S101" s="192">
        <f>Input!J148+Input!J181</f>
        <v>0</v>
      </c>
      <c r="T101" s="192">
        <f>Input!K148+Input!K181</f>
        <v>0</v>
      </c>
      <c r="U101" s="192">
        <f>Input!L148+Input!L181</f>
        <v>0</v>
      </c>
      <c r="V101" s="191"/>
      <c r="W101" s="191"/>
      <c r="X101" s="254" t="s">
        <v>935</v>
      </c>
      <c r="Y101" s="192">
        <f>SUMIFS('Step 4 bond aggregation'!$B$2:$B$661,'Step 4 bond aggregation'!$A$2:$A$661,$W$69,'Step 4 bond aggregation'!$F$2:$F$661,Y$72,'Step 4 bond aggregation'!$G$2:$G$661,MATCH($X101,lov_term_buckets,0),'Step 4 bond aggregation'!$E$2:$E$661,$Y$98)</f>
        <v>0</v>
      </c>
      <c r="Z101" s="192">
        <f>SUMIFS('Step 4 bond aggregation'!$B$2:$B$661,'Step 4 bond aggregation'!$A$2:$A$661,$W$69,'Step 4 bond aggregation'!$F$2:$F$661,Z$72,'Step 4 bond aggregation'!$G$2:$G$661,MATCH($X101,lov_term_buckets,0),'Step 4 bond aggregation'!$E$2:$E$661,$Y$98)</f>
        <v>0</v>
      </c>
      <c r="AA101" s="192">
        <f>SUMIFS('Step 4 bond aggregation'!$B$2:$B$661,'Step 4 bond aggregation'!$A$2:$A$661,$W$69,'Step 4 bond aggregation'!$F$2:$F$661,AA$72,'Step 4 bond aggregation'!$G$2:$G$661,MATCH($X101,lov_term_buckets,0),'Step 4 bond aggregation'!$E$2:$E$661,$Y$98)</f>
        <v>0</v>
      </c>
      <c r="AB101" s="192">
        <f>SUMIFS('Step 4 bond aggregation'!$B$2:$B$661,'Step 4 bond aggregation'!$A$2:$A$661,$W$69,'Step 4 bond aggregation'!$F$2:$F$661,AB$72,'Step 4 bond aggregation'!$G$2:$G$661,MATCH($X101,lov_term_buckets,0),'Step 4 bond aggregation'!$E$2:$E$661,$Y$98)</f>
        <v>0</v>
      </c>
      <c r="AC101" s="192">
        <f>SUMIFS('Step 4 bond aggregation'!$B$2:$B$661,'Step 4 bond aggregation'!$A$2:$A$661,$W$69,'Step 4 bond aggregation'!$F$2:$F$661,AC$72,'Step 4 bond aggregation'!$G$2:$G$661,MATCH($X101,lov_term_buckets,0),'Step 4 bond aggregation'!$E$2:$E$661,$Y$98)</f>
        <v>0</v>
      </c>
      <c r="AD101" s="192">
        <f>SUMIFS('Step 4 bond aggregation'!$B$2:$B$661,'Step 4 bond aggregation'!$A$2:$A$661,$W$69,'Step 4 bond aggregation'!$F$2:$F$661,AD$72,'Step 4 bond aggregation'!$G$2:$G$661,MATCH($X101,lov_term_buckets,0),'Step 4 bond aggregation'!$E$2:$E$661,$Y$98)</f>
        <v>0</v>
      </c>
      <c r="AE101" s="192">
        <f>SUMIFS('Step 4 bond aggregation'!$B$2:$B$661,'Step 4 bond aggregation'!$A$2:$A$661,$W$69,'Step 4 bond aggregation'!$F$2:$F$661,AE$72,'Step 4 bond aggregation'!$G$2:$G$661,MATCH($X101,lov_term_buckets,0),'Step 4 bond aggregation'!$E$2:$E$661,$Y$98)</f>
        <v>0</v>
      </c>
      <c r="AF101" s="191"/>
      <c r="AG101" s="191"/>
      <c r="AH101" s="254" t="s">
        <v>935</v>
      </c>
      <c r="AI101" s="192">
        <f>SUMIFS('Step 4 bond aggregation'!$B$2:$B$661,'Step 4 bond aggregation'!$A$2:$A$661,$AG$69,'Step 4 bond aggregation'!$F$2:$F$661,AI$72,'Step 4 bond aggregation'!$G$2:$G$661,MATCH($AH101,lov_term_buckets,0),'Step 4 bond aggregation'!$E$2:$E$661,$AI$98)</f>
        <v>0</v>
      </c>
      <c r="AJ101" s="192">
        <f>SUMIFS('Step 4 bond aggregation'!$B$2:$B$661,'Step 4 bond aggregation'!$A$2:$A$661,$AG$69,'Step 4 bond aggregation'!$F$2:$F$661,AJ$72,'Step 4 bond aggregation'!$G$2:$G$661,MATCH($AH101,lov_term_buckets,0),'Step 4 bond aggregation'!$E$2:$E$661,$AI$98)</f>
        <v>0</v>
      </c>
      <c r="AK101" s="192">
        <f>SUMIFS('Step 4 bond aggregation'!$B$2:$B$661,'Step 4 bond aggregation'!$A$2:$A$661,$AG$69,'Step 4 bond aggregation'!$F$2:$F$661,AK$72,'Step 4 bond aggregation'!$G$2:$G$661,MATCH($AH101,lov_term_buckets,0),'Step 4 bond aggregation'!$E$2:$E$661,$AI$98)</f>
        <v>0</v>
      </c>
      <c r="AL101" s="192">
        <f>SUMIFS('Step 4 bond aggregation'!$B$2:$B$661,'Step 4 bond aggregation'!$A$2:$A$661,$AG$69,'Step 4 bond aggregation'!$F$2:$F$661,AL$72,'Step 4 bond aggregation'!$G$2:$G$661,MATCH($AH101,lov_term_buckets,0),'Step 4 bond aggregation'!$E$2:$E$661,$AI$98)</f>
        <v>0</v>
      </c>
      <c r="AM101" s="192">
        <f>SUMIFS('Step 4 bond aggregation'!$B$2:$B$661,'Step 4 bond aggregation'!$A$2:$A$661,$AG$69,'Step 4 bond aggregation'!$F$2:$F$661,AM$72,'Step 4 bond aggregation'!$G$2:$G$661,MATCH($AH101,lov_term_buckets,0),'Step 4 bond aggregation'!$E$2:$E$661,$AI$98)</f>
        <v>0</v>
      </c>
      <c r="AN101" s="192">
        <f>SUMIFS('Step 4 bond aggregation'!$B$2:$B$661,'Step 4 bond aggregation'!$A$2:$A$661,$AG$69,'Step 4 bond aggregation'!$F$2:$F$661,AN$72,'Step 4 bond aggregation'!$G$2:$G$661,MATCH($AH101,lov_term_buckets,0),'Step 4 bond aggregation'!$E$2:$E$661,$AI$98)</f>
        <v>0</v>
      </c>
      <c r="AO101" s="192">
        <f>SUMIFS('Step 4 bond aggregation'!$B$2:$B$661,'Step 4 bond aggregation'!$A$2:$A$661,$AG$69,'Step 4 bond aggregation'!$F$2:$F$661,AO$72,'Step 4 bond aggregation'!$G$2:$G$661,MATCH($AH101,lov_term_buckets,0),'Step 4 bond aggregation'!$E$2:$E$661,$AI$98)</f>
        <v>0</v>
      </c>
      <c r="AP101" s="191"/>
      <c r="AQ101" s="191"/>
      <c r="AR101" s="254" t="s">
        <v>935</v>
      </c>
      <c r="AS101" s="192">
        <f>SUMIFS('Step 4 bond aggregation'!$B$2:$B$661,'Step 4 bond aggregation'!$A$2:$A$661,$AQ$69,'Step 4 bond aggregation'!$F$2:$F$661,AS$72,'Step 4 bond aggregation'!$G$2:$G$661,MATCH($AR101,lov_term_buckets,0),'Step 4 bond aggregation'!$E$2:$E$661,$AS$98)</f>
        <v>0</v>
      </c>
      <c r="AT101" s="192">
        <f>SUMIFS('Step 4 bond aggregation'!$B$2:$B$661,'Step 4 bond aggregation'!$A$2:$A$661,$AQ$69,'Step 4 bond aggregation'!$F$2:$F$661,AT$72,'Step 4 bond aggregation'!$G$2:$G$661,MATCH($AR101,lov_term_buckets,0),'Step 4 bond aggregation'!$E$2:$E$661,$AS$98)</f>
        <v>0</v>
      </c>
      <c r="AU101" s="192">
        <f>SUMIFS('Step 4 bond aggregation'!$B$2:$B$661,'Step 4 bond aggregation'!$A$2:$A$661,$AQ$69,'Step 4 bond aggregation'!$F$2:$F$661,AU$72,'Step 4 bond aggregation'!$G$2:$G$661,MATCH($AR101,lov_term_buckets,0),'Step 4 bond aggregation'!$E$2:$E$661,$AS$98)</f>
        <v>0</v>
      </c>
      <c r="AV101" s="192">
        <f>SUMIFS('Step 4 bond aggregation'!$B$2:$B$661,'Step 4 bond aggregation'!$A$2:$A$661,$AQ$69,'Step 4 bond aggregation'!$F$2:$F$661,AV$72,'Step 4 bond aggregation'!$G$2:$G$661,MATCH($AR101,lov_term_buckets,0),'Step 4 bond aggregation'!$E$2:$E$661,$AS$98)</f>
        <v>0</v>
      </c>
      <c r="AW101" s="192">
        <f>SUMIFS('Step 4 bond aggregation'!$B$2:$B$661,'Step 4 bond aggregation'!$A$2:$A$661,$AQ$69,'Step 4 bond aggregation'!$F$2:$F$661,AW$72,'Step 4 bond aggregation'!$G$2:$G$661,MATCH($AR101,lov_term_buckets,0),'Step 4 bond aggregation'!$E$2:$E$661,$AS$98)</f>
        <v>0</v>
      </c>
      <c r="AX101" s="192">
        <f>SUMIFS('Step 4 bond aggregation'!$B$2:$B$661,'Step 4 bond aggregation'!$A$2:$A$661,$AQ$69,'Step 4 bond aggregation'!$F$2:$F$661,AX$72,'Step 4 bond aggregation'!$G$2:$G$661,MATCH($AR101,lov_term_buckets,0),'Step 4 bond aggregation'!$E$2:$E$661,$AS$98)</f>
        <v>0</v>
      </c>
      <c r="AY101" s="192">
        <f>SUMIFS('Step 4 bond aggregation'!$B$2:$B$661,'Step 4 bond aggregation'!$A$2:$A$661,$AQ$69,'Step 4 bond aggregation'!$F$2:$F$661,AY$72,'Step 4 bond aggregation'!$G$2:$G$661,MATCH($AR101,lov_term_buckets,0),'Step 4 bond aggregation'!$E$2:$E$661,$AS$98)</f>
        <v>0</v>
      </c>
      <c r="AZ101" s="191"/>
      <c r="BA101" s="191"/>
      <c r="BB101" s="254" t="s">
        <v>935</v>
      </c>
      <c r="BC101" s="192">
        <f>SUMIFS('Step 4 bond aggregation'!$B$2:$B$661,'Step 4 bond aggregation'!$A$2:$A$661,$BA$69,'Step 4 bond aggregation'!$F$2:$F$661,BC$72,'Step 4 bond aggregation'!$G$2:$G$661,MATCH($BB101,lov_term_buckets,0),'Step 4 bond aggregation'!$E$2:$E$661,$BC$98)</f>
        <v>0</v>
      </c>
      <c r="BD101" s="192">
        <f>SUMIFS('Step 4 bond aggregation'!$B$2:$B$661,'Step 4 bond aggregation'!$A$2:$A$661,$BA$69,'Step 4 bond aggregation'!$F$2:$F$661,BD$72,'Step 4 bond aggregation'!$G$2:$G$661,MATCH($BB101,lov_term_buckets,0),'Step 4 bond aggregation'!$E$2:$E$661,$BC$98)</f>
        <v>0</v>
      </c>
      <c r="BE101" s="192">
        <f>SUMIFS('Step 4 bond aggregation'!$B$2:$B$661,'Step 4 bond aggregation'!$A$2:$A$661,$BA$69,'Step 4 bond aggregation'!$F$2:$F$661,BE$72,'Step 4 bond aggregation'!$G$2:$G$661,MATCH($BB101,lov_term_buckets,0),'Step 4 bond aggregation'!$E$2:$E$661,$BC$98)</f>
        <v>0</v>
      </c>
      <c r="BF101" s="192">
        <f>SUMIFS('Step 4 bond aggregation'!$B$2:$B$661,'Step 4 bond aggregation'!$A$2:$A$661,$BA$69,'Step 4 bond aggregation'!$F$2:$F$661,BF$72,'Step 4 bond aggregation'!$G$2:$G$661,MATCH($BB101,lov_term_buckets,0),'Step 4 bond aggregation'!$E$2:$E$661,$BC$98)</f>
        <v>0</v>
      </c>
      <c r="BG101" s="192">
        <f>SUMIFS('Step 4 bond aggregation'!$B$2:$B$661,'Step 4 bond aggregation'!$A$2:$A$661,$BA$69,'Step 4 bond aggregation'!$F$2:$F$661,BG$72,'Step 4 bond aggregation'!$G$2:$G$661,MATCH($BB101,lov_term_buckets,0),'Step 4 bond aggregation'!$E$2:$E$661,$BC$98)</f>
        <v>0</v>
      </c>
      <c r="BH101" s="192">
        <f>SUMIFS('Step 4 bond aggregation'!$B$2:$B$661,'Step 4 bond aggregation'!$A$2:$A$661,$BA$69,'Step 4 bond aggregation'!$F$2:$F$661,BH$72,'Step 4 bond aggregation'!$G$2:$G$661,MATCH($BB101,lov_term_buckets,0),'Step 4 bond aggregation'!$E$2:$E$661,$BC$98)</f>
        <v>0</v>
      </c>
      <c r="BI101" s="192">
        <f>SUMIFS('Step 4 bond aggregation'!$B$2:$B$661,'Step 4 bond aggregation'!$A$2:$A$661,$BA$69,'Step 4 bond aggregation'!$F$2:$F$661,BI$72,'Step 4 bond aggregation'!$G$2:$G$661,MATCH($BB101,lov_term_buckets,0),'Step 4 bond aggregation'!$E$2:$E$661,$BC$98)</f>
        <v>0</v>
      </c>
      <c r="BK101" s="191"/>
      <c r="BL101" s="254" t="s">
        <v>935</v>
      </c>
      <c r="BM101" s="192">
        <f>SUMIFS('Step 4 bond aggregation'!$B$2:$B$661,'Step 4 bond aggregation'!$A$2:$A$661,$BK$69,'Step 4 bond aggregation'!$F$2:$F$661,BM$72,'Step 4 bond aggregation'!$G$2:$G$661,MATCH($BB101,lov_term_buckets,0),'Step 4 bond aggregation'!$E$2:$E$661,$BC$98)</f>
        <v>0</v>
      </c>
      <c r="BN101" s="192">
        <f>SUMIFS('Step 4 bond aggregation'!$B$2:$B$661,'Step 4 bond aggregation'!$A$2:$A$661,$BK$69,'Step 4 bond aggregation'!$F$2:$F$661,BN$72,'Step 4 bond aggregation'!$G$2:$G$661,MATCH($BB101,lov_term_buckets,0),'Step 4 bond aggregation'!$E$2:$E$661,$BC$98)</f>
        <v>0</v>
      </c>
      <c r="BO101" s="192">
        <f>SUMIFS('Step 4 bond aggregation'!$B$2:$B$661,'Step 4 bond aggregation'!$A$2:$A$661,$BK$69,'Step 4 bond aggregation'!$F$2:$F$661,BO$72,'Step 4 bond aggregation'!$G$2:$G$661,MATCH($BB101,lov_term_buckets,0),'Step 4 bond aggregation'!$E$2:$E$661,$BC$98)</f>
        <v>0</v>
      </c>
      <c r="BP101" s="192">
        <f>SUMIFS('Step 4 bond aggregation'!$B$2:$B$661,'Step 4 bond aggregation'!$A$2:$A$661,$BK$69,'Step 4 bond aggregation'!$F$2:$F$661,BP$72,'Step 4 bond aggregation'!$G$2:$G$661,MATCH($BB101,lov_term_buckets,0),'Step 4 bond aggregation'!$E$2:$E$661,$BC$98)</f>
        <v>0</v>
      </c>
      <c r="BQ101" s="192">
        <f>SUMIFS('Step 4 bond aggregation'!$B$2:$B$661,'Step 4 bond aggregation'!$A$2:$A$661,$BK$69,'Step 4 bond aggregation'!$F$2:$F$661,BQ$72,'Step 4 bond aggregation'!$G$2:$G$661,MATCH($BB101,lov_term_buckets,0),'Step 4 bond aggregation'!$E$2:$E$661,$BC$98)</f>
        <v>0</v>
      </c>
      <c r="BR101" s="192">
        <f>SUMIFS('Step 4 bond aggregation'!$B$2:$B$661,'Step 4 bond aggregation'!$A$2:$A$661,$BK$69,'Step 4 bond aggregation'!$F$2:$F$661,BR$72,'Step 4 bond aggregation'!$G$2:$G$661,MATCH($BB101,lov_term_buckets,0),'Step 4 bond aggregation'!$E$2:$E$661,$BC$98)</f>
        <v>0</v>
      </c>
      <c r="BS101" s="192">
        <f>SUMIFS('Step 4 bond aggregation'!$B$2:$B$661,'Step 4 bond aggregation'!$A$2:$A$661,$BK$69,'Step 4 bond aggregation'!$F$2:$F$661,BS$72,'Step 4 bond aggregation'!$G$2:$G$661,MATCH($BB101,lov_term_buckets,0),'Step 4 bond aggregation'!$E$2:$E$661,$BC$98)</f>
        <v>0</v>
      </c>
      <c r="BU101" s="191"/>
      <c r="BV101" s="254" t="s">
        <v>935</v>
      </c>
      <c r="BW101" s="192">
        <f>SUMIFS('Step 4 bond aggregation'!$B$2:$B$661,'Step 4 bond aggregation'!$A$2:$A$661,$BU$69,'Step 4 bond aggregation'!$F$2:$F$661,BW$72,'Step 4 bond aggregation'!$G$2:$G$661,MATCH($BB101,lov_term_buckets,0),'Step 4 bond aggregation'!$E$2:$E$661,$BC$98)</f>
        <v>0</v>
      </c>
      <c r="BX101" s="192">
        <f>SUMIFS('Step 4 bond aggregation'!$B$2:$B$661,'Step 4 bond aggregation'!$A$2:$A$661,$BU$69,'Step 4 bond aggregation'!$F$2:$F$661,BX$72,'Step 4 bond aggregation'!$G$2:$G$661,MATCH($BB101,lov_term_buckets,0),'Step 4 bond aggregation'!$E$2:$E$661,$BC$98)</f>
        <v>0</v>
      </c>
      <c r="BY101" s="192">
        <f>SUMIFS('Step 4 bond aggregation'!$B$2:$B$661,'Step 4 bond aggregation'!$A$2:$A$661,$BU$69,'Step 4 bond aggregation'!$F$2:$F$661,BY$72,'Step 4 bond aggregation'!$G$2:$G$661,MATCH($BB101,lov_term_buckets,0),'Step 4 bond aggregation'!$E$2:$E$661,$BC$98)</f>
        <v>0</v>
      </c>
      <c r="BZ101" s="192">
        <f>SUMIFS('Step 4 bond aggregation'!$B$2:$B$661,'Step 4 bond aggregation'!$A$2:$A$661,$BU$69,'Step 4 bond aggregation'!$F$2:$F$661,BZ$72,'Step 4 bond aggregation'!$G$2:$G$661,MATCH($BB101,lov_term_buckets,0),'Step 4 bond aggregation'!$E$2:$E$661,$BC$98)</f>
        <v>0</v>
      </c>
      <c r="CA101" s="192">
        <f>SUMIFS('Step 4 bond aggregation'!$B$2:$B$661,'Step 4 bond aggregation'!$A$2:$A$661,$BU$69,'Step 4 bond aggregation'!$F$2:$F$661,CA$72,'Step 4 bond aggregation'!$G$2:$G$661,MATCH($BB101,lov_term_buckets,0),'Step 4 bond aggregation'!$E$2:$E$661,$BC$98)</f>
        <v>0</v>
      </c>
      <c r="CB101" s="192">
        <f>SUMIFS('Step 4 bond aggregation'!$B$2:$B$661,'Step 4 bond aggregation'!$A$2:$A$661,$BU$69,'Step 4 bond aggregation'!$F$2:$F$661,CB$72,'Step 4 bond aggregation'!$G$2:$G$661,MATCH($BB101,lov_term_buckets,0),'Step 4 bond aggregation'!$E$2:$E$661,$BC$98)</f>
        <v>0</v>
      </c>
      <c r="CC101" s="192">
        <f>SUMIFS('Step 4 bond aggregation'!$B$2:$B$661,'Step 4 bond aggregation'!$A$2:$A$661,$BU$69,'Step 4 bond aggregation'!$F$2:$F$661,CC$72,'Step 4 bond aggregation'!$G$2:$G$661,MATCH($BB101,lov_term_buckets,0),'Step 4 bond aggregation'!$E$2:$E$661,$BC$98)</f>
        <v>0</v>
      </c>
    </row>
    <row r="102" spans="2:81" hidden="1" outlineLevel="1" x14ac:dyDescent="0.3">
      <c r="C102" s="52" t="s">
        <v>936</v>
      </c>
      <c r="D102" s="192">
        <f>Input!F109</f>
        <v>0</v>
      </c>
      <c r="E102" s="192">
        <f>Input!G109</f>
        <v>0</v>
      </c>
      <c r="F102" s="192">
        <f>Input!H109</f>
        <v>0</v>
      </c>
      <c r="G102" s="192">
        <f>Input!I109</f>
        <v>0</v>
      </c>
      <c r="H102" s="192">
        <f>Input!J109</f>
        <v>0</v>
      </c>
      <c r="I102" s="192">
        <f>Input!K109</f>
        <v>0</v>
      </c>
      <c r="J102" s="192">
        <f>Input!L109</f>
        <v>0</v>
      </c>
      <c r="K102" s="192">
        <f>Input!M109</f>
        <v>0</v>
      </c>
      <c r="L102" s="191"/>
      <c r="M102" s="191"/>
      <c r="N102" s="254" t="s">
        <v>936</v>
      </c>
      <c r="O102" s="192">
        <f>Input!F149+Input!F182</f>
        <v>0</v>
      </c>
      <c r="P102" s="192">
        <f>Input!G149+Input!G182</f>
        <v>0</v>
      </c>
      <c r="Q102" s="192">
        <f>Input!H149+Input!H182</f>
        <v>0</v>
      </c>
      <c r="R102" s="192">
        <f>Input!I149+Input!I182</f>
        <v>0</v>
      </c>
      <c r="S102" s="192">
        <f>Input!J149+Input!J182</f>
        <v>0</v>
      </c>
      <c r="T102" s="192">
        <f>Input!K149+Input!K182</f>
        <v>0</v>
      </c>
      <c r="U102" s="192">
        <f>Input!L149+Input!L182</f>
        <v>0</v>
      </c>
      <c r="V102" s="191"/>
      <c r="W102" s="191"/>
      <c r="X102" s="254" t="s">
        <v>936</v>
      </c>
      <c r="Y102" s="192">
        <f>SUMIFS('Step 4 bond aggregation'!$B$2:$B$661,'Step 4 bond aggregation'!$A$2:$A$661,$W$69,'Step 4 bond aggregation'!$F$2:$F$661,Y$72,'Step 4 bond aggregation'!$G$2:$G$661,MATCH($X102,lov_term_buckets,0),'Step 4 bond aggregation'!$E$2:$E$661,$Y$98)</f>
        <v>0</v>
      </c>
      <c r="Z102" s="192">
        <f>SUMIFS('Step 4 bond aggregation'!$B$2:$B$661,'Step 4 bond aggregation'!$A$2:$A$661,$W$69,'Step 4 bond aggregation'!$F$2:$F$661,Z$72,'Step 4 bond aggregation'!$G$2:$G$661,MATCH($X102,lov_term_buckets,0),'Step 4 bond aggregation'!$E$2:$E$661,$Y$98)</f>
        <v>0</v>
      </c>
      <c r="AA102" s="192">
        <f>SUMIFS('Step 4 bond aggregation'!$B$2:$B$661,'Step 4 bond aggregation'!$A$2:$A$661,$W$69,'Step 4 bond aggregation'!$F$2:$F$661,AA$72,'Step 4 bond aggregation'!$G$2:$G$661,MATCH($X102,lov_term_buckets,0),'Step 4 bond aggregation'!$E$2:$E$661,$Y$98)</f>
        <v>0</v>
      </c>
      <c r="AB102" s="192">
        <f>SUMIFS('Step 4 bond aggregation'!$B$2:$B$661,'Step 4 bond aggregation'!$A$2:$A$661,$W$69,'Step 4 bond aggregation'!$F$2:$F$661,AB$72,'Step 4 bond aggregation'!$G$2:$G$661,MATCH($X102,lov_term_buckets,0),'Step 4 bond aggregation'!$E$2:$E$661,$Y$98)</f>
        <v>0</v>
      </c>
      <c r="AC102" s="192">
        <f>SUMIFS('Step 4 bond aggregation'!$B$2:$B$661,'Step 4 bond aggregation'!$A$2:$A$661,$W$69,'Step 4 bond aggregation'!$F$2:$F$661,AC$72,'Step 4 bond aggregation'!$G$2:$G$661,MATCH($X102,lov_term_buckets,0),'Step 4 bond aggregation'!$E$2:$E$661,$Y$98)</f>
        <v>0</v>
      </c>
      <c r="AD102" s="192">
        <f>SUMIFS('Step 4 bond aggregation'!$B$2:$B$661,'Step 4 bond aggregation'!$A$2:$A$661,$W$69,'Step 4 bond aggregation'!$F$2:$F$661,AD$72,'Step 4 bond aggregation'!$G$2:$G$661,MATCH($X102,lov_term_buckets,0),'Step 4 bond aggregation'!$E$2:$E$661,$Y$98)</f>
        <v>0</v>
      </c>
      <c r="AE102" s="192">
        <f>SUMIFS('Step 4 bond aggregation'!$B$2:$B$661,'Step 4 bond aggregation'!$A$2:$A$661,$W$69,'Step 4 bond aggregation'!$F$2:$F$661,AE$72,'Step 4 bond aggregation'!$G$2:$G$661,MATCH($X102,lov_term_buckets,0),'Step 4 bond aggregation'!$E$2:$E$661,$Y$98)</f>
        <v>0</v>
      </c>
      <c r="AF102" s="191"/>
      <c r="AG102" s="191"/>
      <c r="AH102" s="254" t="s">
        <v>936</v>
      </c>
      <c r="AI102" s="192">
        <f>SUMIFS('Step 4 bond aggregation'!$B$2:$B$661,'Step 4 bond aggregation'!$A$2:$A$661,$AG$69,'Step 4 bond aggregation'!$F$2:$F$661,AI$72,'Step 4 bond aggregation'!$G$2:$G$661,MATCH($AH102,lov_term_buckets,0),'Step 4 bond aggregation'!$E$2:$E$661,$AI$98)</f>
        <v>0</v>
      </c>
      <c r="AJ102" s="192">
        <f>SUMIFS('Step 4 bond aggregation'!$B$2:$B$661,'Step 4 bond aggregation'!$A$2:$A$661,$AG$69,'Step 4 bond aggregation'!$F$2:$F$661,AJ$72,'Step 4 bond aggregation'!$G$2:$G$661,MATCH($AH102,lov_term_buckets,0),'Step 4 bond aggregation'!$E$2:$E$661,$AI$98)</f>
        <v>0</v>
      </c>
      <c r="AK102" s="192">
        <f>SUMIFS('Step 4 bond aggregation'!$B$2:$B$661,'Step 4 bond aggregation'!$A$2:$A$661,$AG$69,'Step 4 bond aggregation'!$F$2:$F$661,AK$72,'Step 4 bond aggregation'!$G$2:$G$661,MATCH($AH102,lov_term_buckets,0),'Step 4 bond aggregation'!$E$2:$E$661,$AI$98)</f>
        <v>0</v>
      </c>
      <c r="AL102" s="192">
        <f>SUMIFS('Step 4 bond aggregation'!$B$2:$B$661,'Step 4 bond aggregation'!$A$2:$A$661,$AG$69,'Step 4 bond aggregation'!$F$2:$F$661,AL$72,'Step 4 bond aggregation'!$G$2:$G$661,MATCH($AH102,lov_term_buckets,0),'Step 4 bond aggregation'!$E$2:$E$661,$AI$98)</f>
        <v>0</v>
      </c>
      <c r="AM102" s="192">
        <f>SUMIFS('Step 4 bond aggregation'!$B$2:$B$661,'Step 4 bond aggregation'!$A$2:$A$661,$AG$69,'Step 4 bond aggregation'!$F$2:$F$661,AM$72,'Step 4 bond aggregation'!$G$2:$G$661,MATCH($AH102,lov_term_buckets,0),'Step 4 bond aggregation'!$E$2:$E$661,$AI$98)</f>
        <v>0</v>
      </c>
      <c r="AN102" s="192">
        <f>SUMIFS('Step 4 bond aggregation'!$B$2:$B$661,'Step 4 bond aggregation'!$A$2:$A$661,$AG$69,'Step 4 bond aggregation'!$F$2:$F$661,AN$72,'Step 4 bond aggregation'!$G$2:$G$661,MATCH($AH102,lov_term_buckets,0),'Step 4 bond aggregation'!$E$2:$E$661,$AI$98)</f>
        <v>0</v>
      </c>
      <c r="AO102" s="192">
        <f>SUMIFS('Step 4 bond aggregation'!$B$2:$B$661,'Step 4 bond aggregation'!$A$2:$A$661,$AG$69,'Step 4 bond aggregation'!$F$2:$F$661,AO$72,'Step 4 bond aggregation'!$G$2:$G$661,MATCH($AH102,lov_term_buckets,0),'Step 4 bond aggregation'!$E$2:$E$661,$AI$98)</f>
        <v>0</v>
      </c>
      <c r="AP102" s="191"/>
      <c r="AQ102" s="191"/>
      <c r="AR102" s="254" t="s">
        <v>936</v>
      </c>
      <c r="AS102" s="192">
        <f>SUMIFS('Step 4 bond aggregation'!$B$2:$B$661,'Step 4 bond aggregation'!$A$2:$A$661,$AQ$69,'Step 4 bond aggregation'!$F$2:$F$661,AS$72,'Step 4 bond aggregation'!$G$2:$G$661,MATCH($AR102,lov_term_buckets,0),'Step 4 bond aggregation'!$E$2:$E$661,$AS$98)</f>
        <v>0</v>
      </c>
      <c r="AT102" s="192">
        <f>SUMIFS('Step 4 bond aggregation'!$B$2:$B$661,'Step 4 bond aggregation'!$A$2:$A$661,$AQ$69,'Step 4 bond aggregation'!$F$2:$F$661,AT$72,'Step 4 bond aggregation'!$G$2:$G$661,MATCH($AR102,lov_term_buckets,0),'Step 4 bond aggregation'!$E$2:$E$661,$AS$98)</f>
        <v>0</v>
      </c>
      <c r="AU102" s="192">
        <f>SUMIFS('Step 4 bond aggregation'!$B$2:$B$661,'Step 4 bond aggregation'!$A$2:$A$661,$AQ$69,'Step 4 bond aggregation'!$F$2:$F$661,AU$72,'Step 4 bond aggregation'!$G$2:$G$661,MATCH($AR102,lov_term_buckets,0),'Step 4 bond aggregation'!$E$2:$E$661,$AS$98)</f>
        <v>0</v>
      </c>
      <c r="AV102" s="192">
        <f>SUMIFS('Step 4 bond aggregation'!$B$2:$B$661,'Step 4 bond aggregation'!$A$2:$A$661,$AQ$69,'Step 4 bond aggregation'!$F$2:$F$661,AV$72,'Step 4 bond aggregation'!$G$2:$G$661,MATCH($AR102,lov_term_buckets,0),'Step 4 bond aggregation'!$E$2:$E$661,$AS$98)</f>
        <v>0</v>
      </c>
      <c r="AW102" s="192">
        <f>SUMIFS('Step 4 bond aggregation'!$B$2:$B$661,'Step 4 bond aggregation'!$A$2:$A$661,$AQ$69,'Step 4 bond aggregation'!$F$2:$F$661,AW$72,'Step 4 bond aggregation'!$G$2:$G$661,MATCH($AR102,lov_term_buckets,0),'Step 4 bond aggregation'!$E$2:$E$661,$AS$98)</f>
        <v>0</v>
      </c>
      <c r="AX102" s="192">
        <f>SUMIFS('Step 4 bond aggregation'!$B$2:$B$661,'Step 4 bond aggregation'!$A$2:$A$661,$AQ$69,'Step 4 bond aggregation'!$F$2:$F$661,AX$72,'Step 4 bond aggregation'!$G$2:$G$661,MATCH($AR102,lov_term_buckets,0),'Step 4 bond aggregation'!$E$2:$E$661,$AS$98)</f>
        <v>0</v>
      </c>
      <c r="AY102" s="192">
        <f>SUMIFS('Step 4 bond aggregation'!$B$2:$B$661,'Step 4 bond aggregation'!$A$2:$A$661,$AQ$69,'Step 4 bond aggregation'!$F$2:$F$661,AY$72,'Step 4 bond aggregation'!$G$2:$G$661,MATCH($AR102,lov_term_buckets,0),'Step 4 bond aggregation'!$E$2:$E$661,$AS$98)</f>
        <v>0</v>
      </c>
      <c r="AZ102" s="191"/>
      <c r="BA102" s="191"/>
      <c r="BB102" s="254" t="s">
        <v>936</v>
      </c>
      <c r="BC102" s="192">
        <f>SUMIFS('Step 4 bond aggregation'!$B$2:$B$661,'Step 4 bond aggregation'!$A$2:$A$661,$BA$69,'Step 4 bond aggregation'!$F$2:$F$661,BC$72,'Step 4 bond aggregation'!$G$2:$G$661,MATCH($BB102,lov_term_buckets,0),'Step 4 bond aggregation'!$E$2:$E$661,$BC$98)</f>
        <v>0</v>
      </c>
      <c r="BD102" s="192">
        <f>SUMIFS('Step 4 bond aggregation'!$B$2:$B$661,'Step 4 bond aggregation'!$A$2:$A$661,$BA$69,'Step 4 bond aggregation'!$F$2:$F$661,BD$72,'Step 4 bond aggregation'!$G$2:$G$661,MATCH($BB102,lov_term_buckets,0),'Step 4 bond aggregation'!$E$2:$E$661,$BC$98)</f>
        <v>0</v>
      </c>
      <c r="BE102" s="192">
        <f>SUMIFS('Step 4 bond aggregation'!$B$2:$B$661,'Step 4 bond aggregation'!$A$2:$A$661,$BA$69,'Step 4 bond aggregation'!$F$2:$F$661,BE$72,'Step 4 bond aggregation'!$G$2:$G$661,MATCH($BB102,lov_term_buckets,0),'Step 4 bond aggregation'!$E$2:$E$661,$BC$98)</f>
        <v>0</v>
      </c>
      <c r="BF102" s="192">
        <f>SUMIFS('Step 4 bond aggregation'!$B$2:$B$661,'Step 4 bond aggregation'!$A$2:$A$661,$BA$69,'Step 4 bond aggregation'!$F$2:$F$661,BF$72,'Step 4 bond aggregation'!$G$2:$G$661,MATCH($BB102,lov_term_buckets,0),'Step 4 bond aggregation'!$E$2:$E$661,$BC$98)</f>
        <v>0</v>
      </c>
      <c r="BG102" s="192">
        <f>SUMIFS('Step 4 bond aggregation'!$B$2:$B$661,'Step 4 bond aggregation'!$A$2:$A$661,$BA$69,'Step 4 bond aggregation'!$F$2:$F$661,BG$72,'Step 4 bond aggregation'!$G$2:$G$661,MATCH($BB102,lov_term_buckets,0),'Step 4 bond aggregation'!$E$2:$E$661,$BC$98)</f>
        <v>0</v>
      </c>
      <c r="BH102" s="192">
        <f>SUMIFS('Step 4 bond aggregation'!$B$2:$B$661,'Step 4 bond aggregation'!$A$2:$A$661,$BA$69,'Step 4 bond aggregation'!$F$2:$F$661,BH$72,'Step 4 bond aggregation'!$G$2:$G$661,MATCH($BB102,lov_term_buckets,0),'Step 4 bond aggregation'!$E$2:$E$661,$BC$98)</f>
        <v>0</v>
      </c>
      <c r="BI102" s="192">
        <f>SUMIFS('Step 4 bond aggregation'!$B$2:$B$661,'Step 4 bond aggregation'!$A$2:$A$661,$BA$69,'Step 4 bond aggregation'!$F$2:$F$661,BI$72,'Step 4 bond aggregation'!$G$2:$G$661,MATCH($BB102,lov_term_buckets,0),'Step 4 bond aggregation'!$E$2:$E$661,$BC$98)</f>
        <v>0</v>
      </c>
      <c r="BK102" s="191"/>
      <c r="BL102" s="254" t="s">
        <v>936</v>
      </c>
      <c r="BM102" s="192">
        <f>SUMIFS('Step 4 bond aggregation'!$B$2:$B$661,'Step 4 bond aggregation'!$A$2:$A$661,$BK$69,'Step 4 bond aggregation'!$F$2:$F$661,BM$72,'Step 4 bond aggregation'!$G$2:$G$661,MATCH($BB102,lov_term_buckets,0),'Step 4 bond aggregation'!$E$2:$E$661,$BC$98)</f>
        <v>0</v>
      </c>
      <c r="BN102" s="192">
        <f>SUMIFS('Step 4 bond aggregation'!$B$2:$B$661,'Step 4 bond aggregation'!$A$2:$A$661,$BK$69,'Step 4 bond aggregation'!$F$2:$F$661,BN$72,'Step 4 bond aggregation'!$G$2:$G$661,MATCH($BB102,lov_term_buckets,0),'Step 4 bond aggregation'!$E$2:$E$661,$BC$98)</f>
        <v>0</v>
      </c>
      <c r="BO102" s="192">
        <f>SUMIFS('Step 4 bond aggregation'!$B$2:$B$661,'Step 4 bond aggregation'!$A$2:$A$661,$BK$69,'Step 4 bond aggregation'!$F$2:$F$661,BO$72,'Step 4 bond aggregation'!$G$2:$G$661,MATCH($BB102,lov_term_buckets,0),'Step 4 bond aggregation'!$E$2:$E$661,$BC$98)</f>
        <v>0</v>
      </c>
      <c r="BP102" s="192">
        <f>SUMIFS('Step 4 bond aggregation'!$B$2:$B$661,'Step 4 bond aggregation'!$A$2:$A$661,$BK$69,'Step 4 bond aggregation'!$F$2:$F$661,BP$72,'Step 4 bond aggregation'!$G$2:$G$661,MATCH($BB102,lov_term_buckets,0),'Step 4 bond aggregation'!$E$2:$E$661,$BC$98)</f>
        <v>0</v>
      </c>
      <c r="BQ102" s="192">
        <f>SUMIFS('Step 4 bond aggregation'!$B$2:$B$661,'Step 4 bond aggregation'!$A$2:$A$661,$BK$69,'Step 4 bond aggregation'!$F$2:$F$661,BQ$72,'Step 4 bond aggregation'!$G$2:$G$661,MATCH($BB102,lov_term_buckets,0),'Step 4 bond aggregation'!$E$2:$E$661,$BC$98)</f>
        <v>0</v>
      </c>
      <c r="BR102" s="192">
        <f>SUMIFS('Step 4 bond aggregation'!$B$2:$B$661,'Step 4 bond aggregation'!$A$2:$A$661,$BK$69,'Step 4 bond aggregation'!$F$2:$F$661,BR$72,'Step 4 bond aggregation'!$G$2:$G$661,MATCH($BB102,lov_term_buckets,0),'Step 4 bond aggregation'!$E$2:$E$661,$BC$98)</f>
        <v>0</v>
      </c>
      <c r="BS102" s="192">
        <f>SUMIFS('Step 4 bond aggregation'!$B$2:$B$661,'Step 4 bond aggregation'!$A$2:$A$661,$BK$69,'Step 4 bond aggregation'!$F$2:$F$661,BS$72,'Step 4 bond aggregation'!$G$2:$G$661,MATCH($BB102,lov_term_buckets,0),'Step 4 bond aggregation'!$E$2:$E$661,$BC$98)</f>
        <v>0</v>
      </c>
      <c r="BU102" s="191"/>
      <c r="BV102" s="254" t="s">
        <v>936</v>
      </c>
      <c r="BW102" s="192">
        <f>SUMIFS('Step 4 bond aggregation'!$B$2:$B$661,'Step 4 bond aggregation'!$A$2:$A$661,$BU$69,'Step 4 bond aggregation'!$F$2:$F$661,BW$72,'Step 4 bond aggregation'!$G$2:$G$661,MATCH($BB102,lov_term_buckets,0),'Step 4 bond aggregation'!$E$2:$E$661,$BC$98)</f>
        <v>0</v>
      </c>
      <c r="BX102" s="192">
        <f>SUMIFS('Step 4 bond aggregation'!$B$2:$B$661,'Step 4 bond aggregation'!$A$2:$A$661,$BU$69,'Step 4 bond aggregation'!$F$2:$F$661,BX$72,'Step 4 bond aggregation'!$G$2:$G$661,MATCH($BB102,lov_term_buckets,0),'Step 4 bond aggregation'!$E$2:$E$661,$BC$98)</f>
        <v>0</v>
      </c>
      <c r="BY102" s="192">
        <f>SUMIFS('Step 4 bond aggregation'!$B$2:$B$661,'Step 4 bond aggregation'!$A$2:$A$661,$BU$69,'Step 4 bond aggregation'!$F$2:$F$661,BY$72,'Step 4 bond aggregation'!$G$2:$G$661,MATCH($BB102,lov_term_buckets,0),'Step 4 bond aggregation'!$E$2:$E$661,$BC$98)</f>
        <v>0</v>
      </c>
      <c r="BZ102" s="192">
        <f>SUMIFS('Step 4 bond aggregation'!$B$2:$B$661,'Step 4 bond aggregation'!$A$2:$A$661,$BU$69,'Step 4 bond aggregation'!$F$2:$F$661,BZ$72,'Step 4 bond aggregation'!$G$2:$G$661,MATCH($BB102,lov_term_buckets,0),'Step 4 bond aggregation'!$E$2:$E$661,$BC$98)</f>
        <v>0</v>
      </c>
      <c r="CA102" s="192">
        <f>SUMIFS('Step 4 bond aggregation'!$B$2:$B$661,'Step 4 bond aggregation'!$A$2:$A$661,$BU$69,'Step 4 bond aggregation'!$F$2:$F$661,CA$72,'Step 4 bond aggregation'!$G$2:$G$661,MATCH($BB102,lov_term_buckets,0),'Step 4 bond aggregation'!$E$2:$E$661,$BC$98)</f>
        <v>0</v>
      </c>
      <c r="CB102" s="192">
        <f>SUMIFS('Step 4 bond aggregation'!$B$2:$B$661,'Step 4 bond aggregation'!$A$2:$A$661,$BU$69,'Step 4 bond aggregation'!$F$2:$F$661,CB$72,'Step 4 bond aggregation'!$G$2:$G$661,MATCH($BB102,lov_term_buckets,0),'Step 4 bond aggregation'!$E$2:$E$661,$BC$98)</f>
        <v>0</v>
      </c>
      <c r="CC102" s="192">
        <f>SUMIFS('Step 4 bond aggregation'!$B$2:$B$661,'Step 4 bond aggregation'!$A$2:$A$661,$BU$69,'Step 4 bond aggregation'!$F$2:$F$661,CC$72,'Step 4 bond aggregation'!$G$2:$G$661,MATCH($BB102,lov_term_buckets,0),'Step 4 bond aggregation'!$E$2:$E$661,$BC$98)</f>
        <v>0</v>
      </c>
    </row>
    <row r="103" spans="2:81" hidden="1" outlineLevel="1" x14ac:dyDescent="0.3">
      <c r="C103" s="52" t="s">
        <v>937</v>
      </c>
      <c r="D103" s="192">
        <f>Input!F110</f>
        <v>0</v>
      </c>
      <c r="E103" s="192">
        <f>Input!G110</f>
        <v>0</v>
      </c>
      <c r="F103" s="192">
        <f>Input!H110</f>
        <v>0</v>
      </c>
      <c r="G103" s="192">
        <f>Input!I110</f>
        <v>0</v>
      </c>
      <c r="H103" s="192">
        <f>Input!J110</f>
        <v>0</v>
      </c>
      <c r="I103" s="192">
        <f>Input!K110</f>
        <v>0</v>
      </c>
      <c r="J103" s="192">
        <f>Input!L110</f>
        <v>0</v>
      </c>
      <c r="K103" s="192">
        <f>Input!M110</f>
        <v>0</v>
      </c>
      <c r="L103" s="191"/>
      <c r="M103" s="191"/>
      <c r="N103" s="254" t="s">
        <v>937</v>
      </c>
      <c r="O103" s="192">
        <f>Input!F150+Input!F183</f>
        <v>0</v>
      </c>
      <c r="P103" s="192">
        <f>Input!G150+Input!G183</f>
        <v>0</v>
      </c>
      <c r="Q103" s="192">
        <f>Input!H150+Input!H183</f>
        <v>0</v>
      </c>
      <c r="R103" s="192">
        <f>Input!I150+Input!I183</f>
        <v>0</v>
      </c>
      <c r="S103" s="192">
        <f>Input!J150+Input!J183</f>
        <v>0</v>
      </c>
      <c r="T103" s="192">
        <f>Input!K150+Input!K183</f>
        <v>0</v>
      </c>
      <c r="U103" s="192">
        <f>Input!L150+Input!L183</f>
        <v>0</v>
      </c>
      <c r="V103" s="191"/>
      <c r="W103" s="191"/>
      <c r="X103" s="254" t="s">
        <v>937</v>
      </c>
      <c r="Y103" s="192">
        <f>SUMIFS('Step 4 bond aggregation'!$B$2:$B$661,'Step 4 bond aggregation'!$A$2:$A$661,$W$69,'Step 4 bond aggregation'!$F$2:$F$661,Y$72,'Step 4 bond aggregation'!$G$2:$G$661,MATCH($X103,lov_term_buckets,0),'Step 4 bond aggregation'!$E$2:$E$661,$Y$98)</f>
        <v>0</v>
      </c>
      <c r="Z103" s="192">
        <f>SUMIFS('Step 4 bond aggregation'!$B$2:$B$661,'Step 4 bond aggregation'!$A$2:$A$661,$W$69,'Step 4 bond aggregation'!$F$2:$F$661,Z$72,'Step 4 bond aggregation'!$G$2:$G$661,MATCH($X103,lov_term_buckets,0),'Step 4 bond aggregation'!$E$2:$E$661,$Y$98)</f>
        <v>0</v>
      </c>
      <c r="AA103" s="192">
        <f>SUMIFS('Step 4 bond aggregation'!$B$2:$B$661,'Step 4 bond aggregation'!$A$2:$A$661,$W$69,'Step 4 bond aggregation'!$F$2:$F$661,AA$72,'Step 4 bond aggregation'!$G$2:$G$661,MATCH($X103,lov_term_buckets,0),'Step 4 bond aggregation'!$E$2:$E$661,$Y$98)</f>
        <v>0</v>
      </c>
      <c r="AB103" s="192">
        <f>SUMIFS('Step 4 bond aggregation'!$B$2:$B$661,'Step 4 bond aggregation'!$A$2:$A$661,$W$69,'Step 4 bond aggregation'!$F$2:$F$661,AB$72,'Step 4 bond aggregation'!$G$2:$G$661,MATCH($X103,lov_term_buckets,0),'Step 4 bond aggregation'!$E$2:$E$661,$Y$98)</f>
        <v>0</v>
      </c>
      <c r="AC103" s="192">
        <f>SUMIFS('Step 4 bond aggregation'!$B$2:$B$661,'Step 4 bond aggregation'!$A$2:$A$661,$W$69,'Step 4 bond aggregation'!$F$2:$F$661,AC$72,'Step 4 bond aggregation'!$G$2:$G$661,MATCH($X103,lov_term_buckets,0),'Step 4 bond aggregation'!$E$2:$E$661,$Y$98)</f>
        <v>0</v>
      </c>
      <c r="AD103" s="192">
        <f>SUMIFS('Step 4 bond aggregation'!$B$2:$B$661,'Step 4 bond aggregation'!$A$2:$A$661,$W$69,'Step 4 bond aggregation'!$F$2:$F$661,AD$72,'Step 4 bond aggregation'!$G$2:$G$661,MATCH($X103,lov_term_buckets,0),'Step 4 bond aggregation'!$E$2:$E$661,$Y$98)</f>
        <v>0</v>
      </c>
      <c r="AE103" s="192">
        <f>SUMIFS('Step 4 bond aggregation'!$B$2:$B$661,'Step 4 bond aggregation'!$A$2:$A$661,$W$69,'Step 4 bond aggregation'!$F$2:$F$661,AE$72,'Step 4 bond aggregation'!$G$2:$G$661,MATCH($X103,lov_term_buckets,0),'Step 4 bond aggregation'!$E$2:$E$661,$Y$98)</f>
        <v>0</v>
      </c>
      <c r="AF103" s="191"/>
      <c r="AG103" s="191"/>
      <c r="AH103" s="254" t="s">
        <v>937</v>
      </c>
      <c r="AI103" s="192">
        <f>SUMIFS('Step 4 bond aggregation'!$B$2:$B$661,'Step 4 bond aggregation'!$A$2:$A$661,$AG$69,'Step 4 bond aggregation'!$F$2:$F$661,AI$72,'Step 4 bond aggregation'!$G$2:$G$661,MATCH($AH103,lov_term_buckets,0),'Step 4 bond aggregation'!$E$2:$E$661,$AI$98)</f>
        <v>0</v>
      </c>
      <c r="AJ103" s="192">
        <f>SUMIFS('Step 4 bond aggregation'!$B$2:$B$661,'Step 4 bond aggregation'!$A$2:$A$661,$AG$69,'Step 4 bond aggregation'!$F$2:$F$661,AJ$72,'Step 4 bond aggregation'!$G$2:$G$661,MATCH($AH103,lov_term_buckets,0),'Step 4 bond aggregation'!$E$2:$E$661,$AI$98)</f>
        <v>0</v>
      </c>
      <c r="AK103" s="192">
        <f>SUMIFS('Step 4 bond aggregation'!$B$2:$B$661,'Step 4 bond aggregation'!$A$2:$A$661,$AG$69,'Step 4 bond aggregation'!$F$2:$F$661,AK$72,'Step 4 bond aggregation'!$G$2:$G$661,MATCH($AH103,lov_term_buckets,0),'Step 4 bond aggregation'!$E$2:$E$661,$AI$98)</f>
        <v>0</v>
      </c>
      <c r="AL103" s="192">
        <f>SUMIFS('Step 4 bond aggregation'!$B$2:$B$661,'Step 4 bond aggregation'!$A$2:$A$661,$AG$69,'Step 4 bond aggregation'!$F$2:$F$661,AL$72,'Step 4 bond aggregation'!$G$2:$G$661,MATCH($AH103,lov_term_buckets,0),'Step 4 bond aggregation'!$E$2:$E$661,$AI$98)</f>
        <v>0</v>
      </c>
      <c r="AM103" s="192">
        <f>SUMIFS('Step 4 bond aggregation'!$B$2:$B$661,'Step 4 bond aggregation'!$A$2:$A$661,$AG$69,'Step 4 bond aggregation'!$F$2:$F$661,AM$72,'Step 4 bond aggregation'!$G$2:$G$661,MATCH($AH103,lov_term_buckets,0),'Step 4 bond aggregation'!$E$2:$E$661,$AI$98)</f>
        <v>0</v>
      </c>
      <c r="AN103" s="192">
        <f>SUMIFS('Step 4 bond aggregation'!$B$2:$B$661,'Step 4 bond aggregation'!$A$2:$A$661,$AG$69,'Step 4 bond aggregation'!$F$2:$F$661,AN$72,'Step 4 bond aggregation'!$G$2:$G$661,MATCH($AH103,lov_term_buckets,0),'Step 4 bond aggregation'!$E$2:$E$661,$AI$98)</f>
        <v>0</v>
      </c>
      <c r="AO103" s="192">
        <f>SUMIFS('Step 4 bond aggregation'!$B$2:$B$661,'Step 4 bond aggregation'!$A$2:$A$661,$AG$69,'Step 4 bond aggregation'!$F$2:$F$661,AO$72,'Step 4 bond aggregation'!$G$2:$G$661,MATCH($AH103,lov_term_buckets,0),'Step 4 bond aggregation'!$E$2:$E$661,$AI$98)</f>
        <v>0</v>
      </c>
      <c r="AP103" s="191"/>
      <c r="AQ103" s="191"/>
      <c r="AR103" s="254" t="s">
        <v>937</v>
      </c>
      <c r="AS103" s="192">
        <f>SUMIFS('Step 4 bond aggregation'!$B$2:$B$661,'Step 4 bond aggregation'!$A$2:$A$661,$AQ$69,'Step 4 bond aggregation'!$F$2:$F$661,AS$72,'Step 4 bond aggregation'!$G$2:$G$661,MATCH($AR103,lov_term_buckets,0),'Step 4 bond aggregation'!$E$2:$E$661,$AS$98)</f>
        <v>0</v>
      </c>
      <c r="AT103" s="192">
        <f>SUMIFS('Step 4 bond aggregation'!$B$2:$B$661,'Step 4 bond aggregation'!$A$2:$A$661,$AQ$69,'Step 4 bond aggregation'!$F$2:$F$661,AT$72,'Step 4 bond aggregation'!$G$2:$G$661,MATCH($AR103,lov_term_buckets,0),'Step 4 bond aggregation'!$E$2:$E$661,$AS$98)</f>
        <v>0</v>
      </c>
      <c r="AU103" s="192">
        <f>SUMIFS('Step 4 bond aggregation'!$B$2:$B$661,'Step 4 bond aggregation'!$A$2:$A$661,$AQ$69,'Step 4 bond aggregation'!$F$2:$F$661,AU$72,'Step 4 bond aggregation'!$G$2:$G$661,MATCH($AR103,lov_term_buckets,0),'Step 4 bond aggregation'!$E$2:$E$661,$AS$98)</f>
        <v>0</v>
      </c>
      <c r="AV103" s="192">
        <f>SUMIFS('Step 4 bond aggregation'!$B$2:$B$661,'Step 4 bond aggregation'!$A$2:$A$661,$AQ$69,'Step 4 bond aggregation'!$F$2:$F$661,AV$72,'Step 4 bond aggregation'!$G$2:$G$661,MATCH($AR103,lov_term_buckets,0),'Step 4 bond aggregation'!$E$2:$E$661,$AS$98)</f>
        <v>0</v>
      </c>
      <c r="AW103" s="192">
        <f>SUMIFS('Step 4 bond aggregation'!$B$2:$B$661,'Step 4 bond aggregation'!$A$2:$A$661,$AQ$69,'Step 4 bond aggregation'!$F$2:$F$661,AW$72,'Step 4 bond aggregation'!$G$2:$G$661,MATCH($AR103,lov_term_buckets,0),'Step 4 bond aggregation'!$E$2:$E$661,$AS$98)</f>
        <v>0</v>
      </c>
      <c r="AX103" s="192">
        <f>SUMIFS('Step 4 bond aggregation'!$B$2:$B$661,'Step 4 bond aggregation'!$A$2:$A$661,$AQ$69,'Step 4 bond aggregation'!$F$2:$F$661,AX$72,'Step 4 bond aggregation'!$G$2:$G$661,MATCH($AR103,lov_term_buckets,0),'Step 4 bond aggregation'!$E$2:$E$661,$AS$98)</f>
        <v>0</v>
      </c>
      <c r="AY103" s="192">
        <f>SUMIFS('Step 4 bond aggregation'!$B$2:$B$661,'Step 4 bond aggregation'!$A$2:$A$661,$AQ$69,'Step 4 bond aggregation'!$F$2:$F$661,AY$72,'Step 4 bond aggregation'!$G$2:$G$661,MATCH($AR103,lov_term_buckets,0),'Step 4 bond aggregation'!$E$2:$E$661,$AS$98)</f>
        <v>0</v>
      </c>
      <c r="AZ103" s="191"/>
      <c r="BA103" s="191"/>
      <c r="BB103" s="254" t="s">
        <v>937</v>
      </c>
      <c r="BC103" s="192">
        <f>SUMIFS('Step 4 bond aggregation'!$B$2:$B$661,'Step 4 bond aggregation'!$A$2:$A$661,$BA$69,'Step 4 bond aggregation'!$F$2:$F$661,BC$72,'Step 4 bond aggregation'!$G$2:$G$661,MATCH($BB103,lov_term_buckets,0),'Step 4 bond aggregation'!$E$2:$E$661,$BC$98)</f>
        <v>0</v>
      </c>
      <c r="BD103" s="192">
        <f>SUMIFS('Step 4 bond aggregation'!$B$2:$B$661,'Step 4 bond aggregation'!$A$2:$A$661,$BA$69,'Step 4 bond aggregation'!$F$2:$F$661,BD$72,'Step 4 bond aggregation'!$G$2:$G$661,MATCH($BB103,lov_term_buckets,0),'Step 4 bond aggregation'!$E$2:$E$661,$BC$98)</f>
        <v>0</v>
      </c>
      <c r="BE103" s="192">
        <f>SUMIFS('Step 4 bond aggregation'!$B$2:$B$661,'Step 4 bond aggregation'!$A$2:$A$661,$BA$69,'Step 4 bond aggregation'!$F$2:$F$661,BE$72,'Step 4 bond aggregation'!$G$2:$G$661,MATCH($BB103,lov_term_buckets,0),'Step 4 bond aggregation'!$E$2:$E$661,$BC$98)</f>
        <v>0</v>
      </c>
      <c r="BF103" s="192">
        <f>SUMIFS('Step 4 bond aggregation'!$B$2:$B$661,'Step 4 bond aggregation'!$A$2:$A$661,$BA$69,'Step 4 bond aggregation'!$F$2:$F$661,BF$72,'Step 4 bond aggregation'!$G$2:$G$661,MATCH($BB103,lov_term_buckets,0),'Step 4 bond aggregation'!$E$2:$E$661,$BC$98)</f>
        <v>0</v>
      </c>
      <c r="BG103" s="192">
        <f>SUMIFS('Step 4 bond aggregation'!$B$2:$B$661,'Step 4 bond aggregation'!$A$2:$A$661,$BA$69,'Step 4 bond aggregation'!$F$2:$F$661,BG$72,'Step 4 bond aggregation'!$G$2:$G$661,MATCH($BB103,lov_term_buckets,0),'Step 4 bond aggregation'!$E$2:$E$661,$BC$98)</f>
        <v>0</v>
      </c>
      <c r="BH103" s="192">
        <f>SUMIFS('Step 4 bond aggregation'!$B$2:$B$661,'Step 4 bond aggregation'!$A$2:$A$661,$BA$69,'Step 4 bond aggregation'!$F$2:$F$661,BH$72,'Step 4 bond aggregation'!$G$2:$G$661,MATCH($BB103,lov_term_buckets,0),'Step 4 bond aggregation'!$E$2:$E$661,$BC$98)</f>
        <v>0</v>
      </c>
      <c r="BI103" s="192">
        <f>SUMIFS('Step 4 bond aggregation'!$B$2:$B$661,'Step 4 bond aggregation'!$A$2:$A$661,$BA$69,'Step 4 bond aggregation'!$F$2:$F$661,BI$72,'Step 4 bond aggregation'!$G$2:$G$661,MATCH($BB103,lov_term_buckets,0),'Step 4 bond aggregation'!$E$2:$E$661,$BC$98)</f>
        <v>0</v>
      </c>
      <c r="BK103" s="191"/>
      <c r="BL103" s="254" t="s">
        <v>937</v>
      </c>
      <c r="BM103" s="192">
        <f>SUMIFS('Step 4 bond aggregation'!$B$2:$B$661,'Step 4 bond aggregation'!$A$2:$A$661,$BK$69,'Step 4 bond aggregation'!$F$2:$F$661,BM$72,'Step 4 bond aggregation'!$G$2:$G$661,MATCH($BB103,lov_term_buckets,0),'Step 4 bond aggregation'!$E$2:$E$661,$BC$98)</f>
        <v>0</v>
      </c>
      <c r="BN103" s="192">
        <f>SUMIFS('Step 4 bond aggregation'!$B$2:$B$661,'Step 4 bond aggregation'!$A$2:$A$661,$BK$69,'Step 4 bond aggregation'!$F$2:$F$661,BN$72,'Step 4 bond aggregation'!$G$2:$G$661,MATCH($BB103,lov_term_buckets,0),'Step 4 bond aggregation'!$E$2:$E$661,$BC$98)</f>
        <v>0</v>
      </c>
      <c r="BO103" s="192">
        <f>SUMIFS('Step 4 bond aggregation'!$B$2:$B$661,'Step 4 bond aggregation'!$A$2:$A$661,$BK$69,'Step 4 bond aggregation'!$F$2:$F$661,BO$72,'Step 4 bond aggregation'!$G$2:$G$661,MATCH($BB103,lov_term_buckets,0),'Step 4 bond aggregation'!$E$2:$E$661,$BC$98)</f>
        <v>0</v>
      </c>
      <c r="BP103" s="192">
        <f>SUMIFS('Step 4 bond aggregation'!$B$2:$B$661,'Step 4 bond aggregation'!$A$2:$A$661,$BK$69,'Step 4 bond aggregation'!$F$2:$F$661,BP$72,'Step 4 bond aggregation'!$G$2:$G$661,MATCH($BB103,lov_term_buckets,0),'Step 4 bond aggregation'!$E$2:$E$661,$BC$98)</f>
        <v>0</v>
      </c>
      <c r="BQ103" s="192">
        <f>SUMIFS('Step 4 bond aggregation'!$B$2:$B$661,'Step 4 bond aggregation'!$A$2:$A$661,$BK$69,'Step 4 bond aggregation'!$F$2:$F$661,BQ$72,'Step 4 bond aggregation'!$G$2:$G$661,MATCH($BB103,lov_term_buckets,0),'Step 4 bond aggregation'!$E$2:$E$661,$BC$98)</f>
        <v>0</v>
      </c>
      <c r="BR103" s="192">
        <f>SUMIFS('Step 4 bond aggregation'!$B$2:$B$661,'Step 4 bond aggregation'!$A$2:$A$661,$BK$69,'Step 4 bond aggregation'!$F$2:$F$661,BR$72,'Step 4 bond aggregation'!$G$2:$G$661,MATCH($BB103,lov_term_buckets,0),'Step 4 bond aggregation'!$E$2:$E$661,$BC$98)</f>
        <v>0</v>
      </c>
      <c r="BS103" s="192">
        <f>SUMIFS('Step 4 bond aggregation'!$B$2:$B$661,'Step 4 bond aggregation'!$A$2:$A$661,$BK$69,'Step 4 bond aggregation'!$F$2:$F$661,BS$72,'Step 4 bond aggregation'!$G$2:$G$661,MATCH($BB103,lov_term_buckets,0),'Step 4 bond aggregation'!$E$2:$E$661,$BC$98)</f>
        <v>0</v>
      </c>
      <c r="BU103" s="191"/>
      <c r="BV103" s="254" t="s">
        <v>937</v>
      </c>
      <c r="BW103" s="192">
        <f>SUMIFS('Step 4 bond aggregation'!$B$2:$B$661,'Step 4 bond aggregation'!$A$2:$A$661,$BU$69,'Step 4 bond aggregation'!$F$2:$F$661,BW$72,'Step 4 bond aggregation'!$G$2:$G$661,MATCH($BB103,lov_term_buckets,0),'Step 4 bond aggregation'!$E$2:$E$661,$BC$98)</f>
        <v>0</v>
      </c>
      <c r="BX103" s="192">
        <f>SUMIFS('Step 4 bond aggregation'!$B$2:$B$661,'Step 4 bond aggregation'!$A$2:$A$661,$BU$69,'Step 4 bond aggregation'!$F$2:$F$661,BX$72,'Step 4 bond aggregation'!$G$2:$G$661,MATCH($BB103,lov_term_buckets,0),'Step 4 bond aggregation'!$E$2:$E$661,$BC$98)</f>
        <v>0</v>
      </c>
      <c r="BY103" s="192">
        <f>SUMIFS('Step 4 bond aggregation'!$B$2:$B$661,'Step 4 bond aggregation'!$A$2:$A$661,$BU$69,'Step 4 bond aggregation'!$F$2:$F$661,BY$72,'Step 4 bond aggregation'!$G$2:$G$661,MATCH($BB103,lov_term_buckets,0),'Step 4 bond aggregation'!$E$2:$E$661,$BC$98)</f>
        <v>0</v>
      </c>
      <c r="BZ103" s="192">
        <f>SUMIFS('Step 4 bond aggregation'!$B$2:$B$661,'Step 4 bond aggregation'!$A$2:$A$661,$BU$69,'Step 4 bond aggregation'!$F$2:$F$661,BZ$72,'Step 4 bond aggregation'!$G$2:$G$661,MATCH($BB103,lov_term_buckets,0),'Step 4 bond aggregation'!$E$2:$E$661,$BC$98)</f>
        <v>0</v>
      </c>
      <c r="CA103" s="192">
        <f>SUMIFS('Step 4 bond aggregation'!$B$2:$B$661,'Step 4 bond aggregation'!$A$2:$A$661,$BU$69,'Step 4 bond aggregation'!$F$2:$F$661,CA$72,'Step 4 bond aggregation'!$G$2:$G$661,MATCH($BB103,lov_term_buckets,0),'Step 4 bond aggregation'!$E$2:$E$661,$BC$98)</f>
        <v>0</v>
      </c>
      <c r="CB103" s="192">
        <f>SUMIFS('Step 4 bond aggregation'!$B$2:$B$661,'Step 4 bond aggregation'!$A$2:$A$661,$BU$69,'Step 4 bond aggregation'!$F$2:$F$661,CB$72,'Step 4 bond aggregation'!$G$2:$G$661,MATCH($BB103,lov_term_buckets,0),'Step 4 bond aggregation'!$E$2:$E$661,$BC$98)</f>
        <v>0</v>
      </c>
      <c r="CC103" s="192">
        <f>SUMIFS('Step 4 bond aggregation'!$B$2:$B$661,'Step 4 bond aggregation'!$A$2:$A$661,$BU$69,'Step 4 bond aggregation'!$F$2:$F$661,CC$72,'Step 4 bond aggregation'!$G$2:$G$661,MATCH($BB103,lov_term_buckets,0),'Step 4 bond aggregation'!$E$2:$E$661,$BC$98)</f>
        <v>0</v>
      </c>
    </row>
    <row r="104" spans="2:81" hidden="1" outlineLevel="1" x14ac:dyDescent="0.3">
      <c r="C104" s="52" t="s">
        <v>938</v>
      </c>
      <c r="D104" s="192">
        <f>Input!F111</f>
        <v>0</v>
      </c>
      <c r="E104" s="192">
        <f>Input!G111</f>
        <v>0</v>
      </c>
      <c r="F104" s="192">
        <f>Input!H111</f>
        <v>0</v>
      </c>
      <c r="G104" s="192">
        <f>Input!I111</f>
        <v>0</v>
      </c>
      <c r="H104" s="192">
        <f>Input!J111</f>
        <v>0</v>
      </c>
      <c r="I104" s="192">
        <f>Input!K111</f>
        <v>0</v>
      </c>
      <c r="J104" s="192">
        <f>Input!L111</f>
        <v>0</v>
      </c>
      <c r="K104" s="192">
        <f>Input!M111</f>
        <v>0</v>
      </c>
      <c r="L104" s="191"/>
      <c r="M104" s="191"/>
      <c r="N104" s="254" t="s">
        <v>938</v>
      </c>
      <c r="O104" s="192">
        <f>Input!F151+Input!F184</f>
        <v>0</v>
      </c>
      <c r="P104" s="192">
        <f>Input!G151+Input!G184</f>
        <v>0</v>
      </c>
      <c r="Q104" s="192">
        <f>Input!H151+Input!H184</f>
        <v>0</v>
      </c>
      <c r="R104" s="192">
        <f>Input!I151+Input!I184</f>
        <v>0</v>
      </c>
      <c r="S104" s="192">
        <f>Input!J151+Input!J184</f>
        <v>0</v>
      </c>
      <c r="T104" s="192">
        <f>Input!K151+Input!K184</f>
        <v>0</v>
      </c>
      <c r="U104" s="192">
        <f>Input!L151+Input!L184</f>
        <v>0</v>
      </c>
      <c r="V104" s="191"/>
      <c r="W104" s="191"/>
      <c r="X104" s="254" t="s">
        <v>938</v>
      </c>
      <c r="Y104" s="192">
        <f>SUMIFS('Step 4 bond aggregation'!$B$2:$B$661,'Step 4 bond aggregation'!$A$2:$A$661,$W$69,'Step 4 bond aggregation'!$F$2:$F$661,Y$72,'Step 4 bond aggregation'!$G$2:$G$661,MATCH($X104,lov_term_buckets,0),'Step 4 bond aggregation'!$E$2:$E$661,$Y$98)</f>
        <v>0</v>
      </c>
      <c r="Z104" s="192">
        <f>SUMIFS('Step 4 bond aggregation'!$B$2:$B$661,'Step 4 bond aggregation'!$A$2:$A$661,$W$69,'Step 4 bond aggregation'!$F$2:$F$661,Z$72,'Step 4 bond aggregation'!$G$2:$G$661,MATCH($X104,lov_term_buckets,0),'Step 4 bond aggregation'!$E$2:$E$661,$Y$98)</f>
        <v>0</v>
      </c>
      <c r="AA104" s="192">
        <f>SUMIFS('Step 4 bond aggregation'!$B$2:$B$661,'Step 4 bond aggregation'!$A$2:$A$661,$W$69,'Step 4 bond aggregation'!$F$2:$F$661,AA$72,'Step 4 bond aggregation'!$G$2:$G$661,MATCH($X104,lov_term_buckets,0),'Step 4 bond aggregation'!$E$2:$E$661,$Y$98)</f>
        <v>0</v>
      </c>
      <c r="AB104" s="192">
        <f>SUMIFS('Step 4 bond aggregation'!$B$2:$B$661,'Step 4 bond aggregation'!$A$2:$A$661,$W$69,'Step 4 bond aggregation'!$F$2:$F$661,AB$72,'Step 4 bond aggregation'!$G$2:$G$661,MATCH($X104,lov_term_buckets,0),'Step 4 bond aggregation'!$E$2:$E$661,$Y$98)</f>
        <v>0</v>
      </c>
      <c r="AC104" s="192">
        <f>SUMIFS('Step 4 bond aggregation'!$B$2:$B$661,'Step 4 bond aggregation'!$A$2:$A$661,$W$69,'Step 4 bond aggregation'!$F$2:$F$661,AC$72,'Step 4 bond aggregation'!$G$2:$G$661,MATCH($X104,lov_term_buckets,0),'Step 4 bond aggregation'!$E$2:$E$661,$Y$98)</f>
        <v>0</v>
      </c>
      <c r="AD104" s="192">
        <f>SUMIFS('Step 4 bond aggregation'!$B$2:$B$661,'Step 4 bond aggregation'!$A$2:$A$661,$W$69,'Step 4 bond aggregation'!$F$2:$F$661,AD$72,'Step 4 bond aggregation'!$G$2:$G$661,MATCH($X104,lov_term_buckets,0),'Step 4 bond aggregation'!$E$2:$E$661,$Y$98)</f>
        <v>0</v>
      </c>
      <c r="AE104" s="192">
        <f>SUMIFS('Step 4 bond aggregation'!$B$2:$B$661,'Step 4 bond aggregation'!$A$2:$A$661,$W$69,'Step 4 bond aggregation'!$F$2:$F$661,AE$72,'Step 4 bond aggregation'!$G$2:$G$661,MATCH($X104,lov_term_buckets,0),'Step 4 bond aggregation'!$E$2:$E$661,$Y$98)</f>
        <v>0</v>
      </c>
      <c r="AF104" s="191"/>
      <c r="AG104" s="191"/>
      <c r="AH104" s="254" t="s">
        <v>938</v>
      </c>
      <c r="AI104" s="192">
        <f>SUMIFS('Step 4 bond aggregation'!$B$2:$B$661,'Step 4 bond aggregation'!$A$2:$A$661,$AG$69,'Step 4 bond aggregation'!$F$2:$F$661,AI$72,'Step 4 bond aggregation'!$G$2:$G$661,MATCH($AH104,lov_term_buckets,0),'Step 4 bond aggregation'!$E$2:$E$661,$AI$98)</f>
        <v>0</v>
      </c>
      <c r="AJ104" s="192">
        <f>SUMIFS('Step 4 bond aggregation'!$B$2:$B$661,'Step 4 bond aggregation'!$A$2:$A$661,$AG$69,'Step 4 bond aggregation'!$F$2:$F$661,AJ$72,'Step 4 bond aggregation'!$G$2:$G$661,MATCH($AH104,lov_term_buckets,0),'Step 4 bond aggregation'!$E$2:$E$661,$AI$98)</f>
        <v>0</v>
      </c>
      <c r="AK104" s="192">
        <f>SUMIFS('Step 4 bond aggregation'!$B$2:$B$661,'Step 4 bond aggregation'!$A$2:$A$661,$AG$69,'Step 4 bond aggregation'!$F$2:$F$661,AK$72,'Step 4 bond aggregation'!$G$2:$G$661,MATCH($AH104,lov_term_buckets,0),'Step 4 bond aggregation'!$E$2:$E$661,$AI$98)</f>
        <v>0</v>
      </c>
      <c r="AL104" s="192">
        <f>SUMIFS('Step 4 bond aggregation'!$B$2:$B$661,'Step 4 bond aggregation'!$A$2:$A$661,$AG$69,'Step 4 bond aggregation'!$F$2:$F$661,AL$72,'Step 4 bond aggregation'!$G$2:$G$661,MATCH($AH104,lov_term_buckets,0),'Step 4 bond aggregation'!$E$2:$E$661,$AI$98)</f>
        <v>0</v>
      </c>
      <c r="AM104" s="192">
        <f>SUMIFS('Step 4 bond aggregation'!$B$2:$B$661,'Step 4 bond aggregation'!$A$2:$A$661,$AG$69,'Step 4 bond aggregation'!$F$2:$F$661,AM$72,'Step 4 bond aggregation'!$G$2:$G$661,MATCH($AH104,lov_term_buckets,0),'Step 4 bond aggregation'!$E$2:$E$661,$AI$98)</f>
        <v>0</v>
      </c>
      <c r="AN104" s="192">
        <f>SUMIFS('Step 4 bond aggregation'!$B$2:$B$661,'Step 4 bond aggregation'!$A$2:$A$661,$AG$69,'Step 4 bond aggregation'!$F$2:$F$661,AN$72,'Step 4 bond aggregation'!$G$2:$G$661,MATCH($AH104,lov_term_buckets,0),'Step 4 bond aggregation'!$E$2:$E$661,$AI$98)</f>
        <v>0</v>
      </c>
      <c r="AO104" s="192">
        <f>SUMIFS('Step 4 bond aggregation'!$B$2:$B$661,'Step 4 bond aggregation'!$A$2:$A$661,$AG$69,'Step 4 bond aggregation'!$F$2:$F$661,AO$72,'Step 4 bond aggregation'!$G$2:$G$661,MATCH($AH104,lov_term_buckets,0),'Step 4 bond aggregation'!$E$2:$E$661,$AI$98)</f>
        <v>0</v>
      </c>
      <c r="AP104" s="191"/>
      <c r="AQ104" s="191"/>
      <c r="AR104" s="254" t="s">
        <v>938</v>
      </c>
      <c r="AS104" s="192">
        <f>SUMIFS('Step 4 bond aggregation'!$B$2:$B$661,'Step 4 bond aggregation'!$A$2:$A$661,$AQ$69,'Step 4 bond aggregation'!$F$2:$F$661,AS$72,'Step 4 bond aggregation'!$G$2:$G$661,MATCH($AR104,lov_term_buckets,0),'Step 4 bond aggregation'!$E$2:$E$661,$AS$98)</f>
        <v>0</v>
      </c>
      <c r="AT104" s="192">
        <f>SUMIFS('Step 4 bond aggregation'!$B$2:$B$661,'Step 4 bond aggregation'!$A$2:$A$661,$AQ$69,'Step 4 bond aggregation'!$F$2:$F$661,AT$72,'Step 4 bond aggregation'!$G$2:$G$661,MATCH($AR104,lov_term_buckets,0),'Step 4 bond aggregation'!$E$2:$E$661,$AS$98)</f>
        <v>0</v>
      </c>
      <c r="AU104" s="192">
        <f>SUMIFS('Step 4 bond aggregation'!$B$2:$B$661,'Step 4 bond aggregation'!$A$2:$A$661,$AQ$69,'Step 4 bond aggregation'!$F$2:$F$661,AU$72,'Step 4 bond aggregation'!$G$2:$G$661,MATCH($AR104,lov_term_buckets,0),'Step 4 bond aggregation'!$E$2:$E$661,$AS$98)</f>
        <v>0</v>
      </c>
      <c r="AV104" s="192">
        <f>SUMIFS('Step 4 bond aggregation'!$B$2:$B$661,'Step 4 bond aggregation'!$A$2:$A$661,$AQ$69,'Step 4 bond aggregation'!$F$2:$F$661,AV$72,'Step 4 bond aggregation'!$G$2:$G$661,MATCH($AR104,lov_term_buckets,0),'Step 4 bond aggregation'!$E$2:$E$661,$AS$98)</f>
        <v>0</v>
      </c>
      <c r="AW104" s="192">
        <f>SUMIFS('Step 4 bond aggregation'!$B$2:$B$661,'Step 4 bond aggregation'!$A$2:$A$661,$AQ$69,'Step 4 bond aggregation'!$F$2:$F$661,AW$72,'Step 4 bond aggregation'!$G$2:$G$661,MATCH($AR104,lov_term_buckets,0),'Step 4 bond aggregation'!$E$2:$E$661,$AS$98)</f>
        <v>0</v>
      </c>
      <c r="AX104" s="192">
        <f>SUMIFS('Step 4 bond aggregation'!$B$2:$B$661,'Step 4 bond aggregation'!$A$2:$A$661,$AQ$69,'Step 4 bond aggregation'!$F$2:$F$661,AX$72,'Step 4 bond aggregation'!$G$2:$G$661,MATCH($AR104,lov_term_buckets,0),'Step 4 bond aggregation'!$E$2:$E$661,$AS$98)</f>
        <v>0</v>
      </c>
      <c r="AY104" s="192">
        <f>SUMIFS('Step 4 bond aggregation'!$B$2:$B$661,'Step 4 bond aggregation'!$A$2:$A$661,$AQ$69,'Step 4 bond aggregation'!$F$2:$F$661,AY$72,'Step 4 bond aggregation'!$G$2:$G$661,MATCH($AR104,lov_term_buckets,0),'Step 4 bond aggregation'!$E$2:$E$661,$AS$98)</f>
        <v>0</v>
      </c>
      <c r="AZ104" s="191"/>
      <c r="BA104" s="191"/>
      <c r="BB104" s="254" t="s">
        <v>938</v>
      </c>
      <c r="BC104" s="192">
        <f>SUMIFS('Step 4 bond aggregation'!$B$2:$B$661,'Step 4 bond aggregation'!$A$2:$A$661,$BA$69,'Step 4 bond aggregation'!$F$2:$F$661,BC$72,'Step 4 bond aggregation'!$G$2:$G$661,MATCH($BB104,lov_term_buckets,0),'Step 4 bond aggregation'!$E$2:$E$661,$BC$98)</f>
        <v>0</v>
      </c>
      <c r="BD104" s="192">
        <f>SUMIFS('Step 4 bond aggregation'!$B$2:$B$661,'Step 4 bond aggregation'!$A$2:$A$661,$BA$69,'Step 4 bond aggregation'!$F$2:$F$661,BD$72,'Step 4 bond aggregation'!$G$2:$G$661,MATCH($BB104,lov_term_buckets,0),'Step 4 bond aggregation'!$E$2:$E$661,$BC$98)</f>
        <v>0</v>
      </c>
      <c r="BE104" s="192">
        <f>SUMIFS('Step 4 bond aggregation'!$B$2:$B$661,'Step 4 bond aggregation'!$A$2:$A$661,$BA$69,'Step 4 bond aggregation'!$F$2:$F$661,BE$72,'Step 4 bond aggregation'!$G$2:$G$661,MATCH($BB104,lov_term_buckets,0),'Step 4 bond aggregation'!$E$2:$E$661,$BC$98)</f>
        <v>0</v>
      </c>
      <c r="BF104" s="192">
        <f>SUMIFS('Step 4 bond aggregation'!$B$2:$B$661,'Step 4 bond aggregation'!$A$2:$A$661,$BA$69,'Step 4 bond aggregation'!$F$2:$F$661,BF$72,'Step 4 bond aggregation'!$G$2:$G$661,MATCH($BB104,lov_term_buckets,0),'Step 4 bond aggregation'!$E$2:$E$661,$BC$98)</f>
        <v>0</v>
      </c>
      <c r="BG104" s="192">
        <f>SUMIFS('Step 4 bond aggregation'!$B$2:$B$661,'Step 4 bond aggregation'!$A$2:$A$661,$BA$69,'Step 4 bond aggregation'!$F$2:$F$661,BG$72,'Step 4 bond aggregation'!$G$2:$G$661,MATCH($BB104,lov_term_buckets,0),'Step 4 bond aggregation'!$E$2:$E$661,$BC$98)</f>
        <v>0</v>
      </c>
      <c r="BH104" s="192">
        <f>SUMIFS('Step 4 bond aggregation'!$B$2:$B$661,'Step 4 bond aggregation'!$A$2:$A$661,$BA$69,'Step 4 bond aggregation'!$F$2:$F$661,BH$72,'Step 4 bond aggregation'!$G$2:$G$661,MATCH($BB104,lov_term_buckets,0),'Step 4 bond aggregation'!$E$2:$E$661,$BC$98)</f>
        <v>0</v>
      </c>
      <c r="BI104" s="192">
        <f>SUMIFS('Step 4 bond aggregation'!$B$2:$B$661,'Step 4 bond aggregation'!$A$2:$A$661,$BA$69,'Step 4 bond aggregation'!$F$2:$F$661,BI$72,'Step 4 bond aggregation'!$G$2:$G$661,MATCH($BB104,lov_term_buckets,0),'Step 4 bond aggregation'!$E$2:$E$661,$BC$98)</f>
        <v>0</v>
      </c>
      <c r="BK104" s="191"/>
      <c r="BL104" s="254" t="s">
        <v>938</v>
      </c>
      <c r="BM104" s="192">
        <f>SUMIFS('Step 4 bond aggregation'!$B$2:$B$661,'Step 4 bond aggregation'!$A$2:$A$661,$BK$69,'Step 4 bond aggregation'!$F$2:$F$661,BM$72,'Step 4 bond aggregation'!$G$2:$G$661,MATCH($BB104,lov_term_buckets,0),'Step 4 bond aggregation'!$E$2:$E$661,$BC$98)</f>
        <v>0</v>
      </c>
      <c r="BN104" s="192">
        <f>SUMIFS('Step 4 bond aggregation'!$B$2:$B$661,'Step 4 bond aggregation'!$A$2:$A$661,$BK$69,'Step 4 bond aggregation'!$F$2:$F$661,BN$72,'Step 4 bond aggregation'!$G$2:$G$661,MATCH($BB104,lov_term_buckets,0),'Step 4 bond aggregation'!$E$2:$E$661,$BC$98)</f>
        <v>0</v>
      </c>
      <c r="BO104" s="192">
        <f>SUMIFS('Step 4 bond aggregation'!$B$2:$B$661,'Step 4 bond aggregation'!$A$2:$A$661,$BK$69,'Step 4 bond aggregation'!$F$2:$F$661,BO$72,'Step 4 bond aggregation'!$G$2:$G$661,MATCH($BB104,lov_term_buckets,0),'Step 4 bond aggregation'!$E$2:$E$661,$BC$98)</f>
        <v>0</v>
      </c>
      <c r="BP104" s="192">
        <f>SUMIFS('Step 4 bond aggregation'!$B$2:$B$661,'Step 4 bond aggregation'!$A$2:$A$661,$BK$69,'Step 4 bond aggregation'!$F$2:$F$661,BP$72,'Step 4 bond aggregation'!$G$2:$G$661,MATCH($BB104,lov_term_buckets,0),'Step 4 bond aggregation'!$E$2:$E$661,$BC$98)</f>
        <v>0</v>
      </c>
      <c r="BQ104" s="192">
        <f>SUMIFS('Step 4 bond aggregation'!$B$2:$B$661,'Step 4 bond aggregation'!$A$2:$A$661,$BK$69,'Step 4 bond aggregation'!$F$2:$F$661,BQ$72,'Step 4 bond aggregation'!$G$2:$G$661,MATCH($BB104,lov_term_buckets,0),'Step 4 bond aggregation'!$E$2:$E$661,$BC$98)</f>
        <v>0</v>
      </c>
      <c r="BR104" s="192">
        <f>SUMIFS('Step 4 bond aggregation'!$B$2:$B$661,'Step 4 bond aggregation'!$A$2:$A$661,$BK$69,'Step 4 bond aggregation'!$F$2:$F$661,BR$72,'Step 4 bond aggregation'!$G$2:$G$661,MATCH($BB104,lov_term_buckets,0),'Step 4 bond aggregation'!$E$2:$E$661,$BC$98)</f>
        <v>0</v>
      </c>
      <c r="BS104" s="192">
        <f>SUMIFS('Step 4 bond aggregation'!$B$2:$B$661,'Step 4 bond aggregation'!$A$2:$A$661,$BK$69,'Step 4 bond aggregation'!$F$2:$F$661,BS$72,'Step 4 bond aggregation'!$G$2:$G$661,MATCH($BB104,lov_term_buckets,0),'Step 4 bond aggregation'!$E$2:$E$661,$BC$98)</f>
        <v>0</v>
      </c>
      <c r="BU104" s="191"/>
      <c r="BV104" s="254" t="s">
        <v>938</v>
      </c>
      <c r="BW104" s="192">
        <f>SUMIFS('Step 4 bond aggregation'!$B$2:$B$661,'Step 4 bond aggregation'!$A$2:$A$661,$BU$69,'Step 4 bond aggregation'!$F$2:$F$661,BW$72,'Step 4 bond aggregation'!$G$2:$G$661,MATCH($BB104,lov_term_buckets,0),'Step 4 bond aggregation'!$E$2:$E$661,$BC$98)</f>
        <v>0</v>
      </c>
      <c r="BX104" s="192">
        <f>SUMIFS('Step 4 bond aggregation'!$B$2:$B$661,'Step 4 bond aggregation'!$A$2:$A$661,$BU$69,'Step 4 bond aggregation'!$F$2:$F$661,BX$72,'Step 4 bond aggregation'!$G$2:$G$661,MATCH($BB104,lov_term_buckets,0),'Step 4 bond aggregation'!$E$2:$E$661,$BC$98)</f>
        <v>0</v>
      </c>
      <c r="BY104" s="192">
        <f>SUMIFS('Step 4 bond aggregation'!$B$2:$B$661,'Step 4 bond aggregation'!$A$2:$A$661,$BU$69,'Step 4 bond aggregation'!$F$2:$F$661,BY$72,'Step 4 bond aggregation'!$G$2:$G$661,MATCH($BB104,lov_term_buckets,0),'Step 4 bond aggregation'!$E$2:$E$661,$BC$98)</f>
        <v>0</v>
      </c>
      <c r="BZ104" s="192">
        <f>SUMIFS('Step 4 bond aggregation'!$B$2:$B$661,'Step 4 bond aggregation'!$A$2:$A$661,$BU$69,'Step 4 bond aggregation'!$F$2:$F$661,BZ$72,'Step 4 bond aggregation'!$G$2:$G$661,MATCH($BB104,lov_term_buckets,0),'Step 4 bond aggregation'!$E$2:$E$661,$BC$98)</f>
        <v>0</v>
      </c>
      <c r="CA104" s="192">
        <f>SUMIFS('Step 4 bond aggregation'!$B$2:$B$661,'Step 4 bond aggregation'!$A$2:$A$661,$BU$69,'Step 4 bond aggregation'!$F$2:$F$661,CA$72,'Step 4 bond aggregation'!$G$2:$G$661,MATCH($BB104,lov_term_buckets,0),'Step 4 bond aggregation'!$E$2:$E$661,$BC$98)</f>
        <v>0</v>
      </c>
      <c r="CB104" s="192">
        <f>SUMIFS('Step 4 bond aggregation'!$B$2:$B$661,'Step 4 bond aggregation'!$A$2:$A$661,$BU$69,'Step 4 bond aggregation'!$F$2:$F$661,CB$72,'Step 4 bond aggregation'!$G$2:$G$661,MATCH($BB104,lov_term_buckets,0),'Step 4 bond aggregation'!$E$2:$E$661,$BC$98)</f>
        <v>0</v>
      </c>
      <c r="CC104" s="192">
        <f>SUMIFS('Step 4 bond aggregation'!$B$2:$B$661,'Step 4 bond aggregation'!$A$2:$A$661,$BU$69,'Step 4 bond aggregation'!$F$2:$F$661,CC$72,'Step 4 bond aggregation'!$G$2:$G$661,MATCH($BB104,lov_term_buckets,0),'Step 4 bond aggregation'!$E$2:$E$661,$BC$98)</f>
        <v>0</v>
      </c>
    </row>
    <row r="105" spans="2:81" hidden="1" outlineLevel="1" x14ac:dyDescent="0.3">
      <c r="C105" s="52" t="s">
        <v>6</v>
      </c>
      <c r="D105" s="192">
        <f>SUM(D100:K104)</f>
        <v>0</v>
      </c>
      <c r="E105" s="191"/>
      <c r="F105" s="191"/>
      <c r="G105" s="191"/>
      <c r="H105" s="191"/>
      <c r="I105" s="191"/>
      <c r="J105" s="191"/>
      <c r="K105" s="191"/>
      <c r="L105" s="191"/>
      <c r="M105" s="191"/>
      <c r="N105" s="254" t="s">
        <v>6</v>
      </c>
      <c r="O105" s="192">
        <f>SUM(O100:U104)</f>
        <v>0</v>
      </c>
      <c r="P105" s="254"/>
      <c r="Q105" s="192"/>
      <c r="R105" s="254"/>
      <c r="S105" s="192"/>
      <c r="T105" s="254"/>
      <c r="U105" s="192"/>
      <c r="V105" s="254"/>
      <c r="W105" s="191"/>
      <c r="X105" s="254" t="s">
        <v>6</v>
      </c>
      <c r="Y105" s="192">
        <f>SUM(Y100:AE104)</f>
        <v>0</v>
      </c>
      <c r="Z105" s="254"/>
      <c r="AA105" s="192"/>
      <c r="AB105" s="254"/>
      <c r="AC105" s="192"/>
      <c r="AD105" s="254"/>
      <c r="AE105" s="192"/>
      <c r="AF105" s="254"/>
      <c r="AG105" s="191"/>
      <c r="AH105" s="254" t="s">
        <v>6</v>
      </c>
      <c r="AI105" s="192">
        <f>SUM(AI100:AO104)</f>
        <v>0</v>
      </c>
      <c r="AJ105" s="254"/>
      <c r="AK105" s="192"/>
      <c r="AL105" s="254"/>
      <c r="AM105" s="192"/>
      <c r="AN105" s="254"/>
      <c r="AO105" s="192"/>
      <c r="AP105" s="254"/>
      <c r="AQ105" s="191"/>
      <c r="AR105" s="254" t="s">
        <v>6</v>
      </c>
      <c r="AS105" s="192">
        <f>SUM(AS100:AY104)</f>
        <v>0</v>
      </c>
      <c r="AT105" s="254"/>
      <c r="AU105" s="192"/>
      <c r="AV105" s="254"/>
      <c r="AW105" s="192"/>
      <c r="AX105" s="254"/>
      <c r="AY105" s="192"/>
      <c r="AZ105" s="254"/>
      <c r="BA105" s="191"/>
      <c r="BB105" s="254" t="s">
        <v>6</v>
      </c>
      <c r="BC105" s="192">
        <f>SUM(BC100:BI104)</f>
        <v>0</v>
      </c>
      <c r="BD105" s="254"/>
      <c r="BE105" s="192"/>
      <c r="BF105" s="254"/>
      <c r="BG105" s="192"/>
      <c r="BH105" s="254"/>
      <c r="BI105" s="192"/>
      <c r="BK105" s="191"/>
      <c r="BL105" s="254" t="s">
        <v>6</v>
      </c>
      <c r="BM105" s="192">
        <f>SUM(BM100:BS104)</f>
        <v>0</v>
      </c>
      <c r="BN105" s="254"/>
      <c r="BO105" s="192"/>
      <c r="BP105" s="254"/>
      <c r="BQ105" s="192"/>
      <c r="BR105" s="254"/>
      <c r="BS105" s="192"/>
      <c r="BU105" s="191"/>
      <c r="BV105" s="254" t="s">
        <v>6</v>
      </c>
      <c r="BW105" s="192">
        <f>SUM(BW100:CC104)</f>
        <v>0</v>
      </c>
      <c r="BX105" s="254"/>
      <c r="BY105" s="192"/>
      <c r="BZ105" s="254"/>
      <c r="CA105" s="192"/>
      <c r="CB105" s="254"/>
      <c r="CC105" s="192"/>
    </row>
    <row r="106" spans="2:81" hidden="1" outlineLevel="1" x14ac:dyDescent="0.3"/>
    <row r="107" spans="2:81" hidden="1" outlineLevel="1" x14ac:dyDescent="0.3">
      <c r="C107" s="52" t="s">
        <v>6</v>
      </c>
      <c r="D107" s="192">
        <f>D78+D87+D96+D105</f>
        <v>0</v>
      </c>
      <c r="N107" s="52" t="s">
        <v>6</v>
      </c>
      <c r="O107" s="192">
        <f>O78+O87+O96+O105</f>
        <v>0</v>
      </c>
      <c r="X107" s="52" t="s">
        <v>6</v>
      </c>
      <c r="Y107" s="192">
        <f>Y78+Y87+Y96+Y105</f>
        <v>0</v>
      </c>
      <c r="AH107" s="52" t="s">
        <v>6</v>
      </c>
      <c r="AI107" s="192">
        <f>AI78+AI87+AI96+AI105</f>
        <v>0</v>
      </c>
      <c r="AR107" s="52" t="s">
        <v>6</v>
      </c>
      <c r="AS107" s="192">
        <f>AS78+AS87+AS96+AS105</f>
        <v>0</v>
      </c>
      <c r="BB107" s="52" t="s">
        <v>6</v>
      </c>
      <c r="BC107" s="192">
        <f>BC78+BC87+BC96+BC105</f>
        <v>0</v>
      </c>
      <c r="BL107" s="52" t="s">
        <v>6</v>
      </c>
      <c r="BM107" s="192">
        <f>BM78+BM87+BM96+BM105</f>
        <v>0</v>
      </c>
      <c r="BV107" s="52" t="s">
        <v>6</v>
      </c>
      <c r="BW107" s="192">
        <f>BW78+BW87+BW96+BW105</f>
        <v>0</v>
      </c>
    </row>
    <row r="108" spans="2:81" collapsed="1" x14ac:dyDescent="0.3"/>
    <row r="109" spans="2:81" x14ac:dyDescent="0.3">
      <c r="B109" s="46" t="s">
        <v>17</v>
      </c>
      <c r="C109" s="48"/>
      <c r="D109" s="48"/>
      <c r="E109" s="48"/>
      <c r="F109" s="48"/>
      <c r="G109" s="48"/>
      <c r="H109" s="48"/>
      <c r="I109" s="48"/>
      <c r="J109" s="48"/>
      <c r="K109" s="48"/>
      <c r="L109" s="48"/>
      <c r="M109" s="257"/>
      <c r="N109" s="47"/>
      <c r="O109" s="47"/>
      <c r="P109" s="257"/>
      <c r="Q109" s="48"/>
      <c r="R109" s="48"/>
      <c r="S109" s="48"/>
      <c r="T109" s="48"/>
      <c r="U109" s="48"/>
      <c r="V109" s="48"/>
      <c r="W109" s="48"/>
      <c r="X109" s="48"/>
      <c r="Y109" s="48"/>
      <c r="Z109" s="48"/>
      <c r="AA109" s="48"/>
      <c r="AB109" s="48"/>
      <c r="AC109" s="48"/>
      <c r="AD109" s="48"/>
      <c r="AE109" s="48"/>
      <c r="AF109" s="48"/>
      <c r="AG109" s="48"/>
      <c r="AH109" s="48"/>
      <c r="AI109" s="48"/>
      <c r="AJ109" s="48"/>
      <c r="AK109" s="48"/>
      <c r="AL109" s="48"/>
      <c r="AM109" s="48"/>
      <c r="AN109" s="48"/>
      <c r="AO109" s="48"/>
      <c r="AP109" s="48"/>
      <c r="AQ109" s="48"/>
      <c r="AR109" s="48"/>
    </row>
    <row r="110" spans="2:81" ht="14.4" hidden="1" customHeight="1" outlineLevel="1" x14ac:dyDescent="0.3">
      <c r="C110" s="774" t="s">
        <v>1048</v>
      </c>
      <c r="D110" s="774"/>
      <c r="E110" s="774"/>
      <c r="F110" s="774"/>
      <c r="G110" s="774"/>
      <c r="H110" s="774"/>
      <c r="I110" s="774"/>
      <c r="J110" s="774"/>
      <c r="K110" s="774"/>
      <c r="N110" s="774" t="s">
        <v>1050</v>
      </c>
      <c r="O110" s="774"/>
      <c r="P110" s="774"/>
      <c r="Q110" s="774"/>
      <c r="R110" s="774"/>
      <c r="S110" s="774"/>
      <c r="T110" s="774"/>
      <c r="U110" s="774"/>
      <c r="V110" s="774"/>
      <c r="Y110" s="774" t="s">
        <v>1051</v>
      </c>
      <c r="Z110" s="774"/>
      <c r="AA110" s="774"/>
      <c r="AB110" s="774"/>
      <c r="AC110" s="774"/>
      <c r="AD110" s="774"/>
      <c r="AE110" s="774"/>
      <c r="AF110" s="774"/>
      <c r="AG110" s="774"/>
      <c r="AJ110" s="774" t="s">
        <v>1052</v>
      </c>
      <c r="AK110" s="774"/>
      <c r="AL110" s="774"/>
      <c r="AM110" s="774"/>
      <c r="AN110" s="774"/>
      <c r="AO110" s="774"/>
      <c r="AP110" s="774"/>
      <c r="AQ110" s="774"/>
      <c r="AR110" s="774"/>
    </row>
    <row r="111" spans="2:81" ht="14.4" hidden="1" customHeight="1" outlineLevel="1" x14ac:dyDescent="0.3">
      <c r="B111" s="88"/>
      <c r="C111" s="52" t="s">
        <v>2101</v>
      </c>
      <c r="D111" s="31">
        <f>Lists!$C$3</f>
        <v>1</v>
      </c>
      <c r="M111" s="88"/>
      <c r="N111" s="52" t="s">
        <v>2101</v>
      </c>
      <c r="O111" s="31">
        <f>Lists!$C$3</f>
        <v>1</v>
      </c>
      <c r="W111" s="50"/>
      <c r="X111" s="88"/>
      <c r="Y111" s="52" t="s">
        <v>2101</v>
      </c>
      <c r="Z111" s="31">
        <f>Lists!$C$3</f>
        <v>1</v>
      </c>
      <c r="AH111" s="50"/>
      <c r="AI111" s="88"/>
      <c r="AJ111" s="52" t="s">
        <v>2101</v>
      </c>
      <c r="AK111" s="31">
        <f>Lists!$C$3</f>
        <v>1</v>
      </c>
      <c r="AS111" s="50"/>
    </row>
    <row r="112" spans="2:81" ht="14" hidden="1" customHeight="1" outlineLevel="1" x14ac:dyDescent="0.3">
      <c r="C112" s="57" t="s">
        <v>939</v>
      </c>
      <c r="D112" s="57" t="s">
        <v>0</v>
      </c>
      <c r="E112" s="57" t="s">
        <v>1</v>
      </c>
      <c r="F112" s="57" t="s">
        <v>2</v>
      </c>
      <c r="G112" s="57" t="s">
        <v>3</v>
      </c>
      <c r="H112" s="57" t="s">
        <v>4</v>
      </c>
      <c r="I112" s="57" t="s">
        <v>5</v>
      </c>
      <c r="J112" s="57" t="s">
        <v>1457</v>
      </c>
      <c r="K112" s="57" t="s">
        <v>1123</v>
      </c>
      <c r="M112" s="35"/>
      <c r="N112" s="57" t="s">
        <v>939</v>
      </c>
      <c r="O112" s="57" t="s">
        <v>0</v>
      </c>
      <c r="P112" s="57" t="s">
        <v>1</v>
      </c>
      <c r="Q112" s="57" t="s">
        <v>2</v>
      </c>
      <c r="R112" s="57" t="s">
        <v>3</v>
      </c>
      <c r="S112" s="57" t="s">
        <v>4</v>
      </c>
      <c r="T112" s="57" t="s">
        <v>5</v>
      </c>
      <c r="U112" s="57" t="s">
        <v>1457</v>
      </c>
      <c r="V112" s="57" t="s">
        <v>1123</v>
      </c>
      <c r="Y112" s="57" t="s">
        <v>939</v>
      </c>
      <c r="Z112" s="57" t="s">
        <v>0</v>
      </c>
      <c r="AA112" s="57" t="s">
        <v>1</v>
      </c>
      <c r="AB112" s="57" t="s">
        <v>2</v>
      </c>
      <c r="AC112" s="57" t="s">
        <v>3</v>
      </c>
      <c r="AD112" s="57" t="s">
        <v>4</v>
      </c>
      <c r="AE112" s="57" t="s">
        <v>5</v>
      </c>
      <c r="AF112" s="57" t="s">
        <v>1457</v>
      </c>
      <c r="AG112" s="57" t="s">
        <v>1123</v>
      </c>
      <c r="AJ112" s="57" t="s">
        <v>939</v>
      </c>
      <c r="AK112" s="57" t="s">
        <v>0</v>
      </c>
      <c r="AL112" s="57" t="s">
        <v>1</v>
      </c>
      <c r="AM112" s="57" t="s">
        <v>2</v>
      </c>
      <c r="AN112" s="57" t="s">
        <v>3</v>
      </c>
      <c r="AO112" s="57" t="s">
        <v>4</v>
      </c>
      <c r="AP112" s="57" t="s">
        <v>5</v>
      </c>
      <c r="AQ112" s="57" t="s">
        <v>1457</v>
      </c>
      <c r="AR112" s="57" t="s">
        <v>1123</v>
      </c>
    </row>
    <row r="113" spans="2:44" hidden="1" outlineLevel="1" x14ac:dyDescent="0.3">
      <c r="C113" s="52" t="s">
        <v>934</v>
      </c>
      <c r="D113" s="190">
        <f>D35*'Risk Charges'!D8</f>
        <v>0</v>
      </c>
      <c r="E113" s="190">
        <f>E35*'Risk Charges'!E8</f>
        <v>0</v>
      </c>
      <c r="F113" s="190">
        <f>F35*'Risk Charges'!F8</f>
        <v>0</v>
      </c>
      <c r="G113" s="190">
        <f>G35*'Risk Charges'!G8</f>
        <v>0</v>
      </c>
      <c r="H113" s="190">
        <f>H35*'Risk Charges'!H8</f>
        <v>0</v>
      </c>
      <c r="I113" s="190">
        <f>I35*'Risk Charges'!I8</f>
        <v>0</v>
      </c>
      <c r="J113" s="190">
        <f>J35*'Risk Charges'!J8</f>
        <v>0</v>
      </c>
      <c r="K113" s="190">
        <f>K35*'Risk Charges'!K8</f>
        <v>0</v>
      </c>
      <c r="L113" s="191"/>
      <c r="M113" s="191"/>
      <c r="N113" s="254" t="s">
        <v>934</v>
      </c>
      <c r="O113" s="190">
        <f>D35*'Risk Charges'!O8</f>
        <v>0</v>
      </c>
      <c r="P113" s="190">
        <f>E35*'Risk Charges'!P8</f>
        <v>0</v>
      </c>
      <c r="Q113" s="190">
        <f>F35*'Risk Charges'!Q8</f>
        <v>0</v>
      </c>
      <c r="R113" s="190">
        <f>G35*'Risk Charges'!R8</f>
        <v>0</v>
      </c>
      <c r="S113" s="190">
        <f>H35*'Risk Charges'!S8</f>
        <v>0</v>
      </c>
      <c r="T113" s="190">
        <f>I35*'Risk Charges'!T8</f>
        <v>0</v>
      </c>
      <c r="U113" s="190">
        <f>J35*'Risk Charges'!U8</f>
        <v>0</v>
      </c>
      <c r="V113" s="190">
        <f>K35*'Risk Charges'!V8</f>
        <v>0</v>
      </c>
      <c r="W113" s="191"/>
      <c r="X113" s="191"/>
      <c r="Y113" s="254" t="s">
        <v>934</v>
      </c>
      <c r="Z113" s="190">
        <f>D35*'Risk Charges'!Z8</f>
        <v>0</v>
      </c>
      <c r="AA113" s="190">
        <f>E35*'Risk Charges'!AA8</f>
        <v>0</v>
      </c>
      <c r="AB113" s="190">
        <f>F35*'Risk Charges'!AB8</f>
        <v>0</v>
      </c>
      <c r="AC113" s="190">
        <f>G35*'Risk Charges'!AC8</f>
        <v>0</v>
      </c>
      <c r="AD113" s="190">
        <f>H35*'Risk Charges'!AD8</f>
        <v>0</v>
      </c>
      <c r="AE113" s="190">
        <f>I35*'Risk Charges'!AE8</f>
        <v>0</v>
      </c>
      <c r="AF113" s="190">
        <f>J35*'Risk Charges'!AF8</f>
        <v>0</v>
      </c>
      <c r="AG113" s="190">
        <f>K35*'Risk Charges'!AG8</f>
        <v>0</v>
      </c>
      <c r="AH113" s="191"/>
      <c r="AI113" s="191"/>
      <c r="AJ113" s="254" t="s">
        <v>934</v>
      </c>
      <c r="AK113" s="190">
        <f>D35*'Risk Charges'!AK8</f>
        <v>0</v>
      </c>
      <c r="AL113" s="190">
        <f>E35*'Risk Charges'!AL8</f>
        <v>0</v>
      </c>
      <c r="AM113" s="190">
        <f>F35*'Risk Charges'!AM8</f>
        <v>0</v>
      </c>
      <c r="AN113" s="190">
        <f>G35*'Risk Charges'!AN8</f>
        <v>0</v>
      </c>
      <c r="AO113" s="190">
        <f>H35*'Risk Charges'!AO8</f>
        <v>0</v>
      </c>
      <c r="AP113" s="190">
        <f>I35*'Risk Charges'!AP8</f>
        <v>0</v>
      </c>
      <c r="AQ113" s="190">
        <f>J35*'Risk Charges'!AQ8</f>
        <v>0</v>
      </c>
      <c r="AR113" s="190">
        <f>K35*'Risk Charges'!AR8</f>
        <v>0</v>
      </c>
    </row>
    <row r="114" spans="2:44" hidden="1" outlineLevel="1" x14ac:dyDescent="0.3">
      <c r="C114" s="52" t="s">
        <v>935</v>
      </c>
      <c r="D114" s="190">
        <f>D36*'Risk Charges'!D9</f>
        <v>0</v>
      </c>
      <c r="E114" s="190">
        <f>E36*'Risk Charges'!E9</f>
        <v>0</v>
      </c>
      <c r="F114" s="190">
        <f>F36*'Risk Charges'!F9</f>
        <v>0</v>
      </c>
      <c r="G114" s="190">
        <f>G36*'Risk Charges'!G9</f>
        <v>0</v>
      </c>
      <c r="H114" s="190">
        <f>H36*'Risk Charges'!H9</f>
        <v>0</v>
      </c>
      <c r="I114" s="190">
        <f>I36*'Risk Charges'!I9</f>
        <v>0</v>
      </c>
      <c r="J114" s="190">
        <f>J36*'Risk Charges'!J9</f>
        <v>0</v>
      </c>
      <c r="K114" s="190">
        <f>K36*'Risk Charges'!K9</f>
        <v>0</v>
      </c>
      <c r="L114" s="191"/>
      <c r="M114" s="191"/>
      <c r="N114" s="254" t="s">
        <v>935</v>
      </c>
      <c r="O114" s="190">
        <f>D36*'Risk Charges'!O9</f>
        <v>0</v>
      </c>
      <c r="P114" s="190">
        <f>E36*'Risk Charges'!P9</f>
        <v>0</v>
      </c>
      <c r="Q114" s="190">
        <f>F36*'Risk Charges'!Q9</f>
        <v>0</v>
      </c>
      <c r="R114" s="190">
        <f>G36*'Risk Charges'!R9</f>
        <v>0</v>
      </c>
      <c r="S114" s="190">
        <f>H36*'Risk Charges'!S9</f>
        <v>0</v>
      </c>
      <c r="T114" s="190">
        <f>I36*'Risk Charges'!T9</f>
        <v>0</v>
      </c>
      <c r="U114" s="190">
        <f>J36*'Risk Charges'!U9</f>
        <v>0</v>
      </c>
      <c r="V114" s="190">
        <f>K36*'Risk Charges'!V9</f>
        <v>0</v>
      </c>
      <c r="W114" s="191"/>
      <c r="X114" s="191"/>
      <c r="Y114" s="254" t="s">
        <v>935</v>
      </c>
      <c r="Z114" s="190">
        <f>D36*'Risk Charges'!Z9</f>
        <v>0</v>
      </c>
      <c r="AA114" s="190">
        <f>E36*'Risk Charges'!AA9</f>
        <v>0</v>
      </c>
      <c r="AB114" s="190">
        <f>F36*'Risk Charges'!AB9</f>
        <v>0</v>
      </c>
      <c r="AC114" s="190">
        <f>G36*'Risk Charges'!AC9</f>
        <v>0</v>
      </c>
      <c r="AD114" s="190">
        <f>H36*'Risk Charges'!AD9</f>
        <v>0</v>
      </c>
      <c r="AE114" s="190">
        <f>I36*'Risk Charges'!AE9</f>
        <v>0</v>
      </c>
      <c r="AF114" s="190">
        <f>J36*'Risk Charges'!AF9</f>
        <v>0</v>
      </c>
      <c r="AG114" s="190">
        <f>K36*'Risk Charges'!AG9</f>
        <v>0</v>
      </c>
      <c r="AH114" s="191"/>
      <c r="AI114" s="191"/>
      <c r="AJ114" s="254" t="s">
        <v>935</v>
      </c>
      <c r="AK114" s="190">
        <f>D36*'Risk Charges'!AK9</f>
        <v>0</v>
      </c>
      <c r="AL114" s="190">
        <f>E36*'Risk Charges'!AL9</f>
        <v>0</v>
      </c>
      <c r="AM114" s="190">
        <f>F36*'Risk Charges'!AM9</f>
        <v>0</v>
      </c>
      <c r="AN114" s="190">
        <f>G36*'Risk Charges'!AN9</f>
        <v>0</v>
      </c>
      <c r="AO114" s="190">
        <f>H36*'Risk Charges'!AO9</f>
        <v>0</v>
      </c>
      <c r="AP114" s="190">
        <f>I36*'Risk Charges'!AP9</f>
        <v>0</v>
      </c>
      <c r="AQ114" s="190">
        <f>J36*'Risk Charges'!AQ9</f>
        <v>0</v>
      </c>
      <c r="AR114" s="190">
        <f>K36*'Risk Charges'!AR9</f>
        <v>0</v>
      </c>
    </row>
    <row r="115" spans="2:44" hidden="1" outlineLevel="1" x14ac:dyDescent="0.3">
      <c r="C115" s="52" t="s">
        <v>936</v>
      </c>
      <c r="D115" s="190">
        <f>D37*'Risk Charges'!D10</f>
        <v>0</v>
      </c>
      <c r="E115" s="190">
        <f>E37*'Risk Charges'!E10</f>
        <v>0</v>
      </c>
      <c r="F115" s="190">
        <f>F37*'Risk Charges'!F10</f>
        <v>0</v>
      </c>
      <c r="G115" s="190">
        <f>G37*'Risk Charges'!G10</f>
        <v>0</v>
      </c>
      <c r="H115" s="190">
        <f>H37*'Risk Charges'!H10</f>
        <v>0</v>
      </c>
      <c r="I115" s="190">
        <f>I37*'Risk Charges'!I10</f>
        <v>0</v>
      </c>
      <c r="J115" s="190">
        <f>J37*'Risk Charges'!J10</f>
        <v>0</v>
      </c>
      <c r="K115" s="190">
        <f>K37*'Risk Charges'!K10</f>
        <v>0</v>
      </c>
      <c r="L115" s="191"/>
      <c r="M115" s="191"/>
      <c r="N115" s="254" t="s">
        <v>936</v>
      </c>
      <c r="O115" s="190">
        <f>D37*'Risk Charges'!O10</f>
        <v>0</v>
      </c>
      <c r="P115" s="190">
        <f>E37*'Risk Charges'!P10</f>
        <v>0</v>
      </c>
      <c r="Q115" s="190">
        <f>F37*'Risk Charges'!Q10</f>
        <v>0</v>
      </c>
      <c r="R115" s="190">
        <f>G37*'Risk Charges'!R10</f>
        <v>0</v>
      </c>
      <c r="S115" s="190">
        <f>H37*'Risk Charges'!S10</f>
        <v>0</v>
      </c>
      <c r="T115" s="190">
        <f>I37*'Risk Charges'!T10</f>
        <v>0</v>
      </c>
      <c r="U115" s="190">
        <f>J37*'Risk Charges'!U10</f>
        <v>0</v>
      </c>
      <c r="V115" s="190">
        <f>K37*'Risk Charges'!V10</f>
        <v>0</v>
      </c>
      <c r="W115" s="191"/>
      <c r="X115" s="191"/>
      <c r="Y115" s="254" t="s">
        <v>936</v>
      </c>
      <c r="Z115" s="190">
        <f>D37*'Risk Charges'!Z10</f>
        <v>0</v>
      </c>
      <c r="AA115" s="190">
        <f>E37*'Risk Charges'!AA10</f>
        <v>0</v>
      </c>
      <c r="AB115" s="190">
        <f>F37*'Risk Charges'!AB10</f>
        <v>0</v>
      </c>
      <c r="AC115" s="190">
        <f>G37*'Risk Charges'!AC10</f>
        <v>0</v>
      </c>
      <c r="AD115" s="190">
        <f>H37*'Risk Charges'!AD10</f>
        <v>0</v>
      </c>
      <c r="AE115" s="190">
        <f>I37*'Risk Charges'!AE10</f>
        <v>0</v>
      </c>
      <c r="AF115" s="190">
        <f>J37*'Risk Charges'!AF10</f>
        <v>0</v>
      </c>
      <c r="AG115" s="190">
        <f>K37*'Risk Charges'!AG10</f>
        <v>0</v>
      </c>
      <c r="AH115" s="191"/>
      <c r="AI115" s="191"/>
      <c r="AJ115" s="254" t="s">
        <v>936</v>
      </c>
      <c r="AK115" s="190">
        <f>D37*'Risk Charges'!AK10</f>
        <v>0</v>
      </c>
      <c r="AL115" s="190">
        <f>E37*'Risk Charges'!AL10</f>
        <v>0</v>
      </c>
      <c r="AM115" s="190">
        <f>F37*'Risk Charges'!AM10</f>
        <v>0</v>
      </c>
      <c r="AN115" s="190">
        <f>G37*'Risk Charges'!AN10</f>
        <v>0</v>
      </c>
      <c r="AO115" s="190">
        <f>H37*'Risk Charges'!AO10</f>
        <v>0</v>
      </c>
      <c r="AP115" s="190">
        <f>I37*'Risk Charges'!AP10</f>
        <v>0</v>
      </c>
      <c r="AQ115" s="190">
        <f>J37*'Risk Charges'!AQ10</f>
        <v>0</v>
      </c>
      <c r="AR115" s="190">
        <f>K37*'Risk Charges'!AR10</f>
        <v>0</v>
      </c>
    </row>
    <row r="116" spans="2:44" hidden="1" outlineLevel="1" x14ac:dyDescent="0.3">
      <c r="C116" s="52" t="s">
        <v>937</v>
      </c>
      <c r="D116" s="190">
        <f>D38*'Risk Charges'!D11</f>
        <v>0</v>
      </c>
      <c r="E116" s="190">
        <f>E38*'Risk Charges'!E11</f>
        <v>0</v>
      </c>
      <c r="F116" s="190">
        <f>F38*'Risk Charges'!F11</f>
        <v>0</v>
      </c>
      <c r="G116" s="190">
        <f>G38*'Risk Charges'!G11</f>
        <v>0</v>
      </c>
      <c r="H116" s="190">
        <f>H38*'Risk Charges'!H11</f>
        <v>0</v>
      </c>
      <c r="I116" s="190">
        <f>I38*'Risk Charges'!I11</f>
        <v>0</v>
      </c>
      <c r="J116" s="190">
        <f>J38*'Risk Charges'!J11</f>
        <v>0</v>
      </c>
      <c r="K116" s="190">
        <f>K38*'Risk Charges'!K11</f>
        <v>0</v>
      </c>
      <c r="L116" s="191"/>
      <c r="M116" s="191"/>
      <c r="N116" s="254" t="s">
        <v>937</v>
      </c>
      <c r="O116" s="190">
        <f>D38*'Risk Charges'!O11</f>
        <v>0</v>
      </c>
      <c r="P116" s="190">
        <f>E38*'Risk Charges'!P11</f>
        <v>0</v>
      </c>
      <c r="Q116" s="190">
        <f>F38*'Risk Charges'!Q11</f>
        <v>0</v>
      </c>
      <c r="R116" s="190">
        <f>G38*'Risk Charges'!R11</f>
        <v>0</v>
      </c>
      <c r="S116" s="190">
        <f>H38*'Risk Charges'!S11</f>
        <v>0</v>
      </c>
      <c r="T116" s="190">
        <f>I38*'Risk Charges'!T11</f>
        <v>0</v>
      </c>
      <c r="U116" s="190">
        <f>J38*'Risk Charges'!U11</f>
        <v>0</v>
      </c>
      <c r="V116" s="190">
        <f>K38*'Risk Charges'!V11</f>
        <v>0</v>
      </c>
      <c r="W116" s="191"/>
      <c r="X116" s="191"/>
      <c r="Y116" s="254" t="s">
        <v>937</v>
      </c>
      <c r="Z116" s="190">
        <f>D38*'Risk Charges'!Z11</f>
        <v>0</v>
      </c>
      <c r="AA116" s="190">
        <f>E38*'Risk Charges'!AA11</f>
        <v>0</v>
      </c>
      <c r="AB116" s="190">
        <f>F38*'Risk Charges'!AB11</f>
        <v>0</v>
      </c>
      <c r="AC116" s="190">
        <f>G38*'Risk Charges'!AC11</f>
        <v>0</v>
      </c>
      <c r="AD116" s="190">
        <f>H38*'Risk Charges'!AD11</f>
        <v>0</v>
      </c>
      <c r="AE116" s="190">
        <f>I38*'Risk Charges'!AE11</f>
        <v>0</v>
      </c>
      <c r="AF116" s="190">
        <f>J38*'Risk Charges'!AF11</f>
        <v>0</v>
      </c>
      <c r="AG116" s="190">
        <f>K38*'Risk Charges'!AG11</f>
        <v>0</v>
      </c>
      <c r="AH116" s="191"/>
      <c r="AI116" s="191"/>
      <c r="AJ116" s="254" t="s">
        <v>937</v>
      </c>
      <c r="AK116" s="190">
        <f>D38*'Risk Charges'!AK11</f>
        <v>0</v>
      </c>
      <c r="AL116" s="190">
        <f>E38*'Risk Charges'!AL11</f>
        <v>0</v>
      </c>
      <c r="AM116" s="190">
        <f>F38*'Risk Charges'!AM11</f>
        <v>0</v>
      </c>
      <c r="AN116" s="190">
        <f>G38*'Risk Charges'!AN11</f>
        <v>0</v>
      </c>
      <c r="AO116" s="190">
        <f>H38*'Risk Charges'!AO11</f>
        <v>0</v>
      </c>
      <c r="AP116" s="190">
        <f>I38*'Risk Charges'!AP11</f>
        <v>0</v>
      </c>
      <c r="AQ116" s="190">
        <f>J38*'Risk Charges'!AQ11</f>
        <v>0</v>
      </c>
      <c r="AR116" s="190">
        <f>K38*'Risk Charges'!AR11</f>
        <v>0</v>
      </c>
    </row>
    <row r="117" spans="2:44" hidden="1" outlineLevel="1" x14ac:dyDescent="0.3">
      <c r="C117" s="52" t="s">
        <v>938</v>
      </c>
      <c r="D117" s="190">
        <f>D39*'Risk Charges'!D12</f>
        <v>0</v>
      </c>
      <c r="E117" s="190">
        <f>E39*'Risk Charges'!E12</f>
        <v>0</v>
      </c>
      <c r="F117" s="190">
        <f>F39*'Risk Charges'!F12</f>
        <v>0</v>
      </c>
      <c r="G117" s="190">
        <f>G39*'Risk Charges'!G12</f>
        <v>0</v>
      </c>
      <c r="H117" s="190">
        <f>H39*'Risk Charges'!H12</f>
        <v>0</v>
      </c>
      <c r="I117" s="190">
        <f>I39*'Risk Charges'!I12</f>
        <v>0</v>
      </c>
      <c r="J117" s="190">
        <f>J39*'Risk Charges'!J12</f>
        <v>0</v>
      </c>
      <c r="K117" s="190">
        <f>K39*'Risk Charges'!K12</f>
        <v>0</v>
      </c>
      <c r="L117" s="191"/>
      <c r="M117" s="191"/>
      <c r="N117" s="254" t="s">
        <v>938</v>
      </c>
      <c r="O117" s="190">
        <f>D39*'Risk Charges'!O12</f>
        <v>0</v>
      </c>
      <c r="P117" s="190">
        <f>E39*'Risk Charges'!P12</f>
        <v>0</v>
      </c>
      <c r="Q117" s="190">
        <f>F39*'Risk Charges'!Q12</f>
        <v>0</v>
      </c>
      <c r="R117" s="190">
        <f>G39*'Risk Charges'!R12</f>
        <v>0</v>
      </c>
      <c r="S117" s="190">
        <f>H39*'Risk Charges'!S12</f>
        <v>0</v>
      </c>
      <c r="T117" s="190">
        <f>I39*'Risk Charges'!T12</f>
        <v>0</v>
      </c>
      <c r="U117" s="190">
        <f>J39*'Risk Charges'!U12</f>
        <v>0</v>
      </c>
      <c r="V117" s="190">
        <f>K39*'Risk Charges'!V12</f>
        <v>0</v>
      </c>
      <c r="W117" s="191"/>
      <c r="X117" s="191"/>
      <c r="Y117" s="254" t="s">
        <v>938</v>
      </c>
      <c r="Z117" s="190">
        <f>D39*'Risk Charges'!Z12</f>
        <v>0</v>
      </c>
      <c r="AA117" s="190">
        <f>E39*'Risk Charges'!AA12</f>
        <v>0</v>
      </c>
      <c r="AB117" s="190">
        <f>F39*'Risk Charges'!AB12</f>
        <v>0</v>
      </c>
      <c r="AC117" s="190">
        <f>G39*'Risk Charges'!AC12</f>
        <v>0</v>
      </c>
      <c r="AD117" s="190">
        <f>H39*'Risk Charges'!AD12</f>
        <v>0</v>
      </c>
      <c r="AE117" s="190">
        <f>I39*'Risk Charges'!AE12</f>
        <v>0</v>
      </c>
      <c r="AF117" s="190">
        <f>J39*'Risk Charges'!AF12</f>
        <v>0</v>
      </c>
      <c r="AG117" s="190">
        <f>K39*'Risk Charges'!AG12</f>
        <v>0</v>
      </c>
      <c r="AH117" s="191"/>
      <c r="AI117" s="191"/>
      <c r="AJ117" s="254" t="s">
        <v>938</v>
      </c>
      <c r="AK117" s="190">
        <f>D39*'Risk Charges'!AK12</f>
        <v>0</v>
      </c>
      <c r="AL117" s="190">
        <f>E39*'Risk Charges'!AL12</f>
        <v>0</v>
      </c>
      <c r="AM117" s="190">
        <f>F39*'Risk Charges'!AM12</f>
        <v>0</v>
      </c>
      <c r="AN117" s="190">
        <f>G39*'Risk Charges'!AN12</f>
        <v>0</v>
      </c>
      <c r="AO117" s="190">
        <f>H39*'Risk Charges'!AO12</f>
        <v>0</v>
      </c>
      <c r="AP117" s="190">
        <f>I39*'Risk Charges'!AP12</f>
        <v>0</v>
      </c>
      <c r="AQ117" s="190">
        <f>J39*'Risk Charges'!AQ12</f>
        <v>0</v>
      </c>
      <c r="AR117" s="190">
        <f>K39*'Risk Charges'!AR12</f>
        <v>0</v>
      </c>
    </row>
    <row r="118" spans="2:44" hidden="1" outlineLevel="1" x14ac:dyDescent="0.3">
      <c r="C118" s="52" t="s">
        <v>6</v>
      </c>
      <c r="D118" s="192">
        <f>SUM(D113:K117)</f>
        <v>0</v>
      </c>
      <c r="E118" s="191"/>
      <c r="F118" s="191"/>
      <c r="G118" s="191"/>
      <c r="H118" s="191"/>
      <c r="I118" s="191"/>
      <c r="J118" s="191"/>
      <c r="K118" s="191"/>
      <c r="L118" s="191"/>
      <c r="M118" s="191"/>
      <c r="N118" s="254" t="s">
        <v>6</v>
      </c>
      <c r="O118" s="192">
        <f>SUM(O113:V117)</f>
        <v>0</v>
      </c>
      <c r="P118" s="191"/>
      <c r="Q118" s="191"/>
      <c r="R118" s="191"/>
      <c r="S118" s="191"/>
      <c r="T118" s="191"/>
      <c r="U118" s="191"/>
      <c r="V118" s="191"/>
      <c r="W118" s="191"/>
      <c r="X118" s="191"/>
      <c r="Y118" s="254" t="s">
        <v>6</v>
      </c>
      <c r="Z118" s="192">
        <f>SUM(Z113:AG117)</f>
        <v>0</v>
      </c>
      <c r="AA118" s="191"/>
      <c r="AB118" s="191"/>
      <c r="AC118" s="191"/>
      <c r="AD118" s="191"/>
      <c r="AE118" s="191"/>
      <c r="AF118" s="191"/>
      <c r="AG118" s="191"/>
      <c r="AH118" s="191"/>
      <c r="AI118" s="191"/>
      <c r="AJ118" s="254" t="s">
        <v>6</v>
      </c>
      <c r="AK118" s="192">
        <f>SUM(AK113:AR117)</f>
        <v>0</v>
      </c>
      <c r="AL118" s="191"/>
      <c r="AM118" s="191"/>
      <c r="AN118" s="191"/>
      <c r="AO118" s="191"/>
      <c r="AP118" s="191"/>
      <c r="AQ118" s="191"/>
      <c r="AR118" s="191"/>
    </row>
    <row r="119" spans="2:44" hidden="1" outlineLevel="1" x14ac:dyDescent="0.3">
      <c r="C119" s="52"/>
      <c r="D119" s="60"/>
      <c r="E119" s="108"/>
      <c r="F119" s="108"/>
      <c r="G119" s="108"/>
      <c r="H119" s="108"/>
      <c r="I119" s="108"/>
      <c r="J119" s="108"/>
      <c r="K119" s="108"/>
      <c r="M119" s="35"/>
      <c r="N119" s="52"/>
      <c r="O119" s="60"/>
      <c r="P119" s="108"/>
      <c r="Q119" s="108"/>
      <c r="R119" s="108"/>
      <c r="S119" s="108"/>
      <c r="T119" s="108"/>
      <c r="U119" s="108"/>
      <c r="V119" s="108"/>
      <c r="Y119" s="52"/>
      <c r="Z119" s="60"/>
      <c r="AA119" s="108"/>
      <c r="AB119" s="108"/>
      <c r="AC119" s="108"/>
      <c r="AD119" s="108"/>
      <c r="AE119" s="108"/>
      <c r="AF119" s="108"/>
      <c r="AG119" s="108"/>
      <c r="AH119" s="108"/>
      <c r="AI119" s="108"/>
      <c r="AJ119" s="256"/>
      <c r="AK119" s="60"/>
      <c r="AL119" s="108"/>
      <c r="AM119" s="108"/>
      <c r="AN119" s="108"/>
      <c r="AO119" s="108"/>
      <c r="AP119" s="108"/>
      <c r="AQ119" s="108"/>
      <c r="AR119" s="108"/>
    </row>
    <row r="120" spans="2:44" hidden="1" outlineLevel="1" x14ac:dyDescent="0.3">
      <c r="B120" s="88"/>
      <c r="C120" s="52" t="s">
        <v>2101</v>
      </c>
      <c r="D120" s="31">
        <f>Lists!$C$4</f>
        <v>2</v>
      </c>
      <c r="E120" s="108"/>
      <c r="F120" s="108"/>
      <c r="G120" s="108"/>
      <c r="H120" s="108"/>
      <c r="I120" s="108"/>
      <c r="J120" s="108"/>
      <c r="K120" s="108"/>
      <c r="M120" s="88"/>
      <c r="N120" s="52" t="s">
        <v>2101</v>
      </c>
      <c r="O120" s="31">
        <f>Lists!$C$4</f>
        <v>2</v>
      </c>
      <c r="P120" s="108"/>
      <c r="Q120" s="108"/>
      <c r="R120" s="108"/>
      <c r="S120" s="108"/>
      <c r="T120" s="108"/>
      <c r="U120" s="108"/>
      <c r="V120" s="108"/>
      <c r="X120" s="88"/>
      <c r="Z120" s="52" t="s">
        <v>2101</v>
      </c>
      <c r="AA120" s="31">
        <f>Lists!$C$4</f>
        <v>2</v>
      </c>
      <c r="AB120" s="108"/>
      <c r="AC120" s="108"/>
      <c r="AD120" s="108"/>
      <c r="AE120" s="108"/>
      <c r="AF120" s="108"/>
      <c r="AG120" s="108"/>
      <c r="AH120" s="108"/>
      <c r="AI120" s="88"/>
      <c r="AJ120" s="52" t="s">
        <v>2101</v>
      </c>
      <c r="AK120" s="31">
        <f>Lists!$C$4</f>
        <v>2</v>
      </c>
      <c r="AL120" s="108"/>
      <c r="AM120" s="108"/>
      <c r="AN120" s="108"/>
      <c r="AO120" s="108"/>
      <c r="AP120" s="108"/>
      <c r="AQ120" s="108"/>
      <c r="AR120" s="108"/>
    </row>
    <row r="121" spans="2:44" ht="14" hidden="1" customHeight="1" outlineLevel="1" x14ac:dyDescent="0.3">
      <c r="C121" s="57" t="s">
        <v>939</v>
      </c>
      <c r="D121" s="675" t="s">
        <v>0</v>
      </c>
      <c r="E121" s="675" t="s">
        <v>1</v>
      </c>
      <c r="F121" s="675" t="s">
        <v>2</v>
      </c>
      <c r="G121" s="675" t="s">
        <v>3</v>
      </c>
      <c r="H121" s="675" t="s">
        <v>4</v>
      </c>
      <c r="I121" s="675" t="s">
        <v>5</v>
      </c>
      <c r="J121" s="675" t="s">
        <v>1457</v>
      </c>
      <c r="K121" s="57" t="s">
        <v>1123</v>
      </c>
      <c r="M121" s="35"/>
      <c r="N121" s="57" t="s">
        <v>939</v>
      </c>
      <c r="O121" s="675" t="s">
        <v>0</v>
      </c>
      <c r="P121" s="675" t="s">
        <v>1</v>
      </c>
      <c r="Q121" s="675" t="s">
        <v>2</v>
      </c>
      <c r="R121" s="675" t="s">
        <v>3</v>
      </c>
      <c r="S121" s="675" t="s">
        <v>4</v>
      </c>
      <c r="T121" s="675" t="s">
        <v>5</v>
      </c>
      <c r="U121" s="675" t="s">
        <v>1457</v>
      </c>
      <c r="V121" s="57" t="s">
        <v>1123</v>
      </c>
      <c r="Y121" s="57" t="s">
        <v>939</v>
      </c>
      <c r="Z121" s="675" t="s">
        <v>0</v>
      </c>
      <c r="AA121" s="675" t="s">
        <v>1</v>
      </c>
      <c r="AB121" s="675" t="s">
        <v>2</v>
      </c>
      <c r="AC121" s="675" t="s">
        <v>3</v>
      </c>
      <c r="AD121" s="675" t="s">
        <v>4</v>
      </c>
      <c r="AE121" s="675" t="s">
        <v>5</v>
      </c>
      <c r="AF121" s="675" t="s">
        <v>1457</v>
      </c>
      <c r="AG121" s="57" t="s">
        <v>1123</v>
      </c>
      <c r="AH121" s="108"/>
      <c r="AJ121" s="675" t="s">
        <v>939</v>
      </c>
      <c r="AK121" s="675" t="s">
        <v>0</v>
      </c>
      <c r="AL121" s="675" t="s">
        <v>1</v>
      </c>
      <c r="AM121" s="675" t="s">
        <v>2</v>
      </c>
      <c r="AN121" s="675" t="s">
        <v>3</v>
      </c>
      <c r="AO121" s="675" t="s">
        <v>4</v>
      </c>
      <c r="AP121" s="675" t="s">
        <v>5</v>
      </c>
      <c r="AQ121" s="675" t="s">
        <v>1457</v>
      </c>
      <c r="AR121" s="57" t="s">
        <v>1123</v>
      </c>
    </row>
    <row r="122" spans="2:44" hidden="1" outlineLevel="1" x14ac:dyDescent="0.3">
      <c r="C122" s="52" t="s">
        <v>934</v>
      </c>
      <c r="D122" s="190">
        <f>D44*'Risk Charges'!D16</f>
        <v>0</v>
      </c>
      <c r="E122" s="190">
        <f>E44*'Risk Charges'!E16</f>
        <v>0</v>
      </c>
      <c r="F122" s="190">
        <f>F44*'Risk Charges'!F16</f>
        <v>0</v>
      </c>
      <c r="G122" s="190">
        <f>G44*'Risk Charges'!G16</f>
        <v>0</v>
      </c>
      <c r="H122" s="190">
        <f>H44*'Risk Charges'!H16</f>
        <v>0</v>
      </c>
      <c r="I122" s="190">
        <f>I44*'Risk Charges'!I16</f>
        <v>0</v>
      </c>
      <c r="J122" s="190">
        <f>J44*'Risk Charges'!J16</f>
        <v>0</v>
      </c>
      <c r="K122" s="190">
        <f>K44*'Risk Charges'!K16</f>
        <v>0</v>
      </c>
      <c r="L122" s="191"/>
      <c r="M122" s="191"/>
      <c r="N122" s="254" t="s">
        <v>934</v>
      </c>
      <c r="O122" s="190">
        <f>D44*'Risk Charges'!O16</f>
        <v>0</v>
      </c>
      <c r="P122" s="190">
        <f>E44*'Risk Charges'!P16</f>
        <v>0</v>
      </c>
      <c r="Q122" s="190">
        <f>F44*'Risk Charges'!Q16</f>
        <v>0</v>
      </c>
      <c r="R122" s="190">
        <f>G44*'Risk Charges'!R16</f>
        <v>0</v>
      </c>
      <c r="S122" s="190">
        <f>H44*'Risk Charges'!S16</f>
        <v>0</v>
      </c>
      <c r="T122" s="190">
        <f>I44*'Risk Charges'!T16</f>
        <v>0</v>
      </c>
      <c r="U122" s="190">
        <f>J44*'Risk Charges'!U16</f>
        <v>0</v>
      </c>
      <c r="V122" s="190">
        <f>K44*'Risk Charges'!V16</f>
        <v>0</v>
      </c>
      <c r="W122" s="191"/>
      <c r="X122" s="191"/>
      <c r="Y122" s="254" t="s">
        <v>934</v>
      </c>
      <c r="Z122" s="190">
        <f>D44*'Risk Charges'!Z16</f>
        <v>0</v>
      </c>
      <c r="AA122" s="190">
        <f>E44*'Risk Charges'!AA16</f>
        <v>0</v>
      </c>
      <c r="AB122" s="190">
        <f>F44*'Risk Charges'!AB16</f>
        <v>0</v>
      </c>
      <c r="AC122" s="190">
        <f>G44*'Risk Charges'!AC16</f>
        <v>0</v>
      </c>
      <c r="AD122" s="190">
        <f>H44*'Risk Charges'!AD16</f>
        <v>0</v>
      </c>
      <c r="AE122" s="190">
        <f>I44*'Risk Charges'!AE16</f>
        <v>0</v>
      </c>
      <c r="AF122" s="190">
        <f>J44*'Risk Charges'!AF16</f>
        <v>0</v>
      </c>
      <c r="AG122" s="190">
        <f>K44*'Risk Charges'!AG16</f>
        <v>0</v>
      </c>
      <c r="AH122" s="191"/>
      <c r="AI122" s="191"/>
      <c r="AJ122" s="254" t="s">
        <v>934</v>
      </c>
      <c r="AK122" s="190">
        <f>D44*'Risk Charges'!AK16</f>
        <v>0</v>
      </c>
      <c r="AL122" s="190">
        <f>E44*'Risk Charges'!AL16</f>
        <v>0</v>
      </c>
      <c r="AM122" s="190">
        <f>F44*'Risk Charges'!AM16</f>
        <v>0</v>
      </c>
      <c r="AN122" s="190">
        <f>G44*'Risk Charges'!AN16</f>
        <v>0</v>
      </c>
      <c r="AO122" s="190">
        <f>H44*'Risk Charges'!AO16</f>
        <v>0</v>
      </c>
      <c r="AP122" s="190">
        <f>I44*'Risk Charges'!AP16</f>
        <v>0</v>
      </c>
      <c r="AQ122" s="190">
        <f>J44*'Risk Charges'!AQ16</f>
        <v>0</v>
      </c>
      <c r="AR122" s="190">
        <f>K44*'Risk Charges'!AR16</f>
        <v>0</v>
      </c>
    </row>
    <row r="123" spans="2:44" hidden="1" outlineLevel="1" x14ac:dyDescent="0.3">
      <c r="C123" s="52" t="s">
        <v>935</v>
      </c>
      <c r="D123" s="190">
        <f>D45*'Risk Charges'!D17</f>
        <v>0</v>
      </c>
      <c r="E123" s="190">
        <f>E45*'Risk Charges'!E17</f>
        <v>0</v>
      </c>
      <c r="F123" s="190">
        <f>F45*'Risk Charges'!F17</f>
        <v>0</v>
      </c>
      <c r="G123" s="190">
        <f>G45*'Risk Charges'!G17</f>
        <v>0</v>
      </c>
      <c r="H123" s="190">
        <f>H45*'Risk Charges'!H17</f>
        <v>0</v>
      </c>
      <c r="I123" s="190">
        <f>I45*'Risk Charges'!I17</f>
        <v>0</v>
      </c>
      <c r="J123" s="190">
        <f>J45*'Risk Charges'!J17</f>
        <v>0</v>
      </c>
      <c r="K123" s="190">
        <f>K45*'Risk Charges'!K17</f>
        <v>0</v>
      </c>
      <c r="L123" s="191"/>
      <c r="M123" s="191"/>
      <c r="N123" s="254" t="s">
        <v>935</v>
      </c>
      <c r="O123" s="190">
        <f>D45*'Risk Charges'!O17</f>
        <v>0</v>
      </c>
      <c r="P123" s="190">
        <f>E45*'Risk Charges'!P17</f>
        <v>0</v>
      </c>
      <c r="Q123" s="190">
        <f>F45*'Risk Charges'!Q17</f>
        <v>0</v>
      </c>
      <c r="R123" s="190">
        <f>G45*'Risk Charges'!R17</f>
        <v>0</v>
      </c>
      <c r="S123" s="190">
        <f>H45*'Risk Charges'!S17</f>
        <v>0</v>
      </c>
      <c r="T123" s="190">
        <f>I45*'Risk Charges'!T17</f>
        <v>0</v>
      </c>
      <c r="U123" s="190">
        <f>J45*'Risk Charges'!U17</f>
        <v>0</v>
      </c>
      <c r="V123" s="190">
        <f>K45*'Risk Charges'!V17</f>
        <v>0</v>
      </c>
      <c r="W123" s="191"/>
      <c r="X123" s="191"/>
      <c r="Y123" s="254" t="s">
        <v>935</v>
      </c>
      <c r="Z123" s="190">
        <f>D45*'Risk Charges'!Z17</f>
        <v>0</v>
      </c>
      <c r="AA123" s="190">
        <f>E45*'Risk Charges'!AA17</f>
        <v>0</v>
      </c>
      <c r="AB123" s="190">
        <f>F45*'Risk Charges'!AB17</f>
        <v>0</v>
      </c>
      <c r="AC123" s="190">
        <f>G45*'Risk Charges'!AC17</f>
        <v>0</v>
      </c>
      <c r="AD123" s="190">
        <f>H45*'Risk Charges'!AD17</f>
        <v>0</v>
      </c>
      <c r="AE123" s="190">
        <f>I45*'Risk Charges'!AE17</f>
        <v>0</v>
      </c>
      <c r="AF123" s="190">
        <f>J45*'Risk Charges'!AF17</f>
        <v>0</v>
      </c>
      <c r="AG123" s="190">
        <f>K45*'Risk Charges'!AG17</f>
        <v>0</v>
      </c>
      <c r="AH123" s="191"/>
      <c r="AI123" s="191"/>
      <c r="AJ123" s="254" t="s">
        <v>935</v>
      </c>
      <c r="AK123" s="190">
        <f>D45*'Risk Charges'!AK17</f>
        <v>0</v>
      </c>
      <c r="AL123" s="190">
        <f>E45*'Risk Charges'!AL17</f>
        <v>0</v>
      </c>
      <c r="AM123" s="190">
        <f>F45*'Risk Charges'!AM17</f>
        <v>0</v>
      </c>
      <c r="AN123" s="190">
        <f>G45*'Risk Charges'!AN17</f>
        <v>0</v>
      </c>
      <c r="AO123" s="190">
        <f>H45*'Risk Charges'!AO17</f>
        <v>0</v>
      </c>
      <c r="AP123" s="190">
        <f>I45*'Risk Charges'!AP17</f>
        <v>0</v>
      </c>
      <c r="AQ123" s="190">
        <f>J45*'Risk Charges'!AQ17</f>
        <v>0</v>
      </c>
      <c r="AR123" s="190">
        <f>K45*'Risk Charges'!AR17</f>
        <v>0</v>
      </c>
    </row>
    <row r="124" spans="2:44" hidden="1" outlineLevel="1" x14ac:dyDescent="0.3">
      <c r="C124" s="52" t="s">
        <v>936</v>
      </c>
      <c r="D124" s="190">
        <f>D46*'Risk Charges'!D18</f>
        <v>0</v>
      </c>
      <c r="E124" s="190">
        <f>E46*'Risk Charges'!E18</f>
        <v>0</v>
      </c>
      <c r="F124" s="190">
        <f>F46*'Risk Charges'!F18</f>
        <v>0</v>
      </c>
      <c r="G124" s="190">
        <f>G46*'Risk Charges'!G18</f>
        <v>0</v>
      </c>
      <c r="H124" s="190">
        <f>H46*'Risk Charges'!H18</f>
        <v>0</v>
      </c>
      <c r="I124" s="190">
        <f>I46*'Risk Charges'!I18</f>
        <v>0</v>
      </c>
      <c r="J124" s="190">
        <f>J46*'Risk Charges'!J18</f>
        <v>0</v>
      </c>
      <c r="K124" s="190">
        <f>K46*'Risk Charges'!K18</f>
        <v>0</v>
      </c>
      <c r="L124" s="191"/>
      <c r="M124" s="191"/>
      <c r="N124" s="254" t="s">
        <v>936</v>
      </c>
      <c r="O124" s="190">
        <f>D46*'Risk Charges'!O18</f>
        <v>0</v>
      </c>
      <c r="P124" s="190">
        <f>E46*'Risk Charges'!P18</f>
        <v>0</v>
      </c>
      <c r="Q124" s="190">
        <f>F46*'Risk Charges'!Q18</f>
        <v>0</v>
      </c>
      <c r="R124" s="190">
        <f>G46*'Risk Charges'!R18</f>
        <v>0</v>
      </c>
      <c r="S124" s="190">
        <f>H46*'Risk Charges'!S18</f>
        <v>0</v>
      </c>
      <c r="T124" s="190">
        <f>I46*'Risk Charges'!T18</f>
        <v>0</v>
      </c>
      <c r="U124" s="190">
        <f>J46*'Risk Charges'!U18</f>
        <v>0</v>
      </c>
      <c r="V124" s="190">
        <f>K46*'Risk Charges'!V18</f>
        <v>0</v>
      </c>
      <c r="W124" s="191"/>
      <c r="X124" s="191"/>
      <c r="Y124" s="254" t="s">
        <v>936</v>
      </c>
      <c r="Z124" s="190">
        <f>D46*'Risk Charges'!Z18</f>
        <v>0</v>
      </c>
      <c r="AA124" s="190">
        <f>E46*'Risk Charges'!AA18</f>
        <v>0</v>
      </c>
      <c r="AB124" s="190">
        <f>F46*'Risk Charges'!AB18</f>
        <v>0</v>
      </c>
      <c r="AC124" s="190">
        <f>G46*'Risk Charges'!AC18</f>
        <v>0</v>
      </c>
      <c r="AD124" s="190">
        <f>H46*'Risk Charges'!AD18</f>
        <v>0</v>
      </c>
      <c r="AE124" s="190">
        <f>I46*'Risk Charges'!AE18</f>
        <v>0</v>
      </c>
      <c r="AF124" s="190">
        <f>J46*'Risk Charges'!AF18</f>
        <v>0</v>
      </c>
      <c r="AG124" s="190">
        <f>K46*'Risk Charges'!AG18</f>
        <v>0</v>
      </c>
      <c r="AH124" s="191"/>
      <c r="AI124" s="191"/>
      <c r="AJ124" s="254" t="s">
        <v>936</v>
      </c>
      <c r="AK124" s="190">
        <f>D46*'Risk Charges'!AK18</f>
        <v>0</v>
      </c>
      <c r="AL124" s="190">
        <f>E46*'Risk Charges'!AL18</f>
        <v>0</v>
      </c>
      <c r="AM124" s="190">
        <f>F46*'Risk Charges'!AM18</f>
        <v>0</v>
      </c>
      <c r="AN124" s="190">
        <f>G46*'Risk Charges'!AN18</f>
        <v>0</v>
      </c>
      <c r="AO124" s="190">
        <f>H46*'Risk Charges'!AO18</f>
        <v>0</v>
      </c>
      <c r="AP124" s="190">
        <f>I46*'Risk Charges'!AP18</f>
        <v>0</v>
      </c>
      <c r="AQ124" s="190">
        <f>J46*'Risk Charges'!AQ18</f>
        <v>0</v>
      </c>
      <c r="AR124" s="190">
        <f>K46*'Risk Charges'!AR18</f>
        <v>0</v>
      </c>
    </row>
    <row r="125" spans="2:44" hidden="1" outlineLevel="1" x14ac:dyDescent="0.3">
      <c r="C125" s="52" t="s">
        <v>937</v>
      </c>
      <c r="D125" s="190">
        <f>D47*'Risk Charges'!D19</f>
        <v>0</v>
      </c>
      <c r="E125" s="190">
        <f>E47*'Risk Charges'!E19</f>
        <v>0</v>
      </c>
      <c r="F125" s="190">
        <f>F47*'Risk Charges'!F19</f>
        <v>0</v>
      </c>
      <c r="G125" s="190">
        <f>G47*'Risk Charges'!G19</f>
        <v>0</v>
      </c>
      <c r="H125" s="190">
        <f>H47*'Risk Charges'!H19</f>
        <v>0</v>
      </c>
      <c r="I125" s="190">
        <f>I47*'Risk Charges'!I19</f>
        <v>0</v>
      </c>
      <c r="J125" s="190">
        <f>J47*'Risk Charges'!J19</f>
        <v>0</v>
      </c>
      <c r="K125" s="190">
        <f>K47*'Risk Charges'!K19</f>
        <v>0</v>
      </c>
      <c r="L125" s="191"/>
      <c r="M125" s="191"/>
      <c r="N125" s="254" t="s">
        <v>937</v>
      </c>
      <c r="O125" s="190">
        <f>D47*'Risk Charges'!O19</f>
        <v>0</v>
      </c>
      <c r="P125" s="190">
        <f>E47*'Risk Charges'!P19</f>
        <v>0</v>
      </c>
      <c r="Q125" s="190">
        <f>F47*'Risk Charges'!Q19</f>
        <v>0</v>
      </c>
      <c r="R125" s="190">
        <f>G47*'Risk Charges'!R19</f>
        <v>0</v>
      </c>
      <c r="S125" s="190">
        <f>H47*'Risk Charges'!S19</f>
        <v>0</v>
      </c>
      <c r="T125" s="190">
        <f>I47*'Risk Charges'!T19</f>
        <v>0</v>
      </c>
      <c r="U125" s="190">
        <f>J47*'Risk Charges'!U19</f>
        <v>0</v>
      </c>
      <c r="V125" s="190">
        <f>K47*'Risk Charges'!V19</f>
        <v>0</v>
      </c>
      <c r="W125" s="191"/>
      <c r="X125" s="191"/>
      <c r="Y125" s="254" t="s">
        <v>937</v>
      </c>
      <c r="Z125" s="190">
        <f>D47*'Risk Charges'!Z19</f>
        <v>0</v>
      </c>
      <c r="AA125" s="190">
        <f>E47*'Risk Charges'!AA19</f>
        <v>0</v>
      </c>
      <c r="AB125" s="190">
        <f>F47*'Risk Charges'!AB19</f>
        <v>0</v>
      </c>
      <c r="AC125" s="190">
        <f>G47*'Risk Charges'!AC19</f>
        <v>0</v>
      </c>
      <c r="AD125" s="190">
        <f>H47*'Risk Charges'!AD19</f>
        <v>0</v>
      </c>
      <c r="AE125" s="190">
        <f>I47*'Risk Charges'!AE19</f>
        <v>0</v>
      </c>
      <c r="AF125" s="190">
        <f>J47*'Risk Charges'!AF19</f>
        <v>0</v>
      </c>
      <c r="AG125" s="190">
        <f>K47*'Risk Charges'!AG19</f>
        <v>0</v>
      </c>
      <c r="AH125" s="191"/>
      <c r="AI125" s="191"/>
      <c r="AJ125" s="254" t="s">
        <v>937</v>
      </c>
      <c r="AK125" s="190">
        <f>D47*'Risk Charges'!AK19</f>
        <v>0</v>
      </c>
      <c r="AL125" s="190">
        <f>E47*'Risk Charges'!AL19</f>
        <v>0</v>
      </c>
      <c r="AM125" s="190">
        <f>F47*'Risk Charges'!AM19</f>
        <v>0</v>
      </c>
      <c r="AN125" s="190">
        <f>G47*'Risk Charges'!AN19</f>
        <v>0</v>
      </c>
      <c r="AO125" s="190">
        <f>H47*'Risk Charges'!AO19</f>
        <v>0</v>
      </c>
      <c r="AP125" s="190">
        <f>I47*'Risk Charges'!AP19</f>
        <v>0</v>
      </c>
      <c r="AQ125" s="190">
        <f>J47*'Risk Charges'!AQ19</f>
        <v>0</v>
      </c>
      <c r="AR125" s="190">
        <f>K47*'Risk Charges'!AR19</f>
        <v>0</v>
      </c>
    </row>
    <row r="126" spans="2:44" hidden="1" outlineLevel="1" x14ac:dyDescent="0.3">
      <c r="C126" s="52" t="s">
        <v>938</v>
      </c>
      <c r="D126" s="190">
        <f>D48*'Risk Charges'!D20</f>
        <v>0</v>
      </c>
      <c r="E126" s="190">
        <f>E48*'Risk Charges'!E20</f>
        <v>0</v>
      </c>
      <c r="F126" s="190">
        <f>F48*'Risk Charges'!F20</f>
        <v>0</v>
      </c>
      <c r="G126" s="190">
        <f>G48*'Risk Charges'!G20</f>
        <v>0</v>
      </c>
      <c r="H126" s="190">
        <f>H48*'Risk Charges'!H20</f>
        <v>0</v>
      </c>
      <c r="I126" s="190">
        <f>I48*'Risk Charges'!I20</f>
        <v>0</v>
      </c>
      <c r="J126" s="190">
        <f>J48*'Risk Charges'!J20</f>
        <v>0</v>
      </c>
      <c r="K126" s="190">
        <f>K48*'Risk Charges'!K20</f>
        <v>0</v>
      </c>
      <c r="L126" s="191"/>
      <c r="M126" s="191"/>
      <c r="N126" s="254" t="s">
        <v>938</v>
      </c>
      <c r="O126" s="190">
        <f>D48*'Risk Charges'!O20</f>
        <v>0</v>
      </c>
      <c r="P126" s="190">
        <f>E48*'Risk Charges'!P20</f>
        <v>0</v>
      </c>
      <c r="Q126" s="190">
        <f>F48*'Risk Charges'!Q20</f>
        <v>0</v>
      </c>
      <c r="R126" s="190">
        <f>G48*'Risk Charges'!R20</f>
        <v>0</v>
      </c>
      <c r="S126" s="190">
        <f>H48*'Risk Charges'!S20</f>
        <v>0</v>
      </c>
      <c r="T126" s="190">
        <f>I48*'Risk Charges'!T20</f>
        <v>0</v>
      </c>
      <c r="U126" s="190">
        <f>J48*'Risk Charges'!U20</f>
        <v>0</v>
      </c>
      <c r="V126" s="190">
        <f>K48*'Risk Charges'!V20</f>
        <v>0</v>
      </c>
      <c r="W126" s="191"/>
      <c r="X126" s="191"/>
      <c r="Y126" s="254" t="s">
        <v>938</v>
      </c>
      <c r="Z126" s="190">
        <f>D48*'Risk Charges'!Z20</f>
        <v>0</v>
      </c>
      <c r="AA126" s="190">
        <f>E48*'Risk Charges'!AA20</f>
        <v>0</v>
      </c>
      <c r="AB126" s="190">
        <f>F48*'Risk Charges'!AB20</f>
        <v>0</v>
      </c>
      <c r="AC126" s="190">
        <f>G48*'Risk Charges'!AC20</f>
        <v>0</v>
      </c>
      <c r="AD126" s="190">
        <f>H48*'Risk Charges'!AD20</f>
        <v>0</v>
      </c>
      <c r="AE126" s="190">
        <f>I48*'Risk Charges'!AE20</f>
        <v>0</v>
      </c>
      <c r="AF126" s="190">
        <f>J48*'Risk Charges'!AF20</f>
        <v>0</v>
      </c>
      <c r="AG126" s="190">
        <f>K48*'Risk Charges'!AG20</f>
        <v>0</v>
      </c>
      <c r="AH126" s="191"/>
      <c r="AI126" s="191"/>
      <c r="AJ126" s="254" t="s">
        <v>938</v>
      </c>
      <c r="AK126" s="190">
        <f>D48*'Risk Charges'!AK20</f>
        <v>0</v>
      </c>
      <c r="AL126" s="190">
        <f>E48*'Risk Charges'!AL20</f>
        <v>0</v>
      </c>
      <c r="AM126" s="190">
        <f>F48*'Risk Charges'!AM20</f>
        <v>0</v>
      </c>
      <c r="AN126" s="190">
        <f>G48*'Risk Charges'!AN20</f>
        <v>0</v>
      </c>
      <c r="AO126" s="190">
        <f>H48*'Risk Charges'!AO20</f>
        <v>0</v>
      </c>
      <c r="AP126" s="190">
        <f>I48*'Risk Charges'!AP20</f>
        <v>0</v>
      </c>
      <c r="AQ126" s="190">
        <f>J48*'Risk Charges'!AQ20</f>
        <v>0</v>
      </c>
      <c r="AR126" s="190">
        <f>K48*'Risk Charges'!AR20</f>
        <v>0</v>
      </c>
    </row>
    <row r="127" spans="2:44" hidden="1" outlineLevel="1" x14ac:dyDescent="0.3">
      <c r="C127" s="52" t="s">
        <v>6</v>
      </c>
      <c r="D127" s="192">
        <f>SUM(D122:K126)</f>
        <v>0</v>
      </c>
      <c r="E127" s="191"/>
      <c r="F127" s="191"/>
      <c r="G127" s="191"/>
      <c r="H127" s="191"/>
      <c r="I127" s="191"/>
      <c r="J127" s="191"/>
      <c r="K127" s="191"/>
      <c r="L127" s="191"/>
      <c r="M127" s="191"/>
      <c r="N127" s="254" t="s">
        <v>6</v>
      </c>
      <c r="O127" s="192">
        <f>SUM(O122:V126)</f>
        <v>0</v>
      </c>
      <c r="P127" s="191"/>
      <c r="Q127" s="191"/>
      <c r="R127" s="191"/>
      <c r="S127" s="191"/>
      <c r="T127" s="191"/>
      <c r="U127" s="191"/>
      <c r="V127" s="191"/>
      <c r="W127" s="191"/>
      <c r="X127" s="191"/>
      <c r="Y127" s="254" t="s">
        <v>6</v>
      </c>
      <c r="Z127" s="192">
        <f>SUM(Z122:AG126)</f>
        <v>0</v>
      </c>
      <c r="AA127" s="191"/>
      <c r="AB127" s="191"/>
      <c r="AC127" s="191"/>
      <c r="AD127" s="191"/>
      <c r="AE127" s="191"/>
      <c r="AF127" s="191"/>
      <c r="AG127" s="191"/>
      <c r="AH127" s="191"/>
      <c r="AI127" s="191"/>
      <c r="AJ127" s="254" t="s">
        <v>6</v>
      </c>
      <c r="AK127" s="192">
        <f>SUM(AK122:AR126)</f>
        <v>0</v>
      </c>
      <c r="AL127" s="191"/>
      <c r="AM127" s="191"/>
      <c r="AN127" s="191"/>
      <c r="AO127" s="191"/>
      <c r="AP127" s="191"/>
      <c r="AQ127" s="191"/>
      <c r="AR127" s="191"/>
    </row>
    <row r="128" spans="2:44" hidden="1" outlineLevel="1" x14ac:dyDescent="0.3">
      <c r="C128" s="52"/>
      <c r="D128" s="60"/>
      <c r="E128" s="108"/>
      <c r="F128" s="108"/>
      <c r="G128" s="108"/>
      <c r="H128" s="108"/>
      <c r="I128" s="108"/>
      <c r="J128" s="108"/>
      <c r="K128" s="108"/>
      <c r="M128" s="35"/>
      <c r="N128" s="52"/>
      <c r="O128" s="60"/>
      <c r="P128" s="108"/>
      <c r="Q128" s="108"/>
      <c r="R128" s="108"/>
      <c r="S128" s="108"/>
      <c r="T128" s="108"/>
      <c r="U128" s="108"/>
      <c r="V128" s="108"/>
      <c r="Y128" s="52"/>
      <c r="Z128" s="60"/>
      <c r="AA128" s="108"/>
      <c r="AB128" s="108"/>
      <c r="AC128" s="108"/>
      <c r="AD128" s="108"/>
      <c r="AE128" s="108"/>
      <c r="AF128" s="108"/>
      <c r="AG128" s="108"/>
      <c r="AH128" s="108"/>
      <c r="AI128" s="108"/>
      <c r="AJ128" s="256"/>
      <c r="AK128" s="60"/>
      <c r="AL128" s="108"/>
      <c r="AM128" s="108"/>
      <c r="AN128" s="108"/>
      <c r="AO128" s="108"/>
      <c r="AP128" s="108"/>
      <c r="AQ128" s="108"/>
      <c r="AR128" s="108"/>
    </row>
    <row r="129" spans="2:44" hidden="1" outlineLevel="1" x14ac:dyDescent="0.3">
      <c r="B129" s="88"/>
      <c r="C129" s="52" t="s">
        <v>2101</v>
      </c>
      <c r="D129" s="31">
        <f>Lists!$C$5</f>
        <v>3</v>
      </c>
      <c r="E129" s="108"/>
      <c r="F129" s="108"/>
      <c r="G129" s="108"/>
      <c r="H129" s="108"/>
      <c r="I129" s="108"/>
      <c r="J129" s="108"/>
      <c r="K129" s="108"/>
      <c r="M129" s="88"/>
      <c r="N129" s="52" t="s">
        <v>2101</v>
      </c>
      <c r="O129" s="31">
        <f>Lists!$C$5</f>
        <v>3</v>
      </c>
      <c r="P129" s="108"/>
      <c r="Q129" s="108"/>
      <c r="R129" s="108"/>
      <c r="S129" s="108"/>
      <c r="T129" s="108"/>
      <c r="U129" s="108"/>
      <c r="V129" s="108"/>
      <c r="X129" s="88"/>
      <c r="Y129" s="52" t="s">
        <v>2101</v>
      </c>
      <c r="Z129" s="31">
        <f>Lists!$C$5</f>
        <v>3</v>
      </c>
      <c r="AA129" s="108"/>
      <c r="AB129" s="108"/>
      <c r="AC129" s="108"/>
      <c r="AD129" s="108"/>
      <c r="AE129" s="108"/>
      <c r="AF129" s="108"/>
      <c r="AG129" s="108"/>
      <c r="AH129" s="108"/>
      <c r="AI129" s="88"/>
      <c r="AJ129" s="52" t="s">
        <v>2101</v>
      </c>
      <c r="AK129" s="31">
        <f>Lists!$C$5</f>
        <v>3</v>
      </c>
      <c r="AL129" s="108"/>
      <c r="AM129" s="108"/>
      <c r="AN129" s="108"/>
      <c r="AO129" s="108"/>
      <c r="AP129" s="108"/>
      <c r="AQ129" s="108"/>
      <c r="AR129" s="108"/>
    </row>
    <row r="130" spans="2:44" ht="14" hidden="1" customHeight="1" outlineLevel="1" x14ac:dyDescent="0.3">
      <c r="C130" s="57" t="s">
        <v>939</v>
      </c>
      <c r="D130" s="675" t="s">
        <v>0</v>
      </c>
      <c r="E130" s="675" t="s">
        <v>1</v>
      </c>
      <c r="F130" s="675" t="s">
        <v>2</v>
      </c>
      <c r="G130" s="675" t="s">
        <v>3</v>
      </c>
      <c r="H130" s="675" t="s">
        <v>4</v>
      </c>
      <c r="I130" s="675" t="s">
        <v>5</v>
      </c>
      <c r="J130" s="675" t="s">
        <v>1457</v>
      </c>
      <c r="K130" s="57" t="s">
        <v>1123</v>
      </c>
      <c r="M130" s="35"/>
      <c r="N130" s="57" t="s">
        <v>939</v>
      </c>
      <c r="O130" s="675" t="s">
        <v>0</v>
      </c>
      <c r="P130" s="675" t="s">
        <v>1</v>
      </c>
      <c r="Q130" s="675" t="s">
        <v>2</v>
      </c>
      <c r="R130" s="675" t="s">
        <v>3</v>
      </c>
      <c r="S130" s="675" t="s">
        <v>4</v>
      </c>
      <c r="T130" s="675" t="s">
        <v>5</v>
      </c>
      <c r="U130" s="675" t="s">
        <v>1457</v>
      </c>
      <c r="V130" s="57" t="s">
        <v>1123</v>
      </c>
      <c r="Y130" s="57" t="s">
        <v>939</v>
      </c>
      <c r="Z130" s="675" t="s">
        <v>0</v>
      </c>
      <c r="AA130" s="675" t="s">
        <v>1</v>
      </c>
      <c r="AB130" s="675" t="s">
        <v>2</v>
      </c>
      <c r="AC130" s="675" t="s">
        <v>3</v>
      </c>
      <c r="AD130" s="675" t="s">
        <v>4</v>
      </c>
      <c r="AE130" s="675" t="s">
        <v>5</v>
      </c>
      <c r="AF130" s="675" t="s">
        <v>1457</v>
      </c>
      <c r="AG130" s="57" t="s">
        <v>1123</v>
      </c>
      <c r="AH130" s="108"/>
      <c r="AJ130" s="675" t="s">
        <v>939</v>
      </c>
      <c r="AK130" s="675" t="s">
        <v>0</v>
      </c>
      <c r="AL130" s="675" t="s">
        <v>1</v>
      </c>
      <c r="AM130" s="675" t="s">
        <v>2</v>
      </c>
      <c r="AN130" s="675" t="s">
        <v>3</v>
      </c>
      <c r="AO130" s="675" t="s">
        <v>4</v>
      </c>
      <c r="AP130" s="675" t="s">
        <v>5</v>
      </c>
      <c r="AQ130" s="675" t="s">
        <v>1457</v>
      </c>
      <c r="AR130" s="57" t="s">
        <v>1123</v>
      </c>
    </row>
    <row r="131" spans="2:44" hidden="1" outlineLevel="1" x14ac:dyDescent="0.3">
      <c r="C131" s="52" t="s">
        <v>934</v>
      </c>
      <c r="D131" s="190">
        <f>D53*'Risk Charges'!D24</f>
        <v>0</v>
      </c>
      <c r="E131" s="190">
        <f>E53*'Risk Charges'!E24</f>
        <v>0</v>
      </c>
      <c r="F131" s="190">
        <f>F53*'Risk Charges'!F24</f>
        <v>0</v>
      </c>
      <c r="G131" s="190">
        <f>G53*'Risk Charges'!G24</f>
        <v>0</v>
      </c>
      <c r="H131" s="190">
        <f>H53*'Risk Charges'!H24</f>
        <v>0</v>
      </c>
      <c r="I131" s="190">
        <f>I53*'Risk Charges'!I24</f>
        <v>0</v>
      </c>
      <c r="J131" s="190">
        <f>J53*'Risk Charges'!J24</f>
        <v>0</v>
      </c>
      <c r="K131" s="190">
        <f>K53*'Risk Charges'!K24</f>
        <v>0</v>
      </c>
      <c r="L131" s="191"/>
      <c r="M131" s="191"/>
      <c r="N131" s="254" t="s">
        <v>934</v>
      </c>
      <c r="O131" s="190">
        <f>D53*'Risk Charges'!O24</f>
        <v>0</v>
      </c>
      <c r="P131" s="190">
        <f>E53*'Risk Charges'!P24</f>
        <v>0</v>
      </c>
      <c r="Q131" s="190">
        <f>F53*'Risk Charges'!Q24</f>
        <v>0</v>
      </c>
      <c r="R131" s="190">
        <f>G53*'Risk Charges'!R24</f>
        <v>0</v>
      </c>
      <c r="S131" s="190">
        <f>H53*'Risk Charges'!S24</f>
        <v>0</v>
      </c>
      <c r="T131" s="190">
        <f>I53*'Risk Charges'!T24</f>
        <v>0</v>
      </c>
      <c r="U131" s="190">
        <f>J53*'Risk Charges'!U24</f>
        <v>0</v>
      </c>
      <c r="V131" s="190">
        <f>K53*'Risk Charges'!V24</f>
        <v>0</v>
      </c>
      <c r="W131" s="191"/>
      <c r="X131" s="191"/>
      <c r="Y131" s="254" t="s">
        <v>934</v>
      </c>
      <c r="Z131" s="190">
        <f>D53*'Risk Charges'!Z24</f>
        <v>0</v>
      </c>
      <c r="AA131" s="190">
        <f>E53*'Risk Charges'!AA24</f>
        <v>0</v>
      </c>
      <c r="AB131" s="190">
        <f>F53*'Risk Charges'!AB24</f>
        <v>0</v>
      </c>
      <c r="AC131" s="190">
        <f>G53*'Risk Charges'!AC24</f>
        <v>0</v>
      </c>
      <c r="AD131" s="190">
        <f>H53*'Risk Charges'!AD24</f>
        <v>0</v>
      </c>
      <c r="AE131" s="190">
        <f>I53*'Risk Charges'!AE24</f>
        <v>0</v>
      </c>
      <c r="AF131" s="190">
        <f>J53*'Risk Charges'!AF24</f>
        <v>0</v>
      </c>
      <c r="AG131" s="190">
        <f>K53*'Risk Charges'!AG24</f>
        <v>0</v>
      </c>
      <c r="AH131" s="191"/>
      <c r="AI131" s="191"/>
      <c r="AJ131" s="254" t="s">
        <v>934</v>
      </c>
      <c r="AK131" s="190">
        <f>D53*'Risk Charges'!AK24</f>
        <v>0</v>
      </c>
      <c r="AL131" s="190">
        <f>E53*'Risk Charges'!AL24</f>
        <v>0</v>
      </c>
      <c r="AM131" s="190">
        <f>F53*'Risk Charges'!AM24</f>
        <v>0</v>
      </c>
      <c r="AN131" s="190">
        <f>G53*'Risk Charges'!AN24</f>
        <v>0</v>
      </c>
      <c r="AO131" s="190">
        <f>H53*'Risk Charges'!AO24</f>
        <v>0</v>
      </c>
      <c r="AP131" s="190">
        <f>I53*'Risk Charges'!AP24</f>
        <v>0</v>
      </c>
      <c r="AQ131" s="190">
        <f>J53*'Risk Charges'!AQ24</f>
        <v>0</v>
      </c>
      <c r="AR131" s="190">
        <f>K53*'Risk Charges'!AR24</f>
        <v>0</v>
      </c>
    </row>
    <row r="132" spans="2:44" hidden="1" outlineLevel="1" x14ac:dyDescent="0.3">
      <c r="C132" s="52" t="s">
        <v>935</v>
      </c>
      <c r="D132" s="190">
        <f>D54*'Risk Charges'!D25</f>
        <v>0</v>
      </c>
      <c r="E132" s="190">
        <f>E54*'Risk Charges'!E25</f>
        <v>0</v>
      </c>
      <c r="F132" s="190">
        <f>F54*'Risk Charges'!F25</f>
        <v>0</v>
      </c>
      <c r="G132" s="190">
        <f>G54*'Risk Charges'!G25</f>
        <v>0</v>
      </c>
      <c r="H132" s="190">
        <f>H54*'Risk Charges'!H25</f>
        <v>0</v>
      </c>
      <c r="I132" s="190">
        <f>I54*'Risk Charges'!I25</f>
        <v>0</v>
      </c>
      <c r="J132" s="190">
        <f>J54*'Risk Charges'!J25</f>
        <v>0</v>
      </c>
      <c r="K132" s="190">
        <f>K54*'Risk Charges'!K25</f>
        <v>0</v>
      </c>
      <c r="L132" s="191"/>
      <c r="M132" s="191"/>
      <c r="N132" s="254" t="s">
        <v>935</v>
      </c>
      <c r="O132" s="190">
        <f>D54*'Risk Charges'!O25</f>
        <v>0</v>
      </c>
      <c r="P132" s="190">
        <f>E54*'Risk Charges'!P25</f>
        <v>0</v>
      </c>
      <c r="Q132" s="190">
        <f>F54*'Risk Charges'!Q25</f>
        <v>0</v>
      </c>
      <c r="R132" s="190">
        <f>G54*'Risk Charges'!R25</f>
        <v>0</v>
      </c>
      <c r="S132" s="190">
        <f>H54*'Risk Charges'!S25</f>
        <v>0</v>
      </c>
      <c r="T132" s="190">
        <f>I54*'Risk Charges'!T25</f>
        <v>0</v>
      </c>
      <c r="U132" s="190">
        <f>J54*'Risk Charges'!U25</f>
        <v>0</v>
      </c>
      <c r="V132" s="190">
        <f>K54*'Risk Charges'!V25</f>
        <v>0</v>
      </c>
      <c r="W132" s="191"/>
      <c r="X132" s="191"/>
      <c r="Y132" s="254" t="s">
        <v>935</v>
      </c>
      <c r="Z132" s="190">
        <f>D54*'Risk Charges'!Z25</f>
        <v>0</v>
      </c>
      <c r="AA132" s="190">
        <f>E54*'Risk Charges'!AA25</f>
        <v>0</v>
      </c>
      <c r="AB132" s="190">
        <f>F54*'Risk Charges'!AB25</f>
        <v>0</v>
      </c>
      <c r="AC132" s="190">
        <f>G54*'Risk Charges'!AC25</f>
        <v>0</v>
      </c>
      <c r="AD132" s="190">
        <f>H54*'Risk Charges'!AD25</f>
        <v>0</v>
      </c>
      <c r="AE132" s="190">
        <f>I54*'Risk Charges'!AE25</f>
        <v>0</v>
      </c>
      <c r="AF132" s="190">
        <f>J54*'Risk Charges'!AF25</f>
        <v>0</v>
      </c>
      <c r="AG132" s="190">
        <f>K54*'Risk Charges'!AG25</f>
        <v>0</v>
      </c>
      <c r="AH132" s="191"/>
      <c r="AI132" s="191"/>
      <c r="AJ132" s="254" t="s">
        <v>935</v>
      </c>
      <c r="AK132" s="190">
        <f>D54*'Risk Charges'!AK25</f>
        <v>0</v>
      </c>
      <c r="AL132" s="190">
        <f>E54*'Risk Charges'!AL25</f>
        <v>0</v>
      </c>
      <c r="AM132" s="190">
        <f>F54*'Risk Charges'!AM25</f>
        <v>0</v>
      </c>
      <c r="AN132" s="190">
        <f>G54*'Risk Charges'!AN25</f>
        <v>0</v>
      </c>
      <c r="AO132" s="190">
        <f>H54*'Risk Charges'!AO25</f>
        <v>0</v>
      </c>
      <c r="AP132" s="190">
        <f>I54*'Risk Charges'!AP25</f>
        <v>0</v>
      </c>
      <c r="AQ132" s="190">
        <f>J54*'Risk Charges'!AQ25</f>
        <v>0</v>
      </c>
      <c r="AR132" s="190">
        <f>K54*'Risk Charges'!AR25</f>
        <v>0</v>
      </c>
    </row>
    <row r="133" spans="2:44" hidden="1" outlineLevel="1" x14ac:dyDescent="0.3">
      <c r="C133" s="52" t="s">
        <v>936</v>
      </c>
      <c r="D133" s="190">
        <f>D55*'Risk Charges'!D26</f>
        <v>0</v>
      </c>
      <c r="E133" s="190">
        <f>E55*'Risk Charges'!E26</f>
        <v>0</v>
      </c>
      <c r="F133" s="190">
        <f>F55*'Risk Charges'!F26</f>
        <v>0</v>
      </c>
      <c r="G133" s="190">
        <f>G55*'Risk Charges'!G26</f>
        <v>0</v>
      </c>
      <c r="H133" s="190">
        <f>H55*'Risk Charges'!H26</f>
        <v>0</v>
      </c>
      <c r="I133" s="190">
        <f>I55*'Risk Charges'!I26</f>
        <v>0</v>
      </c>
      <c r="J133" s="190">
        <f>J55*'Risk Charges'!J26</f>
        <v>0</v>
      </c>
      <c r="K133" s="190">
        <f>K55*'Risk Charges'!K26</f>
        <v>0</v>
      </c>
      <c r="L133" s="191"/>
      <c r="M133" s="191"/>
      <c r="N133" s="254" t="s">
        <v>936</v>
      </c>
      <c r="O133" s="190">
        <f>D55*'Risk Charges'!O26</f>
        <v>0</v>
      </c>
      <c r="P133" s="190">
        <f>E55*'Risk Charges'!P26</f>
        <v>0</v>
      </c>
      <c r="Q133" s="190">
        <f>F55*'Risk Charges'!Q26</f>
        <v>0</v>
      </c>
      <c r="R133" s="190">
        <f>G55*'Risk Charges'!R26</f>
        <v>0</v>
      </c>
      <c r="S133" s="190">
        <f>H55*'Risk Charges'!S26</f>
        <v>0</v>
      </c>
      <c r="T133" s="190">
        <f>I55*'Risk Charges'!T26</f>
        <v>0</v>
      </c>
      <c r="U133" s="190">
        <f>J55*'Risk Charges'!U26</f>
        <v>0</v>
      </c>
      <c r="V133" s="190">
        <f>K55*'Risk Charges'!V26</f>
        <v>0</v>
      </c>
      <c r="W133" s="191"/>
      <c r="X133" s="191"/>
      <c r="Y133" s="254" t="s">
        <v>936</v>
      </c>
      <c r="Z133" s="190">
        <f>D55*'Risk Charges'!Z26</f>
        <v>0</v>
      </c>
      <c r="AA133" s="190">
        <f>E55*'Risk Charges'!AA26</f>
        <v>0</v>
      </c>
      <c r="AB133" s="190">
        <f>F55*'Risk Charges'!AB26</f>
        <v>0</v>
      </c>
      <c r="AC133" s="190">
        <f>G55*'Risk Charges'!AC26</f>
        <v>0</v>
      </c>
      <c r="AD133" s="190">
        <f>H55*'Risk Charges'!AD26</f>
        <v>0</v>
      </c>
      <c r="AE133" s="190">
        <f>I55*'Risk Charges'!AE26</f>
        <v>0</v>
      </c>
      <c r="AF133" s="190">
        <f>J55*'Risk Charges'!AF26</f>
        <v>0</v>
      </c>
      <c r="AG133" s="190">
        <f>K55*'Risk Charges'!AG26</f>
        <v>0</v>
      </c>
      <c r="AH133" s="191"/>
      <c r="AI133" s="191"/>
      <c r="AJ133" s="254" t="s">
        <v>936</v>
      </c>
      <c r="AK133" s="190">
        <f>D55*'Risk Charges'!AK26</f>
        <v>0</v>
      </c>
      <c r="AL133" s="190">
        <f>E55*'Risk Charges'!AL26</f>
        <v>0</v>
      </c>
      <c r="AM133" s="190">
        <f>F55*'Risk Charges'!AM26</f>
        <v>0</v>
      </c>
      <c r="AN133" s="190">
        <f>G55*'Risk Charges'!AN26</f>
        <v>0</v>
      </c>
      <c r="AO133" s="190">
        <f>H55*'Risk Charges'!AO26</f>
        <v>0</v>
      </c>
      <c r="AP133" s="190">
        <f>I55*'Risk Charges'!AP26</f>
        <v>0</v>
      </c>
      <c r="AQ133" s="190">
        <f>J55*'Risk Charges'!AQ26</f>
        <v>0</v>
      </c>
      <c r="AR133" s="190">
        <f>K55*'Risk Charges'!AR26</f>
        <v>0</v>
      </c>
    </row>
    <row r="134" spans="2:44" hidden="1" outlineLevel="1" x14ac:dyDescent="0.3">
      <c r="C134" s="52" t="s">
        <v>937</v>
      </c>
      <c r="D134" s="190">
        <f>D56*'Risk Charges'!D27</f>
        <v>0</v>
      </c>
      <c r="E134" s="190">
        <f>E56*'Risk Charges'!E27</f>
        <v>0</v>
      </c>
      <c r="F134" s="190">
        <f>F56*'Risk Charges'!F27</f>
        <v>0</v>
      </c>
      <c r="G134" s="190">
        <f>G56*'Risk Charges'!G27</f>
        <v>0</v>
      </c>
      <c r="H134" s="190">
        <f>H56*'Risk Charges'!H27</f>
        <v>0</v>
      </c>
      <c r="I134" s="190">
        <f>I56*'Risk Charges'!I27</f>
        <v>0</v>
      </c>
      <c r="J134" s="190">
        <f>J56*'Risk Charges'!J27</f>
        <v>0</v>
      </c>
      <c r="K134" s="190">
        <f>K56*'Risk Charges'!K27</f>
        <v>0</v>
      </c>
      <c r="L134" s="191"/>
      <c r="M134" s="191"/>
      <c r="N134" s="254" t="s">
        <v>937</v>
      </c>
      <c r="O134" s="190">
        <f>D56*'Risk Charges'!O27</f>
        <v>0</v>
      </c>
      <c r="P134" s="190">
        <f>E56*'Risk Charges'!P27</f>
        <v>0</v>
      </c>
      <c r="Q134" s="190">
        <f>F56*'Risk Charges'!Q27</f>
        <v>0</v>
      </c>
      <c r="R134" s="190">
        <f>G56*'Risk Charges'!R27</f>
        <v>0</v>
      </c>
      <c r="S134" s="190">
        <f>H56*'Risk Charges'!S27</f>
        <v>0</v>
      </c>
      <c r="T134" s="190">
        <f>I56*'Risk Charges'!T27</f>
        <v>0</v>
      </c>
      <c r="U134" s="190">
        <f>J56*'Risk Charges'!U27</f>
        <v>0</v>
      </c>
      <c r="V134" s="190">
        <f>K56*'Risk Charges'!V27</f>
        <v>0</v>
      </c>
      <c r="W134" s="191"/>
      <c r="X134" s="191"/>
      <c r="Y134" s="254" t="s">
        <v>937</v>
      </c>
      <c r="Z134" s="190">
        <f>D56*'Risk Charges'!Z27</f>
        <v>0</v>
      </c>
      <c r="AA134" s="190">
        <f>E56*'Risk Charges'!AA27</f>
        <v>0</v>
      </c>
      <c r="AB134" s="190">
        <f>F56*'Risk Charges'!AB27</f>
        <v>0</v>
      </c>
      <c r="AC134" s="190">
        <f>G56*'Risk Charges'!AC27</f>
        <v>0</v>
      </c>
      <c r="AD134" s="190">
        <f>H56*'Risk Charges'!AD27</f>
        <v>0</v>
      </c>
      <c r="AE134" s="190">
        <f>I56*'Risk Charges'!AE27</f>
        <v>0</v>
      </c>
      <c r="AF134" s="190">
        <f>J56*'Risk Charges'!AF27</f>
        <v>0</v>
      </c>
      <c r="AG134" s="190">
        <f>K56*'Risk Charges'!AG27</f>
        <v>0</v>
      </c>
      <c r="AH134" s="191"/>
      <c r="AI134" s="191"/>
      <c r="AJ134" s="254" t="s">
        <v>937</v>
      </c>
      <c r="AK134" s="190">
        <f>D56*'Risk Charges'!AK27</f>
        <v>0</v>
      </c>
      <c r="AL134" s="190">
        <f>E56*'Risk Charges'!AL27</f>
        <v>0</v>
      </c>
      <c r="AM134" s="190">
        <f>F56*'Risk Charges'!AM27</f>
        <v>0</v>
      </c>
      <c r="AN134" s="190">
        <f>G56*'Risk Charges'!AN27</f>
        <v>0</v>
      </c>
      <c r="AO134" s="190">
        <f>H56*'Risk Charges'!AO27</f>
        <v>0</v>
      </c>
      <c r="AP134" s="190">
        <f>I56*'Risk Charges'!AP27</f>
        <v>0</v>
      </c>
      <c r="AQ134" s="190">
        <f>J56*'Risk Charges'!AQ27</f>
        <v>0</v>
      </c>
      <c r="AR134" s="190">
        <f>K56*'Risk Charges'!AR27</f>
        <v>0</v>
      </c>
    </row>
    <row r="135" spans="2:44" hidden="1" outlineLevel="1" x14ac:dyDescent="0.3">
      <c r="C135" s="52" t="s">
        <v>938</v>
      </c>
      <c r="D135" s="190">
        <f>D57*'Risk Charges'!D28</f>
        <v>0</v>
      </c>
      <c r="E135" s="190">
        <f>E57*'Risk Charges'!E28</f>
        <v>0</v>
      </c>
      <c r="F135" s="190">
        <f>F57*'Risk Charges'!F28</f>
        <v>0</v>
      </c>
      <c r="G135" s="190">
        <f>G57*'Risk Charges'!G28</f>
        <v>0</v>
      </c>
      <c r="H135" s="190">
        <f>H57*'Risk Charges'!H28</f>
        <v>0</v>
      </c>
      <c r="I135" s="190">
        <f>I57*'Risk Charges'!I28</f>
        <v>0</v>
      </c>
      <c r="J135" s="190">
        <f>J57*'Risk Charges'!J28</f>
        <v>0</v>
      </c>
      <c r="K135" s="190">
        <f>K57*'Risk Charges'!K28</f>
        <v>0</v>
      </c>
      <c r="L135" s="191"/>
      <c r="M135" s="191"/>
      <c r="N135" s="254" t="s">
        <v>938</v>
      </c>
      <c r="O135" s="190">
        <f>D57*'Risk Charges'!O28</f>
        <v>0</v>
      </c>
      <c r="P135" s="190">
        <f>E57*'Risk Charges'!P28</f>
        <v>0</v>
      </c>
      <c r="Q135" s="190">
        <f>F57*'Risk Charges'!Q28</f>
        <v>0</v>
      </c>
      <c r="R135" s="190">
        <f>G57*'Risk Charges'!R28</f>
        <v>0</v>
      </c>
      <c r="S135" s="190">
        <f>H57*'Risk Charges'!S28</f>
        <v>0</v>
      </c>
      <c r="T135" s="190">
        <f>I57*'Risk Charges'!T28</f>
        <v>0</v>
      </c>
      <c r="U135" s="190">
        <f>J57*'Risk Charges'!U28</f>
        <v>0</v>
      </c>
      <c r="V135" s="190">
        <f>K57*'Risk Charges'!V28</f>
        <v>0</v>
      </c>
      <c r="W135" s="191"/>
      <c r="X135" s="191"/>
      <c r="Y135" s="254" t="s">
        <v>938</v>
      </c>
      <c r="Z135" s="190">
        <f>D57*'Risk Charges'!Z28</f>
        <v>0</v>
      </c>
      <c r="AA135" s="190">
        <f>E57*'Risk Charges'!AA28</f>
        <v>0</v>
      </c>
      <c r="AB135" s="190">
        <f>F57*'Risk Charges'!AB28</f>
        <v>0</v>
      </c>
      <c r="AC135" s="190">
        <f>G57*'Risk Charges'!AC28</f>
        <v>0</v>
      </c>
      <c r="AD135" s="190">
        <f>H57*'Risk Charges'!AD28</f>
        <v>0</v>
      </c>
      <c r="AE135" s="190">
        <f>I57*'Risk Charges'!AE28</f>
        <v>0</v>
      </c>
      <c r="AF135" s="190">
        <f>J57*'Risk Charges'!AF28</f>
        <v>0</v>
      </c>
      <c r="AG135" s="190">
        <f>K57*'Risk Charges'!AG28</f>
        <v>0</v>
      </c>
      <c r="AH135" s="191"/>
      <c r="AI135" s="191"/>
      <c r="AJ135" s="254" t="s">
        <v>938</v>
      </c>
      <c r="AK135" s="190">
        <f>D57*'Risk Charges'!AK28</f>
        <v>0</v>
      </c>
      <c r="AL135" s="190">
        <f>E57*'Risk Charges'!AL28</f>
        <v>0</v>
      </c>
      <c r="AM135" s="190">
        <f>F57*'Risk Charges'!AM28</f>
        <v>0</v>
      </c>
      <c r="AN135" s="190">
        <f>G57*'Risk Charges'!AN28</f>
        <v>0</v>
      </c>
      <c r="AO135" s="190">
        <f>H57*'Risk Charges'!AO28</f>
        <v>0</v>
      </c>
      <c r="AP135" s="190">
        <f>I57*'Risk Charges'!AP28</f>
        <v>0</v>
      </c>
      <c r="AQ135" s="190">
        <f>J57*'Risk Charges'!AQ28</f>
        <v>0</v>
      </c>
      <c r="AR135" s="190">
        <f>K57*'Risk Charges'!AR28</f>
        <v>0</v>
      </c>
    </row>
    <row r="136" spans="2:44" hidden="1" outlineLevel="1" x14ac:dyDescent="0.3">
      <c r="C136" s="52" t="s">
        <v>6</v>
      </c>
      <c r="D136" s="192">
        <f>SUM(D131:K135)</f>
        <v>0</v>
      </c>
      <c r="E136" s="191"/>
      <c r="F136" s="191"/>
      <c r="G136" s="191"/>
      <c r="H136" s="191"/>
      <c r="I136" s="191"/>
      <c r="J136" s="191"/>
      <c r="K136" s="191"/>
      <c r="L136" s="191"/>
      <c r="M136" s="191"/>
      <c r="N136" s="254" t="s">
        <v>6</v>
      </c>
      <c r="O136" s="192">
        <f>SUM(O131:V135)</f>
        <v>0</v>
      </c>
      <c r="P136" s="191"/>
      <c r="Q136" s="191"/>
      <c r="R136" s="191"/>
      <c r="S136" s="191"/>
      <c r="T136" s="191"/>
      <c r="U136" s="191"/>
      <c r="V136" s="191"/>
      <c r="W136" s="191"/>
      <c r="X136" s="191"/>
      <c r="Y136" s="254" t="s">
        <v>6</v>
      </c>
      <c r="Z136" s="192">
        <f>SUM(Z131:AG135)</f>
        <v>0</v>
      </c>
      <c r="AA136" s="191"/>
      <c r="AB136" s="191"/>
      <c r="AC136" s="191"/>
      <c r="AD136" s="191"/>
      <c r="AE136" s="191"/>
      <c r="AF136" s="191"/>
      <c r="AG136" s="191"/>
      <c r="AH136" s="191"/>
      <c r="AI136" s="191"/>
      <c r="AJ136" s="254" t="s">
        <v>6</v>
      </c>
      <c r="AK136" s="192">
        <f>SUM(AK131:AR135)</f>
        <v>0</v>
      </c>
      <c r="AL136" s="191"/>
      <c r="AM136" s="191"/>
      <c r="AN136" s="191"/>
      <c r="AO136" s="191"/>
      <c r="AP136" s="191"/>
      <c r="AQ136" s="191"/>
      <c r="AR136" s="191"/>
    </row>
    <row r="137" spans="2:44" hidden="1" outlineLevel="1" x14ac:dyDescent="0.3"/>
    <row r="138" spans="2:44" hidden="1" outlineLevel="1" x14ac:dyDescent="0.3">
      <c r="B138" s="88"/>
      <c r="C138" s="52" t="s">
        <v>2101</v>
      </c>
      <c r="D138" s="31">
        <f>Lists!$C$6</f>
        <v>4</v>
      </c>
      <c r="E138" s="108"/>
      <c r="F138" s="108"/>
      <c r="G138" s="108"/>
      <c r="H138" s="108"/>
      <c r="I138" s="108"/>
      <c r="J138" s="108"/>
      <c r="K138" s="108"/>
      <c r="M138" s="88"/>
      <c r="N138" s="52" t="s">
        <v>2101</v>
      </c>
      <c r="O138" s="31">
        <f>Lists!$C$6</f>
        <v>4</v>
      </c>
      <c r="P138" s="108"/>
      <c r="Q138" s="108"/>
      <c r="R138" s="108"/>
      <c r="S138" s="108"/>
      <c r="T138" s="108"/>
      <c r="U138" s="108"/>
      <c r="V138" s="108"/>
      <c r="X138" s="88"/>
      <c r="Y138" s="52" t="s">
        <v>2101</v>
      </c>
      <c r="Z138" s="31">
        <f>Lists!$C$6</f>
        <v>4</v>
      </c>
      <c r="AA138" s="108"/>
      <c r="AB138" s="108"/>
      <c r="AC138" s="108"/>
      <c r="AD138" s="108"/>
      <c r="AE138" s="108"/>
      <c r="AF138" s="108"/>
      <c r="AG138" s="108"/>
      <c r="AH138" s="108"/>
      <c r="AI138" s="88"/>
      <c r="AJ138" s="52" t="s">
        <v>2101</v>
      </c>
      <c r="AK138" s="31">
        <f>Lists!$C$6</f>
        <v>4</v>
      </c>
      <c r="AL138" s="108"/>
      <c r="AM138" s="108"/>
      <c r="AN138" s="108"/>
      <c r="AO138" s="108"/>
      <c r="AP138" s="108"/>
      <c r="AQ138" s="108"/>
      <c r="AR138" s="108"/>
    </row>
    <row r="139" spans="2:44" ht="14" hidden="1" customHeight="1" outlineLevel="1" x14ac:dyDescent="0.3">
      <c r="C139" s="57" t="s">
        <v>939</v>
      </c>
      <c r="D139" s="675" t="s">
        <v>0</v>
      </c>
      <c r="E139" s="675" t="s">
        <v>1</v>
      </c>
      <c r="F139" s="675" t="s">
        <v>2</v>
      </c>
      <c r="G139" s="675" t="s">
        <v>3</v>
      </c>
      <c r="H139" s="675" t="s">
        <v>4</v>
      </c>
      <c r="I139" s="675" t="s">
        <v>5</v>
      </c>
      <c r="J139" s="675" t="s">
        <v>1457</v>
      </c>
      <c r="K139" s="57" t="s">
        <v>1123</v>
      </c>
      <c r="M139" s="35"/>
      <c r="N139" s="57" t="s">
        <v>939</v>
      </c>
      <c r="O139" s="675" t="s">
        <v>0</v>
      </c>
      <c r="P139" s="675" t="s">
        <v>1</v>
      </c>
      <c r="Q139" s="675" t="s">
        <v>2</v>
      </c>
      <c r="R139" s="675" t="s">
        <v>3</v>
      </c>
      <c r="S139" s="675" t="s">
        <v>4</v>
      </c>
      <c r="T139" s="675" t="s">
        <v>5</v>
      </c>
      <c r="U139" s="675" t="s">
        <v>1457</v>
      </c>
      <c r="V139" s="57" t="s">
        <v>1123</v>
      </c>
      <c r="Y139" s="57" t="s">
        <v>939</v>
      </c>
      <c r="Z139" s="675" t="s">
        <v>0</v>
      </c>
      <c r="AA139" s="675" t="s">
        <v>1</v>
      </c>
      <c r="AB139" s="675" t="s">
        <v>2</v>
      </c>
      <c r="AC139" s="675" t="s">
        <v>3</v>
      </c>
      <c r="AD139" s="675" t="s">
        <v>4</v>
      </c>
      <c r="AE139" s="675" t="s">
        <v>5</v>
      </c>
      <c r="AF139" s="675" t="s">
        <v>1457</v>
      </c>
      <c r="AG139" s="57" t="s">
        <v>1123</v>
      </c>
      <c r="AH139" s="108"/>
      <c r="AJ139" s="675" t="s">
        <v>939</v>
      </c>
      <c r="AK139" s="675" t="s">
        <v>0</v>
      </c>
      <c r="AL139" s="675" t="s">
        <v>1</v>
      </c>
      <c r="AM139" s="675" t="s">
        <v>2</v>
      </c>
      <c r="AN139" s="675" t="s">
        <v>3</v>
      </c>
      <c r="AO139" s="675" t="s">
        <v>4</v>
      </c>
      <c r="AP139" s="675" t="s">
        <v>5</v>
      </c>
      <c r="AQ139" s="675" t="s">
        <v>1457</v>
      </c>
      <c r="AR139" s="57" t="s">
        <v>1123</v>
      </c>
    </row>
    <row r="140" spans="2:44" hidden="1" outlineLevel="1" x14ac:dyDescent="0.3">
      <c r="C140" s="52" t="s">
        <v>934</v>
      </c>
      <c r="D140" s="190">
        <f>D62*'Risk Charges'!D32</f>
        <v>0</v>
      </c>
      <c r="E140" s="190">
        <f>E62*'Risk Charges'!E32</f>
        <v>0</v>
      </c>
      <c r="F140" s="190">
        <f>F62*'Risk Charges'!F32</f>
        <v>0</v>
      </c>
      <c r="G140" s="190">
        <f>G62*'Risk Charges'!G32</f>
        <v>0</v>
      </c>
      <c r="H140" s="190">
        <f>H62*'Risk Charges'!H32</f>
        <v>0</v>
      </c>
      <c r="I140" s="190">
        <f>I62*'Risk Charges'!I32</f>
        <v>0</v>
      </c>
      <c r="J140" s="190">
        <f>J62*'Risk Charges'!J32</f>
        <v>0</v>
      </c>
      <c r="K140" s="190">
        <f>K62*'Risk Charges'!K32</f>
        <v>0</v>
      </c>
      <c r="L140" s="191"/>
      <c r="M140" s="191"/>
      <c r="N140" s="254" t="s">
        <v>934</v>
      </c>
      <c r="O140" s="190">
        <f>D62*'Risk Charges'!O32</f>
        <v>0</v>
      </c>
      <c r="P140" s="190">
        <f>E62*'Risk Charges'!P32</f>
        <v>0</v>
      </c>
      <c r="Q140" s="190">
        <f>F62*'Risk Charges'!Q32</f>
        <v>0</v>
      </c>
      <c r="R140" s="190">
        <f>G62*'Risk Charges'!R32</f>
        <v>0</v>
      </c>
      <c r="S140" s="190">
        <f>H62*'Risk Charges'!S32</f>
        <v>0</v>
      </c>
      <c r="T140" s="190">
        <f>I62*'Risk Charges'!T32</f>
        <v>0</v>
      </c>
      <c r="U140" s="190">
        <f>J62*'Risk Charges'!U32</f>
        <v>0</v>
      </c>
      <c r="V140" s="190">
        <f>K62*'Risk Charges'!V32</f>
        <v>0</v>
      </c>
      <c r="W140" s="191"/>
      <c r="X140" s="191"/>
      <c r="Y140" s="254" t="s">
        <v>934</v>
      </c>
      <c r="Z140" s="190">
        <f>D62*'Risk Charges'!Z32</f>
        <v>0</v>
      </c>
      <c r="AA140" s="190">
        <f>E62*'Risk Charges'!AA32</f>
        <v>0</v>
      </c>
      <c r="AB140" s="190">
        <f>F62*'Risk Charges'!AB32</f>
        <v>0</v>
      </c>
      <c r="AC140" s="190">
        <f>G62*'Risk Charges'!AC32</f>
        <v>0</v>
      </c>
      <c r="AD140" s="190">
        <f>H62*'Risk Charges'!AD32</f>
        <v>0</v>
      </c>
      <c r="AE140" s="190">
        <f>I62*'Risk Charges'!AE32</f>
        <v>0</v>
      </c>
      <c r="AF140" s="190">
        <f>J62*'Risk Charges'!AF32</f>
        <v>0</v>
      </c>
      <c r="AG140" s="190">
        <f>K62*'Risk Charges'!AG32</f>
        <v>0</v>
      </c>
      <c r="AH140" s="191"/>
      <c r="AI140" s="191"/>
      <c r="AJ140" s="254" t="s">
        <v>934</v>
      </c>
      <c r="AK140" s="190">
        <f>D62*'Risk Charges'!AK32</f>
        <v>0</v>
      </c>
      <c r="AL140" s="190">
        <f>E62*'Risk Charges'!AL32</f>
        <v>0</v>
      </c>
      <c r="AM140" s="190">
        <f>F62*'Risk Charges'!AM32</f>
        <v>0</v>
      </c>
      <c r="AN140" s="190">
        <f>G62*'Risk Charges'!AN32</f>
        <v>0</v>
      </c>
      <c r="AO140" s="190">
        <f>H62*'Risk Charges'!AO32</f>
        <v>0</v>
      </c>
      <c r="AP140" s="190">
        <f>I62*'Risk Charges'!AP32</f>
        <v>0</v>
      </c>
      <c r="AQ140" s="190">
        <f>J62*'Risk Charges'!AQ32</f>
        <v>0</v>
      </c>
      <c r="AR140" s="190">
        <f>K62*'Risk Charges'!AR32</f>
        <v>0</v>
      </c>
    </row>
    <row r="141" spans="2:44" hidden="1" outlineLevel="1" x14ac:dyDescent="0.3">
      <c r="C141" s="52" t="s">
        <v>935</v>
      </c>
      <c r="D141" s="190">
        <f>D63*'Risk Charges'!D33</f>
        <v>0</v>
      </c>
      <c r="E141" s="190">
        <f>E63*'Risk Charges'!E33</f>
        <v>0</v>
      </c>
      <c r="F141" s="190">
        <f>F63*'Risk Charges'!F33</f>
        <v>0</v>
      </c>
      <c r="G141" s="190">
        <f>G63*'Risk Charges'!G33</f>
        <v>0</v>
      </c>
      <c r="H141" s="190">
        <f>H63*'Risk Charges'!H33</f>
        <v>0</v>
      </c>
      <c r="I141" s="190">
        <f>I63*'Risk Charges'!I33</f>
        <v>0</v>
      </c>
      <c r="J141" s="190">
        <f>J63*'Risk Charges'!J33</f>
        <v>0</v>
      </c>
      <c r="K141" s="190">
        <f>K63*'Risk Charges'!K33</f>
        <v>0</v>
      </c>
      <c r="L141" s="191"/>
      <c r="M141" s="191"/>
      <c r="N141" s="254" t="s">
        <v>935</v>
      </c>
      <c r="O141" s="190">
        <f>D63*'Risk Charges'!O33</f>
        <v>0</v>
      </c>
      <c r="P141" s="190">
        <f>E63*'Risk Charges'!P33</f>
        <v>0</v>
      </c>
      <c r="Q141" s="190">
        <f>F63*'Risk Charges'!Q33</f>
        <v>0</v>
      </c>
      <c r="R141" s="190">
        <f>G63*'Risk Charges'!R33</f>
        <v>0</v>
      </c>
      <c r="S141" s="190">
        <f>H63*'Risk Charges'!S33</f>
        <v>0</v>
      </c>
      <c r="T141" s="190">
        <f>I63*'Risk Charges'!T33</f>
        <v>0</v>
      </c>
      <c r="U141" s="190">
        <f>J63*'Risk Charges'!U33</f>
        <v>0</v>
      </c>
      <c r="V141" s="190">
        <f>K63*'Risk Charges'!V33</f>
        <v>0</v>
      </c>
      <c r="W141" s="191"/>
      <c r="X141" s="191"/>
      <c r="Y141" s="254" t="s">
        <v>935</v>
      </c>
      <c r="Z141" s="190">
        <f>D63*'Risk Charges'!Z33</f>
        <v>0</v>
      </c>
      <c r="AA141" s="190">
        <f>E63*'Risk Charges'!AA33</f>
        <v>0</v>
      </c>
      <c r="AB141" s="190">
        <f>F63*'Risk Charges'!AB33</f>
        <v>0</v>
      </c>
      <c r="AC141" s="190">
        <f>G63*'Risk Charges'!AC33</f>
        <v>0</v>
      </c>
      <c r="AD141" s="190">
        <f>H63*'Risk Charges'!AD33</f>
        <v>0</v>
      </c>
      <c r="AE141" s="190">
        <f>I63*'Risk Charges'!AE33</f>
        <v>0</v>
      </c>
      <c r="AF141" s="190">
        <f>J63*'Risk Charges'!AF33</f>
        <v>0</v>
      </c>
      <c r="AG141" s="190">
        <f>K63*'Risk Charges'!AG33</f>
        <v>0</v>
      </c>
      <c r="AH141" s="191"/>
      <c r="AI141" s="191"/>
      <c r="AJ141" s="254" t="s">
        <v>935</v>
      </c>
      <c r="AK141" s="190">
        <f>D63*'Risk Charges'!AK33</f>
        <v>0</v>
      </c>
      <c r="AL141" s="190">
        <f>E63*'Risk Charges'!AL33</f>
        <v>0</v>
      </c>
      <c r="AM141" s="190">
        <f>F63*'Risk Charges'!AM33</f>
        <v>0</v>
      </c>
      <c r="AN141" s="190">
        <f>G63*'Risk Charges'!AN33</f>
        <v>0</v>
      </c>
      <c r="AO141" s="190">
        <f>H63*'Risk Charges'!AO33</f>
        <v>0</v>
      </c>
      <c r="AP141" s="190">
        <f>I63*'Risk Charges'!AP33</f>
        <v>0</v>
      </c>
      <c r="AQ141" s="190">
        <f>J63*'Risk Charges'!AQ33</f>
        <v>0</v>
      </c>
      <c r="AR141" s="190">
        <f>K63*'Risk Charges'!AR33</f>
        <v>0</v>
      </c>
    </row>
    <row r="142" spans="2:44" hidden="1" outlineLevel="1" x14ac:dyDescent="0.3">
      <c r="C142" s="52" t="s">
        <v>936</v>
      </c>
      <c r="D142" s="190">
        <f>D64*'Risk Charges'!D34</f>
        <v>0</v>
      </c>
      <c r="E142" s="190">
        <f>E64*'Risk Charges'!E34</f>
        <v>0</v>
      </c>
      <c r="F142" s="190">
        <f>F64*'Risk Charges'!F34</f>
        <v>0</v>
      </c>
      <c r="G142" s="190">
        <f>G64*'Risk Charges'!G34</f>
        <v>0</v>
      </c>
      <c r="H142" s="190">
        <f>H64*'Risk Charges'!H34</f>
        <v>0</v>
      </c>
      <c r="I142" s="190">
        <f>I64*'Risk Charges'!I34</f>
        <v>0</v>
      </c>
      <c r="J142" s="190">
        <f>J64*'Risk Charges'!J34</f>
        <v>0</v>
      </c>
      <c r="K142" s="190">
        <f>K64*'Risk Charges'!K34</f>
        <v>0</v>
      </c>
      <c r="L142" s="191"/>
      <c r="M142" s="191"/>
      <c r="N142" s="254" t="s">
        <v>936</v>
      </c>
      <c r="O142" s="190">
        <f>D64*'Risk Charges'!O34</f>
        <v>0</v>
      </c>
      <c r="P142" s="190">
        <f>E64*'Risk Charges'!P34</f>
        <v>0</v>
      </c>
      <c r="Q142" s="190">
        <f>F64*'Risk Charges'!Q34</f>
        <v>0</v>
      </c>
      <c r="R142" s="190">
        <f>G64*'Risk Charges'!R34</f>
        <v>0</v>
      </c>
      <c r="S142" s="190">
        <f>H64*'Risk Charges'!S34</f>
        <v>0</v>
      </c>
      <c r="T142" s="190">
        <f>I64*'Risk Charges'!T34</f>
        <v>0</v>
      </c>
      <c r="U142" s="190">
        <f>J64*'Risk Charges'!U34</f>
        <v>0</v>
      </c>
      <c r="V142" s="190">
        <f>K64*'Risk Charges'!V34</f>
        <v>0</v>
      </c>
      <c r="W142" s="191"/>
      <c r="X142" s="191"/>
      <c r="Y142" s="254" t="s">
        <v>936</v>
      </c>
      <c r="Z142" s="190">
        <f>D64*'Risk Charges'!Z34</f>
        <v>0</v>
      </c>
      <c r="AA142" s="190">
        <f>E64*'Risk Charges'!AA34</f>
        <v>0</v>
      </c>
      <c r="AB142" s="190">
        <f>F64*'Risk Charges'!AB34</f>
        <v>0</v>
      </c>
      <c r="AC142" s="190">
        <f>G64*'Risk Charges'!AC34</f>
        <v>0</v>
      </c>
      <c r="AD142" s="190">
        <f>H64*'Risk Charges'!AD34</f>
        <v>0</v>
      </c>
      <c r="AE142" s="190">
        <f>I64*'Risk Charges'!AE34</f>
        <v>0</v>
      </c>
      <c r="AF142" s="190">
        <f>J64*'Risk Charges'!AF34</f>
        <v>0</v>
      </c>
      <c r="AG142" s="190">
        <f>K64*'Risk Charges'!AG34</f>
        <v>0</v>
      </c>
      <c r="AH142" s="191"/>
      <c r="AI142" s="191"/>
      <c r="AJ142" s="254" t="s">
        <v>936</v>
      </c>
      <c r="AK142" s="190">
        <f>D64*'Risk Charges'!AK34</f>
        <v>0</v>
      </c>
      <c r="AL142" s="190">
        <f>E64*'Risk Charges'!AL34</f>
        <v>0</v>
      </c>
      <c r="AM142" s="190">
        <f>F64*'Risk Charges'!AM34</f>
        <v>0</v>
      </c>
      <c r="AN142" s="190">
        <f>G64*'Risk Charges'!AN34</f>
        <v>0</v>
      </c>
      <c r="AO142" s="190">
        <f>H64*'Risk Charges'!AO34</f>
        <v>0</v>
      </c>
      <c r="AP142" s="190">
        <f>I64*'Risk Charges'!AP34</f>
        <v>0</v>
      </c>
      <c r="AQ142" s="190">
        <f>J64*'Risk Charges'!AQ34</f>
        <v>0</v>
      </c>
      <c r="AR142" s="190">
        <f>K64*'Risk Charges'!AR34</f>
        <v>0</v>
      </c>
    </row>
    <row r="143" spans="2:44" hidden="1" outlineLevel="1" x14ac:dyDescent="0.3">
      <c r="C143" s="52" t="s">
        <v>937</v>
      </c>
      <c r="D143" s="190">
        <f>D65*'Risk Charges'!D35</f>
        <v>0</v>
      </c>
      <c r="E143" s="190">
        <f>E65*'Risk Charges'!E35</f>
        <v>0</v>
      </c>
      <c r="F143" s="190">
        <f>F65*'Risk Charges'!F35</f>
        <v>0</v>
      </c>
      <c r="G143" s="190">
        <f>G65*'Risk Charges'!G35</f>
        <v>0</v>
      </c>
      <c r="H143" s="190">
        <f>H65*'Risk Charges'!H35</f>
        <v>0</v>
      </c>
      <c r="I143" s="190">
        <f>I65*'Risk Charges'!I35</f>
        <v>0</v>
      </c>
      <c r="J143" s="190">
        <f>J65*'Risk Charges'!J35</f>
        <v>0</v>
      </c>
      <c r="K143" s="190">
        <f>K65*'Risk Charges'!K35</f>
        <v>0</v>
      </c>
      <c r="L143" s="191"/>
      <c r="M143" s="191"/>
      <c r="N143" s="254" t="s">
        <v>937</v>
      </c>
      <c r="O143" s="190">
        <f>D65*'Risk Charges'!O35</f>
        <v>0</v>
      </c>
      <c r="P143" s="190">
        <f>E65*'Risk Charges'!P35</f>
        <v>0</v>
      </c>
      <c r="Q143" s="190">
        <f>F65*'Risk Charges'!Q35</f>
        <v>0</v>
      </c>
      <c r="R143" s="190">
        <f>G65*'Risk Charges'!R35</f>
        <v>0</v>
      </c>
      <c r="S143" s="190">
        <f>H65*'Risk Charges'!S35</f>
        <v>0</v>
      </c>
      <c r="T143" s="190">
        <f>I65*'Risk Charges'!T35</f>
        <v>0</v>
      </c>
      <c r="U143" s="190">
        <f>J65*'Risk Charges'!U35</f>
        <v>0</v>
      </c>
      <c r="V143" s="190">
        <f>K65*'Risk Charges'!V35</f>
        <v>0</v>
      </c>
      <c r="W143" s="191"/>
      <c r="X143" s="191"/>
      <c r="Y143" s="254" t="s">
        <v>937</v>
      </c>
      <c r="Z143" s="190">
        <f>D65*'Risk Charges'!Z35</f>
        <v>0</v>
      </c>
      <c r="AA143" s="190">
        <f>E65*'Risk Charges'!AA35</f>
        <v>0</v>
      </c>
      <c r="AB143" s="190">
        <f>F65*'Risk Charges'!AB35</f>
        <v>0</v>
      </c>
      <c r="AC143" s="190">
        <f>G65*'Risk Charges'!AC35</f>
        <v>0</v>
      </c>
      <c r="AD143" s="190">
        <f>H65*'Risk Charges'!AD35</f>
        <v>0</v>
      </c>
      <c r="AE143" s="190">
        <f>I65*'Risk Charges'!AE35</f>
        <v>0</v>
      </c>
      <c r="AF143" s="190">
        <f>J65*'Risk Charges'!AF35</f>
        <v>0</v>
      </c>
      <c r="AG143" s="190">
        <f>K65*'Risk Charges'!AG35</f>
        <v>0</v>
      </c>
      <c r="AH143" s="191"/>
      <c r="AI143" s="191"/>
      <c r="AJ143" s="254" t="s">
        <v>937</v>
      </c>
      <c r="AK143" s="190">
        <f>D65*'Risk Charges'!AK35</f>
        <v>0</v>
      </c>
      <c r="AL143" s="190">
        <f>E65*'Risk Charges'!AL35</f>
        <v>0</v>
      </c>
      <c r="AM143" s="190">
        <f>F65*'Risk Charges'!AM35</f>
        <v>0</v>
      </c>
      <c r="AN143" s="190">
        <f>G65*'Risk Charges'!AN35</f>
        <v>0</v>
      </c>
      <c r="AO143" s="190">
        <f>H65*'Risk Charges'!AO35</f>
        <v>0</v>
      </c>
      <c r="AP143" s="190">
        <f>I65*'Risk Charges'!AP35</f>
        <v>0</v>
      </c>
      <c r="AQ143" s="190">
        <f>J65*'Risk Charges'!AQ35</f>
        <v>0</v>
      </c>
      <c r="AR143" s="190">
        <f>K65*'Risk Charges'!AR35</f>
        <v>0</v>
      </c>
    </row>
    <row r="144" spans="2:44" hidden="1" outlineLevel="1" x14ac:dyDescent="0.3">
      <c r="C144" s="52" t="s">
        <v>938</v>
      </c>
      <c r="D144" s="190">
        <f>D66*'Risk Charges'!D36</f>
        <v>0</v>
      </c>
      <c r="E144" s="190">
        <f>E66*'Risk Charges'!E36</f>
        <v>0</v>
      </c>
      <c r="F144" s="190">
        <f>F66*'Risk Charges'!F36</f>
        <v>0</v>
      </c>
      <c r="G144" s="190">
        <f>G66*'Risk Charges'!G36</f>
        <v>0</v>
      </c>
      <c r="H144" s="190">
        <f>H66*'Risk Charges'!H36</f>
        <v>0</v>
      </c>
      <c r="I144" s="190">
        <f>I66*'Risk Charges'!I36</f>
        <v>0</v>
      </c>
      <c r="J144" s="190">
        <f>J66*'Risk Charges'!J36</f>
        <v>0</v>
      </c>
      <c r="K144" s="190">
        <f>K66*'Risk Charges'!K36</f>
        <v>0</v>
      </c>
      <c r="L144" s="191"/>
      <c r="M144" s="191"/>
      <c r="N144" s="254" t="s">
        <v>938</v>
      </c>
      <c r="O144" s="190">
        <f>D66*'Risk Charges'!O36</f>
        <v>0</v>
      </c>
      <c r="P144" s="190">
        <f>E66*'Risk Charges'!P36</f>
        <v>0</v>
      </c>
      <c r="Q144" s="190">
        <f>F66*'Risk Charges'!Q36</f>
        <v>0</v>
      </c>
      <c r="R144" s="190">
        <f>G66*'Risk Charges'!R36</f>
        <v>0</v>
      </c>
      <c r="S144" s="190">
        <f>H66*'Risk Charges'!S36</f>
        <v>0</v>
      </c>
      <c r="T144" s="190">
        <f>I66*'Risk Charges'!T36</f>
        <v>0</v>
      </c>
      <c r="U144" s="190">
        <f>J66*'Risk Charges'!U36</f>
        <v>0</v>
      </c>
      <c r="V144" s="190">
        <f>K66*'Risk Charges'!V36</f>
        <v>0</v>
      </c>
      <c r="W144" s="191"/>
      <c r="X144" s="191"/>
      <c r="Y144" s="254" t="s">
        <v>938</v>
      </c>
      <c r="Z144" s="190">
        <f>D66*'Risk Charges'!Z36</f>
        <v>0</v>
      </c>
      <c r="AA144" s="190">
        <f>E66*'Risk Charges'!AA36</f>
        <v>0</v>
      </c>
      <c r="AB144" s="190">
        <f>F66*'Risk Charges'!AB36</f>
        <v>0</v>
      </c>
      <c r="AC144" s="190">
        <f>G66*'Risk Charges'!AC36</f>
        <v>0</v>
      </c>
      <c r="AD144" s="190">
        <f>H66*'Risk Charges'!AD36</f>
        <v>0</v>
      </c>
      <c r="AE144" s="190">
        <f>I66*'Risk Charges'!AE36</f>
        <v>0</v>
      </c>
      <c r="AF144" s="190">
        <f>J66*'Risk Charges'!AF36</f>
        <v>0</v>
      </c>
      <c r="AG144" s="190">
        <f>K66*'Risk Charges'!AG36</f>
        <v>0</v>
      </c>
      <c r="AH144" s="191"/>
      <c r="AI144" s="191"/>
      <c r="AJ144" s="254" t="s">
        <v>938</v>
      </c>
      <c r="AK144" s="190">
        <f>D66*'Risk Charges'!AK36</f>
        <v>0</v>
      </c>
      <c r="AL144" s="190">
        <f>E66*'Risk Charges'!AL36</f>
        <v>0</v>
      </c>
      <c r="AM144" s="190">
        <f>F66*'Risk Charges'!AM36</f>
        <v>0</v>
      </c>
      <c r="AN144" s="190">
        <f>G66*'Risk Charges'!AN36</f>
        <v>0</v>
      </c>
      <c r="AO144" s="190">
        <f>H66*'Risk Charges'!AO36</f>
        <v>0</v>
      </c>
      <c r="AP144" s="190">
        <f>I66*'Risk Charges'!AP36</f>
        <v>0</v>
      </c>
      <c r="AQ144" s="190">
        <f>J66*'Risk Charges'!AQ36</f>
        <v>0</v>
      </c>
      <c r="AR144" s="190">
        <f>K66*'Risk Charges'!AR36</f>
        <v>0</v>
      </c>
    </row>
    <row r="145" spans="2:44" hidden="1" outlineLevel="1" x14ac:dyDescent="0.3">
      <c r="C145" s="52" t="s">
        <v>6</v>
      </c>
      <c r="D145" s="192">
        <f>SUM(D140:K144)</f>
        <v>0</v>
      </c>
      <c r="E145" s="191"/>
      <c r="F145" s="191"/>
      <c r="G145" s="191"/>
      <c r="H145" s="191"/>
      <c r="I145" s="191"/>
      <c r="J145" s="191"/>
      <c r="K145" s="191"/>
      <c r="L145" s="191"/>
      <c r="M145" s="191"/>
      <c r="N145" s="254" t="s">
        <v>6</v>
      </c>
      <c r="O145" s="192">
        <f>SUM(O140:V144)</f>
        <v>0</v>
      </c>
      <c r="P145" s="191"/>
      <c r="Q145" s="191"/>
      <c r="R145" s="191"/>
      <c r="S145" s="191"/>
      <c r="T145" s="191"/>
      <c r="U145" s="191"/>
      <c r="V145" s="191"/>
      <c r="W145" s="191"/>
      <c r="X145" s="191"/>
      <c r="Y145" s="254" t="s">
        <v>6</v>
      </c>
      <c r="Z145" s="192">
        <f>SUM(Z140:AG144)</f>
        <v>0</v>
      </c>
      <c r="AA145" s="191"/>
      <c r="AB145" s="191"/>
      <c r="AC145" s="191"/>
      <c r="AD145" s="191"/>
      <c r="AE145" s="191"/>
      <c r="AF145" s="191"/>
      <c r="AG145" s="191"/>
      <c r="AH145" s="191"/>
      <c r="AI145" s="191"/>
      <c r="AJ145" s="254" t="s">
        <v>6</v>
      </c>
      <c r="AK145" s="192">
        <f>SUM(AK140:AR144)</f>
        <v>0</v>
      </c>
      <c r="AL145" s="191"/>
      <c r="AM145" s="191"/>
      <c r="AN145" s="191"/>
      <c r="AO145" s="191"/>
      <c r="AP145" s="191"/>
      <c r="AQ145" s="191"/>
      <c r="AR145" s="191"/>
    </row>
    <row r="146" spans="2:44" collapsed="1" x14ac:dyDescent="0.3"/>
    <row r="147" spans="2:44" x14ac:dyDescent="0.3">
      <c r="B147" s="46" t="s">
        <v>4426</v>
      </c>
      <c r="C147" s="48"/>
      <c r="D147" s="48"/>
      <c r="E147" s="48"/>
      <c r="F147" s="48"/>
      <c r="G147" s="48"/>
      <c r="H147" s="48"/>
      <c r="I147" s="48"/>
      <c r="J147" s="48"/>
      <c r="K147" s="48"/>
    </row>
    <row r="148" spans="2:44" hidden="1" outlineLevel="1" x14ac:dyDescent="0.3"/>
    <row r="149" spans="2:44" hidden="1" outlineLevel="1" x14ac:dyDescent="0.3">
      <c r="D149" s="58">
        <v>0.99990000000000001</v>
      </c>
      <c r="E149" s="58">
        <v>0.99950000000000006</v>
      </c>
      <c r="F149" s="58">
        <v>0.998</v>
      </c>
      <c r="G149" s="58">
        <v>0.995</v>
      </c>
      <c r="I149" s="170" t="s">
        <v>4410</v>
      </c>
    </row>
    <row r="150" spans="2:44" hidden="1" outlineLevel="1" x14ac:dyDescent="0.3">
      <c r="B150" s="773" t="s">
        <v>337</v>
      </c>
      <c r="C150" s="18" t="s">
        <v>1074</v>
      </c>
      <c r="D150" s="190">
        <f>(Input!$F346+Input!$H346)*'Risk Charges'!D42+(Input!$G346+Input!$I346)*'Risk Charges'!D48</f>
        <v>0</v>
      </c>
      <c r="E150" s="190">
        <f>(Input!$F346+Input!$H346)*'Risk Charges'!E42+(Input!$G346+Input!$I346)*'Risk Charges'!E48</f>
        <v>0</v>
      </c>
      <c r="F150" s="190">
        <f>(Input!$F346+Input!$H346)*'Risk Charges'!F42+(Input!$G346+Input!$I346)*'Risk Charges'!F48</f>
        <v>0</v>
      </c>
      <c r="G150" s="190">
        <f>(Input!$F346+Input!$H346)*'Risk Charges'!G42+(Input!$G346+Input!$I346)*'Risk Charges'!G48</f>
        <v>0</v>
      </c>
      <c r="I150" s="192">
        <f>SUM(Input!F346:I349,Input!L346:L347)</f>
        <v>0</v>
      </c>
    </row>
    <row r="151" spans="2:44" hidden="1" outlineLevel="1" x14ac:dyDescent="0.3">
      <c r="B151" s="773"/>
      <c r="C151" s="18" t="s">
        <v>1075</v>
      </c>
      <c r="D151" s="190">
        <f>(Input!$F347+Input!$H347)*'Risk Charges'!D43+(Input!$G347+Input!$I347)*'Risk Charges'!D49</f>
        <v>0</v>
      </c>
      <c r="E151" s="190">
        <f>(Input!$F347+Input!$H347)*'Risk Charges'!E43+(Input!$G347+Input!$I347)*'Risk Charges'!E49</f>
        <v>0</v>
      </c>
      <c r="F151" s="190">
        <f>(Input!$F347+Input!$H347)*'Risk Charges'!F43+(Input!$G347+Input!$I347)*'Risk Charges'!F49</f>
        <v>0</v>
      </c>
      <c r="G151" s="190">
        <f>(Input!$F347+Input!$H347)*'Risk Charges'!G43+(Input!$G347+Input!$I347)*'Risk Charges'!G49</f>
        <v>0</v>
      </c>
    </row>
    <row r="152" spans="2:44" hidden="1" outlineLevel="1" x14ac:dyDescent="0.3">
      <c r="B152" s="773"/>
      <c r="C152" s="18" t="s">
        <v>1076</v>
      </c>
      <c r="D152" s="190">
        <f>(Input!$F348+Input!$H348)*'Risk Charges'!D44+(Input!$G348+Input!$I348)*'Risk Charges'!D50</f>
        <v>0</v>
      </c>
      <c r="E152" s="190">
        <f>(Input!$F348+Input!$H348)*'Risk Charges'!E44+(Input!$G348+Input!$I348)*'Risk Charges'!E50</f>
        <v>0</v>
      </c>
      <c r="F152" s="190">
        <f>(Input!$F348+Input!$H348)*'Risk Charges'!F44+(Input!$G348+Input!$I348)*'Risk Charges'!F50</f>
        <v>0</v>
      </c>
      <c r="G152" s="190">
        <f>(Input!$F348+Input!$H348)*'Risk Charges'!G44+(Input!$G348+Input!$I348)*'Risk Charges'!G50</f>
        <v>0</v>
      </c>
    </row>
    <row r="153" spans="2:44" hidden="1" outlineLevel="1" x14ac:dyDescent="0.3">
      <c r="B153" s="772"/>
      <c r="C153" s="18" t="s">
        <v>1077</v>
      </c>
      <c r="D153" s="190">
        <f>(Input!$F349+Input!$H349)*'Risk Charges'!D45+(Input!$G349+Input!$I349)*'Risk Charges'!D51</f>
        <v>0</v>
      </c>
      <c r="E153" s="190">
        <f>(Input!$F349+Input!$H349)*'Risk Charges'!E45+(Input!$G349+Input!$I349)*'Risk Charges'!E51</f>
        <v>0</v>
      </c>
      <c r="F153" s="190">
        <f>(Input!$F349+Input!$H349)*'Risk Charges'!F45+(Input!$G349+Input!$I349)*'Risk Charges'!F51</f>
        <v>0</v>
      </c>
      <c r="G153" s="190">
        <f>(Input!$F349+Input!$H349)*'Risk Charges'!G45+(Input!$G349+Input!$I349)*'Risk Charges'!G51</f>
        <v>0</v>
      </c>
    </row>
    <row r="154" spans="2:44" hidden="1" outlineLevel="1" x14ac:dyDescent="0.3">
      <c r="B154" s="771" t="s">
        <v>4409</v>
      </c>
      <c r="C154" s="642" t="s">
        <v>1092</v>
      </c>
      <c r="D154" s="190">
        <f>Input!$L346*'Risk Charges'!I42</f>
        <v>0</v>
      </c>
      <c r="E154" s="190">
        <f>Input!$L346*'Risk Charges'!J42</f>
        <v>0</v>
      </c>
      <c r="F154" s="190">
        <f>Input!$L346*'Risk Charges'!K42</f>
        <v>0</v>
      </c>
      <c r="G154" s="190">
        <f>Input!$L346*'Risk Charges'!L42</f>
        <v>0</v>
      </c>
    </row>
    <row r="155" spans="2:44" hidden="1" outlineLevel="1" x14ac:dyDescent="0.3">
      <c r="B155" s="772"/>
      <c r="C155" s="52" t="s">
        <v>1093</v>
      </c>
      <c r="D155" s="190">
        <f>Input!$L347*'Risk Charges'!I43</f>
        <v>0</v>
      </c>
      <c r="E155" s="190">
        <f>Input!$L347*'Risk Charges'!J43</f>
        <v>0</v>
      </c>
      <c r="F155" s="190">
        <f>Input!$L347*'Risk Charges'!K43</f>
        <v>0</v>
      </c>
      <c r="G155" s="190">
        <f>Input!$L347*'Risk Charges'!L43</f>
        <v>0</v>
      </c>
    </row>
    <row r="156" spans="2:44" hidden="1" outlineLevel="1" x14ac:dyDescent="0.3">
      <c r="B156" s="643"/>
      <c r="C156" s="642" t="s">
        <v>6</v>
      </c>
      <c r="D156" s="192">
        <f>SUM(D150:D155)</f>
        <v>0</v>
      </c>
      <c r="E156" s="192">
        <f t="shared" ref="E156:G156" si="41">SUM(E150:E155)</f>
        <v>0</v>
      </c>
      <c r="F156" s="192">
        <f t="shared" si="41"/>
        <v>0</v>
      </c>
      <c r="G156" s="192">
        <f t="shared" si="41"/>
        <v>0</v>
      </c>
    </row>
    <row r="157" spans="2:44" collapsed="1" x14ac:dyDescent="0.3"/>
    <row r="158" spans="2:44" x14ac:dyDescent="0.3">
      <c r="B158" s="46" t="s">
        <v>239</v>
      </c>
      <c r="C158" s="48"/>
      <c r="D158" s="48"/>
      <c r="E158" s="48"/>
      <c r="F158" s="48"/>
      <c r="G158" s="48"/>
      <c r="H158" s="48"/>
      <c r="I158" s="48"/>
      <c r="J158" s="48"/>
      <c r="K158" s="48"/>
    </row>
    <row r="159" spans="2:44" hidden="1" outlineLevel="1" x14ac:dyDescent="0.3"/>
    <row r="160" spans="2:44" hidden="1" outlineLevel="1" x14ac:dyDescent="0.3">
      <c r="D160" s="774" t="s">
        <v>229</v>
      </c>
      <c r="E160" s="774"/>
      <c r="F160" s="774"/>
      <c r="G160" s="774"/>
      <c r="I160" s="170" t="s">
        <v>927</v>
      </c>
    </row>
    <row r="161" spans="2:11" hidden="1" outlineLevel="1" x14ac:dyDescent="0.3">
      <c r="C161" s="18" t="s">
        <v>1074</v>
      </c>
      <c r="D161" s="190">
        <f>Input!$F357*'Risk Charges'!D59</f>
        <v>0</v>
      </c>
      <c r="E161" s="190">
        <f>Input!$F357*'Risk Charges'!E59</f>
        <v>0</v>
      </c>
      <c r="F161" s="190">
        <f>Input!$F357*'Risk Charges'!F59</f>
        <v>0</v>
      </c>
      <c r="G161" s="190">
        <f>Input!$F357*'Risk Charges'!G59</f>
        <v>0</v>
      </c>
      <c r="I161" s="192">
        <f>SUM(Input!F357:G360)</f>
        <v>0</v>
      </c>
    </row>
    <row r="162" spans="2:11" hidden="1" outlineLevel="1" x14ac:dyDescent="0.3">
      <c r="C162" s="18" t="s">
        <v>1075</v>
      </c>
      <c r="D162" s="190">
        <f>Input!$F358*'Risk Charges'!D60</f>
        <v>0</v>
      </c>
      <c r="E162" s="190">
        <f>Input!$F358*'Risk Charges'!E60</f>
        <v>0</v>
      </c>
      <c r="F162" s="190">
        <f>Input!$F358*'Risk Charges'!F60</f>
        <v>0</v>
      </c>
      <c r="G162" s="190">
        <f>Input!$F358*'Risk Charges'!G60</f>
        <v>0</v>
      </c>
    </row>
    <row r="163" spans="2:11" hidden="1" outlineLevel="1" x14ac:dyDescent="0.3">
      <c r="C163" s="18" t="s">
        <v>1076</v>
      </c>
      <c r="D163" s="190">
        <f>Input!$F359*'Risk Charges'!D61</f>
        <v>0</v>
      </c>
      <c r="E163" s="190">
        <f>Input!$F359*'Risk Charges'!E61</f>
        <v>0</v>
      </c>
      <c r="F163" s="190">
        <f>Input!$F359*'Risk Charges'!F61</f>
        <v>0</v>
      </c>
      <c r="G163" s="190">
        <f>Input!$F359*'Risk Charges'!G61</f>
        <v>0</v>
      </c>
    </row>
    <row r="164" spans="2:11" hidden="1" outlineLevel="1" x14ac:dyDescent="0.3">
      <c r="C164" s="18" t="s">
        <v>1077</v>
      </c>
      <c r="D164" s="190">
        <f>Input!$F360*'Risk Charges'!D62</f>
        <v>0</v>
      </c>
      <c r="E164" s="190">
        <f>Input!$F360*'Risk Charges'!E62</f>
        <v>0</v>
      </c>
      <c r="F164" s="190">
        <f>Input!$F360*'Risk Charges'!F62</f>
        <v>0</v>
      </c>
      <c r="G164" s="190">
        <f>Input!$F360*'Risk Charges'!G62</f>
        <v>0</v>
      </c>
    </row>
    <row r="165" spans="2:11" ht="20.25" hidden="1" customHeight="1" outlineLevel="1" x14ac:dyDescent="0.3">
      <c r="C165" s="18"/>
      <c r="D165" s="775" t="s">
        <v>230</v>
      </c>
      <c r="E165" s="775"/>
      <c r="F165" s="775"/>
      <c r="G165" s="775"/>
    </row>
    <row r="166" spans="2:11" hidden="1" outlineLevel="1" x14ac:dyDescent="0.3">
      <c r="C166" s="18" t="s">
        <v>1074</v>
      </c>
      <c r="D166" s="190">
        <f>Input!$G357*'Risk Charges'!D64</f>
        <v>0</v>
      </c>
      <c r="E166" s="190">
        <f>Input!$G357*'Risk Charges'!E64</f>
        <v>0</v>
      </c>
      <c r="F166" s="190">
        <f>Input!$G357*'Risk Charges'!F64</f>
        <v>0</v>
      </c>
      <c r="G166" s="190">
        <f>Input!$G357*'Risk Charges'!G64</f>
        <v>0</v>
      </c>
    </row>
    <row r="167" spans="2:11" hidden="1" outlineLevel="1" x14ac:dyDescent="0.3">
      <c r="C167" s="18" t="s">
        <v>1075</v>
      </c>
      <c r="D167" s="190">
        <f>Input!$G358*'Risk Charges'!D65</f>
        <v>0</v>
      </c>
      <c r="E167" s="190">
        <f>Input!$G358*'Risk Charges'!E65</f>
        <v>0</v>
      </c>
      <c r="F167" s="190">
        <f>Input!$G358*'Risk Charges'!F65</f>
        <v>0</v>
      </c>
      <c r="G167" s="190">
        <f>Input!$G358*'Risk Charges'!G65</f>
        <v>0</v>
      </c>
    </row>
    <row r="168" spans="2:11" hidden="1" outlineLevel="1" x14ac:dyDescent="0.3">
      <c r="C168" s="18" t="s">
        <v>1076</v>
      </c>
      <c r="D168" s="190">
        <f>Input!$G359*'Risk Charges'!D66</f>
        <v>0</v>
      </c>
      <c r="E168" s="190">
        <f>Input!$G359*'Risk Charges'!E66</f>
        <v>0</v>
      </c>
      <c r="F168" s="190">
        <f>Input!$G359*'Risk Charges'!F66</f>
        <v>0</v>
      </c>
      <c r="G168" s="190">
        <f>Input!$G359*'Risk Charges'!G66</f>
        <v>0</v>
      </c>
    </row>
    <row r="169" spans="2:11" hidden="1" outlineLevel="1" x14ac:dyDescent="0.3">
      <c r="C169" s="18" t="s">
        <v>1077</v>
      </c>
      <c r="D169" s="190">
        <f>Input!$G360*'Risk Charges'!D67</f>
        <v>0</v>
      </c>
      <c r="E169" s="190">
        <f>Input!$G360*'Risk Charges'!E67</f>
        <v>0</v>
      </c>
      <c r="F169" s="190">
        <f>Input!$G360*'Risk Charges'!F67</f>
        <v>0</v>
      </c>
      <c r="G169" s="190">
        <f>Input!$G360*'Risk Charges'!G67</f>
        <v>0</v>
      </c>
    </row>
    <row r="170" spans="2:11" hidden="1" outlineLevel="1" x14ac:dyDescent="0.3">
      <c r="C170" s="52" t="s">
        <v>6</v>
      </c>
      <c r="D170" s="192">
        <f>SUM(D161:D164,D166:D169)</f>
        <v>0</v>
      </c>
      <c r="E170" s="192">
        <f>SUM(E161:E164,E166:E169)</f>
        <v>0</v>
      </c>
      <c r="F170" s="192">
        <f>SUM(F161:F164,F166:F169)</f>
        <v>0</v>
      </c>
      <c r="G170" s="192">
        <f>SUM(G161:G164,G166:G169)</f>
        <v>0</v>
      </c>
    </row>
    <row r="171" spans="2:11" collapsed="1" x14ac:dyDescent="0.3">
      <c r="C171" s="52"/>
      <c r="D171" s="60"/>
      <c r="E171" s="60"/>
      <c r="F171" s="60"/>
      <c r="G171" s="60"/>
    </row>
    <row r="172" spans="2:11" x14ac:dyDescent="0.3">
      <c r="B172" s="46" t="s">
        <v>393</v>
      </c>
      <c r="C172" s="48"/>
      <c r="D172" s="48"/>
      <c r="E172" s="48"/>
      <c r="F172" s="48"/>
      <c r="G172" s="48"/>
      <c r="H172" s="48"/>
      <c r="I172" s="48"/>
      <c r="J172" s="48"/>
      <c r="K172" s="48"/>
    </row>
    <row r="173" spans="2:11" hidden="1" outlineLevel="1" x14ac:dyDescent="0.3">
      <c r="C173" s="52"/>
      <c r="D173" s="60"/>
      <c r="E173" s="60"/>
      <c r="F173" s="60"/>
      <c r="G173" s="60"/>
    </row>
    <row r="174" spans="2:11" ht="27.65" hidden="1" customHeight="1" outlineLevel="1" x14ac:dyDescent="0.3">
      <c r="B174" s="258" t="s">
        <v>394</v>
      </c>
      <c r="C174" s="167" t="s">
        <v>390</v>
      </c>
      <c r="D174" s="110">
        <v>0.99990000000000001</v>
      </c>
      <c r="E174" s="110">
        <v>0.99950000000000006</v>
      </c>
      <c r="F174" s="110">
        <v>0.998</v>
      </c>
      <c r="G174" s="110">
        <v>0.995</v>
      </c>
      <c r="I174" s="170"/>
    </row>
    <row r="175" spans="2:11" hidden="1" outlineLevel="1" x14ac:dyDescent="0.3">
      <c r="B175" s="190">
        <f>Input!I399+Input!I410</f>
        <v>0</v>
      </c>
      <c r="C175" s="57" t="s">
        <v>0</v>
      </c>
      <c r="D175" s="190">
        <f>$B175*'Risk Charges'!D83</f>
        <v>0</v>
      </c>
      <c r="E175" s="190">
        <f>$B175*'Risk Charges'!E83</f>
        <v>0</v>
      </c>
      <c r="F175" s="190">
        <f>$B175*'Risk Charges'!F83</f>
        <v>0</v>
      </c>
      <c r="G175" s="190">
        <f>$B175*'Risk Charges'!G83</f>
        <v>0</v>
      </c>
    </row>
    <row r="176" spans="2:11" hidden="1" outlineLevel="1" x14ac:dyDescent="0.3">
      <c r="B176" s="190">
        <f>Input!I400+Input!I411</f>
        <v>0</v>
      </c>
      <c r="C176" s="57" t="s">
        <v>1</v>
      </c>
      <c r="D176" s="190">
        <f>$B176*'Risk Charges'!D84</f>
        <v>0</v>
      </c>
      <c r="E176" s="190">
        <f>$B176*'Risk Charges'!E84</f>
        <v>0</v>
      </c>
      <c r="F176" s="190">
        <f>$B176*'Risk Charges'!F84</f>
        <v>0</v>
      </c>
      <c r="G176" s="190">
        <f>$B176*'Risk Charges'!G84</f>
        <v>0</v>
      </c>
    </row>
    <row r="177" spans="2:20" hidden="1" outlineLevel="1" x14ac:dyDescent="0.3">
      <c r="B177" s="190">
        <f>Input!I401+Input!I412</f>
        <v>0</v>
      </c>
      <c r="C177" s="57" t="s">
        <v>2</v>
      </c>
      <c r="D177" s="190">
        <f>$B177*'Risk Charges'!D85</f>
        <v>0</v>
      </c>
      <c r="E177" s="190">
        <f>$B177*'Risk Charges'!E85</f>
        <v>0</v>
      </c>
      <c r="F177" s="190">
        <f>$B177*'Risk Charges'!F85</f>
        <v>0</v>
      </c>
      <c r="G177" s="190">
        <f>$B177*'Risk Charges'!G85</f>
        <v>0</v>
      </c>
    </row>
    <row r="178" spans="2:20" hidden="1" outlineLevel="1" x14ac:dyDescent="0.3">
      <c r="B178" s="190">
        <f>Input!I402+Input!I413</f>
        <v>0</v>
      </c>
      <c r="C178" s="57" t="s">
        <v>3</v>
      </c>
      <c r="D178" s="190">
        <f>$B178*'Risk Charges'!D86</f>
        <v>0</v>
      </c>
      <c r="E178" s="190">
        <f>$B178*'Risk Charges'!E86</f>
        <v>0</v>
      </c>
      <c r="F178" s="190">
        <f>$B178*'Risk Charges'!F86</f>
        <v>0</v>
      </c>
      <c r="G178" s="190">
        <f>$B178*'Risk Charges'!G86</f>
        <v>0</v>
      </c>
    </row>
    <row r="179" spans="2:20" hidden="1" outlineLevel="1" x14ac:dyDescent="0.3">
      <c r="B179" s="190">
        <f>Input!I403+Input!I414</f>
        <v>0</v>
      </c>
      <c r="C179" s="166" t="s">
        <v>4</v>
      </c>
      <c r="D179" s="190">
        <f>$B179*'Risk Charges'!D87</f>
        <v>0</v>
      </c>
      <c r="E179" s="190">
        <f>$B179*'Risk Charges'!E87</f>
        <v>0</v>
      </c>
      <c r="F179" s="190">
        <f>$B179*'Risk Charges'!F87</f>
        <v>0</v>
      </c>
      <c r="G179" s="190">
        <f>$B179*'Risk Charges'!G87</f>
        <v>0</v>
      </c>
    </row>
    <row r="180" spans="2:20" hidden="1" outlineLevel="1" x14ac:dyDescent="0.3">
      <c r="B180" s="190">
        <f>Input!I404+Input!I415</f>
        <v>0</v>
      </c>
      <c r="C180" s="57" t="s">
        <v>5</v>
      </c>
      <c r="D180" s="190">
        <f>$B180*'Risk Charges'!D88</f>
        <v>0</v>
      </c>
      <c r="E180" s="190">
        <f>$B180*'Risk Charges'!E88</f>
        <v>0</v>
      </c>
      <c r="F180" s="190">
        <f>$B180*'Risk Charges'!F88</f>
        <v>0</v>
      </c>
      <c r="G180" s="190">
        <f>$B180*'Risk Charges'!G88</f>
        <v>0</v>
      </c>
    </row>
    <row r="181" spans="2:20" hidden="1" outlineLevel="1" x14ac:dyDescent="0.3">
      <c r="B181" s="190">
        <f>Input!I405+Input!I416</f>
        <v>0</v>
      </c>
      <c r="C181" s="57" t="s">
        <v>12</v>
      </c>
      <c r="D181" s="190">
        <f>$B181*'Risk Charges'!D89</f>
        <v>0</v>
      </c>
      <c r="E181" s="190">
        <f>$B181*'Risk Charges'!E89</f>
        <v>0</v>
      </c>
      <c r="F181" s="190">
        <f>$B181*'Risk Charges'!F89</f>
        <v>0</v>
      </c>
      <c r="G181" s="190">
        <f>$B181*'Risk Charges'!G89</f>
        <v>0</v>
      </c>
    </row>
    <row r="182" spans="2:20" hidden="1" outlineLevel="1" x14ac:dyDescent="0.3">
      <c r="B182" s="190">
        <f>Input!I406+Input!I417</f>
        <v>0</v>
      </c>
      <c r="C182" s="57" t="s">
        <v>1123</v>
      </c>
      <c r="D182" s="190">
        <f>$B182*'Risk Charges'!D90</f>
        <v>0</v>
      </c>
      <c r="E182" s="190">
        <f>$B182*'Risk Charges'!E90</f>
        <v>0</v>
      </c>
      <c r="F182" s="190">
        <f>$B182*'Risk Charges'!F90</f>
        <v>0</v>
      </c>
      <c r="G182" s="190">
        <f>$B182*'Risk Charges'!G90</f>
        <v>0</v>
      </c>
    </row>
    <row r="183" spans="2:20" hidden="1" outlineLevel="1" x14ac:dyDescent="0.3">
      <c r="B183" s="192">
        <f>SUM(B175:B182)</f>
        <v>0</v>
      </c>
      <c r="C183" s="57" t="s">
        <v>6</v>
      </c>
      <c r="D183" s="192">
        <f>SUM(D175:D182)</f>
        <v>0</v>
      </c>
      <c r="E183" s="192">
        <f t="shared" ref="E183:G183" si="42">SUM(E175:E182)</f>
        <v>0</v>
      </c>
      <c r="F183" s="192">
        <f t="shared" si="42"/>
        <v>0</v>
      </c>
      <c r="G183" s="192">
        <f t="shared" si="42"/>
        <v>0</v>
      </c>
    </row>
    <row r="184" spans="2:20" collapsed="1" x14ac:dyDescent="0.3"/>
    <row r="185" spans="2:20" x14ac:dyDescent="0.3">
      <c r="B185" s="46" t="s">
        <v>4427</v>
      </c>
      <c r="C185" s="48"/>
      <c r="D185" s="48"/>
      <c r="E185" s="48"/>
      <c r="F185" s="48"/>
      <c r="G185" s="48"/>
      <c r="H185" s="48"/>
      <c r="I185" s="48"/>
      <c r="J185" s="48"/>
      <c r="K185" s="48"/>
      <c r="M185" s="50"/>
      <c r="N185" s="35"/>
      <c r="O185" s="35"/>
      <c r="P185" s="35"/>
    </row>
    <row r="186" spans="2:20" hidden="1" outlineLevel="1" x14ac:dyDescent="0.3">
      <c r="M186" s="35"/>
      <c r="N186" s="35"/>
      <c r="O186" s="35"/>
      <c r="P186" s="35"/>
    </row>
    <row r="187" spans="2:20" hidden="1" outlineLevel="1" x14ac:dyDescent="0.3">
      <c r="C187" s="18" t="s">
        <v>816</v>
      </c>
      <c r="D187" s="190">
        <f>SUM(Input!F371:K373,Input!F377:G379)</f>
        <v>0</v>
      </c>
      <c r="M187" s="35"/>
      <c r="N187" s="35"/>
      <c r="O187" s="35"/>
      <c r="P187" s="35"/>
    </row>
    <row r="188" spans="2:20" hidden="1" outlineLevel="1" x14ac:dyDescent="0.3">
      <c r="M188" s="35"/>
      <c r="N188" s="35"/>
      <c r="O188" s="35"/>
      <c r="P188" s="35"/>
    </row>
    <row r="189" spans="2:20" hidden="1" outlineLevel="1" x14ac:dyDescent="0.3">
      <c r="D189" s="774" t="s">
        <v>1033</v>
      </c>
      <c r="E189" s="774"/>
      <c r="F189" s="774"/>
      <c r="G189" s="774"/>
      <c r="H189" s="774"/>
      <c r="I189" s="774"/>
      <c r="J189" s="774" t="s">
        <v>1034</v>
      </c>
      <c r="K189" s="774"/>
      <c r="O189" s="35"/>
    </row>
    <row r="190" spans="2:20" ht="29" hidden="1" customHeight="1" outlineLevel="1" x14ac:dyDescent="0.3">
      <c r="D190" s="777" t="s">
        <v>797</v>
      </c>
      <c r="E190" s="777"/>
      <c r="F190" s="777"/>
      <c r="G190" s="776" t="s">
        <v>1036</v>
      </c>
      <c r="H190" s="776" t="s">
        <v>798</v>
      </c>
      <c r="I190" s="776" t="s">
        <v>874</v>
      </c>
      <c r="J190" s="777" t="s">
        <v>1030</v>
      </c>
      <c r="K190" s="776" t="s">
        <v>1035</v>
      </c>
      <c r="O190" s="35"/>
      <c r="P190" s="35"/>
    </row>
    <row r="191" spans="2:20" hidden="1" outlineLevel="1" x14ac:dyDescent="0.3">
      <c r="D191" s="777" t="s">
        <v>1032</v>
      </c>
      <c r="E191" s="777"/>
      <c r="F191" s="777"/>
      <c r="G191" s="776"/>
      <c r="H191" s="776"/>
      <c r="I191" s="776"/>
      <c r="J191" s="777"/>
      <c r="K191" s="776"/>
      <c r="O191" s="35"/>
      <c r="P191" s="35"/>
      <c r="T191" s="158"/>
    </row>
    <row r="192" spans="2:20" hidden="1" outlineLevel="1" x14ac:dyDescent="0.3">
      <c r="D192" s="31" t="s">
        <v>1070</v>
      </c>
      <c r="E192" s="166" t="s">
        <v>1054</v>
      </c>
      <c r="F192" s="166" t="s">
        <v>1071</v>
      </c>
      <c r="G192" s="776"/>
      <c r="H192" s="776"/>
      <c r="I192" s="776"/>
      <c r="J192" s="777"/>
      <c r="K192" s="776"/>
      <c r="O192" s="35"/>
      <c r="P192" s="158"/>
    </row>
    <row r="193" spans="2:16" ht="15" hidden="1" customHeight="1" outlineLevel="1" x14ac:dyDescent="0.3">
      <c r="B193" s="778" t="s">
        <v>1067</v>
      </c>
      <c r="C193" s="18" t="s">
        <v>1068</v>
      </c>
      <c r="D193" s="190">
        <f>Input!F371*'Risk Charges'!D98</f>
        <v>0</v>
      </c>
      <c r="E193" s="190">
        <f>Input!G371*'Risk Charges'!E98</f>
        <v>0</v>
      </c>
      <c r="F193" s="190">
        <f>Input!H371*'Risk Charges'!F98</f>
        <v>0</v>
      </c>
      <c r="G193" s="190">
        <f>Input!I371*'Risk Charges'!G98</f>
        <v>0</v>
      </c>
      <c r="H193" s="190">
        <f>Input!J371*'Risk Charges'!H98</f>
        <v>0</v>
      </c>
      <c r="I193" s="190">
        <f>Input!K371*'Risk Charges'!I98</f>
        <v>0</v>
      </c>
      <c r="J193" s="190">
        <f>Input!F377*'Risk Charges'!J98</f>
        <v>0</v>
      </c>
      <c r="K193" s="781">
        <f>Input!G377*'Risk Charges'!K98</f>
        <v>0</v>
      </c>
      <c r="L193" s="779">
        <v>0.99990000000000001</v>
      </c>
      <c r="O193" s="35"/>
      <c r="P193" s="35"/>
    </row>
    <row r="194" spans="2:16" hidden="1" outlineLevel="1" x14ac:dyDescent="0.3">
      <c r="B194" s="778"/>
      <c r="C194" s="18" t="s">
        <v>1073</v>
      </c>
      <c r="D194" s="190">
        <f>Input!F372*'Risk Charges'!D99</f>
        <v>0</v>
      </c>
      <c r="E194" s="190">
        <f>Input!G372*'Risk Charges'!E99</f>
        <v>0</v>
      </c>
      <c r="F194" s="190">
        <f>Input!H372*'Risk Charges'!F99</f>
        <v>0</v>
      </c>
      <c r="G194" s="190">
        <f>Input!I372*'Risk Charges'!G99</f>
        <v>0</v>
      </c>
      <c r="H194" s="190">
        <f>Input!J372*'Risk Charges'!H99</f>
        <v>0</v>
      </c>
      <c r="I194" s="190">
        <f>Input!K372*'Risk Charges'!I99</f>
        <v>0</v>
      </c>
      <c r="J194" s="190">
        <f>Input!F378*'Risk Charges'!J99</f>
        <v>0</v>
      </c>
      <c r="K194" s="781"/>
      <c r="L194" s="780"/>
      <c r="O194" s="35"/>
      <c r="P194" s="35"/>
    </row>
    <row r="195" spans="2:16" hidden="1" outlineLevel="1" x14ac:dyDescent="0.3">
      <c r="B195" s="778"/>
      <c r="C195" s="18" t="s">
        <v>1069</v>
      </c>
      <c r="D195" s="190">
        <f>Input!F373*'Risk Charges'!D100</f>
        <v>0</v>
      </c>
      <c r="E195" s="190">
        <f>Input!G373*'Risk Charges'!E100</f>
        <v>0</v>
      </c>
      <c r="F195" s="190">
        <f>Input!H373*'Risk Charges'!F100</f>
        <v>0</v>
      </c>
      <c r="G195" s="190">
        <f>Input!I373*'Risk Charges'!G100</f>
        <v>0</v>
      </c>
      <c r="H195" s="190">
        <f>Input!J373*'Risk Charges'!H100</f>
        <v>0</v>
      </c>
      <c r="I195" s="190">
        <f>Input!K373*'Risk Charges'!I100</f>
        <v>0</v>
      </c>
      <c r="J195" s="190">
        <f>Input!F379*'Risk Charges'!J100</f>
        <v>0</v>
      </c>
      <c r="K195" s="781"/>
      <c r="L195" s="780"/>
      <c r="O195" s="35"/>
      <c r="P195" s="35"/>
    </row>
    <row r="196" spans="2:16" ht="15" hidden="1" customHeight="1" outlineLevel="1" x14ac:dyDescent="0.3">
      <c r="B196" s="778"/>
      <c r="C196" s="18" t="s">
        <v>1068</v>
      </c>
      <c r="D196" s="190">
        <f>Input!F371*'Risk Charges'!D101</f>
        <v>0</v>
      </c>
      <c r="E196" s="190">
        <f>Input!G371*'Risk Charges'!E101</f>
        <v>0</v>
      </c>
      <c r="F196" s="190">
        <f>Input!H371*'Risk Charges'!F101</f>
        <v>0</v>
      </c>
      <c r="G196" s="190">
        <f>Input!I371*'Risk Charges'!G101</f>
        <v>0</v>
      </c>
      <c r="H196" s="190">
        <f>Input!J371*'Risk Charges'!H101</f>
        <v>0</v>
      </c>
      <c r="I196" s="190">
        <f>Input!K371*'Risk Charges'!I101</f>
        <v>0</v>
      </c>
      <c r="J196" s="190">
        <f>Input!F377*'Risk Charges'!J101</f>
        <v>0</v>
      </c>
      <c r="K196" s="781">
        <f>Input!G377*'Risk Charges'!K101</f>
        <v>0</v>
      </c>
      <c r="L196" s="779">
        <v>0.99950000000000006</v>
      </c>
      <c r="O196" s="35"/>
      <c r="P196" s="35"/>
    </row>
    <row r="197" spans="2:16" hidden="1" outlineLevel="1" x14ac:dyDescent="0.3">
      <c r="B197" s="778"/>
      <c r="C197" s="18" t="s">
        <v>1073</v>
      </c>
      <c r="D197" s="190">
        <f>Input!F372*'Risk Charges'!D102</f>
        <v>0</v>
      </c>
      <c r="E197" s="190">
        <f>Input!G372*'Risk Charges'!E102</f>
        <v>0</v>
      </c>
      <c r="F197" s="190">
        <f>Input!H372*'Risk Charges'!F102</f>
        <v>0</v>
      </c>
      <c r="G197" s="190">
        <f>Input!I372*'Risk Charges'!G102</f>
        <v>0</v>
      </c>
      <c r="H197" s="190">
        <f>Input!J372*'Risk Charges'!H102</f>
        <v>0</v>
      </c>
      <c r="I197" s="190">
        <f>Input!K372*'Risk Charges'!I102</f>
        <v>0</v>
      </c>
      <c r="J197" s="190">
        <f>Input!F378*'Risk Charges'!J102</f>
        <v>0</v>
      </c>
      <c r="K197" s="781"/>
      <c r="L197" s="780"/>
      <c r="O197" s="35"/>
      <c r="P197" s="35"/>
    </row>
    <row r="198" spans="2:16" hidden="1" outlineLevel="1" x14ac:dyDescent="0.3">
      <c r="B198" s="778"/>
      <c r="C198" s="18" t="s">
        <v>1069</v>
      </c>
      <c r="D198" s="190">
        <f>Input!F373*'Risk Charges'!D103</f>
        <v>0</v>
      </c>
      <c r="E198" s="190">
        <f>Input!G373*'Risk Charges'!E103</f>
        <v>0</v>
      </c>
      <c r="F198" s="190">
        <f>Input!H373*'Risk Charges'!F103</f>
        <v>0</v>
      </c>
      <c r="G198" s="190">
        <f>Input!I373*'Risk Charges'!G103</f>
        <v>0</v>
      </c>
      <c r="H198" s="190">
        <f>Input!J373*'Risk Charges'!H103</f>
        <v>0</v>
      </c>
      <c r="I198" s="190">
        <f>Input!K373*'Risk Charges'!I103</f>
        <v>0</v>
      </c>
      <c r="J198" s="190">
        <f>Input!F379*'Risk Charges'!J103</f>
        <v>0</v>
      </c>
      <c r="K198" s="781"/>
      <c r="L198" s="780"/>
      <c r="O198" s="35"/>
      <c r="P198" s="35"/>
    </row>
    <row r="199" spans="2:16" hidden="1" outlineLevel="1" x14ac:dyDescent="0.3">
      <c r="B199" s="778"/>
      <c r="C199" s="18" t="s">
        <v>1068</v>
      </c>
      <c r="D199" s="190">
        <f>Input!F371*'Risk Charges'!D104</f>
        <v>0</v>
      </c>
      <c r="E199" s="190">
        <f>Input!G371*'Risk Charges'!E104</f>
        <v>0</v>
      </c>
      <c r="F199" s="190">
        <f>Input!H371*'Risk Charges'!F104</f>
        <v>0</v>
      </c>
      <c r="G199" s="190">
        <f>Input!I371*'Risk Charges'!G104</f>
        <v>0</v>
      </c>
      <c r="H199" s="190">
        <f>Input!J371*'Risk Charges'!H104</f>
        <v>0</v>
      </c>
      <c r="I199" s="190">
        <f>Input!K371*'Risk Charges'!I104</f>
        <v>0</v>
      </c>
      <c r="J199" s="190">
        <f>Input!F377*'Risk Charges'!J104</f>
        <v>0</v>
      </c>
      <c r="K199" s="781">
        <f>Input!G377*'Risk Charges'!K104</f>
        <v>0</v>
      </c>
      <c r="L199" s="779">
        <v>0.998</v>
      </c>
      <c r="O199" s="35"/>
      <c r="P199" s="35"/>
    </row>
    <row r="200" spans="2:16" hidden="1" outlineLevel="1" x14ac:dyDescent="0.3">
      <c r="B200" s="778"/>
      <c r="C200" s="18" t="s">
        <v>1073</v>
      </c>
      <c r="D200" s="190">
        <f>Input!F372*'Risk Charges'!D105</f>
        <v>0</v>
      </c>
      <c r="E200" s="190">
        <f>Input!G372*'Risk Charges'!E105</f>
        <v>0</v>
      </c>
      <c r="F200" s="190">
        <f>Input!H372*'Risk Charges'!F105</f>
        <v>0</v>
      </c>
      <c r="G200" s="190">
        <f>Input!I372*'Risk Charges'!G105</f>
        <v>0</v>
      </c>
      <c r="H200" s="190">
        <f>Input!J372*'Risk Charges'!H105</f>
        <v>0</v>
      </c>
      <c r="I200" s="190">
        <f>Input!K372*'Risk Charges'!I105</f>
        <v>0</v>
      </c>
      <c r="J200" s="190">
        <f>Input!F378*'Risk Charges'!J105</f>
        <v>0</v>
      </c>
      <c r="K200" s="781"/>
      <c r="L200" s="780"/>
      <c r="O200" s="35"/>
      <c r="P200" s="35"/>
    </row>
    <row r="201" spans="2:16" hidden="1" outlineLevel="1" x14ac:dyDescent="0.3">
      <c r="B201" s="778"/>
      <c r="C201" s="18" t="s">
        <v>1069</v>
      </c>
      <c r="D201" s="190">
        <f>Input!F373*'Risk Charges'!D106</f>
        <v>0</v>
      </c>
      <c r="E201" s="190">
        <f>Input!G373*'Risk Charges'!E106</f>
        <v>0</v>
      </c>
      <c r="F201" s="190">
        <f>Input!H373*'Risk Charges'!F106</f>
        <v>0</v>
      </c>
      <c r="G201" s="190">
        <f>Input!I373*'Risk Charges'!G106</f>
        <v>0</v>
      </c>
      <c r="H201" s="190">
        <f>Input!J373*'Risk Charges'!H106</f>
        <v>0</v>
      </c>
      <c r="I201" s="190">
        <f>Input!K373*'Risk Charges'!I106</f>
        <v>0</v>
      </c>
      <c r="J201" s="190">
        <f>Input!F379*'Risk Charges'!J106</f>
        <v>0</v>
      </c>
      <c r="K201" s="781"/>
      <c r="L201" s="780"/>
      <c r="O201" s="35"/>
      <c r="P201" s="35"/>
    </row>
    <row r="202" spans="2:16" ht="15" hidden="1" customHeight="1" outlineLevel="1" x14ac:dyDescent="0.3">
      <c r="B202" s="778"/>
      <c r="C202" s="18" t="s">
        <v>1068</v>
      </c>
      <c r="D202" s="190">
        <f>Input!F371*'Risk Charges'!D107</f>
        <v>0</v>
      </c>
      <c r="E202" s="190">
        <f>Input!G371*'Risk Charges'!E107</f>
        <v>0</v>
      </c>
      <c r="F202" s="190">
        <f>Input!H371*'Risk Charges'!F107</f>
        <v>0</v>
      </c>
      <c r="G202" s="190">
        <f>Input!I371*'Risk Charges'!G107</f>
        <v>0</v>
      </c>
      <c r="H202" s="190">
        <f>Input!J371*'Risk Charges'!H107</f>
        <v>0</v>
      </c>
      <c r="I202" s="190">
        <f>Input!K371*'Risk Charges'!I107</f>
        <v>0</v>
      </c>
      <c r="J202" s="190">
        <f>Input!F377*'Risk Charges'!J107</f>
        <v>0</v>
      </c>
      <c r="K202" s="781">
        <f>Input!G377*'Risk Charges'!K107</f>
        <v>0</v>
      </c>
      <c r="L202" s="779">
        <v>0.995</v>
      </c>
      <c r="O202" s="35"/>
      <c r="P202" s="35"/>
    </row>
    <row r="203" spans="2:16" hidden="1" outlineLevel="1" x14ac:dyDescent="0.3">
      <c r="B203" s="778"/>
      <c r="C203" s="18" t="s">
        <v>1073</v>
      </c>
      <c r="D203" s="190">
        <f>Input!F372*'Risk Charges'!D108</f>
        <v>0</v>
      </c>
      <c r="E203" s="190">
        <f>Input!G372*'Risk Charges'!E108</f>
        <v>0</v>
      </c>
      <c r="F203" s="190">
        <f>Input!H372*'Risk Charges'!F108</f>
        <v>0</v>
      </c>
      <c r="G203" s="190">
        <f>Input!I372*'Risk Charges'!G108</f>
        <v>0</v>
      </c>
      <c r="H203" s="190">
        <f>Input!J372*'Risk Charges'!H108</f>
        <v>0</v>
      </c>
      <c r="I203" s="190">
        <f>Input!K372*'Risk Charges'!I108</f>
        <v>0</v>
      </c>
      <c r="J203" s="190">
        <f>Input!F378*'Risk Charges'!J108</f>
        <v>0</v>
      </c>
      <c r="K203" s="781"/>
      <c r="L203" s="780"/>
      <c r="O203" s="35"/>
      <c r="P203" s="35"/>
    </row>
    <row r="204" spans="2:16" hidden="1" outlineLevel="1" x14ac:dyDescent="0.3">
      <c r="B204" s="778"/>
      <c r="C204" s="18" t="s">
        <v>1069</v>
      </c>
      <c r="D204" s="190">
        <f>Input!F373*'Risk Charges'!D109</f>
        <v>0</v>
      </c>
      <c r="E204" s="190">
        <f>Input!G373*'Risk Charges'!E109</f>
        <v>0</v>
      </c>
      <c r="F204" s="190">
        <f>Input!H373*'Risk Charges'!F109</f>
        <v>0</v>
      </c>
      <c r="G204" s="190">
        <f>Input!I373*'Risk Charges'!G109</f>
        <v>0</v>
      </c>
      <c r="H204" s="190">
        <f>Input!J373*'Risk Charges'!H109</f>
        <v>0</v>
      </c>
      <c r="I204" s="190">
        <f>Input!K373*'Risk Charges'!I109</f>
        <v>0</v>
      </c>
      <c r="J204" s="190">
        <f>Input!F379*'Risk Charges'!J109</f>
        <v>0</v>
      </c>
      <c r="K204" s="781"/>
      <c r="L204" s="780"/>
      <c r="O204" s="35"/>
      <c r="P204" s="35"/>
    </row>
    <row r="205" spans="2:16" hidden="1" outlineLevel="1" x14ac:dyDescent="0.3">
      <c r="M205" s="35"/>
      <c r="N205" s="35"/>
      <c r="O205" s="35"/>
      <c r="P205" s="35"/>
    </row>
    <row r="206" spans="2:16" hidden="1" outlineLevel="1" x14ac:dyDescent="0.3">
      <c r="D206" s="58">
        <v>0.99990000000000001</v>
      </c>
      <c r="E206" s="58">
        <v>0.99950000000000006</v>
      </c>
      <c r="F206" s="58">
        <v>0.998</v>
      </c>
      <c r="G206" s="58">
        <v>0.995</v>
      </c>
    </row>
    <row r="207" spans="2:16" hidden="1" outlineLevel="1" x14ac:dyDescent="0.3">
      <c r="C207" s="52" t="s">
        <v>6</v>
      </c>
      <c r="D207" s="192">
        <f>SUM(D193:K195)</f>
        <v>0</v>
      </c>
      <c r="E207" s="192">
        <f>SUM(D196:K198)</f>
        <v>0</v>
      </c>
      <c r="F207" s="192">
        <f>SUM(D199:K201)</f>
        <v>0</v>
      </c>
      <c r="G207" s="192">
        <f>SUM(D202:K204)</f>
        <v>0</v>
      </c>
    </row>
    <row r="208" spans="2:16" collapsed="1" x14ac:dyDescent="0.3"/>
    <row r="209" spans="2:11" x14ac:dyDescent="0.3">
      <c r="B209" s="46" t="s">
        <v>4428</v>
      </c>
      <c r="C209" s="48"/>
      <c r="D209" s="48"/>
      <c r="E209" s="48"/>
      <c r="F209" s="48"/>
      <c r="G209" s="48"/>
      <c r="H209" s="48"/>
      <c r="I209" s="48"/>
      <c r="J209" s="48"/>
      <c r="K209" s="48"/>
    </row>
    <row r="210" spans="2:11" hidden="1" outlineLevel="1" x14ac:dyDescent="0.3"/>
    <row r="211" spans="2:11" hidden="1" outlineLevel="1" x14ac:dyDescent="0.3">
      <c r="C211" s="52" t="s">
        <v>395</v>
      </c>
    </row>
    <row r="212" spans="2:11" hidden="1" outlineLevel="1" x14ac:dyDescent="0.3">
      <c r="C212" s="52" t="s">
        <v>1055</v>
      </c>
      <c r="D212" s="58">
        <v>0.99990000000000001</v>
      </c>
      <c r="E212" s="58">
        <v>0.99950000000000006</v>
      </c>
      <c r="F212" s="58">
        <v>0.998</v>
      </c>
      <c r="G212" s="58">
        <v>0.995</v>
      </c>
      <c r="I212" s="170" t="s">
        <v>928</v>
      </c>
    </row>
    <row r="213" spans="2:11" hidden="1" outlineLevel="1" x14ac:dyDescent="0.3">
      <c r="C213" s="18" t="s">
        <v>1066</v>
      </c>
      <c r="D213" s="190">
        <f>Input!$F385*'Risk Charges'!P42</f>
        <v>0</v>
      </c>
      <c r="E213" s="190">
        <f>Input!$F385*'Risk Charges'!Q42</f>
        <v>0</v>
      </c>
      <c r="F213" s="190">
        <f>Input!$F385*'Risk Charges'!R42</f>
        <v>0</v>
      </c>
      <c r="G213" s="190">
        <f>Input!$F385*'Risk Charges'!S42</f>
        <v>0</v>
      </c>
      <c r="I213" s="192">
        <f>total_mortgages+Input!F382+SUM(Input!F385:F388)+Input!F390</f>
        <v>0</v>
      </c>
    </row>
    <row r="214" spans="2:11" hidden="1" outlineLevel="1" x14ac:dyDescent="0.3">
      <c r="C214" s="18" t="s">
        <v>925</v>
      </c>
      <c r="D214" s="190">
        <f>Input!$F386*'Risk Charges'!P43</f>
        <v>0</v>
      </c>
      <c r="E214" s="190">
        <f>Input!$F386*'Risk Charges'!Q43</f>
        <v>0</v>
      </c>
      <c r="F214" s="190">
        <f>Input!$F386*'Risk Charges'!R43</f>
        <v>0</v>
      </c>
      <c r="G214" s="190">
        <f>Input!$F386*'Risk Charges'!S43</f>
        <v>0</v>
      </c>
    </row>
    <row r="215" spans="2:11" hidden="1" outlineLevel="1" x14ac:dyDescent="0.3">
      <c r="C215" s="18" t="s">
        <v>898</v>
      </c>
      <c r="D215" s="190">
        <f>Input!$F387*'Risk Charges'!P44</f>
        <v>0</v>
      </c>
      <c r="E215" s="190">
        <f>Input!$F387*'Risk Charges'!Q44</f>
        <v>0</v>
      </c>
      <c r="F215" s="190">
        <f>Input!$F387*'Risk Charges'!R44</f>
        <v>0</v>
      </c>
      <c r="G215" s="190">
        <f>Input!$F387*'Risk Charges'!S44</f>
        <v>0</v>
      </c>
    </row>
    <row r="216" spans="2:11" hidden="1" outlineLevel="1" x14ac:dyDescent="0.3">
      <c r="C216" s="18" t="s">
        <v>926</v>
      </c>
      <c r="D216" s="190">
        <f>Input!$F388*'Risk Charges'!P45</f>
        <v>0</v>
      </c>
      <c r="E216" s="190">
        <f>Input!$F388*'Risk Charges'!Q45</f>
        <v>0</v>
      </c>
      <c r="F216" s="190">
        <f>Input!$F388*'Risk Charges'!R45</f>
        <v>0</v>
      </c>
      <c r="G216" s="190">
        <f>Input!$F388*'Risk Charges'!S45</f>
        <v>0</v>
      </c>
    </row>
    <row r="217" spans="2:11" hidden="1" outlineLevel="1" x14ac:dyDescent="0.3">
      <c r="C217" s="52" t="s">
        <v>6</v>
      </c>
      <c r="D217" s="192">
        <f>SUM(D213:D216)</f>
        <v>0</v>
      </c>
      <c r="E217" s="192">
        <f t="shared" ref="E217:G217" si="43">SUM(E213:E216)</f>
        <v>0</v>
      </c>
      <c r="F217" s="192">
        <f t="shared" si="43"/>
        <v>0</v>
      </c>
      <c r="G217" s="192">
        <f t="shared" si="43"/>
        <v>0</v>
      </c>
    </row>
    <row r="218" spans="2:11" hidden="1" outlineLevel="1" x14ac:dyDescent="0.3"/>
    <row r="219" spans="2:11" hidden="1" outlineLevel="1" x14ac:dyDescent="0.3">
      <c r="C219" s="18" t="s">
        <v>947</v>
      </c>
      <c r="D219" s="190">
        <f>Input!$F424*'Risk Charges'!P47</f>
        <v>0</v>
      </c>
      <c r="E219" s="190">
        <f>Input!$F424*'Risk Charges'!Q47</f>
        <v>0</v>
      </c>
      <c r="F219" s="190">
        <f>Input!$F424*'Risk Charges'!R47</f>
        <v>0</v>
      </c>
      <c r="G219" s="190">
        <f>Input!$F424*'Risk Charges'!S47</f>
        <v>0</v>
      </c>
    </row>
    <row r="220" spans="2:11" hidden="1" outlineLevel="1" x14ac:dyDescent="0.3">
      <c r="C220" s="18" t="s">
        <v>396</v>
      </c>
      <c r="D220" s="190">
        <f>(Input!$F427+Input!$F428)*'Risk Charges'!P48</f>
        <v>0</v>
      </c>
      <c r="E220" s="190">
        <f>(Input!$F427+Input!$F428)*'Risk Charges'!Q48</f>
        <v>0</v>
      </c>
      <c r="F220" s="190">
        <f>(Input!$F427+Input!$F428)*'Risk Charges'!R48</f>
        <v>0</v>
      </c>
      <c r="G220" s="190">
        <f>(Input!$F427+Input!$F428)*'Risk Charges'!S48</f>
        <v>0</v>
      </c>
    </row>
    <row r="221" spans="2:11" hidden="1" outlineLevel="1" x14ac:dyDescent="0.3">
      <c r="C221" s="18" t="s">
        <v>1064</v>
      </c>
      <c r="D221" s="190">
        <f>Input!$F382*'Risk Charges'!P49</f>
        <v>0</v>
      </c>
      <c r="E221" s="190">
        <f>Input!$F382*'Risk Charges'!Q49</f>
        <v>0</v>
      </c>
      <c r="F221" s="190">
        <f>Input!$F382*'Risk Charges'!R49</f>
        <v>0</v>
      </c>
      <c r="G221" s="190">
        <f>Input!$F382*'Risk Charges'!S49</f>
        <v>0</v>
      </c>
    </row>
    <row r="222" spans="2:11" hidden="1" outlineLevel="1" x14ac:dyDescent="0.3">
      <c r="C222" s="18" t="s">
        <v>1041</v>
      </c>
      <c r="D222" s="190">
        <f>SUM(Input!$F$420:$F$423)*'Risk Charges'!P50</f>
        <v>0</v>
      </c>
      <c r="E222" s="190">
        <f>SUM(Input!$F$420:$F$423)*'Risk Charges'!Q50</f>
        <v>0</v>
      </c>
      <c r="F222" s="190">
        <f>SUM(Input!$F$420:$F$423)*'Risk Charges'!R50</f>
        <v>0</v>
      </c>
      <c r="G222" s="190">
        <f>SUM(Input!$F$420:$F$423)*'Risk Charges'!S50</f>
        <v>0</v>
      </c>
    </row>
    <row r="223" spans="2:11" hidden="1" outlineLevel="1" x14ac:dyDescent="0.3">
      <c r="C223" s="18" t="s">
        <v>880</v>
      </c>
      <c r="D223" s="190">
        <f>Input!$F$390*'Risk Charges'!P51</f>
        <v>0</v>
      </c>
      <c r="E223" s="190">
        <f>Input!$F$390*'Risk Charges'!Q51</f>
        <v>0</v>
      </c>
      <c r="F223" s="190">
        <f>Input!$F$390*'Risk Charges'!R51</f>
        <v>0</v>
      </c>
      <c r="G223" s="190">
        <f>Input!$F$390*'Risk Charges'!S51</f>
        <v>0</v>
      </c>
    </row>
    <row r="224" spans="2:11" collapsed="1" x14ac:dyDescent="0.3"/>
  </sheetData>
  <sheetProtection algorithmName="SHA-512" hashValue="qWFJn/kPNYUytBV8aKFrVcJN0gXdiCqSb8zr1oIx4wk7tbJkmh7T0obvoQpuCbvgNc2C7aFFqZ1fIgk+JtpyBg==" saltValue="l2li9UNj6+6IzJIsBA2xJg==" spinCount="100000" sheet="1" objects="1" scenarios="1" formatColumns="0" formatRows="0"/>
  <mergeCells count="26">
    <mergeCell ref="B193:B204"/>
    <mergeCell ref="L193:L195"/>
    <mergeCell ref="L196:L198"/>
    <mergeCell ref="L199:L201"/>
    <mergeCell ref="L202:L204"/>
    <mergeCell ref="K193:K195"/>
    <mergeCell ref="K196:K198"/>
    <mergeCell ref="K199:K201"/>
    <mergeCell ref="K202:K204"/>
    <mergeCell ref="D189:I189"/>
    <mergeCell ref="D165:G165"/>
    <mergeCell ref="D160:G160"/>
    <mergeCell ref="K190:K192"/>
    <mergeCell ref="J189:K189"/>
    <mergeCell ref="J190:J192"/>
    <mergeCell ref="D190:F190"/>
    <mergeCell ref="D191:F191"/>
    <mergeCell ref="G190:G192"/>
    <mergeCell ref="H190:H192"/>
    <mergeCell ref="I190:I192"/>
    <mergeCell ref="B154:B155"/>
    <mergeCell ref="B150:B153"/>
    <mergeCell ref="AJ110:AR110"/>
    <mergeCell ref="N110:V110"/>
    <mergeCell ref="C110:K110"/>
    <mergeCell ref="Y110:AG110"/>
  </mergeCells>
  <conditionalFormatting sqref="A1:CC146 A158:CC230 L147:CC157 B147:K150 A147:A157 B156:K156 C155:K155 B154:K154 C151:K153">
    <cfRule type="expression" dxfId="44" priority="4">
      <formula>_xlfn.ISFORMULA(A1)</formula>
    </cfRule>
  </conditionalFormatting>
  <pageMargins left="0.7" right="0.7" top="0.75" bottom="0.75" header="0.3" footer="0.3"/>
  <pageSetup orientation="portrait" horizontalDpi="90" verticalDpi="9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FEB6B-EC02-462B-AAF9-567927A99B46}">
  <sheetPr codeName="Sheet14">
    <tabColor theme="6" tint="0.39997558519241921"/>
  </sheetPr>
  <dimension ref="A1:M37"/>
  <sheetViews>
    <sheetView showGridLines="0" zoomScaleNormal="100" workbookViewId="0"/>
  </sheetViews>
  <sheetFormatPr defaultColWidth="8.90625" defaultRowHeight="13" outlineLevelRow="1" x14ac:dyDescent="0.3"/>
  <cols>
    <col min="1" max="1" width="5.08984375" style="35" customWidth="1"/>
    <col min="2" max="2" width="40.90625" style="35" customWidth="1"/>
    <col min="3" max="3" width="8.90625" style="35"/>
    <col min="4" max="7" width="9.54296875" style="35" bestFit="1" customWidth="1"/>
    <col min="8" max="8" width="8.90625" style="35"/>
    <col min="9" max="9" width="17.36328125" style="35" bestFit="1" customWidth="1"/>
    <col min="10" max="16384" width="8.90625" style="35"/>
  </cols>
  <sheetData>
    <row r="1" spans="1:10" ht="48" customHeight="1" x14ac:dyDescent="0.3">
      <c r="A1" s="45"/>
    </row>
    <row r="3" spans="1:10" x14ac:dyDescent="0.3">
      <c r="B3" s="46" t="s">
        <v>2191</v>
      </c>
      <c r="C3" s="47"/>
      <c r="D3" s="47"/>
      <c r="E3" s="47"/>
      <c r="F3" s="47"/>
      <c r="G3" s="47"/>
      <c r="H3" s="47"/>
      <c r="I3" s="48"/>
    </row>
    <row r="4" spans="1:10" hidden="1" outlineLevel="1" x14ac:dyDescent="0.3"/>
    <row r="5" spans="1:10" hidden="1" outlineLevel="1" x14ac:dyDescent="0.3">
      <c r="C5" s="18" t="s">
        <v>305</v>
      </c>
      <c r="D5" s="78">
        <v>0.5</v>
      </c>
    </row>
    <row r="6" spans="1:10" hidden="1" outlineLevel="1" x14ac:dyDescent="0.3">
      <c r="C6" s="18" t="s">
        <v>304</v>
      </c>
      <c r="D6" s="78">
        <v>0.3</v>
      </c>
    </row>
    <row r="7" spans="1:10" hidden="1" outlineLevel="1" x14ac:dyDescent="0.3">
      <c r="C7" s="18"/>
    </row>
    <row r="8" spans="1:10" hidden="1" outlineLevel="1" x14ac:dyDescent="0.3">
      <c r="C8" s="52" t="s">
        <v>825</v>
      </c>
      <c r="D8" s="190">
        <f>(1-D6)*inp_nat_cat_aal/D5</f>
        <v>0</v>
      </c>
    </row>
    <row r="9" spans="1:10" hidden="1" outlineLevel="1" x14ac:dyDescent="0.3">
      <c r="C9" s="50"/>
    </row>
    <row r="10" spans="1:10" hidden="1" outlineLevel="1" x14ac:dyDescent="0.3">
      <c r="D10" s="782" t="s">
        <v>4081</v>
      </c>
      <c r="E10" s="782"/>
      <c r="F10" s="782"/>
      <c r="G10" s="782"/>
    </row>
    <row r="11" spans="1:10" hidden="1" outlineLevel="1" x14ac:dyDescent="0.3">
      <c r="D11" s="477" t="s">
        <v>4082</v>
      </c>
      <c r="E11" s="477" t="s">
        <v>4083</v>
      </c>
      <c r="F11" s="477" t="s">
        <v>4084</v>
      </c>
      <c r="G11" s="477" t="s">
        <v>4085</v>
      </c>
    </row>
    <row r="12" spans="1:10" hidden="1" outlineLevel="1" x14ac:dyDescent="0.3">
      <c r="D12" s="190">
        <f>MAX(0,Input!I712-$D$8)</f>
        <v>0</v>
      </c>
      <c r="E12" s="190">
        <f>MAX(0,Input!H712-$D$8)</f>
        <v>0</v>
      </c>
      <c r="F12" s="190">
        <f>MAX(0,Input!G712-$D$8)</f>
        <v>0</v>
      </c>
      <c r="G12" s="190">
        <f>MAX(0,Input!F712-$D$8)</f>
        <v>0</v>
      </c>
    </row>
    <row r="13" spans="1:10" hidden="1" outlineLevel="1" x14ac:dyDescent="0.3">
      <c r="C13" s="50"/>
    </row>
    <row r="14" spans="1:10" hidden="1" outlineLevel="1" x14ac:dyDescent="0.3">
      <c r="C14" s="57"/>
      <c r="D14" s="58">
        <v>0.99990000000000001</v>
      </c>
      <c r="E14" s="58">
        <v>0.99950000000000006</v>
      </c>
      <c r="F14" s="58">
        <v>0.998</v>
      </c>
      <c r="G14" s="58">
        <v>0.995</v>
      </c>
    </row>
    <row r="15" spans="1:10" hidden="1" outlineLevel="1" x14ac:dyDescent="0.3">
      <c r="C15" s="52" t="s">
        <v>307</v>
      </c>
      <c r="D15" s="53">
        <f>'Risk Charges'!D3</f>
        <v>1.65</v>
      </c>
      <c r="E15" s="53">
        <f>'Risk Charges'!E3</f>
        <v>1.4</v>
      </c>
      <c r="F15" s="53">
        <f>'Risk Charges'!F3</f>
        <v>1.2</v>
      </c>
      <c r="G15" s="53">
        <f>'Risk Charges'!G3</f>
        <v>1</v>
      </c>
    </row>
    <row r="16" spans="1:10" hidden="1" outlineLevel="1" x14ac:dyDescent="0.3">
      <c r="C16" s="52" t="s">
        <v>4413</v>
      </c>
      <c r="D16" s="53"/>
      <c r="E16" s="53">
        <f>(E15-$G15)/($D15-$G15)</f>
        <v>0.61538461538461531</v>
      </c>
      <c r="F16" s="53">
        <f>(F15-$G15)/($D15-$G15)</f>
        <v>0.30769230769230765</v>
      </c>
      <c r="G16" s="53"/>
      <c r="J16" s="644"/>
    </row>
    <row r="17" spans="2:13" hidden="1" outlineLevel="1" x14ac:dyDescent="0.3">
      <c r="C17" s="52" t="s">
        <v>4414</v>
      </c>
      <c r="D17" s="53"/>
      <c r="E17" s="53">
        <f>(E15-F15)/(D15-F15)</f>
        <v>0.44444444444444436</v>
      </c>
      <c r="F17" s="53">
        <f>(F15-G15)/(E15-G15)</f>
        <v>0.5</v>
      </c>
      <c r="G17" s="53"/>
    </row>
    <row r="18" spans="2:13" hidden="1" outlineLevel="1" x14ac:dyDescent="0.3">
      <c r="C18" s="52" t="s">
        <v>4415</v>
      </c>
      <c r="D18" s="190">
        <f>D12</f>
        <v>0</v>
      </c>
      <c r="E18" s="190">
        <f>IF(OR(Input!T707,Input!W707), E12, IF(Input!V707, IF(Input!U707,E16*($D$12-$G$12)+$G$12,E17*(D12-F12)+F12), E12))</f>
        <v>0</v>
      </c>
      <c r="F18" s="190">
        <f>IF(OR(Input!T707,Input!W707), F12, IF(Input!U707,IF(Input!V707,F16*( $D$12-$G$12)+$G$12,F17*(E12-G12)+G12), F12))</f>
        <v>0</v>
      </c>
      <c r="G18" s="190">
        <f>G12</f>
        <v>0</v>
      </c>
      <c r="I18" s="646"/>
      <c r="J18" s="108"/>
      <c r="K18" s="108"/>
      <c r="L18" s="108"/>
      <c r="M18" s="108"/>
    </row>
    <row r="19" spans="2:13" hidden="1" outlineLevel="1" x14ac:dyDescent="0.3">
      <c r="C19" s="52" t="s">
        <v>4385</v>
      </c>
      <c r="D19" s="190">
        <f>$G19*D15</f>
        <v>0</v>
      </c>
      <c r="E19" s="190">
        <f>$G19*E15</f>
        <v>0</v>
      </c>
      <c r="F19" s="190">
        <f>$G19*F15</f>
        <v>0</v>
      </c>
      <c r="G19" s="190">
        <f>inp_nat_cat_cl_99_5_charge</f>
        <v>0</v>
      </c>
      <c r="I19" s="645"/>
      <c r="K19" s="645"/>
      <c r="L19" s="644"/>
    </row>
    <row r="20" spans="2:13" hidden="1" outlineLevel="1" x14ac:dyDescent="0.3">
      <c r="C20" s="50"/>
    </row>
    <row r="21" spans="2:13" hidden="1" outlineLevel="1" x14ac:dyDescent="0.3">
      <c r="C21" s="52" t="s">
        <v>4416</v>
      </c>
      <c r="D21" s="190">
        <f>IF(inp_nat_cat_is_aep_curve_available="No",D19,D18)</f>
        <v>0</v>
      </c>
      <c r="E21" s="190">
        <f>IF(inp_nat_cat_is_aep_curve_available="No",E19,E18)</f>
        <v>0</v>
      </c>
      <c r="F21" s="190">
        <f>IF(inp_nat_cat_is_aep_curve_available="No",F19,F18)</f>
        <v>0</v>
      </c>
      <c r="G21" s="190">
        <f>IF(inp_nat_cat_is_aep_curve_available="No",G19,G18)</f>
        <v>0</v>
      </c>
      <c r="I21" s="108"/>
    </row>
    <row r="22" spans="2:13" hidden="1" outlineLevel="1" x14ac:dyDescent="0.3">
      <c r="C22" s="52" t="s">
        <v>276</v>
      </c>
      <c r="D22" s="190">
        <f>SUMIF(Adjustment!$L$5:$L$24,Lists!$L$4,Adjustment!M$5:M$24)</f>
        <v>0</v>
      </c>
      <c r="E22" s="190">
        <f>SUMIF(Adjustment!$L$5:$L$24,Lists!$L$4,Adjustment!N$5:N$24)</f>
        <v>0</v>
      </c>
      <c r="F22" s="190">
        <f>SUMIF(Adjustment!$L$5:$L$24,Lists!$L$4,Adjustment!O$5:O$24)</f>
        <v>0</v>
      </c>
      <c r="G22" s="190">
        <f>SUMIF(Adjustment!$L$5:$L$24,Lists!$L$4,Adjustment!P$5:P$24)</f>
        <v>0</v>
      </c>
      <c r="I22" s="108"/>
    </row>
    <row r="23" spans="2:13" hidden="1" outlineLevel="1" x14ac:dyDescent="0.3">
      <c r="C23" s="52" t="s">
        <v>356</v>
      </c>
      <c r="D23" s="190">
        <f>D21+D22</f>
        <v>0</v>
      </c>
      <c r="E23" s="190">
        <f t="shared" ref="E23:G23" si="0">E21+E22</f>
        <v>0</v>
      </c>
      <c r="F23" s="190">
        <f t="shared" si="0"/>
        <v>0</v>
      </c>
      <c r="G23" s="190">
        <f t="shared" si="0"/>
        <v>0</v>
      </c>
    </row>
    <row r="24" spans="2:13" collapsed="1" x14ac:dyDescent="0.3">
      <c r="C24" s="50"/>
      <c r="D24" s="191"/>
      <c r="E24" s="191"/>
      <c r="F24" s="191"/>
      <c r="G24" s="191"/>
    </row>
    <row r="25" spans="2:13" x14ac:dyDescent="0.3">
      <c r="B25" s="46" t="s">
        <v>2189</v>
      </c>
      <c r="C25" s="51"/>
      <c r="D25" s="47"/>
      <c r="E25" s="47"/>
      <c r="F25" s="47"/>
      <c r="G25" s="47"/>
      <c r="H25" s="47"/>
      <c r="I25" s="48"/>
    </row>
    <row r="26" spans="2:13" hidden="1" outlineLevel="1" x14ac:dyDescent="0.3">
      <c r="C26" s="50"/>
    </row>
    <row r="27" spans="2:13" hidden="1" outlineLevel="1" x14ac:dyDescent="0.3">
      <c r="D27" s="782" t="s">
        <v>4086</v>
      </c>
      <c r="E27" s="782"/>
      <c r="F27" s="782"/>
      <c r="G27" s="782"/>
    </row>
    <row r="28" spans="2:13" hidden="1" outlineLevel="1" x14ac:dyDescent="0.3">
      <c r="D28" s="477" t="s">
        <v>4082</v>
      </c>
      <c r="E28" s="477" t="s">
        <v>4083</v>
      </c>
      <c r="F28" s="477" t="s">
        <v>4084</v>
      </c>
      <c r="G28" s="477" t="s">
        <v>4085</v>
      </c>
    </row>
    <row r="29" spans="2:13" hidden="1" outlineLevel="1" x14ac:dyDescent="0.3">
      <c r="D29" s="190">
        <f>IF(inp_nat_cat_is_aep_curve_available="No",$G29*D15, Input!I708)</f>
        <v>0</v>
      </c>
      <c r="E29" s="190">
        <f>IF(inp_nat_cat_is_aep_curve_available="No",$G29*E15, Input!H708)</f>
        <v>0</v>
      </c>
      <c r="F29" s="190">
        <f>IF(inp_nat_cat_is_aep_curve_available="No",$G29*F15, Input!G708)</f>
        <v>0</v>
      </c>
      <c r="G29" s="190">
        <f>IF(inp_nat_cat_is_aep_curve_available="No",Input!J716, Input!F708)</f>
        <v>0</v>
      </c>
    </row>
    <row r="30" spans="2:13" hidden="1" outlineLevel="1" x14ac:dyDescent="0.3"/>
    <row r="31" spans="2:13" hidden="1" outlineLevel="1" x14ac:dyDescent="0.3">
      <c r="D31" s="58">
        <v>0.99990000000000001</v>
      </c>
      <c r="E31" s="58">
        <v>0.99950000000000006</v>
      </c>
      <c r="F31" s="58">
        <v>0.998</v>
      </c>
      <c r="G31" s="58">
        <v>0.995</v>
      </c>
    </row>
    <row r="32" spans="2:13" hidden="1" outlineLevel="1" x14ac:dyDescent="0.3">
      <c r="C32" s="18" t="s">
        <v>2114</v>
      </c>
      <c r="D32" s="190">
        <f>D29</f>
        <v>0</v>
      </c>
      <c r="E32" s="190">
        <f>IF(inp_nat_cat_is_aep_curve_available="No", E29,IF(OR(Input!T708,Input!W708), E29, IF(Input!V708, IF(Input!U708,E16*($D$29-$G$29)+$G$29,E17*(D29-F29)+F29), E29)))</f>
        <v>0</v>
      </c>
      <c r="F32" s="190">
        <f>IF(inp_nat_cat_is_aep_curve_available="No", F29,IF(OR(Input!T708,Input!W708), F29, IF(Input!U708,IF(Input!V708,F16*( $D$29-$G$29)+$G$29,F17*(E29-G29)+G29), F29)))</f>
        <v>0</v>
      </c>
      <c r="G32" s="190">
        <f>G29</f>
        <v>0</v>
      </c>
    </row>
    <row r="33" spans="3:7" hidden="1" outlineLevel="1" x14ac:dyDescent="0.3">
      <c r="C33" s="50"/>
    </row>
    <row r="34" spans="3:7" hidden="1" outlineLevel="1" x14ac:dyDescent="0.3">
      <c r="C34" s="18" t="s">
        <v>826</v>
      </c>
      <c r="D34" s="190">
        <f>D32*'Risk Charges'!P59</f>
        <v>0</v>
      </c>
      <c r="E34" s="190">
        <f>E32*'Risk Charges'!Q59</f>
        <v>0</v>
      </c>
      <c r="F34" s="190">
        <f>F32*'Risk Charges'!R59</f>
        <v>0</v>
      </c>
      <c r="G34" s="190">
        <f>G32*'Risk Charges'!S59</f>
        <v>0</v>
      </c>
    </row>
    <row r="35" spans="3:7" hidden="1" outlineLevel="1" x14ac:dyDescent="0.3">
      <c r="C35" s="52" t="s">
        <v>276</v>
      </c>
      <c r="D35" s="190">
        <f>SUMIF(Adjustment!$L$5:$L$24,Lists!$L$5,Adjustment!M$5:M$24)</f>
        <v>0</v>
      </c>
      <c r="E35" s="190">
        <f>SUMIF(Adjustment!$L$5:$L$24,Lists!$L$5,Adjustment!N$5:N$24)</f>
        <v>0</v>
      </c>
      <c r="F35" s="190">
        <f>SUMIF(Adjustment!$L$5:$L$24,Lists!$L$5,Adjustment!O$5:O$24)</f>
        <v>0</v>
      </c>
      <c r="G35" s="190">
        <f>SUMIF(Adjustment!$L$5:$L$24,Lists!$L$5,Adjustment!P$5:P$24)</f>
        <v>0</v>
      </c>
    </row>
    <row r="36" spans="3:7" hidden="1" outlineLevel="1" x14ac:dyDescent="0.3">
      <c r="C36" s="52" t="s">
        <v>356</v>
      </c>
      <c r="D36" s="190">
        <f>D34+D35</f>
        <v>0</v>
      </c>
      <c r="E36" s="190">
        <f t="shared" ref="E36:G36" si="1">E34+E35</f>
        <v>0</v>
      </c>
      <c r="F36" s="190">
        <f t="shared" si="1"/>
        <v>0</v>
      </c>
      <c r="G36" s="190">
        <f t="shared" si="1"/>
        <v>0</v>
      </c>
    </row>
    <row r="37" spans="3:7" collapsed="1" x14ac:dyDescent="0.3"/>
  </sheetData>
  <sheetProtection algorithmName="SHA-512" hashValue="1t0PBxYgU4t3GwY3tcm6CfH4lYNDP3f9iE+ysOGpZRrsAOeTAYhmlDANfw4c5UhDXDOJTyUzyQNv3rexsXLpjg==" saltValue="GRlN1yrwZm2Z95PVQOG1wQ==" spinCount="100000" sheet="1" objects="1" scenarios="1" formatColumns="0" formatRows="0"/>
  <mergeCells count="2">
    <mergeCell ref="D10:G10"/>
    <mergeCell ref="D27:G27"/>
  </mergeCells>
  <conditionalFormatting sqref="A1:J40">
    <cfRule type="expression" dxfId="43" priority="5">
      <formula>_xlfn.ISFORMULA(A1)</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A790C-0F17-49C6-BD1E-E6C73C710C05}">
  <sheetPr codeName="Sheet8">
    <tabColor theme="6" tint="0.39997558519241921"/>
  </sheetPr>
  <dimension ref="A1:BP302"/>
  <sheetViews>
    <sheetView showGridLines="0" zoomScaleNormal="100" workbookViewId="0"/>
  </sheetViews>
  <sheetFormatPr defaultColWidth="8.90625" defaultRowHeight="13" outlineLevelRow="1" x14ac:dyDescent="0.3"/>
  <cols>
    <col min="1" max="1" width="4.54296875" style="34" customWidth="1"/>
    <col min="2" max="2" width="15" style="34" customWidth="1"/>
    <col min="3" max="4" width="9.08984375" style="34" customWidth="1"/>
    <col min="5" max="8" width="13.6328125" style="34" customWidth="1"/>
    <col min="9" max="9" width="9.08984375" style="34" customWidth="1"/>
    <col min="10" max="10" width="7.08984375" style="34" customWidth="1"/>
    <col min="11" max="11" width="15" style="34" customWidth="1"/>
    <col min="12" max="13" width="9.08984375" style="34" customWidth="1"/>
    <col min="14" max="17" width="13.6328125" style="34" customWidth="1"/>
    <col min="18" max="19" width="9.08984375" style="34" customWidth="1"/>
    <col min="20" max="20" width="15" style="34" customWidth="1"/>
    <col min="21" max="22" width="9.08984375" style="34" customWidth="1"/>
    <col min="23" max="26" width="13.6328125" style="34" customWidth="1"/>
    <col min="27" max="28" width="9.08984375" style="34" customWidth="1"/>
    <col min="29" max="29" width="15" style="34" customWidth="1"/>
    <col min="30" max="31" width="9.08984375" style="34" customWidth="1"/>
    <col min="32" max="35" width="13.6328125" style="34" customWidth="1"/>
    <col min="36" max="36" width="9.08984375" style="34" customWidth="1"/>
    <col min="37" max="37" width="8.90625" style="34" customWidth="1"/>
    <col min="38" max="38" width="8.90625" style="34"/>
    <col min="39" max="39" width="41.54296875" style="61" customWidth="1"/>
    <col min="40" max="40" width="13.54296875" style="34" customWidth="1"/>
    <col min="41" max="41" width="10.08984375" style="34" bestFit="1" customWidth="1"/>
    <col min="42" max="51" width="10.08984375" style="34" customWidth="1"/>
    <col min="52" max="52" width="32.453125" style="61" bestFit="1" customWidth="1"/>
    <col min="53" max="53" width="13.54296875" style="34" customWidth="1"/>
    <col min="54" max="64" width="10.08984375" style="34" customWidth="1"/>
    <col min="65" max="65" width="31.54296875" style="34" customWidth="1"/>
    <col min="66" max="66" width="17.08984375" style="34" customWidth="1"/>
    <col min="67" max="67" width="11.08984375" style="34" customWidth="1"/>
    <col min="68" max="68" width="11.6328125" style="34" customWidth="1"/>
    <col min="69" max="69" width="11" style="34" customWidth="1"/>
    <col min="70" max="16384" width="8.90625" style="34"/>
  </cols>
  <sheetData>
    <row r="1" spans="1:66" ht="41" customHeight="1" x14ac:dyDescent="0.3">
      <c r="A1" s="105"/>
    </row>
    <row r="2" spans="1:66" x14ac:dyDescent="0.3">
      <c r="B2" s="38" t="s">
        <v>360</v>
      </c>
      <c r="C2" s="39"/>
      <c r="D2" s="39"/>
      <c r="E2" s="39"/>
      <c r="F2" s="39"/>
      <c r="G2" s="39"/>
      <c r="H2" s="39"/>
      <c r="I2" s="39"/>
      <c r="J2" s="39"/>
      <c r="K2" s="39"/>
      <c r="L2" s="39"/>
      <c r="M2" s="39"/>
      <c r="N2" s="39"/>
      <c r="O2" s="39"/>
      <c r="P2" s="39"/>
      <c r="Q2" s="39"/>
      <c r="R2" s="39"/>
      <c r="T2" s="38" t="s">
        <v>293</v>
      </c>
      <c r="U2" s="40"/>
      <c r="V2" s="40"/>
      <c r="W2" s="40"/>
      <c r="X2" s="40"/>
      <c r="Y2" s="40"/>
      <c r="Z2" s="40"/>
      <c r="AA2" s="39"/>
      <c r="AK2" s="36"/>
      <c r="AL2" s="36"/>
      <c r="AM2" s="36"/>
      <c r="AN2" s="36"/>
      <c r="AY2" s="36"/>
      <c r="AZ2" s="36"/>
      <c r="BA2" s="36"/>
      <c r="BB2" s="36"/>
      <c r="BC2" s="36"/>
      <c r="BD2" s="36"/>
      <c r="BE2" s="36"/>
      <c r="BF2" s="36"/>
      <c r="BG2" s="36"/>
      <c r="BH2" s="36"/>
      <c r="BI2" s="36"/>
      <c r="BJ2" s="36"/>
      <c r="BK2" s="36"/>
      <c r="BL2" s="36"/>
      <c r="BM2" s="36"/>
      <c r="BN2" s="36"/>
    </row>
    <row r="3" spans="1:66" hidden="1" outlineLevel="1" x14ac:dyDescent="0.3">
      <c r="AK3" s="36"/>
      <c r="AL3" s="36"/>
      <c r="AM3" s="36"/>
      <c r="AN3" s="36"/>
    </row>
    <row r="4" spans="1:66" hidden="1" outlineLevel="1" x14ac:dyDescent="0.3">
      <c r="E4" s="101">
        <v>0.99990000000000001</v>
      </c>
      <c r="F4" s="101">
        <v>0.99950000000000006</v>
      </c>
      <c r="G4" s="101">
        <v>0.998</v>
      </c>
      <c r="H4" s="101">
        <v>0.995</v>
      </c>
      <c r="V4" s="61"/>
      <c r="W4" s="783" t="s">
        <v>297</v>
      </c>
      <c r="X4" s="783"/>
      <c r="Y4" s="783"/>
      <c r="Z4" s="783"/>
      <c r="AK4" s="36"/>
      <c r="AL4" s="36"/>
      <c r="AM4" s="36"/>
    </row>
    <row r="5" spans="1:66" hidden="1" outlineLevel="1" x14ac:dyDescent="0.3">
      <c r="D5" s="41" t="s">
        <v>321</v>
      </c>
      <c r="E5" s="193">
        <f>E31+E179</f>
        <v>0</v>
      </c>
      <c r="F5" s="193">
        <f>F31+F179</f>
        <v>0</v>
      </c>
      <c r="G5" s="193">
        <f>G31+G179</f>
        <v>0</v>
      </c>
      <c r="H5" s="193">
        <f>H31+H179</f>
        <v>0</v>
      </c>
      <c r="V5" s="76" t="s">
        <v>960</v>
      </c>
      <c r="W5" s="103">
        <v>0.99990000000000001</v>
      </c>
      <c r="X5" s="103">
        <v>0.99950000000000006</v>
      </c>
      <c r="Y5" s="103">
        <v>0.998</v>
      </c>
      <c r="Z5" s="103">
        <v>0.995</v>
      </c>
    </row>
    <row r="6" spans="1:66" hidden="1" outlineLevel="1" x14ac:dyDescent="0.3">
      <c r="D6" s="41" t="s">
        <v>276</v>
      </c>
      <c r="E6" s="193">
        <f>SUMIF(Adjustment!$L$5:$L$24,Lists!$L$6,Adjustment!M$5:M$24)</f>
        <v>0</v>
      </c>
      <c r="F6" s="193">
        <f>SUMIF(Adjustment!$L$5:$L$24,Lists!$L$6,Adjustment!N$5:N$24)</f>
        <v>0</v>
      </c>
      <c r="G6" s="193">
        <f>SUMIF(Adjustment!$L$5:$L$24,Lists!$L$6,Adjustment!O$5:O$24)</f>
        <v>0</v>
      </c>
      <c r="H6" s="193">
        <f>SUMIF(Adjustment!$L$5:$L$24,Lists!$L$6,Adjustment!P$5:P$24)</f>
        <v>0</v>
      </c>
      <c r="U6" s="41" t="s">
        <v>953</v>
      </c>
      <c r="V6" s="194">
        <f>Input!F696+Input!F697*inp_mi_upr_earn_pattern</f>
        <v>0</v>
      </c>
      <c r="W6" s="194">
        <f>$V6*'Risk Charges'!D150</f>
        <v>0</v>
      </c>
      <c r="X6" s="194">
        <f>$V6*'Risk Charges'!E150</f>
        <v>0</v>
      </c>
      <c r="Y6" s="194">
        <f>$V6*'Risk Charges'!F150</f>
        <v>0</v>
      </c>
      <c r="Z6" s="194">
        <f>$V6*'Risk Charges'!G150</f>
        <v>0</v>
      </c>
    </row>
    <row r="7" spans="1:66" hidden="1" outlineLevel="1" x14ac:dyDescent="0.3">
      <c r="N7" s="101">
        <v>0.99990000000000001</v>
      </c>
      <c r="O7" s="101">
        <v>0.99950000000000006</v>
      </c>
      <c r="P7" s="101">
        <v>0.998</v>
      </c>
      <c r="Q7" s="101">
        <v>0.995</v>
      </c>
      <c r="U7" s="41" t="s">
        <v>954</v>
      </c>
      <c r="V7" s="194">
        <f>Input!G696+Input!G697*inp_mi_upr_earn_pattern</f>
        <v>0</v>
      </c>
      <c r="W7" s="194">
        <f>$V7*'Risk Charges'!D151</f>
        <v>0</v>
      </c>
      <c r="X7" s="194">
        <f>$V7*'Risk Charges'!E151</f>
        <v>0</v>
      </c>
      <c r="Y7" s="194">
        <f>$V7*'Risk Charges'!F151</f>
        <v>0</v>
      </c>
      <c r="Z7" s="194">
        <f>$V7*'Risk Charges'!G151</f>
        <v>0</v>
      </c>
    </row>
    <row r="8" spans="1:66" hidden="1" outlineLevel="1" x14ac:dyDescent="0.3">
      <c r="D8" s="41" t="s">
        <v>838</v>
      </c>
      <c r="E8" s="193">
        <f>SUMIF(Adjustment!$L$5:$L$24,Lists!$L21,Adjustment!M$5:M$24)</f>
        <v>0</v>
      </c>
      <c r="F8" s="193">
        <f>SUMIF(Adjustment!$L$5:$L$24,Lists!$L21,Adjustment!N$5:N$24)</f>
        <v>0</v>
      </c>
      <c r="G8" s="193">
        <f>SUMIF(Adjustment!$L$5:$L$24,Lists!$L21,Adjustment!O$5:O$24)</f>
        <v>0</v>
      </c>
      <c r="H8" s="193">
        <f>SUMIF(Adjustment!$L$5:$L$24,Lists!$L21,Adjustment!P$5:P$24)</f>
        <v>0</v>
      </c>
      <c r="M8" s="41" t="s">
        <v>844</v>
      </c>
      <c r="N8" s="193">
        <f>SUMIF(Adjustment!$L$5:$L$24,Lists!$L29,Adjustment!M$5:M$24)</f>
        <v>0</v>
      </c>
      <c r="O8" s="193">
        <f>SUMIF(Adjustment!$L$5:$L$24,Lists!$L29,Adjustment!N$5:N$24)</f>
        <v>0</v>
      </c>
      <c r="P8" s="193">
        <f>SUMIF(Adjustment!$L$5:$L$24,Lists!$L29,Adjustment!O$5:O$24)</f>
        <v>0</v>
      </c>
      <c r="Q8" s="193">
        <f>SUMIF(Adjustment!$L$5:$L$24,Lists!$L29,Adjustment!P$5:P$24)</f>
        <v>0</v>
      </c>
      <c r="U8" s="41" t="s">
        <v>955</v>
      </c>
      <c r="W8" s="194">
        <f>W6+W7</f>
        <v>0</v>
      </c>
      <c r="X8" s="194">
        <f t="shared" ref="X8:Z8" si="0">X6+X7</f>
        <v>0</v>
      </c>
      <c r="Y8" s="194">
        <f t="shared" si="0"/>
        <v>0</v>
      </c>
      <c r="Z8" s="194">
        <f t="shared" si="0"/>
        <v>0</v>
      </c>
    </row>
    <row r="9" spans="1:66" hidden="1" outlineLevel="1" x14ac:dyDescent="0.3">
      <c r="D9" s="41" t="s">
        <v>836</v>
      </c>
      <c r="E9" s="193">
        <f>SUMIF(Adjustment!$L$5:$L$24,Lists!$L22,Adjustment!M$5:M$24)</f>
        <v>0</v>
      </c>
      <c r="F9" s="193">
        <f>SUMIF(Adjustment!$L$5:$L$24,Lists!$L22,Adjustment!N$5:N$24)</f>
        <v>0</v>
      </c>
      <c r="G9" s="193">
        <f>SUMIF(Adjustment!$L$5:$L$24,Lists!$L22,Adjustment!O$5:O$24)</f>
        <v>0</v>
      </c>
      <c r="H9" s="193">
        <f>SUMIF(Adjustment!$L$5:$L$24,Lists!$L22,Adjustment!P$5:P$24)</f>
        <v>0</v>
      </c>
      <c r="M9" s="41" t="s">
        <v>842</v>
      </c>
      <c r="N9" s="193">
        <f>SUMIF(Adjustment!$L$5:$L$24,Lists!$L30,Adjustment!M$5:M$24)</f>
        <v>0</v>
      </c>
      <c r="O9" s="193">
        <f>SUMIF(Adjustment!$L$5:$L$24,Lists!$L30,Adjustment!N$5:N$24)</f>
        <v>0</v>
      </c>
      <c r="P9" s="193">
        <f>SUMIF(Adjustment!$L$5:$L$24,Lists!$L30,Adjustment!O$5:O$24)</f>
        <v>0</v>
      </c>
      <c r="Q9" s="193">
        <f>SUMIF(Adjustment!$L$5:$L$24,Lists!$L30,Adjustment!P$5:P$24)</f>
        <v>0</v>
      </c>
      <c r="U9" s="61"/>
      <c r="W9" s="61"/>
      <c r="X9" s="61"/>
      <c r="Y9" s="61"/>
      <c r="Z9" s="61"/>
    </row>
    <row r="10" spans="1:66" hidden="1" outlineLevel="1" x14ac:dyDescent="0.3">
      <c r="D10" s="41" t="s">
        <v>837</v>
      </c>
      <c r="E10" s="193">
        <f>SUMIF(Adjustment!$L$5:$L$24,Lists!$L23,Adjustment!M$5:M$24)</f>
        <v>0</v>
      </c>
      <c r="F10" s="193">
        <f>SUMIF(Adjustment!$L$5:$L$24,Lists!$L23,Adjustment!N$5:N$24)</f>
        <v>0</v>
      </c>
      <c r="G10" s="193">
        <f>SUMIF(Adjustment!$L$5:$L$24,Lists!$L23,Adjustment!O$5:O$24)</f>
        <v>0</v>
      </c>
      <c r="H10" s="193">
        <f>SUMIF(Adjustment!$L$5:$L$24,Lists!$L23,Adjustment!P$5:P$24)</f>
        <v>0</v>
      </c>
      <c r="M10" s="41" t="s">
        <v>843</v>
      </c>
      <c r="N10" s="193">
        <f>SUMIF(Adjustment!$L$5:$L$24,Lists!$L31,Adjustment!M$5:M$24)</f>
        <v>0</v>
      </c>
      <c r="O10" s="193">
        <f>SUMIF(Adjustment!$L$5:$L$24,Lists!$L31,Adjustment!N$5:N$24)</f>
        <v>0</v>
      </c>
      <c r="P10" s="193">
        <f>SUMIF(Adjustment!$L$5:$L$24,Lists!$L31,Adjustment!O$5:O$24)</f>
        <v>0</v>
      </c>
      <c r="Q10" s="193">
        <f>SUMIF(Adjustment!$L$5:$L$24,Lists!$L31,Adjustment!P$5:P$24)</f>
        <v>0</v>
      </c>
      <c r="V10" s="104"/>
      <c r="W10" s="746" t="s">
        <v>298</v>
      </c>
      <c r="X10" s="746"/>
      <c r="Y10" s="746"/>
      <c r="Z10" s="746"/>
    </row>
    <row r="11" spans="1:66" hidden="1" outlineLevel="1" x14ac:dyDescent="0.3">
      <c r="D11" s="41" t="s">
        <v>840</v>
      </c>
      <c r="E11" s="193">
        <f>SUMIF(Adjustment!$L$5:$L$24,Lists!$L24,Adjustment!M$5:M$24)</f>
        <v>0</v>
      </c>
      <c r="F11" s="193">
        <f>SUMIF(Adjustment!$L$5:$L$24,Lists!$L24,Adjustment!N$5:N$24)</f>
        <v>0</v>
      </c>
      <c r="G11" s="193">
        <f>SUMIF(Adjustment!$L$5:$L$24,Lists!$L24,Adjustment!O$5:O$24)</f>
        <v>0</v>
      </c>
      <c r="H11" s="193">
        <f>SUMIF(Adjustment!$L$5:$L$24,Lists!$L24,Adjustment!P$5:P$24)</f>
        <v>0</v>
      </c>
      <c r="M11" s="41" t="s">
        <v>846</v>
      </c>
      <c r="N11" s="193">
        <f>SUMIF(Adjustment!$L$5:$L$24,Lists!$L32,Adjustment!M$5:M$24)</f>
        <v>0</v>
      </c>
      <c r="O11" s="193">
        <f>SUMIF(Adjustment!$L$5:$L$24,Lists!$L32,Adjustment!N$5:N$24)</f>
        <v>0</v>
      </c>
      <c r="P11" s="193">
        <f>SUMIF(Adjustment!$L$5:$L$24,Lists!$L32,Adjustment!O$5:O$24)</f>
        <v>0</v>
      </c>
      <c r="Q11" s="193">
        <f>SUMIF(Adjustment!$L$5:$L$24,Lists!$L32,Adjustment!P$5:P$24)</f>
        <v>0</v>
      </c>
      <c r="U11" s="41" t="s">
        <v>956</v>
      </c>
      <c r="W11" s="194">
        <f>Input!$F698*'Risk Charges'!D154</f>
        <v>0</v>
      </c>
      <c r="X11" s="194">
        <f>Input!$F698*'Risk Charges'!E154</f>
        <v>0</v>
      </c>
      <c r="Y11" s="194">
        <f>Input!$F698*'Risk Charges'!F154</f>
        <v>0</v>
      </c>
      <c r="Z11" s="194">
        <f>Input!$F698*'Risk Charges'!G154</f>
        <v>0</v>
      </c>
    </row>
    <row r="12" spans="1:66" hidden="1" outlineLevel="1" x14ac:dyDescent="0.3">
      <c r="D12" s="41" t="s">
        <v>839</v>
      </c>
      <c r="E12" s="193">
        <f>SUMIF(Adjustment!$L$5:$L$24,Lists!$L25,Adjustment!M$5:M$24)</f>
        <v>0</v>
      </c>
      <c r="F12" s="193">
        <f>SUMIF(Adjustment!$L$5:$L$24,Lists!$L25,Adjustment!N$5:N$24)</f>
        <v>0</v>
      </c>
      <c r="G12" s="193">
        <f>SUMIF(Adjustment!$L$5:$L$24,Lists!$L25,Adjustment!O$5:O$24)</f>
        <v>0</v>
      </c>
      <c r="H12" s="193">
        <f>SUMIF(Adjustment!$L$5:$L$24,Lists!$L25,Adjustment!P$5:P$24)</f>
        <v>0</v>
      </c>
      <c r="M12" s="41" t="s">
        <v>845</v>
      </c>
      <c r="N12" s="193">
        <f>SUMIF(Adjustment!$L$5:$L$24,Lists!$L33,Adjustment!M$5:M$24)</f>
        <v>0</v>
      </c>
      <c r="O12" s="193">
        <f>SUMIF(Adjustment!$L$5:$L$24,Lists!$L33,Adjustment!N$5:N$24)</f>
        <v>0</v>
      </c>
      <c r="P12" s="193">
        <f>SUMIF(Adjustment!$L$5:$L$24,Lists!$L33,Adjustment!O$5:O$24)</f>
        <v>0</v>
      </c>
      <c r="Q12" s="193">
        <f>SUMIF(Adjustment!$L$5:$L$24,Lists!$L33,Adjustment!P$5:P$24)</f>
        <v>0</v>
      </c>
      <c r="U12" s="41" t="s">
        <v>957</v>
      </c>
      <c r="W12" s="194">
        <f>Input!$G698*'Risk Charges'!D155</f>
        <v>0</v>
      </c>
      <c r="X12" s="194">
        <f>Input!$G698*'Risk Charges'!E155</f>
        <v>0</v>
      </c>
      <c r="Y12" s="194">
        <f>Input!$G698*'Risk Charges'!F155</f>
        <v>0</v>
      </c>
      <c r="Z12" s="194">
        <f>Input!$G698*'Risk Charges'!G155</f>
        <v>0</v>
      </c>
    </row>
    <row r="13" spans="1:66" hidden="1" outlineLevel="1" x14ac:dyDescent="0.3">
      <c r="D13" s="41" t="s">
        <v>975</v>
      </c>
      <c r="E13" s="193">
        <f>SUMIF(Adjustment!$L$5:$L$24,Lists!$L26,Adjustment!M$5:M$24)</f>
        <v>0</v>
      </c>
      <c r="F13" s="193">
        <f>SUMIF(Adjustment!$L$5:$L$24,Lists!$L26,Adjustment!N$5:N$24)</f>
        <v>0</v>
      </c>
      <c r="G13" s="193">
        <f>SUMIF(Adjustment!$L$5:$L$24,Lists!$L26,Adjustment!O$5:O$24)</f>
        <v>0</v>
      </c>
      <c r="H13" s="193">
        <f>SUMIF(Adjustment!$L$5:$L$24,Lists!$L26,Adjustment!P$5:P$24)</f>
        <v>0</v>
      </c>
      <c r="M13" s="41" t="s">
        <v>974</v>
      </c>
      <c r="N13" s="193">
        <f>SUMIF(Adjustment!$L$5:$L$24,Lists!$L34,Adjustment!M$5:M$24)</f>
        <v>0</v>
      </c>
      <c r="O13" s="193">
        <f>SUMIF(Adjustment!$L$5:$L$24,Lists!$L34,Adjustment!N$5:N$24)</f>
        <v>0</v>
      </c>
      <c r="P13" s="193">
        <f>SUMIF(Adjustment!$L$5:$L$24,Lists!$L34,Adjustment!O$5:O$24)</f>
        <v>0</v>
      </c>
      <c r="Q13" s="193">
        <f>SUMIF(Adjustment!$L$5:$L$24,Lists!$L34,Adjustment!P$5:P$24)</f>
        <v>0</v>
      </c>
      <c r="U13" s="41" t="s">
        <v>958</v>
      </c>
      <c r="W13" s="194">
        <f>W11+W12</f>
        <v>0</v>
      </c>
      <c r="X13" s="194">
        <f>X11+X12</f>
        <v>0</v>
      </c>
      <c r="Y13" s="194">
        <f>Y11+Y12</f>
        <v>0</v>
      </c>
      <c r="Z13" s="194">
        <f>Z11+Z12</f>
        <v>0</v>
      </c>
    </row>
    <row r="14" spans="1:66" hidden="1" outlineLevel="1" x14ac:dyDescent="0.3">
      <c r="D14" s="41" t="s">
        <v>841</v>
      </c>
      <c r="E14" s="193">
        <f>SUMIF(Adjustment!$L$5:$L$24,Lists!$L27,Adjustment!M$5:M$24)</f>
        <v>0</v>
      </c>
      <c r="F14" s="193">
        <f>SUMIF(Adjustment!$L$5:$L$24,Lists!$L27,Adjustment!N$5:N$24)</f>
        <v>0</v>
      </c>
      <c r="G14" s="193">
        <f>SUMIF(Adjustment!$L$5:$L$24,Lists!$L27,Adjustment!O$5:O$24)</f>
        <v>0</v>
      </c>
      <c r="H14" s="193">
        <f>SUMIF(Adjustment!$L$5:$L$24,Lists!$L27,Adjustment!P$5:P$24)</f>
        <v>0</v>
      </c>
      <c r="M14" s="41" t="s">
        <v>847</v>
      </c>
      <c r="N14" s="193">
        <f>SUMIF(Adjustment!$L$5:$L$24,Lists!$L35,Adjustment!M$5:M$24)</f>
        <v>0</v>
      </c>
      <c r="O14" s="193">
        <f>SUMIF(Adjustment!$L$5:$L$24,Lists!$L35,Adjustment!N$5:N$24)</f>
        <v>0</v>
      </c>
      <c r="P14" s="193">
        <f>SUMIF(Adjustment!$L$5:$L$24,Lists!$L35,Adjustment!O$5:O$24)</f>
        <v>0</v>
      </c>
      <c r="Q14" s="193">
        <f>SUMIF(Adjustment!$L$5:$L$24,Lists!$L35,Adjustment!P$5:P$24)</f>
        <v>0</v>
      </c>
      <c r="U14" s="41" t="s">
        <v>959</v>
      </c>
      <c r="W14" s="194">
        <f>W13*$Z25*$Z30</f>
        <v>0</v>
      </c>
      <c r="X14" s="194">
        <f>X13*$Z25*$Z30</f>
        <v>0</v>
      </c>
      <c r="Y14" s="194">
        <f>Y13*$Z25*$Z30</f>
        <v>0</v>
      </c>
      <c r="Z14" s="194">
        <f>Z13*$Z25*$Z30</f>
        <v>0</v>
      </c>
    </row>
    <row r="15" spans="1:66" hidden="1" outlineLevel="1" x14ac:dyDescent="0.3">
      <c r="K15" s="195"/>
      <c r="BA15" s="61"/>
    </row>
    <row r="16" spans="1:66" hidden="1" outlineLevel="1" x14ac:dyDescent="0.3">
      <c r="D16" s="41" t="s">
        <v>361</v>
      </c>
      <c r="E16" s="193">
        <f>SUM(E6,E8:E14,N8:N14,Diversification!D96:D97)</f>
        <v>0</v>
      </c>
      <c r="F16" s="193">
        <f>SUM(F6,F8:F14,O8:O14,Diversification!E96:E97)</f>
        <v>0</v>
      </c>
      <c r="G16" s="193">
        <f>SUM(G6,G8:G14,P8:P14,Diversification!F96:F97)</f>
        <v>0</v>
      </c>
      <c r="H16" s="193">
        <f>SUM(H6,H8:H14,Q8:Q14,Diversification!G96:G97)</f>
        <v>0</v>
      </c>
      <c r="BA16" s="61"/>
    </row>
    <row r="17" spans="2:64" hidden="1" outlineLevel="1" x14ac:dyDescent="0.3">
      <c r="D17" s="41" t="s">
        <v>362</v>
      </c>
      <c r="E17" s="193">
        <f>E5+E16</f>
        <v>0</v>
      </c>
      <c r="F17" s="193">
        <f>F5+F16</f>
        <v>0</v>
      </c>
      <c r="G17" s="193">
        <f>G5+G16</f>
        <v>0</v>
      </c>
      <c r="H17" s="193">
        <f>H5+H16</f>
        <v>0</v>
      </c>
      <c r="BA17" s="61"/>
      <c r="BB17" s="61"/>
      <c r="BC17" s="61"/>
      <c r="BD17" s="61"/>
      <c r="BE17" s="61"/>
      <c r="BF17" s="61"/>
      <c r="BG17" s="61"/>
      <c r="BH17" s="61"/>
      <c r="BI17" s="61"/>
      <c r="BJ17" s="61"/>
      <c r="BK17" s="61"/>
      <c r="BL17" s="61"/>
    </row>
    <row r="18" spans="2:64" hidden="1" outlineLevel="1" x14ac:dyDescent="0.3">
      <c r="BA18" s="61"/>
      <c r="BB18" s="61"/>
      <c r="BC18" s="61"/>
      <c r="BD18" s="61"/>
      <c r="BE18" s="61"/>
      <c r="BF18" s="61"/>
      <c r="BG18" s="61"/>
      <c r="BH18" s="61"/>
      <c r="BI18" s="61"/>
      <c r="BJ18" s="61"/>
      <c r="BK18" s="61"/>
      <c r="BL18" s="61"/>
    </row>
    <row r="19" spans="2:64" collapsed="1" x14ac:dyDescent="0.3"/>
    <row r="20" spans="2:64" x14ac:dyDescent="0.3">
      <c r="B20" s="38" t="s">
        <v>263</v>
      </c>
      <c r="C20" s="39"/>
      <c r="D20" s="39"/>
      <c r="E20" s="39"/>
      <c r="F20" s="39"/>
      <c r="G20" s="39"/>
      <c r="H20" s="39"/>
      <c r="I20" s="39"/>
      <c r="J20" s="39"/>
      <c r="K20" s="39"/>
      <c r="L20" s="39"/>
      <c r="M20" s="39"/>
      <c r="N20" s="39"/>
      <c r="O20" s="39"/>
      <c r="P20" s="39"/>
      <c r="Q20" s="39"/>
      <c r="R20" s="39"/>
      <c r="X20" s="478"/>
      <c r="Y20" s="478" t="s">
        <v>899</v>
      </c>
      <c r="Z20" s="478"/>
    </row>
    <row r="21" spans="2:64" hidden="1" outlineLevel="1" x14ac:dyDescent="0.3">
      <c r="Y21" s="61"/>
    </row>
    <row r="22" spans="2:64" hidden="1" outlineLevel="1" x14ac:dyDescent="0.3">
      <c r="E22" s="101">
        <v>0.99990000000000001</v>
      </c>
      <c r="F22" s="101">
        <v>0.99950000000000006</v>
      </c>
      <c r="G22" s="101">
        <v>0.998</v>
      </c>
      <c r="H22" s="101">
        <v>0.995</v>
      </c>
      <c r="N22" s="101">
        <v>0.99990000000000001</v>
      </c>
      <c r="O22" s="101">
        <v>0.99950000000000006</v>
      </c>
      <c r="P22" s="101">
        <v>0.998</v>
      </c>
      <c r="Q22" s="101">
        <v>0.995</v>
      </c>
      <c r="Y22" s="41" t="s">
        <v>906</v>
      </c>
      <c r="Z22" s="195">
        <f>Input!F43/(1-inp_appl_tax_rate)-TAC!F12</f>
        <v>0</v>
      </c>
    </row>
    <row r="23" spans="2:64" hidden="1" outlineLevel="1" x14ac:dyDescent="0.3">
      <c r="D23" s="41" t="s">
        <v>260</v>
      </c>
      <c r="E23" s="194">
        <f>E35+N35</f>
        <v>0</v>
      </c>
      <c r="F23" s="194">
        <f t="shared" ref="E23:H29" si="1">F35+O35</f>
        <v>0</v>
      </c>
      <c r="G23" s="194">
        <f t="shared" si="1"/>
        <v>0</v>
      </c>
      <c r="H23" s="194">
        <f t="shared" si="1"/>
        <v>0</v>
      </c>
      <c r="M23" s="41" t="s">
        <v>852</v>
      </c>
      <c r="N23" s="194">
        <f>E23+E8</f>
        <v>0</v>
      </c>
      <c r="O23" s="194">
        <f t="shared" ref="N23:Q29" si="2">F23+F8</f>
        <v>0</v>
      </c>
      <c r="P23" s="194">
        <f t="shared" si="2"/>
        <v>0</v>
      </c>
      <c r="Q23" s="194">
        <f t="shared" si="2"/>
        <v>0</v>
      </c>
      <c r="Y23" s="41" t="s">
        <v>904</v>
      </c>
      <c r="Z23" s="195">
        <f>Input!F690</f>
        <v>0</v>
      </c>
    </row>
    <row r="24" spans="2:64" hidden="1" outlineLevel="1" x14ac:dyDescent="0.3">
      <c r="D24" s="41" t="s">
        <v>258</v>
      </c>
      <c r="E24" s="194">
        <f t="shared" si="1"/>
        <v>0</v>
      </c>
      <c r="F24" s="194">
        <f t="shared" si="1"/>
        <v>0</v>
      </c>
      <c r="G24" s="194">
        <f t="shared" si="1"/>
        <v>0</v>
      </c>
      <c r="H24" s="194">
        <f t="shared" si="1"/>
        <v>0</v>
      </c>
      <c r="M24" s="41" t="s">
        <v>850</v>
      </c>
      <c r="N24" s="194">
        <f t="shared" si="2"/>
        <v>0</v>
      </c>
      <c r="O24" s="194">
        <f t="shared" si="2"/>
        <v>0</v>
      </c>
      <c r="P24" s="194">
        <f t="shared" si="2"/>
        <v>0</v>
      </c>
      <c r="Q24" s="194">
        <f t="shared" si="2"/>
        <v>0</v>
      </c>
      <c r="Y24" s="41" t="s">
        <v>905</v>
      </c>
      <c r="Z24" s="195">
        <f>Z23*Z30</f>
        <v>0</v>
      </c>
    </row>
    <row r="25" spans="2:64" hidden="1" outlineLevel="1" x14ac:dyDescent="0.3">
      <c r="D25" s="41" t="s">
        <v>259</v>
      </c>
      <c r="E25" s="194">
        <f t="shared" si="1"/>
        <v>0</v>
      </c>
      <c r="F25" s="194">
        <f t="shared" si="1"/>
        <v>0</v>
      </c>
      <c r="G25" s="194">
        <f t="shared" si="1"/>
        <v>0</v>
      </c>
      <c r="H25" s="194">
        <f t="shared" si="1"/>
        <v>0</v>
      </c>
      <c r="M25" s="41" t="s">
        <v>851</v>
      </c>
      <c r="N25" s="194">
        <f t="shared" si="2"/>
        <v>0</v>
      </c>
      <c r="O25" s="194">
        <f t="shared" si="2"/>
        <v>0</v>
      </c>
      <c r="P25" s="194">
        <f t="shared" si="2"/>
        <v>0</v>
      </c>
      <c r="Q25" s="194">
        <f t="shared" si="2"/>
        <v>0</v>
      </c>
      <c r="Y25" s="41" t="s">
        <v>899</v>
      </c>
      <c r="Z25" s="197">
        <f>IFERROR(1-Z22/Z24,1)</f>
        <v>1</v>
      </c>
    </row>
    <row r="26" spans="2:64" hidden="1" outlineLevel="1" x14ac:dyDescent="0.3">
      <c r="D26" s="41" t="s">
        <v>9</v>
      </c>
      <c r="E26" s="194">
        <f>E38+N38+W8</f>
        <v>0</v>
      </c>
      <c r="F26" s="194">
        <f>F38+O38+X8</f>
        <v>0</v>
      </c>
      <c r="G26" s="194">
        <f>G38+P38+Y8</f>
        <v>0</v>
      </c>
      <c r="H26" s="194">
        <f>H38+Q38+Z8</f>
        <v>0</v>
      </c>
      <c r="M26" s="41" t="s">
        <v>854</v>
      </c>
      <c r="N26" s="194">
        <f t="shared" si="2"/>
        <v>0</v>
      </c>
      <c r="O26" s="194">
        <f t="shared" si="2"/>
        <v>0</v>
      </c>
      <c r="P26" s="194">
        <f t="shared" si="2"/>
        <v>0</v>
      </c>
      <c r="Q26" s="194">
        <f t="shared" si="2"/>
        <v>0</v>
      </c>
      <c r="Y26" s="61"/>
    </row>
    <row r="27" spans="2:64" hidden="1" outlineLevel="1" x14ac:dyDescent="0.3">
      <c r="D27" s="41" t="s">
        <v>261</v>
      </c>
      <c r="E27" s="194">
        <f>E39+N39</f>
        <v>0</v>
      </c>
      <c r="F27" s="194">
        <f t="shared" ref="F27:H27" si="3">F39+O39</f>
        <v>0</v>
      </c>
      <c r="G27" s="194">
        <f t="shared" si="3"/>
        <v>0</v>
      </c>
      <c r="H27" s="194">
        <f t="shared" si="3"/>
        <v>0</v>
      </c>
      <c r="M27" s="41" t="s">
        <v>853</v>
      </c>
      <c r="N27" s="194">
        <f>E27+E12</f>
        <v>0</v>
      </c>
      <c r="O27" s="194">
        <f t="shared" si="2"/>
        <v>0</v>
      </c>
      <c r="P27" s="194">
        <f t="shared" si="2"/>
        <v>0</v>
      </c>
      <c r="Q27" s="194">
        <f t="shared" si="2"/>
        <v>0</v>
      </c>
      <c r="X27" s="479"/>
      <c r="Y27" s="478" t="s">
        <v>900</v>
      </c>
      <c r="Z27" s="479"/>
    </row>
    <row r="28" spans="2:64" hidden="1" outlineLevel="1" x14ac:dyDescent="0.3">
      <c r="D28" s="41" t="s">
        <v>411</v>
      </c>
      <c r="E28" s="194">
        <f t="shared" si="1"/>
        <v>0</v>
      </c>
      <c r="F28" s="194">
        <f t="shared" si="1"/>
        <v>0</v>
      </c>
      <c r="G28" s="194">
        <f t="shared" si="1"/>
        <v>0</v>
      </c>
      <c r="H28" s="194">
        <f t="shared" si="1"/>
        <v>0</v>
      </c>
      <c r="M28" s="41" t="s">
        <v>971</v>
      </c>
      <c r="N28" s="194">
        <f>E28+E13</f>
        <v>0</v>
      </c>
      <c r="O28" s="194">
        <f t="shared" si="2"/>
        <v>0</v>
      </c>
      <c r="P28" s="194">
        <f t="shared" si="2"/>
        <v>0</v>
      </c>
      <c r="Q28" s="194">
        <f t="shared" si="2"/>
        <v>0</v>
      </c>
      <c r="Y28" s="41" t="s">
        <v>902</v>
      </c>
      <c r="Z28" s="196">
        <f>Z29-(TAC!F11-Input!F40)</f>
        <v>0</v>
      </c>
    </row>
    <row r="29" spans="2:64" hidden="1" outlineLevel="1" x14ac:dyDescent="0.3">
      <c r="D29" s="41" t="s">
        <v>262</v>
      </c>
      <c r="E29" s="194">
        <f t="shared" si="1"/>
        <v>0</v>
      </c>
      <c r="F29" s="194">
        <f t="shared" si="1"/>
        <v>0</v>
      </c>
      <c r="G29" s="194">
        <f t="shared" si="1"/>
        <v>0</v>
      </c>
      <c r="H29" s="194">
        <f t="shared" si="1"/>
        <v>0</v>
      </c>
      <c r="I29" s="41"/>
      <c r="M29" s="41" t="s">
        <v>855</v>
      </c>
      <c r="N29" s="194">
        <f t="shared" si="2"/>
        <v>0</v>
      </c>
      <c r="O29" s="194">
        <f t="shared" si="2"/>
        <v>0</v>
      </c>
      <c r="P29" s="194">
        <f t="shared" si="2"/>
        <v>0</v>
      </c>
      <c r="Q29" s="194">
        <f t="shared" si="2"/>
        <v>0</v>
      </c>
      <c r="Y29" s="41" t="s">
        <v>901</v>
      </c>
      <c r="Z29" s="196">
        <f>Input!F37+Input!F38</f>
        <v>0</v>
      </c>
    </row>
    <row r="30" spans="2:64" hidden="1" outlineLevel="1" x14ac:dyDescent="0.3">
      <c r="D30" s="41"/>
      <c r="E30" s="41"/>
      <c r="F30" s="41"/>
      <c r="G30" s="41"/>
      <c r="H30" s="41"/>
      <c r="M30" s="41"/>
      <c r="N30" s="41"/>
      <c r="O30" s="41"/>
      <c r="P30" s="41"/>
      <c r="Q30" s="41"/>
      <c r="Y30" s="41" t="s">
        <v>903</v>
      </c>
      <c r="Z30" s="197">
        <f>IFERROR(Z28/Z29,1)</f>
        <v>1</v>
      </c>
    </row>
    <row r="31" spans="2:64" hidden="1" outlineLevel="1" x14ac:dyDescent="0.3">
      <c r="D31" s="41" t="s">
        <v>268</v>
      </c>
      <c r="E31" s="193">
        <f>SUM(E23:E29)</f>
        <v>0</v>
      </c>
      <c r="F31" s="193">
        <f>SUM(F23:F29)</f>
        <v>0</v>
      </c>
      <c r="G31" s="193">
        <f>SUM(G23:G29)</f>
        <v>0</v>
      </c>
      <c r="H31" s="193">
        <f>SUM(H23:H29)</f>
        <v>0</v>
      </c>
      <c r="M31" s="41" t="s">
        <v>856</v>
      </c>
      <c r="N31" s="193">
        <f>SUM(N23:N29)</f>
        <v>0</v>
      </c>
      <c r="O31" s="193">
        <f>SUM(O23:O29)</f>
        <v>0</v>
      </c>
      <c r="P31" s="193">
        <f>SUM(P23:P29)</f>
        <v>0</v>
      </c>
      <c r="Q31" s="193">
        <f>SUM(Q23:Q29)</f>
        <v>0</v>
      </c>
    </row>
    <row r="32" spans="2:64" collapsed="1" x14ac:dyDescent="0.3"/>
    <row r="33" spans="2:68" x14ac:dyDescent="0.3">
      <c r="B33" s="38" t="s">
        <v>329</v>
      </c>
      <c r="C33" s="39"/>
      <c r="D33" s="39"/>
      <c r="E33" s="39"/>
      <c r="F33" s="39"/>
      <c r="G33" s="39"/>
      <c r="H33" s="39"/>
      <c r="I33" s="39"/>
      <c r="K33" s="38" t="s">
        <v>330</v>
      </c>
      <c r="L33" s="39"/>
      <c r="M33" s="39"/>
      <c r="N33" s="39"/>
      <c r="O33" s="39"/>
      <c r="P33" s="39"/>
      <c r="Q33" s="39"/>
      <c r="R33" s="39"/>
    </row>
    <row r="34" spans="2:68" hidden="1" outlineLevel="1" x14ac:dyDescent="0.3">
      <c r="E34" s="101">
        <v>0.99990000000000001</v>
      </c>
      <c r="F34" s="101">
        <v>0.99950000000000006</v>
      </c>
      <c r="G34" s="101">
        <v>0.998</v>
      </c>
      <c r="H34" s="101">
        <v>0.995</v>
      </c>
      <c r="N34" s="101">
        <v>0.99990000000000001</v>
      </c>
      <c r="O34" s="101">
        <v>0.99950000000000006</v>
      </c>
      <c r="P34" s="101">
        <v>0.998</v>
      </c>
      <c r="Q34" s="101">
        <v>0.995</v>
      </c>
      <c r="AY34" s="102"/>
      <c r="BL34" s="102"/>
    </row>
    <row r="35" spans="2:68" hidden="1" outlineLevel="1" x14ac:dyDescent="0.3">
      <c r="C35" s="41"/>
      <c r="D35" s="41" t="s">
        <v>260</v>
      </c>
      <c r="E35" s="194">
        <f t="shared" ref="E35:H41" si="4">SUMIFS(E$47:E$163,$U$47:$U$163,$D35)</f>
        <v>0</v>
      </c>
      <c r="F35" s="194">
        <f t="shared" si="4"/>
        <v>0</v>
      </c>
      <c r="G35" s="194">
        <f t="shared" si="4"/>
        <v>0</v>
      </c>
      <c r="H35" s="194">
        <f t="shared" si="4"/>
        <v>0</v>
      </c>
      <c r="M35" s="41" t="s">
        <v>260</v>
      </c>
      <c r="N35" s="194">
        <f t="shared" ref="N35:Q41" si="5">SUMIFS(N$47:N$163,$U$47:$U$163,$D35)</f>
        <v>0</v>
      </c>
      <c r="O35" s="194">
        <f t="shared" si="5"/>
        <v>0</v>
      </c>
      <c r="P35" s="194">
        <f t="shared" si="5"/>
        <v>0</v>
      </c>
      <c r="Q35" s="194">
        <f t="shared" si="5"/>
        <v>0</v>
      </c>
    </row>
    <row r="36" spans="2:68" ht="14.25" hidden="1" customHeight="1" outlineLevel="1" x14ac:dyDescent="0.3">
      <c r="D36" s="41" t="s">
        <v>258</v>
      </c>
      <c r="E36" s="194">
        <f t="shared" si="4"/>
        <v>0</v>
      </c>
      <c r="F36" s="194">
        <f t="shared" si="4"/>
        <v>0</v>
      </c>
      <c r="G36" s="194">
        <f t="shared" si="4"/>
        <v>0</v>
      </c>
      <c r="H36" s="194">
        <f t="shared" si="4"/>
        <v>0</v>
      </c>
      <c r="M36" s="41" t="s">
        <v>258</v>
      </c>
      <c r="N36" s="194">
        <f t="shared" si="5"/>
        <v>0</v>
      </c>
      <c r="O36" s="194">
        <f t="shared" si="5"/>
        <v>0</v>
      </c>
      <c r="P36" s="194">
        <f t="shared" si="5"/>
        <v>0</v>
      </c>
      <c r="Q36" s="194">
        <f t="shared" si="5"/>
        <v>0</v>
      </c>
    </row>
    <row r="37" spans="2:68" hidden="1" outlineLevel="1" x14ac:dyDescent="0.3">
      <c r="D37" s="41" t="s">
        <v>259</v>
      </c>
      <c r="E37" s="194">
        <f t="shared" si="4"/>
        <v>0</v>
      </c>
      <c r="F37" s="194">
        <f t="shared" si="4"/>
        <v>0</v>
      </c>
      <c r="G37" s="194">
        <f t="shared" si="4"/>
        <v>0</v>
      </c>
      <c r="H37" s="194">
        <f t="shared" si="4"/>
        <v>0</v>
      </c>
      <c r="M37" s="41" t="s">
        <v>259</v>
      </c>
      <c r="N37" s="194">
        <f t="shared" si="5"/>
        <v>0</v>
      </c>
      <c r="O37" s="194">
        <f t="shared" si="5"/>
        <v>0</v>
      </c>
      <c r="P37" s="194">
        <f t="shared" si="5"/>
        <v>0</v>
      </c>
      <c r="Q37" s="194">
        <f t="shared" si="5"/>
        <v>0</v>
      </c>
    </row>
    <row r="38" spans="2:68" hidden="1" outlineLevel="1" x14ac:dyDescent="0.3">
      <c r="D38" s="41" t="s">
        <v>9</v>
      </c>
      <c r="E38" s="194">
        <f t="shared" si="4"/>
        <v>0</v>
      </c>
      <c r="F38" s="194">
        <f t="shared" si="4"/>
        <v>0</v>
      </c>
      <c r="G38" s="194">
        <f t="shared" si="4"/>
        <v>0</v>
      </c>
      <c r="H38" s="194">
        <f t="shared" si="4"/>
        <v>0</v>
      </c>
      <c r="M38" s="41" t="s">
        <v>9</v>
      </c>
      <c r="N38" s="194">
        <f t="shared" si="5"/>
        <v>0</v>
      </c>
      <c r="O38" s="194">
        <f t="shared" si="5"/>
        <v>0</v>
      </c>
      <c r="P38" s="194">
        <f t="shared" si="5"/>
        <v>0</v>
      </c>
      <c r="Q38" s="194">
        <f t="shared" si="5"/>
        <v>0</v>
      </c>
    </row>
    <row r="39" spans="2:68" hidden="1" outlineLevel="1" x14ac:dyDescent="0.3">
      <c r="D39" s="41" t="s">
        <v>261</v>
      </c>
      <c r="E39" s="194">
        <f t="shared" si="4"/>
        <v>0</v>
      </c>
      <c r="F39" s="194">
        <f t="shared" si="4"/>
        <v>0</v>
      </c>
      <c r="G39" s="194">
        <f t="shared" si="4"/>
        <v>0</v>
      </c>
      <c r="H39" s="194">
        <f t="shared" si="4"/>
        <v>0</v>
      </c>
      <c r="M39" s="41" t="s">
        <v>261</v>
      </c>
      <c r="N39" s="194">
        <f t="shared" si="5"/>
        <v>0</v>
      </c>
      <c r="O39" s="194">
        <f t="shared" si="5"/>
        <v>0</v>
      </c>
      <c r="P39" s="194">
        <f t="shared" si="5"/>
        <v>0</v>
      </c>
      <c r="Q39" s="194">
        <f t="shared" si="5"/>
        <v>0</v>
      </c>
    </row>
    <row r="40" spans="2:68" hidden="1" outlineLevel="1" x14ac:dyDescent="0.3">
      <c r="D40" s="41" t="s">
        <v>411</v>
      </c>
      <c r="E40" s="194">
        <f t="shared" si="4"/>
        <v>0</v>
      </c>
      <c r="F40" s="194">
        <f t="shared" si="4"/>
        <v>0</v>
      </c>
      <c r="G40" s="194">
        <f t="shared" si="4"/>
        <v>0</v>
      </c>
      <c r="H40" s="194">
        <f t="shared" si="4"/>
        <v>0</v>
      </c>
      <c r="M40" s="41" t="s">
        <v>411</v>
      </c>
      <c r="N40" s="194">
        <f t="shared" si="5"/>
        <v>0</v>
      </c>
      <c r="O40" s="194">
        <f t="shared" si="5"/>
        <v>0</v>
      </c>
      <c r="P40" s="194">
        <f t="shared" si="5"/>
        <v>0</v>
      </c>
      <c r="Q40" s="194">
        <f t="shared" si="5"/>
        <v>0</v>
      </c>
    </row>
    <row r="41" spans="2:68" hidden="1" outlineLevel="1" x14ac:dyDescent="0.3">
      <c r="D41" s="41" t="s">
        <v>262</v>
      </c>
      <c r="E41" s="194">
        <f t="shared" si="4"/>
        <v>0</v>
      </c>
      <c r="F41" s="194">
        <f t="shared" si="4"/>
        <v>0</v>
      </c>
      <c r="G41" s="194">
        <f t="shared" si="4"/>
        <v>0</v>
      </c>
      <c r="H41" s="194">
        <f t="shared" si="4"/>
        <v>0</v>
      </c>
      <c r="M41" s="41" t="s">
        <v>262</v>
      </c>
      <c r="N41" s="194">
        <f t="shared" si="5"/>
        <v>0</v>
      </c>
      <c r="O41" s="194">
        <f t="shared" si="5"/>
        <v>0</v>
      </c>
      <c r="P41" s="194">
        <f t="shared" si="5"/>
        <v>0</v>
      </c>
      <c r="Q41" s="194">
        <f t="shared" si="5"/>
        <v>0</v>
      </c>
    </row>
    <row r="42" spans="2:68" hidden="1" outlineLevel="1" x14ac:dyDescent="0.3">
      <c r="E42" s="195"/>
      <c r="F42" s="195"/>
      <c r="G42" s="195"/>
      <c r="H42" s="195"/>
      <c r="N42" s="195"/>
      <c r="O42" s="195"/>
      <c r="P42" s="195"/>
      <c r="Q42" s="195"/>
      <c r="S42" s="38" t="s">
        <v>398</v>
      </c>
      <c r="T42" s="38"/>
      <c r="U42" s="40"/>
      <c r="V42" s="40"/>
      <c r="W42" s="40"/>
      <c r="X42" s="40"/>
      <c r="Y42" s="40"/>
      <c r="Z42" s="40"/>
      <c r="AA42" s="40"/>
      <c r="AB42" s="40"/>
      <c r="AC42" s="40"/>
      <c r="AD42" s="40"/>
    </row>
    <row r="43" spans="2:68" hidden="1" outlineLevel="1" x14ac:dyDescent="0.3">
      <c r="D43" s="41" t="s">
        <v>333</v>
      </c>
      <c r="E43" s="193">
        <f>SUM(E47:E163)</f>
        <v>0</v>
      </c>
      <c r="F43" s="193">
        <f>SUM(F47:F163)</f>
        <v>0</v>
      </c>
      <c r="G43" s="193">
        <f>SUM(G47:G163)</f>
        <v>0</v>
      </c>
      <c r="H43" s="193">
        <f>SUM(H47:H163)</f>
        <v>0</v>
      </c>
      <c r="M43" s="41" t="s">
        <v>334</v>
      </c>
      <c r="N43" s="193">
        <f>SUM(N47:N163)</f>
        <v>0</v>
      </c>
      <c r="O43" s="193">
        <f>SUM(O47:O163)</f>
        <v>0</v>
      </c>
      <c r="P43" s="193">
        <f>SUM(P47:P163)</f>
        <v>0</v>
      </c>
      <c r="Q43" s="193">
        <f>SUM(Q47:Q163)</f>
        <v>0</v>
      </c>
      <c r="S43" s="61"/>
      <c r="AK43" s="41"/>
    </row>
    <row r="44" spans="2:68" ht="26" hidden="1" outlineLevel="1" x14ac:dyDescent="0.3">
      <c r="D44" s="41"/>
      <c r="E44" s="41"/>
      <c r="F44" s="41"/>
      <c r="G44" s="41"/>
      <c r="H44" s="41"/>
      <c r="I44" s="41"/>
      <c r="M44" s="41"/>
      <c r="N44" s="41"/>
      <c r="O44" s="41"/>
      <c r="P44" s="41"/>
      <c r="Q44" s="41"/>
      <c r="S44" s="41"/>
      <c r="T44" s="669" t="s">
        <v>257</v>
      </c>
      <c r="U44" s="75" t="s">
        <v>352</v>
      </c>
      <c r="V44" s="75" t="s">
        <v>2184</v>
      </c>
      <c r="W44" s="101">
        <v>0.99990000000000001</v>
      </c>
      <c r="X44" s="101">
        <v>0.99950000000000006</v>
      </c>
      <c r="Y44" s="101">
        <v>0.998</v>
      </c>
      <c r="Z44" s="101">
        <v>0.995</v>
      </c>
      <c r="AA44" s="101">
        <v>0.99990000000000001</v>
      </c>
      <c r="AB44" s="101">
        <v>0.99950000000000006</v>
      </c>
      <c r="AC44" s="101">
        <v>0.998</v>
      </c>
      <c r="AD44" s="101">
        <v>0.995</v>
      </c>
      <c r="AY44" s="87"/>
      <c r="BO44" s="42"/>
      <c r="BP44" s="42"/>
    </row>
    <row r="45" spans="2:68" hidden="1" outlineLevel="1" x14ac:dyDescent="0.3">
      <c r="B45" s="88" t="s">
        <v>325</v>
      </c>
      <c r="K45" s="88" t="s">
        <v>325</v>
      </c>
      <c r="R45" s="41"/>
      <c r="S45" s="88" t="s">
        <v>325</v>
      </c>
      <c r="T45" s="16"/>
      <c r="U45" s="11"/>
      <c r="W45" s="783" t="s">
        <v>1448</v>
      </c>
      <c r="X45" s="783"/>
      <c r="Y45" s="783"/>
      <c r="Z45" s="783"/>
      <c r="AA45" s="783" t="s">
        <v>1449</v>
      </c>
      <c r="AB45" s="783"/>
      <c r="AC45" s="783"/>
      <c r="AD45" s="783"/>
      <c r="BO45" s="42"/>
      <c r="BP45" s="42"/>
    </row>
    <row r="46" spans="2:68" hidden="1" outlineLevel="1" x14ac:dyDescent="0.3">
      <c r="B46" s="11"/>
      <c r="D46" s="31"/>
      <c r="K46" s="11"/>
      <c r="M46" s="31"/>
      <c r="S46" s="31"/>
      <c r="U46" s="15"/>
      <c r="BO46" s="42"/>
      <c r="BP46" s="42"/>
    </row>
    <row r="47" spans="2:68" hidden="1" outlineLevel="1" x14ac:dyDescent="0.3">
      <c r="D47" s="16" t="str">
        <f t="shared" ref="D47:D60" si="6">T47</f>
        <v>General liability</v>
      </c>
      <c r="E47" s="194">
        <f>W47*Input!$F441</f>
        <v>0</v>
      </c>
      <c r="F47" s="194">
        <f>X47*Input!$F441</f>
        <v>0</v>
      </c>
      <c r="G47" s="194">
        <f>Y47*Input!$F441</f>
        <v>0</v>
      </c>
      <c r="H47" s="194">
        <f>Z47*Input!$F441</f>
        <v>0</v>
      </c>
      <c r="M47" s="16" t="str">
        <f t="shared" ref="M47:M60" si="7">T47</f>
        <v>General liability</v>
      </c>
      <c r="N47" s="194">
        <f>AA47*Input!$G441</f>
        <v>0</v>
      </c>
      <c r="O47" s="194">
        <f>AB47*Input!$G441</f>
        <v>0</v>
      </c>
      <c r="P47" s="194">
        <f>AC47*Input!$G441</f>
        <v>0</v>
      </c>
      <c r="Q47" s="194">
        <f>AD47*Input!$G441</f>
        <v>0</v>
      </c>
      <c r="T47" s="16" t="s">
        <v>978</v>
      </c>
      <c r="U47" s="89" t="s">
        <v>260</v>
      </c>
      <c r="V47" s="74">
        <v>9</v>
      </c>
      <c r="W47" s="90">
        <f>_xlfn.XLOOKUP($V47,'Risk Charges'!$C$117:$C$128,'Risk Charges'!D$117:D$128,,0)</f>
        <v>0.57799999999999996</v>
      </c>
      <c r="X47" s="90">
        <f>_xlfn.XLOOKUP($V47,'Risk Charges'!$C$117:$C$128,'Risk Charges'!E$117:E$128,,0)</f>
        <v>0.49</v>
      </c>
      <c r="Y47" s="90">
        <f>_xlfn.XLOOKUP($V47,'Risk Charges'!$C$117:$C$128,'Risk Charges'!F$117:F$128,,0)</f>
        <v>0.42</v>
      </c>
      <c r="Z47" s="90">
        <f>_xlfn.XLOOKUP($V47,'Risk Charges'!$C$117:$C$128,'Risk Charges'!G$117:G$128,,0)</f>
        <v>0.35</v>
      </c>
      <c r="AA47" s="90">
        <f>_xlfn.XLOOKUP($V47,'Risk Charges'!$C$132:$C$143,'Risk Charges'!D$132:D$143,,0)</f>
        <v>0.72299999999999998</v>
      </c>
      <c r="AB47" s="90">
        <f>_xlfn.XLOOKUP($V47,'Risk Charges'!$C$132:$C$143,'Risk Charges'!E$132:E$143,,0)</f>
        <v>0.61299999999999999</v>
      </c>
      <c r="AC47" s="90">
        <f>_xlfn.XLOOKUP($V47,'Risk Charges'!$C$132:$C$143,'Risk Charges'!F$132:F$143,,0)</f>
        <v>0.52500000000000002</v>
      </c>
      <c r="AD47" s="90">
        <f>_xlfn.XLOOKUP($V47,'Risk Charges'!$C$132:$C$143,'Risk Charges'!G$132:G$143,,0)</f>
        <v>0.438</v>
      </c>
      <c r="BO47" s="43"/>
      <c r="BP47" s="43"/>
    </row>
    <row r="48" spans="2:68" hidden="1" outlineLevel="1" x14ac:dyDescent="0.3">
      <c r="B48" s="11"/>
      <c r="D48" s="16" t="str">
        <f t="shared" si="6"/>
        <v>Workers compensation</v>
      </c>
      <c r="E48" s="194">
        <f>W48*Input!$F442</f>
        <v>0</v>
      </c>
      <c r="F48" s="194">
        <f>X48*Input!$F442</f>
        <v>0</v>
      </c>
      <c r="G48" s="194">
        <f>Y48*Input!$F442</f>
        <v>0</v>
      </c>
      <c r="H48" s="194">
        <f>Z48*Input!$F442</f>
        <v>0</v>
      </c>
      <c r="K48" s="11"/>
      <c r="M48" s="16" t="str">
        <f t="shared" si="7"/>
        <v>Workers compensation</v>
      </c>
      <c r="N48" s="194">
        <f>AA48*Input!$G442</f>
        <v>0</v>
      </c>
      <c r="O48" s="194">
        <f>AB48*Input!$G442</f>
        <v>0</v>
      </c>
      <c r="P48" s="194">
        <f>AC48*Input!$G442</f>
        <v>0</v>
      </c>
      <c r="Q48" s="194">
        <f>AD48*Input!$G442</f>
        <v>0</v>
      </c>
      <c r="S48" s="11"/>
      <c r="T48" s="16" t="s">
        <v>979</v>
      </c>
      <c r="U48" s="89" t="s">
        <v>260</v>
      </c>
      <c r="V48" s="74">
        <v>6</v>
      </c>
      <c r="W48" s="90">
        <f>_xlfn.XLOOKUP($V48,'Risk Charges'!$C$117:$C$128,'Risk Charges'!D$117:D$128,,0)</f>
        <v>0.33</v>
      </c>
      <c r="X48" s="90">
        <f>_xlfn.XLOOKUP($V48,'Risk Charges'!$C$117:$C$128,'Risk Charges'!E$117:E$128,,0)</f>
        <v>0.28000000000000003</v>
      </c>
      <c r="Y48" s="90">
        <f>_xlfn.XLOOKUP($V48,'Risk Charges'!$C$117:$C$128,'Risk Charges'!F$117:F$128,,0)</f>
        <v>0.24</v>
      </c>
      <c r="Z48" s="90">
        <f>_xlfn.XLOOKUP($V48,'Risk Charges'!$C$117:$C$128,'Risk Charges'!G$117:G$128,,0)</f>
        <v>0.2</v>
      </c>
      <c r="AA48" s="90">
        <f>_xlfn.XLOOKUP($V48,'Risk Charges'!$C$132:$C$143,'Risk Charges'!D$132:D$143,,0)</f>
        <v>0.41299999999999998</v>
      </c>
      <c r="AB48" s="90">
        <f>_xlfn.XLOOKUP($V48,'Risk Charges'!$C$132:$C$143,'Risk Charges'!E$132:E$143,,0)</f>
        <v>0.35</v>
      </c>
      <c r="AC48" s="90">
        <f>_xlfn.XLOOKUP($V48,'Risk Charges'!$C$132:$C$143,'Risk Charges'!F$132:F$143,,0)</f>
        <v>0.3</v>
      </c>
      <c r="AD48" s="90">
        <f>_xlfn.XLOOKUP($V48,'Risk Charges'!$C$132:$C$143,'Risk Charges'!G$132:G$143,,0)</f>
        <v>0.25</v>
      </c>
      <c r="BO48" s="44"/>
      <c r="BP48" s="44"/>
    </row>
    <row r="49" spans="2:65" hidden="1" outlineLevel="1" x14ac:dyDescent="0.3">
      <c r="B49" s="11"/>
      <c r="D49" s="16" t="str">
        <f t="shared" si="6"/>
        <v>Fire &amp; other damage to property</v>
      </c>
      <c r="E49" s="194">
        <f>W49*Input!$F443</f>
        <v>0</v>
      </c>
      <c r="F49" s="194">
        <f>X49*Input!$F443</f>
        <v>0</v>
      </c>
      <c r="G49" s="194">
        <f>Y49*Input!$F443</f>
        <v>0</v>
      </c>
      <c r="H49" s="194">
        <f>Z49*Input!$F443</f>
        <v>0</v>
      </c>
      <c r="K49" s="11"/>
      <c r="M49" s="16" t="str">
        <f t="shared" si="7"/>
        <v>Fire &amp; other damage to property</v>
      </c>
      <c r="N49" s="194">
        <f>AA49*Input!$G443</f>
        <v>0</v>
      </c>
      <c r="O49" s="194">
        <f>AB49*Input!$G443</f>
        <v>0</v>
      </c>
      <c r="P49" s="194">
        <f>AC49*Input!$G443</f>
        <v>0</v>
      </c>
      <c r="Q49" s="194">
        <f>AD49*Input!$G443</f>
        <v>0</v>
      </c>
      <c r="S49" s="11"/>
      <c r="T49" s="16" t="s">
        <v>980</v>
      </c>
      <c r="U49" s="89" t="s">
        <v>258</v>
      </c>
      <c r="V49" s="74">
        <v>6</v>
      </c>
      <c r="W49" s="90">
        <f>_xlfn.XLOOKUP($V49,'Risk Charges'!$C$117:$C$128,'Risk Charges'!D$117:D$128,,0)</f>
        <v>0.33</v>
      </c>
      <c r="X49" s="90">
        <f>_xlfn.XLOOKUP($V49,'Risk Charges'!$C$117:$C$128,'Risk Charges'!E$117:E$128,,0)</f>
        <v>0.28000000000000003</v>
      </c>
      <c r="Y49" s="90">
        <f>_xlfn.XLOOKUP($V49,'Risk Charges'!$C$117:$C$128,'Risk Charges'!F$117:F$128,,0)</f>
        <v>0.24</v>
      </c>
      <c r="Z49" s="90">
        <f>_xlfn.XLOOKUP($V49,'Risk Charges'!$C$117:$C$128,'Risk Charges'!G$117:G$128,,0)</f>
        <v>0.2</v>
      </c>
      <c r="AA49" s="90">
        <f>_xlfn.XLOOKUP($V49,'Risk Charges'!$C$132:$C$143,'Risk Charges'!D$132:D$143,,0)</f>
        <v>0.41299999999999998</v>
      </c>
      <c r="AB49" s="90">
        <f>_xlfn.XLOOKUP($V49,'Risk Charges'!$C$132:$C$143,'Risk Charges'!E$132:E$143,,0)</f>
        <v>0.35</v>
      </c>
      <c r="AC49" s="90">
        <f>_xlfn.XLOOKUP($V49,'Risk Charges'!$C$132:$C$143,'Risk Charges'!F$132:F$143,,0)</f>
        <v>0.3</v>
      </c>
      <c r="AD49" s="90">
        <f>_xlfn.XLOOKUP($V49,'Risk Charges'!$C$132:$C$143,'Risk Charges'!G$132:G$143,,0)</f>
        <v>0.25</v>
      </c>
    </row>
    <row r="50" spans="2:65" hidden="1" outlineLevel="1" x14ac:dyDescent="0.3">
      <c r="B50" s="11"/>
      <c r="D50" s="16" t="str">
        <f t="shared" si="6"/>
        <v>Motor vehicle liability</v>
      </c>
      <c r="E50" s="194">
        <f>W50*Input!$F444</f>
        <v>0</v>
      </c>
      <c r="F50" s="194">
        <f>X50*Input!$F444</f>
        <v>0</v>
      </c>
      <c r="G50" s="194">
        <f>Y50*Input!$F444</f>
        <v>0</v>
      </c>
      <c r="H50" s="194">
        <f>Z50*Input!$F444</f>
        <v>0</v>
      </c>
      <c r="K50" s="11"/>
      <c r="M50" s="16" t="str">
        <f t="shared" si="7"/>
        <v>Motor vehicle liability</v>
      </c>
      <c r="N50" s="194">
        <f>AA50*Input!$G444</f>
        <v>0</v>
      </c>
      <c r="O50" s="194">
        <f>AB50*Input!$G444</f>
        <v>0</v>
      </c>
      <c r="P50" s="194">
        <f>AC50*Input!$G444</f>
        <v>0</v>
      </c>
      <c r="Q50" s="194">
        <f>AD50*Input!$G444</f>
        <v>0</v>
      </c>
      <c r="S50" s="11"/>
      <c r="T50" s="16" t="s">
        <v>981</v>
      </c>
      <c r="U50" s="89" t="s">
        <v>259</v>
      </c>
      <c r="V50" s="74">
        <v>6</v>
      </c>
      <c r="W50" s="90">
        <f>_xlfn.XLOOKUP($V50,'Risk Charges'!$C$117:$C$128,'Risk Charges'!D$117:D$128,,0)</f>
        <v>0.33</v>
      </c>
      <c r="X50" s="90">
        <f>_xlfn.XLOOKUP($V50,'Risk Charges'!$C$117:$C$128,'Risk Charges'!E$117:E$128,,0)</f>
        <v>0.28000000000000003</v>
      </c>
      <c r="Y50" s="90">
        <f>_xlfn.XLOOKUP($V50,'Risk Charges'!$C$117:$C$128,'Risk Charges'!F$117:F$128,,0)</f>
        <v>0.24</v>
      </c>
      <c r="Z50" s="90">
        <f>_xlfn.XLOOKUP($V50,'Risk Charges'!$C$117:$C$128,'Risk Charges'!G$117:G$128,,0)</f>
        <v>0.2</v>
      </c>
      <c r="AA50" s="90">
        <f>_xlfn.XLOOKUP($V50,'Risk Charges'!$C$132:$C$143,'Risk Charges'!D$132:D$143,,0)</f>
        <v>0.41299999999999998</v>
      </c>
      <c r="AB50" s="90">
        <f>_xlfn.XLOOKUP($V50,'Risk Charges'!$C$132:$C$143,'Risk Charges'!E$132:E$143,,0)</f>
        <v>0.35</v>
      </c>
      <c r="AC50" s="90">
        <f>_xlfn.XLOOKUP($V50,'Risk Charges'!$C$132:$C$143,'Risk Charges'!F$132:F$143,,0)</f>
        <v>0.3</v>
      </c>
      <c r="AD50" s="90">
        <f>_xlfn.XLOOKUP($V50,'Risk Charges'!$C$132:$C$143,'Risk Charges'!G$132:G$143,,0)</f>
        <v>0.25</v>
      </c>
    </row>
    <row r="51" spans="2:65" hidden="1" outlineLevel="1" x14ac:dyDescent="0.3">
      <c r="B51" s="11"/>
      <c r="D51" s="16" t="str">
        <f t="shared" si="6"/>
        <v>Other motor</v>
      </c>
      <c r="E51" s="194">
        <f>W51*Input!$F445</f>
        <v>0</v>
      </c>
      <c r="F51" s="194">
        <f>X51*Input!$F445</f>
        <v>0</v>
      </c>
      <c r="G51" s="194">
        <f>Y51*Input!$F445</f>
        <v>0</v>
      </c>
      <c r="H51" s="194">
        <f>Z51*Input!$F445</f>
        <v>0</v>
      </c>
      <c r="K51" s="11"/>
      <c r="M51" s="16" t="str">
        <f t="shared" si="7"/>
        <v>Other motor</v>
      </c>
      <c r="N51" s="194">
        <f>AA51*Input!$G445</f>
        <v>0</v>
      </c>
      <c r="O51" s="194">
        <f>AB51*Input!$G445</f>
        <v>0</v>
      </c>
      <c r="P51" s="194">
        <f>AC51*Input!$G445</f>
        <v>0</v>
      </c>
      <c r="Q51" s="194">
        <f>AD51*Input!$G445</f>
        <v>0</v>
      </c>
      <c r="S51" s="11"/>
      <c r="T51" s="16" t="s">
        <v>982</v>
      </c>
      <c r="U51" s="89" t="s">
        <v>259</v>
      </c>
      <c r="V51" s="74">
        <v>5</v>
      </c>
      <c r="W51" s="90">
        <f>_xlfn.XLOOKUP($V51,'Risk Charges'!$C$117:$C$128,'Risk Charges'!D$117:D$128,,0)</f>
        <v>0.248</v>
      </c>
      <c r="X51" s="90">
        <f>_xlfn.XLOOKUP($V51,'Risk Charges'!$C$117:$C$128,'Risk Charges'!E$117:E$128,,0)</f>
        <v>0.21</v>
      </c>
      <c r="Y51" s="90">
        <f>_xlfn.XLOOKUP($V51,'Risk Charges'!$C$117:$C$128,'Risk Charges'!F$117:F$128,,0)</f>
        <v>0.18</v>
      </c>
      <c r="Z51" s="90">
        <f>_xlfn.XLOOKUP($V51,'Risk Charges'!$C$117:$C$128,'Risk Charges'!G$117:G$128,,0)</f>
        <v>0.15</v>
      </c>
      <c r="AA51" s="90">
        <f>_xlfn.XLOOKUP($V51,'Risk Charges'!$C$132:$C$143,'Risk Charges'!D$132:D$143,,0)</f>
        <v>0.31</v>
      </c>
      <c r="AB51" s="90">
        <f>_xlfn.XLOOKUP($V51,'Risk Charges'!$C$132:$C$143,'Risk Charges'!E$132:E$143,,0)</f>
        <v>0.26300000000000001</v>
      </c>
      <c r="AC51" s="90">
        <f>_xlfn.XLOOKUP($V51,'Risk Charges'!$C$132:$C$143,'Risk Charges'!F$132:F$143,,0)</f>
        <v>0.22500000000000001</v>
      </c>
      <c r="AD51" s="90">
        <f>_xlfn.XLOOKUP($V51,'Risk Charges'!$C$132:$C$143,'Risk Charges'!G$132:G$143,,0)</f>
        <v>0.188</v>
      </c>
    </row>
    <row r="52" spans="2:65" hidden="1" outlineLevel="1" x14ac:dyDescent="0.3">
      <c r="B52" s="11"/>
      <c r="D52" s="16" t="str">
        <f t="shared" si="6"/>
        <v>Credit &amp; suretyship </v>
      </c>
      <c r="E52" s="194">
        <f>W52*Input!$F446</f>
        <v>0</v>
      </c>
      <c r="F52" s="194">
        <f>X52*Input!$F446</f>
        <v>0</v>
      </c>
      <c r="G52" s="194">
        <f>Y52*Input!$F446</f>
        <v>0</v>
      </c>
      <c r="H52" s="194">
        <f>Z52*Input!$F446</f>
        <v>0</v>
      </c>
      <c r="K52" s="11"/>
      <c r="M52" s="16" t="str">
        <f t="shared" si="7"/>
        <v>Credit &amp; suretyship </v>
      </c>
      <c r="N52" s="194">
        <f>AA52*Input!$G446</f>
        <v>0</v>
      </c>
      <c r="O52" s="194">
        <f>AB52*Input!$G446</f>
        <v>0</v>
      </c>
      <c r="P52" s="194">
        <f>AC52*Input!$G446</f>
        <v>0</v>
      </c>
      <c r="Q52" s="194">
        <f>AD52*Input!$G446</f>
        <v>0</v>
      </c>
      <c r="S52" s="11"/>
      <c r="T52" s="16" t="s">
        <v>983</v>
      </c>
      <c r="U52" s="89" t="s">
        <v>9</v>
      </c>
      <c r="V52" s="74">
        <v>8</v>
      </c>
      <c r="W52" s="90">
        <f>_xlfn.XLOOKUP($V52,'Risk Charges'!$C$117:$C$128,'Risk Charges'!D$117:D$128,,0)</f>
        <v>0.495</v>
      </c>
      <c r="X52" s="90">
        <f>_xlfn.XLOOKUP($V52,'Risk Charges'!$C$117:$C$128,'Risk Charges'!E$117:E$128,,0)</f>
        <v>0.42</v>
      </c>
      <c r="Y52" s="90">
        <f>_xlfn.XLOOKUP($V52,'Risk Charges'!$C$117:$C$128,'Risk Charges'!F$117:F$128,,0)</f>
        <v>0.36</v>
      </c>
      <c r="Z52" s="90">
        <f>_xlfn.XLOOKUP($V52,'Risk Charges'!$C$117:$C$128,'Risk Charges'!G$117:G$128,,0)</f>
        <v>0.3</v>
      </c>
      <c r="AA52" s="90">
        <f>_xlfn.XLOOKUP($V52,'Risk Charges'!$C$132:$C$143,'Risk Charges'!D$132:D$143,,0)</f>
        <v>0.61899999999999999</v>
      </c>
      <c r="AB52" s="90">
        <f>_xlfn.XLOOKUP($V52,'Risk Charges'!$C$132:$C$143,'Risk Charges'!E$132:E$143,,0)</f>
        <v>0.52500000000000002</v>
      </c>
      <c r="AC52" s="90">
        <f>_xlfn.XLOOKUP($V52,'Risk Charges'!$C$132:$C$143,'Risk Charges'!F$132:F$143,,0)</f>
        <v>0.45</v>
      </c>
      <c r="AD52" s="90">
        <f>_xlfn.XLOOKUP($V52,'Risk Charges'!$C$132:$C$143,'Risk Charges'!G$132:G$143,,0)</f>
        <v>0.375</v>
      </c>
    </row>
    <row r="53" spans="2:65" hidden="1" outlineLevel="1" x14ac:dyDescent="0.3">
      <c r="B53" s="11"/>
      <c r="D53" s="16" t="str">
        <f t="shared" si="6"/>
        <v>Miscellaneous financial loss</v>
      </c>
      <c r="E53" s="194">
        <f>W53*Input!$F447</f>
        <v>0</v>
      </c>
      <c r="F53" s="194">
        <f>X53*Input!$F447</f>
        <v>0</v>
      </c>
      <c r="G53" s="194">
        <f>Y53*Input!$F447</f>
        <v>0</v>
      </c>
      <c r="H53" s="194">
        <f>Z53*Input!$F447</f>
        <v>0</v>
      </c>
      <c r="K53" s="11"/>
      <c r="M53" s="16" t="str">
        <f t="shared" si="7"/>
        <v>Miscellaneous financial loss</v>
      </c>
      <c r="N53" s="194">
        <f>AA53*Input!$G447</f>
        <v>0</v>
      </c>
      <c r="O53" s="194">
        <f>AB53*Input!$G447</f>
        <v>0</v>
      </c>
      <c r="P53" s="194">
        <f>AC53*Input!$G447</f>
        <v>0</v>
      </c>
      <c r="Q53" s="194">
        <f>AD53*Input!$G447</f>
        <v>0</v>
      </c>
      <c r="S53" s="11"/>
      <c r="T53" s="16" t="s">
        <v>984</v>
      </c>
      <c r="U53" s="89" t="s">
        <v>9</v>
      </c>
      <c r="V53" s="74">
        <v>9</v>
      </c>
      <c r="W53" s="90">
        <f>_xlfn.XLOOKUP($V53,'Risk Charges'!$C$117:$C$128,'Risk Charges'!D$117:D$128,,0)</f>
        <v>0.57799999999999996</v>
      </c>
      <c r="X53" s="90">
        <f>_xlfn.XLOOKUP($V53,'Risk Charges'!$C$117:$C$128,'Risk Charges'!E$117:E$128,,0)</f>
        <v>0.49</v>
      </c>
      <c r="Y53" s="90">
        <f>_xlfn.XLOOKUP($V53,'Risk Charges'!$C$117:$C$128,'Risk Charges'!F$117:F$128,,0)</f>
        <v>0.42</v>
      </c>
      <c r="Z53" s="90">
        <f>_xlfn.XLOOKUP($V53,'Risk Charges'!$C$117:$C$128,'Risk Charges'!G$117:G$128,,0)</f>
        <v>0.35</v>
      </c>
      <c r="AA53" s="90">
        <f>_xlfn.XLOOKUP($V53,'Risk Charges'!$C$132:$C$143,'Risk Charges'!D$132:D$143,,0)</f>
        <v>0.72299999999999998</v>
      </c>
      <c r="AB53" s="90">
        <f>_xlfn.XLOOKUP($V53,'Risk Charges'!$C$132:$C$143,'Risk Charges'!E$132:E$143,,0)</f>
        <v>0.61299999999999999</v>
      </c>
      <c r="AC53" s="90">
        <f>_xlfn.XLOOKUP($V53,'Risk Charges'!$C$132:$C$143,'Risk Charges'!F$132:F$143,,0)</f>
        <v>0.52500000000000002</v>
      </c>
      <c r="AD53" s="90">
        <f>_xlfn.XLOOKUP($V53,'Risk Charges'!$C$132:$C$143,'Risk Charges'!G$132:G$143,,0)</f>
        <v>0.438</v>
      </c>
      <c r="AL53" s="16"/>
    </row>
    <row r="54" spans="2:65" hidden="1" outlineLevel="1" x14ac:dyDescent="0.3">
      <c r="B54" s="11"/>
      <c r="D54" s="16" t="str">
        <f t="shared" si="6"/>
        <v>Health &amp; medical expense insurance</v>
      </c>
      <c r="E54" s="194">
        <f>W54*Input!$F448</f>
        <v>0</v>
      </c>
      <c r="F54" s="194">
        <f>X54*Input!$F448</f>
        <v>0</v>
      </c>
      <c r="G54" s="194">
        <f>Y54*Input!$F448</f>
        <v>0</v>
      </c>
      <c r="H54" s="194">
        <f>Z54*Input!$F448</f>
        <v>0</v>
      </c>
      <c r="K54" s="11"/>
      <c r="M54" s="16" t="str">
        <f t="shared" si="7"/>
        <v>Health &amp; medical expense insurance</v>
      </c>
      <c r="N54" s="194">
        <f>AA54*Input!$G448</f>
        <v>0</v>
      </c>
      <c r="O54" s="194">
        <f>AB54*Input!$G448</f>
        <v>0</v>
      </c>
      <c r="P54" s="194">
        <f>AC54*Input!$G448</f>
        <v>0</v>
      </c>
      <c r="Q54" s="194">
        <f>AD54*Input!$G448</f>
        <v>0</v>
      </c>
      <c r="S54" s="11"/>
      <c r="T54" s="16" t="s">
        <v>985</v>
      </c>
      <c r="U54" s="91" t="s">
        <v>261</v>
      </c>
      <c r="V54" s="74">
        <v>4</v>
      </c>
      <c r="W54" s="90">
        <f>_xlfn.XLOOKUP($V54,'Risk Charges'!$C$117:$C$128,'Risk Charges'!D$117:D$128,,0)</f>
        <v>0.16500000000000001</v>
      </c>
      <c r="X54" s="90">
        <f>_xlfn.XLOOKUP($V54,'Risk Charges'!$C$117:$C$128,'Risk Charges'!E$117:E$128,,0)</f>
        <v>0.14000000000000001</v>
      </c>
      <c r="Y54" s="90">
        <f>_xlfn.XLOOKUP($V54,'Risk Charges'!$C$117:$C$128,'Risk Charges'!F$117:F$128,,0)</f>
        <v>0.12</v>
      </c>
      <c r="Z54" s="90">
        <f>_xlfn.XLOOKUP($V54,'Risk Charges'!$C$117:$C$128,'Risk Charges'!G$117:G$128,,0)</f>
        <v>0.1</v>
      </c>
      <c r="AA54" s="90">
        <f>_xlfn.XLOOKUP($V54,'Risk Charges'!$C$132:$C$143,'Risk Charges'!D$132:D$143,,0)</f>
        <v>0.20599999999999999</v>
      </c>
      <c r="AB54" s="90">
        <f>_xlfn.XLOOKUP($V54,'Risk Charges'!$C$132:$C$143,'Risk Charges'!E$132:E$143,,0)</f>
        <v>0.17499999999999999</v>
      </c>
      <c r="AC54" s="90">
        <f>_xlfn.XLOOKUP($V54,'Risk Charges'!$C$132:$C$143,'Risk Charges'!F$132:F$143,,0)</f>
        <v>0.15</v>
      </c>
      <c r="AD54" s="90">
        <f>_xlfn.XLOOKUP($V54,'Risk Charges'!$C$132:$C$143,'Risk Charges'!G$132:G$143,,0)</f>
        <v>0.125</v>
      </c>
    </row>
    <row r="55" spans="2:65" hidden="1" outlineLevel="1" x14ac:dyDescent="0.3">
      <c r="B55" s="11"/>
      <c r="D55" s="16" t="str">
        <f t="shared" si="6"/>
        <v>Marine, aviation and transport</v>
      </c>
      <c r="E55" s="194">
        <f>W55*Input!$F449</f>
        <v>0</v>
      </c>
      <c r="F55" s="194">
        <f>X55*Input!$F449</f>
        <v>0</v>
      </c>
      <c r="G55" s="194">
        <f>Y55*Input!$F449</f>
        <v>0</v>
      </c>
      <c r="H55" s="194">
        <f>Z55*Input!$F449</f>
        <v>0</v>
      </c>
      <c r="K55" s="11"/>
      <c r="M55" s="16" t="str">
        <f t="shared" si="7"/>
        <v>Marine, aviation and transport</v>
      </c>
      <c r="N55" s="194">
        <f>AA55*Input!$G449</f>
        <v>0</v>
      </c>
      <c r="O55" s="194">
        <f>AB55*Input!$G449</f>
        <v>0</v>
      </c>
      <c r="P55" s="194">
        <f>AC55*Input!$G449</f>
        <v>0</v>
      </c>
      <c r="Q55" s="194">
        <f>AD55*Input!$G449</f>
        <v>0</v>
      </c>
      <c r="S55" s="11"/>
      <c r="T55" s="16" t="s">
        <v>986</v>
      </c>
      <c r="U55" s="89" t="s">
        <v>411</v>
      </c>
      <c r="V55" s="74">
        <v>10</v>
      </c>
      <c r="W55" s="90">
        <f>_xlfn.XLOOKUP($V55,'Risk Charges'!$C$117:$C$128,'Risk Charges'!D$117:D$128,,0)</f>
        <v>0.66</v>
      </c>
      <c r="X55" s="90">
        <f>_xlfn.XLOOKUP($V55,'Risk Charges'!$C$117:$C$128,'Risk Charges'!E$117:E$128,,0)</f>
        <v>0.56000000000000005</v>
      </c>
      <c r="Y55" s="90">
        <f>_xlfn.XLOOKUP($V55,'Risk Charges'!$C$117:$C$128,'Risk Charges'!F$117:F$128,,0)</f>
        <v>0.48</v>
      </c>
      <c r="Z55" s="90">
        <f>_xlfn.XLOOKUP($V55,'Risk Charges'!$C$117:$C$128,'Risk Charges'!G$117:G$128,,0)</f>
        <v>0.4</v>
      </c>
      <c r="AA55" s="90">
        <f>_xlfn.XLOOKUP($V55,'Risk Charges'!$C$132:$C$143,'Risk Charges'!D$132:D$143,,0)</f>
        <v>0.82499999999999996</v>
      </c>
      <c r="AB55" s="90">
        <f>_xlfn.XLOOKUP($V55,'Risk Charges'!$C$132:$C$143,'Risk Charges'!E$132:E$143,,0)</f>
        <v>0.7</v>
      </c>
      <c r="AC55" s="90">
        <f>_xlfn.XLOOKUP($V55,'Risk Charges'!$C$132:$C$143,'Risk Charges'!F$132:F$143,,0)</f>
        <v>0.6</v>
      </c>
      <c r="AD55" s="90">
        <f>_xlfn.XLOOKUP($V55,'Risk Charges'!$C$132:$C$143,'Risk Charges'!G$132:G$143,,0)</f>
        <v>0.5</v>
      </c>
    </row>
    <row r="56" spans="2:65" hidden="1" outlineLevel="1" x14ac:dyDescent="0.3">
      <c r="B56" s="11"/>
      <c r="D56" s="16" t="str">
        <f t="shared" ref="D56" si="8">T56</f>
        <v>Marine protection &amp; indemnity</v>
      </c>
      <c r="E56" s="194">
        <f>W56*Input!$F450</f>
        <v>0</v>
      </c>
      <c r="F56" s="194">
        <f>X56*Input!$F450</f>
        <v>0</v>
      </c>
      <c r="G56" s="194">
        <f>Y56*Input!$F450</f>
        <v>0</v>
      </c>
      <c r="H56" s="194">
        <f>Z56*Input!$F450</f>
        <v>0</v>
      </c>
      <c r="K56" s="11"/>
      <c r="M56" s="16" t="str">
        <f t="shared" ref="M56" si="9">T56</f>
        <v>Marine protection &amp; indemnity</v>
      </c>
      <c r="N56" s="194">
        <f>AA56*Input!$G450</f>
        <v>0</v>
      </c>
      <c r="O56" s="194">
        <f>AB56*Input!$G450</f>
        <v>0</v>
      </c>
      <c r="P56" s="194">
        <f>AC56*Input!$G450</f>
        <v>0</v>
      </c>
      <c r="Q56" s="194">
        <f>AD56*Input!$G450</f>
        <v>0</v>
      </c>
      <c r="S56" s="11"/>
      <c r="T56" s="16" t="s">
        <v>4130</v>
      </c>
      <c r="U56" s="89" t="s">
        <v>411</v>
      </c>
      <c r="V56" s="74">
        <v>8</v>
      </c>
      <c r="W56" s="90">
        <f>_xlfn.XLOOKUP($V56,'Risk Charges'!$C$117:$C$128,'Risk Charges'!D$117:D$128,,0)</f>
        <v>0.495</v>
      </c>
      <c r="X56" s="90">
        <f>_xlfn.XLOOKUP($V56,'Risk Charges'!$C$117:$C$128,'Risk Charges'!E$117:E$128,,0)</f>
        <v>0.42</v>
      </c>
      <c r="Y56" s="90">
        <f>_xlfn.XLOOKUP($V56,'Risk Charges'!$C$117:$C$128,'Risk Charges'!F$117:F$128,,0)</f>
        <v>0.36</v>
      </c>
      <c r="Z56" s="90">
        <f>_xlfn.XLOOKUP($V56,'Risk Charges'!$C$117:$C$128,'Risk Charges'!G$117:G$128,,0)</f>
        <v>0.3</v>
      </c>
      <c r="AA56" s="90">
        <f>_xlfn.XLOOKUP($V56,'Risk Charges'!$C$132:$C$143,'Risk Charges'!D$132:D$143,,0)</f>
        <v>0.61899999999999999</v>
      </c>
      <c r="AB56" s="90">
        <f>_xlfn.XLOOKUP($V56,'Risk Charges'!$C$132:$C$143,'Risk Charges'!E$132:E$143,,0)</f>
        <v>0.52500000000000002</v>
      </c>
      <c r="AC56" s="90">
        <f>_xlfn.XLOOKUP($V56,'Risk Charges'!$C$132:$C$143,'Risk Charges'!F$132:F$143,,0)</f>
        <v>0.45</v>
      </c>
      <c r="AD56" s="90">
        <f>_xlfn.XLOOKUP($V56,'Risk Charges'!$C$132:$C$143,'Risk Charges'!G$132:G$143,,0)</f>
        <v>0.375</v>
      </c>
    </row>
    <row r="57" spans="2:65" hidden="1" outlineLevel="1" x14ac:dyDescent="0.3">
      <c r="B57" s="11"/>
      <c r="D57" s="16" t="str">
        <f t="shared" si="6"/>
        <v>Assistance</v>
      </c>
      <c r="E57" s="194">
        <f>W57*Input!$F451</f>
        <v>0</v>
      </c>
      <c r="F57" s="194">
        <f>X57*Input!$F451</f>
        <v>0</v>
      </c>
      <c r="G57" s="194">
        <f>Y57*Input!$F451</f>
        <v>0</v>
      </c>
      <c r="H57" s="194">
        <f>Z57*Input!$F451</f>
        <v>0</v>
      </c>
      <c r="K57" s="11"/>
      <c r="M57" s="16" t="str">
        <f t="shared" si="7"/>
        <v>Assistance</v>
      </c>
      <c r="N57" s="194">
        <f>AA57*Input!$G451</f>
        <v>0</v>
      </c>
      <c r="O57" s="194">
        <f>AB57*Input!$G451</f>
        <v>0</v>
      </c>
      <c r="P57" s="194">
        <f>AC57*Input!$G451</f>
        <v>0</v>
      </c>
      <c r="Q57" s="194">
        <f>AD57*Input!$G451</f>
        <v>0</v>
      </c>
      <c r="S57" s="11"/>
      <c r="T57" s="16" t="s">
        <v>381</v>
      </c>
      <c r="U57" s="91" t="s">
        <v>262</v>
      </c>
      <c r="V57" s="74">
        <v>7</v>
      </c>
      <c r="W57" s="90">
        <f>_xlfn.XLOOKUP($V57,'Risk Charges'!$C$117:$C$128,'Risk Charges'!D$117:D$128,,0)</f>
        <v>0.41299999999999998</v>
      </c>
      <c r="X57" s="90">
        <f>_xlfn.XLOOKUP($V57,'Risk Charges'!$C$117:$C$128,'Risk Charges'!E$117:E$128,,0)</f>
        <v>0.35</v>
      </c>
      <c r="Y57" s="90">
        <f>_xlfn.XLOOKUP($V57,'Risk Charges'!$C$117:$C$128,'Risk Charges'!F$117:F$128,,0)</f>
        <v>0.3</v>
      </c>
      <c r="Z57" s="90">
        <f>_xlfn.XLOOKUP($V57,'Risk Charges'!$C$117:$C$128,'Risk Charges'!G$117:G$128,,0)</f>
        <v>0.25</v>
      </c>
      <c r="AA57" s="90">
        <f>_xlfn.XLOOKUP($V57,'Risk Charges'!$C$132:$C$143,'Risk Charges'!D$132:D$143,,0)</f>
        <v>0.51600000000000001</v>
      </c>
      <c r="AB57" s="90">
        <f>_xlfn.XLOOKUP($V57,'Risk Charges'!$C$132:$C$143,'Risk Charges'!E$132:E$143,,0)</f>
        <v>0.438</v>
      </c>
      <c r="AC57" s="90">
        <f>_xlfn.XLOOKUP($V57,'Risk Charges'!$C$132:$C$143,'Risk Charges'!F$132:F$143,,0)</f>
        <v>0.375</v>
      </c>
      <c r="AD57" s="90">
        <f>_xlfn.XLOOKUP($V57,'Risk Charges'!$C$132:$C$143,'Risk Charges'!G$132:G$143,,0)</f>
        <v>0.313</v>
      </c>
    </row>
    <row r="58" spans="2:65" hidden="1" outlineLevel="1" x14ac:dyDescent="0.3">
      <c r="B58" s="11"/>
      <c r="D58" s="16" t="str">
        <f t="shared" si="6"/>
        <v>Income protection</v>
      </c>
      <c r="E58" s="194">
        <f>W58*Input!$F452</f>
        <v>0</v>
      </c>
      <c r="F58" s="194">
        <f>X58*Input!$F452</f>
        <v>0</v>
      </c>
      <c r="G58" s="194">
        <f>Y58*Input!$F452</f>
        <v>0</v>
      </c>
      <c r="H58" s="194">
        <f>Z58*Input!$F452</f>
        <v>0</v>
      </c>
      <c r="K58" s="11"/>
      <c r="M58" s="16" t="str">
        <f t="shared" si="7"/>
        <v>Income protection</v>
      </c>
      <c r="N58" s="194">
        <f>AA58*Input!$G452</f>
        <v>0</v>
      </c>
      <c r="O58" s="194">
        <f>AB58*Input!$G452</f>
        <v>0</v>
      </c>
      <c r="P58" s="194">
        <f>AC58*Input!$G452</f>
        <v>0</v>
      </c>
      <c r="Q58" s="194">
        <f>AD58*Input!$G452</f>
        <v>0</v>
      </c>
      <c r="S58" s="11"/>
      <c r="T58" s="16" t="s">
        <v>987</v>
      </c>
      <c r="U58" s="89" t="s">
        <v>262</v>
      </c>
      <c r="V58" s="74">
        <v>6</v>
      </c>
      <c r="W58" s="90">
        <f>_xlfn.XLOOKUP($V58,'Risk Charges'!$C$117:$C$128,'Risk Charges'!D$117:D$128,,0)</f>
        <v>0.33</v>
      </c>
      <c r="X58" s="90">
        <f>_xlfn.XLOOKUP($V58,'Risk Charges'!$C$117:$C$128,'Risk Charges'!E$117:E$128,,0)</f>
        <v>0.28000000000000003</v>
      </c>
      <c r="Y58" s="90">
        <f>_xlfn.XLOOKUP($V58,'Risk Charges'!$C$117:$C$128,'Risk Charges'!F$117:F$128,,0)</f>
        <v>0.24</v>
      </c>
      <c r="Z58" s="90">
        <f>_xlfn.XLOOKUP($V58,'Risk Charges'!$C$117:$C$128,'Risk Charges'!G$117:G$128,,0)</f>
        <v>0.2</v>
      </c>
      <c r="AA58" s="90">
        <f>_xlfn.XLOOKUP($V58,'Risk Charges'!$C$132:$C$143,'Risk Charges'!D$132:D$143,,0)</f>
        <v>0.41299999999999998</v>
      </c>
      <c r="AB58" s="90">
        <f>_xlfn.XLOOKUP($V58,'Risk Charges'!$C$132:$C$143,'Risk Charges'!E$132:E$143,,0)</f>
        <v>0.35</v>
      </c>
      <c r="AC58" s="90">
        <f>_xlfn.XLOOKUP($V58,'Risk Charges'!$C$132:$C$143,'Risk Charges'!F$132:F$143,,0)</f>
        <v>0.3</v>
      </c>
      <c r="AD58" s="90">
        <f>_xlfn.XLOOKUP($V58,'Risk Charges'!$C$132:$C$143,'Risk Charges'!G$132:G$143,,0)</f>
        <v>0.25</v>
      </c>
      <c r="AK58" s="16"/>
    </row>
    <row r="59" spans="2:65" hidden="1" outlineLevel="1" x14ac:dyDescent="0.3">
      <c r="B59" s="11"/>
      <c r="D59" s="16" t="str">
        <f t="shared" si="6"/>
        <v>Legal expense</v>
      </c>
      <c r="E59" s="194">
        <f>W59*Input!$F453</f>
        <v>0</v>
      </c>
      <c r="F59" s="194">
        <f>X59*Input!$F453</f>
        <v>0</v>
      </c>
      <c r="G59" s="194">
        <f>Y59*Input!$F453</f>
        <v>0</v>
      </c>
      <c r="H59" s="194">
        <f>Z59*Input!$F453</f>
        <v>0</v>
      </c>
      <c r="I59" s="16"/>
      <c r="K59" s="11"/>
      <c r="M59" s="16" t="str">
        <f t="shared" si="7"/>
        <v>Legal expense</v>
      </c>
      <c r="N59" s="194">
        <f>AA59*Input!$G453</f>
        <v>0</v>
      </c>
      <c r="O59" s="194">
        <f>AB59*Input!$G453</f>
        <v>0</v>
      </c>
      <c r="P59" s="194">
        <f>AC59*Input!$G453</f>
        <v>0</v>
      </c>
      <c r="Q59" s="194">
        <f>AD59*Input!$G453</f>
        <v>0</v>
      </c>
      <c r="S59" s="16"/>
      <c r="T59" s="16" t="s">
        <v>988</v>
      </c>
      <c r="U59" s="92" t="s">
        <v>262</v>
      </c>
      <c r="V59" s="74">
        <v>6</v>
      </c>
      <c r="W59" s="90">
        <f>_xlfn.XLOOKUP($V59,'Risk Charges'!$C$117:$C$128,'Risk Charges'!D$117:D$128,,0)</f>
        <v>0.33</v>
      </c>
      <c r="X59" s="90">
        <f>_xlfn.XLOOKUP($V59,'Risk Charges'!$C$117:$C$128,'Risk Charges'!E$117:E$128,,0)</f>
        <v>0.28000000000000003</v>
      </c>
      <c r="Y59" s="90">
        <f>_xlfn.XLOOKUP($V59,'Risk Charges'!$C$117:$C$128,'Risk Charges'!F$117:F$128,,0)</f>
        <v>0.24</v>
      </c>
      <c r="Z59" s="90">
        <f>_xlfn.XLOOKUP($V59,'Risk Charges'!$C$117:$C$128,'Risk Charges'!G$117:G$128,,0)</f>
        <v>0.2</v>
      </c>
      <c r="AA59" s="90">
        <f>_xlfn.XLOOKUP($V59,'Risk Charges'!$C$132:$C$143,'Risk Charges'!D$132:D$143,,0)</f>
        <v>0.41299999999999998</v>
      </c>
      <c r="AB59" s="90">
        <f>_xlfn.XLOOKUP($V59,'Risk Charges'!$C$132:$C$143,'Risk Charges'!E$132:E$143,,0)</f>
        <v>0.35</v>
      </c>
      <c r="AC59" s="90">
        <f>_xlfn.XLOOKUP($V59,'Risk Charges'!$C$132:$C$143,'Risk Charges'!F$132:F$143,,0)</f>
        <v>0.3</v>
      </c>
      <c r="AD59" s="90">
        <f>_xlfn.XLOOKUP($V59,'Risk Charges'!$C$132:$C$143,'Risk Charges'!G$132:G$143,,0)</f>
        <v>0.25</v>
      </c>
      <c r="AK59" s="16"/>
    </row>
    <row r="60" spans="2:65" hidden="1" outlineLevel="1" x14ac:dyDescent="0.3">
      <c r="D60" s="16" t="str">
        <f t="shared" si="6"/>
        <v>Other</v>
      </c>
      <c r="E60" s="194">
        <f>W60*Input!$F454</f>
        <v>0</v>
      </c>
      <c r="F60" s="194">
        <f>X60*Input!$F454</f>
        <v>0</v>
      </c>
      <c r="G60" s="194">
        <f>Y60*Input!$F454</f>
        <v>0</v>
      </c>
      <c r="H60" s="194">
        <f>Z60*Input!$F454</f>
        <v>0</v>
      </c>
      <c r="M60" s="16" t="str">
        <f t="shared" si="7"/>
        <v>Other</v>
      </c>
      <c r="N60" s="194">
        <f>AA60*Input!$G454</f>
        <v>0</v>
      </c>
      <c r="O60" s="194">
        <f>AB60*Input!$G454</f>
        <v>0</v>
      </c>
      <c r="P60" s="194">
        <f>AC60*Input!$G454</f>
        <v>0</v>
      </c>
      <c r="Q60" s="194">
        <f>AD60*Input!$G454</f>
        <v>0</v>
      </c>
      <c r="S60" s="61"/>
      <c r="T60" s="16" t="s">
        <v>262</v>
      </c>
      <c r="U60" s="89" t="s">
        <v>262</v>
      </c>
      <c r="V60" s="74">
        <v>12</v>
      </c>
      <c r="W60" s="90">
        <f>_xlfn.XLOOKUP($V60,'Risk Charges'!$C$117:$C$128,'Risk Charges'!D$117:D$128,,0)</f>
        <v>0.99</v>
      </c>
      <c r="X60" s="90">
        <f>_xlfn.XLOOKUP($V60,'Risk Charges'!$C$117:$C$128,'Risk Charges'!E$117:E$128,,0)</f>
        <v>0.84</v>
      </c>
      <c r="Y60" s="90">
        <f>_xlfn.XLOOKUP($V60,'Risk Charges'!$C$117:$C$128,'Risk Charges'!F$117:F$128,,0)</f>
        <v>0.72</v>
      </c>
      <c r="Z60" s="90">
        <f>_xlfn.XLOOKUP($V60,'Risk Charges'!$C$117:$C$128,'Risk Charges'!G$117:G$128,,0)</f>
        <v>0.6</v>
      </c>
      <c r="AA60" s="90">
        <f>_xlfn.XLOOKUP($V60,'Risk Charges'!$C$132:$C$143,'Risk Charges'!D$132:D$143,,0)</f>
        <v>1.238</v>
      </c>
      <c r="AB60" s="90">
        <f>_xlfn.XLOOKUP($V60,'Risk Charges'!$C$132:$C$143,'Risk Charges'!E$132:E$143,,0)</f>
        <v>1.05</v>
      </c>
      <c r="AC60" s="90">
        <f>_xlfn.XLOOKUP($V60,'Risk Charges'!$C$132:$C$143,'Risk Charges'!F$132:F$143,,0)</f>
        <v>0.9</v>
      </c>
      <c r="AD60" s="90">
        <f>_xlfn.XLOOKUP($V60,'Risk Charges'!$C$132:$C$143,'Risk Charges'!G$132:G$143,,0)</f>
        <v>0.75</v>
      </c>
    </row>
    <row r="61" spans="2:65" hidden="1" outlineLevel="1" x14ac:dyDescent="0.3">
      <c r="B61" s="88" t="s">
        <v>326</v>
      </c>
      <c r="E61" s="194"/>
      <c r="F61" s="194"/>
      <c r="G61" s="194"/>
      <c r="H61" s="194"/>
      <c r="K61" s="88" t="s">
        <v>326</v>
      </c>
      <c r="N61" s="194"/>
      <c r="O61" s="194"/>
      <c r="P61" s="194"/>
      <c r="Q61" s="194"/>
      <c r="S61" s="88" t="s">
        <v>326</v>
      </c>
      <c r="U61" s="89"/>
      <c r="V61" s="74"/>
      <c r="W61" s="90"/>
      <c r="X61" s="90"/>
      <c r="Y61" s="90"/>
      <c r="Z61" s="90"/>
      <c r="AA61" s="90"/>
      <c r="AB61" s="90"/>
      <c r="AC61" s="90"/>
      <c r="AD61" s="90"/>
    </row>
    <row r="62" spans="2:65" hidden="1" outlineLevel="1" x14ac:dyDescent="0.3">
      <c r="B62" s="11"/>
      <c r="D62" s="16" t="str">
        <f t="shared" ref="D62:D98" si="10">T62</f>
        <v>Excess workers compensation</v>
      </c>
      <c r="E62" s="194">
        <f>W62*Input!$F456</f>
        <v>0</v>
      </c>
      <c r="F62" s="194">
        <f>X62*Input!$F456</f>
        <v>0</v>
      </c>
      <c r="G62" s="194">
        <f>Y62*Input!$F456</f>
        <v>0</v>
      </c>
      <c r="H62" s="194">
        <f>Z62*Input!$F456</f>
        <v>0</v>
      </c>
      <c r="K62" s="11"/>
      <c r="M62" s="16" t="str">
        <f t="shared" ref="M62:M98" si="11">T62</f>
        <v>Excess workers compensation</v>
      </c>
      <c r="N62" s="194">
        <f>AA62*Input!$G456</f>
        <v>0</v>
      </c>
      <c r="O62" s="194">
        <f>AB62*Input!$G456</f>
        <v>0</v>
      </c>
      <c r="P62" s="194">
        <f>AC62*Input!$G456</f>
        <v>0</v>
      </c>
      <c r="Q62" s="194">
        <f>AD62*Input!$G456</f>
        <v>0</v>
      </c>
      <c r="S62" s="11"/>
      <c r="T62" s="94" t="s">
        <v>379</v>
      </c>
      <c r="U62" s="89" t="s">
        <v>260</v>
      </c>
      <c r="V62" s="74">
        <v>11</v>
      </c>
      <c r="W62" s="90">
        <f>_xlfn.XLOOKUP($V62,'Risk Charges'!$C$117:$C$128,'Risk Charges'!D$117:D$128,,0)</f>
        <v>0.82499999999999996</v>
      </c>
      <c r="X62" s="90">
        <f>_xlfn.XLOOKUP($V62,'Risk Charges'!$C$117:$C$128,'Risk Charges'!E$117:E$128,,0)</f>
        <v>0.7</v>
      </c>
      <c r="Y62" s="90">
        <f>_xlfn.XLOOKUP($V62,'Risk Charges'!$C$117:$C$128,'Risk Charges'!F$117:F$128,,0)</f>
        <v>0.6</v>
      </c>
      <c r="Z62" s="90">
        <f>_xlfn.XLOOKUP($V62,'Risk Charges'!$C$117:$C$128,'Risk Charges'!G$117:G$128,,0)</f>
        <v>0.5</v>
      </c>
      <c r="AA62" s="90">
        <f>_xlfn.XLOOKUP($V62,'Risk Charges'!$C$132:$C$143,'Risk Charges'!D$132:D$143,,0)</f>
        <v>1.0309999999999999</v>
      </c>
      <c r="AB62" s="90">
        <f>_xlfn.XLOOKUP($V62,'Risk Charges'!$C$132:$C$143,'Risk Charges'!E$132:E$143,,0)</f>
        <v>0.875</v>
      </c>
      <c r="AC62" s="90">
        <f>_xlfn.XLOOKUP($V62,'Risk Charges'!$C$132:$C$143,'Risk Charges'!F$132:F$143,,0)</f>
        <v>0.75</v>
      </c>
      <c r="AD62" s="90">
        <f>_xlfn.XLOOKUP($V62,'Risk Charges'!$C$132:$C$143,'Risk Charges'!G$132:G$143,,0)</f>
        <v>0.625</v>
      </c>
      <c r="BM62" s="94"/>
    </row>
    <row r="63" spans="2:65" hidden="1" outlineLevel="1" x14ac:dyDescent="0.3">
      <c r="B63" s="11"/>
      <c r="D63" s="16" t="str">
        <f t="shared" si="10"/>
        <v>Medical malpractice - claims made</v>
      </c>
      <c r="E63" s="194">
        <f>W63*Input!$F457</f>
        <v>0</v>
      </c>
      <c r="F63" s="194">
        <f>X63*Input!$F457</f>
        <v>0</v>
      </c>
      <c r="G63" s="194">
        <f>Y63*Input!$F457</f>
        <v>0</v>
      </c>
      <c r="H63" s="194">
        <f>Z63*Input!$F457</f>
        <v>0</v>
      </c>
      <c r="K63" s="11"/>
      <c r="M63" s="16" t="str">
        <f t="shared" si="11"/>
        <v>Medical malpractice - claims made</v>
      </c>
      <c r="N63" s="194">
        <f>AA63*Input!$G457</f>
        <v>0</v>
      </c>
      <c r="O63" s="194">
        <f>AB63*Input!$G457</f>
        <v>0</v>
      </c>
      <c r="P63" s="194">
        <f>AC63*Input!$G457</f>
        <v>0</v>
      </c>
      <c r="Q63" s="194">
        <f>AD63*Input!$G457</f>
        <v>0</v>
      </c>
      <c r="S63" s="11"/>
      <c r="T63" s="94" t="s">
        <v>402</v>
      </c>
      <c r="U63" s="89" t="s">
        <v>260</v>
      </c>
      <c r="V63" s="74">
        <v>9</v>
      </c>
      <c r="W63" s="90">
        <f>_xlfn.XLOOKUP($V63,'Risk Charges'!$C$117:$C$128,'Risk Charges'!D$117:D$128,,0)</f>
        <v>0.57799999999999996</v>
      </c>
      <c r="X63" s="90">
        <f>_xlfn.XLOOKUP($V63,'Risk Charges'!$C$117:$C$128,'Risk Charges'!E$117:E$128,,0)</f>
        <v>0.49</v>
      </c>
      <c r="Y63" s="90">
        <f>_xlfn.XLOOKUP($V63,'Risk Charges'!$C$117:$C$128,'Risk Charges'!F$117:F$128,,0)</f>
        <v>0.42</v>
      </c>
      <c r="Z63" s="90">
        <f>_xlfn.XLOOKUP($V63,'Risk Charges'!$C$117:$C$128,'Risk Charges'!G$117:G$128,,0)</f>
        <v>0.35</v>
      </c>
      <c r="AA63" s="90">
        <f>_xlfn.XLOOKUP($V63,'Risk Charges'!$C$132:$C$143,'Risk Charges'!D$132:D$143,,0)</f>
        <v>0.72299999999999998</v>
      </c>
      <c r="AB63" s="90">
        <f>_xlfn.XLOOKUP($V63,'Risk Charges'!$C$132:$C$143,'Risk Charges'!E$132:E$143,,0)</f>
        <v>0.61299999999999999</v>
      </c>
      <c r="AC63" s="90">
        <f>_xlfn.XLOOKUP($V63,'Risk Charges'!$C$132:$C$143,'Risk Charges'!F$132:F$143,,0)</f>
        <v>0.52500000000000002</v>
      </c>
      <c r="AD63" s="90">
        <f>_xlfn.XLOOKUP($V63,'Risk Charges'!$C$132:$C$143,'Risk Charges'!G$132:G$143,,0)</f>
        <v>0.438</v>
      </c>
      <c r="BM63" s="94"/>
    </row>
    <row r="64" spans="2:65" hidden="1" outlineLevel="1" x14ac:dyDescent="0.3">
      <c r="B64" s="11"/>
      <c r="D64" s="16" t="str">
        <f t="shared" si="10"/>
        <v>Medical malpractice - occurrence</v>
      </c>
      <c r="E64" s="194">
        <f>W64*Input!$F458</f>
        <v>0</v>
      </c>
      <c r="F64" s="194">
        <f>X64*Input!$F458</f>
        <v>0</v>
      </c>
      <c r="G64" s="194">
        <f>Y64*Input!$F458</f>
        <v>0</v>
      </c>
      <c r="H64" s="194">
        <f>Z64*Input!$F458</f>
        <v>0</v>
      </c>
      <c r="K64" s="11"/>
      <c r="M64" s="16" t="str">
        <f t="shared" si="11"/>
        <v>Medical malpractice - occurrence</v>
      </c>
      <c r="N64" s="194">
        <f>AA64*Input!$G458</f>
        <v>0</v>
      </c>
      <c r="O64" s="194">
        <f>AB64*Input!$G458</f>
        <v>0</v>
      </c>
      <c r="P64" s="194">
        <f>AC64*Input!$G458</f>
        <v>0</v>
      </c>
      <c r="Q64" s="194">
        <f>AD64*Input!$G458</f>
        <v>0</v>
      </c>
      <c r="S64" s="11"/>
      <c r="T64" s="94" t="s">
        <v>401</v>
      </c>
      <c r="U64" s="89" t="s">
        <v>260</v>
      </c>
      <c r="V64" s="74">
        <v>11</v>
      </c>
      <c r="W64" s="90">
        <f>_xlfn.XLOOKUP($V64,'Risk Charges'!$C$117:$C$128,'Risk Charges'!D$117:D$128,,0)</f>
        <v>0.82499999999999996</v>
      </c>
      <c r="X64" s="90">
        <f>_xlfn.XLOOKUP($V64,'Risk Charges'!$C$117:$C$128,'Risk Charges'!E$117:E$128,,0)</f>
        <v>0.7</v>
      </c>
      <c r="Y64" s="90">
        <f>_xlfn.XLOOKUP($V64,'Risk Charges'!$C$117:$C$128,'Risk Charges'!F$117:F$128,,0)</f>
        <v>0.6</v>
      </c>
      <c r="Z64" s="90">
        <f>_xlfn.XLOOKUP($V64,'Risk Charges'!$C$117:$C$128,'Risk Charges'!G$117:G$128,,0)</f>
        <v>0.5</v>
      </c>
      <c r="AA64" s="90">
        <f>_xlfn.XLOOKUP($V64,'Risk Charges'!$C$132:$C$143,'Risk Charges'!D$132:D$143,,0)</f>
        <v>1.0309999999999999</v>
      </c>
      <c r="AB64" s="90">
        <f>_xlfn.XLOOKUP($V64,'Risk Charges'!$C$132:$C$143,'Risk Charges'!E$132:E$143,,0)</f>
        <v>0.875</v>
      </c>
      <c r="AC64" s="90">
        <f>_xlfn.XLOOKUP($V64,'Risk Charges'!$C$132:$C$143,'Risk Charges'!F$132:F$143,,0)</f>
        <v>0.75</v>
      </c>
      <c r="AD64" s="90">
        <f>_xlfn.XLOOKUP($V64,'Risk Charges'!$C$132:$C$143,'Risk Charges'!G$132:G$143,,0)</f>
        <v>0.625</v>
      </c>
      <c r="BM64" s="94"/>
    </row>
    <row r="65" spans="2:65" hidden="1" outlineLevel="1" x14ac:dyDescent="0.3">
      <c r="B65" s="11"/>
      <c r="D65" s="16" t="str">
        <f t="shared" si="10"/>
        <v>Other liability - claims made</v>
      </c>
      <c r="E65" s="194">
        <f>W65*Input!$F459</f>
        <v>0</v>
      </c>
      <c r="F65" s="194">
        <f>X65*Input!$F459</f>
        <v>0</v>
      </c>
      <c r="G65" s="194">
        <f>Y65*Input!$F459</f>
        <v>0</v>
      </c>
      <c r="H65" s="194">
        <f>Z65*Input!$F459</f>
        <v>0</v>
      </c>
      <c r="K65" s="11"/>
      <c r="M65" s="16" t="str">
        <f t="shared" si="11"/>
        <v>Other liability - claims made</v>
      </c>
      <c r="N65" s="194">
        <f>AA65*Input!$G459</f>
        <v>0</v>
      </c>
      <c r="O65" s="194">
        <f>AB65*Input!$G459</f>
        <v>0</v>
      </c>
      <c r="P65" s="194">
        <f>AC65*Input!$G459</f>
        <v>0</v>
      </c>
      <c r="Q65" s="194">
        <f>AD65*Input!$G459</f>
        <v>0</v>
      </c>
      <c r="S65" s="11"/>
      <c r="T65" s="94" t="s">
        <v>404</v>
      </c>
      <c r="U65" s="89" t="s">
        <v>260</v>
      </c>
      <c r="V65" s="74">
        <v>4</v>
      </c>
      <c r="W65" s="90">
        <f>_xlfn.XLOOKUP($V65,'Risk Charges'!$C$117:$C$128,'Risk Charges'!D$117:D$128,,0)</f>
        <v>0.16500000000000001</v>
      </c>
      <c r="X65" s="90">
        <f>_xlfn.XLOOKUP($V65,'Risk Charges'!$C$117:$C$128,'Risk Charges'!E$117:E$128,,0)</f>
        <v>0.14000000000000001</v>
      </c>
      <c r="Y65" s="90">
        <f>_xlfn.XLOOKUP($V65,'Risk Charges'!$C$117:$C$128,'Risk Charges'!F$117:F$128,,0)</f>
        <v>0.12</v>
      </c>
      <c r="Z65" s="90">
        <f>_xlfn.XLOOKUP($V65,'Risk Charges'!$C$117:$C$128,'Risk Charges'!G$117:G$128,,0)</f>
        <v>0.1</v>
      </c>
      <c r="AA65" s="90">
        <f>_xlfn.XLOOKUP($V65,'Risk Charges'!$C$132:$C$143,'Risk Charges'!D$132:D$143,,0)</f>
        <v>0.20599999999999999</v>
      </c>
      <c r="AB65" s="90">
        <f>_xlfn.XLOOKUP($V65,'Risk Charges'!$C$132:$C$143,'Risk Charges'!E$132:E$143,,0)</f>
        <v>0.17499999999999999</v>
      </c>
      <c r="AC65" s="90">
        <f>_xlfn.XLOOKUP($V65,'Risk Charges'!$C$132:$C$143,'Risk Charges'!F$132:F$143,,0)</f>
        <v>0.15</v>
      </c>
      <c r="AD65" s="90">
        <f>_xlfn.XLOOKUP($V65,'Risk Charges'!$C$132:$C$143,'Risk Charges'!G$132:G$143,,0)</f>
        <v>0.125</v>
      </c>
      <c r="BM65" s="94"/>
    </row>
    <row r="66" spans="2:65" hidden="1" outlineLevel="1" x14ac:dyDescent="0.3">
      <c r="B66" s="11"/>
      <c r="D66" s="16" t="str">
        <f t="shared" si="10"/>
        <v>Other liability - occurrence</v>
      </c>
      <c r="E66" s="194">
        <f>W66*Input!$F460</f>
        <v>0</v>
      </c>
      <c r="F66" s="194">
        <f>X66*Input!$F460</f>
        <v>0</v>
      </c>
      <c r="G66" s="194">
        <f>Y66*Input!$F460</f>
        <v>0</v>
      </c>
      <c r="H66" s="194">
        <f>Z66*Input!$F460</f>
        <v>0</v>
      </c>
      <c r="K66" s="11"/>
      <c r="M66" s="16" t="str">
        <f t="shared" si="11"/>
        <v>Other liability - occurrence</v>
      </c>
      <c r="N66" s="194">
        <f>AA66*Input!$G460</f>
        <v>0</v>
      </c>
      <c r="O66" s="194">
        <f>AB66*Input!$G460</f>
        <v>0</v>
      </c>
      <c r="P66" s="194">
        <f>AC66*Input!$G460</f>
        <v>0</v>
      </c>
      <c r="Q66" s="194">
        <f>AD66*Input!$G460</f>
        <v>0</v>
      </c>
      <c r="S66" s="11"/>
      <c r="T66" s="94" t="s">
        <v>403</v>
      </c>
      <c r="U66" s="89" t="s">
        <v>260</v>
      </c>
      <c r="V66" s="74">
        <v>5</v>
      </c>
      <c r="W66" s="90">
        <f>_xlfn.XLOOKUP($V66,'Risk Charges'!$C$117:$C$128,'Risk Charges'!D$117:D$128,,0)</f>
        <v>0.248</v>
      </c>
      <c r="X66" s="90">
        <f>_xlfn.XLOOKUP($V66,'Risk Charges'!$C$117:$C$128,'Risk Charges'!E$117:E$128,,0)</f>
        <v>0.21</v>
      </c>
      <c r="Y66" s="90">
        <f>_xlfn.XLOOKUP($V66,'Risk Charges'!$C$117:$C$128,'Risk Charges'!F$117:F$128,,0)</f>
        <v>0.18</v>
      </c>
      <c r="Z66" s="90">
        <f>_xlfn.XLOOKUP($V66,'Risk Charges'!$C$117:$C$128,'Risk Charges'!G$117:G$128,,0)</f>
        <v>0.15</v>
      </c>
      <c r="AA66" s="90">
        <f>_xlfn.XLOOKUP($V66,'Risk Charges'!$C$132:$C$143,'Risk Charges'!D$132:D$143,,0)</f>
        <v>0.31</v>
      </c>
      <c r="AB66" s="90">
        <f>_xlfn.XLOOKUP($V66,'Risk Charges'!$C$132:$C$143,'Risk Charges'!E$132:E$143,,0)</f>
        <v>0.26300000000000001</v>
      </c>
      <c r="AC66" s="90">
        <f>_xlfn.XLOOKUP($V66,'Risk Charges'!$C$132:$C$143,'Risk Charges'!F$132:F$143,,0)</f>
        <v>0.22500000000000001</v>
      </c>
      <c r="AD66" s="90">
        <f>_xlfn.XLOOKUP($V66,'Risk Charges'!$C$132:$C$143,'Risk Charges'!G$132:G$143,,0)</f>
        <v>0.188</v>
      </c>
      <c r="BM66" s="94"/>
    </row>
    <row r="67" spans="2:65" hidden="1" outlineLevel="1" x14ac:dyDescent="0.3">
      <c r="B67" s="11"/>
      <c r="D67" s="16" t="str">
        <f t="shared" si="10"/>
        <v>Product liability - claims made</v>
      </c>
      <c r="E67" s="194">
        <f>W67*Input!$F461</f>
        <v>0</v>
      </c>
      <c r="F67" s="194">
        <f>X67*Input!$F461</f>
        <v>0</v>
      </c>
      <c r="G67" s="194">
        <f>Y67*Input!$F461</f>
        <v>0</v>
      </c>
      <c r="H67" s="194">
        <f>Z67*Input!$F461</f>
        <v>0</v>
      </c>
      <c r="K67" s="11"/>
      <c r="M67" s="16" t="str">
        <f t="shared" si="11"/>
        <v>Product liability - claims made</v>
      </c>
      <c r="N67" s="194">
        <f>AA67*Input!$G461</f>
        <v>0</v>
      </c>
      <c r="O67" s="194">
        <f>AB67*Input!$G461</f>
        <v>0</v>
      </c>
      <c r="P67" s="194">
        <f>AC67*Input!$G461</f>
        <v>0</v>
      </c>
      <c r="Q67" s="194">
        <f>AD67*Input!$G461</f>
        <v>0</v>
      </c>
      <c r="S67" s="11"/>
      <c r="T67" s="94" t="s">
        <v>406</v>
      </c>
      <c r="U67" s="89" t="s">
        <v>260</v>
      </c>
      <c r="V67" s="74">
        <v>9</v>
      </c>
      <c r="W67" s="90">
        <f>_xlfn.XLOOKUP($V67,'Risk Charges'!$C$117:$C$128,'Risk Charges'!D$117:D$128,,0)</f>
        <v>0.57799999999999996</v>
      </c>
      <c r="X67" s="90">
        <f>_xlfn.XLOOKUP($V67,'Risk Charges'!$C$117:$C$128,'Risk Charges'!E$117:E$128,,0)</f>
        <v>0.49</v>
      </c>
      <c r="Y67" s="90">
        <f>_xlfn.XLOOKUP($V67,'Risk Charges'!$C$117:$C$128,'Risk Charges'!F$117:F$128,,0)</f>
        <v>0.42</v>
      </c>
      <c r="Z67" s="90">
        <f>_xlfn.XLOOKUP($V67,'Risk Charges'!$C$117:$C$128,'Risk Charges'!G$117:G$128,,0)</f>
        <v>0.35</v>
      </c>
      <c r="AA67" s="90">
        <f>_xlfn.XLOOKUP($V67,'Risk Charges'!$C$132:$C$143,'Risk Charges'!D$132:D$143,,0)</f>
        <v>0.72299999999999998</v>
      </c>
      <c r="AB67" s="90">
        <f>_xlfn.XLOOKUP($V67,'Risk Charges'!$C$132:$C$143,'Risk Charges'!E$132:E$143,,0)</f>
        <v>0.61299999999999999</v>
      </c>
      <c r="AC67" s="90">
        <f>_xlfn.XLOOKUP($V67,'Risk Charges'!$C$132:$C$143,'Risk Charges'!F$132:F$143,,0)</f>
        <v>0.52500000000000002</v>
      </c>
      <c r="AD67" s="90">
        <f>_xlfn.XLOOKUP($V67,'Risk Charges'!$C$132:$C$143,'Risk Charges'!G$132:G$143,,0)</f>
        <v>0.438</v>
      </c>
      <c r="BM67" s="94"/>
    </row>
    <row r="68" spans="2:65" hidden="1" outlineLevel="1" x14ac:dyDescent="0.3">
      <c r="B68" s="11"/>
      <c r="D68" s="16" t="str">
        <f t="shared" si="10"/>
        <v>Product liability - occurrence</v>
      </c>
      <c r="E68" s="194">
        <f>W68*Input!$F462</f>
        <v>0</v>
      </c>
      <c r="F68" s="194">
        <f>X68*Input!$F462</f>
        <v>0</v>
      </c>
      <c r="G68" s="194">
        <f>Y68*Input!$F462</f>
        <v>0</v>
      </c>
      <c r="H68" s="194">
        <f>Z68*Input!$F462</f>
        <v>0</v>
      </c>
      <c r="K68" s="11"/>
      <c r="M68" s="16" t="str">
        <f t="shared" si="11"/>
        <v>Product liability - occurrence</v>
      </c>
      <c r="N68" s="194">
        <f>AA68*Input!$G462</f>
        <v>0</v>
      </c>
      <c r="O68" s="194">
        <f>AB68*Input!$G462</f>
        <v>0</v>
      </c>
      <c r="P68" s="194">
        <f>AC68*Input!$G462</f>
        <v>0</v>
      </c>
      <c r="Q68" s="194">
        <f>AD68*Input!$G462</f>
        <v>0</v>
      </c>
      <c r="S68" s="11"/>
      <c r="T68" s="94" t="s">
        <v>405</v>
      </c>
      <c r="U68" s="89" t="s">
        <v>260</v>
      </c>
      <c r="V68" s="74">
        <v>6</v>
      </c>
      <c r="W68" s="90">
        <f>_xlfn.XLOOKUP($V68,'Risk Charges'!$C$117:$C$128,'Risk Charges'!D$117:D$128,,0)</f>
        <v>0.33</v>
      </c>
      <c r="X68" s="90">
        <f>_xlfn.XLOOKUP($V68,'Risk Charges'!$C$117:$C$128,'Risk Charges'!E$117:E$128,,0)</f>
        <v>0.28000000000000003</v>
      </c>
      <c r="Y68" s="90">
        <f>_xlfn.XLOOKUP($V68,'Risk Charges'!$C$117:$C$128,'Risk Charges'!F$117:F$128,,0)</f>
        <v>0.24</v>
      </c>
      <c r="Z68" s="90">
        <f>_xlfn.XLOOKUP($V68,'Risk Charges'!$C$117:$C$128,'Risk Charges'!G$117:G$128,,0)</f>
        <v>0.2</v>
      </c>
      <c r="AA68" s="90">
        <f>_xlfn.XLOOKUP($V68,'Risk Charges'!$C$132:$C$143,'Risk Charges'!D$132:D$143,,0)</f>
        <v>0.41299999999999998</v>
      </c>
      <c r="AB68" s="90">
        <f>_xlfn.XLOOKUP($V68,'Risk Charges'!$C$132:$C$143,'Risk Charges'!E$132:E$143,,0)</f>
        <v>0.35</v>
      </c>
      <c r="AC68" s="90">
        <f>_xlfn.XLOOKUP($V68,'Risk Charges'!$C$132:$C$143,'Risk Charges'!F$132:F$143,,0)</f>
        <v>0.3</v>
      </c>
      <c r="AD68" s="90">
        <f>_xlfn.XLOOKUP($V68,'Risk Charges'!$C$132:$C$143,'Risk Charges'!G$132:G$143,,0)</f>
        <v>0.25</v>
      </c>
      <c r="BM68" s="94"/>
    </row>
    <row r="69" spans="2:65" hidden="1" outlineLevel="1" x14ac:dyDescent="0.3">
      <c r="B69" s="11"/>
      <c r="D69" s="16" t="str">
        <f t="shared" si="10"/>
        <v>Workers compensation</v>
      </c>
      <c r="E69" s="194">
        <f>W69*Input!$F463</f>
        <v>0</v>
      </c>
      <c r="F69" s="194">
        <f>X69*Input!$F463</f>
        <v>0</v>
      </c>
      <c r="G69" s="194">
        <f>Y69*Input!$F463</f>
        <v>0</v>
      </c>
      <c r="H69" s="194">
        <f>Z69*Input!$F463</f>
        <v>0</v>
      </c>
      <c r="K69" s="11"/>
      <c r="M69" s="16" t="str">
        <f t="shared" si="11"/>
        <v>Workers compensation</v>
      </c>
      <c r="N69" s="194">
        <f>AA69*Input!$G463</f>
        <v>0</v>
      </c>
      <c r="O69" s="194">
        <f>AB69*Input!$G463</f>
        <v>0</v>
      </c>
      <c r="P69" s="194">
        <f>AC69*Input!$G463</f>
        <v>0</v>
      </c>
      <c r="Q69" s="194">
        <f>AD69*Input!$G463</f>
        <v>0</v>
      </c>
      <c r="S69" s="11"/>
      <c r="T69" s="94" t="s">
        <v>979</v>
      </c>
      <c r="U69" s="89" t="s">
        <v>260</v>
      </c>
      <c r="V69" s="74">
        <v>5</v>
      </c>
      <c r="W69" s="90">
        <f>_xlfn.XLOOKUP($V69,'Risk Charges'!$C$117:$C$128,'Risk Charges'!D$117:D$128,,0)</f>
        <v>0.248</v>
      </c>
      <c r="X69" s="90">
        <f>_xlfn.XLOOKUP($V69,'Risk Charges'!$C$117:$C$128,'Risk Charges'!E$117:E$128,,0)</f>
        <v>0.21</v>
      </c>
      <c r="Y69" s="90">
        <f>_xlfn.XLOOKUP($V69,'Risk Charges'!$C$117:$C$128,'Risk Charges'!F$117:F$128,,0)</f>
        <v>0.18</v>
      </c>
      <c r="Z69" s="90">
        <f>_xlfn.XLOOKUP($V69,'Risk Charges'!$C$117:$C$128,'Risk Charges'!G$117:G$128,,0)</f>
        <v>0.15</v>
      </c>
      <c r="AA69" s="90">
        <f>_xlfn.XLOOKUP($V69,'Risk Charges'!$C$132:$C$143,'Risk Charges'!D$132:D$143,,0)</f>
        <v>0.31</v>
      </c>
      <c r="AB69" s="90">
        <f>_xlfn.XLOOKUP($V69,'Risk Charges'!$C$132:$C$143,'Risk Charges'!E$132:E$143,,0)</f>
        <v>0.26300000000000001</v>
      </c>
      <c r="AC69" s="90">
        <f>_xlfn.XLOOKUP($V69,'Risk Charges'!$C$132:$C$143,'Risk Charges'!F$132:F$143,,0)</f>
        <v>0.22500000000000001</v>
      </c>
      <c r="AD69" s="90">
        <f>_xlfn.XLOOKUP($V69,'Risk Charges'!$C$132:$C$143,'Risk Charges'!G$132:G$143,,0)</f>
        <v>0.188</v>
      </c>
      <c r="BM69" s="94"/>
    </row>
    <row r="70" spans="2:65" hidden="1" outlineLevel="1" x14ac:dyDescent="0.3">
      <c r="B70" s="11"/>
      <c r="D70" s="16" t="str">
        <f t="shared" si="10"/>
        <v>Boiler &amp; machinery</v>
      </c>
      <c r="E70" s="194">
        <f>W70*Input!$F464</f>
        <v>0</v>
      </c>
      <c r="F70" s="194">
        <f>X70*Input!$F464</f>
        <v>0</v>
      </c>
      <c r="G70" s="194">
        <f>Y70*Input!$F464</f>
        <v>0</v>
      </c>
      <c r="H70" s="194">
        <f>Z70*Input!$F464</f>
        <v>0</v>
      </c>
      <c r="K70" s="11"/>
      <c r="M70" s="16" t="str">
        <f t="shared" si="11"/>
        <v>Boiler &amp; machinery</v>
      </c>
      <c r="N70" s="194">
        <f>AA70*Input!$G464</f>
        <v>0</v>
      </c>
      <c r="O70" s="194">
        <f>AB70*Input!$G464</f>
        <v>0</v>
      </c>
      <c r="P70" s="194">
        <f>AC70*Input!$G464</f>
        <v>0</v>
      </c>
      <c r="Q70" s="194">
        <f>AD70*Input!$G464</f>
        <v>0</v>
      </c>
      <c r="S70" s="11"/>
      <c r="T70" s="94" t="s">
        <v>989</v>
      </c>
      <c r="U70" s="89" t="s">
        <v>258</v>
      </c>
      <c r="V70" s="74">
        <v>7</v>
      </c>
      <c r="W70" s="90">
        <f>_xlfn.XLOOKUP($V70,'Risk Charges'!$C$117:$C$128,'Risk Charges'!D$117:D$128,,0)</f>
        <v>0.41299999999999998</v>
      </c>
      <c r="X70" s="90">
        <f>_xlfn.XLOOKUP($V70,'Risk Charges'!$C$117:$C$128,'Risk Charges'!E$117:E$128,,0)</f>
        <v>0.35</v>
      </c>
      <c r="Y70" s="90">
        <f>_xlfn.XLOOKUP($V70,'Risk Charges'!$C$117:$C$128,'Risk Charges'!F$117:F$128,,0)</f>
        <v>0.3</v>
      </c>
      <c r="Z70" s="90">
        <f>_xlfn.XLOOKUP($V70,'Risk Charges'!$C$117:$C$128,'Risk Charges'!G$117:G$128,,0)</f>
        <v>0.25</v>
      </c>
      <c r="AA70" s="90">
        <f>_xlfn.XLOOKUP($V70,'Risk Charges'!$C$132:$C$143,'Risk Charges'!D$132:D$143,,0)</f>
        <v>0.51600000000000001</v>
      </c>
      <c r="AB70" s="90">
        <f>_xlfn.XLOOKUP($V70,'Risk Charges'!$C$132:$C$143,'Risk Charges'!E$132:E$143,,0)</f>
        <v>0.438</v>
      </c>
      <c r="AC70" s="90">
        <f>_xlfn.XLOOKUP($V70,'Risk Charges'!$C$132:$C$143,'Risk Charges'!F$132:F$143,,0)</f>
        <v>0.375</v>
      </c>
      <c r="AD70" s="90">
        <f>_xlfn.XLOOKUP($V70,'Risk Charges'!$C$132:$C$143,'Risk Charges'!G$132:G$143,,0)</f>
        <v>0.313</v>
      </c>
      <c r="BM70" s="94"/>
    </row>
    <row r="71" spans="2:65" hidden="1" outlineLevel="1" x14ac:dyDescent="0.3">
      <c r="B71" s="11"/>
      <c r="D71" s="16" t="str">
        <f t="shared" si="10"/>
        <v>Commercial multi-peril</v>
      </c>
      <c r="E71" s="194">
        <f>W71*Input!$F465</f>
        <v>0</v>
      </c>
      <c r="F71" s="194">
        <f>X71*Input!$F465</f>
        <v>0</v>
      </c>
      <c r="G71" s="194">
        <f>Y71*Input!$F465</f>
        <v>0</v>
      </c>
      <c r="H71" s="194">
        <f>Z71*Input!$F465</f>
        <v>0</v>
      </c>
      <c r="K71" s="11"/>
      <c r="M71" s="16" t="str">
        <f t="shared" si="11"/>
        <v>Commercial multi-peril</v>
      </c>
      <c r="N71" s="194">
        <f>AA71*Input!$G465</f>
        <v>0</v>
      </c>
      <c r="O71" s="194">
        <f>AB71*Input!$G465</f>
        <v>0</v>
      </c>
      <c r="P71" s="194">
        <f>AC71*Input!$G465</f>
        <v>0</v>
      </c>
      <c r="Q71" s="194">
        <f>AD71*Input!$G465</f>
        <v>0</v>
      </c>
      <c r="S71" s="11"/>
      <c r="T71" s="94" t="s">
        <v>378</v>
      </c>
      <c r="U71" s="89" t="s">
        <v>258</v>
      </c>
      <c r="V71" s="74">
        <v>5</v>
      </c>
      <c r="W71" s="90">
        <f>_xlfn.XLOOKUP($V71,'Risk Charges'!$C$117:$C$128,'Risk Charges'!D$117:D$128,,0)</f>
        <v>0.248</v>
      </c>
      <c r="X71" s="90">
        <f>_xlfn.XLOOKUP($V71,'Risk Charges'!$C$117:$C$128,'Risk Charges'!E$117:E$128,,0)</f>
        <v>0.21</v>
      </c>
      <c r="Y71" s="90">
        <f>_xlfn.XLOOKUP($V71,'Risk Charges'!$C$117:$C$128,'Risk Charges'!F$117:F$128,,0)</f>
        <v>0.18</v>
      </c>
      <c r="Z71" s="90">
        <f>_xlfn.XLOOKUP($V71,'Risk Charges'!$C$117:$C$128,'Risk Charges'!G$117:G$128,,0)</f>
        <v>0.15</v>
      </c>
      <c r="AA71" s="90">
        <f>_xlfn.XLOOKUP($V71,'Risk Charges'!$C$132:$C$143,'Risk Charges'!D$132:D$143,,0)</f>
        <v>0.31</v>
      </c>
      <c r="AB71" s="90">
        <f>_xlfn.XLOOKUP($V71,'Risk Charges'!$C$132:$C$143,'Risk Charges'!E$132:E$143,,0)</f>
        <v>0.26300000000000001</v>
      </c>
      <c r="AC71" s="90">
        <f>_xlfn.XLOOKUP($V71,'Risk Charges'!$C$132:$C$143,'Risk Charges'!F$132:F$143,,0)</f>
        <v>0.22500000000000001</v>
      </c>
      <c r="AD71" s="90">
        <f>_xlfn.XLOOKUP($V71,'Risk Charges'!$C$132:$C$143,'Risk Charges'!G$132:G$143,,0)</f>
        <v>0.188</v>
      </c>
      <c r="BM71" s="94"/>
    </row>
    <row r="72" spans="2:65" hidden="1" outlineLevel="1" x14ac:dyDescent="0.3">
      <c r="B72" s="11"/>
      <c r="D72" s="16" t="str">
        <f t="shared" si="10"/>
        <v>Homeowner/Farmowner multi-peril</v>
      </c>
      <c r="E72" s="194">
        <f>W72*Input!$F466</f>
        <v>0</v>
      </c>
      <c r="F72" s="194">
        <f>X72*Input!$F466</f>
        <v>0</v>
      </c>
      <c r="G72" s="194">
        <f>Y72*Input!$F466</f>
        <v>0</v>
      </c>
      <c r="H72" s="194">
        <f>Z72*Input!$F466</f>
        <v>0</v>
      </c>
      <c r="K72" s="11"/>
      <c r="M72" s="16" t="str">
        <f t="shared" si="11"/>
        <v>Homeowner/Farmowner multi-peril</v>
      </c>
      <c r="N72" s="194">
        <f>AA72*Input!$G466</f>
        <v>0</v>
      </c>
      <c r="O72" s="194">
        <f>AB72*Input!$G466</f>
        <v>0</v>
      </c>
      <c r="P72" s="194">
        <f>AC72*Input!$G466</f>
        <v>0</v>
      </c>
      <c r="Q72" s="194">
        <f>AD72*Input!$G466</f>
        <v>0</v>
      </c>
      <c r="S72" s="11"/>
      <c r="T72" s="94" t="s">
        <v>961</v>
      </c>
      <c r="U72" s="89" t="s">
        <v>258</v>
      </c>
      <c r="V72" s="74">
        <v>7</v>
      </c>
      <c r="W72" s="90">
        <f>_xlfn.XLOOKUP($V72,'Risk Charges'!$C$117:$C$128,'Risk Charges'!D$117:D$128,,0)</f>
        <v>0.41299999999999998</v>
      </c>
      <c r="X72" s="90">
        <f>_xlfn.XLOOKUP($V72,'Risk Charges'!$C$117:$C$128,'Risk Charges'!E$117:E$128,,0)</f>
        <v>0.35</v>
      </c>
      <c r="Y72" s="90">
        <f>_xlfn.XLOOKUP($V72,'Risk Charges'!$C$117:$C$128,'Risk Charges'!F$117:F$128,,0)</f>
        <v>0.3</v>
      </c>
      <c r="Z72" s="90">
        <f>_xlfn.XLOOKUP($V72,'Risk Charges'!$C$117:$C$128,'Risk Charges'!G$117:G$128,,0)</f>
        <v>0.25</v>
      </c>
      <c r="AA72" s="90">
        <f>_xlfn.XLOOKUP($V72,'Risk Charges'!$C$132:$C$143,'Risk Charges'!D$132:D$143,,0)</f>
        <v>0.51600000000000001</v>
      </c>
      <c r="AB72" s="90">
        <f>_xlfn.XLOOKUP($V72,'Risk Charges'!$C$132:$C$143,'Risk Charges'!E$132:E$143,,0)</f>
        <v>0.438</v>
      </c>
      <c r="AC72" s="90">
        <f>_xlfn.XLOOKUP($V72,'Risk Charges'!$C$132:$C$143,'Risk Charges'!F$132:F$143,,0)</f>
        <v>0.375</v>
      </c>
      <c r="AD72" s="90">
        <f>_xlfn.XLOOKUP($V72,'Risk Charges'!$C$132:$C$143,'Risk Charges'!G$132:G$143,,0)</f>
        <v>0.313</v>
      </c>
      <c r="BM72" s="94"/>
    </row>
    <row r="73" spans="2:65" hidden="1" outlineLevel="1" x14ac:dyDescent="0.3">
      <c r="B73" s="11"/>
      <c r="D73" s="16" t="str">
        <f t="shared" si="10"/>
        <v>Special property (fire, allied lines, inland marine, earthquake, burglary and theft)</v>
      </c>
      <c r="E73" s="194">
        <f>W73*Input!$F467</f>
        <v>0</v>
      </c>
      <c r="F73" s="194">
        <f>X73*Input!$F467</f>
        <v>0</v>
      </c>
      <c r="G73" s="194">
        <f>Y73*Input!$F467</f>
        <v>0</v>
      </c>
      <c r="H73" s="194">
        <f>Z73*Input!$F467</f>
        <v>0</v>
      </c>
      <c r="K73" s="11"/>
      <c r="M73" s="16" t="str">
        <f t="shared" si="11"/>
        <v>Special property (fire, allied lines, inland marine, earthquake, burglary and theft)</v>
      </c>
      <c r="N73" s="194">
        <f>AA73*Input!$G467</f>
        <v>0</v>
      </c>
      <c r="O73" s="194">
        <f>AB73*Input!$G467</f>
        <v>0</v>
      </c>
      <c r="P73" s="194">
        <f>AC73*Input!$G467</f>
        <v>0</v>
      </c>
      <c r="Q73" s="194">
        <f>AD73*Input!$G467</f>
        <v>0</v>
      </c>
      <c r="S73" s="11"/>
      <c r="T73" s="94" t="s">
        <v>4143</v>
      </c>
      <c r="U73" s="89" t="s">
        <v>258</v>
      </c>
      <c r="V73" s="74">
        <v>7</v>
      </c>
      <c r="W73" s="90">
        <f>_xlfn.XLOOKUP($V73,'Risk Charges'!$C$117:$C$128,'Risk Charges'!D$117:D$128,,0)</f>
        <v>0.41299999999999998</v>
      </c>
      <c r="X73" s="90">
        <f>_xlfn.XLOOKUP($V73,'Risk Charges'!$C$117:$C$128,'Risk Charges'!E$117:E$128,,0)</f>
        <v>0.35</v>
      </c>
      <c r="Y73" s="90">
        <f>_xlfn.XLOOKUP($V73,'Risk Charges'!$C$117:$C$128,'Risk Charges'!F$117:F$128,,0)</f>
        <v>0.3</v>
      </c>
      <c r="Z73" s="90">
        <f>_xlfn.XLOOKUP($V73,'Risk Charges'!$C$117:$C$128,'Risk Charges'!G$117:G$128,,0)</f>
        <v>0.25</v>
      </c>
      <c r="AA73" s="90">
        <f>_xlfn.XLOOKUP($V73,'Risk Charges'!$C$132:$C$143,'Risk Charges'!D$132:D$143,,0)</f>
        <v>0.51600000000000001</v>
      </c>
      <c r="AB73" s="90">
        <f>_xlfn.XLOOKUP($V73,'Risk Charges'!$C$132:$C$143,'Risk Charges'!E$132:E$143,,0)</f>
        <v>0.438</v>
      </c>
      <c r="AC73" s="90">
        <f>_xlfn.XLOOKUP($V73,'Risk Charges'!$C$132:$C$143,'Risk Charges'!F$132:F$143,,0)</f>
        <v>0.375</v>
      </c>
      <c r="AD73" s="90">
        <f>_xlfn.XLOOKUP($V73,'Risk Charges'!$C$132:$C$143,'Risk Charges'!G$132:G$143,,0)</f>
        <v>0.313</v>
      </c>
      <c r="BM73" s="94"/>
    </row>
    <row r="74" spans="2:65" hidden="1" outlineLevel="1" x14ac:dyDescent="0.3">
      <c r="B74" s="11"/>
      <c r="D74" s="16" t="str">
        <f t="shared" si="10"/>
        <v>Auto physical damage</v>
      </c>
      <c r="E74" s="194">
        <f>W74*Input!$F468</f>
        <v>0</v>
      </c>
      <c r="F74" s="194">
        <f>X74*Input!$F468</f>
        <v>0</v>
      </c>
      <c r="G74" s="194">
        <f>Y74*Input!$F468</f>
        <v>0</v>
      </c>
      <c r="H74" s="194">
        <f>Z74*Input!$F468</f>
        <v>0</v>
      </c>
      <c r="K74" s="11"/>
      <c r="M74" s="16" t="str">
        <f t="shared" si="11"/>
        <v>Auto physical damage</v>
      </c>
      <c r="N74" s="194">
        <f>AA74*Input!$G468</f>
        <v>0</v>
      </c>
      <c r="O74" s="194">
        <f>AB74*Input!$G468</f>
        <v>0</v>
      </c>
      <c r="P74" s="194">
        <f>AC74*Input!$G468</f>
        <v>0</v>
      </c>
      <c r="Q74" s="194">
        <f>AD74*Input!$G468</f>
        <v>0</v>
      </c>
      <c r="S74" s="11"/>
      <c r="T74" s="94" t="s">
        <v>990</v>
      </c>
      <c r="U74" s="89" t="s">
        <v>259</v>
      </c>
      <c r="V74" s="74">
        <v>5</v>
      </c>
      <c r="W74" s="90">
        <f>_xlfn.XLOOKUP($V74,'Risk Charges'!$C$117:$C$128,'Risk Charges'!D$117:D$128,,0)</f>
        <v>0.248</v>
      </c>
      <c r="X74" s="90">
        <f>_xlfn.XLOOKUP($V74,'Risk Charges'!$C$117:$C$128,'Risk Charges'!E$117:E$128,,0)</f>
        <v>0.21</v>
      </c>
      <c r="Y74" s="90">
        <f>_xlfn.XLOOKUP($V74,'Risk Charges'!$C$117:$C$128,'Risk Charges'!F$117:F$128,,0)</f>
        <v>0.18</v>
      </c>
      <c r="Z74" s="90">
        <f>_xlfn.XLOOKUP($V74,'Risk Charges'!$C$117:$C$128,'Risk Charges'!G$117:G$128,,0)</f>
        <v>0.15</v>
      </c>
      <c r="AA74" s="90">
        <f>_xlfn.XLOOKUP($V74,'Risk Charges'!$C$132:$C$143,'Risk Charges'!D$132:D$143,,0)</f>
        <v>0.31</v>
      </c>
      <c r="AB74" s="90">
        <f>_xlfn.XLOOKUP($V74,'Risk Charges'!$C$132:$C$143,'Risk Charges'!E$132:E$143,,0)</f>
        <v>0.26300000000000001</v>
      </c>
      <c r="AC74" s="90">
        <f>_xlfn.XLOOKUP($V74,'Risk Charges'!$C$132:$C$143,'Risk Charges'!F$132:F$143,,0)</f>
        <v>0.22500000000000001</v>
      </c>
      <c r="AD74" s="90">
        <f>_xlfn.XLOOKUP($V74,'Risk Charges'!$C$132:$C$143,'Risk Charges'!G$132:G$143,,0)</f>
        <v>0.188</v>
      </c>
      <c r="BM74" s="94"/>
    </row>
    <row r="75" spans="2:65" hidden="1" outlineLevel="1" x14ac:dyDescent="0.3">
      <c r="B75" s="11"/>
      <c r="D75" s="16" t="str">
        <f t="shared" si="10"/>
        <v>Commercial auto liability</v>
      </c>
      <c r="E75" s="194">
        <f>W75*Input!$F469</f>
        <v>0</v>
      </c>
      <c r="F75" s="194">
        <f>X75*Input!$F469</f>
        <v>0</v>
      </c>
      <c r="G75" s="194">
        <f>Y75*Input!$F469</f>
        <v>0</v>
      </c>
      <c r="H75" s="194">
        <f>Z75*Input!$F469</f>
        <v>0</v>
      </c>
      <c r="K75" s="11"/>
      <c r="M75" s="16" t="str">
        <f t="shared" si="11"/>
        <v>Commercial auto liability</v>
      </c>
      <c r="N75" s="194">
        <f>AA75*Input!$G469</f>
        <v>0</v>
      </c>
      <c r="O75" s="194">
        <f>AB75*Input!$G469</f>
        <v>0</v>
      </c>
      <c r="P75" s="194">
        <f>AC75*Input!$G469</f>
        <v>0</v>
      </c>
      <c r="Q75" s="194">
        <f>AD75*Input!$G469</f>
        <v>0</v>
      </c>
      <c r="S75" s="11"/>
      <c r="T75" s="94" t="s">
        <v>400</v>
      </c>
      <c r="U75" s="89" t="s">
        <v>259</v>
      </c>
      <c r="V75" s="74">
        <v>5</v>
      </c>
      <c r="W75" s="90">
        <f>_xlfn.XLOOKUP($V75,'Risk Charges'!$C$117:$C$128,'Risk Charges'!D$117:D$128,,0)</f>
        <v>0.248</v>
      </c>
      <c r="X75" s="90">
        <f>_xlfn.XLOOKUP($V75,'Risk Charges'!$C$117:$C$128,'Risk Charges'!E$117:E$128,,0)</f>
        <v>0.21</v>
      </c>
      <c r="Y75" s="90">
        <f>_xlfn.XLOOKUP($V75,'Risk Charges'!$C$117:$C$128,'Risk Charges'!F$117:F$128,,0)</f>
        <v>0.18</v>
      </c>
      <c r="Z75" s="90">
        <f>_xlfn.XLOOKUP($V75,'Risk Charges'!$C$117:$C$128,'Risk Charges'!G$117:G$128,,0)</f>
        <v>0.15</v>
      </c>
      <c r="AA75" s="90">
        <f>_xlfn.XLOOKUP($V75,'Risk Charges'!$C$132:$C$143,'Risk Charges'!D$132:D$143,,0)</f>
        <v>0.31</v>
      </c>
      <c r="AB75" s="90">
        <f>_xlfn.XLOOKUP($V75,'Risk Charges'!$C$132:$C$143,'Risk Charges'!E$132:E$143,,0)</f>
        <v>0.26300000000000001</v>
      </c>
      <c r="AC75" s="90">
        <f>_xlfn.XLOOKUP($V75,'Risk Charges'!$C$132:$C$143,'Risk Charges'!F$132:F$143,,0)</f>
        <v>0.22500000000000001</v>
      </c>
      <c r="AD75" s="90">
        <f>_xlfn.XLOOKUP($V75,'Risk Charges'!$C$132:$C$143,'Risk Charges'!G$132:G$143,,0)</f>
        <v>0.188</v>
      </c>
      <c r="BM75" s="94"/>
    </row>
    <row r="76" spans="2:65" hidden="1" outlineLevel="1" x14ac:dyDescent="0.3">
      <c r="B76" s="11"/>
      <c r="D76" s="16" t="str">
        <f t="shared" si="10"/>
        <v>Private passenger auto liability</v>
      </c>
      <c r="E76" s="194">
        <f>W76*Input!$F470</f>
        <v>0</v>
      </c>
      <c r="F76" s="194">
        <f>X76*Input!$F470</f>
        <v>0</v>
      </c>
      <c r="G76" s="194">
        <f>Y76*Input!$F470</f>
        <v>0</v>
      </c>
      <c r="H76" s="194">
        <f>Z76*Input!$F470</f>
        <v>0</v>
      </c>
      <c r="K76" s="11"/>
      <c r="M76" s="16" t="str">
        <f t="shared" si="11"/>
        <v>Private passenger auto liability</v>
      </c>
      <c r="N76" s="194">
        <f>AA76*Input!$G470</f>
        <v>0</v>
      </c>
      <c r="O76" s="194">
        <f>AB76*Input!$G470</f>
        <v>0</v>
      </c>
      <c r="P76" s="194">
        <f>AC76*Input!$G470</f>
        <v>0</v>
      </c>
      <c r="Q76" s="194">
        <f>AD76*Input!$G470</f>
        <v>0</v>
      </c>
      <c r="S76" s="11"/>
      <c r="T76" s="94" t="s">
        <v>991</v>
      </c>
      <c r="U76" s="89" t="s">
        <v>259</v>
      </c>
      <c r="V76" s="74">
        <v>5</v>
      </c>
      <c r="W76" s="90">
        <f>_xlfn.XLOOKUP($V76,'Risk Charges'!$C$117:$C$128,'Risk Charges'!D$117:D$128,,0)</f>
        <v>0.248</v>
      </c>
      <c r="X76" s="90">
        <f>_xlfn.XLOOKUP($V76,'Risk Charges'!$C$117:$C$128,'Risk Charges'!E$117:E$128,,0)</f>
        <v>0.21</v>
      </c>
      <c r="Y76" s="90">
        <f>_xlfn.XLOOKUP($V76,'Risk Charges'!$C$117:$C$128,'Risk Charges'!F$117:F$128,,0)</f>
        <v>0.18</v>
      </c>
      <c r="Z76" s="90">
        <f>_xlfn.XLOOKUP($V76,'Risk Charges'!$C$117:$C$128,'Risk Charges'!G$117:G$128,,0)</f>
        <v>0.15</v>
      </c>
      <c r="AA76" s="90">
        <f>_xlfn.XLOOKUP($V76,'Risk Charges'!$C$132:$C$143,'Risk Charges'!D$132:D$143,,0)</f>
        <v>0.31</v>
      </c>
      <c r="AB76" s="90">
        <f>_xlfn.XLOOKUP($V76,'Risk Charges'!$C$132:$C$143,'Risk Charges'!E$132:E$143,,0)</f>
        <v>0.26300000000000001</v>
      </c>
      <c r="AC76" s="90">
        <f>_xlfn.XLOOKUP($V76,'Risk Charges'!$C$132:$C$143,'Risk Charges'!F$132:F$143,,0)</f>
        <v>0.22500000000000001</v>
      </c>
      <c r="AD76" s="90">
        <f>_xlfn.XLOOKUP($V76,'Risk Charges'!$C$132:$C$143,'Risk Charges'!G$132:G$143,,0)</f>
        <v>0.188</v>
      </c>
      <c r="BM76" s="94"/>
    </row>
    <row r="77" spans="2:65" hidden="1" outlineLevel="1" x14ac:dyDescent="0.3">
      <c r="B77" s="11"/>
      <c r="D77" s="16" t="str">
        <f t="shared" si="10"/>
        <v>Credit</v>
      </c>
      <c r="E77" s="194">
        <f>W77*Input!$F471</f>
        <v>0</v>
      </c>
      <c r="F77" s="194">
        <f>X77*Input!$F471</f>
        <v>0</v>
      </c>
      <c r="G77" s="194">
        <f>Y77*Input!$F471</f>
        <v>0</v>
      </c>
      <c r="H77" s="194">
        <f>Z77*Input!$F471</f>
        <v>0</v>
      </c>
      <c r="K77" s="11"/>
      <c r="M77" s="16" t="str">
        <f t="shared" si="11"/>
        <v>Credit</v>
      </c>
      <c r="N77" s="194">
        <f>AA77*Input!$G471</f>
        <v>0</v>
      </c>
      <c r="O77" s="194">
        <f>AB77*Input!$G471</f>
        <v>0</v>
      </c>
      <c r="P77" s="194">
        <f>AC77*Input!$G471</f>
        <v>0</v>
      </c>
      <c r="Q77" s="194">
        <f>AD77*Input!$G471</f>
        <v>0</v>
      </c>
      <c r="S77" s="11"/>
      <c r="T77" s="94" t="s">
        <v>374</v>
      </c>
      <c r="U77" s="89" t="s">
        <v>9</v>
      </c>
      <c r="V77" s="74">
        <v>8</v>
      </c>
      <c r="W77" s="90">
        <f>_xlfn.XLOOKUP($V77,'Risk Charges'!$C$117:$C$128,'Risk Charges'!D$117:D$128,,0)</f>
        <v>0.495</v>
      </c>
      <c r="X77" s="90">
        <f>_xlfn.XLOOKUP($V77,'Risk Charges'!$C$117:$C$128,'Risk Charges'!E$117:E$128,,0)</f>
        <v>0.42</v>
      </c>
      <c r="Y77" s="90">
        <f>_xlfn.XLOOKUP($V77,'Risk Charges'!$C$117:$C$128,'Risk Charges'!F$117:F$128,,0)</f>
        <v>0.36</v>
      </c>
      <c r="Z77" s="90">
        <f>_xlfn.XLOOKUP($V77,'Risk Charges'!$C$117:$C$128,'Risk Charges'!G$117:G$128,,0)</f>
        <v>0.3</v>
      </c>
      <c r="AA77" s="90">
        <f>_xlfn.XLOOKUP($V77,'Risk Charges'!$C$132:$C$143,'Risk Charges'!D$132:D$143,,0)</f>
        <v>0.61899999999999999</v>
      </c>
      <c r="AB77" s="90">
        <f>_xlfn.XLOOKUP($V77,'Risk Charges'!$C$132:$C$143,'Risk Charges'!E$132:E$143,,0)</f>
        <v>0.52500000000000002</v>
      </c>
      <c r="AC77" s="90">
        <f>_xlfn.XLOOKUP($V77,'Risk Charges'!$C$132:$C$143,'Risk Charges'!F$132:F$143,,0)</f>
        <v>0.45</v>
      </c>
      <c r="AD77" s="90">
        <f>_xlfn.XLOOKUP($V77,'Risk Charges'!$C$132:$C$143,'Risk Charges'!G$132:G$143,,0)</f>
        <v>0.375</v>
      </c>
      <c r="BM77" s="94"/>
    </row>
    <row r="78" spans="2:65" hidden="1" outlineLevel="1" x14ac:dyDescent="0.3">
      <c r="B78" s="11"/>
      <c r="D78" s="16" t="str">
        <f t="shared" si="10"/>
        <v>Fidelity/Surety</v>
      </c>
      <c r="E78" s="194">
        <f>W78*Input!$F472</f>
        <v>0</v>
      </c>
      <c r="F78" s="194">
        <f>X78*Input!$F472</f>
        <v>0</v>
      </c>
      <c r="G78" s="194">
        <f>Y78*Input!$F472</f>
        <v>0</v>
      </c>
      <c r="H78" s="194">
        <f>Z78*Input!$F472</f>
        <v>0</v>
      </c>
      <c r="K78" s="11"/>
      <c r="M78" s="16" t="str">
        <f t="shared" si="11"/>
        <v>Fidelity/Surety</v>
      </c>
      <c r="N78" s="194">
        <f>AA78*Input!$G472</f>
        <v>0</v>
      </c>
      <c r="O78" s="194">
        <f>AB78*Input!$G472</f>
        <v>0</v>
      </c>
      <c r="P78" s="194">
        <f>AC78*Input!$G472</f>
        <v>0</v>
      </c>
      <c r="Q78" s="194">
        <f>AD78*Input!$G472</f>
        <v>0</v>
      </c>
      <c r="S78" s="11"/>
      <c r="T78" s="94" t="s">
        <v>399</v>
      </c>
      <c r="U78" s="89" t="s">
        <v>9</v>
      </c>
      <c r="V78" s="74">
        <v>5</v>
      </c>
      <c r="W78" s="90">
        <f>_xlfn.XLOOKUP($V78,'Risk Charges'!$C$117:$C$128,'Risk Charges'!D$117:D$128,,0)</f>
        <v>0.248</v>
      </c>
      <c r="X78" s="90">
        <f>_xlfn.XLOOKUP($V78,'Risk Charges'!$C$117:$C$128,'Risk Charges'!E$117:E$128,,0)</f>
        <v>0.21</v>
      </c>
      <c r="Y78" s="90">
        <f>_xlfn.XLOOKUP($V78,'Risk Charges'!$C$117:$C$128,'Risk Charges'!F$117:F$128,,0)</f>
        <v>0.18</v>
      </c>
      <c r="Z78" s="90">
        <f>_xlfn.XLOOKUP($V78,'Risk Charges'!$C$117:$C$128,'Risk Charges'!G$117:G$128,,0)</f>
        <v>0.15</v>
      </c>
      <c r="AA78" s="90">
        <f>_xlfn.XLOOKUP($V78,'Risk Charges'!$C$132:$C$143,'Risk Charges'!D$132:D$143,,0)</f>
        <v>0.31</v>
      </c>
      <c r="AB78" s="90">
        <f>_xlfn.XLOOKUP($V78,'Risk Charges'!$C$132:$C$143,'Risk Charges'!E$132:E$143,,0)</f>
        <v>0.26300000000000001</v>
      </c>
      <c r="AC78" s="90">
        <f>_xlfn.XLOOKUP($V78,'Risk Charges'!$C$132:$C$143,'Risk Charges'!F$132:F$143,,0)</f>
        <v>0.22500000000000001</v>
      </c>
      <c r="AD78" s="90">
        <f>_xlfn.XLOOKUP($V78,'Risk Charges'!$C$132:$C$143,'Risk Charges'!G$132:G$143,,0)</f>
        <v>0.188</v>
      </c>
      <c r="BM78" s="94"/>
    </row>
    <row r="79" spans="2:65" hidden="1" outlineLevel="1" x14ac:dyDescent="0.3">
      <c r="B79" s="11"/>
      <c r="D79" s="16" t="str">
        <f t="shared" si="10"/>
        <v>Financial guaranty </v>
      </c>
      <c r="E79" s="194">
        <f>W79*Input!$F473</f>
        <v>0</v>
      </c>
      <c r="F79" s="194">
        <f>X79*Input!$F473</f>
        <v>0</v>
      </c>
      <c r="G79" s="194">
        <f>Y79*Input!$F473</f>
        <v>0</v>
      </c>
      <c r="H79" s="194">
        <f>Z79*Input!$F473</f>
        <v>0</v>
      </c>
      <c r="K79" s="11"/>
      <c r="M79" s="16" t="str">
        <f t="shared" si="11"/>
        <v>Financial guaranty </v>
      </c>
      <c r="N79" s="194">
        <f>AA79*Input!$G473</f>
        <v>0</v>
      </c>
      <c r="O79" s="194">
        <f>AB79*Input!$G473</f>
        <v>0</v>
      </c>
      <c r="P79" s="194">
        <f>AC79*Input!$G473</f>
        <v>0</v>
      </c>
      <c r="Q79" s="194">
        <f>AD79*Input!$G473</f>
        <v>0</v>
      </c>
      <c r="S79" s="11"/>
      <c r="T79" s="94" t="s">
        <v>992</v>
      </c>
      <c r="U79" s="89" t="s">
        <v>9</v>
      </c>
      <c r="V79" s="74">
        <v>12</v>
      </c>
      <c r="W79" s="90">
        <f>_xlfn.XLOOKUP($V79,'Risk Charges'!$C$117:$C$128,'Risk Charges'!D$117:D$128,,0)</f>
        <v>0.99</v>
      </c>
      <c r="X79" s="90">
        <f>_xlfn.XLOOKUP($V79,'Risk Charges'!$C$117:$C$128,'Risk Charges'!E$117:E$128,,0)</f>
        <v>0.84</v>
      </c>
      <c r="Y79" s="90">
        <f>_xlfn.XLOOKUP($V79,'Risk Charges'!$C$117:$C$128,'Risk Charges'!F$117:F$128,,0)</f>
        <v>0.72</v>
      </c>
      <c r="Z79" s="90">
        <f>_xlfn.XLOOKUP($V79,'Risk Charges'!$C$117:$C$128,'Risk Charges'!G$117:G$128,,0)</f>
        <v>0.6</v>
      </c>
      <c r="AA79" s="90">
        <f>_xlfn.XLOOKUP($V79,'Risk Charges'!$C$132:$C$143,'Risk Charges'!D$132:D$143,,0)</f>
        <v>1.238</v>
      </c>
      <c r="AB79" s="90">
        <f>_xlfn.XLOOKUP($V79,'Risk Charges'!$C$132:$C$143,'Risk Charges'!E$132:E$143,,0)</f>
        <v>1.05</v>
      </c>
      <c r="AC79" s="90">
        <f>_xlfn.XLOOKUP($V79,'Risk Charges'!$C$132:$C$143,'Risk Charges'!F$132:F$143,,0)</f>
        <v>0.9</v>
      </c>
      <c r="AD79" s="90">
        <f>_xlfn.XLOOKUP($V79,'Risk Charges'!$C$132:$C$143,'Risk Charges'!G$132:G$143,,0)</f>
        <v>0.75</v>
      </c>
      <c r="BM79" s="94"/>
    </row>
    <row r="80" spans="2:65" hidden="1" outlineLevel="1" x14ac:dyDescent="0.3">
      <c r="B80" s="11"/>
      <c r="D80" s="16" t="str">
        <f t="shared" ref="D80:D96" si="12">T80</f>
        <v>A&amp;H stop loss reinsurance</v>
      </c>
      <c r="E80" s="194">
        <f>W80*Input!$F474</f>
        <v>0</v>
      </c>
      <c r="F80" s="194">
        <f>X80*Input!$F474</f>
        <v>0</v>
      </c>
      <c r="G80" s="194">
        <f>Y80*Input!$F474</f>
        <v>0</v>
      </c>
      <c r="H80" s="194">
        <f>Z80*Input!$F474</f>
        <v>0</v>
      </c>
      <c r="K80" s="11"/>
      <c r="M80" s="16" t="str">
        <f t="shared" ref="M80:M96" si="13">T80</f>
        <v>A&amp;H stop loss reinsurance</v>
      </c>
      <c r="N80" s="194">
        <f>AA80*Input!$G474</f>
        <v>0</v>
      </c>
      <c r="O80" s="194">
        <f>AB80*Input!$G474</f>
        <v>0</v>
      </c>
      <c r="P80" s="194">
        <f>AC80*Input!$G474</f>
        <v>0</v>
      </c>
      <c r="Q80" s="194">
        <f>AD80*Input!$G474</f>
        <v>0</v>
      </c>
      <c r="S80" s="11"/>
      <c r="T80" s="94" t="s">
        <v>993</v>
      </c>
      <c r="U80" s="91" t="s">
        <v>261</v>
      </c>
      <c r="V80" s="74">
        <v>7</v>
      </c>
      <c r="W80" s="90">
        <f>_xlfn.XLOOKUP($V80,'Risk Charges'!$C$117:$C$128,'Risk Charges'!D$117:D$128,,0)</f>
        <v>0.41299999999999998</v>
      </c>
      <c r="X80" s="90">
        <f>_xlfn.XLOOKUP($V80,'Risk Charges'!$C$117:$C$128,'Risk Charges'!E$117:E$128,,0)</f>
        <v>0.35</v>
      </c>
      <c r="Y80" s="90">
        <f>_xlfn.XLOOKUP($V80,'Risk Charges'!$C$117:$C$128,'Risk Charges'!F$117:F$128,,0)</f>
        <v>0.3</v>
      </c>
      <c r="Z80" s="90">
        <f>_xlfn.XLOOKUP($V80,'Risk Charges'!$C$117:$C$128,'Risk Charges'!G$117:G$128,,0)</f>
        <v>0.25</v>
      </c>
      <c r="AA80" s="90">
        <f>_xlfn.XLOOKUP($V80,'Risk Charges'!$C$132:$C$143,'Risk Charges'!D$132:D$143,,0)</f>
        <v>0.51600000000000001</v>
      </c>
      <c r="AB80" s="90">
        <f>_xlfn.XLOOKUP($V80,'Risk Charges'!$C$132:$C$143,'Risk Charges'!E$132:E$143,,0)</f>
        <v>0.438</v>
      </c>
      <c r="AC80" s="90">
        <f>_xlfn.XLOOKUP($V80,'Risk Charges'!$C$132:$C$143,'Risk Charges'!F$132:F$143,,0)</f>
        <v>0.375</v>
      </c>
      <c r="AD80" s="90">
        <f>_xlfn.XLOOKUP($V80,'Risk Charges'!$C$132:$C$143,'Risk Charges'!G$132:G$143,,0)</f>
        <v>0.313</v>
      </c>
      <c r="AK80" s="95"/>
      <c r="BM80" s="94"/>
    </row>
    <row r="81" spans="2:65" hidden="1" outlineLevel="1" x14ac:dyDescent="0.3">
      <c r="B81" s="11"/>
      <c r="D81" s="16" t="str">
        <f t="shared" si="12"/>
        <v>Accident &amp; health</v>
      </c>
      <c r="E81" s="194">
        <f>W81*Input!$F475</f>
        <v>0</v>
      </c>
      <c r="F81" s="194">
        <f>X81*Input!$F475</f>
        <v>0</v>
      </c>
      <c r="G81" s="194">
        <f>Y81*Input!$F475</f>
        <v>0</v>
      </c>
      <c r="H81" s="194">
        <f>Z81*Input!$F475</f>
        <v>0</v>
      </c>
      <c r="I81" s="95"/>
      <c r="K81" s="11"/>
      <c r="M81" s="16" t="str">
        <f t="shared" si="13"/>
        <v>Accident &amp; health</v>
      </c>
      <c r="N81" s="194">
        <f>AA81*Input!$G475</f>
        <v>0</v>
      </c>
      <c r="O81" s="194">
        <f>AB81*Input!$G475</f>
        <v>0</v>
      </c>
      <c r="P81" s="194">
        <f>AC81*Input!$G475</f>
        <v>0</v>
      </c>
      <c r="Q81" s="194">
        <f>AD81*Input!$G475</f>
        <v>0</v>
      </c>
      <c r="S81" s="11"/>
      <c r="T81" s="94" t="s">
        <v>994</v>
      </c>
      <c r="U81" s="89" t="s">
        <v>261</v>
      </c>
      <c r="V81" s="74">
        <v>6</v>
      </c>
      <c r="W81" s="90">
        <f>_xlfn.XLOOKUP($V81,'Risk Charges'!$C$117:$C$128,'Risk Charges'!D$117:D$128,,0)</f>
        <v>0.33</v>
      </c>
      <c r="X81" s="90">
        <f>_xlfn.XLOOKUP($V81,'Risk Charges'!$C$117:$C$128,'Risk Charges'!E$117:E$128,,0)</f>
        <v>0.28000000000000003</v>
      </c>
      <c r="Y81" s="90">
        <f>_xlfn.XLOOKUP($V81,'Risk Charges'!$C$117:$C$128,'Risk Charges'!F$117:F$128,,0)</f>
        <v>0.24</v>
      </c>
      <c r="Z81" s="90">
        <f>_xlfn.XLOOKUP($V81,'Risk Charges'!$C$117:$C$128,'Risk Charges'!G$117:G$128,,0)</f>
        <v>0.2</v>
      </c>
      <c r="AA81" s="90">
        <f>_xlfn.XLOOKUP($V81,'Risk Charges'!$C$132:$C$143,'Risk Charges'!D$132:D$143,,0)</f>
        <v>0.41299999999999998</v>
      </c>
      <c r="AB81" s="90">
        <f>_xlfn.XLOOKUP($V81,'Risk Charges'!$C$132:$C$143,'Risk Charges'!E$132:E$143,,0)</f>
        <v>0.35</v>
      </c>
      <c r="AC81" s="90">
        <f>_xlfn.XLOOKUP($V81,'Risk Charges'!$C$132:$C$143,'Risk Charges'!F$132:F$143,,0)</f>
        <v>0.3</v>
      </c>
      <c r="AD81" s="90">
        <f>_xlfn.XLOOKUP($V81,'Risk Charges'!$C$132:$C$143,'Risk Charges'!G$132:G$143,,0)</f>
        <v>0.25</v>
      </c>
      <c r="AK81" s="95"/>
      <c r="BM81" s="94"/>
    </row>
    <row r="82" spans="2:65" hidden="1" outlineLevel="1" x14ac:dyDescent="0.3">
      <c r="B82" s="11"/>
      <c r="D82" s="16" t="str">
        <f t="shared" si="12"/>
        <v>Administrative services only/administrative services contract</v>
      </c>
      <c r="E82" s="194">
        <f>W82*Input!$F476</f>
        <v>0</v>
      </c>
      <c r="F82" s="194">
        <f>X82*Input!$F476</f>
        <v>0</v>
      </c>
      <c r="G82" s="194">
        <f>Y82*Input!$F476</f>
        <v>0</v>
      </c>
      <c r="H82" s="194">
        <f>Z82*Input!$F476</f>
        <v>0</v>
      </c>
      <c r="I82" s="95"/>
      <c r="K82" s="11"/>
      <c r="M82" s="16" t="str">
        <f t="shared" si="13"/>
        <v>Administrative services only/administrative services contract</v>
      </c>
      <c r="N82" s="194">
        <f>AA82*Input!$G476</f>
        <v>0</v>
      </c>
      <c r="O82" s="194">
        <f>AB82*Input!$G476</f>
        <v>0</v>
      </c>
      <c r="P82" s="194">
        <f>AC82*Input!$G476</f>
        <v>0</v>
      </c>
      <c r="Q82" s="194">
        <f>AD82*Input!$G476</f>
        <v>0</v>
      </c>
      <c r="R82" s="95"/>
      <c r="S82" s="11"/>
      <c r="T82" s="94" t="s">
        <v>1029</v>
      </c>
      <c r="U82" s="89" t="s">
        <v>261</v>
      </c>
      <c r="V82" s="74">
        <v>2</v>
      </c>
      <c r="W82" s="90">
        <f>_xlfn.XLOOKUP($V82,'Risk Charges'!$C$117:$C$128,'Risk Charges'!D$117:D$128,,0)</f>
        <v>8.3000000000000004E-2</v>
      </c>
      <c r="X82" s="90">
        <f>_xlfn.XLOOKUP($V82,'Risk Charges'!$C$117:$C$128,'Risk Charges'!E$117:E$128,,0)</f>
        <v>7.0000000000000007E-2</v>
      </c>
      <c r="Y82" s="90">
        <f>_xlfn.XLOOKUP($V82,'Risk Charges'!$C$117:$C$128,'Risk Charges'!F$117:F$128,,0)</f>
        <v>0.06</v>
      </c>
      <c r="Z82" s="90">
        <f>_xlfn.XLOOKUP($V82,'Risk Charges'!$C$117:$C$128,'Risk Charges'!G$117:G$128,,0)</f>
        <v>0.05</v>
      </c>
      <c r="AA82" s="90">
        <f>_xlfn.XLOOKUP($V82,'Risk Charges'!$C$132:$C$143,'Risk Charges'!D$132:D$143,,0)</f>
        <v>0.104</v>
      </c>
      <c r="AB82" s="90">
        <f>_xlfn.XLOOKUP($V82,'Risk Charges'!$C$132:$C$143,'Risk Charges'!E$132:E$143,,0)</f>
        <v>8.7999999999999995E-2</v>
      </c>
      <c r="AC82" s="90">
        <f>_xlfn.XLOOKUP($V82,'Risk Charges'!$C$132:$C$143,'Risk Charges'!F$132:F$143,,0)</f>
        <v>7.4999999999999997E-2</v>
      </c>
      <c r="AD82" s="90">
        <f>_xlfn.XLOOKUP($V82,'Risk Charges'!$C$132:$C$143,'Risk Charges'!G$132:G$143,,0)</f>
        <v>6.3E-2</v>
      </c>
      <c r="AK82" s="95"/>
      <c r="BM82" s="94"/>
    </row>
    <row r="83" spans="2:65" hidden="1" outlineLevel="1" x14ac:dyDescent="0.3">
      <c r="B83" s="11"/>
      <c r="D83" s="16" t="str">
        <f t="shared" si="12"/>
        <v>Full risk and experience rated group and individual health</v>
      </c>
      <c r="E83" s="194">
        <f>W83*Input!$F477</f>
        <v>0</v>
      </c>
      <c r="F83" s="194">
        <f>X83*Input!$F477</f>
        <v>0</v>
      </c>
      <c r="G83" s="194">
        <f>Y83*Input!$F477</f>
        <v>0</v>
      </c>
      <c r="H83" s="194">
        <f>Z83*Input!$F477</f>
        <v>0</v>
      </c>
      <c r="I83" s="95"/>
      <c r="K83" s="11"/>
      <c r="M83" s="16" t="str">
        <f t="shared" si="13"/>
        <v>Full risk and experience rated group and individual health</v>
      </c>
      <c r="N83" s="194">
        <f>AA83*Input!$G477</f>
        <v>0</v>
      </c>
      <c r="O83" s="194">
        <f>AB83*Input!$G477</f>
        <v>0</v>
      </c>
      <c r="P83" s="194">
        <f>AC83*Input!$G477</f>
        <v>0</v>
      </c>
      <c r="Q83" s="194">
        <f>AD83*Input!$G477</f>
        <v>0</v>
      </c>
      <c r="R83" s="95"/>
      <c r="S83" s="11"/>
      <c r="T83" s="94" t="s">
        <v>1025</v>
      </c>
      <c r="U83" s="89" t="s">
        <v>261</v>
      </c>
      <c r="V83" s="74">
        <v>3</v>
      </c>
      <c r="W83" s="90">
        <f>_xlfn.XLOOKUP($V83,'Risk Charges'!$C$117:$C$128,'Risk Charges'!D$117:D$128,,0)</f>
        <v>0.124</v>
      </c>
      <c r="X83" s="90">
        <f>_xlfn.XLOOKUP($V83,'Risk Charges'!$C$117:$C$128,'Risk Charges'!E$117:E$128,,0)</f>
        <v>0.105</v>
      </c>
      <c r="Y83" s="90">
        <f>_xlfn.XLOOKUP($V83,'Risk Charges'!$C$117:$C$128,'Risk Charges'!F$117:F$128,,0)</f>
        <v>0.09</v>
      </c>
      <c r="Z83" s="90">
        <f>_xlfn.XLOOKUP($V83,'Risk Charges'!$C$117:$C$128,'Risk Charges'!G$117:G$128,,0)</f>
        <v>7.4999999999999997E-2</v>
      </c>
      <c r="AA83" s="90">
        <f>_xlfn.XLOOKUP($V83,'Risk Charges'!$C$132:$C$143,'Risk Charges'!D$132:D$143,,0)</f>
        <v>0.155</v>
      </c>
      <c r="AB83" s="90">
        <f>_xlfn.XLOOKUP($V83,'Risk Charges'!$C$132:$C$143,'Risk Charges'!E$132:E$143,,0)</f>
        <v>0.13100000000000001</v>
      </c>
      <c r="AC83" s="90">
        <f>_xlfn.XLOOKUP($V83,'Risk Charges'!$C$132:$C$143,'Risk Charges'!F$132:F$143,,0)</f>
        <v>0.113</v>
      </c>
      <c r="AD83" s="90">
        <f>_xlfn.XLOOKUP($V83,'Risk Charges'!$C$132:$C$143,'Risk Charges'!G$132:G$143,,0)</f>
        <v>9.4E-2</v>
      </c>
      <c r="AK83" s="95"/>
      <c r="BM83" s="94"/>
    </row>
    <row r="84" spans="2:65" hidden="1" outlineLevel="1" x14ac:dyDescent="0.3">
      <c r="B84" s="11"/>
      <c r="D84" s="16" t="str">
        <f t="shared" si="12"/>
        <v>Dental and vision</v>
      </c>
      <c r="E84" s="194">
        <f>W84*Input!$F478</f>
        <v>0</v>
      </c>
      <c r="F84" s="194">
        <f>X84*Input!$F478</f>
        <v>0</v>
      </c>
      <c r="G84" s="194">
        <f>Y84*Input!$F478</f>
        <v>0</v>
      </c>
      <c r="H84" s="194">
        <f>Z84*Input!$F478</f>
        <v>0</v>
      </c>
      <c r="I84" s="95"/>
      <c r="K84" s="11"/>
      <c r="M84" s="16" t="str">
        <f t="shared" si="13"/>
        <v>Dental and vision</v>
      </c>
      <c r="N84" s="194">
        <f>AA84*Input!$G478</f>
        <v>0</v>
      </c>
      <c r="O84" s="194">
        <f>AB84*Input!$G478</f>
        <v>0</v>
      </c>
      <c r="P84" s="194">
        <f>AC84*Input!$G478</f>
        <v>0</v>
      </c>
      <c r="Q84" s="194">
        <f>AD84*Input!$G478</f>
        <v>0</v>
      </c>
      <c r="R84" s="95"/>
      <c r="S84" s="11"/>
      <c r="T84" s="94" t="s">
        <v>1026</v>
      </c>
      <c r="U84" s="89" t="s">
        <v>261</v>
      </c>
      <c r="V84" s="74">
        <v>2</v>
      </c>
      <c r="W84" s="90">
        <f>_xlfn.XLOOKUP($V84,'Risk Charges'!$C$117:$C$128,'Risk Charges'!D$117:D$128,,0)</f>
        <v>8.3000000000000004E-2</v>
      </c>
      <c r="X84" s="90">
        <f>_xlfn.XLOOKUP($V84,'Risk Charges'!$C$117:$C$128,'Risk Charges'!E$117:E$128,,0)</f>
        <v>7.0000000000000007E-2</v>
      </c>
      <c r="Y84" s="90">
        <f>_xlfn.XLOOKUP($V84,'Risk Charges'!$C$117:$C$128,'Risk Charges'!F$117:F$128,,0)</f>
        <v>0.06</v>
      </c>
      <c r="Z84" s="90">
        <f>_xlfn.XLOOKUP($V84,'Risk Charges'!$C$117:$C$128,'Risk Charges'!G$117:G$128,,0)</f>
        <v>0.05</v>
      </c>
      <c r="AA84" s="90">
        <f>_xlfn.XLOOKUP($V84,'Risk Charges'!$C$132:$C$143,'Risk Charges'!D$132:D$143,,0)</f>
        <v>0.104</v>
      </c>
      <c r="AB84" s="90">
        <f>_xlfn.XLOOKUP($V84,'Risk Charges'!$C$132:$C$143,'Risk Charges'!E$132:E$143,,0)</f>
        <v>8.7999999999999995E-2</v>
      </c>
      <c r="AC84" s="90">
        <f>_xlfn.XLOOKUP($V84,'Risk Charges'!$C$132:$C$143,'Risk Charges'!F$132:F$143,,0)</f>
        <v>7.4999999999999997E-2</v>
      </c>
      <c r="AD84" s="90">
        <f>_xlfn.XLOOKUP($V84,'Risk Charges'!$C$132:$C$143,'Risk Charges'!G$132:G$143,,0)</f>
        <v>6.3E-2</v>
      </c>
      <c r="AK84" s="95"/>
      <c r="BM84" s="94"/>
    </row>
    <row r="85" spans="2:65" hidden="1" outlineLevel="1" x14ac:dyDescent="0.3">
      <c r="B85" s="11"/>
      <c r="D85" s="16" t="str">
        <f t="shared" si="12"/>
        <v>Federal employee health benefit program</v>
      </c>
      <c r="E85" s="194">
        <f>W85*Input!$F479</f>
        <v>0</v>
      </c>
      <c r="F85" s="194">
        <f>X85*Input!$F479</f>
        <v>0</v>
      </c>
      <c r="G85" s="194">
        <f>Y85*Input!$F479</f>
        <v>0</v>
      </c>
      <c r="H85" s="194">
        <f>Z85*Input!$F479</f>
        <v>0</v>
      </c>
      <c r="I85" s="95"/>
      <c r="K85" s="11"/>
      <c r="M85" s="16" t="str">
        <f t="shared" si="13"/>
        <v>Federal employee health benefit program</v>
      </c>
      <c r="N85" s="194">
        <f>AA85*Input!$G479</f>
        <v>0</v>
      </c>
      <c r="O85" s="194">
        <f>AB85*Input!$G479</f>
        <v>0</v>
      </c>
      <c r="P85" s="194">
        <f>AC85*Input!$G479</f>
        <v>0</v>
      </c>
      <c r="Q85" s="194">
        <f>AD85*Input!$G479</f>
        <v>0</v>
      </c>
      <c r="R85" s="95"/>
      <c r="S85" s="11"/>
      <c r="T85" s="94" t="s">
        <v>995</v>
      </c>
      <c r="U85" s="89" t="s">
        <v>261</v>
      </c>
      <c r="V85" s="74">
        <v>1</v>
      </c>
      <c r="W85" s="90">
        <f>_xlfn.XLOOKUP($V85,'Risk Charges'!$C$117:$C$128,'Risk Charges'!D$117:D$128,,0)</f>
        <v>4.1000000000000002E-2</v>
      </c>
      <c r="X85" s="90">
        <f>_xlfn.XLOOKUP($V85,'Risk Charges'!$C$117:$C$128,'Risk Charges'!E$117:E$128,,0)</f>
        <v>3.5000000000000003E-2</v>
      </c>
      <c r="Y85" s="90">
        <f>_xlfn.XLOOKUP($V85,'Risk Charges'!$C$117:$C$128,'Risk Charges'!F$117:F$128,,0)</f>
        <v>0.03</v>
      </c>
      <c r="Z85" s="90">
        <f>_xlfn.XLOOKUP($V85,'Risk Charges'!$C$117:$C$128,'Risk Charges'!G$117:G$128,,0)</f>
        <v>2.5000000000000001E-2</v>
      </c>
      <c r="AA85" s="90">
        <f>_xlfn.XLOOKUP($V85,'Risk Charges'!$C$132:$C$143,'Risk Charges'!D$132:D$143,,0)</f>
        <v>5.0999999999999997E-2</v>
      </c>
      <c r="AB85" s="90">
        <f>_xlfn.XLOOKUP($V85,'Risk Charges'!$C$132:$C$143,'Risk Charges'!E$132:E$143,,0)</f>
        <v>4.3999999999999997E-2</v>
      </c>
      <c r="AC85" s="90">
        <f>_xlfn.XLOOKUP($V85,'Risk Charges'!$C$132:$C$143,'Risk Charges'!F$132:F$143,,0)</f>
        <v>3.7999999999999999E-2</v>
      </c>
      <c r="AD85" s="90">
        <f>_xlfn.XLOOKUP($V85,'Risk Charges'!$C$132:$C$143,'Risk Charges'!G$132:G$143,,0)</f>
        <v>3.1E-2</v>
      </c>
      <c r="AK85" s="95"/>
      <c r="BM85" s="94"/>
    </row>
    <row r="86" spans="2:65" hidden="1" outlineLevel="1" x14ac:dyDescent="0.3">
      <c r="B86" s="11"/>
      <c r="D86" s="16" t="str">
        <f t="shared" si="12"/>
        <v>Hospital indemnity, accidental death &amp; dismemberment, specified disease, and other limited benefits</v>
      </c>
      <c r="E86" s="194">
        <f>W86*Input!$F480</f>
        <v>0</v>
      </c>
      <c r="F86" s="194">
        <f>X86*Input!$F480</f>
        <v>0</v>
      </c>
      <c r="G86" s="194">
        <f>Y86*Input!$F480</f>
        <v>0</v>
      </c>
      <c r="H86" s="194">
        <f>Z86*Input!$F480</f>
        <v>0</v>
      </c>
      <c r="K86" s="11"/>
      <c r="M86" s="16" t="str">
        <f t="shared" si="13"/>
        <v>Hospital indemnity, accidental death &amp; dismemberment, specified disease, and other limited benefits</v>
      </c>
      <c r="N86" s="194">
        <f>AA86*Input!$G480</f>
        <v>0</v>
      </c>
      <c r="O86" s="194">
        <f>AB86*Input!$G480</f>
        <v>0</v>
      </c>
      <c r="P86" s="194">
        <f>AC86*Input!$G480</f>
        <v>0</v>
      </c>
      <c r="Q86" s="194">
        <f>AD86*Input!$G480</f>
        <v>0</v>
      </c>
      <c r="S86" s="11"/>
      <c r="T86" s="94" t="s">
        <v>4162</v>
      </c>
      <c r="U86" s="89" t="s">
        <v>261</v>
      </c>
      <c r="V86" s="74">
        <v>3</v>
      </c>
      <c r="W86" s="90">
        <f>_xlfn.XLOOKUP($V86,'Risk Charges'!$C$117:$C$128,'Risk Charges'!D$117:D$128,,0)</f>
        <v>0.124</v>
      </c>
      <c r="X86" s="90">
        <f>_xlfn.XLOOKUP($V86,'Risk Charges'!$C$117:$C$128,'Risk Charges'!E$117:E$128,,0)</f>
        <v>0.105</v>
      </c>
      <c r="Y86" s="90">
        <f>_xlfn.XLOOKUP($V86,'Risk Charges'!$C$117:$C$128,'Risk Charges'!F$117:F$128,,0)</f>
        <v>0.09</v>
      </c>
      <c r="Z86" s="90">
        <f>_xlfn.XLOOKUP($V86,'Risk Charges'!$C$117:$C$128,'Risk Charges'!G$117:G$128,,0)</f>
        <v>7.4999999999999997E-2</v>
      </c>
      <c r="AA86" s="90">
        <f>_xlfn.XLOOKUP($V86,'Risk Charges'!$C$132:$C$143,'Risk Charges'!D$132:D$143,,0)</f>
        <v>0.155</v>
      </c>
      <c r="AB86" s="90">
        <f>_xlfn.XLOOKUP($V86,'Risk Charges'!$C$132:$C$143,'Risk Charges'!E$132:E$143,,0)</f>
        <v>0.13100000000000001</v>
      </c>
      <c r="AC86" s="90">
        <f>_xlfn.XLOOKUP($V86,'Risk Charges'!$C$132:$C$143,'Risk Charges'!F$132:F$143,,0)</f>
        <v>0.113</v>
      </c>
      <c r="AD86" s="90">
        <f>_xlfn.XLOOKUP($V86,'Risk Charges'!$C$132:$C$143,'Risk Charges'!G$132:G$143,,0)</f>
        <v>9.4E-2</v>
      </c>
      <c r="BM86" s="94"/>
    </row>
    <row r="87" spans="2:65" hidden="1" outlineLevel="1" x14ac:dyDescent="0.3">
      <c r="B87" s="11"/>
      <c r="D87" s="16" t="str">
        <f t="shared" si="12"/>
        <v>Medicare and Medicaid</v>
      </c>
      <c r="E87" s="194">
        <f>W87*Input!$F481</f>
        <v>0</v>
      </c>
      <c r="F87" s="194">
        <f>X87*Input!$F481</f>
        <v>0</v>
      </c>
      <c r="G87" s="194">
        <f>Y87*Input!$F481</f>
        <v>0</v>
      </c>
      <c r="H87" s="194">
        <f>Z87*Input!$F481</f>
        <v>0</v>
      </c>
      <c r="K87" s="11"/>
      <c r="M87" s="16" t="str">
        <f t="shared" si="13"/>
        <v>Medicare and Medicaid</v>
      </c>
      <c r="N87" s="194">
        <f>AA87*Input!$G481</f>
        <v>0</v>
      </c>
      <c r="O87" s="194">
        <f>AB87*Input!$G481</f>
        <v>0</v>
      </c>
      <c r="P87" s="194">
        <f>AC87*Input!$G481</f>
        <v>0</v>
      </c>
      <c r="Q87" s="194">
        <f>AD87*Input!$G481</f>
        <v>0</v>
      </c>
      <c r="S87" s="11"/>
      <c r="T87" s="94" t="s">
        <v>3058</v>
      </c>
      <c r="U87" s="89" t="s">
        <v>261</v>
      </c>
      <c r="V87" s="74">
        <v>3</v>
      </c>
      <c r="W87" s="90">
        <f>_xlfn.XLOOKUP($V87,'Risk Charges'!$C$117:$C$128,'Risk Charges'!D$117:D$128,,0)</f>
        <v>0.124</v>
      </c>
      <c r="X87" s="90">
        <f>_xlfn.XLOOKUP($V87,'Risk Charges'!$C$117:$C$128,'Risk Charges'!E$117:E$128,,0)</f>
        <v>0.105</v>
      </c>
      <c r="Y87" s="90">
        <f>_xlfn.XLOOKUP($V87,'Risk Charges'!$C$117:$C$128,'Risk Charges'!F$117:F$128,,0)</f>
        <v>0.09</v>
      </c>
      <c r="Z87" s="90">
        <f>_xlfn.XLOOKUP($V87,'Risk Charges'!$C$117:$C$128,'Risk Charges'!G$117:G$128,,0)</f>
        <v>7.4999999999999997E-2</v>
      </c>
      <c r="AA87" s="90">
        <f>_xlfn.XLOOKUP($V87,'Risk Charges'!$C$132:$C$143,'Risk Charges'!D$132:D$143,,0)</f>
        <v>0.155</v>
      </c>
      <c r="AB87" s="90">
        <f>_xlfn.XLOOKUP($V87,'Risk Charges'!$C$132:$C$143,'Risk Charges'!E$132:E$143,,0)</f>
        <v>0.13100000000000001</v>
      </c>
      <c r="AC87" s="90">
        <f>_xlfn.XLOOKUP($V87,'Risk Charges'!$C$132:$C$143,'Risk Charges'!F$132:F$143,,0)</f>
        <v>0.113</v>
      </c>
      <c r="AD87" s="90">
        <f>_xlfn.XLOOKUP($V87,'Risk Charges'!$C$132:$C$143,'Risk Charges'!G$132:G$143,,0)</f>
        <v>9.4E-2</v>
      </c>
      <c r="BM87" s="94"/>
    </row>
    <row r="88" spans="2:65" hidden="1" outlineLevel="1" x14ac:dyDescent="0.3">
      <c r="B88" s="11"/>
      <c r="D88" s="16" t="str">
        <f t="shared" si="12"/>
        <v>Medicare Part D (all other)</v>
      </c>
      <c r="E88" s="194">
        <f>W88*Input!$F482</f>
        <v>0</v>
      </c>
      <c r="F88" s="194">
        <f>X88*Input!$F482</f>
        <v>0</v>
      </c>
      <c r="G88" s="194">
        <f>Y88*Input!$F482</f>
        <v>0</v>
      </c>
      <c r="H88" s="194">
        <f>Z88*Input!$F482</f>
        <v>0</v>
      </c>
      <c r="I88" s="95"/>
      <c r="K88" s="11"/>
      <c r="M88" s="16" t="str">
        <f t="shared" si="13"/>
        <v>Medicare Part D (all other)</v>
      </c>
      <c r="N88" s="194">
        <f>AA88*Input!$G482</f>
        <v>0</v>
      </c>
      <c r="O88" s="194">
        <f>AB88*Input!$G482</f>
        <v>0</v>
      </c>
      <c r="P88" s="194">
        <f>AC88*Input!$G482</f>
        <v>0</v>
      </c>
      <c r="Q88" s="194">
        <f>AD88*Input!$G482</f>
        <v>0</v>
      </c>
      <c r="R88" s="95"/>
      <c r="S88" s="11"/>
      <c r="T88" s="94" t="s">
        <v>3059</v>
      </c>
      <c r="U88" s="89" t="s">
        <v>261</v>
      </c>
      <c r="V88" s="74">
        <v>4</v>
      </c>
      <c r="W88" s="90">
        <f>_xlfn.XLOOKUP($V88,'Risk Charges'!$C$117:$C$128,'Risk Charges'!D$117:D$128,,0)</f>
        <v>0.16500000000000001</v>
      </c>
      <c r="X88" s="90">
        <f>_xlfn.XLOOKUP($V88,'Risk Charges'!$C$117:$C$128,'Risk Charges'!E$117:E$128,,0)</f>
        <v>0.14000000000000001</v>
      </c>
      <c r="Y88" s="90">
        <f>_xlfn.XLOOKUP($V88,'Risk Charges'!$C$117:$C$128,'Risk Charges'!F$117:F$128,,0)</f>
        <v>0.12</v>
      </c>
      <c r="Z88" s="90">
        <f>_xlfn.XLOOKUP($V88,'Risk Charges'!$C$117:$C$128,'Risk Charges'!G$117:G$128,,0)</f>
        <v>0.1</v>
      </c>
      <c r="AA88" s="90">
        <f>_xlfn.XLOOKUP($V88,'Risk Charges'!$C$132:$C$143,'Risk Charges'!D$132:D$143,,0)</f>
        <v>0.20599999999999999</v>
      </c>
      <c r="AB88" s="90">
        <f>_xlfn.XLOOKUP($V88,'Risk Charges'!$C$132:$C$143,'Risk Charges'!E$132:E$143,,0)</f>
        <v>0.17499999999999999</v>
      </c>
      <c r="AC88" s="90">
        <f>_xlfn.XLOOKUP($V88,'Risk Charges'!$C$132:$C$143,'Risk Charges'!F$132:F$143,,0)</f>
        <v>0.15</v>
      </c>
      <c r="AD88" s="90">
        <f>_xlfn.XLOOKUP($V88,'Risk Charges'!$C$132:$C$143,'Risk Charges'!G$132:G$143,,0)</f>
        <v>0.125</v>
      </c>
      <c r="AK88" s="95"/>
    </row>
    <row r="89" spans="2:65" hidden="1" outlineLevel="1" x14ac:dyDescent="0.3">
      <c r="B89" s="11"/>
      <c r="D89" s="16" t="str">
        <f t="shared" si="12"/>
        <v>Medicare Part D (risk corridor only)</v>
      </c>
      <c r="E89" s="194">
        <f>W89*Input!$F483</f>
        <v>0</v>
      </c>
      <c r="F89" s="194">
        <f>X89*Input!$F483</f>
        <v>0</v>
      </c>
      <c r="G89" s="194">
        <f>Y89*Input!$F483</f>
        <v>0</v>
      </c>
      <c r="H89" s="194">
        <f>Z89*Input!$F483</f>
        <v>0</v>
      </c>
      <c r="I89" s="95"/>
      <c r="K89" s="11"/>
      <c r="M89" s="16" t="str">
        <f t="shared" si="13"/>
        <v>Medicare Part D (risk corridor only)</v>
      </c>
      <c r="N89" s="194">
        <f>AA89*Input!$G483</f>
        <v>0</v>
      </c>
      <c r="O89" s="194">
        <f>AB89*Input!$G483</f>
        <v>0</v>
      </c>
      <c r="P89" s="194">
        <f>AC89*Input!$G483</f>
        <v>0</v>
      </c>
      <c r="Q89" s="194">
        <f>AD89*Input!$G483</f>
        <v>0</v>
      </c>
      <c r="R89" s="95"/>
      <c r="S89" s="11"/>
      <c r="T89" s="94" t="s">
        <v>3060</v>
      </c>
      <c r="U89" s="89" t="s">
        <v>261</v>
      </c>
      <c r="V89" s="74">
        <v>3</v>
      </c>
      <c r="W89" s="90">
        <f>_xlfn.XLOOKUP($V89,'Risk Charges'!$C$117:$C$128,'Risk Charges'!D$117:D$128,,0)</f>
        <v>0.124</v>
      </c>
      <c r="X89" s="90">
        <f>_xlfn.XLOOKUP($V89,'Risk Charges'!$C$117:$C$128,'Risk Charges'!E$117:E$128,,0)</f>
        <v>0.105</v>
      </c>
      <c r="Y89" s="90">
        <f>_xlfn.XLOOKUP($V89,'Risk Charges'!$C$117:$C$128,'Risk Charges'!F$117:F$128,,0)</f>
        <v>0.09</v>
      </c>
      <c r="Z89" s="90">
        <f>_xlfn.XLOOKUP($V89,'Risk Charges'!$C$117:$C$128,'Risk Charges'!G$117:G$128,,0)</f>
        <v>7.4999999999999997E-2</v>
      </c>
      <c r="AA89" s="90">
        <f>_xlfn.XLOOKUP($V89,'Risk Charges'!$C$132:$C$143,'Risk Charges'!D$132:D$143,,0)</f>
        <v>0.155</v>
      </c>
      <c r="AB89" s="90">
        <f>_xlfn.XLOOKUP($V89,'Risk Charges'!$C$132:$C$143,'Risk Charges'!E$132:E$143,,0)</f>
        <v>0.13100000000000001</v>
      </c>
      <c r="AC89" s="90">
        <f>_xlfn.XLOOKUP($V89,'Risk Charges'!$C$132:$C$143,'Risk Charges'!F$132:F$143,,0)</f>
        <v>0.113</v>
      </c>
      <c r="AD89" s="90">
        <f>_xlfn.XLOOKUP($V89,'Risk Charges'!$C$132:$C$143,'Risk Charges'!G$132:G$143,,0)</f>
        <v>9.4E-2</v>
      </c>
      <c r="AK89" s="95"/>
    </row>
    <row r="90" spans="2:65" hidden="1" outlineLevel="1" x14ac:dyDescent="0.3">
      <c r="B90" s="11"/>
      <c r="D90" s="16" t="str">
        <f t="shared" si="12"/>
        <v>Medicare Part D (risk corridor and reinsurance)</v>
      </c>
      <c r="E90" s="194">
        <f>W90*Input!$F484</f>
        <v>0</v>
      </c>
      <c r="F90" s="194">
        <f>X90*Input!$F484</f>
        <v>0</v>
      </c>
      <c r="G90" s="194">
        <f>Y90*Input!$F484</f>
        <v>0</v>
      </c>
      <c r="H90" s="194">
        <f>Z90*Input!$F484</f>
        <v>0</v>
      </c>
      <c r="I90" s="95"/>
      <c r="K90" s="11"/>
      <c r="M90" s="16" t="str">
        <f t="shared" si="13"/>
        <v>Medicare Part D (risk corridor and reinsurance)</v>
      </c>
      <c r="N90" s="194">
        <f>AA90*Input!$G484</f>
        <v>0</v>
      </c>
      <c r="O90" s="194">
        <f>AB90*Input!$G484</f>
        <v>0</v>
      </c>
      <c r="P90" s="194">
        <f>AC90*Input!$G484</f>
        <v>0</v>
      </c>
      <c r="Q90" s="194">
        <f>AD90*Input!$G484</f>
        <v>0</v>
      </c>
      <c r="R90" s="95"/>
      <c r="S90" s="11"/>
      <c r="T90" s="94" t="s">
        <v>3061</v>
      </c>
      <c r="U90" s="89" t="s">
        <v>261</v>
      </c>
      <c r="V90" s="74">
        <v>2</v>
      </c>
      <c r="W90" s="90">
        <f>_xlfn.XLOOKUP($V90,'Risk Charges'!$C$117:$C$128,'Risk Charges'!D$117:D$128,,0)</f>
        <v>8.3000000000000004E-2</v>
      </c>
      <c r="X90" s="90">
        <f>_xlfn.XLOOKUP($V90,'Risk Charges'!$C$117:$C$128,'Risk Charges'!E$117:E$128,,0)</f>
        <v>7.0000000000000007E-2</v>
      </c>
      <c r="Y90" s="90">
        <f>_xlfn.XLOOKUP($V90,'Risk Charges'!$C$117:$C$128,'Risk Charges'!F$117:F$128,,0)</f>
        <v>0.06</v>
      </c>
      <c r="Z90" s="90">
        <f>_xlfn.XLOOKUP($V90,'Risk Charges'!$C$117:$C$128,'Risk Charges'!G$117:G$128,,0)</f>
        <v>0.05</v>
      </c>
      <c r="AA90" s="90">
        <f>_xlfn.XLOOKUP($V90,'Risk Charges'!$C$132:$C$143,'Risk Charges'!D$132:D$143,,0)</f>
        <v>0.104</v>
      </c>
      <c r="AB90" s="90">
        <f>_xlfn.XLOOKUP($V90,'Risk Charges'!$C$132:$C$143,'Risk Charges'!E$132:E$143,,0)</f>
        <v>8.7999999999999995E-2</v>
      </c>
      <c r="AC90" s="90">
        <f>_xlfn.XLOOKUP($V90,'Risk Charges'!$C$132:$C$143,'Risk Charges'!F$132:F$143,,0)</f>
        <v>7.4999999999999997E-2</v>
      </c>
      <c r="AD90" s="90">
        <f>_xlfn.XLOOKUP($V90,'Risk Charges'!$C$132:$C$143,'Risk Charges'!G$132:G$143,,0)</f>
        <v>6.3E-2</v>
      </c>
    </row>
    <row r="91" spans="2:65" hidden="1" outlineLevel="1" x14ac:dyDescent="0.3">
      <c r="B91" s="11"/>
      <c r="D91" s="16" t="str">
        <f t="shared" si="12"/>
        <v>Medicare supplemental</v>
      </c>
      <c r="E91" s="194">
        <f>W91*Input!$F485</f>
        <v>0</v>
      </c>
      <c r="F91" s="194">
        <f>X91*Input!$F485</f>
        <v>0</v>
      </c>
      <c r="G91" s="194">
        <f>Y91*Input!$F485</f>
        <v>0</v>
      </c>
      <c r="H91" s="194">
        <f>Z91*Input!$F485</f>
        <v>0</v>
      </c>
      <c r="I91" s="95"/>
      <c r="K91" s="11"/>
      <c r="M91" s="16" t="str">
        <f t="shared" si="13"/>
        <v>Medicare supplemental</v>
      </c>
      <c r="N91" s="194">
        <f>AA91*Input!$G485</f>
        <v>0</v>
      </c>
      <c r="O91" s="194">
        <f>AB91*Input!$G485</f>
        <v>0</v>
      </c>
      <c r="P91" s="194">
        <f>AC91*Input!$G485</f>
        <v>0</v>
      </c>
      <c r="Q91" s="194">
        <f>AD91*Input!$G485</f>
        <v>0</v>
      </c>
      <c r="R91" s="95"/>
      <c r="S91" s="11"/>
      <c r="T91" s="94" t="s">
        <v>962</v>
      </c>
      <c r="U91" s="89" t="s">
        <v>261</v>
      </c>
      <c r="V91" s="74">
        <v>3</v>
      </c>
      <c r="W91" s="90">
        <f>_xlfn.XLOOKUP($V91,'Risk Charges'!$C$117:$C$128,'Risk Charges'!D$117:D$128,,0)</f>
        <v>0.124</v>
      </c>
      <c r="X91" s="90">
        <f>_xlfn.XLOOKUP($V91,'Risk Charges'!$C$117:$C$128,'Risk Charges'!E$117:E$128,,0)</f>
        <v>0.105</v>
      </c>
      <c r="Y91" s="90">
        <f>_xlfn.XLOOKUP($V91,'Risk Charges'!$C$117:$C$128,'Risk Charges'!F$117:F$128,,0)</f>
        <v>0.09</v>
      </c>
      <c r="Z91" s="90">
        <f>_xlfn.XLOOKUP($V91,'Risk Charges'!$C$117:$C$128,'Risk Charges'!G$117:G$128,,0)</f>
        <v>7.4999999999999997E-2</v>
      </c>
      <c r="AA91" s="90">
        <f>_xlfn.XLOOKUP($V91,'Risk Charges'!$C$132:$C$143,'Risk Charges'!D$132:D$143,,0)</f>
        <v>0.155</v>
      </c>
      <c r="AB91" s="90">
        <f>_xlfn.XLOOKUP($V91,'Risk Charges'!$C$132:$C$143,'Risk Charges'!E$132:E$143,,0)</f>
        <v>0.13100000000000001</v>
      </c>
      <c r="AC91" s="90">
        <f>_xlfn.XLOOKUP($V91,'Risk Charges'!$C$132:$C$143,'Risk Charges'!F$132:F$143,,0)</f>
        <v>0.113</v>
      </c>
      <c r="AD91" s="90">
        <f>_xlfn.XLOOKUP($V91,'Risk Charges'!$C$132:$C$143,'Risk Charges'!G$132:G$143,,0)</f>
        <v>9.4E-2</v>
      </c>
      <c r="AK91" s="95"/>
      <c r="BM91" s="94"/>
    </row>
    <row r="92" spans="2:65" hidden="1" outlineLevel="1" x14ac:dyDescent="0.3">
      <c r="D92" s="16" t="str">
        <f t="shared" si="12"/>
        <v>Other health</v>
      </c>
      <c r="E92" s="194">
        <f>W92*Input!$F486</f>
        <v>0</v>
      </c>
      <c r="F92" s="194">
        <f>X92*Input!$F486</f>
        <v>0</v>
      </c>
      <c r="G92" s="194">
        <f>Y92*Input!$F486</f>
        <v>0</v>
      </c>
      <c r="H92" s="194">
        <f>Z92*Input!$F486</f>
        <v>0</v>
      </c>
      <c r="I92" s="95"/>
      <c r="M92" s="16" t="str">
        <f t="shared" si="13"/>
        <v>Other health</v>
      </c>
      <c r="N92" s="194">
        <f>AA92*Input!$G486</f>
        <v>0</v>
      </c>
      <c r="O92" s="194">
        <f>AB92*Input!$G486</f>
        <v>0</v>
      </c>
      <c r="P92" s="194">
        <f>AC92*Input!$G486</f>
        <v>0</v>
      </c>
      <c r="Q92" s="194">
        <f>AD92*Input!$G486</f>
        <v>0</v>
      </c>
      <c r="R92" s="95"/>
      <c r="S92" s="61"/>
      <c r="T92" s="94" t="s">
        <v>4105</v>
      </c>
      <c r="U92" s="89" t="s">
        <v>261</v>
      </c>
      <c r="V92" s="74">
        <v>4</v>
      </c>
      <c r="W92" s="90">
        <f>_xlfn.XLOOKUP($V92,'Risk Charges'!$C$117:$C$128,'Risk Charges'!D$117:D$128,,0)</f>
        <v>0.16500000000000001</v>
      </c>
      <c r="X92" s="90">
        <f>_xlfn.XLOOKUP($V92,'Risk Charges'!$C$117:$C$128,'Risk Charges'!E$117:E$128,,0)</f>
        <v>0.14000000000000001</v>
      </c>
      <c r="Y92" s="90">
        <f>_xlfn.XLOOKUP($V92,'Risk Charges'!$C$117:$C$128,'Risk Charges'!F$117:F$128,,0)</f>
        <v>0.12</v>
      </c>
      <c r="Z92" s="90">
        <f>_xlfn.XLOOKUP($V92,'Risk Charges'!$C$117:$C$128,'Risk Charges'!G$117:G$128,,0)</f>
        <v>0.1</v>
      </c>
      <c r="AA92" s="90">
        <f>_xlfn.XLOOKUP($V92,'Risk Charges'!$C$132:$C$143,'Risk Charges'!D$132:D$143,,0)</f>
        <v>0.20599999999999999</v>
      </c>
      <c r="AB92" s="90">
        <f>_xlfn.XLOOKUP($V92,'Risk Charges'!$C$132:$C$143,'Risk Charges'!E$132:E$143,,0)</f>
        <v>0.17499999999999999</v>
      </c>
      <c r="AC92" s="90">
        <f>_xlfn.XLOOKUP($V92,'Risk Charges'!$C$132:$C$143,'Risk Charges'!F$132:F$143,,0)</f>
        <v>0.15</v>
      </c>
      <c r="AD92" s="90">
        <f>_xlfn.XLOOKUP($V92,'Risk Charges'!$C$132:$C$143,'Risk Charges'!G$132:G$143,,0)</f>
        <v>0.125</v>
      </c>
      <c r="AK92" s="95"/>
      <c r="BM92" s="94"/>
    </row>
    <row r="93" spans="2:65" hidden="1" outlineLevel="1" x14ac:dyDescent="0.3">
      <c r="B93" s="11"/>
      <c r="D93" s="16" t="str">
        <f t="shared" si="12"/>
        <v>Aircraft</v>
      </c>
      <c r="E93" s="194">
        <f>W93*Input!$F487</f>
        <v>0</v>
      </c>
      <c r="F93" s="194">
        <f>X93*Input!$F487</f>
        <v>0</v>
      </c>
      <c r="G93" s="194">
        <f>Y93*Input!$F487</f>
        <v>0</v>
      </c>
      <c r="H93" s="194">
        <f>Z93*Input!$F487</f>
        <v>0</v>
      </c>
      <c r="I93" s="95"/>
      <c r="K93" s="11"/>
      <c r="M93" s="16" t="str">
        <f t="shared" si="13"/>
        <v>Aircraft</v>
      </c>
      <c r="N93" s="194">
        <f>AA93*Input!$G487</f>
        <v>0</v>
      </c>
      <c r="O93" s="194">
        <f>AB93*Input!$G487</f>
        <v>0</v>
      </c>
      <c r="P93" s="194">
        <f>AC93*Input!$G487</f>
        <v>0</v>
      </c>
      <c r="Q93" s="194">
        <f>AD93*Input!$G487</f>
        <v>0</v>
      </c>
      <c r="S93" s="61"/>
      <c r="T93" s="94" t="s">
        <v>377</v>
      </c>
      <c r="U93" s="92" t="s">
        <v>411</v>
      </c>
      <c r="V93" s="106">
        <v>10</v>
      </c>
      <c r="W93" s="90">
        <f>_xlfn.XLOOKUP($V93,'Risk Charges'!$C$117:$C$128,'Risk Charges'!D$117:D$128,,0)</f>
        <v>0.66</v>
      </c>
      <c r="X93" s="90">
        <f>_xlfn.XLOOKUP($V93,'Risk Charges'!$C$117:$C$128,'Risk Charges'!E$117:E$128,,0)</f>
        <v>0.56000000000000005</v>
      </c>
      <c r="Y93" s="90">
        <f>_xlfn.XLOOKUP($V93,'Risk Charges'!$C$117:$C$128,'Risk Charges'!F$117:F$128,,0)</f>
        <v>0.48</v>
      </c>
      <c r="Z93" s="90">
        <f>_xlfn.XLOOKUP($V93,'Risk Charges'!$C$117:$C$128,'Risk Charges'!G$117:G$128,,0)</f>
        <v>0.4</v>
      </c>
      <c r="AA93" s="90">
        <f>_xlfn.XLOOKUP($V93,'Risk Charges'!$C$132:$C$143,'Risk Charges'!D$132:D$143,,0)</f>
        <v>0.82499999999999996</v>
      </c>
      <c r="AB93" s="90">
        <f>_xlfn.XLOOKUP($V93,'Risk Charges'!$C$132:$C$143,'Risk Charges'!E$132:E$143,,0)</f>
        <v>0.7</v>
      </c>
      <c r="AC93" s="90">
        <f>_xlfn.XLOOKUP($V93,'Risk Charges'!$C$132:$C$143,'Risk Charges'!F$132:F$143,,0)</f>
        <v>0.6</v>
      </c>
      <c r="AD93" s="90">
        <f>_xlfn.XLOOKUP($V93,'Risk Charges'!$C$132:$C$143,'Risk Charges'!G$132:G$143,,0)</f>
        <v>0.5</v>
      </c>
      <c r="AK93" s="95"/>
      <c r="BM93" s="94"/>
    </row>
    <row r="94" spans="2:65" hidden="1" outlineLevel="1" x14ac:dyDescent="0.3">
      <c r="B94" s="11"/>
      <c r="D94" s="16" t="str">
        <f t="shared" si="12"/>
        <v>Marine protection &amp; indemnity</v>
      </c>
      <c r="E94" s="194">
        <f>W94*Input!$F488</f>
        <v>0</v>
      </c>
      <c r="F94" s="194">
        <f>X94*Input!$F488</f>
        <v>0</v>
      </c>
      <c r="G94" s="194">
        <f>Y94*Input!$F488</f>
        <v>0</v>
      </c>
      <c r="H94" s="194">
        <f>Z94*Input!$F488</f>
        <v>0</v>
      </c>
      <c r="I94" s="95"/>
      <c r="K94" s="11"/>
      <c r="M94" s="16" t="str">
        <f t="shared" si="13"/>
        <v>Marine protection &amp; indemnity</v>
      </c>
      <c r="N94" s="194">
        <f>AA94*Input!$G488</f>
        <v>0</v>
      </c>
      <c r="O94" s="194">
        <f>AB94*Input!$G488</f>
        <v>0</v>
      </c>
      <c r="P94" s="194">
        <f>AC94*Input!$G488</f>
        <v>0</v>
      </c>
      <c r="Q94" s="194">
        <f>AD94*Input!$G488</f>
        <v>0</v>
      </c>
      <c r="S94" s="61"/>
      <c r="T94" s="16" t="s">
        <v>4130</v>
      </c>
      <c r="U94" s="89" t="s">
        <v>411</v>
      </c>
      <c r="V94" s="74">
        <v>8</v>
      </c>
      <c r="W94" s="90">
        <f>_xlfn.XLOOKUP($V94,'Risk Charges'!$C$117:$C$128,'Risk Charges'!D$117:D$128,,0)</f>
        <v>0.495</v>
      </c>
      <c r="X94" s="90">
        <f>_xlfn.XLOOKUP($V94,'Risk Charges'!$C$117:$C$128,'Risk Charges'!E$117:E$128,,0)</f>
        <v>0.42</v>
      </c>
      <c r="Y94" s="90">
        <f>_xlfn.XLOOKUP($V94,'Risk Charges'!$C$117:$C$128,'Risk Charges'!F$117:F$128,,0)</f>
        <v>0.36</v>
      </c>
      <c r="Z94" s="90">
        <f>_xlfn.XLOOKUP($V94,'Risk Charges'!$C$117:$C$128,'Risk Charges'!G$117:G$128,,0)</f>
        <v>0.3</v>
      </c>
      <c r="AA94" s="90">
        <f>_xlfn.XLOOKUP($V94,'Risk Charges'!$C$132:$C$143,'Risk Charges'!D$132:D$143,,0)</f>
        <v>0.61899999999999999</v>
      </c>
      <c r="AB94" s="90">
        <f>_xlfn.XLOOKUP($V94,'Risk Charges'!$C$132:$C$143,'Risk Charges'!E$132:E$143,,0)</f>
        <v>0.52500000000000002</v>
      </c>
      <c r="AC94" s="90">
        <f>_xlfn.XLOOKUP($V94,'Risk Charges'!$C$132:$C$143,'Risk Charges'!F$132:F$143,,0)</f>
        <v>0.45</v>
      </c>
      <c r="AD94" s="90">
        <f>_xlfn.XLOOKUP($V94,'Risk Charges'!$C$132:$C$143,'Risk Charges'!G$132:G$143,,0)</f>
        <v>0.375</v>
      </c>
      <c r="AK94" s="95"/>
      <c r="BM94" s="94"/>
    </row>
    <row r="95" spans="2:65" hidden="1" outlineLevel="1" x14ac:dyDescent="0.3">
      <c r="B95" s="11"/>
      <c r="D95" s="16" t="str">
        <f t="shared" si="12"/>
        <v>Ocean marine</v>
      </c>
      <c r="E95" s="194">
        <f>W95*Input!$F489</f>
        <v>0</v>
      </c>
      <c r="F95" s="194">
        <f>X95*Input!$F489</f>
        <v>0</v>
      </c>
      <c r="G95" s="194">
        <f>Y95*Input!$F489</f>
        <v>0</v>
      </c>
      <c r="H95" s="194">
        <f>Z95*Input!$F489</f>
        <v>0</v>
      </c>
      <c r="K95" s="11"/>
      <c r="M95" s="16" t="str">
        <f t="shared" si="13"/>
        <v>Ocean marine</v>
      </c>
      <c r="N95" s="194">
        <f>AA95*Input!$G489</f>
        <v>0</v>
      </c>
      <c r="O95" s="194">
        <f>AB95*Input!$G489</f>
        <v>0</v>
      </c>
      <c r="P95" s="194">
        <f>AC95*Input!$G489</f>
        <v>0</v>
      </c>
      <c r="Q95" s="194">
        <f>AD95*Input!$G489</f>
        <v>0</v>
      </c>
      <c r="S95" s="11"/>
      <c r="T95" s="94" t="s">
        <v>996</v>
      </c>
      <c r="U95" s="89" t="s">
        <v>411</v>
      </c>
      <c r="V95" s="74">
        <v>6</v>
      </c>
      <c r="W95" s="90">
        <f>_xlfn.XLOOKUP($V95,'Risk Charges'!$C$117:$C$128,'Risk Charges'!D$117:D$128,,0)</f>
        <v>0.33</v>
      </c>
      <c r="X95" s="90">
        <f>_xlfn.XLOOKUP($V95,'Risk Charges'!$C$117:$C$128,'Risk Charges'!E$117:E$128,,0)</f>
        <v>0.28000000000000003</v>
      </c>
      <c r="Y95" s="90">
        <f>_xlfn.XLOOKUP($V95,'Risk Charges'!$C$117:$C$128,'Risk Charges'!F$117:F$128,,0)</f>
        <v>0.24</v>
      </c>
      <c r="Z95" s="90">
        <f>_xlfn.XLOOKUP($V95,'Risk Charges'!$C$117:$C$128,'Risk Charges'!G$117:G$128,,0)</f>
        <v>0.2</v>
      </c>
      <c r="AA95" s="90">
        <f>_xlfn.XLOOKUP($V95,'Risk Charges'!$C$132:$C$143,'Risk Charges'!D$132:D$143,,0)</f>
        <v>0.41299999999999998</v>
      </c>
      <c r="AB95" s="90">
        <f>_xlfn.XLOOKUP($V95,'Risk Charges'!$C$132:$C$143,'Risk Charges'!E$132:E$143,,0)</f>
        <v>0.35</v>
      </c>
      <c r="AC95" s="90">
        <f>_xlfn.XLOOKUP($V95,'Risk Charges'!$C$132:$C$143,'Risk Charges'!F$132:F$143,,0)</f>
        <v>0.3</v>
      </c>
      <c r="AD95" s="90">
        <f>_xlfn.XLOOKUP($V95,'Risk Charges'!$C$132:$C$143,'Risk Charges'!G$132:G$143,,0)</f>
        <v>0.25</v>
      </c>
    </row>
    <row r="96" spans="2:65" hidden="1" outlineLevel="1" x14ac:dyDescent="0.3">
      <c r="B96" s="11"/>
      <c r="D96" s="16" t="str">
        <f t="shared" si="12"/>
        <v>Title</v>
      </c>
      <c r="E96" s="194">
        <f>W96*Input!$F490</f>
        <v>0</v>
      </c>
      <c r="F96" s="194">
        <f>X96*Input!$F490</f>
        <v>0</v>
      </c>
      <c r="G96" s="194">
        <f>Y96*Input!$F490</f>
        <v>0</v>
      </c>
      <c r="H96" s="194">
        <f>Z96*Input!$F490</f>
        <v>0</v>
      </c>
      <c r="I96" s="95"/>
      <c r="K96" s="11"/>
      <c r="M96" s="16" t="str">
        <f t="shared" si="13"/>
        <v>Title</v>
      </c>
      <c r="N96" s="194">
        <f>AA96*Input!$G490</f>
        <v>0</v>
      </c>
      <c r="O96" s="194">
        <f>AB96*Input!$G490</f>
        <v>0</v>
      </c>
      <c r="P96" s="194">
        <f>AC96*Input!$G490</f>
        <v>0</v>
      </c>
      <c r="Q96" s="194">
        <f>AD96*Input!$G490</f>
        <v>0</v>
      </c>
      <c r="R96" s="95"/>
      <c r="S96" s="61"/>
      <c r="T96" s="94" t="s">
        <v>385</v>
      </c>
      <c r="U96" s="89" t="s">
        <v>262</v>
      </c>
      <c r="V96" s="74">
        <v>5</v>
      </c>
      <c r="W96" s="90">
        <f>_xlfn.XLOOKUP($V96,'Risk Charges'!$C$117:$C$128,'Risk Charges'!D$117:D$128,,0)</f>
        <v>0.248</v>
      </c>
      <c r="X96" s="90">
        <f>_xlfn.XLOOKUP($V96,'Risk Charges'!$C$117:$C$128,'Risk Charges'!E$117:E$128,,0)</f>
        <v>0.21</v>
      </c>
      <c r="Y96" s="90">
        <f>_xlfn.XLOOKUP($V96,'Risk Charges'!$C$117:$C$128,'Risk Charges'!F$117:F$128,,0)</f>
        <v>0.18</v>
      </c>
      <c r="Z96" s="90">
        <f>_xlfn.XLOOKUP($V96,'Risk Charges'!$C$117:$C$128,'Risk Charges'!G$117:G$128,,0)</f>
        <v>0.15</v>
      </c>
      <c r="AA96" s="90">
        <f>_xlfn.XLOOKUP($V96,'Risk Charges'!$C$132:$C$143,'Risk Charges'!D$132:D$143,,0)</f>
        <v>0.31</v>
      </c>
      <c r="AB96" s="90">
        <f>_xlfn.XLOOKUP($V96,'Risk Charges'!$C$132:$C$143,'Risk Charges'!E$132:E$143,,0)</f>
        <v>0.26300000000000001</v>
      </c>
      <c r="AC96" s="90">
        <f>_xlfn.XLOOKUP($V96,'Risk Charges'!$C$132:$C$143,'Risk Charges'!F$132:F$143,,0)</f>
        <v>0.22500000000000001</v>
      </c>
      <c r="AD96" s="90">
        <f>_xlfn.XLOOKUP($V96,'Risk Charges'!$C$132:$C$143,'Risk Charges'!G$132:G$143,,0)</f>
        <v>0.188</v>
      </c>
      <c r="AK96" s="94"/>
      <c r="BM96" s="94"/>
    </row>
    <row r="97" spans="2:65" hidden="1" outlineLevel="1" x14ac:dyDescent="0.3">
      <c r="B97" s="11"/>
      <c r="D97" s="16" t="str">
        <f t="shared" si="10"/>
        <v>Warranty</v>
      </c>
      <c r="E97" s="194">
        <f>W97*Input!$F491</f>
        <v>0</v>
      </c>
      <c r="F97" s="194">
        <f>X97*Input!$F491</f>
        <v>0</v>
      </c>
      <c r="G97" s="194">
        <f>Y97*Input!$F491</f>
        <v>0</v>
      </c>
      <c r="H97" s="194">
        <f>Z97*Input!$F491</f>
        <v>0</v>
      </c>
      <c r="I97" s="95"/>
      <c r="K97" s="11"/>
      <c r="M97" s="16" t="str">
        <f t="shared" si="11"/>
        <v>Warranty</v>
      </c>
      <c r="N97" s="194">
        <f>AA97*Input!$G491</f>
        <v>0</v>
      </c>
      <c r="O97" s="194">
        <f>AB97*Input!$G491</f>
        <v>0</v>
      </c>
      <c r="P97" s="194">
        <f>AC97*Input!$G491</f>
        <v>0</v>
      </c>
      <c r="Q97" s="194">
        <f>AD97*Input!$G491</f>
        <v>0</v>
      </c>
      <c r="R97" s="95"/>
      <c r="S97" s="61"/>
      <c r="T97" s="94" t="s">
        <v>380</v>
      </c>
      <c r="U97" s="89" t="s">
        <v>262</v>
      </c>
      <c r="V97" s="74">
        <v>6</v>
      </c>
      <c r="W97" s="90">
        <f>_xlfn.XLOOKUP($V97,'Risk Charges'!$C$117:$C$128,'Risk Charges'!D$117:D$128,,0)</f>
        <v>0.33</v>
      </c>
      <c r="X97" s="90">
        <f>_xlfn.XLOOKUP($V97,'Risk Charges'!$C$117:$C$128,'Risk Charges'!E$117:E$128,,0)</f>
        <v>0.28000000000000003</v>
      </c>
      <c r="Y97" s="90">
        <f>_xlfn.XLOOKUP($V97,'Risk Charges'!$C$117:$C$128,'Risk Charges'!F$117:F$128,,0)</f>
        <v>0.24</v>
      </c>
      <c r="Z97" s="90">
        <f>_xlfn.XLOOKUP($V97,'Risk Charges'!$C$117:$C$128,'Risk Charges'!G$117:G$128,,0)</f>
        <v>0.2</v>
      </c>
      <c r="AA97" s="90">
        <f>_xlfn.XLOOKUP($V97,'Risk Charges'!$C$132:$C$143,'Risk Charges'!D$132:D$143,,0)</f>
        <v>0.41299999999999998</v>
      </c>
      <c r="AB97" s="90">
        <f>_xlfn.XLOOKUP($V97,'Risk Charges'!$C$132:$C$143,'Risk Charges'!E$132:E$143,,0)</f>
        <v>0.35</v>
      </c>
      <c r="AC97" s="90">
        <f>_xlfn.XLOOKUP($V97,'Risk Charges'!$C$132:$C$143,'Risk Charges'!F$132:F$143,,0)</f>
        <v>0.3</v>
      </c>
      <c r="AD97" s="90">
        <f>_xlfn.XLOOKUP($V97,'Risk Charges'!$C$132:$C$143,'Risk Charges'!G$132:G$143,,0)</f>
        <v>0.25</v>
      </c>
      <c r="AK97" s="94"/>
      <c r="BM97" s="94"/>
    </row>
    <row r="98" spans="2:65" hidden="1" outlineLevel="1" x14ac:dyDescent="0.3">
      <c r="B98" s="11"/>
      <c r="D98" s="16" t="str">
        <f t="shared" si="10"/>
        <v>Other</v>
      </c>
      <c r="E98" s="194">
        <f>W98*Input!$F492</f>
        <v>0</v>
      </c>
      <c r="F98" s="194">
        <f>X98*Input!$F492</f>
        <v>0</v>
      </c>
      <c r="G98" s="194">
        <f>Y98*Input!$F492</f>
        <v>0</v>
      </c>
      <c r="H98" s="194">
        <f>Z98*Input!$F492</f>
        <v>0</v>
      </c>
      <c r="I98" s="95"/>
      <c r="K98" s="11"/>
      <c r="M98" s="16" t="str">
        <f t="shared" si="11"/>
        <v>Other</v>
      </c>
      <c r="N98" s="194">
        <f>AA98*Input!$G492</f>
        <v>0</v>
      </c>
      <c r="O98" s="194">
        <f>AB98*Input!$G492</f>
        <v>0</v>
      </c>
      <c r="P98" s="194">
        <f>AC98*Input!$G492</f>
        <v>0</v>
      </c>
      <c r="Q98" s="194">
        <f>AD98*Input!$G492</f>
        <v>0</v>
      </c>
      <c r="R98" s="95"/>
      <c r="S98" s="61"/>
      <c r="T98" s="16" t="s">
        <v>262</v>
      </c>
      <c r="U98" s="92" t="s">
        <v>262</v>
      </c>
      <c r="V98" s="106">
        <v>12</v>
      </c>
      <c r="W98" s="90">
        <f>_xlfn.XLOOKUP($V98,'Risk Charges'!$C$117:$C$128,'Risk Charges'!D$117:D$128,,0)</f>
        <v>0.99</v>
      </c>
      <c r="X98" s="90">
        <f>_xlfn.XLOOKUP($V98,'Risk Charges'!$C$117:$C$128,'Risk Charges'!E$117:E$128,,0)</f>
        <v>0.84</v>
      </c>
      <c r="Y98" s="90">
        <f>_xlfn.XLOOKUP($V98,'Risk Charges'!$C$117:$C$128,'Risk Charges'!F$117:F$128,,0)</f>
        <v>0.72</v>
      </c>
      <c r="Z98" s="90">
        <f>_xlfn.XLOOKUP($V98,'Risk Charges'!$C$117:$C$128,'Risk Charges'!G$117:G$128,,0)</f>
        <v>0.6</v>
      </c>
      <c r="AA98" s="90">
        <f>_xlfn.XLOOKUP($V98,'Risk Charges'!$C$132:$C$143,'Risk Charges'!D$132:D$143,,0)</f>
        <v>1.238</v>
      </c>
      <c r="AB98" s="90">
        <f>_xlfn.XLOOKUP($V98,'Risk Charges'!$C$132:$C$143,'Risk Charges'!E$132:E$143,,0)</f>
        <v>1.05</v>
      </c>
      <c r="AC98" s="90">
        <f>_xlfn.XLOOKUP($V98,'Risk Charges'!$C$132:$C$143,'Risk Charges'!F$132:F$143,,0)</f>
        <v>0.9</v>
      </c>
      <c r="AD98" s="90">
        <f>_xlfn.XLOOKUP($V98,'Risk Charges'!$C$132:$C$143,'Risk Charges'!G$132:G$143,,0)</f>
        <v>0.75</v>
      </c>
      <c r="AK98" s="94"/>
      <c r="BM98" s="94"/>
    </row>
    <row r="99" spans="2:65" hidden="1" outlineLevel="1" x14ac:dyDescent="0.3">
      <c r="B99" s="88" t="s">
        <v>327</v>
      </c>
      <c r="E99" s="194"/>
      <c r="F99" s="194"/>
      <c r="G99" s="194"/>
      <c r="H99" s="194"/>
      <c r="K99" s="88" t="s">
        <v>327</v>
      </c>
      <c r="N99" s="194"/>
      <c r="O99" s="194"/>
      <c r="P99" s="194"/>
      <c r="Q99" s="194"/>
      <c r="R99" s="11"/>
      <c r="S99" s="88" t="s">
        <v>327</v>
      </c>
      <c r="T99" s="35"/>
      <c r="U99" s="92"/>
      <c r="V99" s="106"/>
      <c r="W99" s="90"/>
      <c r="X99" s="90"/>
      <c r="Y99" s="90"/>
      <c r="Z99" s="90"/>
      <c r="AA99" s="90"/>
      <c r="AB99" s="90"/>
      <c r="AC99" s="90"/>
      <c r="AD99" s="90"/>
      <c r="AK99" s="95"/>
      <c r="BM99" s="94"/>
    </row>
    <row r="100" spans="2:65" hidden="1" outlineLevel="1" x14ac:dyDescent="0.3">
      <c r="B100" s="11"/>
      <c r="D100" s="16" t="str">
        <f t="shared" ref="D100:D121" si="14">T100</f>
        <v>Liability</v>
      </c>
      <c r="E100" s="194">
        <f>W100*Input!$F494</f>
        <v>0</v>
      </c>
      <c r="F100" s="194">
        <f>X100*Input!$F494</f>
        <v>0</v>
      </c>
      <c r="G100" s="194">
        <f>Y100*Input!$F494</f>
        <v>0</v>
      </c>
      <c r="H100" s="194">
        <f>Z100*Input!$F494</f>
        <v>0</v>
      </c>
      <c r="I100" s="95"/>
      <c r="K100" s="11"/>
      <c r="M100" s="16" t="str">
        <f t="shared" ref="M100:M121" si="15">T100</f>
        <v>Liability</v>
      </c>
      <c r="N100" s="194">
        <f>AA100*Input!$G494</f>
        <v>0</v>
      </c>
      <c r="O100" s="194">
        <f>AB100*Input!$G494</f>
        <v>0</v>
      </c>
      <c r="P100" s="194">
        <f>AC100*Input!$G494</f>
        <v>0</v>
      </c>
      <c r="Q100" s="194">
        <f>AD100*Input!$G494</f>
        <v>0</v>
      </c>
      <c r="R100" s="11"/>
      <c r="S100" s="61"/>
      <c r="T100" s="94" t="s">
        <v>260</v>
      </c>
      <c r="U100" s="89" t="s">
        <v>260</v>
      </c>
      <c r="V100" s="74">
        <v>8</v>
      </c>
      <c r="W100" s="90">
        <f>_xlfn.XLOOKUP($V100,'Risk Charges'!$C$117:$C$128,'Risk Charges'!D$117:D$128,,0)</f>
        <v>0.495</v>
      </c>
      <c r="X100" s="90">
        <f>_xlfn.XLOOKUP($V100,'Risk Charges'!$C$117:$C$128,'Risk Charges'!E$117:E$128,,0)</f>
        <v>0.42</v>
      </c>
      <c r="Y100" s="90">
        <f>_xlfn.XLOOKUP($V100,'Risk Charges'!$C$117:$C$128,'Risk Charges'!F$117:F$128,,0)</f>
        <v>0.36</v>
      </c>
      <c r="Z100" s="90">
        <f>_xlfn.XLOOKUP($V100,'Risk Charges'!$C$117:$C$128,'Risk Charges'!G$117:G$128,,0)</f>
        <v>0.3</v>
      </c>
      <c r="AA100" s="90">
        <f>_xlfn.XLOOKUP($V100,'Risk Charges'!$C$132:$C$143,'Risk Charges'!D$132:D$143,,0)</f>
        <v>0.61899999999999999</v>
      </c>
      <c r="AB100" s="90">
        <f>_xlfn.XLOOKUP($V100,'Risk Charges'!$C$132:$C$143,'Risk Charges'!E$132:E$143,,0)</f>
        <v>0.52500000000000002</v>
      </c>
      <c r="AC100" s="90">
        <f>_xlfn.XLOOKUP($V100,'Risk Charges'!$C$132:$C$143,'Risk Charges'!F$132:F$143,,0)</f>
        <v>0.45</v>
      </c>
      <c r="AD100" s="90">
        <f>_xlfn.XLOOKUP($V100,'Risk Charges'!$C$132:$C$143,'Risk Charges'!G$132:G$143,,0)</f>
        <v>0.375</v>
      </c>
      <c r="AK100" s="95"/>
      <c r="BM100" s="94"/>
    </row>
    <row r="101" spans="2:65" hidden="1" outlineLevel="1" x14ac:dyDescent="0.3">
      <c r="D101" s="16" t="str">
        <f t="shared" si="14"/>
        <v>Boiler &amp; machinery</v>
      </c>
      <c r="E101" s="194">
        <f>W101*Input!$F495</f>
        <v>0</v>
      </c>
      <c r="F101" s="194">
        <f>X101*Input!$F495</f>
        <v>0</v>
      </c>
      <c r="G101" s="194">
        <f>Y101*Input!$F495</f>
        <v>0</v>
      </c>
      <c r="H101" s="194">
        <f>Z101*Input!$F495</f>
        <v>0</v>
      </c>
      <c r="I101" s="95"/>
      <c r="M101" s="16" t="str">
        <f t="shared" si="15"/>
        <v>Boiler &amp; machinery</v>
      </c>
      <c r="N101" s="194">
        <f>AA101*Input!$G495</f>
        <v>0</v>
      </c>
      <c r="O101" s="194">
        <f>AB101*Input!$G495</f>
        <v>0</v>
      </c>
      <c r="P101" s="194">
        <f>AC101*Input!$G495</f>
        <v>0</v>
      </c>
      <c r="Q101" s="194">
        <f>AD101*Input!$G495</f>
        <v>0</v>
      </c>
      <c r="R101" s="11"/>
      <c r="S101" s="61"/>
      <c r="T101" s="94" t="s">
        <v>989</v>
      </c>
      <c r="U101" s="89" t="s">
        <v>258</v>
      </c>
      <c r="V101" s="74">
        <v>6</v>
      </c>
      <c r="W101" s="90">
        <f>_xlfn.XLOOKUP($V101,'Risk Charges'!$C$117:$C$128,'Risk Charges'!D$117:D$128,,0)</f>
        <v>0.33</v>
      </c>
      <c r="X101" s="90">
        <f>_xlfn.XLOOKUP($V101,'Risk Charges'!$C$117:$C$128,'Risk Charges'!E$117:E$128,,0)</f>
        <v>0.28000000000000003</v>
      </c>
      <c r="Y101" s="90">
        <f>_xlfn.XLOOKUP($V101,'Risk Charges'!$C$117:$C$128,'Risk Charges'!F$117:F$128,,0)</f>
        <v>0.24</v>
      </c>
      <c r="Z101" s="90">
        <f>_xlfn.XLOOKUP($V101,'Risk Charges'!$C$117:$C$128,'Risk Charges'!G$117:G$128,,0)</f>
        <v>0.2</v>
      </c>
      <c r="AA101" s="90">
        <f>_xlfn.XLOOKUP($V101,'Risk Charges'!$C$132:$C$143,'Risk Charges'!D$132:D$143,,0)</f>
        <v>0.41299999999999998</v>
      </c>
      <c r="AB101" s="90">
        <f>_xlfn.XLOOKUP($V101,'Risk Charges'!$C$132:$C$143,'Risk Charges'!E$132:E$143,,0)</f>
        <v>0.35</v>
      </c>
      <c r="AC101" s="90">
        <f>_xlfn.XLOOKUP($V101,'Risk Charges'!$C$132:$C$143,'Risk Charges'!F$132:F$143,,0)</f>
        <v>0.3</v>
      </c>
      <c r="AD101" s="90">
        <f>_xlfn.XLOOKUP($V101,'Risk Charges'!$C$132:$C$143,'Risk Charges'!G$132:G$143,,0)</f>
        <v>0.25</v>
      </c>
      <c r="AK101" s="95"/>
      <c r="BM101" s="94"/>
    </row>
    <row r="102" spans="2:65" hidden="1" outlineLevel="1" x14ac:dyDescent="0.3">
      <c r="B102" s="11"/>
      <c r="D102" s="16" t="str">
        <f t="shared" si="14"/>
        <v>Commercial property</v>
      </c>
      <c r="E102" s="194">
        <f>W102*Input!$F496</f>
        <v>0</v>
      </c>
      <c r="F102" s="194">
        <f>X102*Input!$F496</f>
        <v>0</v>
      </c>
      <c r="G102" s="194">
        <f>Y102*Input!$F496</f>
        <v>0</v>
      </c>
      <c r="H102" s="194">
        <f>Z102*Input!$F496</f>
        <v>0</v>
      </c>
      <c r="I102" s="95"/>
      <c r="K102" s="11"/>
      <c r="M102" s="16" t="str">
        <f t="shared" si="15"/>
        <v>Commercial property</v>
      </c>
      <c r="N102" s="194">
        <f>AA102*Input!$G496</f>
        <v>0</v>
      </c>
      <c r="O102" s="194">
        <f>AB102*Input!$G496</f>
        <v>0</v>
      </c>
      <c r="P102" s="194">
        <f>AC102*Input!$G496</f>
        <v>0</v>
      </c>
      <c r="Q102" s="194">
        <f>AD102*Input!$G496</f>
        <v>0</v>
      </c>
      <c r="R102" s="95"/>
      <c r="S102" s="31"/>
      <c r="T102" s="94" t="s">
        <v>997</v>
      </c>
      <c r="U102" s="89" t="s">
        <v>258</v>
      </c>
      <c r="V102" s="74">
        <v>6</v>
      </c>
      <c r="W102" s="90">
        <f>_xlfn.XLOOKUP($V102,'Risk Charges'!$C$117:$C$128,'Risk Charges'!D$117:D$128,,0)</f>
        <v>0.33</v>
      </c>
      <c r="X102" s="90">
        <f>_xlfn.XLOOKUP($V102,'Risk Charges'!$C$117:$C$128,'Risk Charges'!E$117:E$128,,0)</f>
        <v>0.28000000000000003</v>
      </c>
      <c r="Y102" s="90">
        <f>_xlfn.XLOOKUP($V102,'Risk Charges'!$C$117:$C$128,'Risk Charges'!F$117:F$128,,0)</f>
        <v>0.24</v>
      </c>
      <c r="Z102" s="90">
        <f>_xlfn.XLOOKUP($V102,'Risk Charges'!$C$117:$C$128,'Risk Charges'!G$117:G$128,,0)</f>
        <v>0.2</v>
      </c>
      <c r="AA102" s="90">
        <f>_xlfn.XLOOKUP($V102,'Risk Charges'!$C$132:$C$143,'Risk Charges'!D$132:D$143,,0)</f>
        <v>0.41299999999999998</v>
      </c>
      <c r="AB102" s="90">
        <f>_xlfn.XLOOKUP($V102,'Risk Charges'!$C$132:$C$143,'Risk Charges'!E$132:E$143,,0)</f>
        <v>0.35</v>
      </c>
      <c r="AC102" s="90">
        <f>_xlfn.XLOOKUP($V102,'Risk Charges'!$C$132:$C$143,'Risk Charges'!F$132:F$143,,0)</f>
        <v>0.3</v>
      </c>
      <c r="AD102" s="90">
        <f>_xlfn.XLOOKUP($V102,'Risk Charges'!$C$132:$C$143,'Risk Charges'!G$132:G$143,,0)</f>
        <v>0.25</v>
      </c>
      <c r="AK102" s="95"/>
      <c r="BM102" s="94"/>
    </row>
    <row r="103" spans="2:65" hidden="1" outlineLevel="1" x14ac:dyDescent="0.3">
      <c r="B103" s="11"/>
      <c r="D103" s="16" t="str">
        <f t="shared" si="14"/>
        <v>Hail</v>
      </c>
      <c r="E103" s="194">
        <f>W103*Input!$F497</f>
        <v>0</v>
      </c>
      <c r="F103" s="194">
        <f>X103*Input!$F497</f>
        <v>0</v>
      </c>
      <c r="G103" s="194">
        <f>Y103*Input!$F497</f>
        <v>0</v>
      </c>
      <c r="H103" s="194">
        <f>Z103*Input!$F497</f>
        <v>0</v>
      </c>
      <c r="I103" s="95"/>
      <c r="K103" s="11"/>
      <c r="M103" s="16" t="str">
        <f t="shared" si="15"/>
        <v>Hail</v>
      </c>
      <c r="N103" s="194">
        <f>AA103*Input!$G497</f>
        <v>0</v>
      </c>
      <c r="O103" s="194">
        <f>AB103*Input!$G497</f>
        <v>0</v>
      </c>
      <c r="P103" s="194">
        <f>AC103*Input!$G497</f>
        <v>0</v>
      </c>
      <c r="Q103" s="194">
        <f>AD103*Input!$G497</f>
        <v>0</v>
      </c>
      <c r="R103" s="95"/>
      <c r="S103" s="11"/>
      <c r="T103" s="94" t="s">
        <v>383</v>
      </c>
      <c r="U103" s="89" t="s">
        <v>258</v>
      </c>
      <c r="V103" s="74">
        <v>7</v>
      </c>
      <c r="W103" s="90">
        <f>_xlfn.XLOOKUP($V103,'Risk Charges'!$C$117:$C$128,'Risk Charges'!D$117:D$128,,0)</f>
        <v>0.41299999999999998</v>
      </c>
      <c r="X103" s="90">
        <f>_xlfn.XLOOKUP($V103,'Risk Charges'!$C$117:$C$128,'Risk Charges'!E$117:E$128,,0)</f>
        <v>0.35</v>
      </c>
      <c r="Y103" s="90">
        <f>_xlfn.XLOOKUP($V103,'Risk Charges'!$C$117:$C$128,'Risk Charges'!F$117:F$128,,0)</f>
        <v>0.3</v>
      </c>
      <c r="Z103" s="90">
        <f>_xlfn.XLOOKUP($V103,'Risk Charges'!$C$117:$C$128,'Risk Charges'!G$117:G$128,,0)</f>
        <v>0.25</v>
      </c>
      <c r="AA103" s="90">
        <f>_xlfn.XLOOKUP($V103,'Risk Charges'!$C$132:$C$143,'Risk Charges'!D$132:D$143,,0)</f>
        <v>0.51600000000000001</v>
      </c>
      <c r="AB103" s="90">
        <f>_xlfn.XLOOKUP($V103,'Risk Charges'!$C$132:$C$143,'Risk Charges'!E$132:E$143,,0)</f>
        <v>0.438</v>
      </c>
      <c r="AC103" s="90">
        <f>_xlfn.XLOOKUP($V103,'Risk Charges'!$C$132:$C$143,'Risk Charges'!F$132:F$143,,0)</f>
        <v>0.375</v>
      </c>
      <c r="AD103" s="90">
        <f>_xlfn.XLOOKUP($V103,'Risk Charges'!$C$132:$C$143,'Risk Charges'!G$132:G$143,,0)</f>
        <v>0.313</v>
      </c>
      <c r="AK103" s="95"/>
      <c r="BM103" s="94"/>
    </row>
    <row r="104" spans="2:65" hidden="1" outlineLevel="1" x14ac:dyDescent="0.3">
      <c r="B104" s="11"/>
      <c r="D104" s="16" t="str">
        <f t="shared" si="14"/>
        <v>Personal property</v>
      </c>
      <c r="E104" s="194">
        <f>W104*Input!$F498</f>
        <v>0</v>
      </c>
      <c r="F104" s="194">
        <f>X104*Input!$F498</f>
        <v>0</v>
      </c>
      <c r="G104" s="194">
        <f>Y104*Input!$F498</f>
        <v>0</v>
      </c>
      <c r="H104" s="194">
        <f>Z104*Input!$F498</f>
        <v>0</v>
      </c>
      <c r="I104" s="95"/>
      <c r="K104" s="11"/>
      <c r="M104" s="16" t="str">
        <f t="shared" si="15"/>
        <v>Personal property</v>
      </c>
      <c r="N104" s="194">
        <f>AA104*Input!$G498</f>
        <v>0</v>
      </c>
      <c r="O104" s="194">
        <f>AB104*Input!$G498</f>
        <v>0</v>
      </c>
      <c r="P104" s="194">
        <f>AC104*Input!$G498</f>
        <v>0</v>
      </c>
      <c r="Q104" s="194">
        <f>AD104*Input!$G498</f>
        <v>0</v>
      </c>
      <c r="S104" s="11"/>
      <c r="T104" s="16" t="s">
        <v>998</v>
      </c>
      <c r="U104" s="89" t="s">
        <v>258</v>
      </c>
      <c r="V104" s="74">
        <v>6</v>
      </c>
      <c r="W104" s="90">
        <f>_xlfn.XLOOKUP($V104,'Risk Charges'!$C$117:$C$128,'Risk Charges'!D$117:D$128,,0)</f>
        <v>0.33</v>
      </c>
      <c r="X104" s="90">
        <f>_xlfn.XLOOKUP($V104,'Risk Charges'!$C$117:$C$128,'Risk Charges'!E$117:E$128,,0)</f>
        <v>0.28000000000000003</v>
      </c>
      <c r="Y104" s="90">
        <f>_xlfn.XLOOKUP($V104,'Risk Charges'!$C$117:$C$128,'Risk Charges'!F$117:F$128,,0)</f>
        <v>0.24</v>
      </c>
      <c r="Z104" s="90">
        <f>_xlfn.XLOOKUP($V104,'Risk Charges'!$C$117:$C$128,'Risk Charges'!G$117:G$128,,0)</f>
        <v>0.2</v>
      </c>
      <c r="AA104" s="90">
        <f>_xlfn.XLOOKUP($V104,'Risk Charges'!$C$132:$C$143,'Risk Charges'!D$132:D$143,,0)</f>
        <v>0.41299999999999998</v>
      </c>
      <c r="AB104" s="90">
        <f>_xlfn.XLOOKUP($V104,'Risk Charges'!$C$132:$C$143,'Risk Charges'!E$132:E$143,,0)</f>
        <v>0.35</v>
      </c>
      <c r="AC104" s="90">
        <f>_xlfn.XLOOKUP($V104,'Risk Charges'!$C$132:$C$143,'Risk Charges'!F$132:F$143,,0)</f>
        <v>0.3</v>
      </c>
      <c r="AD104" s="90">
        <f>_xlfn.XLOOKUP($V104,'Risk Charges'!$C$132:$C$143,'Risk Charges'!G$132:G$143,,0)</f>
        <v>0.25</v>
      </c>
      <c r="AK104" s="95"/>
      <c r="BM104" s="94"/>
    </row>
    <row r="105" spans="2:65" hidden="1" outlineLevel="1" x14ac:dyDescent="0.3">
      <c r="B105" s="11"/>
      <c r="D105" s="16" t="str">
        <f t="shared" si="14"/>
        <v>Auto - liability</v>
      </c>
      <c r="E105" s="194">
        <f>W105*Input!$F499</f>
        <v>0</v>
      </c>
      <c r="F105" s="194">
        <f>X105*Input!$F499</f>
        <v>0</v>
      </c>
      <c r="G105" s="194">
        <f>Y105*Input!$F499</f>
        <v>0</v>
      </c>
      <c r="H105" s="194">
        <f>Z105*Input!$F499</f>
        <v>0</v>
      </c>
      <c r="I105" s="95"/>
      <c r="K105" s="11"/>
      <c r="M105" s="16" t="str">
        <f t="shared" si="15"/>
        <v>Auto - liability</v>
      </c>
      <c r="N105" s="194">
        <f>AA105*Input!$G499</f>
        <v>0</v>
      </c>
      <c r="O105" s="194">
        <f>AB105*Input!$G499</f>
        <v>0</v>
      </c>
      <c r="P105" s="194">
        <f>AC105*Input!$G499</f>
        <v>0</v>
      </c>
      <c r="Q105" s="194">
        <f>AD105*Input!$G499</f>
        <v>0</v>
      </c>
      <c r="S105" s="11"/>
      <c r="T105" s="94" t="s">
        <v>999</v>
      </c>
      <c r="U105" s="89" t="s">
        <v>259</v>
      </c>
      <c r="V105" s="74">
        <v>6</v>
      </c>
      <c r="W105" s="90">
        <f>_xlfn.XLOOKUP($V105,'Risk Charges'!$C$117:$C$128,'Risk Charges'!D$117:D$128,,0)</f>
        <v>0.33</v>
      </c>
      <c r="X105" s="90">
        <f>_xlfn.XLOOKUP($V105,'Risk Charges'!$C$117:$C$128,'Risk Charges'!E$117:E$128,,0)</f>
        <v>0.28000000000000003</v>
      </c>
      <c r="Y105" s="90">
        <f>_xlfn.XLOOKUP($V105,'Risk Charges'!$C$117:$C$128,'Risk Charges'!F$117:F$128,,0)</f>
        <v>0.24</v>
      </c>
      <c r="Z105" s="90">
        <f>_xlfn.XLOOKUP($V105,'Risk Charges'!$C$117:$C$128,'Risk Charges'!G$117:G$128,,0)</f>
        <v>0.2</v>
      </c>
      <c r="AA105" s="90">
        <f>_xlfn.XLOOKUP($V105,'Risk Charges'!$C$132:$C$143,'Risk Charges'!D$132:D$143,,0)</f>
        <v>0.41299999999999998</v>
      </c>
      <c r="AB105" s="90">
        <f>_xlfn.XLOOKUP($V105,'Risk Charges'!$C$132:$C$143,'Risk Charges'!E$132:E$143,,0)</f>
        <v>0.35</v>
      </c>
      <c r="AC105" s="90">
        <f>_xlfn.XLOOKUP($V105,'Risk Charges'!$C$132:$C$143,'Risk Charges'!F$132:F$143,,0)</f>
        <v>0.3</v>
      </c>
      <c r="AD105" s="90">
        <f>_xlfn.XLOOKUP($V105,'Risk Charges'!$C$132:$C$143,'Risk Charges'!G$132:G$143,,0)</f>
        <v>0.25</v>
      </c>
      <c r="AK105" s="95"/>
      <c r="BM105" s="94"/>
    </row>
    <row r="106" spans="2:65" hidden="1" outlineLevel="1" x14ac:dyDescent="0.3">
      <c r="B106" s="11"/>
      <c r="D106" s="16" t="str">
        <f t="shared" si="14"/>
        <v>Auto - other</v>
      </c>
      <c r="E106" s="194">
        <f>W106*Input!$F500</f>
        <v>0</v>
      </c>
      <c r="F106" s="194">
        <f>X106*Input!$F500</f>
        <v>0</v>
      </c>
      <c r="G106" s="194">
        <f>Y106*Input!$F500</f>
        <v>0</v>
      </c>
      <c r="H106" s="194">
        <f>Z106*Input!$F500</f>
        <v>0</v>
      </c>
      <c r="I106" s="95"/>
      <c r="K106" s="11"/>
      <c r="M106" s="16" t="str">
        <f t="shared" si="15"/>
        <v>Auto - other</v>
      </c>
      <c r="N106" s="194">
        <f>AA106*Input!$G500</f>
        <v>0</v>
      </c>
      <c r="O106" s="194">
        <f>AB106*Input!$G500</f>
        <v>0</v>
      </c>
      <c r="P106" s="194">
        <f>AC106*Input!$G500</f>
        <v>0</v>
      </c>
      <c r="Q106" s="194">
        <f>AD106*Input!$G500</f>
        <v>0</v>
      </c>
      <c r="R106" s="95"/>
      <c r="S106" s="11"/>
      <c r="T106" s="94" t="s">
        <v>1000</v>
      </c>
      <c r="U106" s="89" t="s">
        <v>259</v>
      </c>
      <c r="V106" s="74">
        <v>6</v>
      </c>
      <c r="W106" s="90">
        <f>_xlfn.XLOOKUP($V106,'Risk Charges'!$C$117:$C$128,'Risk Charges'!D$117:D$128,,0)</f>
        <v>0.33</v>
      </c>
      <c r="X106" s="90">
        <f>_xlfn.XLOOKUP($V106,'Risk Charges'!$C$117:$C$128,'Risk Charges'!E$117:E$128,,0)</f>
        <v>0.28000000000000003</v>
      </c>
      <c r="Y106" s="90">
        <f>_xlfn.XLOOKUP($V106,'Risk Charges'!$C$117:$C$128,'Risk Charges'!F$117:F$128,,0)</f>
        <v>0.24</v>
      </c>
      <c r="Z106" s="90">
        <f>_xlfn.XLOOKUP($V106,'Risk Charges'!$C$117:$C$128,'Risk Charges'!G$117:G$128,,0)</f>
        <v>0.2</v>
      </c>
      <c r="AA106" s="90">
        <f>_xlfn.XLOOKUP($V106,'Risk Charges'!$C$132:$C$143,'Risk Charges'!D$132:D$143,,0)</f>
        <v>0.41299999999999998</v>
      </c>
      <c r="AB106" s="90">
        <f>_xlfn.XLOOKUP($V106,'Risk Charges'!$C$132:$C$143,'Risk Charges'!E$132:E$143,,0)</f>
        <v>0.35</v>
      </c>
      <c r="AC106" s="90">
        <f>_xlfn.XLOOKUP($V106,'Risk Charges'!$C$132:$C$143,'Risk Charges'!F$132:F$143,,0)</f>
        <v>0.3</v>
      </c>
      <c r="AD106" s="90">
        <f>_xlfn.XLOOKUP($V106,'Risk Charges'!$C$132:$C$143,'Risk Charges'!G$132:G$143,,0)</f>
        <v>0.25</v>
      </c>
      <c r="AK106" s="95"/>
      <c r="BM106" s="94"/>
    </row>
    <row r="107" spans="2:65" hidden="1" outlineLevel="1" x14ac:dyDescent="0.3">
      <c r="B107" s="11"/>
      <c r="D107" s="16" t="str">
        <f t="shared" si="14"/>
        <v>Auto - personal accident</v>
      </c>
      <c r="E107" s="194">
        <f>W107*Input!$F501</f>
        <v>0</v>
      </c>
      <c r="F107" s="194">
        <f>X107*Input!$F501</f>
        <v>0</v>
      </c>
      <c r="G107" s="194">
        <f>Y107*Input!$F501</f>
        <v>0</v>
      </c>
      <c r="H107" s="194">
        <f>Z107*Input!$F501</f>
        <v>0</v>
      </c>
      <c r="I107" s="95"/>
      <c r="K107" s="11"/>
      <c r="M107" s="16" t="str">
        <f t="shared" si="15"/>
        <v>Auto - personal accident</v>
      </c>
      <c r="N107" s="194">
        <f>AA107*Input!$G501</f>
        <v>0</v>
      </c>
      <c r="O107" s="194">
        <f>AB107*Input!$G501</f>
        <v>0</v>
      </c>
      <c r="P107" s="194">
        <f>AC107*Input!$G501</f>
        <v>0</v>
      </c>
      <c r="Q107" s="194">
        <f>AD107*Input!$G501</f>
        <v>0</v>
      </c>
      <c r="R107" s="95"/>
      <c r="S107" s="11"/>
      <c r="T107" s="94" t="s">
        <v>1001</v>
      </c>
      <c r="U107" s="89" t="s">
        <v>259</v>
      </c>
      <c r="V107" s="74">
        <v>6</v>
      </c>
      <c r="W107" s="90">
        <f>_xlfn.XLOOKUP($V107,'Risk Charges'!$C$117:$C$128,'Risk Charges'!D$117:D$128,,0)</f>
        <v>0.33</v>
      </c>
      <c r="X107" s="90">
        <f>_xlfn.XLOOKUP($V107,'Risk Charges'!$C$117:$C$128,'Risk Charges'!E$117:E$128,,0)</f>
        <v>0.28000000000000003</v>
      </c>
      <c r="Y107" s="90">
        <f>_xlfn.XLOOKUP($V107,'Risk Charges'!$C$117:$C$128,'Risk Charges'!F$117:F$128,,0)</f>
        <v>0.24</v>
      </c>
      <c r="Z107" s="90">
        <f>_xlfn.XLOOKUP($V107,'Risk Charges'!$C$117:$C$128,'Risk Charges'!G$117:G$128,,0)</f>
        <v>0.2</v>
      </c>
      <c r="AA107" s="90">
        <f>_xlfn.XLOOKUP($V107,'Risk Charges'!$C$132:$C$143,'Risk Charges'!D$132:D$143,,0)</f>
        <v>0.41299999999999998</v>
      </c>
      <c r="AB107" s="90">
        <f>_xlfn.XLOOKUP($V107,'Risk Charges'!$C$132:$C$143,'Risk Charges'!E$132:E$143,,0)</f>
        <v>0.35</v>
      </c>
      <c r="AC107" s="90">
        <f>_xlfn.XLOOKUP($V107,'Risk Charges'!$C$132:$C$143,'Risk Charges'!F$132:F$143,,0)</f>
        <v>0.3</v>
      </c>
      <c r="AD107" s="90">
        <f>_xlfn.XLOOKUP($V107,'Risk Charges'!$C$132:$C$143,'Risk Charges'!G$132:G$143,,0)</f>
        <v>0.25</v>
      </c>
      <c r="AK107" s="95"/>
      <c r="BM107" s="94"/>
    </row>
    <row r="108" spans="2:65" hidden="1" outlineLevel="1" x14ac:dyDescent="0.3">
      <c r="D108" s="16" t="str">
        <f t="shared" si="14"/>
        <v>Credit</v>
      </c>
      <c r="E108" s="194">
        <f>W108*Input!$F502</f>
        <v>0</v>
      </c>
      <c r="F108" s="194">
        <f>X108*Input!$F502</f>
        <v>0</v>
      </c>
      <c r="G108" s="194">
        <f>Y108*Input!$F502</f>
        <v>0</v>
      </c>
      <c r="H108" s="194">
        <f>Z108*Input!$F502</f>
        <v>0</v>
      </c>
      <c r="I108" s="95"/>
      <c r="M108" s="16" t="str">
        <f t="shared" si="15"/>
        <v>Credit</v>
      </c>
      <c r="N108" s="194">
        <f>AA108*Input!$G502</f>
        <v>0</v>
      </c>
      <c r="O108" s="194">
        <f>AB108*Input!$G502</f>
        <v>0</v>
      </c>
      <c r="P108" s="194">
        <f>AC108*Input!$G502</f>
        <v>0</v>
      </c>
      <c r="Q108" s="194">
        <f>AD108*Input!$G502</f>
        <v>0</v>
      </c>
      <c r="R108" s="95"/>
      <c r="S108" s="11"/>
      <c r="T108" s="94" t="s">
        <v>374</v>
      </c>
      <c r="U108" s="89" t="s">
        <v>9</v>
      </c>
      <c r="V108" s="74">
        <v>8</v>
      </c>
      <c r="W108" s="90">
        <f>_xlfn.XLOOKUP($V108,'Risk Charges'!$C$117:$C$128,'Risk Charges'!D$117:D$128,,0)</f>
        <v>0.495</v>
      </c>
      <c r="X108" s="90">
        <f>_xlfn.XLOOKUP($V108,'Risk Charges'!$C$117:$C$128,'Risk Charges'!E$117:E$128,,0)</f>
        <v>0.42</v>
      </c>
      <c r="Y108" s="90">
        <f>_xlfn.XLOOKUP($V108,'Risk Charges'!$C$117:$C$128,'Risk Charges'!F$117:F$128,,0)</f>
        <v>0.36</v>
      </c>
      <c r="Z108" s="90">
        <f>_xlfn.XLOOKUP($V108,'Risk Charges'!$C$117:$C$128,'Risk Charges'!G$117:G$128,,0)</f>
        <v>0.3</v>
      </c>
      <c r="AA108" s="90">
        <f>_xlfn.XLOOKUP($V108,'Risk Charges'!$C$132:$C$143,'Risk Charges'!D$132:D$143,,0)</f>
        <v>0.61899999999999999</v>
      </c>
      <c r="AB108" s="90">
        <f>_xlfn.XLOOKUP($V108,'Risk Charges'!$C$132:$C$143,'Risk Charges'!E$132:E$143,,0)</f>
        <v>0.52500000000000002</v>
      </c>
      <c r="AC108" s="90">
        <f>_xlfn.XLOOKUP($V108,'Risk Charges'!$C$132:$C$143,'Risk Charges'!F$132:F$143,,0)</f>
        <v>0.45</v>
      </c>
      <c r="AD108" s="90">
        <f>_xlfn.XLOOKUP($V108,'Risk Charges'!$C$132:$C$143,'Risk Charges'!G$132:G$143,,0)</f>
        <v>0.375</v>
      </c>
      <c r="AK108" s="95"/>
      <c r="BM108" s="94"/>
    </row>
    <row r="109" spans="2:65" hidden="1" outlineLevel="1" x14ac:dyDescent="0.3">
      <c r="B109" s="11"/>
      <c r="D109" s="16" t="str">
        <f t="shared" si="14"/>
        <v>Credit protection</v>
      </c>
      <c r="E109" s="194">
        <f>W109*Input!$F503</f>
        <v>0</v>
      </c>
      <c r="F109" s="194">
        <f>X109*Input!$F503</f>
        <v>0</v>
      </c>
      <c r="G109" s="194">
        <f>Y109*Input!$F503</f>
        <v>0</v>
      </c>
      <c r="H109" s="194">
        <f>Z109*Input!$F503</f>
        <v>0</v>
      </c>
      <c r="I109" s="95"/>
      <c r="K109" s="11"/>
      <c r="M109" s="16" t="str">
        <f t="shared" si="15"/>
        <v>Credit protection</v>
      </c>
      <c r="N109" s="194">
        <f>AA109*Input!$G503</f>
        <v>0</v>
      </c>
      <c r="O109" s="194">
        <f>AB109*Input!$G503</f>
        <v>0</v>
      </c>
      <c r="P109" s="194">
        <f>AC109*Input!$G503</f>
        <v>0</v>
      </c>
      <c r="Q109" s="194">
        <f>AD109*Input!$G503</f>
        <v>0</v>
      </c>
      <c r="R109" s="95"/>
      <c r="S109" s="11"/>
      <c r="T109" s="94" t="s">
        <v>1002</v>
      </c>
      <c r="U109" s="89" t="s">
        <v>9</v>
      </c>
      <c r="V109" s="74">
        <v>8</v>
      </c>
      <c r="W109" s="90">
        <f>_xlfn.XLOOKUP($V109,'Risk Charges'!$C$117:$C$128,'Risk Charges'!D$117:D$128,,0)</f>
        <v>0.495</v>
      </c>
      <c r="X109" s="90">
        <f>_xlfn.XLOOKUP($V109,'Risk Charges'!$C$117:$C$128,'Risk Charges'!E$117:E$128,,0)</f>
        <v>0.42</v>
      </c>
      <c r="Y109" s="90">
        <f>_xlfn.XLOOKUP($V109,'Risk Charges'!$C$117:$C$128,'Risk Charges'!F$117:F$128,,0)</f>
        <v>0.36</v>
      </c>
      <c r="Z109" s="90">
        <f>_xlfn.XLOOKUP($V109,'Risk Charges'!$C$117:$C$128,'Risk Charges'!G$117:G$128,,0)</f>
        <v>0.3</v>
      </c>
      <c r="AA109" s="90">
        <f>_xlfn.XLOOKUP($V109,'Risk Charges'!$C$132:$C$143,'Risk Charges'!D$132:D$143,,0)</f>
        <v>0.61899999999999999</v>
      </c>
      <c r="AB109" s="90">
        <f>_xlfn.XLOOKUP($V109,'Risk Charges'!$C$132:$C$143,'Risk Charges'!E$132:E$143,,0)</f>
        <v>0.52500000000000002</v>
      </c>
      <c r="AC109" s="90">
        <f>_xlfn.XLOOKUP($V109,'Risk Charges'!$C$132:$C$143,'Risk Charges'!F$132:F$143,,0)</f>
        <v>0.45</v>
      </c>
      <c r="AD109" s="90">
        <f>_xlfn.XLOOKUP($V109,'Risk Charges'!$C$132:$C$143,'Risk Charges'!G$132:G$143,,0)</f>
        <v>0.375</v>
      </c>
      <c r="AK109" s="95"/>
      <c r="BM109" s="94"/>
    </row>
    <row r="110" spans="2:65" hidden="1" outlineLevel="1" x14ac:dyDescent="0.3">
      <c r="B110" s="11"/>
      <c r="D110" s="16" t="str">
        <f t="shared" si="14"/>
        <v>Fidelity</v>
      </c>
      <c r="E110" s="194">
        <f>W110*Input!$F504</f>
        <v>0</v>
      </c>
      <c r="F110" s="194">
        <f>X110*Input!$F504</f>
        <v>0</v>
      </c>
      <c r="G110" s="194">
        <f>Y110*Input!$F504</f>
        <v>0</v>
      </c>
      <c r="H110" s="194">
        <f>Z110*Input!$F504</f>
        <v>0</v>
      </c>
      <c r="I110" s="95"/>
      <c r="K110" s="11"/>
      <c r="M110" s="16" t="str">
        <f t="shared" si="15"/>
        <v>Fidelity</v>
      </c>
      <c r="N110" s="194">
        <f>AA110*Input!$G504</f>
        <v>0</v>
      </c>
      <c r="O110" s="194">
        <f>AB110*Input!$G504</f>
        <v>0</v>
      </c>
      <c r="P110" s="194">
        <f>AC110*Input!$G504</f>
        <v>0</v>
      </c>
      <c r="Q110" s="194">
        <f>AD110*Input!$G504</f>
        <v>0</v>
      </c>
      <c r="R110" s="95"/>
      <c r="S110" s="11"/>
      <c r="T110" s="16" t="s">
        <v>375</v>
      </c>
      <c r="U110" s="89" t="s">
        <v>9</v>
      </c>
      <c r="V110" s="74">
        <v>7</v>
      </c>
      <c r="W110" s="90">
        <f>_xlfn.XLOOKUP($V110,'Risk Charges'!$C$117:$C$128,'Risk Charges'!D$117:D$128,,0)</f>
        <v>0.41299999999999998</v>
      </c>
      <c r="X110" s="90">
        <f>_xlfn.XLOOKUP($V110,'Risk Charges'!$C$117:$C$128,'Risk Charges'!E$117:E$128,,0)</f>
        <v>0.35</v>
      </c>
      <c r="Y110" s="90">
        <f>_xlfn.XLOOKUP($V110,'Risk Charges'!$C$117:$C$128,'Risk Charges'!F$117:F$128,,0)</f>
        <v>0.3</v>
      </c>
      <c r="Z110" s="90">
        <f>_xlfn.XLOOKUP($V110,'Risk Charges'!$C$117:$C$128,'Risk Charges'!G$117:G$128,,0)</f>
        <v>0.25</v>
      </c>
      <c r="AA110" s="90">
        <f>_xlfn.XLOOKUP($V110,'Risk Charges'!$C$132:$C$143,'Risk Charges'!D$132:D$143,,0)</f>
        <v>0.51600000000000001</v>
      </c>
      <c r="AB110" s="90">
        <f>_xlfn.XLOOKUP($V110,'Risk Charges'!$C$132:$C$143,'Risk Charges'!E$132:E$143,,0)</f>
        <v>0.438</v>
      </c>
      <c r="AC110" s="90">
        <f>_xlfn.XLOOKUP($V110,'Risk Charges'!$C$132:$C$143,'Risk Charges'!F$132:F$143,,0)</f>
        <v>0.375</v>
      </c>
      <c r="AD110" s="90">
        <f>_xlfn.XLOOKUP($V110,'Risk Charges'!$C$132:$C$143,'Risk Charges'!G$132:G$143,,0)</f>
        <v>0.313</v>
      </c>
      <c r="AK110" s="95"/>
      <c r="BM110" s="94"/>
    </row>
    <row r="111" spans="2:65" hidden="1" outlineLevel="1" x14ac:dyDescent="0.3">
      <c r="B111" s="11"/>
      <c r="D111" s="16" t="str">
        <f t="shared" si="14"/>
        <v>Surety</v>
      </c>
      <c r="E111" s="194">
        <f>W111*Input!$F505</f>
        <v>0</v>
      </c>
      <c r="F111" s="194">
        <f>X111*Input!$F505</f>
        <v>0</v>
      </c>
      <c r="G111" s="194">
        <f>Y111*Input!$F505</f>
        <v>0</v>
      </c>
      <c r="H111" s="194">
        <f>Z111*Input!$F505</f>
        <v>0</v>
      </c>
      <c r="I111" s="95"/>
      <c r="K111" s="11"/>
      <c r="M111" s="16" t="str">
        <f t="shared" si="15"/>
        <v>Surety</v>
      </c>
      <c r="N111" s="194">
        <f>AA111*Input!$G505</f>
        <v>0</v>
      </c>
      <c r="O111" s="194">
        <f>AB111*Input!$G505</f>
        <v>0</v>
      </c>
      <c r="P111" s="194">
        <f>AC111*Input!$G505</f>
        <v>0</v>
      </c>
      <c r="Q111" s="194">
        <f>AD111*Input!$G505</f>
        <v>0</v>
      </c>
      <c r="R111" s="95"/>
      <c r="S111" s="11"/>
      <c r="T111" s="16" t="s">
        <v>376</v>
      </c>
      <c r="U111" s="89" t="s">
        <v>9</v>
      </c>
      <c r="V111" s="74">
        <v>7</v>
      </c>
      <c r="W111" s="90">
        <f>_xlfn.XLOOKUP($V111,'Risk Charges'!$C$117:$C$128,'Risk Charges'!D$117:D$128,,0)</f>
        <v>0.41299999999999998</v>
      </c>
      <c r="X111" s="90">
        <f>_xlfn.XLOOKUP($V111,'Risk Charges'!$C$117:$C$128,'Risk Charges'!E$117:E$128,,0)</f>
        <v>0.35</v>
      </c>
      <c r="Y111" s="90">
        <f>_xlfn.XLOOKUP($V111,'Risk Charges'!$C$117:$C$128,'Risk Charges'!F$117:F$128,,0)</f>
        <v>0.3</v>
      </c>
      <c r="Z111" s="90">
        <f>_xlfn.XLOOKUP($V111,'Risk Charges'!$C$117:$C$128,'Risk Charges'!G$117:G$128,,0)</f>
        <v>0.25</v>
      </c>
      <c r="AA111" s="90">
        <f>_xlfn.XLOOKUP($V111,'Risk Charges'!$C$132:$C$143,'Risk Charges'!D$132:D$143,,0)</f>
        <v>0.51600000000000001</v>
      </c>
      <c r="AB111" s="90">
        <f>_xlfn.XLOOKUP($V111,'Risk Charges'!$C$132:$C$143,'Risk Charges'!E$132:E$143,,0)</f>
        <v>0.438</v>
      </c>
      <c r="AC111" s="90">
        <f>_xlfn.XLOOKUP($V111,'Risk Charges'!$C$132:$C$143,'Risk Charges'!F$132:F$143,,0)</f>
        <v>0.375</v>
      </c>
      <c r="AD111" s="90">
        <f>_xlfn.XLOOKUP($V111,'Risk Charges'!$C$132:$C$143,'Risk Charges'!G$132:G$143,,0)</f>
        <v>0.313</v>
      </c>
      <c r="AK111" s="95"/>
      <c r="BM111" s="94"/>
    </row>
    <row r="112" spans="2:65" hidden="1" outlineLevel="1" x14ac:dyDescent="0.3">
      <c r="B112" s="11"/>
      <c r="D112" s="16" t="str">
        <f t="shared" si="14"/>
        <v>Accident &amp; sickness (excluding supplementary health, disability income)</v>
      </c>
      <c r="E112" s="194">
        <f>W112*Input!$F506</f>
        <v>0</v>
      </c>
      <c r="F112" s="194">
        <f>X112*Input!$F506</f>
        <v>0</v>
      </c>
      <c r="G112" s="194">
        <f>Y112*Input!$F506</f>
        <v>0</v>
      </c>
      <c r="H112" s="194">
        <f>Z112*Input!$F506</f>
        <v>0</v>
      </c>
      <c r="K112" s="11"/>
      <c r="M112" s="16" t="str">
        <f t="shared" si="15"/>
        <v>Accident &amp; sickness (excluding supplementary health, disability income)</v>
      </c>
      <c r="N112" s="194">
        <f>AA112*Input!$G506</f>
        <v>0</v>
      </c>
      <c r="O112" s="194">
        <f>AB112*Input!$G506</f>
        <v>0</v>
      </c>
      <c r="P112" s="194">
        <f>AC112*Input!$G506</f>
        <v>0</v>
      </c>
      <c r="Q112" s="194">
        <f>AD112*Input!$G506</f>
        <v>0</v>
      </c>
      <c r="R112" s="95"/>
      <c r="S112" s="11"/>
      <c r="T112" s="94" t="s">
        <v>4144</v>
      </c>
      <c r="U112" s="89" t="s">
        <v>261</v>
      </c>
      <c r="V112" s="74">
        <v>6</v>
      </c>
      <c r="W112" s="90">
        <f>_xlfn.XLOOKUP($V112,'Risk Charges'!$C$117:$C$128,'Risk Charges'!D$117:D$128,,0)</f>
        <v>0.33</v>
      </c>
      <c r="X112" s="90">
        <f>_xlfn.XLOOKUP($V112,'Risk Charges'!$C$117:$C$128,'Risk Charges'!E$117:E$128,,0)</f>
        <v>0.28000000000000003</v>
      </c>
      <c r="Y112" s="90">
        <f>_xlfn.XLOOKUP($V112,'Risk Charges'!$C$117:$C$128,'Risk Charges'!F$117:F$128,,0)</f>
        <v>0.24</v>
      </c>
      <c r="Z112" s="90">
        <f>_xlfn.XLOOKUP($V112,'Risk Charges'!$C$117:$C$128,'Risk Charges'!G$117:G$128,,0)</f>
        <v>0.2</v>
      </c>
      <c r="AA112" s="90">
        <f>_xlfn.XLOOKUP($V112,'Risk Charges'!$C$132:$C$143,'Risk Charges'!D$132:D$143,,0)</f>
        <v>0.41299999999999998</v>
      </c>
      <c r="AB112" s="90">
        <f>_xlfn.XLOOKUP($V112,'Risk Charges'!$C$132:$C$143,'Risk Charges'!E$132:E$143,,0)</f>
        <v>0.35</v>
      </c>
      <c r="AC112" s="90">
        <f>_xlfn.XLOOKUP($V112,'Risk Charges'!$C$132:$C$143,'Risk Charges'!F$132:F$143,,0)</f>
        <v>0.3</v>
      </c>
      <c r="AD112" s="90">
        <f>_xlfn.XLOOKUP($V112,'Risk Charges'!$C$132:$C$143,'Risk Charges'!G$132:G$143,,0)</f>
        <v>0.25</v>
      </c>
      <c r="AK112" s="95"/>
    </row>
    <row r="113" spans="2:37" hidden="1" outlineLevel="1" x14ac:dyDescent="0.3">
      <c r="B113" s="11"/>
      <c r="D113" s="16" t="str">
        <f t="shared" si="14"/>
        <v>Supplementary health</v>
      </c>
      <c r="E113" s="194">
        <f>W113*Input!$F507</f>
        <v>0</v>
      </c>
      <c r="F113" s="194">
        <f>X113*Input!$F507</f>
        <v>0</v>
      </c>
      <c r="G113" s="194">
        <f>Y113*Input!$F507</f>
        <v>0</v>
      </c>
      <c r="H113" s="194">
        <f>Z113*Input!$F507</f>
        <v>0</v>
      </c>
      <c r="K113" s="11"/>
      <c r="M113" s="16" t="str">
        <f t="shared" si="15"/>
        <v>Supplementary health</v>
      </c>
      <c r="N113" s="194">
        <f>AA113*Input!$G507</f>
        <v>0</v>
      </c>
      <c r="O113" s="194">
        <f>AB113*Input!$G507</f>
        <v>0</v>
      </c>
      <c r="P113" s="194">
        <f>AC113*Input!$G507</f>
        <v>0</v>
      </c>
      <c r="Q113" s="194">
        <f>AD113*Input!$G507</f>
        <v>0</v>
      </c>
      <c r="R113" s="95"/>
      <c r="S113" s="11"/>
      <c r="T113" s="94" t="s">
        <v>4094</v>
      </c>
      <c r="U113" s="89" t="s">
        <v>261</v>
      </c>
      <c r="V113" s="74">
        <v>5</v>
      </c>
      <c r="W113" s="90">
        <f>_xlfn.XLOOKUP($V113,'Risk Charges'!$C$117:$C$128,'Risk Charges'!D$117:D$128,,0)</f>
        <v>0.248</v>
      </c>
      <c r="X113" s="90">
        <f>_xlfn.XLOOKUP($V113,'Risk Charges'!$C$117:$C$128,'Risk Charges'!E$117:E$128,,0)</f>
        <v>0.21</v>
      </c>
      <c r="Y113" s="90">
        <f>_xlfn.XLOOKUP($V113,'Risk Charges'!$C$117:$C$128,'Risk Charges'!F$117:F$128,,0)</f>
        <v>0.18</v>
      </c>
      <c r="Z113" s="90">
        <f>_xlfn.XLOOKUP($V113,'Risk Charges'!$C$117:$C$128,'Risk Charges'!G$117:G$128,,0)</f>
        <v>0.15</v>
      </c>
      <c r="AA113" s="90">
        <f>_xlfn.XLOOKUP($V113,'Risk Charges'!$C$132:$C$143,'Risk Charges'!D$132:D$143,,0)</f>
        <v>0.31</v>
      </c>
      <c r="AB113" s="90">
        <f>_xlfn.XLOOKUP($V113,'Risk Charges'!$C$132:$C$143,'Risk Charges'!E$132:E$143,,0)</f>
        <v>0.26300000000000001</v>
      </c>
      <c r="AC113" s="90">
        <f>_xlfn.XLOOKUP($V113,'Risk Charges'!$C$132:$C$143,'Risk Charges'!F$132:F$143,,0)</f>
        <v>0.22500000000000001</v>
      </c>
      <c r="AD113" s="90">
        <f>_xlfn.XLOOKUP($V113,'Risk Charges'!$C$132:$C$143,'Risk Charges'!G$132:G$143,,0)</f>
        <v>0.188</v>
      </c>
      <c r="AK113" s="95"/>
    </row>
    <row r="114" spans="2:37" hidden="1" outlineLevel="1" x14ac:dyDescent="0.3">
      <c r="B114" s="11"/>
      <c r="D114" s="16" t="str">
        <f t="shared" si="14"/>
        <v>Aircraft</v>
      </c>
      <c r="E114" s="194">
        <f>W114*Input!$F508</f>
        <v>0</v>
      </c>
      <c r="F114" s="194">
        <f>X114*Input!$F508</f>
        <v>0</v>
      </c>
      <c r="G114" s="194">
        <f>Y114*Input!$F508</f>
        <v>0</v>
      </c>
      <c r="H114" s="194">
        <f>Z114*Input!$F508</f>
        <v>0</v>
      </c>
      <c r="K114" s="11"/>
      <c r="M114" s="16" t="str">
        <f t="shared" si="15"/>
        <v>Aircraft</v>
      </c>
      <c r="N114" s="194">
        <f>AA114*Input!$G508</f>
        <v>0</v>
      </c>
      <c r="O114" s="194">
        <f>AB114*Input!$G508</f>
        <v>0</v>
      </c>
      <c r="P114" s="194">
        <f>AC114*Input!$G508</f>
        <v>0</v>
      </c>
      <c r="Q114" s="194">
        <f>AD114*Input!$G508</f>
        <v>0</v>
      </c>
      <c r="R114" s="95"/>
      <c r="S114" s="11"/>
      <c r="T114" s="94" t="s">
        <v>377</v>
      </c>
      <c r="U114" s="89" t="s">
        <v>411</v>
      </c>
      <c r="V114" s="74">
        <v>8</v>
      </c>
      <c r="W114" s="90">
        <f>_xlfn.XLOOKUP($V114,'Risk Charges'!$C$117:$C$128,'Risk Charges'!D$117:D$128,,0)</f>
        <v>0.495</v>
      </c>
      <c r="X114" s="90">
        <f>_xlfn.XLOOKUP($V114,'Risk Charges'!$C$117:$C$128,'Risk Charges'!E$117:E$128,,0)</f>
        <v>0.42</v>
      </c>
      <c r="Y114" s="90">
        <f>_xlfn.XLOOKUP($V114,'Risk Charges'!$C$117:$C$128,'Risk Charges'!F$117:F$128,,0)</f>
        <v>0.36</v>
      </c>
      <c r="Z114" s="90">
        <f>_xlfn.XLOOKUP($V114,'Risk Charges'!$C$117:$C$128,'Risk Charges'!G$117:G$128,,0)</f>
        <v>0.3</v>
      </c>
      <c r="AA114" s="90">
        <f>_xlfn.XLOOKUP($V114,'Risk Charges'!$C$132:$C$143,'Risk Charges'!D$132:D$143,,0)</f>
        <v>0.61899999999999999</v>
      </c>
      <c r="AB114" s="90">
        <f>_xlfn.XLOOKUP($V114,'Risk Charges'!$C$132:$C$143,'Risk Charges'!E$132:E$143,,0)</f>
        <v>0.52500000000000002</v>
      </c>
      <c r="AC114" s="90">
        <f>_xlfn.XLOOKUP($V114,'Risk Charges'!$C$132:$C$143,'Risk Charges'!F$132:F$143,,0)</f>
        <v>0.45</v>
      </c>
      <c r="AD114" s="90">
        <f>_xlfn.XLOOKUP($V114,'Risk Charges'!$C$132:$C$143,'Risk Charges'!G$132:G$143,,0)</f>
        <v>0.375</v>
      </c>
      <c r="AK114" s="95"/>
    </row>
    <row r="115" spans="2:37" hidden="1" outlineLevel="1" x14ac:dyDescent="0.3">
      <c r="B115" s="11"/>
      <c r="D115" s="16" t="str">
        <f t="shared" si="14"/>
        <v>Marine</v>
      </c>
      <c r="E115" s="194">
        <f>W115*Input!$F509</f>
        <v>0</v>
      </c>
      <c r="F115" s="194">
        <f>X115*Input!$F509</f>
        <v>0</v>
      </c>
      <c r="G115" s="194">
        <f>Y115*Input!$F509</f>
        <v>0</v>
      </c>
      <c r="H115" s="194">
        <f>Z115*Input!$F509</f>
        <v>0</v>
      </c>
      <c r="K115" s="11"/>
      <c r="M115" s="16" t="str">
        <f t="shared" si="15"/>
        <v>Marine</v>
      </c>
      <c r="N115" s="194">
        <f>AA115*Input!$G509</f>
        <v>0</v>
      </c>
      <c r="O115" s="194">
        <f>AB115*Input!$G509</f>
        <v>0</v>
      </c>
      <c r="P115" s="194">
        <f>AC115*Input!$G509</f>
        <v>0</v>
      </c>
      <c r="Q115" s="194">
        <f>AD115*Input!$G509</f>
        <v>0</v>
      </c>
      <c r="R115" s="95"/>
      <c r="S115" s="11"/>
      <c r="T115" s="16" t="s">
        <v>384</v>
      </c>
      <c r="U115" s="89" t="s">
        <v>411</v>
      </c>
      <c r="V115" s="74">
        <v>6</v>
      </c>
      <c r="W115" s="90">
        <f>_xlfn.XLOOKUP($V115,'Risk Charges'!$C$117:$C$128,'Risk Charges'!D$117:D$128,,0)</f>
        <v>0.33</v>
      </c>
      <c r="X115" s="90">
        <f>_xlfn.XLOOKUP($V115,'Risk Charges'!$C$117:$C$128,'Risk Charges'!E$117:E$128,,0)</f>
        <v>0.28000000000000003</v>
      </c>
      <c r="Y115" s="90">
        <f>_xlfn.XLOOKUP($V115,'Risk Charges'!$C$117:$C$128,'Risk Charges'!F$117:F$128,,0)</f>
        <v>0.24</v>
      </c>
      <c r="Z115" s="90">
        <f>_xlfn.XLOOKUP($V115,'Risk Charges'!$C$117:$C$128,'Risk Charges'!G$117:G$128,,0)</f>
        <v>0.2</v>
      </c>
      <c r="AA115" s="90">
        <f>_xlfn.XLOOKUP($V115,'Risk Charges'!$C$132:$C$143,'Risk Charges'!D$132:D$143,,0)</f>
        <v>0.41299999999999998</v>
      </c>
      <c r="AB115" s="90">
        <f>_xlfn.XLOOKUP($V115,'Risk Charges'!$C$132:$C$143,'Risk Charges'!E$132:E$143,,0)</f>
        <v>0.35</v>
      </c>
      <c r="AC115" s="90">
        <f>_xlfn.XLOOKUP($V115,'Risk Charges'!$C$132:$C$143,'Risk Charges'!F$132:F$143,,0)</f>
        <v>0.3</v>
      </c>
      <c r="AD115" s="90">
        <f>_xlfn.XLOOKUP($V115,'Risk Charges'!$C$132:$C$143,'Risk Charges'!G$132:G$143,,0)</f>
        <v>0.25</v>
      </c>
      <c r="AK115" s="95"/>
    </row>
    <row r="116" spans="2:37" hidden="1" outlineLevel="1" x14ac:dyDescent="0.3">
      <c r="B116" s="11"/>
      <c r="D116" s="16" t="str">
        <f t="shared" si="14"/>
        <v>Marine protection &amp; indemnity</v>
      </c>
      <c r="E116" s="194">
        <f>W116*Input!$F510</f>
        <v>0</v>
      </c>
      <c r="F116" s="194">
        <f>X116*Input!$F510</f>
        <v>0</v>
      </c>
      <c r="G116" s="194">
        <f>Y116*Input!$F510</f>
        <v>0</v>
      </c>
      <c r="H116" s="194">
        <f>Z116*Input!$F510</f>
        <v>0</v>
      </c>
      <c r="K116" s="11"/>
      <c r="M116" s="16" t="str">
        <f t="shared" si="15"/>
        <v>Marine protection &amp; indemnity</v>
      </c>
      <c r="N116" s="194">
        <f>AA116*Input!$G510</f>
        <v>0</v>
      </c>
      <c r="O116" s="194">
        <f>AB116*Input!$G510</f>
        <v>0</v>
      </c>
      <c r="P116" s="194">
        <f>AC116*Input!$G510</f>
        <v>0</v>
      </c>
      <c r="Q116" s="194">
        <f>AD116*Input!$G510</f>
        <v>0</v>
      </c>
      <c r="R116" s="95"/>
      <c r="S116" s="11"/>
      <c r="T116" s="16" t="s">
        <v>4130</v>
      </c>
      <c r="U116" s="89" t="s">
        <v>411</v>
      </c>
      <c r="V116" s="74">
        <v>8</v>
      </c>
      <c r="W116" s="90">
        <f>_xlfn.XLOOKUP($V116,'Risk Charges'!$C$117:$C$128,'Risk Charges'!D$117:D$128,,0)</f>
        <v>0.495</v>
      </c>
      <c r="X116" s="90">
        <f>_xlfn.XLOOKUP($V116,'Risk Charges'!$C$117:$C$128,'Risk Charges'!E$117:E$128,,0)</f>
        <v>0.42</v>
      </c>
      <c r="Y116" s="90">
        <f>_xlfn.XLOOKUP($V116,'Risk Charges'!$C$117:$C$128,'Risk Charges'!F$117:F$128,,0)</f>
        <v>0.36</v>
      </c>
      <c r="Z116" s="90">
        <f>_xlfn.XLOOKUP($V116,'Risk Charges'!$C$117:$C$128,'Risk Charges'!G$117:G$128,,0)</f>
        <v>0.3</v>
      </c>
      <c r="AA116" s="90">
        <f>_xlfn.XLOOKUP($V116,'Risk Charges'!$C$132:$C$143,'Risk Charges'!D$132:D$143,,0)</f>
        <v>0.61899999999999999</v>
      </c>
      <c r="AB116" s="90">
        <f>_xlfn.XLOOKUP($V116,'Risk Charges'!$C$132:$C$143,'Risk Charges'!E$132:E$143,,0)</f>
        <v>0.52500000000000002</v>
      </c>
      <c r="AC116" s="90">
        <f>_xlfn.XLOOKUP($V116,'Risk Charges'!$C$132:$C$143,'Risk Charges'!F$132:F$143,,0)</f>
        <v>0.45</v>
      </c>
      <c r="AD116" s="90">
        <f>_xlfn.XLOOKUP($V116,'Risk Charges'!$C$132:$C$143,'Risk Charges'!G$132:G$143,,0)</f>
        <v>0.375</v>
      </c>
      <c r="AK116" s="95"/>
    </row>
    <row r="117" spans="2:37" hidden="1" outlineLevel="1" x14ac:dyDescent="0.3">
      <c r="B117" s="11"/>
      <c r="D117" s="16" t="str">
        <f t="shared" si="14"/>
        <v>Legal expense</v>
      </c>
      <c r="E117" s="194">
        <f>W117*Input!$F511</f>
        <v>0</v>
      </c>
      <c r="F117" s="194">
        <f>X117*Input!$F511</f>
        <v>0</v>
      </c>
      <c r="G117" s="194">
        <f>Y117*Input!$F511</f>
        <v>0</v>
      </c>
      <c r="H117" s="194">
        <f>Z117*Input!$F511</f>
        <v>0</v>
      </c>
      <c r="K117" s="11"/>
      <c r="M117" s="16" t="str">
        <f t="shared" si="15"/>
        <v>Legal expense</v>
      </c>
      <c r="N117" s="194">
        <f>AA117*Input!$G511</f>
        <v>0</v>
      </c>
      <c r="O117" s="194">
        <f>AB117*Input!$G511</f>
        <v>0</v>
      </c>
      <c r="P117" s="194">
        <f>AC117*Input!$G511</f>
        <v>0</v>
      </c>
      <c r="Q117" s="194">
        <f>AD117*Input!$G511</f>
        <v>0</v>
      </c>
      <c r="S117" s="11"/>
      <c r="T117" s="94" t="s">
        <v>988</v>
      </c>
      <c r="U117" s="89" t="s">
        <v>262</v>
      </c>
      <c r="V117" s="74">
        <v>8</v>
      </c>
      <c r="W117" s="90">
        <f>_xlfn.XLOOKUP($V117,'Risk Charges'!$C$117:$C$128,'Risk Charges'!D$117:D$128,,0)</f>
        <v>0.495</v>
      </c>
      <c r="X117" s="90">
        <f>_xlfn.XLOOKUP($V117,'Risk Charges'!$C$117:$C$128,'Risk Charges'!E$117:E$128,,0)</f>
        <v>0.42</v>
      </c>
      <c r="Y117" s="90">
        <f>_xlfn.XLOOKUP($V117,'Risk Charges'!$C$117:$C$128,'Risk Charges'!F$117:F$128,,0)</f>
        <v>0.36</v>
      </c>
      <c r="Z117" s="90">
        <f>_xlfn.XLOOKUP($V117,'Risk Charges'!$C$117:$C$128,'Risk Charges'!G$117:G$128,,0)</f>
        <v>0.3</v>
      </c>
      <c r="AA117" s="90">
        <f>_xlfn.XLOOKUP($V117,'Risk Charges'!$C$132:$C$143,'Risk Charges'!D$132:D$143,,0)</f>
        <v>0.61899999999999999</v>
      </c>
      <c r="AB117" s="90">
        <f>_xlfn.XLOOKUP($V117,'Risk Charges'!$C$132:$C$143,'Risk Charges'!E$132:E$143,,0)</f>
        <v>0.52500000000000002</v>
      </c>
      <c r="AC117" s="90">
        <f>_xlfn.XLOOKUP($V117,'Risk Charges'!$C$132:$C$143,'Risk Charges'!F$132:F$143,,0)</f>
        <v>0.45</v>
      </c>
      <c r="AD117" s="90">
        <f>_xlfn.XLOOKUP($V117,'Risk Charges'!$C$132:$C$143,'Risk Charges'!G$132:G$143,,0)</f>
        <v>0.375</v>
      </c>
    </row>
    <row r="118" spans="2:37" hidden="1" outlineLevel="1" x14ac:dyDescent="0.3">
      <c r="B118" s="11"/>
      <c r="D118" s="16" t="str">
        <f t="shared" si="14"/>
        <v>Other approved products</v>
      </c>
      <c r="E118" s="194">
        <f>W118*Input!$F512</f>
        <v>0</v>
      </c>
      <c r="F118" s="194">
        <f>X118*Input!$F512</f>
        <v>0</v>
      </c>
      <c r="G118" s="194">
        <f>Y118*Input!$F512</f>
        <v>0</v>
      </c>
      <c r="H118" s="194">
        <f>Z118*Input!$F512</f>
        <v>0</v>
      </c>
      <c r="K118" s="11"/>
      <c r="M118" s="16" t="str">
        <f t="shared" si="15"/>
        <v>Other approved products</v>
      </c>
      <c r="N118" s="194">
        <f>AA118*Input!$G512</f>
        <v>0</v>
      </c>
      <c r="O118" s="194">
        <f>AB118*Input!$G512</f>
        <v>0</v>
      </c>
      <c r="P118" s="194">
        <f>AC118*Input!$G512</f>
        <v>0</v>
      </c>
      <c r="Q118" s="194">
        <f>AD118*Input!$G512</f>
        <v>0</v>
      </c>
      <c r="R118" s="95"/>
      <c r="S118" s="11"/>
      <c r="T118" s="16" t="s">
        <v>1003</v>
      </c>
      <c r="U118" s="89" t="s">
        <v>262</v>
      </c>
      <c r="V118" s="74">
        <v>7</v>
      </c>
      <c r="W118" s="90">
        <f>_xlfn.XLOOKUP($V118,'Risk Charges'!$C$117:$C$128,'Risk Charges'!D$117:D$128,,0)</f>
        <v>0.41299999999999998</v>
      </c>
      <c r="X118" s="90">
        <f>_xlfn.XLOOKUP($V118,'Risk Charges'!$C$117:$C$128,'Risk Charges'!E$117:E$128,,0)</f>
        <v>0.35</v>
      </c>
      <c r="Y118" s="90">
        <f>_xlfn.XLOOKUP($V118,'Risk Charges'!$C$117:$C$128,'Risk Charges'!F$117:F$128,,0)</f>
        <v>0.3</v>
      </c>
      <c r="Z118" s="90">
        <f>_xlfn.XLOOKUP($V118,'Risk Charges'!$C$117:$C$128,'Risk Charges'!G$117:G$128,,0)</f>
        <v>0.25</v>
      </c>
      <c r="AA118" s="90">
        <f>_xlfn.XLOOKUP($V118,'Risk Charges'!$C$132:$C$143,'Risk Charges'!D$132:D$143,,0)</f>
        <v>0.51600000000000001</v>
      </c>
      <c r="AB118" s="90">
        <f>_xlfn.XLOOKUP($V118,'Risk Charges'!$C$132:$C$143,'Risk Charges'!E$132:E$143,,0)</f>
        <v>0.438</v>
      </c>
      <c r="AC118" s="90">
        <f>_xlfn.XLOOKUP($V118,'Risk Charges'!$C$132:$C$143,'Risk Charges'!F$132:F$143,,0)</f>
        <v>0.375</v>
      </c>
      <c r="AD118" s="90">
        <f>_xlfn.XLOOKUP($V118,'Risk Charges'!$C$132:$C$143,'Risk Charges'!G$132:G$143,,0)</f>
        <v>0.313</v>
      </c>
      <c r="AK118" s="95"/>
    </row>
    <row r="119" spans="2:37" hidden="1" outlineLevel="1" x14ac:dyDescent="0.3">
      <c r="B119" s="11"/>
      <c r="D119" s="16" t="str">
        <f t="shared" si="14"/>
        <v>Title</v>
      </c>
      <c r="E119" s="194">
        <f>W119*Input!$F513</f>
        <v>0</v>
      </c>
      <c r="F119" s="194">
        <f>X119*Input!$F513</f>
        <v>0</v>
      </c>
      <c r="G119" s="194">
        <f>Y119*Input!$F513</f>
        <v>0</v>
      </c>
      <c r="H119" s="194">
        <f>Z119*Input!$F513</f>
        <v>0</v>
      </c>
      <c r="K119" s="11"/>
      <c r="M119" s="16" t="str">
        <f t="shared" si="15"/>
        <v>Title</v>
      </c>
      <c r="N119" s="194">
        <f>AA119*Input!$G513</f>
        <v>0</v>
      </c>
      <c r="O119" s="194">
        <f>AB119*Input!$G513</f>
        <v>0</v>
      </c>
      <c r="P119" s="194">
        <f>AC119*Input!$G513</f>
        <v>0</v>
      </c>
      <c r="Q119" s="194">
        <f>AD119*Input!$G513</f>
        <v>0</v>
      </c>
      <c r="R119" s="95"/>
      <c r="S119" s="11"/>
      <c r="T119" s="16" t="s">
        <v>385</v>
      </c>
      <c r="U119" s="89" t="s">
        <v>262</v>
      </c>
      <c r="V119" s="74">
        <v>5</v>
      </c>
      <c r="W119" s="90">
        <f>_xlfn.XLOOKUP($V119,'Risk Charges'!$C$117:$C$128,'Risk Charges'!D$117:D$128,,0)</f>
        <v>0.248</v>
      </c>
      <c r="X119" s="90">
        <f>_xlfn.XLOOKUP($V119,'Risk Charges'!$C$117:$C$128,'Risk Charges'!E$117:E$128,,0)</f>
        <v>0.21</v>
      </c>
      <c r="Y119" s="90">
        <f>_xlfn.XLOOKUP($V119,'Risk Charges'!$C$117:$C$128,'Risk Charges'!F$117:F$128,,0)</f>
        <v>0.18</v>
      </c>
      <c r="Z119" s="90">
        <f>_xlfn.XLOOKUP($V119,'Risk Charges'!$C$117:$C$128,'Risk Charges'!G$117:G$128,,0)</f>
        <v>0.15</v>
      </c>
      <c r="AA119" s="90">
        <f>_xlfn.XLOOKUP($V119,'Risk Charges'!$C$132:$C$143,'Risk Charges'!D$132:D$143,,0)</f>
        <v>0.31</v>
      </c>
      <c r="AB119" s="90">
        <f>_xlfn.XLOOKUP($V119,'Risk Charges'!$C$132:$C$143,'Risk Charges'!E$132:E$143,,0)</f>
        <v>0.26300000000000001</v>
      </c>
      <c r="AC119" s="90">
        <f>_xlfn.XLOOKUP($V119,'Risk Charges'!$C$132:$C$143,'Risk Charges'!F$132:F$143,,0)</f>
        <v>0.22500000000000001</v>
      </c>
      <c r="AD119" s="90">
        <f>_xlfn.XLOOKUP($V119,'Risk Charges'!$C$132:$C$143,'Risk Charges'!G$132:G$143,,0)</f>
        <v>0.188</v>
      </c>
    </row>
    <row r="120" spans="2:37" hidden="1" outlineLevel="1" x14ac:dyDescent="0.3">
      <c r="B120" s="11"/>
      <c r="D120" s="16" t="str">
        <f t="shared" si="14"/>
        <v>Warranty</v>
      </c>
      <c r="E120" s="194">
        <f>W120*Input!$F514</f>
        <v>0</v>
      </c>
      <c r="F120" s="194">
        <f>X120*Input!$F514</f>
        <v>0</v>
      </c>
      <c r="G120" s="194">
        <f>Y120*Input!$F514</f>
        <v>0</v>
      </c>
      <c r="H120" s="194">
        <f>Z120*Input!$F514</f>
        <v>0</v>
      </c>
      <c r="K120" s="11"/>
      <c r="M120" s="16" t="str">
        <f t="shared" si="15"/>
        <v>Warranty</v>
      </c>
      <c r="N120" s="194">
        <f>AA120*Input!$G514</f>
        <v>0</v>
      </c>
      <c r="O120" s="194">
        <f>AB120*Input!$G514</f>
        <v>0</v>
      </c>
      <c r="P120" s="194">
        <f>AC120*Input!$G514</f>
        <v>0</v>
      </c>
      <c r="Q120" s="194">
        <f>AD120*Input!$G514</f>
        <v>0</v>
      </c>
      <c r="R120" s="95"/>
      <c r="S120" s="61"/>
      <c r="T120" s="16" t="s">
        <v>380</v>
      </c>
      <c r="U120" s="89" t="s">
        <v>262</v>
      </c>
      <c r="V120" s="74">
        <v>6</v>
      </c>
      <c r="W120" s="90">
        <f>_xlfn.XLOOKUP($V120,'Risk Charges'!$C$117:$C$128,'Risk Charges'!D$117:D$128,,0)</f>
        <v>0.33</v>
      </c>
      <c r="X120" s="90">
        <f>_xlfn.XLOOKUP($V120,'Risk Charges'!$C$117:$C$128,'Risk Charges'!E$117:E$128,,0)</f>
        <v>0.28000000000000003</v>
      </c>
      <c r="Y120" s="90">
        <f>_xlfn.XLOOKUP($V120,'Risk Charges'!$C$117:$C$128,'Risk Charges'!F$117:F$128,,0)</f>
        <v>0.24</v>
      </c>
      <c r="Z120" s="90">
        <f>_xlfn.XLOOKUP($V120,'Risk Charges'!$C$117:$C$128,'Risk Charges'!G$117:G$128,,0)</f>
        <v>0.2</v>
      </c>
      <c r="AA120" s="90">
        <f>_xlfn.XLOOKUP($V120,'Risk Charges'!$C$132:$C$143,'Risk Charges'!D$132:D$143,,0)</f>
        <v>0.41299999999999998</v>
      </c>
      <c r="AB120" s="90">
        <f>_xlfn.XLOOKUP($V120,'Risk Charges'!$C$132:$C$143,'Risk Charges'!E$132:E$143,,0)</f>
        <v>0.35</v>
      </c>
      <c r="AC120" s="90">
        <f>_xlfn.XLOOKUP($V120,'Risk Charges'!$C$132:$C$143,'Risk Charges'!F$132:F$143,,0)</f>
        <v>0.3</v>
      </c>
      <c r="AD120" s="90">
        <f>_xlfn.XLOOKUP($V120,'Risk Charges'!$C$132:$C$143,'Risk Charges'!G$132:G$143,,0)</f>
        <v>0.25</v>
      </c>
    </row>
    <row r="121" spans="2:37" hidden="1" outlineLevel="1" x14ac:dyDescent="0.3">
      <c r="B121" s="11"/>
      <c r="D121" s="16" t="str">
        <f t="shared" si="14"/>
        <v>Other</v>
      </c>
      <c r="E121" s="194">
        <f>W121*Input!$F515</f>
        <v>0</v>
      </c>
      <c r="F121" s="194">
        <f>X121*Input!$F515</f>
        <v>0</v>
      </c>
      <c r="G121" s="194">
        <f>Y121*Input!$F515</f>
        <v>0</v>
      </c>
      <c r="H121" s="194">
        <f>Z121*Input!$F515</f>
        <v>0</v>
      </c>
      <c r="K121" s="11"/>
      <c r="M121" s="16" t="str">
        <f t="shared" si="15"/>
        <v>Other</v>
      </c>
      <c r="N121" s="194">
        <f>AA121*Input!$G515</f>
        <v>0</v>
      </c>
      <c r="O121" s="194">
        <f>AB121*Input!$G515</f>
        <v>0</v>
      </c>
      <c r="P121" s="194">
        <f>AC121*Input!$G515</f>
        <v>0</v>
      </c>
      <c r="Q121" s="194">
        <f>AD121*Input!$G515</f>
        <v>0</v>
      </c>
      <c r="R121" s="95"/>
      <c r="S121" s="61"/>
      <c r="T121" s="16" t="s">
        <v>262</v>
      </c>
      <c r="U121" s="89" t="s">
        <v>262</v>
      </c>
      <c r="V121" s="74">
        <v>12</v>
      </c>
      <c r="W121" s="90">
        <f>_xlfn.XLOOKUP($V121,'Risk Charges'!$C$117:$C$128,'Risk Charges'!D$117:D$128,,0)</f>
        <v>0.99</v>
      </c>
      <c r="X121" s="90">
        <f>_xlfn.XLOOKUP($V121,'Risk Charges'!$C$117:$C$128,'Risk Charges'!E$117:E$128,,0)</f>
        <v>0.84</v>
      </c>
      <c r="Y121" s="90">
        <f>_xlfn.XLOOKUP($V121,'Risk Charges'!$C$117:$C$128,'Risk Charges'!F$117:F$128,,0)</f>
        <v>0.72</v>
      </c>
      <c r="Z121" s="90">
        <f>_xlfn.XLOOKUP($V121,'Risk Charges'!$C$117:$C$128,'Risk Charges'!G$117:G$128,,0)</f>
        <v>0.6</v>
      </c>
      <c r="AA121" s="90">
        <f>_xlfn.XLOOKUP($V121,'Risk Charges'!$C$132:$C$143,'Risk Charges'!D$132:D$143,,0)</f>
        <v>1.238</v>
      </c>
      <c r="AB121" s="90">
        <f>_xlfn.XLOOKUP($V121,'Risk Charges'!$C$132:$C$143,'Risk Charges'!E$132:E$143,,0)</f>
        <v>1.05</v>
      </c>
      <c r="AC121" s="90">
        <f>_xlfn.XLOOKUP($V121,'Risk Charges'!$C$132:$C$143,'Risk Charges'!F$132:F$143,,0)</f>
        <v>0.9</v>
      </c>
      <c r="AD121" s="90">
        <f>_xlfn.XLOOKUP($V121,'Risk Charges'!$C$132:$C$143,'Risk Charges'!G$132:G$143,,0)</f>
        <v>0.75</v>
      </c>
    </row>
    <row r="122" spans="2:37" hidden="1" outlineLevel="1" x14ac:dyDescent="0.3">
      <c r="B122" s="88" t="s">
        <v>388</v>
      </c>
      <c r="E122" s="194"/>
      <c r="F122" s="194"/>
      <c r="G122" s="194"/>
      <c r="H122" s="194"/>
      <c r="K122" s="88" t="s">
        <v>388</v>
      </c>
      <c r="N122" s="194"/>
      <c r="O122" s="194"/>
      <c r="P122" s="194"/>
      <c r="Q122" s="194"/>
      <c r="S122" s="88" t="s">
        <v>387</v>
      </c>
      <c r="U122" s="89"/>
      <c r="V122" s="74"/>
      <c r="W122" s="90"/>
      <c r="X122" s="90"/>
      <c r="Y122" s="90"/>
      <c r="Z122" s="90"/>
      <c r="AA122" s="90"/>
      <c r="AB122" s="90"/>
      <c r="AC122" s="90"/>
      <c r="AD122" s="90"/>
      <c r="AK122" s="16"/>
    </row>
    <row r="123" spans="2:37" hidden="1" outlineLevel="1" x14ac:dyDescent="0.3">
      <c r="D123" s="16" t="str">
        <f t="shared" ref="D123:D143" si="16">T123</f>
        <v>Employers liability</v>
      </c>
      <c r="E123" s="194">
        <f>W123*Input!$F517</f>
        <v>0</v>
      </c>
      <c r="F123" s="194">
        <f>X123*Input!$F517</f>
        <v>0</v>
      </c>
      <c r="G123" s="194">
        <f>Y123*Input!$F517</f>
        <v>0</v>
      </c>
      <c r="H123" s="194">
        <f>Z123*Input!$F517</f>
        <v>0</v>
      </c>
      <c r="M123" s="16" t="str">
        <f t="shared" ref="M123:M143" si="17">T123</f>
        <v>Employers liability</v>
      </c>
      <c r="N123" s="194">
        <f>AA123*Input!$G517</f>
        <v>0</v>
      </c>
      <c r="O123" s="194">
        <f>AB123*Input!$G517</f>
        <v>0</v>
      </c>
      <c r="P123" s="194">
        <f>AC123*Input!$G517</f>
        <v>0</v>
      </c>
      <c r="Q123" s="194">
        <f>AD123*Input!$G517</f>
        <v>0</v>
      </c>
      <c r="S123" s="61"/>
      <c r="T123" s="16" t="s">
        <v>1004</v>
      </c>
      <c r="U123" s="89" t="s">
        <v>260</v>
      </c>
      <c r="V123" s="74">
        <v>5</v>
      </c>
      <c r="W123" s="90">
        <f>_xlfn.XLOOKUP($V123,'Risk Charges'!$C$117:$C$128,'Risk Charges'!D$117:D$128,,0)</f>
        <v>0.248</v>
      </c>
      <c r="X123" s="90">
        <f>_xlfn.XLOOKUP($V123,'Risk Charges'!$C$117:$C$128,'Risk Charges'!E$117:E$128,,0)</f>
        <v>0.21</v>
      </c>
      <c r="Y123" s="90">
        <f>_xlfn.XLOOKUP($V123,'Risk Charges'!$C$117:$C$128,'Risk Charges'!F$117:F$128,,0)</f>
        <v>0.18</v>
      </c>
      <c r="Z123" s="90">
        <f>_xlfn.XLOOKUP($V123,'Risk Charges'!$C$117:$C$128,'Risk Charges'!G$117:G$128,,0)</f>
        <v>0.15</v>
      </c>
      <c r="AA123" s="90">
        <f>_xlfn.XLOOKUP($V123,'Risk Charges'!$C$132:$C$143,'Risk Charges'!D$132:D$143,,0)</f>
        <v>0.31</v>
      </c>
      <c r="AB123" s="90">
        <f>_xlfn.XLOOKUP($V123,'Risk Charges'!$C$132:$C$143,'Risk Charges'!E$132:E$143,,0)</f>
        <v>0.26300000000000001</v>
      </c>
      <c r="AC123" s="90">
        <f>_xlfn.XLOOKUP($V123,'Risk Charges'!$C$132:$C$143,'Risk Charges'!F$132:F$143,,0)</f>
        <v>0.22500000000000001</v>
      </c>
      <c r="AD123" s="90">
        <f>_xlfn.XLOOKUP($V123,'Risk Charges'!$C$132:$C$143,'Risk Charges'!G$132:G$143,,0)</f>
        <v>0.188</v>
      </c>
    </row>
    <row r="124" spans="2:37" hidden="1" outlineLevel="1" x14ac:dyDescent="0.3">
      <c r="B124" s="11"/>
      <c r="D124" s="16" t="str">
        <f t="shared" si="16"/>
        <v>General liability</v>
      </c>
      <c r="E124" s="194">
        <f>W124*Input!$F518</f>
        <v>0</v>
      </c>
      <c r="F124" s="194">
        <f>X124*Input!$F518</f>
        <v>0</v>
      </c>
      <c r="G124" s="194">
        <f>Y124*Input!$F518</f>
        <v>0</v>
      </c>
      <c r="H124" s="194">
        <f>Z124*Input!$F518</f>
        <v>0</v>
      </c>
      <c r="K124" s="11"/>
      <c r="M124" s="16" t="str">
        <f t="shared" si="17"/>
        <v>General liability</v>
      </c>
      <c r="N124" s="194">
        <f>AA124*Input!$G518</f>
        <v>0</v>
      </c>
      <c r="O124" s="194">
        <f>AB124*Input!$G518</f>
        <v>0</v>
      </c>
      <c r="P124" s="194">
        <f>AC124*Input!$G518</f>
        <v>0</v>
      </c>
      <c r="Q124" s="194">
        <f>AD124*Input!$G518</f>
        <v>0</v>
      </c>
      <c r="S124" s="61"/>
      <c r="T124" s="94" t="s">
        <v>978</v>
      </c>
      <c r="U124" s="89" t="s">
        <v>260</v>
      </c>
      <c r="V124" s="74">
        <v>6</v>
      </c>
      <c r="W124" s="90">
        <f>_xlfn.XLOOKUP($V124,'Risk Charges'!$C$117:$C$128,'Risk Charges'!D$117:D$128,,0)</f>
        <v>0.33</v>
      </c>
      <c r="X124" s="90">
        <f>_xlfn.XLOOKUP($V124,'Risk Charges'!$C$117:$C$128,'Risk Charges'!E$117:E$128,,0)</f>
        <v>0.28000000000000003</v>
      </c>
      <c r="Y124" s="90">
        <f>_xlfn.XLOOKUP($V124,'Risk Charges'!$C$117:$C$128,'Risk Charges'!F$117:F$128,,0)</f>
        <v>0.24</v>
      </c>
      <c r="Z124" s="90">
        <f>_xlfn.XLOOKUP($V124,'Risk Charges'!$C$117:$C$128,'Risk Charges'!G$117:G$128,,0)</f>
        <v>0.2</v>
      </c>
      <c r="AA124" s="90">
        <f>_xlfn.XLOOKUP($V124,'Risk Charges'!$C$132:$C$143,'Risk Charges'!D$132:D$143,,0)</f>
        <v>0.41299999999999998</v>
      </c>
      <c r="AB124" s="90">
        <f>_xlfn.XLOOKUP($V124,'Risk Charges'!$C$132:$C$143,'Risk Charges'!E$132:E$143,,0)</f>
        <v>0.35</v>
      </c>
      <c r="AC124" s="90">
        <f>_xlfn.XLOOKUP($V124,'Risk Charges'!$C$132:$C$143,'Risk Charges'!F$132:F$143,,0)</f>
        <v>0.3</v>
      </c>
      <c r="AD124" s="90">
        <f>_xlfn.XLOOKUP($V124,'Risk Charges'!$C$132:$C$143,'Risk Charges'!G$132:G$143,,0)</f>
        <v>0.25</v>
      </c>
    </row>
    <row r="125" spans="2:37" hidden="1" outlineLevel="1" x14ac:dyDescent="0.3">
      <c r="D125" s="16" t="str">
        <f t="shared" si="16"/>
        <v>Professional indemnity</v>
      </c>
      <c r="E125" s="194">
        <f>W125*Input!$F519</f>
        <v>0</v>
      </c>
      <c r="F125" s="194">
        <f>X125*Input!$F519</f>
        <v>0</v>
      </c>
      <c r="G125" s="194">
        <f>Y125*Input!$F519</f>
        <v>0</v>
      </c>
      <c r="H125" s="194">
        <f>Z125*Input!$F519</f>
        <v>0</v>
      </c>
      <c r="M125" s="16" t="str">
        <f t="shared" si="17"/>
        <v>Professional indemnity</v>
      </c>
      <c r="N125" s="194">
        <f>AA125*Input!$G519</f>
        <v>0</v>
      </c>
      <c r="O125" s="194">
        <f>AB125*Input!$G519</f>
        <v>0</v>
      </c>
      <c r="P125" s="194">
        <f>AC125*Input!$G519</f>
        <v>0</v>
      </c>
      <c r="Q125" s="194">
        <f>AD125*Input!$G519</f>
        <v>0</v>
      </c>
      <c r="S125" s="31"/>
      <c r="T125" s="16" t="s">
        <v>1005</v>
      </c>
      <c r="U125" s="89" t="s">
        <v>260</v>
      </c>
      <c r="V125" s="74">
        <v>6</v>
      </c>
      <c r="W125" s="90">
        <f>_xlfn.XLOOKUP($V125,'Risk Charges'!$C$117:$C$128,'Risk Charges'!D$117:D$128,,0)</f>
        <v>0.33</v>
      </c>
      <c r="X125" s="90">
        <f>_xlfn.XLOOKUP($V125,'Risk Charges'!$C$117:$C$128,'Risk Charges'!E$117:E$128,,0)</f>
        <v>0.28000000000000003</v>
      </c>
      <c r="Y125" s="90">
        <f>_xlfn.XLOOKUP($V125,'Risk Charges'!$C$117:$C$128,'Risk Charges'!F$117:F$128,,0)</f>
        <v>0.24</v>
      </c>
      <c r="Z125" s="90">
        <f>_xlfn.XLOOKUP($V125,'Risk Charges'!$C$117:$C$128,'Risk Charges'!G$117:G$128,,0)</f>
        <v>0.2</v>
      </c>
      <c r="AA125" s="90">
        <f>_xlfn.XLOOKUP($V125,'Risk Charges'!$C$132:$C$143,'Risk Charges'!D$132:D$143,,0)</f>
        <v>0.41299999999999998</v>
      </c>
      <c r="AB125" s="90">
        <f>_xlfn.XLOOKUP($V125,'Risk Charges'!$C$132:$C$143,'Risk Charges'!E$132:E$143,,0)</f>
        <v>0.35</v>
      </c>
      <c r="AC125" s="90">
        <f>_xlfn.XLOOKUP($V125,'Risk Charges'!$C$132:$C$143,'Risk Charges'!F$132:F$143,,0)</f>
        <v>0.3</v>
      </c>
      <c r="AD125" s="90">
        <f>_xlfn.XLOOKUP($V125,'Risk Charges'!$C$132:$C$143,'Risk Charges'!G$132:G$143,,0)</f>
        <v>0.25</v>
      </c>
    </row>
    <row r="126" spans="2:37" hidden="1" outlineLevel="1" x14ac:dyDescent="0.3">
      <c r="B126" s="11"/>
      <c r="D126" s="16" t="str">
        <f t="shared" si="16"/>
        <v>Public and product liability</v>
      </c>
      <c r="E126" s="194">
        <f>W126*Input!$F520</f>
        <v>0</v>
      </c>
      <c r="F126" s="194">
        <f>X126*Input!$F520</f>
        <v>0</v>
      </c>
      <c r="G126" s="194">
        <f>Y126*Input!$F520</f>
        <v>0</v>
      </c>
      <c r="H126" s="194">
        <f>Z126*Input!$F520</f>
        <v>0</v>
      </c>
      <c r="K126" s="11"/>
      <c r="M126" s="16" t="str">
        <f t="shared" si="17"/>
        <v>Public and product liability</v>
      </c>
      <c r="N126" s="194">
        <f>AA126*Input!$G520</f>
        <v>0</v>
      </c>
      <c r="O126" s="194">
        <f>AB126*Input!$G520</f>
        <v>0</v>
      </c>
      <c r="P126" s="194">
        <f>AC126*Input!$G520</f>
        <v>0</v>
      </c>
      <c r="Q126" s="194">
        <f>AD126*Input!$G520</f>
        <v>0</v>
      </c>
      <c r="S126" s="11"/>
      <c r="T126" s="16" t="s">
        <v>407</v>
      </c>
      <c r="U126" s="89" t="s">
        <v>260</v>
      </c>
      <c r="V126" s="74">
        <v>7</v>
      </c>
      <c r="W126" s="90">
        <f>_xlfn.XLOOKUP($V126,'Risk Charges'!$C$117:$C$128,'Risk Charges'!D$117:D$128,,0)</f>
        <v>0.41299999999999998</v>
      </c>
      <c r="X126" s="90">
        <f>_xlfn.XLOOKUP($V126,'Risk Charges'!$C$117:$C$128,'Risk Charges'!E$117:E$128,,0)</f>
        <v>0.35</v>
      </c>
      <c r="Y126" s="90">
        <f>_xlfn.XLOOKUP($V126,'Risk Charges'!$C$117:$C$128,'Risk Charges'!F$117:F$128,,0)</f>
        <v>0.3</v>
      </c>
      <c r="Z126" s="90">
        <f>_xlfn.XLOOKUP($V126,'Risk Charges'!$C$117:$C$128,'Risk Charges'!G$117:G$128,,0)</f>
        <v>0.25</v>
      </c>
      <c r="AA126" s="90">
        <f>_xlfn.XLOOKUP($V126,'Risk Charges'!$C$132:$C$143,'Risk Charges'!D$132:D$143,,0)</f>
        <v>0.51600000000000001</v>
      </c>
      <c r="AB126" s="90">
        <f>_xlfn.XLOOKUP($V126,'Risk Charges'!$C$132:$C$143,'Risk Charges'!E$132:E$143,,0)</f>
        <v>0.438</v>
      </c>
      <c r="AC126" s="90">
        <f>_xlfn.XLOOKUP($V126,'Risk Charges'!$C$132:$C$143,'Risk Charges'!F$132:F$143,,0)</f>
        <v>0.375</v>
      </c>
      <c r="AD126" s="90">
        <f>_xlfn.XLOOKUP($V126,'Risk Charges'!$C$132:$C$143,'Risk Charges'!G$132:G$143,,0)</f>
        <v>0.313</v>
      </c>
    </row>
    <row r="127" spans="2:37" hidden="1" outlineLevel="1" x14ac:dyDescent="0.3">
      <c r="B127" s="11"/>
      <c r="D127" s="16" t="str">
        <f t="shared" si="16"/>
        <v>Commercial property</v>
      </c>
      <c r="E127" s="194">
        <f>W127*Input!$F521</f>
        <v>0</v>
      </c>
      <c r="F127" s="194">
        <f>X127*Input!$F521</f>
        <v>0</v>
      </c>
      <c r="G127" s="194">
        <f>Y127*Input!$F521</f>
        <v>0</v>
      </c>
      <c r="H127" s="194">
        <f>Z127*Input!$F521</f>
        <v>0</v>
      </c>
      <c r="K127" s="11"/>
      <c r="M127" s="16" t="str">
        <f t="shared" si="17"/>
        <v>Commercial property</v>
      </c>
      <c r="N127" s="194">
        <f>AA127*Input!$G521</f>
        <v>0</v>
      </c>
      <c r="O127" s="194">
        <f>AB127*Input!$G521</f>
        <v>0</v>
      </c>
      <c r="P127" s="194">
        <f>AC127*Input!$G521</f>
        <v>0</v>
      </c>
      <c r="Q127" s="194">
        <f>AD127*Input!$G521</f>
        <v>0</v>
      </c>
      <c r="S127" s="11"/>
      <c r="T127" s="16" t="s">
        <v>997</v>
      </c>
      <c r="U127" s="89" t="s">
        <v>258</v>
      </c>
      <c r="V127" s="74">
        <v>6</v>
      </c>
      <c r="W127" s="90">
        <f>_xlfn.XLOOKUP($V127,'Risk Charges'!$C$117:$C$128,'Risk Charges'!D$117:D$128,,0)</f>
        <v>0.33</v>
      </c>
      <c r="X127" s="90">
        <f>_xlfn.XLOOKUP($V127,'Risk Charges'!$C$117:$C$128,'Risk Charges'!E$117:E$128,,0)</f>
        <v>0.28000000000000003</v>
      </c>
      <c r="Y127" s="90">
        <f>_xlfn.XLOOKUP($V127,'Risk Charges'!$C$117:$C$128,'Risk Charges'!F$117:F$128,,0)</f>
        <v>0.24</v>
      </c>
      <c r="Z127" s="90">
        <f>_xlfn.XLOOKUP($V127,'Risk Charges'!$C$117:$C$128,'Risk Charges'!G$117:G$128,,0)</f>
        <v>0.2</v>
      </c>
      <c r="AA127" s="90">
        <f>_xlfn.XLOOKUP($V127,'Risk Charges'!$C$132:$C$143,'Risk Charges'!D$132:D$143,,0)</f>
        <v>0.41299999999999998</v>
      </c>
      <c r="AB127" s="90">
        <f>_xlfn.XLOOKUP($V127,'Risk Charges'!$C$132:$C$143,'Risk Charges'!E$132:E$143,,0)</f>
        <v>0.35</v>
      </c>
      <c r="AC127" s="90">
        <f>_xlfn.XLOOKUP($V127,'Risk Charges'!$C$132:$C$143,'Risk Charges'!F$132:F$143,,0)</f>
        <v>0.3</v>
      </c>
      <c r="AD127" s="90">
        <f>_xlfn.XLOOKUP($V127,'Risk Charges'!$C$132:$C$143,'Risk Charges'!G$132:G$143,,0)</f>
        <v>0.25</v>
      </c>
    </row>
    <row r="128" spans="2:37" hidden="1" outlineLevel="1" x14ac:dyDescent="0.3">
      <c r="B128" s="11"/>
      <c r="D128" s="16" t="str">
        <f t="shared" si="16"/>
        <v>Domestic property</v>
      </c>
      <c r="E128" s="194">
        <f>W128*Input!$F522</f>
        <v>0</v>
      </c>
      <c r="F128" s="194">
        <f>X128*Input!$F522</f>
        <v>0</v>
      </c>
      <c r="G128" s="194">
        <f>Y128*Input!$F522</f>
        <v>0</v>
      </c>
      <c r="H128" s="194">
        <f>Z128*Input!$F522</f>
        <v>0</v>
      </c>
      <c r="K128" s="11"/>
      <c r="M128" s="16" t="str">
        <f t="shared" si="17"/>
        <v>Domestic property</v>
      </c>
      <c r="N128" s="194">
        <f>AA128*Input!$G522</f>
        <v>0</v>
      </c>
      <c r="O128" s="194">
        <f>AB128*Input!$G522</f>
        <v>0</v>
      </c>
      <c r="P128" s="194">
        <f>AC128*Input!$G522</f>
        <v>0</v>
      </c>
      <c r="Q128" s="194">
        <f>AD128*Input!$G522</f>
        <v>0</v>
      </c>
      <c r="S128" s="11"/>
      <c r="T128" s="16" t="s">
        <v>1006</v>
      </c>
      <c r="U128" s="89" t="s">
        <v>258</v>
      </c>
      <c r="V128" s="74">
        <v>6</v>
      </c>
      <c r="W128" s="90">
        <f>_xlfn.XLOOKUP($V128,'Risk Charges'!$C$117:$C$128,'Risk Charges'!D$117:D$128,,0)</f>
        <v>0.33</v>
      </c>
      <c r="X128" s="90">
        <f>_xlfn.XLOOKUP($V128,'Risk Charges'!$C$117:$C$128,'Risk Charges'!E$117:E$128,,0)</f>
        <v>0.28000000000000003</v>
      </c>
      <c r="Y128" s="90">
        <f>_xlfn.XLOOKUP($V128,'Risk Charges'!$C$117:$C$128,'Risk Charges'!F$117:F$128,,0)</f>
        <v>0.24</v>
      </c>
      <c r="Z128" s="90">
        <f>_xlfn.XLOOKUP($V128,'Risk Charges'!$C$117:$C$128,'Risk Charges'!G$117:G$128,,0)</f>
        <v>0.2</v>
      </c>
      <c r="AA128" s="90">
        <f>_xlfn.XLOOKUP($V128,'Risk Charges'!$C$132:$C$143,'Risk Charges'!D$132:D$143,,0)</f>
        <v>0.41299999999999998</v>
      </c>
      <c r="AB128" s="90">
        <f>_xlfn.XLOOKUP($V128,'Risk Charges'!$C$132:$C$143,'Risk Charges'!E$132:E$143,,0)</f>
        <v>0.35</v>
      </c>
      <c r="AC128" s="90">
        <f>_xlfn.XLOOKUP($V128,'Risk Charges'!$C$132:$C$143,'Risk Charges'!F$132:F$143,,0)</f>
        <v>0.3</v>
      </c>
      <c r="AD128" s="90">
        <f>_xlfn.XLOOKUP($V128,'Risk Charges'!$C$132:$C$143,'Risk Charges'!G$132:G$143,,0)</f>
        <v>0.25</v>
      </c>
    </row>
    <row r="129" spans="2:65" hidden="1" outlineLevel="1" x14ac:dyDescent="0.3">
      <c r="B129" s="11"/>
      <c r="D129" s="16" t="str">
        <f>T129</f>
        <v>Engineering</v>
      </c>
      <c r="E129" s="194">
        <f>W129*Input!$F523</f>
        <v>0</v>
      </c>
      <c r="F129" s="194">
        <f>X129*Input!$F523</f>
        <v>0</v>
      </c>
      <c r="G129" s="194">
        <f>Y129*Input!$F523</f>
        <v>0</v>
      </c>
      <c r="H129" s="194">
        <f>Z129*Input!$F523</f>
        <v>0</v>
      </c>
      <c r="K129" s="11"/>
      <c r="M129" s="16" t="str">
        <f>T129</f>
        <v>Engineering</v>
      </c>
      <c r="N129" s="194">
        <f>AA129*Input!$G523</f>
        <v>0</v>
      </c>
      <c r="O129" s="194">
        <f>AB129*Input!$G523</f>
        <v>0</v>
      </c>
      <c r="P129" s="194">
        <f>AC129*Input!$G523</f>
        <v>0</v>
      </c>
      <c r="Q129" s="194">
        <f>AD129*Input!$G523</f>
        <v>0</v>
      </c>
      <c r="S129" s="11"/>
      <c r="T129" s="98" t="s">
        <v>386</v>
      </c>
      <c r="U129" s="89" t="s">
        <v>258</v>
      </c>
      <c r="V129" s="74">
        <v>8</v>
      </c>
      <c r="W129" s="90">
        <f>_xlfn.XLOOKUP($V129,'Risk Charges'!$C$117:$C$128,'Risk Charges'!D$117:D$128,,0)</f>
        <v>0.495</v>
      </c>
      <c r="X129" s="90">
        <f>_xlfn.XLOOKUP($V129,'Risk Charges'!$C$117:$C$128,'Risk Charges'!E$117:E$128,,0)</f>
        <v>0.42</v>
      </c>
      <c r="Y129" s="90">
        <f>_xlfn.XLOOKUP($V129,'Risk Charges'!$C$117:$C$128,'Risk Charges'!F$117:F$128,,0)</f>
        <v>0.36</v>
      </c>
      <c r="Z129" s="90">
        <f>_xlfn.XLOOKUP($V129,'Risk Charges'!$C$117:$C$128,'Risk Charges'!G$117:G$128,,0)</f>
        <v>0.3</v>
      </c>
      <c r="AA129" s="90">
        <f>_xlfn.XLOOKUP($V129,'Risk Charges'!$C$132:$C$143,'Risk Charges'!D$132:D$143,,0)</f>
        <v>0.61899999999999999</v>
      </c>
      <c r="AB129" s="90">
        <f>_xlfn.XLOOKUP($V129,'Risk Charges'!$C$132:$C$143,'Risk Charges'!E$132:E$143,,0)</f>
        <v>0.52500000000000002</v>
      </c>
      <c r="AC129" s="90">
        <f>_xlfn.XLOOKUP($V129,'Risk Charges'!$C$132:$C$143,'Risk Charges'!F$132:F$143,,0)</f>
        <v>0.45</v>
      </c>
      <c r="AD129" s="90">
        <f>_xlfn.XLOOKUP($V129,'Risk Charges'!$C$132:$C$143,'Risk Charges'!G$132:G$143,,0)</f>
        <v>0.375</v>
      </c>
    </row>
    <row r="130" spans="2:65" hidden="1" outlineLevel="1" x14ac:dyDescent="0.3">
      <c r="B130" s="11"/>
      <c r="D130" s="16" t="str">
        <f t="shared" si="16"/>
        <v>Commercial motor - Australia and New Zealand</v>
      </c>
      <c r="E130" s="194">
        <f>W130*Input!$F524</f>
        <v>0</v>
      </c>
      <c r="F130" s="194">
        <f>X130*Input!$F524</f>
        <v>0</v>
      </c>
      <c r="G130" s="194">
        <f>Y130*Input!$F524</f>
        <v>0</v>
      </c>
      <c r="H130" s="194">
        <f>Z130*Input!$F524</f>
        <v>0</v>
      </c>
      <c r="K130" s="11"/>
      <c r="M130" s="16" t="str">
        <f t="shared" si="17"/>
        <v>Commercial motor - Australia and New Zealand</v>
      </c>
      <c r="N130" s="194">
        <f>AA130*Input!$G524</f>
        <v>0</v>
      </c>
      <c r="O130" s="194">
        <f>AB130*Input!$G524</f>
        <v>0</v>
      </c>
      <c r="P130" s="194">
        <f>AC130*Input!$G524</f>
        <v>0</v>
      </c>
      <c r="Q130" s="194">
        <f>AD130*Input!$G524</f>
        <v>0</v>
      </c>
      <c r="S130" s="11"/>
      <c r="T130" s="98" t="s">
        <v>1027</v>
      </c>
      <c r="U130" s="89" t="s">
        <v>259</v>
      </c>
      <c r="V130" s="74">
        <v>4</v>
      </c>
      <c r="W130" s="90">
        <f>_xlfn.XLOOKUP($V130,'Risk Charges'!$C$117:$C$128,'Risk Charges'!D$117:D$128,,0)</f>
        <v>0.16500000000000001</v>
      </c>
      <c r="X130" s="90">
        <f>_xlfn.XLOOKUP($V130,'Risk Charges'!$C$117:$C$128,'Risk Charges'!E$117:E$128,,0)</f>
        <v>0.14000000000000001</v>
      </c>
      <c r="Y130" s="90">
        <f>_xlfn.XLOOKUP($V130,'Risk Charges'!$C$117:$C$128,'Risk Charges'!F$117:F$128,,0)</f>
        <v>0.12</v>
      </c>
      <c r="Z130" s="90">
        <f>_xlfn.XLOOKUP($V130,'Risk Charges'!$C$117:$C$128,'Risk Charges'!G$117:G$128,,0)</f>
        <v>0.1</v>
      </c>
      <c r="AA130" s="90">
        <f>_xlfn.XLOOKUP($V130,'Risk Charges'!$C$132:$C$143,'Risk Charges'!D$132:D$143,,0)</f>
        <v>0.20599999999999999</v>
      </c>
      <c r="AB130" s="90">
        <f>_xlfn.XLOOKUP($V130,'Risk Charges'!$C$132:$C$143,'Risk Charges'!E$132:E$143,,0)</f>
        <v>0.17499999999999999</v>
      </c>
      <c r="AC130" s="90">
        <f>_xlfn.XLOOKUP($V130,'Risk Charges'!$C$132:$C$143,'Risk Charges'!F$132:F$143,,0)</f>
        <v>0.15</v>
      </c>
      <c r="AD130" s="90">
        <f>_xlfn.XLOOKUP($V130,'Risk Charges'!$C$132:$C$143,'Risk Charges'!G$132:G$143,,0)</f>
        <v>0.125</v>
      </c>
    </row>
    <row r="131" spans="2:65" hidden="1" outlineLevel="1" x14ac:dyDescent="0.3">
      <c r="B131" s="11"/>
      <c r="D131" s="16" t="str">
        <f t="shared" si="16"/>
        <v>Domestic motor - Australia and New Zealand</v>
      </c>
      <c r="E131" s="194">
        <f>W131*Input!$F525</f>
        <v>0</v>
      </c>
      <c r="F131" s="194">
        <f>X131*Input!$F525</f>
        <v>0</v>
      </c>
      <c r="G131" s="194">
        <f>Y131*Input!$F525</f>
        <v>0</v>
      </c>
      <c r="H131" s="194">
        <f>Z131*Input!$F525</f>
        <v>0</v>
      </c>
      <c r="K131" s="11"/>
      <c r="M131" s="16" t="str">
        <f t="shared" si="17"/>
        <v>Domestic motor - Australia and New Zealand</v>
      </c>
      <c r="N131" s="194">
        <f>AA131*Input!$G525</f>
        <v>0</v>
      </c>
      <c r="O131" s="194">
        <f>AB131*Input!$G525</f>
        <v>0</v>
      </c>
      <c r="P131" s="194">
        <f>AC131*Input!$G525</f>
        <v>0</v>
      </c>
      <c r="Q131" s="194">
        <f>AD131*Input!$G525</f>
        <v>0</v>
      </c>
      <c r="S131" s="11"/>
      <c r="T131" s="16" t="s">
        <v>1028</v>
      </c>
      <c r="U131" s="89" t="s">
        <v>259</v>
      </c>
      <c r="V131" s="74">
        <v>3</v>
      </c>
      <c r="W131" s="90">
        <f>_xlfn.XLOOKUP($V131,'Risk Charges'!$C$117:$C$128,'Risk Charges'!D$117:D$128,,0)</f>
        <v>0.124</v>
      </c>
      <c r="X131" s="90">
        <f>_xlfn.XLOOKUP($V131,'Risk Charges'!$C$117:$C$128,'Risk Charges'!E$117:E$128,,0)</f>
        <v>0.105</v>
      </c>
      <c r="Y131" s="90">
        <f>_xlfn.XLOOKUP($V131,'Risk Charges'!$C$117:$C$128,'Risk Charges'!F$117:F$128,,0)</f>
        <v>0.09</v>
      </c>
      <c r="Z131" s="90">
        <f>_xlfn.XLOOKUP($V131,'Risk Charges'!$C$117:$C$128,'Risk Charges'!G$117:G$128,,0)</f>
        <v>7.4999999999999997E-2</v>
      </c>
      <c r="AA131" s="90">
        <f>_xlfn.XLOOKUP($V131,'Risk Charges'!$C$132:$C$143,'Risk Charges'!D$132:D$143,,0)</f>
        <v>0.155</v>
      </c>
      <c r="AB131" s="90">
        <f>_xlfn.XLOOKUP($V131,'Risk Charges'!$C$132:$C$143,'Risk Charges'!E$132:E$143,,0)</f>
        <v>0.13100000000000001</v>
      </c>
      <c r="AC131" s="90">
        <f>_xlfn.XLOOKUP($V131,'Risk Charges'!$C$132:$C$143,'Risk Charges'!F$132:F$143,,0)</f>
        <v>0.113</v>
      </c>
      <c r="AD131" s="90">
        <f>_xlfn.XLOOKUP($V131,'Risk Charges'!$C$132:$C$143,'Risk Charges'!G$132:G$143,,0)</f>
        <v>9.4E-2</v>
      </c>
    </row>
    <row r="132" spans="2:65" hidden="1" outlineLevel="1" x14ac:dyDescent="0.3">
      <c r="B132" s="11"/>
      <c r="D132" s="16" t="str">
        <f t="shared" si="16"/>
        <v>Motor - all inclusive</v>
      </c>
      <c r="E132" s="194">
        <f>W132*Input!$F526</f>
        <v>0</v>
      </c>
      <c r="F132" s="194">
        <f>X132*Input!$F526</f>
        <v>0</v>
      </c>
      <c r="G132" s="194">
        <f>Y132*Input!$F526</f>
        <v>0</v>
      </c>
      <c r="H132" s="194">
        <f>Z132*Input!$F526</f>
        <v>0</v>
      </c>
      <c r="K132" s="11"/>
      <c r="M132" s="16" t="str">
        <f t="shared" si="17"/>
        <v>Motor - all inclusive</v>
      </c>
      <c r="N132" s="194">
        <f>AA132*Input!$G526</f>
        <v>0</v>
      </c>
      <c r="O132" s="194">
        <f>AB132*Input!$G526</f>
        <v>0</v>
      </c>
      <c r="P132" s="194">
        <f>AC132*Input!$G526</f>
        <v>0</v>
      </c>
      <c r="Q132" s="194">
        <f>AD132*Input!$G526</f>
        <v>0</v>
      </c>
      <c r="S132" s="11"/>
      <c r="T132" s="16" t="s">
        <v>1007</v>
      </c>
      <c r="U132" s="89" t="s">
        <v>259</v>
      </c>
      <c r="V132" s="74">
        <v>6</v>
      </c>
      <c r="W132" s="90">
        <f>_xlfn.XLOOKUP($V132,'Risk Charges'!$C$117:$C$128,'Risk Charges'!D$117:D$128,,0)</f>
        <v>0.33</v>
      </c>
      <c r="X132" s="90">
        <f>_xlfn.XLOOKUP($V132,'Risk Charges'!$C$117:$C$128,'Risk Charges'!E$117:E$128,,0)</f>
        <v>0.28000000000000003</v>
      </c>
      <c r="Y132" s="90">
        <f>_xlfn.XLOOKUP($V132,'Risk Charges'!$C$117:$C$128,'Risk Charges'!F$117:F$128,,0)</f>
        <v>0.24</v>
      </c>
      <c r="Z132" s="90">
        <f>_xlfn.XLOOKUP($V132,'Risk Charges'!$C$117:$C$128,'Risk Charges'!G$117:G$128,,0)</f>
        <v>0.2</v>
      </c>
      <c r="AA132" s="90">
        <f>_xlfn.XLOOKUP($V132,'Risk Charges'!$C$132:$C$143,'Risk Charges'!D$132:D$143,,0)</f>
        <v>0.41299999999999998</v>
      </c>
      <c r="AB132" s="90">
        <f>_xlfn.XLOOKUP($V132,'Risk Charges'!$C$132:$C$143,'Risk Charges'!E$132:E$143,,0)</f>
        <v>0.35</v>
      </c>
      <c r="AC132" s="90">
        <f>_xlfn.XLOOKUP($V132,'Risk Charges'!$C$132:$C$143,'Risk Charges'!F$132:F$143,,0)</f>
        <v>0.3</v>
      </c>
      <c r="AD132" s="90">
        <f>_xlfn.XLOOKUP($V132,'Risk Charges'!$C$132:$C$143,'Risk Charges'!G$132:G$143,,0)</f>
        <v>0.25</v>
      </c>
    </row>
    <row r="133" spans="2:65" hidden="1" outlineLevel="1" x14ac:dyDescent="0.3">
      <c r="B133" s="11"/>
      <c r="D133" s="16" t="str">
        <f t="shared" si="16"/>
        <v>Motor - Japan and Taiwan</v>
      </c>
      <c r="E133" s="194">
        <f>W133*Input!$F527</f>
        <v>0</v>
      </c>
      <c r="F133" s="194">
        <f>X133*Input!$F527</f>
        <v>0</v>
      </c>
      <c r="G133" s="194">
        <f>Y133*Input!$F527</f>
        <v>0</v>
      </c>
      <c r="H133" s="194">
        <f>Z133*Input!$F527</f>
        <v>0</v>
      </c>
      <c r="K133" s="11"/>
      <c r="M133" s="16" t="str">
        <f t="shared" si="17"/>
        <v>Motor - Japan and Taiwan</v>
      </c>
      <c r="N133" s="194">
        <f>AA133*Input!$G527</f>
        <v>0</v>
      </c>
      <c r="O133" s="194">
        <f>AB133*Input!$G527</f>
        <v>0</v>
      </c>
      <c r="P133" s="194">
        <f>AC133*Input!$G527</f>
        <v>0</v>
      </c>
      <c r="Q133" s="194">
        <f>AD133*Input!$G527</f>
        <v>0</v>
      </c>
      <c r="S133" s="11"/>
      <c r="T133" s="16" t="s">
        <v>4095</v>
      </c>
      <c r="U133" s="89" t="s">
        <v>259</v>
      </c>
      <c r="V133" s="74">
        <v>4</v>
      </c>
      <c r="W133" s="90">
        <f>_xlfn.XLOOKUP($V133,'Risk Charges'!$C$117:$C$128,'Risk Charges'!D$117:D$128,,0)</f>
        <v>0.16500000000000001</v>
      </c>
      <c r="X133" s="90">
        <f>_xlfn.XLOOKUP($V133,'Risk Charges'!$C$117:$C$128,'Risk Charges'!E$117:E$128,,0)</f>
        <v>0.14000000000000001</v>
      </c>
      <c r="Y133" s="90">
        <f>_xlfn.XLOOKUP($V133,'Risk Charges'!$C$117:$C$128,'Risk Charges'!F$117:F$128,,0)</f>
        <v>0.12</v>
      </c>
      <c r="Z133" s="90">
        <f>_xlfn.XLOOKUP($V133,'Risk Charges'!$C$117:$C$128,'Risk Charges'!G$117:G$128,,0)</f>
        <v>0.1</v>
      </c>
      <c r="AA133" s="90">
        <f>_xlfn.XLOOKUP($V133,'Risk Charges'!$C$132:$C$143,'Risk Charges'!D$132:D$143,,0)</f>
        <v>0.20599999999999999</v>
      </c>
      <c r="AB133" s="90">
        <f>_xlfn.XLOOKUP($V133,'Risk Charges'!$C$132:$C$143,'Risk Charges'!E$132:E$143,,0)</f>
        <v>0.17499999999999999</v>
      </c>
      <c r="AC133" s="90">
        <f>_xlfn.XLOOKUP($V133,'Risk Charges'!$C$132:$C$143,'Risk Charges'!F$132:F$143,,0)</f>
        <v>0.15</v>
      </c>
      <c r="AD133" s="90">
        <f>_xlfn.XLOOKUP($V133,'Risk Charges'!$C$132:$C$143,'Risk Charges'!G$132:G$143,,0)</f>
        <v>0.125</v>
      </c>
    </row>
    <row r="134" spans="2:65" hidden="1" outlineLevel="1" x14ac:dyDescent="0.3">
      <c r="B134" s="11"/>
      <c r="D134" s="16" t="str">
        <f t="shared" si="16"/>
        <v>Third party liability motor</v>
      </c>
      <c r="E134" s="194">
        <f>W134*Input!$F528</f>
        <v>0</v>
      </c>
      <c r="F134" s="194">
        <f>X134*Input!$F528</f>
        <v>0</v>
      </c>
      <c r="G134" s="194">
        <f>Y134*Input!$F528</f>
        <v>0</v>
      </c>
      <c r="H134" s="194">
        <f>Z134*Input!$F528</f>
        <v>0</v>
      </c>
      <c r="K134" s="11"/>
      <c r="M134" s="16" t="str">
        <f t="shared" si="17"/>
        <v>Third party liability motor</v>
      </c>
      <c r="N134" s="194">
        <f>AA134*Input!$G528</f>
        <v>0</v>
      </c>
      <c r="O134" s="194">
        <f>AB134*Input!$G528</f>
        <v>0</v>
      </c>
      <c r="P134" s="194">
        <f>AC134*Input!$G528</f>
        <v>0</v>
      </c>
      <c r="Q134" s="194">
        <f>AD134*Input!$G528</f>
        <v>0</v>
      </c>
      <c r="S134" s="11"/>
      <c r="T134" s="16" t="s">
        <v>1008</v>
      </c>
      <c r="U134" s="89" t="s">
        <v>259</v>
      </c>
      <c r="V134" s="74">
        <v>6</v>
      </c>
      <c r="W134" s="90">
        <f>_xlfn.XLOOKUP($V134,'Risk Charges'!$C$117:$C$128,'Risk Charges'!D$117:D$128,,0)</f>
        <v>0.33</v>
      </c>
      <c r="X134" s="90">
        <f>_xlfn.XLOOKUP($V134,'Risk Charges'!$C$117:$C$128,'Risk Charges'!E$117:E$128,,0)</f>
        <v>0.28000000000000003</v>
      </c>
      <c r="Y134" s="90">
        <f>_xlfn.XLOOKUP($V134,'Risk Charges'!$C$117:$C$128,'Risk Charges'!F$117:F$128,,0)</f>
        <v>0.24</v>
      </c>
      <c r="Z134" s="90">
        <f>_xlfn.XLOOKUP($V134,'Risk Charges'!$C$117:$C$128,'Risk Charges'!G$117:G$128,,0)</f>
        <v>0.2</v>
      </c>
      <c r="AA134" s="90">
        <f>_xlfn.XLOOKUP($V134,'Risk Charges'!$C$132:$C$143,'Risk Charges'!D$132:D$143,,0)</f>
        <v>0.41299999999999998</v>
      </c>
      <c r="AB134" s="90">
        <f>_xlfn.XLOOKUP($V134,'Risk Charges'!$C$132:$C$143,'Risk Charges'!E$132:E$143,,0)</f>
        <v>0.35</v>
      </c>
      <c r="AC134" s="90">
        <f>_xlfn.XLOOKUP($V134,'Risk Charges'!$C$132:$C$143,'Risk Charges'!F$132:F$143,,0)</f>
        <v>0.3</v>
      </c>
      <c r="AD134" s="90">
        <f>_xlfn.XLOOKUP($V134,'Risk Charges'!$C$132:$C$143,'Risk Charges'!G$132:G$143,,0)</f>
        <v>0.25</v>
      </c>
    </row>
    <row r="135" spans="2:65" hidden="1" outlineLevel="1" x14ac:dyDescent="0.3">
      <c r="B135" s="11"/>
      <c r="D135" s="16" t="str">
        <f t="shared" si="16"/>
        <v>Consumer credit</v>
      </c>
      <c r="E135" s="194">
        <f>W135*Input!$F529</f>
        <v>0</v>
      </c>
      <c r="F135" s="194">
        <f>X135*Input!$F529</f>
        <v>0</v>
      </c>
      <c r="G135" s="194">
        <f>Y135*Input!$F529</f>
        <v>0</v>
      </c>
      <c r="H135" s="194">
        <f>Z135*Input!$F529</f>
        <v>0</v>
      </c>
      <c r="K135" s="11"/>
      <c r="M135" s="16" t="str">
        <f t="shared" si="17"/>
        <v>Consumer credit</v>
      </c>
      <c r="N135" s="194">
        <f>AA135*Input!$G529</f>
        <v>0</v>
      </c>
      <c r="O135" s="194">
        <f>AB135*Input!$G529</f>
        <v>0</v>
      </c>
      <c r="P135" s="194">
        <f>AC135*Input!$G529</f>
        <v>0</v>
      </c>
      <c r="Q135" s="194">
        <f>AD135*Input!$G529</f>
        <v>0</v>
      </c>
      <c r="S135" s="11"/>
      <c r="T135" s="16" t="s">
        <v>1009</v>
      </c>
      <c r="U135" s="89" t="s">
        <v>9</v>
      </c>
      <c r="V135" s="74">
        <v>5</v>
      </c>
      <c r="W135" s="90">
        <f>_xlfn.XLOOKUP($V135,'Risk Charges'!$C$117:$C$128,'Risk Charges'!D$117:D$128,,0)</f>
        <v>0.248</v>
      </c>
      <c r="X135" s="90">
        <f>_xlfn.XLOOKUP($V135,'Risk Charges'!$C$117:$C$128,'Risk Charges'!E$117:E$128,,0)</f>
        <v>0.21</v>
      </c>
      <c r="Y135" s="90">
        <f>_xlfn.XLOOKUP($V135,'Risk Charges'!$C$117:$C$128,'Risk Charges'!F$117:F$128,,0)</f>
        <v>0.18</v>
      </c>
      <c r="Z135" s="90">
        <f>_xlfn.XLOOKUP($V135,'Risk Charges'!$C$117:$C$128,'Risk Charges'!G$117:G$128,,0)</f>
        <v>0.15</v>
      </c>
      <c r="AA135" s="90">
        <f>_xlfn.XLOOKUP($V135,'Risk Charges'!$C$132:$C$143,'Risk Charges'!D$132:D$143,,0)</f>
        <v>0.31</v>
      </c>
      <c r="AB135" s="90">
        <f>_xlfn.XLOOKUP($V135,'Risk Charges'!$C$132:$C$143,'Risk Charges'!E$132:E$143,,0)</f>
        <v>0.26300000000000001</v>
      </c>
      <c r="AC135" s="90">
        <f>_xlfn.XLOOKUP($V135,'Risk Charges'!$C$132:$C$143,'Risk Charges'!F$132:F$143,,0)</f>
        <v>0.22500000000000001</v>
      </c>
      <c r="AD135" s="90">
        <f>_xlfn.XLOOKUP($V135,'Risk Charges'!$C$132:$C$143,'Risk Charges'!G$132:G$143,,0)</f>
        <v>0.188</v>
      </c>
    </row>
    <row r="136" spans="2:65" hidden="1" outlineLevel="1" x14ac:dyDescent="0.3">
      <c r="B136" s="11"/>
      <c r="D136" s="16" t="str">
        <f t="shared" si="16"/>
        <v>Credit</v>
      </c>
      <c r="E136" s="194">
        <f>W136*Input!$F530</f>
        <v>0</v>
      </c>
      <c r="F136" s="194">
        <f>X136*Input!$F530</f>
        <v>0</v>
      </c>
      <c r="G136" s="194">
        <f>Y136*Input!$F530</f>
        <v>0</v>
      </c>
      <c r="H136" s="194">
        <f>Z136*Input!$F530</f>
        <v>0</v>
      </c>
      <c r="K136" s="11"/>
      <c r="M136" s="16" t="str">
        <f t="shared" si="17"/>
        <v>Credit</v>
      </c>
      <c r="N136" s="194">
        <f>AA136*Input!$G530</f>
        <v>0</v>
      </c>
      <c r="O136" s="194">
        <f>AB136*Input!$G530</f>
        <v>0</v>
      </c>
      <c r="P136" s="194">
        <f>AC136*Input!$G530</f>
        <v>0</v>
      </c>
      <c r="Q136" s="194">
        <f>AD136*Input!$G530</f>
        <v>0</v>
      </c>
      <c r="S136" s="11"/>
      <c r="T136" s="16" t="s">
        <v>374</v>
      </c>
      <c r="U136" s="89" t="s">
        <v>9</v>
      </c>
      <c r="V136" s="74">
        <v>11</v>
      </c>
      <c r="W136" s="90">
        <f>_xlfn.XLOOKUP($V136,'Risk Charges'!$C$117:$C$128,'Risk Charges'!D$117:D$128,,0)</f>
        <v>0.82499999999999996</v>
      </c>
      <c r="X136" s="90">
        <f>_xlfn.XLOOKUP($V136,'Risk Charges'!$C$117:$C$128,'Risk Charges'!E$117:E$128,,0)</f>
        <v>0.7</v>
      </c>
      <c r="Y136" s="90">
        <f>_xlfn.XLOOKUP($V136,'Risk Charges'!$C$117:$C$128,'Risk Charges'!F$117:F$128,,0)</f>
        <v>0.6</v>
      </c>
      <c r="Z136" s="90">
        <f>_xlfn.XLOOKUP($V136,'Risk Charges'!$C$117:$C$128,'Risk Charges'!G$117:G$128,,0)</f>
        <v>0.5</v>
      </c>
      <c r="AA136" s="90">
        <f>_xlfn.XLOOKUP($V136,'Risk Charges'!$C$132:$C$143,'Risk Charges'!D$132:D$143,,0)</f>
        <v>1.0309999999999999</v>
      </c>
      <c r="AB136" s="90">
        <f>_xlfn.XLOOKUP($V136,'Risk Charges'!$C$132:$C$143,'Risk Charges'!E$132:E$143,,0)</f>
        <v>0.875</v>
      </c>
      <c r="AC136" s="90">
        <f>_xlfn.XLOOKUP($V136,'Risk Charges'!$C$132:$C$143,'Risk Charges'!F$132:F$143,,0)</f>
        <v>0.75</v>
      </c>
      <c r="AD136" s="90">
        <f>_xlfn.XLOOKUP($V136,'Risk Charges'!$C$132:$C$143,'Risk Charges'!G$132:G$143,,0)</f>
        <v>0.625</v>
      </c>
    </row>
    <row r="137" spans="2:65" hidden="1" outlineLevel="1" x14ac:dyDescent="0.3">
      <c r="B137" s="11"/>
      <c r="D137" s="16" t="str">
        <f t="shared" si="16"/>
        <v>Accident &amp; health</v>
      </c>
      <c r="E137" s="194">
        <f>W137*Input!$F531</f>
        <v>0</v>
      </c>
      <c r="F137" s="194">
        <f>X137*Input!$F531</f>
        <v>0</v>
      </c>
      <c r="G137" s="194">
        <f>Y137*Input!$F531</f>
        <v>0</v>
      </c>
      <c r="H137" s="194">
        <f>Z137*Input!$F531</f>
        <v>0</v>
      </c>
      <c r="K137" s="11"/>
      <c r="M137" s="16" t="str">
        <f t="shared" si="17"/>
        <v>Accident &amp; health</v>
      </c>
      <c r="N137" s="194">
        <f>AA137*Input!$G531</f>
        <v>0</v>
      </c>
      <c r="O137" s="194">
        <f>AB137*Input!$G531</f>
        <v>0</v>
      </c>
      <c r="P137" s="194">
        <f>AC137*Input!$G531</f>
        <v>0</v>
      </c>
      <c r="Q137" s="194">
        <f>AD137*Input!$G531</f>
        <v>0</v>
      </c>
      <c r="S137" s="11"/>
      <c r="T137" s="94" t="s">
        <v>994</v>
      </c>
      <c r="U137" s="33" t="s">
        <v>261</v>
      </c>
      <c r="V137" s="74">
        <v>4</v>
      </c>
      <c r="W137" s="90">
        <f>_xlfn.XLOOKUP($V137,'Risk Charges'!$C$117:$C$128,'Risk Charges'!D$117:D$128,,0)</f>
        <v>0.16500000000000001</v>
      </c>
      <c r="X137" s="90">
        <f>_xlfn.XLOOKUP($V137,'Risk Charges'!$C$117:$C$128,'Risk Charges'!E$117:E$128,,0)</f>
        <v>0.14000000000000001</v>
      </c>
      <c r="Y137" s="90">
        <f>_xlfn.XLOOKUP($V137,'Risk Charges'!$C$117:$C$128,'Risk Charges'!F$117:F$128,,0)</f>
        <v>0.12</v>
      </c>
      <c r="Z137" s="90">
        <f>_xlfn.XLOOKUP($V137,'Risk Charges'!$C$117:$C$128,'Risk Charges'!G$117:G$128,,0)</f>
        <v>0.1</v>
      </c>
      <c r="AA137" s="90">
        <f>_xlfn.XLOOKUP($V137,'Risk Charges'!$C$132:$C$143,'Risk Charges'!D$132:D$143,,0)</f>
        <v>0.20599999999999999</v>
      </c>
      <c r="AB137" s="90">
        <f>_xlfn.XLOOKUP($V137,'Risk Charges'!$C$132:$C$143,'Risk Charges'!E$132:E$143,,0)</f>
        <v>0.17499999999999999</v>
      </c>
      <c r="AC137" s="90">
        <f>_xlfn.XLOOKUP($V137,'Risk Charges'!$C$132:$C$143,'Risk Charges'!F$132:F$143,,0)</f>
        <v>0.15</v>
      </c>
      <c r="AD137" s="90">
        <f>_xlfn.XLOOKUP($V137,'Risk Charges'!$C$132:$C$143,'Risk Charges'!G$132:G$143,,0)</f>
        <v>0.125</v>
      </c>
    </row>
    <row r="138" spans="2:65" hidden="1" outlineLevel="1" x14ac:dyDescent="0.3">
      <c r="B138" s="11"/>
      <c r="D138" s="16" t="str">
        <f t="shared" si="16"/>
        <v>Health</v>
      </c>
      <c r="E138" s="194">
        <f>W138*Input!$F532</f>
        <v>0</v>
      </c>
      <c r="F138" s="194">
        <f>X138*Input!$F532</f>
        <v>0</v>
      </c>
      <c r="G138" s="194">
        <f>Y138*Input!$F532</f>
        <v>0</v>
      </c>
      <c r="H138" s="194">
        <f>Z138*Input!$F532</f>
        <v>0</v>
      </c>
      <c r="K138" s="11"/>
      <c r="M138" s="16" t="str">
        <f t="shared" si="17"/>
        <v>Health</v>
      </c>
      <c r="N138" s="194">
        <f>AA138*Input!$G532</f>
        <v>0</v>
      </c>
      <c r="O138" s="194">
        <f>AB138*Input!$G532</f>
        <v>0</v>
      </c>
      <c r="P138" s="194">
        <f>AC138*Input!$G532</f>
        <v>0</v>
      </c>
      <c r="Q138" s="194">
        <f>AD138*Input!$G532</f>
        <v>0</v>
      </c>
      <c r="S138" s="11"/>
      <c r="T138" s="16" t="s">
        <v>261</v>
      </c>
      <c r="U138" s="89" t="s">
        <v>261</v>
      </c>
      <c r="V138" s="74">
        <v>3</v>
      </c>
      <c r="W138" s="90">
        <f>_xlfn.XLOOKUP($V138,'Risk Charges'!$C$117:$C$128,'Risk Charges'!D$117:D$128,,0)</f>
        <v>0.124</v>
      </c>
      <c r="X138" s="90">
        <f>_xlfn.XLOOKUP($V138,'Risk Charges'!$C$117:$C$128,'Risk Charges'!E$117:E$128,,0)</f>
        <v>0.105</v>
      </c>
      <c r="Y138" s="90">
        <f>_xlfn.XLOOKUP($V138,'Risk Charges'!$C$117:$C$128,'Risk Charges'!F$117:F$128,,0)</f>
        <v>0.09</v>
      </c>
      <c r="Z138" s="90">
        <f>_xlfn.XLOOKUP($V138,'Risk Charges'!$C$117:$C$128,'Risk Charges'!G$117:G$128,,0)</f>
        <v>7.4999999999999997E-2</v>
      </c>
      <c r="AA138" s="90">
        <f>_xlfn.XLOOKUP($V138,'Risk Charges'!$C$132:$C$143,'Risk Charges'!D$132:D$143,,0)</f>
        <v>0.155</v>
      </c>
      <c r="AB138" s="90">
        <f>_xlfn.XLOOKUP($V138,'Risk Charges'!$C$132:$C$143,'Risk Charges'!E$132:E$143,,0)</f>
        <v>0.13100000000000001</v>
      </c>
      <c r="AC138" s="90">
        <f>_xlfn.XLOOKUP($V138,'Risk Charges'!$C$132:$C$143,'Risk Charges'!F$132:F$143,,0)</f>
        <v>0.113</v>
      </c>
      <c r="AD138" s="90">
        <f>_xlfn.XLOOKUP($V138,'Risk Charges'!$C$132:$C$143,'Risk Charges'!G$132:G$143,,0)</f>
        <v>9.4E-2</v>
      </c>
    </row>
    <row r="139" spans="2:65" hidden="1" outlineLevel="1" x14ac:dyDescent="0.3">
      <c r="B139" s="11"/>
      <c r="D139" s="16" t="str">
        <f t="shared" si="16"/>
        <v>Marine, aviation - cargo</v>
      </c>
      <c r="E139" s="194">
        <f>W139*Input!$F533</f>
        <v>0</v>
      </c>
      <c r="F139" s="194">
        <f>X139*Input!$F533</f>
        <v>0</v>
      </c>
      <c r="G139" s="194">
        <f>Y139*Input!$F533</f>
        <v>0</v>
      </c>
      <c r="H139" s="194">
        <f>Z139*Input!$F533</f>
        <v>0</v>
      </c>
      <c r="K139" s="11"/>
      <c r="M139" s="16" t="str">
        <f t="shared" si="17"/>
        <v>Marine, aviation - cargo</v>
      </c>
      <c r="N139" s="194">
        <f>AA139*Input!$G533</f>
        <v>0</v>
      </c>
      <c r="O139" s="194">
        <f>AB139*Input!$G533</f>
        <v>0</v>
      </c>
      <c r="P139" s="194">
        <f>AC139*Input!$G533</f>
        <v>0</v>
      </c>
      <c r="Q139" s="194">
        <f>AD139*Input!$G533</f>
        <v>0</v>
      </c>
      <c r="S139" s="11"/>
      <c r="T139" s="16" t="s">
        <v>1010</v>
      </c>
      <c r="U139" s="89" t="s">
        <v>411</v>
      </c>
      <c r="V139" s="74">
        <v>6</v>
      </c>
      <c r="W139" s="90">
        <f>_xlfn.XLOOKUP($V139,'Risk Charges'!$C$117:$C$128,'Risk Charges'!D$117:D$128,,0)</f>
        <v>0.33</v>
      </c>
      <c r="X139" s="90">
        <f>_xlfn.XLOOKUP($V139,'Risk Charges'!$C$117:$C$128,'Risk Charges'!E$117:E$128,,0)</f>
        <v>0.28000000000000003</v>
      </c>
      <c r="Y139" s="90">
        <f>_xlfn.XLOOKUP($V139,'Risk Charges'!$C$117:$C$128,'Risk Charges'!F$117:F$128,,0)</f>
        <v>0.24</v>
      </c>
      <c r="Z139" s="90">
        <f>_xlfn.XLOOKUP($V139,'Risk Charges'!$C$117:$C$128,'Risk Charges'!G$117:G$128,,0)</f>
        <v>0.2</v>
      </c>
      <c r="AA139" s="90">
        <f>_xlfn.XLOOKUP($V139,'Risk Charges'!$C$132:$C$143,'Risk Charges'!D$132:D$143,,0)</f>
        <v>0.41299999999999998</v>
      </c>
      <c r="AB139" s="90">
        <f>_xlfn.XLOOKUP($V139,'Risk Charges'!$C$132:$C$143,'Risk Charges'!E$132:E$143,,0)</f>
        <v>0.35</v>
      </c>
      <c r="AC139" s="90">
        <f>_xlfn.XLOOKUP($V139,'Risk Charges'!$C$132:$C$143,'Risk Charges'!F$132:F$143,,0)</f>
        <v>0.3</v>
      </c>
      <c r="AD139" s="90">
        <f>_xlfn.XLOOKUP($V139,'Risk Charges'!$C$132:$C$143,'Risk Charges'!G$132:G$143,,0)</f>
        <v>0.25</v>
      </c>
    </row>
    <row r="140" spans="2:65" hidden="1" outlineLevel="1" x14ac:dyDescent="0.3">
      <c r="B140" s="11"/>
      <c r="D140" s="16" t="str">
        <f t="shared" si="16"/>
        <v>Marine, aviation - hull</v>
      </c>
      <c r="E140" s="194">
        <f>W140*Input!$F534</f>
        <v>0</v>
      </c>
      <c r="F140" s="194">
        <f>X140*Input!$F534</f>
        <v>0</v>
      </c>
      <c r="G140" s="194">
        <f>Y140*Input!$F534</f>
        <v>0</v>
      </c>
      <c r="H140" s="194">
        <f>Z140*Input!$F534</f>
        <v>0</v>
      </c>
      <c r="K140" s="11"/>
      <c r="M140" s="16" t="str">
        <f t="shared" si="17"/>
        <v>Marine, aviation - hull</v>
      </c>
      <c r="N140" s="194">
        <f>AA140*Input!$G534</f>
        <v>0</v>
      </c>
      <c r="O140" s="194">
        <f>AB140*Input!$G534</f>
        <v>0</v>
      </c>
      <c r="P140" s="194">
        <f>AC140*Input!$G534</f>
        <v>0</v>
      </c>
      <c r="Q140" s="194">
        <f>AD140*Input!$G534</f>
        <v>0</v>
      </c>
      <c r="S140" s="11"/>
      <c r="T140" s="16" t="s">
        <v>1011</v>
      </c>
      <c r="U140" s="89" t="s">
        <v>411</v>
      </c>
      <c r="V140" s="74">
        <v>10</v>
      </c>
      <c r="W140" s="90">
        <f>_xlfn.XLOOKUP($V140,'Risk Charges'!$C$117:$C$128,'Risk Charges'!D$117:D$128,,0)</f>
        <v>0.66</v>
      </c>
      <c r="X140" s="90">
        <f>_xlfn.XLOOKUP($V140,'Risk Charges'!$C$117:$C$128,'Risk Charges'!E$117:E$128,,0)</f>
        <v>0.56000000000000005</v>
      </c>
      <c r="Y140" s="90">
        <f>_xlfn.XLOOKUP($V140,'Risk Charges'!$C$117:$C$128,'Risk Charges'!F$117:F$128,,0)</f>
        <v>0.48</v>
      </c>
      <c r="Z140" s="90">
        <f>_xlfn.XLOOKUP($V140,'Risk Charges'!$C$117:$C$128,'Risk Charges'!G$117:G$128,,0)</f>
        <v>0.4</v>
      </c>
      <c r="AA140" s="90">
        <f>_xlfn.XLOOKUP($V140,'Risk Charges'!$C$132:$C$143,'Risk Charges'!D$132:D$143,,0)</f>
        <v>0.82499999999999996</v>
      </c>
      <c r="AB140" s="90">
        <f>_xlfn.XLOOKUP($V140,'Risk Charges'!$C$132:$C$143,'Risk Charges'!E$132:E$143,,0)</f>
        <v>0.7</v>
      </c>
      <c r="AC140" s="90">
        <f>_xlfn.XLOOKUP($V140,'Risk Charges'!$C$132:$C$143,'Risk Charges'!F$132:F$143,,0)</f>
        <v>0.6</v>
      </c>
      <c r="AD140" s="90">
        <f>_xlfn.XLOOKUP($V140,'Risk Charges'!$C$132:$C$143,'Risk Charges'!G$132:G$143,,0)</f>
        <v>0.5</v>
      </c>
    </row>
    <row r="141" spans="2:65" hidden="1" outlineLevel="1" x14ac:dyDescent="0.3">
      <c r="B141" s="11"/>
      <c r="D141" s="16" t="str">
        <f t="shared" si="16"/>
        <v>Marine protection &amp; indemnity</v>
      </c>
      <c r="E141" s="194">
        <f>W141*Input!$F535</f>
        <v>0</v>
      </c>
      <c r="F141" s="194">
        <f>X141*Input!$F535</f>
        <v>0</v>
      </c>
      <c r="G141" s="194">
        <f>Y141*Input!$F535</f>
        <v>0</v>
      </c>
      <c r="H141" s="194">
        <f>Z141*Input!$F535</f>
        <v>0</v>
      </c>
      <c r="K141" s="11"/>
      <c r="M141" s="16" t="str">
        <f t="shared" si="17"/>
        <v>Marine protection &amp; indemnity</v>
      </c>
      <c r="N141" s="194">
        <f>AA141*Input!$G535</f>
        <v>0</v>
      </c>
      <c r="O141" s="194">
        <f>AB141*Input!$G535</f>
        <v>0</v>
      </c>
      <c r="P141" s="194">
        <f>AC141*Input!$G535</f>
        <v>0</v>
      </c>
      <c r="Q141" s="194">
        <f>AD141*Input!$G535</f>
        <v>0</v>
      </c>
      <c r="S141" s="11"/>
      <c r="T141" s="16" t="s">
        <v>4130</v>
      </c>
      <c r="U141" s="89" t="s">
        <v>411</v>
      </c>
      <c r="V141" s="74">
        <v>8</v>
      </c>
      <c r="W141" s="90">
        <f>_xlfn.XLOOKUP($V141,'Risk Charges'!$C$117:$C$128,'Risk Charges'!D$117:D$128,,0)</f>
        <v>0.495</v>
      </c>
      <c r="X141" s="90">
        <f>_xlfn.XLOOKUP($V141,'Risk Charges'!$C$117:$C$128,'Risk Charges'!E$117:E$128,,0)</f>
        <v>0.42</v>
      </c>
      <c r="Y141" s="90">
        <f>_xlfn.XLOOKUP($V141,'Risk Charges'!$C$117:$C$128,'Risk Charges'!F$117:F$128,,0)</f>
        <v>0.36</v>
      </c>
      <c r="Z141" s="90">
        <f>_xlfn.XLOOKUP($V141,'Risk Charges'!$C$117:$C$128,'Risk Charges'!G$117:G$128,,0)</f>
        <v>0.3</v>
      </c>
      <c r="AA141" s="90">
        <f>_xlfn.XLOOKUP($V141,'Risk Charges'!$C$132:$C$143,'Risk Charges'!D$132:D$143,,0)</f>
        <v>0.61899999999999999</v>
      </c>
      <c r="AB141" s="90">
        <f>_xlfn.XLOOKUP($V141,'Risk Charges'!$C$132:$C$143,'Risk Charges'!E$132:E$143,,0)</f>
        <v>0.52500000000000002</v>
      </c>
      <c r="AC141" s="90">
        <f>_xlfn.XLOOKUP($V141,'Risk Charges'!$C$132:$C$143,'Risk Charges'!F$132:F$143,,0)</f>
        <v>0.45</v>
      </c>
      <c r="AD141" s="90">
        <f>_xlfn.XLOOKUP($V141,'Risk Charges'!$C$132:$C$143,'Risk Charges'!G$132:G$143,,0)</f>
        <v>0.375</v>
      </c>
      <c r="AF141" s="16"/>
      <c r="AG141" s="89"/>
      <c r="AH141" s="74"/>
    </row>
    <row r="142" spans="2:65" hidden="1" outlineLevel="1" x14ac:dyDescent="0.3">
      <c r="B142" s="11"/>
      <c r="D142" s="16" t="str">
        <f t="shared" si="16"/>
        <v>Travel</v>
      </c>
      <c r="E142" s="194">
        <f>W142*Input!$F536</f>
        <v>0</v>
      </c>
      <c r="F142" s="194">
        <f>X142*Input!$F536</f>
        <v>0</v>
      </c>
      <c r="G142" s="194">
        <f>Y142*Input!$F536</f>
        <v>0</v>
      </c>
      <c r="H142" s="194">
        <f>Z142*Input!$F536</f>
        <v>0</v>
      </c>
      <c r="K142" s="11"/>
      <c r="M142" s="16" t="str">
        <f t="shared" si="17"/>
        <v>Travel</v>
      </c>
      <c r="N142" s="194">
        <f>AA142*Input!$G536</f>
        <v>0</v>
      </c>
      <c r="O142" s="194">
        <f>AB142*Input!$G536</f>
        <v>0</v>
      </c>
      <c r="P142" s="194">
        <f>AC142*Input!$G536</f>
        <v>0</v>
      </c>
      <c r="Q142" s="194">
        <f>AD142*Input!$G536</f>
        <v>0</v>
      </c>
      <c r="S142" s="11"/>
      <c r="T142" s="16" t="s">
        <v>382</v>
      </c>
      <c r="U142" s="89" t="s">
        <v>262</v>
      </c>
      <c r="V142" s="74">
        <v>5</v>
      </c>
      <c r="W142" s="90">
        <f>_xlfn.XLOOKUP($V142,'Risk Charges'!$C$117:$C$128,'Risk Charges'!D$117:D$128,,0)</f>
        <v>0.248</v>
      </c>
      <c r="X142" s="90">
        <f>_xlfn.XLOOKUP($V142,'Risk Charges'!$C$117:$C$128,'Risk Charges'!E$117:E$128,,0)</f>
        <v>0.21</v>
      </c>
      <c r="Y142" s="90">
        <f>_xlfn.XLOOKUP($V142,'Risk Charges'!$C$117:$C$128,'Risk Charges'!F$117:F$128,,0)</f>
        <v>0.18</v>
      </c>
      <c r="Z142" s="90">
        <f>_xlfn.XLOOKUP($V142,'Risk Charges'!$C$117:$C$128,'Risk Charges'!G$117:G$128,,0)</f>
        <v>0.15</v>
      </c>
      <c r="AA142" s="90">
        <f>_xlfn.XLOOKUP($V142,'Risk Charges'!$C$132:$C$143,'Risk Charges'!D$132:D$143,,0)</f>
        <v>0.31</v>
      </c>
      <c r="AB142" s="90">
        <f>_xlfn.XLOOKUP($V142,'Risk Charges'!$C$132:$C$143,'Risk Charges'!E$132:E$143,,0)</f>
        <v>0.26300000000000001</v>
      </c>
      <c r="AC142" s="90">
        <f>_xlfn.XLOOKUP($V142,'Risk Charges'!$C$132:$C$143,'Risk Charges'!F$132:F$143,,0)</f>
        <v>0.22500000000000001</v>
      </c>
      <c r="AD142" s="90">
        <f>_xlfn.XLOOKUP($V142,'Risk Charges'!$C$132:$C$143,'Risk Charges'!G$132:G$143,,0)</f>
        <v>0.188</v>
      </c>
      <c r="BM142" s="16"/>
    </row>
    <row r="143" spans="2:65" hidden="1" outlineLevel="1" x14ac:dyDescent="0.3">
      <c r="B143" s="11"/>
      <c r="D143" s="16" t="str">
        <f t="shared" si="16"/>
        <v>Other</v>
      </c>
      <c r="E143" s="194">
        <f>W143*Input!$F537</f>
        <v>0</v>
      </c>
      <c r="F143" s="194">
        <f>X143*Input!$F537</f>
        <v>0</v>
      </c>
      <c r="G143" s="194">
        <f>Y143*Input!$F537</f>
        <v>0</v>
      </c>
      <c r="H143" s="194">
        <f>Z143*Input!$F537</f>
        <v>0</v>
      </c>
      <c r="K143" s="11"/>
      <c r="M143" s="16" t="str">
        <f t="shared" si="17"/>
        <v>Other</v>
      </c>
      <c r="N143" s="194">
        <f>AA143*Input!$G537</f>
        <v>0</v>
      </c>
      <c r="O143" s="194">
        <f>AB143*Input!$G537</f>
        <v>0</v>
      </c>
      <c r="P143" s="194">
        <f>AC143*Input!$G537</f>
        <v>0</v>
      </c>
      <c r="Q143" s="194">
        <f>AD143*Input!$G537</f>
        <v>0</v>
      </c>
      <c r="S143" s="11"/>
      <c r="T143" s="16" t="s">
        <v>262</v>
      </c>
      <c r="U143" s="89" t="s">
        <v>262</v>
      </c>
      <c r="V143" s="74">
        <v>12</v>
      </c>
      <c r="W143" s="90">
        <f>_xlfn.XLOOKUP($V143,'Risk Charges'!$C$117:$C$128,'Risk Charges'!D$117:D$128,,0)</f>
        <v>0.99</v>
      </c>
      <c r="X143" s="90">
        <f>_xlfn.XLOOKUP($V143,'Risk Charges'!$C$117:$C$128,'Risk Charges'!E$117:E$128,,0)</f>
        <v>0.84</v>
      </c>
      <c r="Y143" s="90">
        <f>_xlfn.XLOOKUP($V143,'Risk Charges'!$C$117:$C$128,'Risk Charges'!F$117:F$128,,0)</f>
        <v>0.72</v>
      </c>
      <c r="Z143" s="90">
        <f>_xlfn.XLOOKUP($V143,'Risk Charges'!$C$117:$C$128,'Risk Charges'!G$117:G$128,,0)</f>
        <v>0.6</v>
      </c>
      <c r="AA143" s="90">
        <f>_xlfn.XLOOKUP($V143,'Risk Charges'!$C$132:$C$143,'Risk Charges'!D$132:D$143,,0)</f>
        <v>1.238</v>
      </c>
      <c r="AB143" s="90">
        <f>_xlfn.XLOOKUP($V143,'Risk Charges'!$C$132:$C$143,'Risk Charges'!E$132:E$143,,0)</f>
        <v>1.05</v>
      </c>
      <c r="AC143" s="90">
        <f>_xlfn.XLOOKUP($V143,'Risk Charges'!$C$132:$C$143,'Risk Charges'!F$132:F$143,,0)</f>
        <v>0.9</v>
      </c>
      <c r="AD143" s="90">
        <f>_xlfn.XLOOKUP($V143,'Risk Charges'!$C$132:$C$143,'Risk Charges'!G$132:G$143,,0)</f>
        <v>0.75</v>
      </c>
      <c r="BM143" s="16"/>
    </row>
    <row r="144" spans="2:65" hidden="1" outlineLevel="1" x14ac:dyDescent="0.3">
      <c r="B144" s="88" t="s">
        <v>328</v>
      </c>
      <c r="E144" s="194"/>
      <c r="F144" s="194"/>
      <c r="G144" s="194"/>
      <c r="H144" s="194"/>
      <c r="K144" s="88" t="s">
        <v>328</v>
      </c>
      <c r="N144" s="194"/>
      <c r="O144" s="194"/>
      <c r="P144" s="194"/>
      <c r="Q144" s="194"/>
      <c r="S144" s="88" t="s">
        <v>328</v>
      </c>
      <c r="U144" s="99"/>
      <c r="V144" s="74"/>
      <c r="W144" s="90"/>
      <c r="X144" s="90"/>
      <c r="Y144" s="90"/>
      <c r="Z144" s="90"/>
      <c r="AA144" s="90"/>
      <c r="AB144" s="90"/>
      <c r="AC144" s="90"/>
      <c r="AD144" s="90"/>
      <c r="BM144" s="16"/>
    </row>
    <row r="145" spans="2:65" hidden="1" outlineLevel="1" x14ac:dyDescent="0.3">
      <c r="B145" s="11"/>
      <c r="D145" s="16" t="str">
        <f t="shared" ref="D145:D163" si="18">T145</f>
        <v>Employers liability</v>
      </c>
      <c r="E145" s="194">
        <f>W145*Input!$F539</f>
        <v>0</v>
      </c>
      <c r="F145" s="194">
        <f>X145*Input!$F539</f>
        <v>0</v>
      </c>
      <c r="G145" s="194">
        <f>Y145*Input!$F539</f>
        <v>0</v>
      </c>
      <c r="H145" s="194">
        <f>Z145*Input!$F539</f>
        <v>0</v>
      </c>
      <c r="M145" s="16" t="str">
        <f t="shared" ref="M145:M163" si="19">T145</f>
        <v>Employers liability</v>
      </c>
      <c r="N145" s="194">
        <f>AA145*Input!$G539</f>
        <v>0</v>
      </c>
      <c r="O145" s="194">
        <f>AB145*Input!$G539</f>
        <v>0</v>
      </c>
      <c r="P145" s="194">
        <f>AC145*Input!$G539</f>
        <v>0</v>
      </c>
      <c r="Q145" s="194">
        <f>AD145*Input!$G539</f>
        <v>0</v>
      </c>
      <c r="S145" s="61"/>
      <c r="T145" s="16" t="s">
        <v>1004</v>
      </c>
      <c r="U145" s="89" t="s">
        <v>260</v>
      </c>
      <c r="V145" s="74">
        <v>6</v>
      </c>
      <c r="W145" s="90">
        <f>_xlfn.XLOOKUP($V145,'Risk Charges'!$C$117:$C$128,'Risk Charges'!D$117:D$128,,0)</f>
        <v>0.33</v>
      </c>
      <c r="X145" s="90">
        <f>_xlfn.XLOOKUP($V145,'Risk Charges'!$C$117:$C$128,'Risk Charges'!E$117:E$128,,0)</f>
        <v>0.28000000000000003</v>
      </c>
      <c r="Y145" s="90">
        <f>_xlfn.XLOOKUP($V145,'Risk Charges'!$C$117:$C$128,'Risk Charges'!F$117:F$128,,0)</f>
        <v>0.24</v>
      </c>
      <c r="Z145" s="90">
        <f>_xlfn.XLOOKUP($V145,'Risk Charges'!$C$117:$C$128,'Risk Charges'!G$117:G$128,,0)</f>
        <v>0.2</v>
      </c>
      <c r="AA145" s="90">
        <f>_xlfn.XLOOKUP($V145,'Risk Charges'!$C$132:$C$143,'Risk Charges'!D$132:D$143,,0)</f>
        <v>0.41299999999999998</v>
      </c>
      <c r="AB145" s="90">
        <f>_xlfn.XLOOKUP($V145,'Risk Charges'!$C$132:$C$143,'Risk Charges'!E$132:E$143,,0)</f>
        <v>0.35</v>
      </c>
      <c r="AC145" s="90">
        <f>_xlfn.XLOOKUP($V145,'Risk Charges'!$C$132:$C$143,'Risk Charges'!F$132:F$143,,0)</f>
        <v>0.3</v>
      </c>
      <c r="AD145" s="90">
        <f>_xlfn.XLOOKUP($V145,'Risk Charges'!$C$132:$C$143,'Risk Charges'!G$132:G$143,,0)</f>
        <v>0.25</v>
      </c>
      <c r="BM145" s="33"/>
    </row>
    <row r="146" spans="2:65" hidden="1" outlineLevel="1" x14ac:dyDescent="0.3">
      <c r="B146" s="11"/>
      <c r="D146" s="16" t="str">
        <f t="shared" si="18"/>
        <v>General liability</v>
      </c>
      <c r="E146" s="194">
        <f>W146*Input!$F540</f>
        <v>0</v>
      </c>
      <c r="F146" s="194">
        <f>X146*Input!$F540</f>
        <v>0</v>
      </c>
      <c r="G146" s="194">
        <f>Y146*Input!$F540</f>
        <v>0</v>
      </c>
      <c r="H146" s="194">
        <f>Z146*Input!$F540</f>
        <v>0</v>
      </c>
      <c r="M146" s="16" t="str">
        <f t="shared" si="19"/>
        <v>General liability</v>
      </c>
      <c r="N146" s="194">
        <f>AA146*Input!$G540</f>
        <v>0</v>
      </c>
      <c r="O146" s="194">
        <f>AB146*Input!$G540</f>
        <v>0</v>
      </c>
      <c r="P146" s="194">
        <f>AC146*Input!$G540</f>
        <v>0</v>
      </c>
      <c r="Q146" s="194">
        <f>AD146*Input!$G540</f>
        <v>0</v>
      </c>
      <c r="S146" s="61"/>
      <c r="T146" s="16" t="s">
        <v>978</v>
      </c>
      <c r="U146" s="89" t="s">
        <v>260</v>
      </c>
      <c r="V146" s="74">
        <v>6</v>
      </c>
      <c r="W146" s="90">
        <f>_xlfn.XLOOKUP($V146,'Risk Charges'!$C$117:$C$128,'Risk Charges'!D$117:D$128,,0)</f>
        <v>0.33</v>
      </c>
      <c r="X146" s="90">
        <f>_xlfn.XLOOKUP($V146,'Risk Charges'!$C$117:$C$128,'Risk Charges'!E$117:E$128,,0)</f>
        <v>0.28000000000000003</v>
      </c>
      <c r="Y146" s="90">
        <f>_xlfn.XLOOKUP($V146,'Risk Charges'!$C$117:$C$128,'Risk Charges'!F$117:F$128,,0)</f>
        <v>0.24</v>
      </c>
      <c r="Z146" s="90">
        <f>_xlfn.XLOOKUP($V146,'Risk Charges'!$C$117:$C$128,'Risk Charges'!G$117:G$128,,0)</f>
        <v>0.2</v>
      </c>
      <c r="AA146" s="90">
        <f>_xlfn.XLOOKUP($V146,'Risk Charges'!$C$132:$C$143,'Risk Charges'!D$132:D$143,,0)</f>
        <v>0.41299999999999998</v>
      </c>
      <c r="AB146" s="90">
        <f>_xlfn.XLOOKUP($V146,'Risk Charges'!$C$132:$C$143,'Risk Charges'!E$132:E$143,,0)</f>
        <v>0.35</v>
      </c>
      <c r="AC146" s="90">
        <f>_xlfn.XLOOKUP($V146,'Risk Charges'!$C$132:$C$143,'Risk Charges'!F$132:F$143,,0)</f>
        <v>0.3</v>
      </c>
      <c r="AD146" s="90">
        <f>_xlfn.XLOOKUP($V146,'Risk Charges'!$C$132:$C$143,'Risk Charges'!G$132:G$143,,0)</f>
        <v>0.25</v>
      </c>
      <c r="BM146" s="16"/>
    </row>
    <row r="147" spans="2:65" hidden="1" outlineLevel="1" x14ac:dyDescent="0.3">
      <c r="D147" s="16" t="str">
        <f t="shared" si="18"/>
        <v>Professional indemnity</v>
      </c>
      <c r="E147" s="194">
        <f>W147*Input!$F541</f>
        <v>0</v>
      </c>
      <c r="F147" s="194">
        <f>X147*Input!$F541</f>
        <v>0</v>
      </c>
      <c r="G147" s="194">
        <f>Y147*Input!$F541</f>
        <v>0</v>
      </c>
      <c r="H147" s="194">
        <f>Z147*Input!$F541</f>
        <v>0</v>
      </c>
      <c r="K147" s="88"/>
      <c r="M147" s="16" t="str">
        <f t="shared" si="19"/>
        <v>Professional indemnity</v>
      </c>
      <c r="N147" s="194">
        <f>AA147*Input!$G541</f>
        <v>0</v>
      </c>
      <c r="O147" s="194">
        <f>AB147*Input!$G541</f>
        <v>0</v>
      </c>
      <c r="P147" s="194">
        <f>AC147*Input!$G541</f>
        <v>0</v>
      </c>
      <c r="Q147" s="194">
        <f>AD147*Input!$G541</f>
        <v>0</v>
      </c>
      <c r="S147" s="31"/>
      <c r="T147" s="16" t="s">
        <v>1005</v>
      </c>
      <c r="U147" s="89" t="s">
        <v>260</v>
      </c>
      <c r="V147" s="74">
        <v>8</v>
      </c>
      <c r="W147" s="90">
        <f>_xlfn.XLOOKUP($V147,'Risk Charges'!$C$117:$C$128,'Risk Charges'!D$117:D$128,,0)</f>
        <v>0.495</v>
      </c>
      <c r="X147" s="90">
        <f>_xlfn.XLOOKUP($V147,'Risk Charges'!$C$117:$C$128,'Risk Charges'!E$117:E$128,,0)</f>
        <v>0.42</v>
      </c>
      <c r="Y147" s="90">
        <f>_xlfn.XLOOKUP($V147,'Risk Charges'!$C$117:$C$128,'Risk Charges'!F$117:F$128,,0)</f>
        <v>0.36</v>
      </c>
      <c r="Z147" s="90">
        <f>_xlfn.XLOOKUP($V147,'Risk Charges'!$C$117:$C$128,'Risk Charges'!G$117:G$128,,0)</f>
        <v>0.3</v>
      </c>
      <c r="AA147" s="90">
        <f>_xlfn.XLOOKUP($V147,'Risk Charges'!$C$132:$C$143,'Risk Charges'!D$132:D$143,,0)</f>
        <v>0.61899999999999999</v>
      </c>
      <c r="AB147" s="90">
        <f>_xlfn.XLOOKUP($V147,'Risk Charges'!$C$132:$C$143,'Risk Charges'!E$132:E$143,,0)</f>
        <v>0.52500000000000002</v>
      </c>
      <c r="AC147" s="90">
        <f>_xlfn.XLOOKUP($V147,'Risk Charges'!$C$132:$C$143,'Risk Charges'!F$132:F$143,,0)</f>
        <v>0.45</v>
      </c>
      <c r="AD147" s="90">
        <f>_xlfn.XLOOKUP($V147,'Risk Charges'!$C$132:$C$143,'Risk Charges'!G$132:G$143,,0)</f>
        <v>0.375</v>
      </c>
      <c r="BM147" s="33"/>
    </row>
    <row r="148" spans="2:65" hidden="1" outlineLevel="1" x14ac:dyDescent="0.3">
      <c r="D148" s="16" t="str">
        <f t="shared" si="18"/>
        <v>Commercial property</v>
      </c>
      <c r="E148" s="194">
        <f>W148*Input!$F542</f>
        <v>0</v>
      </c>
      <c r="F148" s="194">
        <f>X148*Input!$F542</f>
        <v>0</v>
      </c>
      <c r="G148" s="194">
        <f>Y148*Input!$F542</f>
        <v>0</v>
      </c>
      <c r="H148" s="194">
        <f>Z148*Input!$F542</f>
        <v>0</v>
      </c>
      <c r="K148" s="88"/>
      <c r="M148" s="16" t="str">
        <f t="shared" si="19"/>
        <v>Commercial property</v>
      </c>
      <c r="N148" s="194">
        <f>AA148*Input!$G542</f>
        <v>0</v>
      </c>
      <c r="O148" s="194">
        <f>AB148*Input!$G542</f>
        <v>0</v>
      </c>
      <c r="P148" s="194">
        <f>AC148*Input!$G542</f>
        <v>0</v>
      </c>
      <c r="Q148" s="194">
        <f>AD148*Input!$G542</f>
        <v>0</v>
      </c>
      <c r="S148" s="88"/>
      <c r="T148" s="16" t="s">
        <v>997</v>
      </c>
      <c r="U148" s="89" t="s">
        <v>258</v>
      </c>
      <c r="V148" s="74">
        <v>12</v>
      </c>
      <c r="W148" s="90">
        <f>_xlfn.XLOOKUP($V148,'Risk Charges'!$C$117:$C$128,'Risk Charges'!D$117:D$128,,0)</f>
        <v>0.99</v>
      </c>
      <c r="X148" s="90">
        <f>_xlfn.XLOOKUP($V148,'Risk Charges'!$C$117:$C$128,'Risk Charges'!E$117:E$128,,0)</f>
        <v>0.84</v>
      </c>
      <c r="Y148" s="90">
        <f>_xlfn.XLOOKUP($V148,'Risk Charges'!$C$117:$C$128,'Risk Charges'!F$117:F$128,,0)</f>
        <v>0.72</v>
      </c>
      <c r="Z148" s="90">
        <f>_xlfn.XLOOKUP($V148,'Risk Charges'!$C$117:$C$128,'Risk Charges'!G$117:G$128,,0)</f>
        <v>0.6</v>
      </c>
      <c r="AA148" s="90">
        <f>_xlfn.XLOOKUP($V148,'Risk Charges'!$C$132:$C$143,'Risk Charges'!D$132:D$143,,0)</f>
        <v>1.238</v>
      </c>
      <c r="AB148" s="90">
        <f>_xlfn.XLOOKUP($V148,'Risk Charges'!$C$132:$C$143,'Risk Charges'!E$132:E$143,,0)</f>
        <v>1.05</v>
      </c>
      <c r="AC148" s="90">
        <f>_xlfn.XLOOKUP($V148,'Risk Charges'!$C$132:$C$143,'Risk Charges'!F$132:F$143,,0)</f>
        <v>0.9</v>
      </c>
      <c r="AD148" s="90">
        <f>_xlfn.XLOOKUP($V148,'Risk Charges'!$C$132:$C$143,'Risk Charges'!G$132:G$143,,0)</f>
        <v>0.75</v>
      </c>
      <c r="BM148" s="16"/>
    </row>
    <row r="149" spans="2:65" hidden="1" outlineLevel="1" x14ac:dyDescent="0.3">
      <c r="D149" s="16" t="str">
        <f t="shared" si="18"/>
        <v>Domestic property</v>
      </c>
      <c r="E149" s="194">
        <f>W149*Input!$F543</f>
        <v>0</v>
      </c>
      <c r="F149" s="194">
        <f>X149*Input!$F543</f>
        <v>0</v>
      </c>
      <c r="G149" s="194">
        <f>Y149*Input!$F543</f>
        <v>0</v>
      </c>
      <c r="H149" s="194">
        <f>Z149*Input!$F543</f>
        <v>0</v>
      </c>
      <c r="K149" s="88"/>
      <c r="M149" s="16" t="str">
        <f t="shared" si="19"/>
        <v>Domestic property</v>
      </c>
      <c r="N149" s="194">
        <f>AA149*Input!$G543</f>
        <v>0</v>
      </c>
      <c r="O149" s="194">
        <f>AB149*Input!$G543</f>
        <v>0</v>
      </c>
      <c r="P149" s="194">
        <f>AC149*Input!$G543</f>
        <v>0</v>
      </c>
      <c r="Q149" s="194">
        <f>AD149*Input!$G543</f>
        <v>0</v>
      </c>
      <c r="S149" s="88"/>
      <c r="T149" s="16" t="s">
        <v>1006</v>
      </c>
      <c r="U149" s="89" t="s">
        <v>258</v>
      </c>
      <c r="V149" s="74">
        <v>7</v>
      </c>
      <c r="W149" s="90">
        <f>_xlfn.XLOOKUP($V149,'Risk Charges'!$C$117:$C$128,'Risk Charges'!D$117:D$128,,0)</f>
        <v>0.41299999999999998</v>
      </c>
      <c r="X149" s="90">
        <f>_xlfn.XLOOKUP($V149,'Risk Charges'!$C$117:$C$128,'Risk Charges'!E$117:E$128,,0)</f>
        <v>0.35</v>
      </c>
      <c r="Y149" s="90">
        <f>_xlfn.XLOOKUP($V149,'Risk Charges'!$C$117:$C$128,'Risk Charges'!F$117:F$128,,0)</f>
        <v>0.3</v>
      </c>
      <c r="Z149" s="90">
        <f>_xlfn.XLOOKUP($V149,'Risk Charges'!$C$117:$C$128,'Risk Charges'!G$117:G$128,,0)</f>
        <v>0.25</v>
      </c>
      <c r="AA149" s="90">
        <f>_xlfn.XLOOKUP($V149,'Risk Charges'!$C$132:$C$143,'Risk Charges'!D$132:D$143,,0)</f>
        <v>0.51600000000000001</v>
      </c>
      <c r="AB149" s="90">
        <f>_xlfn.XLOOKUP($V149,'Risk Charges'!$C$132:$C$143,'Risk Charges'!E$132:E$143,,0)</f>
        <v>0.438</v>
      </c>
      <c r="AC149" s="90">
        <f>_xlfn.XLOOKUP($V149,'Risk Charges'!$C$132:$C$143,'Risk Charges'!F$132:F$143,,0)</f>
        <v>0.375</v>
      </c>
      <c r="AD149" s="90">
        <f>_xlfn.XLOOKUP($V149,'Risk Charges'!$C$132:$C$143,'Risk Charges'!G$132:G$143,,0)</f>
        <v>0.313</v>
      </c>
      <c r="BM149" s="16"/>
    </row>
    <row r="150" spans="2:65" hidden="1" outlineLevel="1" x14ac:dyDescent="0.3">
      <c r="B150" s="88"/>
      <c r="D150" s="16" t="str">
        <f t="shared" si="18"/>
        <v>Mexico farm &amp; ranch</v>
      </c>
      <c r="E150" s="194">
        <f>W150*Input!$F544</f>
        <v>0</v>
      </c>
      <c r="F150" s="194">
        <f>X150*Input!$F544</f>
        <v>0</v>
      </c>
      <c r="G150" s="194">
        <f>Y150*Input!$F544</f>
        <v>0</v>
      </c>
      <c r="H150" s="194">
        <f>Z150*Input!$F544</f>
        <v>0</v>
      </c>
      <c r="K150" s="88"/>
      <c r="M150" s="16" t="str">
        <f t="shared" si="19"/>
        <v>Mexico farm &amp; ranch</v>
      </c>
      <c r="N150" s="194">
        <f>AA150*Input!$G544</f>
        <v>0</v>
      </c>
      <c r="O150" s="194">
        <f>AB150*Input!$G544</f>
        <v>0</v>
      </c>
      <c r="P150" s="194">
        <f>AC150*Input!$G544</f>
        <v>0</v>
      </c>
      <c r="Q150" s="194">
        <f>AD150*Input!$G544</f>
        <v>0</v>
      </c>
      <c r="S150" s="88"/>
      <c r="T150" s="16" t="s">
        <v>1012</v>
      </c>
      <c r="U150" s="89" t="s">
        <v>258</v>
      </c>
      <c r="V150" s="74">
        <v>12</v>
      </c>
      <c r="W150" s="90">
        <f>_xlfn.XLOOKUP($V150,'Risk Charges'!$C$117:$C$128,'Risk Charges'!D$117:D$128,,0)</f>
        <v>0.99</v>
      </c>
      <c r="X150" s="90">
        <f>_xlfn.XLOOKUP($V150,'Risk Charges'!$C$117:$C$128,'Risk Charges'!E$117:E$128,,0)</f>
        <v>0.84</v>
      </c>
      <c r="Y150" s="90">
        <f>_xlfn.XLOOKUP($V150,'Risk Charges'!$C$117:$C$128,'Risk Charges'!F$117:F$128,,0)</f>
        <v>0.72</v>
      </c>
      <c r="Z150" s="90">
        <f>_xlfn.XLOOKUP($V150,'Risk Charges'!$C$117:$C$128,'Risk Charges'!G$117:G$128,,0)</f>
        <v>0.6</v>
      </c>
      <c r="AA150" s="90">
        <f>_xlfn.XLOOKUP($V150,'Risk Charges'!$C$132:$C$143,'Risk Charges'!D$132:D$143,,0)</f>
        <v>1.238</v>
      </c>
      <c r="AB150" s="90">
        <f>_xlfn.XLOOKUP($V150,'Risk Charges'!$C$132:$C$143,'Risk Charges'!E$132:E$143,,0)</f>
        <v>1.05</v>
      </c>
      <c r="AC150" s="90">
        <f>_xlfn.XLOOKUP($V150,'Risk Charges'!$C$132:$C$143,'Risk Charges'!F$132:F$143,,0)</f>
        <v>0.9</v>
      </c>
      <c r="AD150" s="90">
        <f>_xlfn.XLOOKUP($V150,'Risk Charges'!$C$132:$C$143,'Risk Charges'!G$132:G$143,,0)</f>
        <v>0.75</v>
      </c>
      <c r="BM150" s="16"/>
    </row>
    <row r="151" spans="2:65" hidden="1" outlineLevel="1" x14ac:dyDescent="0.3">
      <c r="B151" s="88"/>
      <c r="D151" s="16" t="str">
        <f t="shared" si="18"/>
        <v>Property all inclusive</v>
      </c>
      <c r="E151" s="194">
        <f>W151*Input!$F545</f>
        <v>0</v>
      </c>
      <c r="F151" s="194">
        <f>X151*Input!$F545</f>
        <v>0</v>
      </c>
      <c r="G151" s="194">
        <f>Y151*Input!$F545</f>
        <v>0</v>
      </c>
      <c r="H151" s="194">
        <f>Z151*Input!$F545</f>
        <v>0</v>
      </c>
      <c r="K151" s="88"/>
      <c r="M151" s="16" t="str">
        <f t="shared" si="19"/>
        <v>Property all inclusive</v>
      </c>
      <c r="N151" s="194">
        <f>AA151*Input!$G545</f>
        <v>0</v>
      </c>
      <c r="O151" s="194">
        <f>AB151*Input!$G545</f>
        <v>0</v>
      </c>
      <c r="P151" s="194">
        <f>AC151*Input!$G545</f>
        <v>0</v>
      </c>
      <c r="Q151" s="194">
        <f>AD151*Input!$G545</f>
        <v>0</v>
      </c>
      <c r="S151" s="88"/>
      <c r="T151" s="16" t="s">
        <v>1013</v>
      </c>
      <c r="U151" s="89" t="s">
        <v>258</v>
      </c>
      <c r="V151" s="74">
        <v>7</v>
      </c>
      <c r="W151" s="90">
        <f>_xlfn.XLOOKUP($V151,'Risk Charges'!$C$117:$C$128,'Risk Charges'!D$117:D$128,,0)</f>
        <v>0.41299999999999998</v>
      </c>
      <c r="X151" s="90">
        <f>_xlfn.XLOOKUP($V151,'Risk Charges'!$C$117:$C$128,'Risk Charges'!E$117:E$128,,0)</f>
        <v>0.35</v>
      </c>
      <c r="Y151" s="90">
        <f>_xlfn.XLOOKUP($V151,'Risk Charges'!$C$117:$C$128,'Risk Charges'!F$117:F$128,,0)</f>
        <v>0.3</v>
      </c>
      <c r="Z151" s="90">
        <f>_xlfn.XLOOKUP($V151,'Risk Charges'!$C$117:$C$128,'Risk Charges'!G$117:G$128,,0)</f>
        <v>0.25</v>
      </c>
      <c r="AA151" s="90">
        <f>_xlfn.XLOOKUP($V151,'Risk Charges'!$C$132:$C$143,'Risk Charges'!D$132:D$143,,0)</f>
        <v>0.51600000000000001</v>
      </c>
      <c r="AB151" s="90">
        <f>_xlfn.XLOOKUP($V151,'Risk Charges'!$C$132:$C$143,'Risk Charges'!E$132:E$143,,0)</f>
        <v>0.438</v>
      </c>
      <c r="AC151" s="90">
        <f>_xlfn.XLOOKUP($V151,'Risk Charges'!$C$132:$C$143,'Risk Charges'!F$132:F$143,,0)</f>
        <v>0.375</v>
      </c>
      <c r="AD151" s="90">
        <f>_xlfn.XLOOKUP($V151,'Risk Charges'!$C$132:$C$143,'Risk Charges'!G$132:G$143,,0)</f>
        <v>0.313</v>
      </c>
      <c r="AY151" s="16"/>
      <c r="AZ151" s="11"/>
      <c r="BA151" s="11"/>
      <c r="BB151" s="11"/>
      <c r="BC151" s="11"/>
      <c r="BD151" s="11"/>
      <c r="BE151" s="11"/>
      <c r="BF151" s="11"/>
      <c r="BH151" s="11"/>
      <c r="BI151" s="11"/>
      <c r="BJ151" s="11"/>
      <c r="BM151" s="16"/>
    </row>
    <row r="152" spans="2:65" hidden="1" outlineLevel="1" x14ac:dyDescent="0.3">
      <c r="B152" s="88"/>
      <c r="D152" s="16" t="str">
        <f t="shared" si="18"/>
        <v>Motor all inclusive</v>
      </c>
      <c r="E152" s="194">
        <f>W152*Input!$F546</f>
        <v>0</v>
      </c>
      <c r="F152" s="194">
        <f>X152*Input!$F546</f>
        <v>0</v>
      </c>
      <c r="G152" s="194">
        <f>Y152*Input!$F546</f>
        <v>0</v>
      </c>
      <c r="H152" s="194">
        <f>Z152*Input!$F546</f>
        <v>0</v>
      </c>
      <c r="K152" s="88"/>
      <c r="M152" s="16" t="str">
        <f t="shared" si="19"/>
        <v>Motor all inclusive</v>
      </c>
      <c r="N152" s="194">
        <f>AA152*Input!$G546</f>
        <v>0</v>
      </c>
      <c r="O152" s="194">
        <f>AB152*Input!$G546</f>
        <v>0</v>
      </c>
      <c r="P152" s="194">
        <f>AC152*Input!$G546</f>
        <v>0</v>
      </c>
      <c r="Q152" s="194">
        <f>AD152*Input!$G546</f>
        <v>0</v>
      </c>
      <c r="S152" s="88"/>
      <c r="T152" s="16" t="s">
        <v>1014</v>
      </c>
      <c r="U152" s="89" t="s">
        <v>259</v>
      </c>
      <c r="V152" s="74">
        <v>4</v>
      </c>
      <c r="W152" s="90">
        <f>_xlfn.XLOOKUP($V152,'Risk Charges'!$C$117:$C$128,'Risk Charges'!D$117:D$128,,0)</f>
        <v>0.16500000000000001</v>
      </c>
      <c r="X152" s="90">
        <f>_xlfn.XLOOKUP($V152,'Risk Charges'!$C$117:$C$128,'Risk Charges'!E$117:E$128,,0)</f>
        <v>0.14000000000000001</v>
      </c>
      <c r="Y152" s="90">
        <f>_xlfn.XLOOKUP($V152,'Risk Charges'!$C$117:$C$128,'Risk Charges'!F$117:F$128,,0)</f>
        <v>0.12</v>
      </c>
      <c r="Z152" s="90">
        <f>_xlfn.XLOOKUP($V152,'Risk Charges'!$C$117:$C$128,'Risk Charges'!G$117:G$128,,0)</f>
        <v>0.1</v>
      </c>
      <c r="AA152" s="90">
        <f>_xlfn.XLOOKUP($V152,'Risk Charges'!$C$132:$C$143,'Risk Charges'!D$132:D$143,,0)</f>
        <v>0.20599999999999999</v>
      </c>
      <c r="AB152" s="90">
        <f>_xlfn.XLOOKUP($V152,'Risk Charges'!$C$132:$C$143,'Risk Charges'!E$132:E$143,,0)</f>
        <v>0.17499999999999999</v>
      </c>
      <c r="AC152" s="90">
        <f>_xlfn.XLOOKUP($V152,'Risk Charges'!$C$132:$C$143,'Risk Charges'!F$132:F$143,,0)</f>
        <v>0.15</v>
      </c>
      <c r="AD152" s="90">
        <f>_xlfn.XLOOKUP($V152,'Risk Charges'!$C$132:$C$143,'Risk Charges'!G$132:G$143,,0)</f>
        <v>0.125</v>
      </c>
      <c r="AL152" s="11"/>
      <c r="AY152" s="16"/>
      <c r="BA152" s="61"/>
      <c r="BB152" s="61"/>
      <c r="BC152" s="61"/>
      <c r="BD152" s="61"/>
      <c r="BE152" s="61"/>
      <c r="BF152" s="61"/>
      <c r="BH152" s="61"/>
      <c r="BI152" s="61"/>
      <c r="BJ152" s="61"/>
      <c r="BM152" s="16"/>
    </row>
    <row r="153" spans="2:65" hidden="1" outlineLevel="1" x14ac:dyDescent="0.3">
      <c r="B153" s="88"/>
      <c r="D153" s="16" t="str">
        <f t="shared" si="18"/>
        <v>Credit</v>
      </c>
      <c r="E153" s="194">
        <f>W153*Input!$F547</f>
        <v>0</v>
      </c>
      <c r="F153" s="194">
        <f>X153*Input!$F547</f>
        <v>0</v>
      </c>
      <c r="G153" s="194">
        <f>Y153*Input!$F547</f>
        <v>0</v>
      </c>
      <c r="H153" s="194">
        <f>Z153*Input!$F547</f>
        <v>0</v>
      </c>
      <c r="K153" s="88"/>
      <c r="M153" s="16" t="str">
        <f t="shared" si="19"/>
        <v>Credit</v>
      </c>
      <c r="N153" s="194">
        <f>AA153*Input!$G547</f>
        <v>0</v>
      </c>
      <c r="O153" s="194">
        <f>AB153*Input!$G547</f>
        <v>0</v>
      </c>
      <c r="P153" s="194">
        <f>AC153*Input!$G547</f>
        <v>0</v>
      </c>
      <c r="Q153" s="194">
        <f>AD153*Input!$G547</f>
        <v>0</v>
      </c>
      <c r="S153" s="88"/>
      <c r="T153" s="16" t="s">
        <v>374</v>
      </c>
      <c r="U153" s="89" t="s">
        <v>9</v>
      </c>
      <c r="V153" s="74">
        <v>11</v>
      </c>
      <c r="W153" s="90">
        <f>_xlfn.XLOOKUP($V153,'Risk Charges'!$C$117:$C$128,'Risk Charges'!D$117:D$128,,0)</f>
        <v>0.82499999999999996</v>
      </c>
      <c r="X153" s="90">
        <f>_xlfn.XLOOKUP($V153,'Risk Charges'!$C$117:$C$128,'Risk Charges'!E$117:E$128,,0)</f>
        <v>0.7</v>
      </c>
      <c r="Y153" s="90">
        <f>_xlfn.XLOOKUP($V153,'Risk Charges'!$C$117:$C$128,'Risk Charges'!F$117:F$128,,0)</f>
        <v>0.6</v>
      </c>
      <c r="Z153" s="90">
        <f>_xlfn.XLOOKUP($V153,'Risk Charges'!$C$117:$C$128,'Risk Charges'!G$117:G$128,,0)</f>
        <v>0.5</v>
      </c>
      <c r="AA153" s="90">
        <f>_xlfn.XLOOKUP($V153,'Risk Charges'!$C$132:$C$143,'Risk Charges'!D$132:D$143,,0)</f>
        <v>1.0309999999999999</v>
      </c>
      <c r="AB153" s="90">
        <f>_xlfn.XLOOKUP($V153,'Risk Charges'!$C$132:$C$143,'Risk Charges'!E$132:E$143,,0)</f>
        <v>0.875</v>
      </c>
      <c r="AC153" s="90">
        <f>_xlfn.XLOOKUP($V153,'Risk Charges'!$C$132:$C$143,'Risk Charges'!F$132:F$143,,0)</f>
        <v>0.75</v>
      </c>
      <c r="AD153" s="90">
        <f>_xlfn.XLOOKUP($V153,'Risk Charges'!$C$132:$C$143,'Risk Charges'!G$132:G$143,,0)</f>
        <v>0.625</v>
      </c>
      <c r="AL153" s="11"/>
      <c r="AY153" s="16"/>
      <c r="BA153" s="94"/>
      <c r="BM153" s="16"/>
    </row>
    <row r="154" spans="2:65" hidden="1" outlineLevel="1" x14ac:dyDescent="0.3">
      <c r="B154" s="88"/>
      <c r="D154" s="16" t="str">
        <f t="shared" si="18"/>
        <v>Fidelity</v>
      </c>
      <c r="E154" s="194">
        <f>W154*Input!$F548</f>
        <v>0</v>
      </c>
      <c r="F154" s="194">
        <f>X154*Input!$F548</f>
        <v>0</v>
      </c>
      <c r="G154" s="194">
        <f>Y154*Input!$F548</f>
        <v>0</v>
      </c>
      <c r="H154" s="194">
        <f>Z154*Input!$F548</f>
        <v>0</v>
      </c>
      <c r="K154" s="88"/>
      <c r="M154" s="16" t="str">
        <f t="shared" si="19"/>
        <v>Fidelity</v>
      </c>
      <c r="N154" s="194">
        <f>AA154*Input!$G548</f>
        <v>0</v>
      </c>
      <c r="O154" s="194">
        <f>AB154*Input!$G548</f>
        <v>0</v>
      </c>
      <c r="P154" s="194">
        <f>AC154*Input!$G548</f>
        <v>0</v>
      </c>
      <c r="Q154" s="194">
        <f>AD154*Input!$G548</f>
        <v>0</v>
      </c>
      <c r="S154" s="88"/>
      <c r="T154" s="16" t="s">
        <v>375</v>
      </c>
      <c r="U154" s="89" t="s">
        <v>9</v>
      </c>
      <c r="V154" s="74">
        <v>10</v>
      </c>
      <c r="W154" s="90">
        <f>_xlfn.XLOOKUP($V154,'Risk Charges'!$C$117:$C$128,'Risk Charges'!D$117:D$128,,0)</f>
        <v>0.66</v>
      </c>
      <c r="X154" s="90">
        <f>_xlfn.XLOOKUP($V154,'Risk Charges'!$C$117:$C$128,'Risk Charges'!E$117:E$128,,0)</f>
        <v>0.56000000000000005</v>
      </c>
      <c r="Y154" s="90">
        <f>_xlfn.XLOOKUP($V154,'Risk Charges'!$C$117:$C$128,'Risk Charges'!F$117:F$128,,0)</f>
        <v>0.48</v>
      </c>
      <c r="Z154" s="90">
        <f>_xlfn.XLOOKUP($V154,'Risk Charges'!$C$117:$C$128,'Risk Charges'!G$117:G$128,,0)</f>
        <v>0.4</v>
      </c>
      <c r="AA154" s="90">
        <f>_xlfn.XLOOKUP($V154,'Risk Charges'!$C$132:$C$143,'Risk Charges'!D$132:D$143,,0)</f>
        <v>0.82499999999999996</v>
      </c>
      <c r="AB154" s="90">
        <f>_xlfn.XLOOKUP($V154,'Risk Charges'!$C$132:$C$143,'Risk Charges'!E$132:E$143,,0)</f>
        <v>0.7</v>
      </c>
      <c r="AC154" s="90">
        <f>_xlfn.XLOOKUP($V154,'Risk Charges'!$C$132:$C$143,'Risk Charges'!F$132:F$143,,0)</f>
        <v>0.6</v>
      </c>
      <c r="AD154" s="90">
        <f>_xlfn.XLOOKUP($V154,'Risk Charges'!$C$132:$C$143,'Risk Charges'!G$132:G$143,,0)</f>
        <v>0.5</v>
      </c>
      <c r="AL154" s="11"/>
      <c r="AY154" s="16"/>
      <c r="BA154" s="94"/>
      <c r="BM154" s="16"/>
    </row>
    <row r="155" spans="2:65" hidden="1" outlineLevel="1" x14ac:dyDescent="0.3">
      <c r="B155" s="88"/>
      <c r="D155" s="16" t="str">
        <f t="shared" si="18"/>
        <v>Surety</v>
      </c>
      <c r="E155" s="194">
        <f>W155*Input!$F549</f>
        <v>0</v>
      </c>
      <c r="F155" s="194">
        <f>X155*Input!$F549</f>
        <v>0</v>
      </c>
      <c r="G155" s="194">
        <f>Y155*Input!$F549</f>
        <v>0</v>
      </c>
      <c r="H155" s="194">
        <f>Z155*Input!$F549</f>
        <v>0</v>
      </c>
      <c r="K155" s="88"/>
      <c r="M155" s="16" t="str">
        <f t="shared" si="19"/>
        <v>Surety</v>
      </c>
      <c r="N155" s="194">
        <f>AA155*Input!$G549</f>
        <v>0</v>
      </c>
      <c r="O155" s="194">
        <f>AB155*Input!$G549</f>
        <v>0</v>
      </c>
      <c r="P155" s="194">
        <f>AC155*Input!$G549</f>
        <v>0</v>
      </c>
      <c r="Q155" s="194">
        <f>AD155*Input!$G549</f>
        <v>0</v>
      </c>
      <c r="S155" s="88"/>
      <c r="T155" s="16" t="s">
        <v>376</v>
      </c>
      <c r="U155" s="89" t="s">
        <v>9</v>
      </c>
      <c r="V155" s="74">
        <v>11</v>
      </c>
      <c r="W155" s="90">
        <f>_xlfn.XLOOKUP($V155,'Risk Charges'!$C$117:$C$128,'Risk Charges'!D$117:D$128,,0)</f>
        <v>0.82499999999999996</v>
      </c>
      <c r="X155" s="90">
        <f>_xlfn.XLOOKUP($V155,'Risk Charges'!$C$117:$C$128,'Risk Charges'!E$117:E$128,,0)</f>
        <v>0.7</v>
      </c>
      <c r="Y155" s="90">
        <f>_xlfn.XLOOKUP($V155,'Risk Charges'!$C$117:$C$128,'Risk Charges'!F$117:F$128,,0)</f>
        <v>0.6</v>
      </c>
      <c r="Z155" s="90">
        <f>_xlfn.XLOOKUP($V155,'Risk Charges'!$C$117:$C$128,'Risk Charges'!G$117:G$128,,0)</f>
        <v>0.5</v>
      </c>
      <c r="AA155" s="90">
        <f>_xlfn.XLOOKUP($V155,'Risk Charges'!$C$132:$C$143,'Risk Charges'!D$132:D$143,,0)</f>
        <v>1.0309999999999999</v>
      </c>
      <c r="AB155" s="90">
        <f>_xlfn.XLOOKUP($V155,'Risk Charges'!$C$132:$C$143,'Risk Charges'!E$132:E$143,,0)</f>
        <v>0.875</v>
      </c>
      <c r="AC155" s="90">
        <f>_xlfn.XLOOKUP($V155,'Risk Charges'!$C$132:$C$143,'Risk Charges'!F$132:F$143,,0)</f>
        <v>0.75</v>
      </c>
      <c r="AD155" s="90">
        <f>_xlfn.XLOOKUP($V155,'Risk Charges'!$C$132:$C$143,'Risk Charges'!G$132:G$143,,0)</f>
        <v>0.625</v>
      </c>
      <c r="AL155" s="11"/>
      <c r="AY155" s="16"/>
      <c r="BM155" s="16"/>
    </row>
    <row r="156" spans="2:65" hidden="1" outlineLevel="1" x14ac:dyDescent="0.3">
      <c r="B156" s="88"/>
      <c r="D156" s="16" t="str">
        <f t="shared" si="18"/>
        <v>Accident &amp; health</v>
      </c>
      <c r="E156" s="194">
        <f>W156*Input!$F550</f>
        <v>0</v>
      </c>
      <c r="F156" s="194">
        <f>X156*Input!$F550</f>
        <v>0</v>
      </c>
      <c r="G156" s="194">
        <f>Y156*Input!$F550</f>
        <v>0</v>
      </c>
      <c r="H156" s="194">
        <f>Z156*Input!$F550</f>
        <v>0</v>
      </c>
      <c r="K156" s="88"/>
      <c r="M156" s="16" t="str">
        <f t="shared" si="19"/>
        <v>Accident &amp; health</v>
      </c>
      <c r="N156" s="194">
        <f>AA156*Input!$G550</f>
        <v>0</v>
      </c>
      <c r="O156" s="194">
        <f>AB156*Input!$G550</f>
        <v>0</v>
      </c>
      <c r="P156" s="194">
        <f>AC156*Input!$G550</f>
        <v>0</v>
      </c>
      <c r="Q156" s="194">
        <f>AD156*Input!$G550</f>
        <v>0</v>
      </c>
      <c r="S156" s="88"/>
      <c r="T156" s="16" t="s">
        <v>994</v>
      </c>
      <c r="U156" s="89" t="s">
        <v>261</v>
      </c>
      <c r="V156" s="74">
        <v>6</v>
      </c>
      <c r="W156" s="90">
        <f>_xlfn.XLOOKUP($V156,'Risk Charges'!$C$117:$C$128,'Risk Charges'!D$117:D$128,,0)</f>
        <v>0.33</v>
      </c>
      <c r="X156" s="90">
        <f>_xlfn.XLOOKUP($V156,'Risk Charges'!$C$117:$C$128,'Risk Charges'!E$117:E$128,,0)</f>
        <v>0.28000000000000003</v>
      </c>
      <c r="Y156" s="90">
        <f>_xlfn.XLOOKUP($V156,'Risk Charges'!$C$117:$C$128,'Risk Charges'!F$117:F$128,,0)</f>
        <v>0.24</v>
      </c>
      <c r="Z156" s="90">
        <f>_xlfn.XLOOKUP($V156,'Risk Charges'!$C$117:$C$128,'Risk Charges'!G$117:G$128,,0)</f>
        <v>0.2</v>
      </c>
      <c r="AA156" s="90">
        <f>_xlfn.XLOOKUP($V156,'Risk Charges'!$C$132:$C$143,'Risk Charges'!D$132:D$143,,0)</f>
        <v>0.41299999999999998</v>
      </c>
      <c r="AB156" s="90">
        <f>_xlfn.XLOOKUP($V156,'Risk Charges'!$C$132:$C$143,'Risk Charges'!E$132:E$143,,0)</f>
        <v>0.35</v>
      </c>
      <c r="AC156" s="90">
        <f>_xlfn.XLOOKUP($V156,'Risk Charges'!$C$132:$C$143,'Risk Charges'!F$132:F$143,,0)</f>
        <v>0.3</v>
      </c>
      <c r="AD156" s="90">
        <f>_xlfn.XLOOKUP($V156,'Risk Charges'!$C$132:$C$143,'Risk Charges'!G$132:G$143,,0)</f>
        <v>0.25</v>
      </c>
      <c r="AL156" s="16"/>
      <c r="AY156" s="16"/>
      <c r="BM156" s="16"/>
    </row>
    <row r="157" spans="2:65" hidden="1" outlineLevel="1" x14ac:dyDescent="0.3">
      <c r="B157" s="88"/>
      <c r="D157" s="16" t="str">
        <f t="shared" si="18"/>
        <v>Health &amp; medical exp</v>
      </c>
      <c r="E157" s="194">
        <f>W157*Input!$F551</f>
        <v>0</v>
      </c>
      <c r="F157" s="194">
        <f>X157*Input!$F551</f>
        <v>0</v>
      </c>
      <c r="G157" s="194">
        <f>Y157*Input!$F551</f>
        <v>0</v>
      </c>
      <c r="H157" s="194">
        <f>Z157*Input!$F551</f>
        <v>0</v>
      </c>
      <c r="M157" s="16" t="str">
        <f t="shared" si="19"/>
        <v>Health &amp; medical exp</v>
      </c>
      <c r="N157" s="194">
        <f>AA157*Input!$G551</f>
        <v>0</v>
      </c>
      <c r="O157" s="194">
        <f>AB157*Input!$G551</f>
        <v>0</v>
      </c>
      <c r="P157" s="194">
        <f>AC157*Input!$G551</f>
        <v>0</v>
      </c>
      <c r="Q157" s="194">
        <f>AD157*Input!$G551</f>
        <v>0</v>
      </c>
      <c r="S157" s="61"/>
      <c r="T157" s="94" t="s">
        <v>1015</v>
      </c>
      <c r="U157" s="89" t="s">
        <v>261</v>
      </c>
      <c r="V157" s="74">
        <v>3</v>
      </c>
      <c r="W157" s="90">
        <f>_xlfn.XLOOKUP($V157,'Risk Charges'!$C$117:$C$128,'Risk Charges'!D$117:D$128,,0)</f>
        <v>0.124</v>
      </c>
      <c r="X157" s="90">
        <f>_xlfn.XLOOKUP($V157,'Risk Charges'!$C$117:$C$128,'Risk Charges'!E$117:E$128,,0)</f>
        <v>0.105</v>
      </c>
      <c r="Y157" s="90">
        <f>_xlfn.XLOOKUP($V157,'Risk Charges'!$C$117:$C$128,'Risk Charges'!F$117:F$128,,0)</f>
        <v>0.09</v>
      </c>
      <c r="Z157" s="90">
        <f>_xlfn.XLOOKUP($V157,'Risk Charges'!$C$117:$C$128,'Risk Charges'!G$117:G$128,,0)</f>
        <v>7.4999999999999997E-2</v>
      </c>
      <c r="AA157" s="90">
        <f>_xlfn.XLOOKUP($V157,'Risk Charges'!$C$132:$C$143,'Risk Charges'!D$132:D$143,,0)</f>
        <v>0.155</v>
      </c>
      <c r="AB157" s="90">
        <f>_xlfn.XLOOKUP($V157,'Risk Charges'!$C$132:$C$143,'Risk Charges'!E$132:E$143,,0)</f>
        <v>0.13100000000000001</v>
      </c>
      <c r="AC157" s="90">
        <f>_xlfn.XLOOKUP($V157,'Risk Charges'!$C$132:$C$143,'Risk Charges'!F$132:F$143,,0)</f>
        <v>0.113</v>
      </c>
      <c r="AD157" s="90">
        <f>_xlfn.XLOOKUP($V157,'Risk Charges'!$C$132:$C$143,'Risk Charges'!G$132:G$143,,0)</f>
        <v>9.4E-2</v>
      </c>
      <c r="AL157" s="11"/>
      <c r="AY157" s="16"/>
      <c r="BM157" s="16"/>
    </row>
    <row r="158" spans="2:65" hidden="1" outlineLevel="1" x14ac:dyDescent="0.3">
      <c r="B158" s="88"/>
      <c r="D158" s="16" t="str">
        <f t="shared" si="18"/>
        <v>Marine, Aviation - all inclusive</v>
      </c>
      <c r="E158" s="194">
        <f>W158*Input!$F552</f>
        <v>0</v>
      </c>
      <c r="F158" s="194">
        <f>X158*Input!$F552</f>
        <v>0</v>
      </c>
      <c r="G158" s="194">
        <f>Y158*Input!$F552</f>
        <v>0</v>
      </c>
      <c r="H158" s="194">
        <f>Z158*Input!$F552</f>
        <v>0</v>
      </c>
      <c r="M158" s="16" t="str">
        <f t="shared" si="19"/>
        <v>Marine, Aviation - all inclusive</v>
      </c>
      <c r="N158" s="194">
        <f>AA158*Input!$G552</f>
        <v>0</v>
      </c>
      <c r="O158" s="194">
        <f>AB158*Input!$G552</f>
        <v>0</v>
      </c>
      <c r="P158" s="194">
        <f>AC158*Input!$G552</f>
        <v>0</v>
      </c>
      <c r="Q158" s="194">
        <f>AD158*Input!$G552</f>
        <v>0</v>
      </c>
      <c r="S158" s="61"/>
      <c r="T158" s="16" t="s">
        <v>1016</v>
      </c>
      <c r="U158" s="89" t="s">
        <v>411</v>
      </c>
      <c r="V158" s="74">
        <v>12</v>
      </c>
      <c r="W158" s="90">
        <f>_xlfn.XLOOKUP($V158,'Risk Charges'!$C$117:$C$128,'Risk Charges'!D$117:D$128,,0)</f>
        <v>0.99</v>
      </c>
      <c r="X158" s="90">
        <f>_xlfn.XLOOKUP($V158,'Risk Charges'!$C$117:$C$128,'Risk Charges'!E$117:E$128,,0)</f>
        <v>0.84</v>
      </c>
      <c r="Y158" s="90">
        <f>_xlfn.XLOOKUP($V158,'Risk Charges'!$C$117:$C$128,'Risk Charges'!F$117:F$128,,0)</f>
        <v>0.72</v>
      </c>
      <c r="Z158" s="90">
        <f>_xlfn.XLOOKUP($V158,'Risk Charges'!$C$117:$C$128,'Risk Charges'!G$117:G$128,,0)</f>
        <v>0.6</v>
      </c>
      <c r="AA158" s="90">
        <f>_xlfn.XLOOKUP($V158,'Risk Charges'!$C$132:$C$143,'Risk Charges'!D$132:D$143,,0)</f>
        <v>1.238</v>
      </c>
      <c r="AB158" s="90">
        <f>_xlfn.XLOOKUP($V158,'Risk Charges'!$C$132:$C$143,'Risk Charges'!E$132:E$143,,0)</f>
        <v>1.05</v>
      </c>
      <c r="AC158" s="90">
        <f>_xlfn.XLOOKUP($V158,'Risk Charges'!$C$132:$C$143,'Risk Charges'!F$132:F$143,,0)</f>
        <v>0.9</v>
      </c>
      <c r="AD158" s="90">
        <f>_xlfn.XLOOKUP($V158,'Risk Charges'!$C$132:$C$143,'Risk Charges'!G$132:G$143,,0)</f>
        <v>0.75</v>
      </c>
      <c r="AY158" s="16"/>
      <c r="BA158" s="62"/>
      <c r="BM158" s="16"/>
    </row>
    <row r="159" spans="2:65" hidden="1" outlineLevel="1" x14ac:dyDescent="0.3">
      <c r="B159" s="88"/>
      <c r="D159" s="16" t="str">
        <f t="shared" si="18"/>
        <v>Marine, Aviation - cargo</v>
      </c>
      <c r="E159" s="194">
        <f>W159*Input!$F553</f>
        <v>0</v>
      </c>
      <c r="F159" s="194">
        <f>X159*Input!$F553</f>
        <v>0</v>
      </c>
      <c r="G159" s="194">
        <f>Y159*Input!$F553</f>
        <v>0</v>
      </c>
      <c r="H159" s="194">
        <f>Z159*Input!$F553</f>
        <v>0</v>
      </c>
      <c r="M159" s="16" t="str">
        <f t="shared" si="19"/>
        <v>Marine, Aviation - cargo</v>
      </c>
      <c r="N159" s="194">
        <f>AA159*Input!$G553</f>
        <v>0</v>
      </c>
      <c r="O159" s="194">
        <f>AB159*Input!$G553</f>
        <v>0</v>
      </c>
      <c r="P159" s="194">
        <f>AC159*Input!$G553</f>
        <v>0</v>
      </c>
      <c r="Q159" s="194">
        <f>AD159*Input!$G553</f>
        <v>0</v>
      </c>
      <c r="S159" s="61"/>
      <c r="T159" s="16" t="s">
        <v>1017</v>
      </c>
      <c r="U159" s="89" t="s">
        <v>411</v>
      </c>
      <c r="V159" s="74">
        <v>6</v>
      </c>
      <c r="W159" s="90">
        <f>_xlfn.XLOOKUP($V159,'Risk Charges'!$C$117:$C$128,'Risk Charges'!D$117:D$128,,0)</f>
        <v>0.33</v>
      </c>
      <c r="X159" s="90">
        <f>_xlfn.XLOOKUP($V159,'Risk Charges'!$C$117:$C$128,'Risk Charges'!E$117:E$128,,0)</f>
        <v>0.28000000000000003</v>
      </c>
      <c r="Y159" s="90">
        <f>_xlfn.XLOOKUP($V159,'Risk Charges'!$C$117:$C$128,'Risk Charges'!F$117:F$128,,0)</f>
        <v>0.24</v>
      </c>
      <c r="Z159" s="90">
        <f>_xlfn.XLOOKUP($V159,'Risk Charges'!$C$117:$C$128,'Risk Charges'!G$117:G$128,,0)</f>
        <v>0.2</v>
      </c>
      <c r="AA159" s="90">
        <f>_xlfn.XLOOKUP($V159,'Risk Charges'!$C$132:$C$143,'Risk Charges'!D$132:D$143,,0)</f>
        <v>0.41299999999999998</v>
      </c>
      <c r="AB159" s="90">
        <f>_xlfn.XLOOKUP($V159,'Risk Charges'!$C$132:$C$143,'Risk Charges'!E$132:E$143,,0)</f>
        <v>0.35</v>
      </c>
      <c r="AC159" s="90">
        <f>_xlfn.XLOOKUP($V159,'Risk Charges'!$C$132:$C$143,'Risk Charges'!F$132:F$143,,0)</f>
        <v>0.3</v>
      </c>
      <c r="AD159" s="90">
        <f>_xlfn.XLOOKUP($V159,'Risk Charges'!$C$132:$C$143,'Risk Charges'!G$132:G$143,,0)</f>
        <v>0.25</v>
      </c>
      <c r="AY159" s="16"/>
      <c r="AZ159" s="16"/>
      <c r="BA159" s="62"/>
      <c r="BM159" s="16"/>
    </row>
    <row r="160" spans="2:65" hidden="1" outlineLevel="1" x14ac:dyDescent="0.3">
      <c r="B160" s="11"/>
      <c r="D160" s="16" t="str">
        <f t="shared" si="18"/>
        <v>Marine protection &amp; indemnity</v>
      </c>
      <c r="E160" s="194">
        <f>W160*Input!$F554</f>
        <v>0</v>
      </c>
      <c r="F160" s="194">
        <f>X160*Input!$F554</f>
        <v>0</v>
      </c>
      <c r="G160" s="194">
        <f>Y160*Input!$F554</f>
        <v>0</v>
      </c>
      <c r="H160" s="194">
        <f>Z160*Input!$F554</f>
        <v>0</v>
      </c>
      <c r="K160" s="11"/>
      <c r="M160" s="16" t="str">
        <f t="shared" si="19"/>
        <v>Marine protection &amp; indemnity</v>
      </c>
      <c r="N160" s="194">
        <f>AA160*Input!$G554</f>
        <v>0</v>
      </c>
      <c r="O160" s="194">
        <f>AB160*Input!$G554</f>
        <v>0</v>
      </c>
      <c r="P160" s="194">
        <f>AC160*Input!$G554</f>
        <v>0</v>
      </c>
      <c r="Q160" s="194">
        <f>AD160*Input!$G554</f>
        <v>0</v>
      </c>
      <c r="S160" s="11"/>
      <c r="T160" s="16" t="s">
        <v>4130</v>
      </c>
      <c r="U160" s="89" t="s">
        <v>411</v>
      </c>
      <c r="V160" s="74">
        <v>8</v>
      </c>
      <c r="W160" s="90">
        <f>_xlfn.XLOOKUP($V160,'Risk Charges'!$C$117:$C$128,'Risk Charges'!D$117:D$128,,0)</f>
        <v>0.495</v>
      </c>
      <c r="X160" s="90">
        <f>_xlfn.XLOOKUP($V160,'Risk Charges'!$C$117:$C$128,'Risk Charges'!E$117:E$128,,0)</f>
        <v>0.42</v>
      </c>
      <c r="Y160" s="90">
        <f>_xlfn.XLOOKUP($V160,'Risk Charges'!$C$117:$C$128,'Risk Charges'!F$117:F$128,,0)</f>
        <v>0.36</v>
      </c>
      <c r="Z160" s="90">
        <f>_xlfn.XLOOKUP($V160,'Risk Charges'!$C$117:$C$128,'Risk Charges'!G$117:G$128,,0)</f>
        <v>0.3</v>
      </c>
      <c r="AA160" s="90">
        <f>_xlfn.XLOOKUP($V160,'Risk Charges'!$C$132:$C$143,'Risk Charges'!D$132:D$143,,0)</f>
        <v>0.61899999999999999</v>
      </c>
      <c r="AB160" s="90">
        <f>_xlfn.XLOOKUP($V160,'Risk Charges'!$C$132:$C$143,'Risk Charges'!E$132:E$143,,0)</f>
        <v>0.52500000000000002</v>
      </c>
      <c r="AC160" s="90">
        <f>_xlfn.XLOOKUP($V160,'Risk Charges'!$C$132:$C$143,'Risk Charges'!F$132:F$143,,0)</f>
        <v>0.45</v>
      </c>
      <c r="AD160" s="90">
        <f>_xlfn.XLOOKUP($V160,'Risk Charges'!$C$132:$C$143,'Risk Charges'!G$132:G$143,,0)</f>
        <v>0.375</v>
      </c>
    </row>
    <row r="161" spans="2:65" hidden="1" outlineLevel="1" x14ac:dyDescent="0.3">
      <c r="D161" s="16" t="str">
        <f t="shared" si="18"/>
        <v>Travel</v>
      </c>
      <c r="E161" s="194">
        <f>W161*Input!$F555</f>
        <v>0</v>
      </c>
      <c r="F161" s="194">
        <f>X161*Input!$F555</f>
        <v>0</v>
      </c>
      <c r="G161" s="194">
        <f>Y161*Input!$F555</f>
        <v>0</v>
      </c>
      <c r="H161" s="194">
        <f>Z161*Input!$F555</f>
        <v>0</v>
      </c>
      <c r="M161" s="16" t="str">
        <f t="shared" si="19"/>
        <v>Travel</v>
      </c>
      <c r="N161" s="194">
        <f>AA161*Input!$G555</f>
        <v>0</v>
      </c>
      <c r="O161" s="194">
        <f>AB161*Input!$G555</f>
        <v>0</v>
      </c>
      <c r="P161" s="194">
        <f>AC161*Input!$G555</f>
        <v>0</v>
      </c>
      <c r="Q161" s="194">
        <f>AD161*Input!$G555</f>
        <v>0</v>
      </c>
      <c r="S161" s="61"/>
      <c r="T161" s="16" t="s">
        <v>382</v>
      </c>
      <c r="U161" s="89" t="s">
        <v>262</v>
      </c>
      <c r="V161" s="74">
        <v>7</v>
      </c>
      <c r="W161" s="90">
        <f>_xlfn.XLOOKUP($V161,'Risk Charges'!$C$117:$C$128,'Risk Charges'!D$117:D$128,,0)</f>
        <v>0.41299999999999998</v>
      </c>
      <c r="X161" s="90">
        <f>_xlfn.XLOOKUP($V161,'Risk Charges'!$C$117:$C$128,'Risk Charges'!E$117:E$128,,0)</f>
        <v>0.35</v>
      </c>
      <c r="Y161" s="90">
        <f>_xlfn.XLOOKUP($V161,'Risk Charges'!$C$117:$C$128,'Risk Charges'!F$117:F$128,,0)</f>
        <v>0.3</v>
      </c>
      <c r="Z161" s="90">
        <f>_xlfn.XLOOKUP($V161,'Risk Charges'!$C$117:$C$128,'Risk Charges'!G$117:G$128,,0)</f>
        <v>0.25</v>
      </c>
      <c r="AA161" s="90">
        <f>_xlfn.XLOOKUP($V161,'Risk Charges'!$C$132:$C$143,'Risk Charges'!D$132:D$143,,0)</f>
        <v>0.51600000000000001</v>
      </c>
      <c r="AB161" s="90">
        <f>_xlfn.XLOOKUP($V161,'Risk Charges'!$C$132:$C$143,'Risk Charges'!E$132:E$143,,0)</f>
        <v>0.438</v>
      </c>
      <c r="AC161" s="90">
        <f>_xlfn.XLOOKUP($V161,'Risk Charges'!$C$132:$C$143,'Risk Charges'!F$132:F$143,,0)</f>
        <v>0.375</v>
      </c>
      <c r="AD161" s="90">
        <f>_xlfn.XLOOKUP($V161,'Risk Charges'!$C$132:$C$143,'Risk Charges'!G$132:G$143,,0)</f>
        <v>0.313</v>
      </c>
      <c r="AY161" s="16"/>
      <c r="AZ161" s="16"/>
      <c r="BA161" s="62"/>
      <c r="BM161" s="16"/>
    </row>
    <row r="162" spans="2:65" hidden="1" outlineLevel="1" x14ac:dyDescent="0.3">
      <c r="D162" s="16" t="str">
        <f t="shared" si="18"/>
        <v>Warranty</v>
      </c>
      <c r="E162" s="194">
        <f>W162*Input!$F556</f>
        <v>0</v>
      </c>
      <c r="F162" s="194">
        <f>X162*Input!$F556</f>
        <v>0</v>
      </c>
      <c r="G162" s="194">
        <f>Y162*Input!$F556</f>
        <v>0</v>
      </c>
      <c r="H162" s="194">
        <f>Z162*Input!$F556</f>
        <v>0</v>
      </c>
      <c r="M162" s="16" t="str">
        <f t="shared" si="19"/>
        <v>Warranty</v>
      </c>
      <c r="N162" s="194">
        <f>AA162*Input!$G556</f>
        <v>0</v>
      </c>
      <c r="O162" s="194">
        <f>AB162*Input!$G556</f>
        <v>0</v>
      </c>
      <c r="P162" s="194">
        <f>AC162*Input!$G556</f>
        <v>0</v>
      </c>
      <c r="Q162" s="194">
        <f>AD162*Input!$G556</f>
        <v>0</v>
      </c>
      <c r="S162" s="61"/>
      <c r="T162" s="16" t="s">
        <v>380</v>
      </c>
      <c r="U162" s="89" t="s">
        <v>262</v>
      </c>
      <c r="V162" s="74">
        <v>2</v>
      </c>
      <c r="W162" s="90">
        <f>_xlfn.XLOOKUP($V162,'Risk Charges'!$C$117:$C$128,'Risk Charges'!D$117:D$128,,0)</f>
        <v>8.3000000000000004E-2</v>
      </c>
      <c r="X162" s="90">
        <f>_xlfn.XLOOKUP($V162,'Risk Charges'!$C$117:$C$128,'Risk Charges'!E$117:E$128,,0)</f>
        <v>7.0000000000000007E-2</v>
      </c>
      <c r="Y162" s="90">
        <f>_xlfn.XLOOKUP($V162,'Risk Charges'!$C$117:$C$128,'Risk Charges'!F$117:F$128,,0)</f>
        <v>0.06</v>
      </c>
      <c r="Z162" s="90">
        <f>_xlfn.XLOOKUP($V162,'Risk Charges'!$C$117:$C$128,'Risk Charges'!G$117:G$128,,0)</f>
        <v>0.05</v>
      </c>
      <c r="AA162" s="90">
        <f>_xlfn.XLOOKUP($V162,'Risk Charges'!$C$132:$C$143,'Risk Charges'!D$132:D$143,,0)</f>
        <v>0.104</v>
      </c>
      <c r="AB162" s="90">
        <f>_xlfn.XLOOKUP($V162,'Risk Charges'!$C$132:$C$143,'Risk Charges'!E$132:E$143,,0)</f>
        <v>8.7999999999999995E-2</v>
      </c>
      <c r="AC162" s="90">
        <f>_xlfn.XLOOKUP($V162,'Risk Charges'!$C$132:$C$143,'Risk Charges'!F$132:F$143,,0)</f>
        <v>7.4999999999999997E-2</v>
      </c>
      <c r="AD162" s="90">
        <f>_xlfn.XLOOKUP($V162,'Risk Charges'!$C$132:$C$143,'Risk Charges'!G$132:G$143,,0)</f>
        <v>6.3E-2</v>
      </c>
      <c r="AY162" s="16"/>
      <c r="AZ162" s="16"/>
      <c r="BA162" s="62"/>
    </row>
    <row r="163" spans="2:65" hidden="1" outlineLevel="1" x14ac:dyDescent="0.3">
      <c r="D163" s="16" t="str">
        <f t="shared" si="18"/>
        <v>Other</v>
      </c>
      <c r="E163" s="194">
        <f>W163*Input!$F557</f>
        <v>0</v>
      </c>
      <c r="F163" s="194">
        <f>X163*Input!$F557</f>
        <v>0</v>
      </c>
      <c r="G163" s="194">
        <f>Y163*Input!$F557</f>
        <v>0</v>
      </c>
      <c r="H163" s="194">
        <f>Z163*Input!$F557</f>
        <v>0</v>
      </c>
      <c r="M163" s="16" t="str">
        <f t="shared" si="19"/>
        <v>Other</v>
      </c>
      <c r="N163" s="194">
        <f>AA163*Input!$G557</f>
        <v>0</v>
      </c>
      <c r="O163" s="194">
        <f>AB163*Input!$G557</f>
        <v>0</v>
      </c>
      <c r="P163" s="194">
        <f>AC163*Input!$G557</f>
        <v>0</v>
      </c>
      <c r="Q163" s="194">
        <f>AD163*Input!$G557</f>
        <v>0</v>
      </c>
      <c r="S163" s="61"/>
      <c r="T163" s="16" t="s">
        <v>262</v>
      </c>
      <c r="U163" s="89" t="s">
        <v>262</v>
      </c>
      <c r="V163" s="74">
        <v>12</v>
      </c>
      <c r="W163" s="90">
        <f>_xlfn.XLOOKUP($V163,'Risk Charges'!$C$117:$C$128,'Risk Charges'!D$117:D$128,,0)</f>
        <v>0.99</v>
      </c>
      <c r="X163" s="90">
        <f>_xlfn.XLOOKUP($V163,'Risk Charges'!$C$117:$C$128,'Risk Charges'!E$117:E$128,,0)</f>
        <v>0.84</v>
      </c>
      <c r="Y163" s="90">
        <f>_xlfn.XLOOKUP($V163,'Risk Charges'!$C$117:$C$128,'Risk Charges'!F$117:F$128,,0)</f>
        <v>0.72</v>
      </c>
      <c r="Z163" s="90">
        <f>_xlfn.XLOOKUP($V163,'Risk Charges'!$C$117:$C$128,'Risk Charges'!G$117:G$128,,0)</f>
        <v>0.6</v>
      </c>
      <c r="AA163" s="90">
        <f>_xlfn.XLOOKUP($V163,'Risk Charges'!$C$132:$C$143,'Risk Charges'!D$132:D$143,,0)</f>
        <v>1.238</v>
      </c>
      <c r="AB163" s="90">
        <f>_xlfn.XLOOKUP($V163,'Risk Charges'!$C$132:$C$143,'Risk Charges'!E$132:E$143,,0)</f>
        <v>1.05</v>
      </c>
      <c r="AC163" s="90">
        <f>_xlfn.XLOOKUP($V163,'Risk Charges'!$C$132:$C$143,'Risk Charges'!F$132:F$143,,0)</f>
        <v>0.9</v>
      </c>
      <c r="AD163" s="90">
        <f>_xlfn.XLOOKUP($V163,'Risk Charges'!$C$132:$C$143,'Risk Charges'!G$132:G$143,,0)</f>
        <v>0.75</v>
      </c>
      <c r="AZ163" s="16"/>
      <c r="BA163" s="62"/>
    </row>
    <row r="164" spans="2:65" hidden="1" outlineLevel="1" x14ac:dyDescent="0.3">
      <c r="T164" s="61"/>
      <c r="AZ164" s="16"/>
      <c r="BA164" s="62"/>
    </row>
    <row r="165" spans="2:65" hidden="1" outlineLevel="1" x14ac:dyDescent="0.3">
      <c r="T165" s="61"/>
      <c r="AZ165" s="100"/>
      <c r="BA165" s="62"/>
    </row>
    <row r="166" spans="2:65" hidden="1" outlineLevel="1" x14ac:dyDescent="0.3">
      <c r="T166" s="61"/>
      <c r="AZ166" s="100"/>
      <c r="BA166" s="62"/>
    </row>
    <row r="167" spans="2:65" collapsed="1" x14ac:dyDescent="0.3">
      <c r="T167" s="61"/>
      <c r="AZ167" s="100"/>
      <c r="BA167" s="62"/>
    </row>
    <row r="168" spans="2:65" x14ac:dyDescent="0.3">
      <c r="B168" s="38" t="s">
        <v>264</v>
      </c>
      <c r="C168" s="39"/>
      <c r="D168" s="39"/>
      <c r="E168" s="39"/>
      <c r="F168" s="39"/>
      <c r="G168" s="39"/>
      <c r="H168" s="39"/>
      <c r="I168" s="39"/>
      <c r="J168" s="39"/>
      <c r="K168" s="39"/>
      <c r="L168" s="39"/>
      <c r="M168" s="39"/>
      <c r="N168" s="39"/>
      <c r="O168" s="39"/>
      <c r="P168" s="39"/>
      <c r="Q168" s="39"/>
      <c r="R168" s="39"/>
      <c r="T168" s="61"/>
      <c r="AZ168" s="100"/>
      <c r="BA168" s="62"/>
    </row>
    <row r="169" spans="2:65" hidden="1" outlineLevel="1" x14ac:dyDescent="0.3">
      <c r="T169" s="61"/>
      <c r="AN169" s="62"/>
      <c r="AZ169" s="100"/>
      <c r="BA169" s="62"/>
    </row>
    <row r="170" spans="2:65" hidden="1" outlineLevel="1" x14ac:dyDescent="0.3">
      <c r="E170" s="101">
        <v>0.99990000000000001</v>
      </c>
      <c r="F170" s="101">
        <v>0.99950000000000006</v>
      </c>
      <c r="G170" s="101">
        <v>0.998</v>
      </c>
      <c r="H170" s="101">
        <v>0.995</v>
      </c>
      <c r="N170" s="101">
        <v>0.99990000000000001</v>
      </c>
      <c r="O170" s="101">
        <v>0.99950000000000006</v>
      </c>
      <c r="P170" s="101">
        <v>0.998</v>
      </c>
      <c r="Q170" s="101">
        <v>0.995</v>
      </c>
      <c r="T170" s="61"/>
      <c r="AN170" s="62"/>
      <c r="AZ170" s="100"/>
      <c r="BA170" s="62"/>
    </row>
    <row r="171" spans="2:65" hidden="1" outlineLevel="1" x14ac:dyDescent="0.3">
      <c r="D171" s="41" t="s">
        <v>260</v>
      </c>
      <c r="E171" s="194">
        <f t="shared" ref="E171:H173" si="20">(E183+N183)*$Z$25*$Z$30</f>
        <v>0</v>
      </c>
      <c r="F171" s="194">
        <f t="shared" si="20"/>
        <v>0</v>
      </c>
      <c r="G171" s="194">
        <f t="shared" si="20"/>
        <v>0</v>
      </c>
      <c r="H171" s="194">
        <f t="shared" si="20"/>
        <v>0</v>
      </c>
      <c r="M171" s="41" t="s">
        <v>852</v>
      </c>
      <c r="N171" s="194">
        <f t="shared" ref="N171:Q177" si="21">E171+N8</f>
        <v>0</v>
      </c>
      <c r="O171" s="194">
        <f t="shared" si="21"/>
        <v>0</v>
      </c>
      <c r="P171" s="194">
        <f t="shared" si="21"/>
        <v>0</v>
      </c>
      <c r="Q171" s="194">
        <f t="shared" si="21"/>
        <v>0</v>
      </c>
      <c r="T171" s="61"/>
      <c r="AN171" s="62"/>
      <c r="AZ171" s="100"/>
      <c r="BA171" s="62"/>
    </row>
    <row r="172" spans="2:65" hidden="1" outlineLevel="1" x14ac:dyDescent="0.3">
      <c r="D172" s="41" t="s">
        <v>258</v>
      </c>
      <c r="E172" s="194">
        <f t="shared" si="20"/>
        <v>0</v>
      </c>
      <c r="F172" s="194">
        <f t="shared" si="20"/>
        <v>0</v>
      </c>
      <c r="G172" s="194">
        <f t="shared" si="20"/>
        <v>0</v>
      </c>
      <c r="H172" s="194">
        <f t="shared" si="20"/>
        <v>0</v>
      </c>
      <c r="M172" s="41" t="s">
        <v>850</v>
      </c>
      <c r="N172" s="194">
        <f t="shared" si="21"/>
        <v>0</v>
      </c>
      <c r="O172" s="194">
        <f t="shared" si="21"/>
        <v>0</v>
      </c>
      <c r="P172" s="194">
        <f t="shared" si="21"/>
        <v>0</v>
      </c>
      <c r="Q172" s="194">
        <f t="shared" si="21"/>
        <v>0</v>
      </c>
      <c r="T172" s="61"/>
      <c r="AM172" s="18"/>
      <c r="AN172" s="62"/>
      <c r="AZ172" s="100"/>
      <c r="BA172" s="62"/>
    </row>
    <row r="173" spans="2:65" hidden="1" outlineLevel="1" x14ac:dyDescent="0.3">
      <c r="D173" s="41" t="s">
        <v>259</v>
      </c>
      <c r="E173" s="194">
        <f t="shared" si="20"/>
        <v>0</v>
      </c>
      <c r="F173" s="194">
        <f t="shared" si="20"/>
        <v>0</v>
      </c>
      <c r="G173" s="194">
        <f t="shared" si="20"/>
        <v>0</v>
      </c>
      <c r="H173" s="194">
        <f t="shared" si="20"/>
        <v>0</v>
      </c>
      <c r="M173" s="41" t="s">
        <v>851</v>
      </c>
      <c r="N173" s="194">
        <f t="shared" si="21"/>
        <v>0</v>
      </c>
      <c r="O173" s="194">
        <f t="shared" si="21"/>
        <v>0</v>
      </c>
      <c r="P173" s="194">
        <f t="shared" si="21"/>
        <v>0</v>
      </c>
      <c r="Q173" s="194">
        <f t="shared" si="21"/>
        <v>0</v>
      </c>
      <c r="T173" s="61"/>
      <c r="AM173" s="18"/>
      <c r="AN173" s="62"/>
      <c r="AZ173" s="100"/>
      <c r="BA173" s="62"/>
    </row>
    <row r="174" spans="2:65" hidden="1" outlineLevel="1" x14ac:dyDescent="0.3">
      <c r="D174" s="41" t="s">
        <v>9</v>
      </c>
      <c r="E174" s="194">
        <f>(E186+N186)*$Z$25*$Z$30+W14</f>
        <v>0</v>
      </c>
      <c r="F174" s="194">
        <f>(F186+O186)*$Z$25*$Z$30+X14</f>
        <v>0</v>
      </c>
      <c r="G174" s="194">
        <f>(G186+P186)*$Z$25*$Z$30+Y14</f>
        <v>0</v>
      </c>
      <c r="H174" s="194">
        <f>(H186+Q186)*$Z$25*$Z$30+Z14</f>
        <v>0</v>
      </c>
      <c r="M174" s="41" t="s">
        <v>854</v>
      </c>
      <c r="N174" s="194">
        <f t="shared" si="21"/>
        <v>0</v>
      </c>
      <c r="O174" s="194">
        <f t="shared" si="21"/>
        <v>0</v>
      </c>
      <c r="P174" s="194">
        <f t="shared" si="21"/>
        <v>0</v>
      </c>
      <c r="Q174" s="194">
        <f t="shared" si="21"/>
        <v>0</v>
      </c>
      <c r="T174" s="61"/>
      <c r="AM174" s="18"/>
      <c r="AN174" s="62"/>
      <c r="AZ174" s="100"/>
      <c r="BA174" s="62"/>
    </row>
    <row r="175" spans="2:65" hidden="1" outlineLevel="1" x14ac:dyDescent="0.3">
      <c r="D175" s="41" t="s">
        <v>261</v>
      </c>
      <c r="E175" s="194">
        <f t="shared" ref="E175:H177" si="22">(E187+N187)*$Z$25*$Z$30</f>
        <v>0</v>
      </c>
      <c r="F175" s="194">
        <f t="shared" si="22"/>
        <v>0</v>
      </c>
      <c r="G175" s="194">
        <f t="shared" si="22"/>
        <v>0</v>
      </c>
      <c r="H175" s="194">
        <f t="shared" si="22"/>
        <v>0</v>
      </c>
      <c r="M175" s="41" t="s">
        <v>853</v>
      </c>
      <c r="N175" s="194">
        <f t="shared" si="21"/>
        <v>0</v>
      </c>
      <c r="O175" s="194">
        <f t="shared" si="21"/>
        <v>0</v>
      </c>
      <c r="P175" s="194">
        <f t="shared" si="21"/>
        <v>0</v>
      </c>
      <c r="Q175" s="194">
        <f t="shared" si="21"/>
        <v>0</v>
      </c>
      <c r="T175" s="61"/>
      <c r="AM175" s="18"/>
      <c r="AN175" s="62"/>
      <c r="AZ175" s="100"/>
      <c r="BA175" s="62"/>
    </row>
    <row r="176" spans="2:65" hidden="1" outlineLevel="1" x14ac:dyDescent="0.3">
      <c r="D176" s="41" t="s">
        <v>411</v>
      </c>
      <c r="E176" s="194">
        <f t="shared" si="22"/>
        <v>0</v>
      </c>
      <c r="F176" s="194">
        <f t="shared" si="22"/>
        <v>0</v>
      </c>
      <c r="G176" s="194">
        <f t="shared" si="22"/>
        <v>0</v>
      </c>
      <c r="H176" s="194">
        <f t="shared" si="22"/>
        <v>0</v>
      </c>
      <c r="M176" s="41" t="s">
        <v>971</v>
      </c>
      <c r="N176" s="194">
        <f t="shared" si="21"/>
        <v>0</v>
      </c>
      <c r="O176" s="194">
        <f t="shared" si="21"/>
        <v>0</v>
      </c>
      <c r="P176" s="194">
        <f t="shared" si="21"/>
        <v>0</v>
      </c>
      <c r="Q176" s="194">
        <f t="shared" si="21"/>
        <v>0</v>
      </c>
      <c r="T176" s="61"/>
      <c r="AM176" s="18"/>
      <c r="AN176" s="62"/>
      <c r="AZ176" s="100"/>
      <c r="BA176" s="62"/>
    </row>
    <row r="177" spans="2:53" hidden="1" outlineLevel="1" x14ac:dyDescent="0.3">
      <c r="D177" s="41" t="s">
        <v>262</v>
      </c>
      <c r="E177" s="194">
        <f t="shared" si="22"/>
        <v>0</v>
      </c>
      <c r="F177" s="194">
        <f t="shared" si="22"/>
        <v>0</v>
      </c>
      <c r="G177" s="194">
        <f t="shared" si="22"/>
        <v>0</v>
      </c>
      <c r="H177" s="194">
        <f t="shared" si="22"/>
        <v>0</v>
      </c>
      <c r="M177" s="41" t="s">
        <v>855</v>
      </c>
      <c r="N177" s="194">
        <f t="shared" si="21"/>
        <v>0</v>
      </c>
      <c r="O177" s="194">
        <f t="shared" si="21"/>
        <v>0</v>
      </c>
      <c r="P177" s="194">
        <f t="shared" si="21"/>
        <v>0</v>
      </c>
      <c r="Q177" s="194">
        <f t="shared" si="21"/>
        <v>0</v>
      </c>
      <c r="T177" s="18"/>
      <c r="AM177" s="100"/>
      <c r="AN177" s="62"/>
      <c r="AZ177" s="100"/>
      <c r="BA177" s="62"/>
    </row>
    <row r="178" spans="2:53" hidden="1" outlineLevel="1" x14ac:dyDescent="0.3">
      <c r="M178" s="41"/>
      <c r="N178" s="41"/>
      <c r="O178" s="41"/>
      <c r="P178" s="41"/>
      <c r="Q178" s="41"/>
      <c r="T178" s="18"/>
      <c r="AM178" s="100"/>
      <c r="AN178" s="62"/>
      <c r="AZ178" s="100"/>
      <c r="BA178" s="62"/>
    </row>
    <row r="179" spans="2:53" hidden="1" outlineLevel="1" x14ac:dyDescent="0.3">
      <c r="D179" s="41" t="s">
        <v>269</v>
      </c>
      <c r="E179" s="193">
        <f>SUM(E171:E177)</f>
        <v>0</v>
      </c>
      <c r="F179" s="193">
        <f>SUM(F171:F177)</f>
        <v>0</v>
      </c>
      <c r="G179" s="193">
        <f t="shared" ref="G179:H179" si="23">SUM(G171:G177)</f>
        <v>0</v>
      </c>
      <c r="H179" s="193">
        <f t="shared" si="23"/>
        <v>0</v>
      </c>
      <c r="M179" s="41" t="s">
        <v>907</v>
      </c>
      <c r="N179" s="193">
        <f>SUM(N171:N177)</f>
        <v>0</v>
      </c>
      <c r="O179" s="193">
        <f>SUM(O171:O177)</f>
        <v>0</v>
      </c>
      <c r="P179" s="193">
        <f>SUM(P171:P177)</f>
        <v>0</v>
      </c>
      <c r="Q179" s="193">
        <f>SUM(Q171:Q177)</f>
        <v>0</v>
      </c>
      <c r="T179" s="18"/>
      <c r="AM179" s="100"/>
      <c r="AN179" s="62"/>
      <c r="AZ179" s="100"/>
      <c r="BA179" s="62"/>
    </row>
    <row r="180" spans="2:53" collapsed="1" x14ac:dyDescent="0.3">
      <c r="T180" s="18"/>
      <c r="AM180" s="100"/>
      <c r="AN180" s="62"/>
      <c r="AZ180" s="100"/>
      <c r="BA180" s="62"/>
    </row>
    <row r="181" spans="2:53" x14ac:dyDescent="0.3">
      <c r="B181" s="38" t="s">
        <v>331</v>
      </c>
      <c r="C181" s="39"/>
      <c r="D181" s="39"/>
      <c r="E181" s="39"/>
      <c r="F181" s="39"/>
      <c r="G181" s="39"/>
      <c r="H181" s="39"/>
      <c r="I181" s="39"/>
      <c r="K181" s="38" t="s">
        <v>332</v>
      </c>
      <c r="L181" s="39"/>
      <c r="M181" s="39"/>
      <c r="N181" s="39"/>
      <c r="O181" s="39"/>
      <c r="P181" s="39"/>
      <c r="Q181" s="39"/>
      <c r="R181" s="39"/>
      <c r="T181" s="18"/>
      <c r="AM181" s="100"/>
      <c r="AN181" s="62"/>
      <c r="AZ181" s="100"/>
      <c r="BA181" s="62"/>
    </row>
    <row r="182" spans="2:53" hidden="1" outlineLevel="1" x14ac:dyDescent="0.3">
      <c r="E182" s="101">
        <v>0.99990000000000001</v>
      </c>
      <c r="F182" s="101">
        <v>0.99950000000000006</v>
      </c>
      <c r="G182" s="101">
        <v>0.998</v>
      </c>
      <c r="H182" s="101">
        <v>0.995</v>
      </c>
      <c r="N182" s="101">
        <v>0.99990000000000001</v>
      </c>
      <c r="O182" s="101">
        <v>0.99950000000000006</v>
      </c>
      <c r="P182" s="101">
        <v>0.998</v>
      </c>
      <c r="Q182" s="101">
        <v>0.995</v>
      </c>
      <c r="T182" s="100"/>
      <c r="AM182" s="100"/>
      <c r="AN182" s="62"/>
      <c r="AZ182" s="100"/>
      <c r="BA182" s="62"/>
    </row>
    <row r="183" spans="2:53" hidden="1" outlineLevel="1" x14ac:dyDescent="0.3">
      <c r="D183" s="41" t="s">
        <v>260</v>
      </c>
      <c r="E183" s="194">
        <f t="shared" ref="E183:H189" si="24">SUMIFS(E$195:E$299,$U$195:$U$299,$D183)</f>
        <v>0</v>
      </c>
      <c r="F183" s="194">
        <f t="shared" si="24"/>
        <v>0</v>
      </c>
      <c r="G183" s="194">
        <f t="shared" si="24"/>
        <v>0</v>
      </c>
      <c r="H183" s="194">
        <f t="shared" si="24"/>
        <v>0</v>
      </c>
      <c r="M183" s="41" t="s">
        <v>260</v>
      </c>
      <c r="N183" s="194">
        <f t="shared" ref="N183:Q189" si="25">SUMIFS(N$195:N$299,$U$195:$U$299,$M183)</f>
        <v>0</v>
      </c>
      <c r="O183" s="194">
        <f t="shared" si="25"/>
        <v>0</v>
      </c>
      <c r="P183" s="194">
        <f t="shared" si="25"/>
        <v>0</v>
      </c>
      <c r="Q183" s="194">
        <f t="shared" si="25"/>
        <v>0</v>
      </c>
      <c r="T183" s="100"/>
      <c r="AM183" s="100"/>
      <c r="AN183" s="62"/>
      <c r="AZ183" s="100"/>
      <c r="BA183" s="62"/>
    </row>
    <row r="184" spans="2:53" hidden="1" outlineLevel="1" x14ac:dyDescent="0.3">
      <c r="D184" s="41" t="s">
        <v>258</v>
      </c>
      <c r="E184" s="194">
        <f t="shared" si="24"/>
        <v>0</v>
      </c>
      <c r="F184" s="194">
        <f t="shared" si="24"/>
        <v>0</v>
      </c>
      <c r="G184" s="194">
        <f t="shared" si="24"/>
        <v>0</v>
      </c>
      <c r="H184" s="194">
        <f t="shared" si="24"/>
        <v>0</v>
      </c>
      <c r="M184" s="41" t="s">
        <v>258</v>
      </c>
      <c r="N184" s="194">
        <f t="shared" si="25"/>
        <v>0</v>
      </c>
      <c r="O184" s="194">
        <f t="shared" si="25"/>
        <v>0</v>
      </c>
      <c r="P184" s="194">
        <f t="shared" si="25"/>
        <v>0</v>
      </c>
      <c r="Q184" s="194">
        <f t="shared" si="25"/>
        <v>0</v>
      </c>
      <c r="T184" s="100"/>
      <c r="AM184" s="100"/>
      <c r="AN184" s="62"/>
      <c r="AZ184" s="100"/>
      <c r="BA184" s="62"/>
    </row>
    <row r="185" spans="2:53" hidden="1" outlineLevel="1" x14ac:dyDescent="0.3">
      <c r="D185" s="41" t="s">
        <v>259</v>
      </c>
      <c r="E185" s="194">
        <f t="shared" si="24"/>
        <v>0</v>
      </c>
      <c r="F185" s="194">
        <f t="shared" si="24"/>
        <v>0</v>
      </c>
      <c r="G185" s="194">
        <f t="shared" si="24"/>
        <v>0</v>
      </c>
      <c r="H185" s="194">
        <f t="shared" si="24"/>
        <v>0</v>
      </c>
      <c r="M185" s="41" t="s">
        <v>259</v>
      </c>
      <c r="N185" s="194">
        <f t="shared" si="25"/>
        <v>0</v>
      </c>
      <c r="O185" s="194">
        <f t="shared" si="25"/>
        <v>0</v>
      </c>
      <c r="P185" s="194">
        <f t="shared" si="25"/>
        <v>0</v>
      </c>
      <c r="Q185" s="194">
        <f t="shared" si="25"/>
        <v>0</v>
      </c>
      <c r="T185" s="100"/>
      <c r="AM185" s="100"/>
      <c r="AN185" s="62"/>
      <c r="AZ185" s="100"/>
      <c r="BA185" s="62"/>
    </row>
    <row r="186" spans="2:53" hidden="1" outlineLevel="1" x14ac:dyDescent="0.3">
      <c r="D186" s="41" t="s">
        <v>9</v>
      </c>
      <c r="E186" s="194">
        <f t="shared" si="24"/>
        <v>0</v>
      </c>
      <c r="F186" s="194">
        <f t="shared" si="24"/>
        <v>0</v>
      </c>
      <c r="G186" s="194">
        <f t="shared" si="24"/>
        <v>0</v>
      </c>
      <c r="H186" s="194">
        <f t="shared" si="24"/>
        <v>0</v>
      </c>
      <c r="M186" s="41" t="s">
        <v>9</v>
      </c>
      <c r="N186" s="194">
        <f t="shared" si="25"/>
        <v>0</v>
      </c>
      <c r="O186" s="194">
        <f t="shared" si="25"/>
        <v>0</v>
      </c>
      <c r="P186" s="194">
        <f t="shared" si="25"/>
        <v>0</v>
      </c>
      <c r="Q186" s="194">
        <f t="shared" si="25"/>
        <v>0</v>
      </c>
      <c r="T186" s="100"/>
      <c r="AM186" s="100"/>
      <c r="AN186" s="62"/>
      <c r="AZ186" s="100"/>
      <c r="BA186" s="62"/>
    </row>
    <row r="187" spans="2:53" hidden="1" outlineLevel="1" x14ac:dyDescent="0.3">
      <c r="D187" s="41" t="s">
        <v>261</v>
      </c>
      <c r="E187" s="194">
        <f t="shared" si="24"/>
        <v>0</v>
      </c>
      <c r="F187" s="194">
        <f t="shared" si="24"/>
        <v>0</v>
      </c>
      <c r="G187" s="194">
        <f t="shared" si="24"/>
        <v>0</v>
      </c>
      <c r="H187" s="194">
        <f t="shared" si="24"/>
        <v>0</v>
      </c>
      <c r="M187" s="41" t="s">
        <v>261</v>
      </c>
      <c r="N187" s="194">
        <f t="shared" si="25"/>
        <v>0</v>
      </c>
      <c r="O187" s="194">
        <f t="shared" si="25"/>
        <v>0</v>
      </c>
      <c r="P187" s="194">
        <f t="shared" si="25"/>
        <v>0</v>
      </c>
      <c r="Q187" s="194">
        <f t="shared" si="25"/>
        <v>0</v>
      </c>
      <c r="T187" s="100"/>
      <c r="AM187" s="100"/>
      <c r="AN187" s="62"/>
      <c r="AZ187" s="100"/>
      <c r="BA187" s="62"/>
    </row>
    <row r="188" spans="2:53" hidden="1" outlineLevel="1" x14ac:dyDescent="0.3">
      <c r="D188" s="41" t="s">
        <v>411</v>
      </c>
      <c r="E188" s="194">
        <f t="shared" si="24"/>
        <v>0</v>
      </c>
      <c r="F188" s="194">
        <f t="shared" si="24"/>
        <v>0</v>
      </c>
      <c r="G188" s="194">
        <f t="shared" si="24"/>
        <v>0</v>
      </c>
      <c r="H188" s="194">
        <f t="shared" si="24"/>
        <v>0</v>
      </c>
      <c r="M188" s="41" t="s">
        <v>411</v>
      </c>
      <c r="N188" s="194">
        <f t="shared" si="25"/>
        <v>0</v>
      </c>
      <c r="O188" s="194">
        <f t="shared" si="25"/>
        <v>0</v>
      </c>
      <c r="P188" s="194">
        <f t="shared" si="25"/>
        <v>0</v>
      </c>
      <c r="Q188" s="194">
        <f t="shared" si="25"/>
        <v>0</v>
      </c>
      <c r="T188" s="100"/>
      <c r="AM188" s="100"/>
      <c r="AN188" s="62"/>
      <c r="AZ188" s="100"/>
      <c r="BA188" s="62"/>
    </row>
    <row r="189" spans="2:53" hidden="1" outlineLevel="1" x14ac:dyDescent="0.3">
      <c r="D189" s="41" t="s">
        <v>262</v>
      </c>
      <c r="E189" s="194">
        <f t="shared" si="24"/>
        <v>0</v>
      </c>
      <c r="F189" s="194">
        <f t="shared" si="24"/>
        <v>0</v>
      </c>
      <c r="G189" s="194">
        <f t="shared" si="24"/>
        <v>0</v>
      </c>
      <c r="H189" s="194">
        <f t="shared" si="24"/>
        <v>0</v>
      </c>
      <c r="M189" s="41" t="s">
        <v>262</v>
      </c>
      <c r="N189" s="194">
        <f t="shared" si="25"/>
        <v>0</v>
      </c>
      <c r="O189" s="194">
        <f t="shared" si="25"/>
        <v>0</v>
      </c>
      <c r="P189" s="194">
        <f t="shared" si="25"/>
        <v>0</v>
      </c>
      <c r="Q189" s="194">
        <f t="shared" si="25"/>
        <v>0</v>
      </c>
      <c r="T189" s="100"/>
      <c r="AM189" s="100"/>
      <c r="AN189" s="62"/>
    </row>
    <row r="190" spans="2:53" hidden="1" outlineLevel="1" x14ac:dyDescent="0.3">
      <c r="E190" s="195"/>
      <c r="F190" s="195"/>
      <c r="G190" s="195"/>
      <c r="H190" s="195"/>
      <c r="N190" s="195"/>
      <c r="O190" s="195"/>
      <c r="P190" s="195"/>
      <c r="Q190" s="195"/>
      <c r="S190" s="38" t="s">
        <v>397</v>
      </c>
      <c r="T190" s="38"/>
      <c r="U190" s="40"/>
      <c r="V190" s="40"/>
      <c r="W190" s="40"/>
      <c r="X190" s="40"/>
      <c r="Y190" s="40"/>
      <c r="Z190" s="40"/>
      <c r="AA190" s="40"/>
      <c r="AB190" s="40"/>
      <c r="AC190" s="40"/>
      <c r="AD190" s="40"/>
      <c r="AM190" s="100"/>
      <c r="AN190" s="62"/>
    </row>
    <row r="191" spans="2:53" hidden="1" outlineLevel="1" x14ac:dyDescent="0.3">
      <c r="D191" s="41" t="s">
        <v>336</v>
      </c>
      <c r="E191" s="193">
        <f>SUM(E194:E299)</f>
        <v>0</v>
      </c>
      <c r="F191" s="193">
        <f>SUM(F194:F299)</f>
        <v>0</v>
      </c>
      <c r="G191" s="193">
        <f>SUM(G194:G299)</f>
        <v>0</v>
      </c>
      <c r="H191" s="193">
        <f>SUM(H194:H299)</f>
        <v>0</v>
      </c>
      <c r="I191" s="41"/>
      <c r="J191" s="41"/>
      <c r="M191" s="41" t="s">
        <v>335</v>
      </c>
      <c r="N191" s="193">
        <f>SUM(N194:N299)</f>
        <v>0</v>
      </c>
      <c r="O191" s="193">
        <f>SUM(O194:O299)</f>
        <v>0</v>
      </c>
      <c r="P191" s="193">
        <f>SUM(P194:P299)</f>
        <v>0</v>
      </c>
      <c r="Q191" s="193">
        <f>SUM(Q194:Q299)</f>
        <v>0</v>
      </c>
      <c r="S191" s="61"/>
      <c r="AM191" s="100"/>
      <c r="AN191" s="62"/>
    </row>
    <row r="192" spans="2:53" ht="26" hidden="1" outlineLevel="1" x14ac:dyDescent="0.3">
      <c r="S192" s="669"/>
      <c r="T192" s="669" t="s">
        <v>257</v>
      </c>
      <c r="U192" s="75" t="s">
        <v>352</v>
      </c>
      <c r="V192" s="75" t="s">
        <v>2184</v>
      </c>
      <c r="W192" s="101">
        <v>0.99990000000000001</v>
      </c>
      <c r="X192" s="101">
        <v>0.99950000000000006</v>
      </c>
      <c r="Y192" s="101">
        <v>0.998</v>
      </c>
      <c r="Z192" s="101">
        <v>0.995</v>
      </c>
      <c r="AA192" s="101">
        <v>0.99990000000000001</v>
      </c>
      <c r="AB192" s="101">
        <v>0.99950000000000006</v>
      </c>
      <c r="AC192" s="101">
        <v>0.998</v>
      </c>
      <c r="AD192" s="101">
        <v>0.995</v>
      </c>
      <c r="AM192" s="100"/>
      <c r="AN192" s="62"/>
    </row>
    <row r="193" spans="2:40" hidden="1" outlineLevel="1" x14ac:dyDescent="0.3">
      <c r="B193" s="88" t="s">
        <v>325</v>
      </c>
      <c r="K193" s="88" t="s">
        <v>325</v>
      </c>
      <c r="R193" s="41"/>
      <c r="S193" s="88" t="s">
        <v>325</v>
      </c>
      <c r="T193" s="16"/>
      <c r="U193" s="11"/>
      <c r="W193" s="783" t="s">
        <v>1448</v>
      </c>
      <c r="X193" s="783"/>
      <c r="Y193" s="783"/>
      <c r="Z193" s="783"/>
      <c r="AA193" s="783" t="s">
        <v>1449</v>
      </c>
      <c r="AB193" s="783"/>
      <c r="AC193" s="783"/>
      <c r="AD193" s="783"/>
      <c r="AM193" s="100"/>
      <c r="AN193" s="62"/>
    </row>
    <row r="194" spans="2:40" hidden="1" outlineLevel="1" x14ac:dyDescent="0.3">
      <c r="B194" s="31"/>
      <c r="D194" s="31" t="s">
        <v>787</v>
      </c>
      <c r="K194" s="31"/>
      <c r="M194" s="31" t="s">
        <v>283</v>
      </c>
      <c r="S194" s="31"/>
      <c r="U194" s="15"/>
      <c r="AM194" s="100"/>
      <c r="AN194" s="62"/>
    </row>
    <row r="195" spans="2:40" hidden="1" outlineLevel="1" x14ac:dyDescent="0.3">
      <c r="D195" s="16" t="str">
        <f t="shared" ref="D195:D208" si="26">T195</f>
        <v>General liability</v>
      </c>
      <c r="E195" s="194">
        <f>W195*Input!$F575</f>
        <v>0</v>
      </c>
      <c r="F195" s="194">
        <f>X195*Input!$F575</f>
        <v>0</v>
      </c>
      <c r="G195" s="194">
        <f>Y195*Input!$F575</f>
        <v>0</v>
      </c>
      <c r="H195" s="194">
        <f>Z195*Input!$F575</f>
        <v>0</v>
      </c>
      <c r="M195" s="16" t="str">
        <f t="shared" ref="M195:M208" si="27">T195</f>
        <v>General liability</v>
      </c>
      <c r="N195" s="194">
        <f>AA195*Input!$G575</f>
        <v>0</v>
      </c>
      <c r="O195" s="194">
        <f>AB195*Input!$G575</f>
        <v>0</v>
      </c>
      <c r="P195" s="194">
        <f>AC195*Input!$G575</f>
        <v>0</v>
      </c>
      <c r="Q195" s="194">
        <f>AD195*Input!$G575</f>
        <v>0</v>
      </c>
      <c r="T195" s="16" t="s">
        <v>978</v>
      </c>
      <c r="U195" s="89" t="s">
        <v>260</v>
      </c>
      <c r="V195" s="74">
        <v>6</v>
      </c>
      <c r="W195" s="90">
        <f>_xlfn.XLOOKUP($V195,'Risk Charges'!$C$117:$C$128,'Risk Charges'!D$117:D$128,,0)</f>
        <v>0.33</v>
      </c>
      <c r="X195" s="90">
        <f>_xlfn.XLOOKUP($V195,'Risk Charges'!$C$117:$C$128,'Risk Charges'!E$117:E$128,,0)</f>
        <v>0.28000000000000003</v>
      </c>
      <c r="Y195" s="90">
        <f>_xlfn.XLOOKUP($V195,'Risk Charges'!$C$117:$C$128,'Risk Charges'!F$117:F$128,,0)</f>
        <v>0.24</v>
      </c>
      <c r="Z195" s="90">
        <f>_xlfn.XLOOKUP($V195,'Risk Charges'!$C$117:$C$128,'Risk Charges'!G$117:G$128,,0)</f>
        <v>0.2</v>
      </c>
      <c r="AA195" s="90">
        <f>_xlfn.XLOOKUP($V195,'Risk Charges'!$C$132:$C$143,'Risk Charges'!D$132:D$143,,0)</f>
        <v>0.41299999999999998</v>
      </c>
      <c r="AB195" s="90">
        <f>_xlfn.XLOOKUP($V195,'Risk Charges'!$C$132:$C$143,'Risk Charges'!E$132:E$143,,0)</f>
        <v>0.35</v>
      </c>
      <c r="AC195" s="90">
        <f>_xlfn.XLOOKUP($V195,'Risk Charges'!$C$132:$C$143,'Risk Charges'!F$132:F$143,,0)</f>
        <v>0.3</v>
      </c>
      <c r="AD195" s="90">
        <f>_xlfn.XLOOKUP($V195,'Risk Charges'!$C$132:$C$143,'Risk Charges'!G$132:G$143,,0)</f>
        <v>0.25</v>
      </c>
      <c r="AM195" s="100"/>
      <c r="AN195" s="62"/>
    </row>
    <row r="196" spans="2:40" hidden="1" outlineLevel="1" x14ac:dyDescent="0.3">
      <c r="B196" s="11"/>
      <c r="D196" s="16" t="str">
        <f t="shared" si="26"/>
        <v>Workers compensation</v>
      </c>
      <c r="E196" s="194">
        <f>W196*Input!$F576</f>
        <v>0</v>
      </c>
      <c r="F196" s="194">
        <f>X196*Input!$F576</f>
        <v>0</v>
      </c>
      <c r="G196" s="194">
        <f>Y196*Input!$F576</f>
        <v>0</v>
      </c>
      <c r="H196" s="194">
        <f>Z196*Input!$F576</f>
        <v>0</v>
      </c>
      <c r="K196" s="11"/>
      <c r="M196" s="16" t="str">
        <f t="shared" si="27"/>
        <v>Workers compensation</v>
      </c>
      <c r="N196" s="194">
        <f>AA196*Input!$G576</f>
        <v>0</v>
      </c>
      <c r="O196" s="194">
        <f>AB196*Input!$G576</f>
        <v>0</v>
      </c>
      <c r="P196" s="194">
        <f>AC196*Input!$G576</f>
        <v>0</v>
      </c>
      <c r="Q196" s="194">
        <f>AD196*Input!$G576</f>
        <v>0</v>
      </c>
      <c r="S196" s="11"/>
      <c r="T196" s="16" t="s">
        <v>979</v>
      </c>
      <c r="U196" s="91" t="s">
        <v>260</v>
      </c>
      <c r="V196" s="74">
        <v>6</v>
      </c>
      <c r="W196" s="90">
        <f>_xlfn.XLOOKUP($V196,'Risk Charges'!$C$117:$C$128,'Risk Charges'!D$117:D$128,,0)</f>
        <v>0.33</v>
      </c>
      <c r="X196" s="90">
        <f>_xlfn.XLOOKUP($V196,'Risk Charges'!$C$117:$C$128,'Risk Charges'!E$117:E$128,,0)</f>
        <v>0.28000000000000003</v>
      </c>
      <c r="Y196" s="90">
        <f>_xlfn.XLOOKUP($V196,'Risk Charges'!$C$117:$C$128,'Risk Charges'!F$117:F$128,,0)</f>
        <v>0.24</v>
      </c>
      <c r="Z196" s="90">
        <f>_xlfn.XLOOKUP($V196,'Risk Charges'!$C$117:$C$128,'Risk Charges'!G$117:G$128,,0)</f>
        <v>0.2</v>
      </c>
      <c r="AA196" s="90">
        <f>_xlfn.XLOOKUP($V196,'Risk Charges'!$C$132:$C$143,'Risk Charges'!D$132:D$143,,0)</f>
        <v>0.41299999999999998</v>
      </c>
      <c r="AB196" s="90">
        <f>_xlfn.XLOOKUP($V196,'Risk Charges'!$C$132:$C$143,'Risk Charges'!E$132:E$143,,0)</f>
        <v>0.35</v>
      </c>
      <c r="AC196" s="90">
        <f>_xlfn.XLOOKUP($V196,'Risk Charges'!$C$132:$C$143,'Risk Charges'!F$132:F$143,,0)</f>
        <v>0.3</v>
      </c>
      <c r="AD196" s="90">
        <f>_xlfn.XLOOKUP($V196,'Risk Charges'!$C$132:$C$143,'Risk Charges'!G$132:G$143,,0)</f>
        <v>0.25</v>
      </c>
      <c r="AM196" s="100"/>
      <c r="AN196" s="62"/>
    </row>
    <row r="197" spans="2:40" hidden="1" outlineLevel="1" x14ac:dyDescent="0.3">
      <c r="B197" s="11"/>
      <c r="D197" s="16" t="str">
        <f t="shared" si="26"/>
        <v>Fire &amp; other damage to property</v>
      </c>
      <c r="E197" s="194">
        <f>W197*Input!$F577</f>
        <v>0</v>
      </c>
      <c r="F197" s="194">
        <f>X197*Input!$F577</f>
        <v>0</v>
      </c>
      <c r="G197" s="194">
        <f>Y197*Input!$F577</f>
        <v>0</v>
      </c>
      <c r="H197" s="194">
        <f>Z197*Input!$F577</f>
        <v>0</v>
      </c>
      <c r="K197" s="11"/>
      <c r="M197" s="16" t="str">
        <f t="shared" si="27"/>
        <v>Fire &amp; other damage to property</v>
      </c>
      <c r="N197" s="194">
        <f>AA197*Input!$G577</f>
        <v>0</v>
      </c>
      <c r="O197" s="194">
        <f>AB197*Input!$G577</f>
        <v>0</v>
      </c>
      <c r="P197" s="194">
        <f>AC197*Input!$G577</f>
        <v>0</v>
      </c>
      <c r="Q197" s="194">
        <f>AD197*Input!$G577</f>
        <v>0</v>
      </c>
      <c r="S197" s="11"/>
      <c r="T197" s="16" t="s">
        <v>980</v>
      </c>
      <c r="U197" s="89" t="s">
        <v>258</v>
      </c>
      <c r="V197" s="74">
        <v>6</v>
      </c>
      <c r="W197" s="90">
        <f>_xlfn.XLOOKUP($V197,'Risk Charges'!$C$117:$C$128,'Risk Charges'!D$117:D$128,,0)</f>
        <v>0.33</v>
      </c>
      <c r="X197" s="90">
        <f>_xlfn.XLOOKUP($V197,'Risk Charges'!$C$117:$C$128,'Risk Charges'!E$117:E$128,,0)</f>
        <v>0.28000000000000003</v>
      </c>
      <c r="Y197" s="90">
        <f>_xlfn.XLOOKUP($V197,'Risk Charges'!$C$117:$C$128,'Risk Charges'!F$117:F$128,,0)</f>
        <v>0.24</v>
      </c>
      <c r="Z197" s="90">
        <f>_xlfn.XLOOKUP($V197,'Risk Charges'!$C$117:$C$128,'Risk Charges'!G$117:G$128,,0)</f>
        <v>0.2</v>
      </c>
      <c r="AA197" s="90">
        <f>_xlfn.XLOOKUP($V197,'Risk Charges'!$C$132:$C$143,'Risk Charges'!D$132:D$143,,0)</f>
        <v>0.41299999999999998</v>
      </c>
      <c r="AB197" s="90">
        <f>_xlfn.XLOOKUP($V197,'Risk Charges'!$C$132:$C$143,'Risk Charges'!E$132:E$143,,0)</f>
        <v>0.35</v>
      </c>
      <c r="AC197" s="90">
        <f>_xlfn.XLOOKUP($V197,'Risk Charges'!$C$132:$C$143,'Risk Charges'!F$132:F$143,,0)</f>
        <v>0.3</v>
      </c>
      <c r="AD197" s="90">
        <f>_xlfn.XLOOKUP($V197,'Risk Charges'!$C$132:$C$143,'Risk Charges'!G$132:G$143,,0)</f>
        <v>0.25</v>
      </c>
      <c r="AM197" s="100"/>
      <c r="AN197" s="62"/>
    </row>
    <row r="198" spans="2:40" hidden="1" outlineLevel="1" x14ac:dyDescent="0.3">
      <c r="B198" s="11"/>
      <c r="D198" s="16" t="str">
        <f t="shared" si="26"/>
        <v>Motor vehicle liability</v>
      </c>
      <c r="E198" s="194">
        <f>W198*Input!$F578</f>
        <v>0</v>
      </c>
      <c r="F198" s="194">
        <f>X198*Input!$F578</f>
        <v>0</v>
      </c>
      <c r="G198" s="194">
        <f>Y198*Input!$F578</f>
        <v>0</v>
      </c>
      <c r="H198" s="194">
        <f>Z198*Input!$F578</f>
        <v>0</v>
      </c>
      <c r="K198" s="11"/>
      <c r="M198" s="16" t="str">
        <f t="shared" si="27"/>
        <v>Motor vehicle liability</v>
      </c>
      <c r="N198" s="194">
        <f>AA198*Input!$G578</f>
        <v>0</v>
      </c>
      <c r="O198" s="194">
        <f>AB198*Input!$G578</f>
        <v>0</v>
      </c>
      <c r="P198" s="194">
        <f>AC198*Input!$G578</f>
        <v>0</v>
      </c>
      <c r="Q198" s="194">
        <f>AD198*Input!$G578</f>
        <v>0</v>
      </c>
      <c r="S198" s="11"/>
      <c r="T198" s="16" t="s">
        <v>981</v>
      </c>
      <c r="U198" s="89" t="s">
        <v>259</v>
      </c>
      <c r="V198" s="74">
        <v>6</v>
      </c>
      <c r="W198" s="90">
        <f>_xlfn.XLOOKUP($V198,'Risk Charges'!$C$117:$C$128,'Risk Charges'!D$117:D$128,,0)</f>
        <v>0.33</v>
      </c>
      <c r="X198" s="90">
        <f>_xlfn.XLOOKUP($V198,'Risk Charges'!$C$117:$C$128,'Risk Charges'!E$117:E$128,,0)</f>
        <v>0.28000000000000003</v>
      </c>
      <c r="Y198" s="90">
        <f>_xlfn.XLOOKUP($V198,'Risk Charges'!$C$117:$C$128,'Risk Charges'!F$117:F$128,,0)</f>
        <v>0.24</v>
      </c>
      <c r="Z198" s="90">
        <f>_xlfn.XLOOKUP($V198,'Risk Charges'!$C$117:$C$128,'Risk Charges'!G$117:G$128,,0)</f>
        <v>0.2</v>
      </c>
      <c r="AA198" s="90">
        <f>_xlfn.XLOOKUP($V198,'Risk Charges'!$C$132:$C$143,'Risk Charges'!D$132:D$143,,0)</f>
        <v>0.41299999999999998</v>
      </c>
      <c r="AB198" s="90">
        <f>_xlfn.XLOOKUP($V198,'Risk Charges'!$C$132:$C$143,'Risk Charges'!E$132:E$143,,0)</f>
        <v>0.35</v>
      </c>
      <c r="AC198" s="90">
        <f>_xlfn.XLOOKUP($V198,'Risk Charges'!$C$132:$C$143,'Risk Charges'!F$132:F$143,,0)</f>
        <v>0.3</v>
      </c>
      <c r="AD198" s="90">
        <f>_xlfn.XLOOKUP($V198,'Risk Charges'!$C$132:$C$143,'Risk Charges'!G$132:G$143,,0)</f>
        <v>0.25</v>
      </c>
      <c r="AM198" s="100"/>
      <c r="AN198" s="62"/>
    </row>
    <row r="199" spans="2:40" hidden="1" outlineLevel="1" x14ac:dyDescent="0.3">
      <c r="B199" s="11"/>
      <c r="D199" s="16" t="str">
        <f t="shared" si="26"/>
        <v>Other motor</v>
      </c>
      <c r="E199" s="194">
        <f>W199*Input!$F579</f>
        <v>0</v>
      </c>
      <c r="F199" s="194">
        <f>X199*Input!$F579</f>
        <v>0</v>
      </c>
      <c r="G199" s="194">
        <f>Y199*Input!$F579</f>
        <v>0</v>
      </c>
      <c r="H199" s="194">
        <f>Z199*Input!$F579</f>
        <v>0</v>
      </c>
      <c r="K199" s="11"/>
      <c r="M199" s="16" t="str">
        <f t="shared" si="27"/>
        <v>Other motor</v>
      </c>
      <c r="N199" s="194">
        <f>AA199*Input!$G579</f>
        <v>0</v>
      </c>
      <c r="O199" s="194">
        <f>AB199*Input!$G579</f>
        <v>0</v>
      </c>
      <c r="P199" s="194">
        <f>AC199*Input!$G579</f>
        <v>0</v>
      </c>
      <c r="Q199" s="194">
        <f>AD199*Input!$G579</f>
        <v>0</v>
      </c>
      <c r="S199" s="11"/>
      <c r="T199" s="16" t="s">
        <v>982</v>
      </c>
      <c r="U199" s="89" t="s">
        <v>259</v>
      </c>
      <c r="V199" s="74">
        <v>5</v>
      </c>
      <c r="W199" s="90">
        <f>_xlfn.XLOOKUP($V199,'Risk Charges'!$C$117:$C$128,'Risk Charges'!D$117:D$128,,0)</f>
        <v>0.248</v>
      </c>
      <c r="X199" s="90">
        <f>_xlfn.XLOOKUP($V199,'Risk Charges'!$C$117:$C$128,'Risk Charges'!E$117:E$128,,0)</f>
        <v>0.21</v>
      </c>
      <c r="Y199" s="90">
        <f>_xlfn.XLOOKUP($V199,'Risk Charges'!$C$117:$C$128,'Risk Charges'!F$117:F$128,,0)</f>
        <v>0.18</v>
      </c>
      <c r="Z199" s="90">
        <f>_xlfn.XLOOKUP($V199,'Risk Charges'!$C$117:$C$128,'Risk Charges'!G$117:G$128,,0)</f>
        <v>0.15</v>
      </c>
      <c r="AA199" s="90">
        <f>_xlfn.XLOOKUP($V199,'Risk Charges'!$C$132:$C$143,'Risk Charges'!D$132:D$143,,0)</f>
        <v>0.31</v>
      </c>
      <c r="AB199" s="90">
        <f>_xlfn.XLOOKUP($V199,'Risk Charges'!$C$132:$C$143,'Risk Charges'!E$132:E$143,,0)</f>
        <v>0.26300000000000001</v>
      </c>
      <c r="AC199" s="90">
        <f>_xlfn.XLOOKUP($V199,'Risk Charges'!$C$132:$C$143,'Risk Charges'!F$132:F$143,,0)</f>
        <v>0.22500000000000001</v>
      </c>
      <c r="AD199" s="90">
        <f>_xlfn.XLOOKUP($V199,'Risk Charges'!$C$132:$C$143,'Risk Charges'!G$132:G$143,,0)</f>
        <v>0.188</v>
      </c>
      <c r="AM199" s="100"/>
      <c r="AN199" s="62"/>
    </row>
    <row r="200" spans="2:40" hidden="1" outlineLevel="1" x14ac:dyDescent="0.3">
      <c r="B200" s="11"/>
      <c r="D200" s="16" t="str">
        <f t="shared" si="26"/>
        <v>Credit &amp; suretyship</v>
      </c>
      <c r="E200" s="194">
        <f>W200*Input!$F580</f>
        <v>0</v>
      </c>
      <c r="F200" s="194">
        <f>X200*Input!$F580</f>
        <v>0</v>
      </c>
      <c r="G200" s="194">
        <f>Y200*Input!$F580</f>
        <v>0</v>
      </c>
      <c r="H200" s="194">
        <f>Z200*Input!$F580</f>
        <v>0</v>
      </c>
      <c r="K200" s="11"/>
      <c r="M200" s="16" t="str">
        <f t="shared" si="27"/>
        <v>Credit &amp; suretyship</v>
      </c>
      <c r="N200" s="194">
        <f>AA200*Input!$G580</f>
        <v>0</v>
      </c>
      <c r="O200" s="194">
        <f>AB200*Input!$G580</f>
        <v>0</v>
      </c>
      <c r="P200" s="194">
        <f>AC200*Input!$G580</f>
        <v>0</v>
      </c>
      <c r="Q200" s="194">
        <f>AD200*Input!$G580</f>
        <v>0</v>
      </c>
      <c r="S200" s="11"/>
      <c r="T200" s="16" t="s">
        <v>1018</v>
      </c>
      <c r="U200" s="89" t="s">
        <v>9</v>
      </c>
      <c r="V200" s="106">
        <v>10</v>
      </c>
      <c r="W200" s="90">
        <f>_xlfn.XLOOKUP($V200,'Risk Charges'!$C$117:$C$128,'Risk Charges'!D$117:D$128,,0)</f>
        <v>0.66</v>
      </c>
      <c r="X200" s="90">
        <f>_xlfn.XLOOKUP($V200,'Risk Charges'!$C$117:$C$128,'Risk Charges'!E$117:E$128,,0)</f>
        <v>0.56000000000000005</v>
      </c>
      <c r="Y200" s="90">
        <f>_xlfn.XLOOKUP($V200,'Risk Charges'!$C$117:$C$128,'Risk Charges'!F$117:F$128,,0)</f>
        <v>0.48</v>
      </c>
      <c r="Z200" s="90">
        <f>_xlfn.XLOOKUP($V200,'Risk Charges'!$C$117:$C$128,'Risk Charges'!G$117:G$128,,0)</f>
        <v>0.4</v>
      </c>
      <c r="AA200" s="90">
        <f>_xlfn.XLOOKUP($V200,'Risk Charges'!$C$132:$C$143,'Risk Charges'!D$132:D$143,,0)</f>
        <v>0.82499999999999996</v>
      </c>
      <c r="AB200" s="90">
        <f>_xlfn.XLOOKUP($V200,'Risk Charges'!$C$132:$C$143,'Risk Charges'!E$132:E$143,,0)</f>
        <v>0.7</v>
      </c>
      <c r="AC200" s="90">
        <f>_xlfn.XLOOKUP($V200,'Risk Charges'!$C$132:$C$143,'Risk Charges'!F$132:F$143,,0)</f>
        <v>0.6</v>
      </c>
      <c r="AD200" s="90">
        <f>_xlfn.XLOOKUP($V200,'Risk Charges'!$C$132:$C$143,'Risk Charges'!G$132:G$143,,0)</f>
        <v>0.5</v>
      </c>
      <c r="AM200" s="100"/>
      <c r="AN200" s="62"/>
    </row>
    <row r="201" spans="2:40" hidden="1" outlineLevel="1" x14ac:dyDescent="0.3">
      <c r="B201" s="11"/>
      <c r="D201" s="16" t="str">
        <f t="shared" si="26"/>
        <v>Miscellaneous financial loss</v>
      </c>
      <c r="E201" s="194">
        <f>W201*Input!$F581</f>
        <v>0</v>
      </c>
      <c r="F201" s="194">
        <f>X201*Input!$F581</f>
        <v>0</v>
      </c>
      <c r="G201" s="194">
        <f>Y201*Input!$F581</f>
        <v>0</v>
      </c>
      <c r="H201" s="194">
        <f>Z201*Input!$F581</f>
        <v>0</v>
      </c>
      <c r="K201" s="11"/>
      <c r="M201" s="16" t="str">
        <f t="shared" si="27"/>
        <v>Miscellaneous financial loss</v>
      </c>
      <c r="N201" s="194">
        <f>AA201*Input!$G581</f>
        <v>0</v>
      </c>
      <c r="O201" s="194">
        <f>AB201*Input!$G581</f>
        <v>0</v>
      </c>
      <c r="P201" s="194">
        <f>AC201*Input!$G581</f>
        <v>0</v>
      </c>
      <c r="Q201" s="194">
        <f>AD201*Input!$G581</f>
        <v>0</v>
      </c>
      <c r="S201" s="11"/>
      <c r="T201" s="16" t="s">
        <v>984</v>
      </c>
      <c r="U201" s="89" t="s">
        <v>9</v>
      </c>
      <c r="V201" s="106">
        <v>10</v>
      </c>
      <c r="W201" s="90">
        <f>_xlfn.XLOOKUP($V201,'Risk Charges'!$C$117:$C$128,'Risk Charges'!D$117:D$128,,0)</f>
        <v>0.66</v>
      </c>
      <c r="X201" s="90">
        <f>_xlfn.XLOOKUP($V201,'Risk Charges'!$C$117:$C$128,'Risk Charges'!E$117:E$128,,0)</f>
        <v>0.56000000000000005</v>
      </c>
      <c r="Y201" s="90">
        <f>_xlfn.XLOOKUP($V201,'Risk Charges'!$C$117:$C$128,'Risk Charges'!F$117:F$128,,0)</f>
        <v>0.48</v>
      </c>
      <c r="Z201" s="90">
        <f>_xlfn.XLOOKUP($V201,'Risk Charges'!$C$117:$C$128,'Risk Charges'!G$117:G$128,,0)</f>
        <v>0.4</v>
      </c>
      <c r="AA201" s="90">
        <f>_xlfn.XLOOKUP($V201,'Risk Charges'!$C$132:$C$143,'Risk Charges'!D$132:D$143,,0)</f>
        <v>0.82499999999999996</v>
      </c>
      <c r="AB201" s="90">
        <f>_xlfn.XLOOKUP($V201,'Risk Charges'!$C$132:$C$143,'Risk Charges'!E$132:E$143,,0)</f>
        <v>0.7</v>
      </c>
      <c r="AC201" s="90">
        <f>_xlfn.XLOOKUP($V201,'Risk Charges'!$C$132:$C$143,'Risk Charges'!F$132:F$143,,0)</f>
        <v>0.6</v>
      </c>
      <c r="AD201" s="90">
        <f>_xlfn.XLOOKUP($V201,'Risk Charges'!$C$132:$C$143,'Risk Charges'!G$132:G$143,,0)</f>
        <v>0.5</v>
      </c>
      <c r="AM201" s="100"/>
      <c r="AN201" s="62"/>
    </row>
    <row r="202" spans="2:40" hidden="1" outlineLevel="1" x14ac:dyDescent="0.3">
      <c r="B202" s="11"/>
      <c r="D202" s="16" t="str">
        <f t="shared" si="26"/>
        <v>Health &amp; medical expense insurance</v>
      </c>
      <c r="E202" s="194">
        <f>W202*Input!$F582</f>
        <v>0</v>
      </c>
      <c r="F202" s="194">
        <f>X202*Input!$F582</f>
        <v>0</v>
      </c>
      <c r="G202" s="194">
        <f>Y202*Input!$F582</f>
        <v>0</v>
      </c>
      <c r="H202" s="194">
        <f>Z202*Input!$F582</f>
        <v>0</v>
      </c>
      <c r="K202" s="11"/>
      <c r="M202" s="16" t="str">
        <f t="shared" si="27"/>
        <v>Health &amp; medical expense insurance</v>
      </c>
      <c r="N202" s="194">
        <f>AA202*Input!$G582</f>
        <v>0</v>
      </c>
      <c r="O202" s="194">
        <f>AB202*Input!$G582</f>
        <v>0</v>
      </c>
      <c r="P202" s="194">
        <f>AC202*Input!$G582</f>
        <v>0</v>
      </c>
      <c r="Q202" s="194">
        <f>AD202*Input!$G582</f>
        <v>0</v>
      </c>
      <c r="S202" s="11"/>
      <c r="T202" s="16" t="s">
        <v>985</v>
      </c>
      <c r="U202" s="91" t="s">
        <v>261</v>
      </c>
      <c r="V202" s="74">
        <v>4</v>
      </c>
      <c r="W202" s="90">
        <f>_xlfn.XLOOKUP($V202,'Risk Charges'!$C$117:$C$128,'Risk Charges'!D$117:D$128,,0)</f>
        <v>0.16500000000000001</v>
      </c>
      <c r="X202" s="90">
        <f>_xlfn.XLOOKUP($V202,'Risk Charges'!$C$117:$C$128,'Risk Charges'!E$117:E$128,,0)</f>
        <v>0.14000000000000001</v>
      </c>
      <c r="Y202" s="90">
        <f>_xlfn.XLOOKUP($V202,'Risk Charges'!$C$117:$C$128,'Risk Charges'!F$117:F$128,,0)</f>
        <v>0.12</v>
      </c>
      <c r="Z202" s="90">
        <f>_xlfn.XLOOKUP($V202,'Risk Charges'!$C$117:$C$128,'Risk Charges'!G$117:G$128,,0)</f>
        <v>0.1</v>
      </c>
      <c r="AA202" s="90">
        <f>_xlfn.XLOOKUP($V202,'Risk Charges'!$C$132:$C$143,'Risk Charges'!D$132:D$143,,0)</f>
        <v>0.20599999999999999</v>
      </c>
      <c r="AB202" s="90">
        <f>_xlfn.XLOOKUP($V202,'Risk Charges'!$C$132:$C$143,'Risk Charges'!E$132:E$143,,0)</f>
        <v>0.17499999999999999</v>
      </c>
      <c r="AC202" s="90">
        <f>_xlfn.XLOOKUP($V202,'Risk Charges'!$C$132:$C$143,'Risk Charges'!F$132:F$143,,0)</f>
        <v>0.15</v>
      </c>
      <c r="AD202" s="90">
        <f>_xlfn.XLOOKUP($V202,'Risk Charges'!$C$132:$C$143,'Risk Charges'!G$132:G$143,,0)</f>
        <v>0.125</v>
      </c>
      <c r="AM202" s="100"/>
      <c r="AN202" s="62"/>
    </row>
    <row r="203" spans="2:40" hidden="1" outlineLevel="1" x14ac:dyDescent="0.3">
      <c r="B203" s="11"/>
      <c r="D203" s="16" t="str">
        <f t="shared" si="26"/>
        <v>Marine, aviation, and transport</v>
      </c>
      <c r="E203" s="194">
        <f>W203*Input!$F583</f>
        <v>0</v>
      </c>
      <c r="F203" s="194">
        <f>X203*Input!$F583</f>
        <v>0</v>
      </c>
      <c r="G203" s="194">
        <f>Y203*Input!$F583</f>
        <v>0</v>
      </c>
      <c r="H203" s="194">
        <f>Z203*Input!$F583</f>
        <v>0</v>
      </c>
      <c r="K203" s="11"/>
      <c r="M203" s="16" t="str">
        <f t="shared" si="27"/>
        <v>Marine, aviation, and transport</v>
      </c>
      <c r="N203" s="194">
        <f>AA203*Input!$G583</f>
        <v>0</v>
      </c>
      <c r="O203" s="194">
        <f>AB203*Input!$G583</f>
        <v>0</v>
      </c>
      <c r="P203" s="194">
        <f>AC203*Input!$G583</f>
        <v>0</v>
      </c>
      <c r="Q203" s="194">
        <f>AD203*Input!$G583</f>
        <v>0</v>
      </c>
      <c r="S203" s="11"/>
      <c r="T203" s="16" t="s">
        <v>1019</v>
      </c>
      <c r="U203" s="89" t="s">
        <v>411</v>
      </c>
      <c r="V203" s="74">
        <v>7</v>
      </c>
      <c r="W203" s="90">
        <f>_xlfn.XLOOKUP($V203,'Risk Charges'!$C$117:$C$128,'Risk Charges'!D$117:D$128,,0)</f>
        <v>0.41299999999999998</v>
      </c>
      <c r="X203" s="90">
        <f>_xlfn.XLOOKUP($V203,'Risk Charges'!$C$117:$C$128,'Risk Charges'!E$117:E$128,,0)</f>
        <v>0.35</v>
      </c>
      <c r="Y203" s="90">
        <f>_xlfn.XLOOKUP($V203,'Risk Charges'!$C$117:$C$128,'Risk Charges'!F$117:F$128,,0)</f>
        <v>0.3</v>
      </c>
      <c r="Z203" s="90">
        <f>_xlfn.XLOOKUP($V203,'Risk Charges'!$C$117:$C$128,'Risk Charges'!G$117:G$128,,0)</f>
        <v>0.25</v>
      </c>
      <c r="AA203" s="90">
        <f>_xlfn.XLOOKUP($V203,'Risk Charges'!$C$132:$C$143,'Risk Charges'!D$132:D$143,,0)</f>
        <v>0.51600000000000001</v>
      </c>
      <c r="AB203" s="90">
        <f>_xlfn.XLOOKUP($V203,'Risk Charges'!$C$132:$C$143,'Risk Charges'!E$132:E$143,,0)</f>
        <v>0.438</v>
      </c>
      <c r="AC203" s="90">
        <f>_xlfn.XLOOKUP($V203,'Risk Charges'!$C$132:$C$143,'Risk Charges'!F$132:F$143,,0)</f>
        <v>0.375</v>
      </c>
      <c r="AD203" s="90">
        <f>_xlfn.XLOOKUP($V203,'Risk Charges'!$C$132:$C$143,'Risk Charges'!G$132:G$143,,0)</f>
        <v>0.313</v>
      </c>
      <c r="AM203" s="100"/>
      <c r="AN203" s="62"/>
    </row>
    <row r="204" spans="2:40" hidden="1" outlineLevel="1" x14ac:dyDescent="0.3">
      <c r="B204" s="11"/>
      <c r="D204" s="16" t="str">
        <f t="shared" si="26"/>
        <v>Marine protection &amp; indemnity</v>
      </c>
      <c r="E204" s="194">
        <f>W204*Input!$F584</f>
        <v>0</v>
      </c>
      <c r="F204" s="194">
        <f>X204*Input!$F584</f>
        <v>0</v>
      </c>
      <c r="G204" s="194">
        <f>Y204*Input!$F584</f>
        <v>0</v>
      </c>
      <c r="H204" s="194">
        <f>Z204*Input!$F584</f>
        <v>0</v>
      </c>
      <c r="K204" s="11"/>
      <c r="M204" s="16" t="str">
        <f t="shared" si="27"/>
        <v>Marine protection &amp; indemnity</v>
      </c>
      <c r="N204" s="194">
        <f>AA204*Input!$G584</f>
        <v>0</v>
      </c>
      <c r="O204" s="194">
        <f>AB204*Input!$G584</f>
        <v>0</v>
      </c>
      <c r="P204" s="194">
        <f>AC204*Input!$G584</f>
        <v>0</v>
      </c>
      <c r="Q204" s="194">
        <f>AD204*Input!$G584</f>
        <v>0</v>
      </c>
      <c r="S204" s="11"/>
      <c r="T204" s="16" t="s">
        <v>4130</v>
      </c>
      <c r="U204" s="89" t="s">
        <v>411</v>
      </c>
      <c r="V204" s="74">
        <v>7</v>
      </c>
      <c r="W204" s="90">
        <f>_xlfn.XLOOKUP($V204,'Risk Charges'!$C$117:$C$128,'Risk Charges'!D$117:D$128,,0)</f>
        <v>0.41299999999999998</v>
      </c>
      <c r="X204" s="90">
        <f>_xlfn.XLOOKUP($V204,'Risk Charges'!$C$117:$C$128,'Risk Charges'!E$117:E$128,,0)</f>
        <v>0.35</v>
      </c>
      <c r="Y204" s="90">
        <f>_xlfn.XLOOKUP($V204,'Risk Charges'!$C$117:$C$128,'Risk Charges'!F$117:F$128,,0)</f>
        <v>0.3</v>
      </c>
      <c r="Z204" s="90">
        <f>_xlfn.XLOOKUP($V204,'Risk Charges'!$C$117:$C$128,'Risk Charges'!G$117:G$128,,0)</f>
        <v>0.25</v>
      </c>
      <c r="AA204" s="90">
        <f>_xlfn.XLOOKUP($V204,'Risk Charges'!$C$132:$C$143,'Risk Charges'!D$132:D$143,,0)</f>
        <v>0.51600000000000001</v>
      </c>
      <c r="AB204" s="90">
        <f>_xlfn.XLOOKUP($V204,'Risk Charges'!$C$132:$C$143,'Risk Charges'!E$132:E$143,,0)</f>
        <v>0.438</v>
      </c>
      <c r="AC204" s="90">
        <f>_xlfn.XLOOKUP($V204,'Risk Charges'!$C$132:$C$143,'Risk Charges'!F$132:F$143,,0)</f>
        <v>0.375</v>
      </c>
      <c r="AD204" s="90">
        <f>_xlfn.XLOOKUP($V204,'Risk Charges'!$C$132:$C$143,'Risk Charges'!G$132:G$143,,0)</f>
        <v>0.313</v>
      </c>
    </row>
    <row r="205" spans="2:40" hidden="1" outlineLevel="1" x14ac:dyDescent="0.3">
      <c r="B205" s="11"/>
      <c r="D205" s="16" t="str">
        <f t="shared" si="26"/>
        <v>Assistance</v>
      </c>
      <c r="E205" s="194">
        <f>W205*Input!$F585</f>
        <v>0</v>
      </c>
      <c r="F205" s="194">
        <f>X205*Input!$F585</f>
        <v>0</v>
      </c>
      <c r="G205" s="194">
        <f>Y205*Input!$F585</f>
        <v>0</v>
      </c>
      <c r="H205" s="194">
        <f>Z205*Input!$F585</f>
        <v>0</v>
      </c>
      <c r="K205" s="11"/>
      <c r="M205" s="16" t="str">
        <f t="shared" si="27"/>
        <v>Assistance</v>
      </c>
      <c r="N205" s="194">
        <f>AA205*Input!$G585</f>
        <v>0</v>
      </c>
      <c r="O205" s="194">
        <f>AB205*Input!$G585</f>
        <v>0</v>
      </c>
      <c r="P205" s="194">
        <f>AC205*Input!$G585</f>
        <v>0</v>
      </c>
      <c r="Q205" s="194">
        <f>AD205*Input!$G585</f>
        <v>0</v>
      </c>
      <c r="S205" s="11"/>
      <c r="T205" s="16" t="s">
        <v>381</v>
      </c>
      <c r="U205" s="89" t="s">
        <v>262</v>
      </c>
      <c r="V205" s="74">
        <v>10</v>
      </c>
      <c r="W205" s="90">
        <f>_xlfn.XLOOKUP($V205,'Risk Charges'!$C$117:$C$128,'Risk Charges'!D$117:D$128,,0)</f>
        <v>0.66</v>
      </c>
      <c r="X205" s="90">
        <f>_xlfn.XLOOKUP($V205,'Risk Charges'!$C$117:$C$128,'Risk Charges'!E$117:E$128,,0)</f>
        <v>0.56000000000000005</v>
      </c>
      <c r="Y205" s="90">
        <f>_xlfn.XLOOKUP($V205,'Risk Charges'!$C$117:$C$128,'Risk Charges'!F$117:F$128,,0)</f>
        <v>0.48</v>
      </c>
      <c r="Z205" s="90">
        <f>_xlfn.XLOOKUP($V205,'Risk Charges'!$C$117:$C$128,'Risk Charges'!G$117:G$128,,0)</f>
        <v>0.4</v>
      </c>
      <c r="AA205" s="90">
        <f>_xlfn.XLOOKUP($V205,'Risk Charges'!$C$132:$C$143,'Risk Charges'!D$132:D$143,,0)</f>
        <v>0.82499999999999996</v>
      </c>
      <c r="AB205" s="90">
        <f>_xlfn.XLOOKUP($V205,'Risk Charges'!$C$132:$C$143,'Risk Charges'!E$132:E$143,,0)</f>
        <v>0.7</v>
      </c>
      <c r="AC205" s="90">
        <f>_xlfn.XLOOKUP($V205,'Risk Charges'!$C$132:$C$143,'Risk Charges'!F$132:F$143,,0)</f>
        <v>0.6</v>
      </c>
      <c r="AD205" s="90">
        <f>_xlfn.XLOOKUP($V205,'Risk Charges'!$C$132:$C$143,'Risk Charges'!G$132:G$143,,0)</f>
        <v>0.5</v>
      </c>
      <c r="AM205" s="100"/>
      <c r="AN205" s="62"/>
    </row>
    <row r="206" spans="2:40" hidden="1" outlineLevel="1" x14ac:dyDescent="0.3">
      <c r="B206" s="11"/>
      <c r="D206" s="16" t="str">
        <f t="shared" si="26"/>
        <v>Income protection</v>
      </c>
      <c r="E206" s="194">
        <f>W206*Input!$F586</f>
        <v>0</v>
      </c>
      <c r="F206" s="194">
        <f>X206*Input!$F586</f>
        <v>0</v>
      </c>
      <c r="G206" s="194">
        <f>Y206*Input!$F586</f>
        <v>0</v>
      </c>
      <c r="H206" s="194">
        <f>Z206*Input!$F586</f>
        <v>0</v>
      </c>
      <c r="I206" s="16"/>
      <c r="J206" s="16"/>
      <c r="K206" s="11"/>
      <c r="M206" s="16" t="str">
        <f t="shared" si="27"/>
        <v>Income protection</v>
      </c>
      <c r="N206" s="194">
        <f>AA206*Input!$G586</f>
        <v>0</v>
      </c>
      <c r="O206" s="194">
        <f>AB206*Input!$G586</f>
        <v>0</v>
      </c>
      <c r="P206" s="194">
        <f>AC206*Input!$G586</f>
        <v>0</v>
      </c>
      <c r="Q206" s="194">
        <f>AD206*Input!$G586</f>
        <v>0</v>
      </c>
      <c r="S206" s="11"/>
      <c r="T206" s="16" t="s">
        <v>987</v>
      </c>
      <c r="U206" s="89" t="s">
        <v>262</v>
      </c>
      <c r="V206" s="74">
        <v>7</v>
      </c>
      <c r="W206" s="90">
        <f>_xlfn.XLOOKUP($V206,'Risk Charges'!$C$117:$C$128,'Risk Charges'!D$117:D$128,,0)</f>
        <v>0.41299999999999998</v>
      </c>
      <c r="X206" s="90">
        <f>_xlfn.XLOOKUP($V206,'Risk Charges'!$C$117:$C$128,'Risk Charges'!E$117:E$128,,0)</f>
        <v>0.35</v>
      </c>
      <c r="Y206" s="90">
        <f>_xlfn.XLOOKUP($V206,'Risk Charges'!$C$117:$C$128,'Risk Charges'!F$117:F$128,,0)</f>
        <v>0.3</v>
      </c>
      <c r="Z206" s="90">
        <f>_xlfn.XLOOKUP($V206,'Risk Charges'!$C$117:$C$128,'Risk Charges'!G$117:G$128,,0)</f>
        <v>0.25</v>
      </c>
      <c r="AA206" s="90">
        <f>_xlfn.XLOOKUP($V206,'Risk Charges'!$C$132:$C$143,'Risk Charges'!D$132:D$143,,0)</f>
        <v>0.51600000000000001</v>
      </c>
      <c r="AB206" s="90">
        <f>_xlfn.XLOOKUP($V206,'Risk Charges'!$C$132:$C$143,'Risk Charges'!E$132:E$143,,0)</f>
        <v>0.438</v>
      </c>
      <c r="AC206" s="90">
        <f>_xlfn.XLOOKUP($V206,'Risk Charges'!$C$132:$C$143,'Risk Charges'!F$132:F$143,,0)</f>
        <v>0.375</v>
      </c>
      <c r="AD206" s="90">
        <f>_xlfn.XLOOKUP($V206,'Risk Charges'!$C$132:$C$143,'Risk Charges'!G$132:G$143,,0)</f>
        <v>0.313</v>
      </c>
      <c r="AM206" s="100"/>
      <c r="AN206" s="62"/>
    </row>
    <row r="207" spans="2:40" hidden="1" outlineLevel="1" x14ac:dyDescent="0.3">
      <c r="B207" s="11"/>
      <c r="D207" s="16" t="str">
        <f t="shared" si="26"/>
        <v>Legal expense</v>
      </c>
      <c r="E207" s="194">
        <f>W207*Input!$F587</f>
        <v>0</v>
      </c>
      <c r="F207" s="194">
        <f>X207*Input!$F587</f>
        <v>0</v>
      </c>
      <c r="G207" s="194">
        <f>Y207*Input!$F587</f>
        <v>0</v>
      </c>
      <c r="H207" s="194">
        <f>Z207*Input!$F587</f>
        <v>0</v>
      </c>
      <c r="I207" s="16"/>
      <c r="J207" s="16"/>
      <c r="K207" s="11"/>
      <c r="M207" s="16" t="str">
        <f t="shared" si="27"/>
        <v>Legal expense</v>
      </c>
      <c r="N207" s="194">
        <f>AA207*Input!$G587</f>
        <v>0</v>
      </c>
      <c r="O207" s="194">
        <f>AB207*Input!$G587</f>
        <v>0</v>
      </c>
      <c r="P207" s="194">
        <f>AC207*Input!$G587</f>
        <v>0</v>
      </c>
      <c r="Q207" s="194">
        <f>AD207*Input!$G587</f>
        <v>0</v>
      </c>
      <c r="S207" s="11"/>
      <c r="T207" s="16" t="s">
        <v>988</v>
      </c>
      <c r="U207" s="89" t="s">
        <v>262</v>
      </c>
      <c r="V207" s="74">
        <v>7</v>
      </c>
      <c r="W207" s="90">
        <f>_xlfn.XLOOKUP($V207,'Risk Charges'!$C$117:$C$128,'Risk Charges'!D$117:D$128,,0)</f>
        <v>0.41299999999999998</v>
      </c>
      <c r="X207" s="90">
        <f>_xlfn.XLOOKUP($V207,'Risk Charges'!$C$117:$C$128,'Risk Charges'!E$117:E$128,,0)</f>
        <v>0.35</v>
      </c>
      <c r="Y207" s="90">
        <f>_xlfn.XLOOKUP($V207,'Risk Charges'!$C$117:$C$128,'Risk Charges'!F$117:F$128,,0)</f>
        <v>0.3</v>
      </c>
      <c r="Z207" s="90">
        <f>_xlfn.XLOOKUP($V207,'Risk Charges'!$C$117:$C$128,'Risk Charges'!G$117:G$128,,0)</f>
        <v>0.25</v>
      </c>
      <c r="AA207" s="90">
        <f>_xlfn.XLOOKUP($V207,'Risk Charges'!$C$132:$C$143,'Risk Charges'!D$132:D$143,,0)</f>
        <v>0.51600000000000001</v>
      </c>
      <c r="AB207" s="90">
        <f>_xlfn.XLOOKUP($V207,'Risk Charges'!$C$132:$C$143,'Risk Charges'!E$132:E$143,,0)</f>
        <v>0.438</v>
      </c>
      <c r="AC207" s="90">
        <f>_xlfn.XLOOKUP($V207,'Risk Charges'!$C$132:$C$143,'Risk Charges'!F$132:F$143,,0)</f>
        <v>0.375</v>
      </c>
      <c r="AD207" s="90">
        <f>_xlfn.XLOOKUP($V207,'Risk Charges'!$C$132:$C$143,'Risk Charges'!G$132:G$143,,0)</f>
        <v>0.313</v>
      </c>
      <c r="AM207" s="100"/>
      <c r="AN207" s="62"/>
    </row>
    <row r="208" spans="2:40" hidden="1" outlineLevel="1" x14ac:dyDescent="0.3">
      <c r="D208" s="16" t="str">
        <f t="shared" si="26"/>
        <v>Other</v>
      </c>
      <c r="E208" s="194">
        <f>W208*Input!$F588</f>
        <v>0</v>
      </c>
      <c r="F208" s="194">
        <f>X208*Input!$F588</f>
        <v>0</v>
      </c>
      <c r="G208" s="194">
        <f>Y208*Input!$F588</f>
        <v>0</v>
      </c>
      <c r="H208" s="194">
        <f>Z208*Input!$F588</f>
        <v>0</v>
      </c>
      <c r="M208" s="16" t="str">
        <f t="shared" si="27"/>
        <v>Other</v>
      </c>
      <c r="N208" s="194">
        <f>AA208*Input!$G588</f>
        <v>0</v>
      </c>
      <c r="O208" s="194">
        <f>AB208*Input!$G588</f>
        <v>0</v>
      </c>
      <c r="P208" s="194">
        <f>AC208*Input!$G588</f>
        <v>0</v>
      </c>
      <c r="Q208" s="194">
        <f>AD208*Input!$G588</f>
        <v>0</v>
      </c>
      <c r="R208" s="16"/>
      <c r="S208" s="61"/>
      <c r="T208" s="16" t="s">
        <v>262</v>
      </c>
      <c r="U208" s="89" t="s">
        <v>262</v>
      </c>
      <c r="V208" s="74">
        <v>10</v>
      </c>
      <c r="W208" s="90">
        <f>_xlfn.XLOOKUP($V208,'Risk Charges'!$C$117:$C$128,'Risk Charges'!D$117:D$128,,0)</f>
        <v>0.66</v>
      </c>
      <c r="X208" s="90">
        <f>_xlfn.XLOOKUP($V208,'Risk Charges'!$C$117:$C$128,'Risk Charges'!E$117:E$128,,0)</f>
        <v>0.56000000000000005</v>
      </c>
      <c r="Y208" s="90">
        <f>_xlfn.XLOOKUP($V208,'Risk Charges'!$C$117:$C$128,'Risk Charges'!F$117:F$128,,0)</f>
        <v>0.48</v>
      </c>
      <c r="Z208" s="90">
        <f>_xlfn.XLOOKUP($V208,'Risk Charges'!$C$117:$C$128,'Risk Charges'!G$117:G$128,,0)</f>
        <v>0.4</v>
      </c>
      <c r="AA208" s="90">
        <f>_xlfn.XLOOKUP($V208,'Risk Charges'!$C$132:$C$143,'Risk Charges'!D$132:D$143,,0)</f>
        <v>0.82499999999999996</v>
      </c>
      <c r="AB208" s="90">
        <f>_xlfn.XLOOKUP($V208,'Risk Charges'!$C$132:$C$143,'Risk Charges'!E$132:E$143,,0)</f>
        <v>0.7</v>
      </c>
      <c r="AC208" s="90">
        <f>_xlfn.XLOOKUP($V208,'Risk Charges'!$C$132:$C$143,'Risk Charges'!F$132:F$143,,0)</f>
        <v>0.6</v>
      </c>
      <c r="AD208" s="90">
        <f>_xlfn.XLOOKUP($V208,'Risk Charges'!$C$132:$C$143,'Risk Charges'!G$132:G$143,,0)</f>
        <v>0.5</v>
      </c>
      <c r="AM208" s="100"/>
      <c r="AN208" s="62"/>
    </row>
    <row r="209" spans="2:40" hidden="1" outlineLevel="1" x14ac:dyDescent="0.3">
      <c r="B209" s="88" t="s">
        <v>326</v>
      </c>
      <c r="D209" s="16"/>
      <c r="E209" s="194"/>
      <c r="F209" s="194"/>
      <c r="G209" s="194"/>
      <c r="H209" s="194"/>
      <c r="K209" s="88" t="s">
        <v>326</v>
      </c>
      <c r="M209" s="16"/>
      <c r="N209" s="194"/>
      <c r="O209" s="194"/>
      <c r="P209" s="194"/>
      <c r="Q209" s="194"/>
      <c r="R209" s="16"/>
      <c r="S209" s="88" t="s">
        <v>326</v>
      </c>
      <c r="U209" s="89"/>
      <c r="V209" s="93"/>
      <c r="W209" s="90"/>
      <c r="X209" s="90"/>
      <c r="Y209" s="90"/>
      <c r="Z209" s="90"/>
      <c r="AA209" s="90"/>
      <c r="AB209" s="90"/>
      <c r="AC209" s="90"/>
      <c r="AD209" s="90"/>
      <c r="AM209" s="100"/>
      <c r="AN209" s="62"/>
    </row>
    <row r="210" spans="2:40" hidden="1" outlineLevel="1" x14ac:dyDescent="0.3">
      <c r="B210" s="11"/>
      <c r="D210" s="16" t="str">
        <f t="shared" ref="D210:D234" si="28">T210</f>
        <v>Medical malpractice - claims made</v>
      </c>
      <c r="E210" s="194">
        <f>W210*Input!$F590</f>
        <v>0</v>
      </c>
      <c r="F210" s="194">
        <f>X210*Input!$F590</f>
        <v>0</v>
      </c>
      <c r="G210" s="194">
        <f>Y210*Input!$F590</f>
        <v>0</v>
      </c>
      <c r="H210" s="194">
        <f>Z210*Input!$F590</f>
        <v>0</v>
      </c>
      <c r="K210" s="11"/>
      <c r="M210" s="16" t="str">
        <f t="shared" ref="M210:M234" si="29">T210</f>
        <v>Medical malpractice - claims made</v>
      </c>
      <c r="N210" s="194">
        <f>AA210*Input!$G590</f>
        <v>0</v>
      </c>
      <c r="O210" s="194">
        <f>AB210*Input!$G590</f>
        <v>0</v>
      </c>
      <c r="P210" s="194">
        <f>AC210*Input!$G590</f>
        <v>0</v>
      </c>
      <c r="Q210" s="194">
        <f>AD210*Input!$G590</f>
        <v>0</v>
      </c>
      <c r="S210" s="11"/>
      <c r="T210" s="94" t="s">
        <v>402</v>
      </c>
      <c r="U210" s="89" t="s">
        <v>260</v>
      </c>
      <c r="V210" s="74">
        <v>8</v>
      </c>
      <c r="W210" s="90">
        <f>_xlfn.XLOOKUP($V210,'Risk Charges'!$C$117:$C$128,'Risk Charges'!D$117:D$128,,0)</f>
        <v>0.495</v>
      </c>
      <c r="X210" s="90">
        <f>_xlfn.XLOOKUP($V210,'Risk Charges'!$C$117:$C$128,'Risk Charges'!E$117:E$128,,0)</f>
        <v>0.42</v>
      </c>
      <c r="Y210" s="90">
        <f>_xlfn.XLOOKUP($V210,'Risk Charges'!$C$117:$C$128,'Risk Charges'!F$117:F$128,,0)</f>
        <v>0.36</v>
      </c>
      <c r="Z210" s="90">
        <f>_xlfn.XLOOKUP($V210,'Risk Charges'!$C$117:$C$128,'Risk Charges'!G$117:G$128,,0)</f>
        <v>0.3</v>
      </c>
      <c r="AA210" s="90">
        <f>_xlfn.XLOOKUP($V210,'Risk Charges'!$C$132:$C$143,'Risk Charges'!D$132:D$143,,0)</f>
        <v>0.61899999999999999</v>
      </c>
      <c r="AB210" s="90">
        <f>_xlfn.XLOOKUP($V210,'Risk Charges'!$C$132:$C$143,'Risk Charges'!E$132:E$143,,0)</f>
        <v>0.52500000000000002</v>
      </c>
      <c r="AC210" s="90">
        <f>_xlfn.XLOOKUP($V210,'Risk Charges'!$C$132:$C$143,'Risk Charges'!F$132:F$143,,0)</f>
        <v>0.45</v>
      </c>
      <c r="AD210" s="90">
        <f>_xlfn.XLOOKUP($V210,'Risk Charges'!$C$132:$C$143,'Risk Charges'!G$132:G$143,,0)</f>
        <v>0.375</v>
      </c>
      <c r="AM210" s="100"/>
      <c r="AN210" s="62"/>
    </row>
    <row r="211" spans="2:40" hidden="1" outlineLevel="1" x14ac:dyDescent="0.3">
      <c r="B211" s="11"/>
      <c r="D211" s="16" t="str">
        <f t="shared" si="28"/>
        <v>Medical malpractice - occurrence</v>
      </c>
      <c r="E211" s="194">
        <f>W211*Input!$F591</f>
        <v>0</v>
      </c>
      <c r="F211" s="194">
        <f>X211*Input!$F591</f>
        <v>0</v>
      </c>
      <c r="G211" s="194">
        <f>Y211*Input!$F591</f>
        <v>0</v>
      </c>
      <c r="H211" s="194">
        <f>Z211*Input!$F591</f>
        <v>0</v>
      </c>
      <c r="K211" s="11"/>
      <c r="M211" s="16" t="str">
        <f t="shared" si="29"/>
        <v>Medical malpractice - occurrence</v>
      </c>
      <c r="N211" s="194">
        <f>AA211*Input!$G591</f>
        <v>0</v>
      </c>
      <c r="O211" s="194">
        <f>AB211*Input!$G591</f>
        <v>0</v>
      </c>
      <c r="P211" s="194">
        <f>AC211*Input!$G591</f>
        <v>0</v>
      </c>
      <c r="Q211" s="194">
        <f>AD211*Input!$G591</f>
        <v>0</v>
      </c>
      <c r="S211" s="11"/>
      <c r="T211" s="94" t="s">
        <v>401</v>
      </c>
      <c r="U211" s="89" t="s">
        <v>260</v>
      </c>
      <c r="V211" s="74">
        <v>9</v>
      </c>
      <c r="W211" s="90">
        <f>_xlfn.XLOOKUP($V211,'Risk Charges'!$C$117:$C$128,'Risk Charges'!D$117:D$128,,0)</f>
        <v>0.57799999999999996</v>
      </c>
      <c r="X211" s="90">
        <f>_xlfn.XLOOKUP($V211,'Risk Charges'!$C$117:$C$128,'Risk Charges'!E$117:E$128,,0)</f>
        <v>0.49</v>
      </c>
      <c r="Y211" s="90">
        <f>_xlfn.XLOOKUP($V211,'Risk Charges'!$C$117:$C$128,'Risk Charges'!F$117:F$128,,0)</f>
        <v>0.42</v>
      </c>
      <c r="Z211" s="90">
        <f>_xlfn.XLOOKUP($V211,'Risk Charges'!$C$117:$C$128,'Risk Charges'!G$117:G$128,,0)</f>
        <v>0.35</v>
      </c>
      <c r="AA211" s="90">
        <f>_xlfn.XLOOKUP($V211,'Risk Charges'!$C$132:$C$143,'Risk Charges'!D$132:D$143,,0)</f>
        <v>0.72299999999999998</v>
      </c>
      <c r="AB211" s="90">
        <f>_xlfn.XLOOKUP($V211,'Risk Charges'!$C$132:$C$143,'Risk Charges'!E$132:E$143,,0)</f>
        <v>0.61299999999999999</v>
      </c>
      <c r="AC211" s="90">
        <f>_xlfn.XLOOKUP($V211,'Risk Charges'!$C$132:$C$143,'Risk Charges'!F$132:F$143,,0)</f>
        <v>0.52500000000000002</v>
      </c>
      <c r="AD211" s="90">
        <f>_xlfn.XLOOKUP($V211,'Risk Charges'!$C$132:$C$143,'Risk Charges'!G$132:G$143,,0)</f>
        <v>0.438</v>
      </c>
      <c r="AM211" s="100"/>
      <c r="AN211" s="62"/>
    </row>
    <row r="212" spans="2:40" hidden="1" outlineLevel="1" x14ac:dyDescent="0.3">
      <c r="B212" s="11"/>
      <c r="D212" s="16" t="str">
        <f t="shared" si="28"/>
        <v>Other liability - claims made</v>
      </c>
      <c r="E212" s="194">
        <f>W212*Input!$F592</f>
        <v>0</v>
      </c>
      <c r="F212" s="194">
        <f>X212*Input!$F592</f>
        <v>0</v>
      </c>
      <c r="G212" s="194">
        <f>Y212*Input!$F592</f>
        <v>0</v>
      </c>
      <c r="H212" s="194">
        <f>Z212*Input!$F592</f>
        <v>0</v>
      </c>
      <c r="K212" s="11"/>
      <c r="M212" s="16" t="str">
        <f t="shared" si="29"/>
        <v>Other liability - claims made</v>
      </c>
      <c r="N212" s="194">
        <f>AA212*Input!$G592</f>
        <v>0</v>
      </c>
      <c r="O212" s="194">
        <f>AB212*Input!$G592</f>
        <v>0</v>
      </c>
      <c r="P212" s="194">
        <f>AC212*Input!$G592</f>
        <v>0</v>
      </c>
      <c r="Q212" s="194">
        <f>AD212*Input!$G592</f>
        <v>0</v>
      </c>
      <c r="S212" s="11"/>
      <c r="T212" s="94" t="s">
        <v>404</v>
      </c>
      <c r="U212" s="89" t="s">
        <v>260</v>
      </c>
      <c r="V212" s="74">
        <v>7</v>
      </c>
      <c r="W212" s="90">
        <f>_xlfn.XLOOKUP($V212,'Risk Charges'!$C$117:$C$128,'Risk Charges'!D$117:D$128,,0)</f>
        <v>0.41299999999999998</v>
      </c>
      <c r="X212" s="90">
        <f>_xlfn.XLOOKUP($V212,'Risk Charges'!$C$117:$C$128,'Risk Charges'!E$117:E$128,,0)</f>
        <v>0.35</v>
      </c>
      <c r="Y212" s="90">
        <f>_xlfn.XLOOKUP($V212,'Risk Charges'!$C$117:$C$128,'Risk Charges'!F$117:F$128,,0)</f>
        <v>0.3</v>
      </c>
      <c r="Z212" s="90">
        <f>_xlfn.XLOOKUP($V212,'Risk Charges'!$C$117:$C$128,'Risk Charges'!G$117:G$128,,0)</f>
        <v>0.25</v>
      </c>
      <c r="AA212" s="90">
        <f>_xlfn.XLOOKUP($V212,'Risk Charges'!$C$132:$C$143,'Risk Charges'!D$132:D$143,,0)</f>
        <v>0.51600000000000001</v>
      </c>
      <c r="AB212" s="90">
        <f>_xlfn.XLOOKUP($V212,'Risk Charges'!$C$132:$C$143,'Risk Charges'!E$132:E$143,,0)</f>
        <v>0.438</v>
      </c>
      <c r="AC212" s="90">
        <f>_xlfn.XLOOKUP($V212,'Risk Charges'!$C$132:$C$143,'Risk Charges'!F$132:F$143,,0)</f>
        <v>0.375</v>
      </c>
      <c r="AD212" s="90">
        <f>_xlfn.XLOOKUP($V212,'Risk Charges'!$C$132:$C$143,'Risk Charges'!G$132:G$143,,0)</f>
        <v>0.313</v>
      </c>
      <c r="AM212" s="18"/>
      <c r="AN212" s="62"/>
    </row>
    <row r="213" spans="2:40" hidden="1" outlineLevel="1" x14ac:dyDescent="0.3">
      <c r="B213" s="11"/>
      <c r="D213" s="16" t="str">
        <f t="shared" si="28"/>
        <v>Other liability - occurrence</v>
      </c>
      <c r="E213" s="194">
        <f>W213*Input!$F593</f>
        <v>0</v>
      </c>
      <c r="F213" s="194">
        <f>X213*Input!$F593</f>
        <v>0</v>
      </c>
      <c r="G213" s="194">
        <f>Y213*Input!$F593</f>
        <v>0</v>
      </c>
      <c r="H213" s="194">
        <f>Z213*Input!$F593</f>
        <v>0</v>
      </c>
      <c r="K213" s="11"/>
      <c r="M213" s="16" t="str">
        <f t="shared" si="29"/>
        <v>Other liability - occurrence</v>
      </c>
      <c r="N213" s="194">
        <f>AA213*Input!$G593</f>
        <v>0</v>
      </c>
      <c r="O213" s="194">
        <f>AB213*Input!$G593</f>
        <v>0</v>
      </c>
      <c r="P213" s="194">
        <f>AC213*Input!$G593</f>
        <v>0</v>
      </c>
      <c r="Q213" s="194">
        <f>AD213*Input!$G593</f>
        <v>0</v>
      </c>
      <c r="S213" s="11"/>
      <c r="T213" s="94" t="s">
        <v>403</v>
      </c>
      <c r="U213" s="89" t="s">
        <v>260</v>
      </c>
      <c r="V213" s="74">
        <v>8</v>
      </c>
      <c r="W213" s="90">
        <f>_xlfn.XLOOKUP($V213,'Risk Charges'!$C$117:$C$128,'Risk Charges'!D$117:D$128,,0)</f>
        <v>0.495</v>
      </c>
      <c r="X213" s="90">
        <f>_xlfn.XLOOKUP($V213,'Risk Charges'!$C$117:$C$128,'Risk Charges'!E$117:E$128,,0)</f>
        <v>0.42</v>
      </c>
      <c r="Y213" s="90">
        <f>_xlfn.XLOOKUP($V213,'Risk Charges'!$C$117:$C$128,'Risk Charges'!F$117:F$128,,0)</f>
        <v>0.36</v>
      </c>
      <c r="Z213" s="90">
        <f>_xlfn.XLOOKUP($V213,'Risk Charges'!$C$117:$C$128,'Risk Charges'!G$117:G$128,,0)</f>
        <v>0.3</v>
      </c>
      <c r="AA213" s="90">
        <f>_xlfn.XLOOKUP($V213,'Risk Charges'!$C$132:$C$143,'Risk Charges'!D$132:D$143,,0)</f>
        <v>0.61899999999999999</v>
      </c>
      <c r="AB213" s="90">
        <f>_xlfn.XLOOKUP($V213,'Risk Charges'!$C$132:$C$143,'Risk Charges'!E$132:E$143,,0)</f>
        <v>0.52500000000000002</v>
      </c>
      <c r="AC213" s="90">
        <f>_xlfn.XLOOKUP($V213,'Risk Charges'!$C$132:$C$143,'Risk Charges'!F$132:F$143,,0)</f>
        <v>0.45</v>
      </c>
      <c r="AD213" s="90">
        <f>_xlfn.XLOOKUP($V213,'Risk Charges'!$C$132:$C$143,'Risk Charges'!G$132:G$143,,0)</f>
        <v>0.375</v>
      </c>
      <c r="AM213" s="18"/>
      <c r="AN213" s="62"/>
    </row>
    <row r="214" spans="2:40" hidden="1" outlineLevel="1" x14ac:dyDescent="0.3">
      <c r="B214" s="11"/>
      <c r="D214" s="16" t="str">
        <f t="shared" si="28"/>
        <v>Product liability - claims made</v>
      </c>
      <c r="E214" s="194">
        <f>W214*Input!$F594</f>
        <v>0</v>
      </c>
      <c r="F214" s="194">
        <f>X214*Input!$F594</f>
        <v>0</v>
      </c>
      <c r="G214" s="194">
        <f>Y214*Input!$F594</f>
        <v>0</v>
      </c>
      <c r="H214" s="194">
        <f>Z214*Input!$F594</f>
        <v>0</v>
      </c>
      <c r="K214" s="11"/>
      <c r="M214" s="16" t="str">
        <f t="shared" si="29"/>
        <v>Product liability - claims made</v>
      </c>
      <c r="N214" s="194">
        <f>AA214*Input!$G594</f>
        <v>0</v>
      </c>
      <c r="O214" s="194">
        <f>AB214*Input!$G594</f>
        <v>0</v>
      </c>
      <c r="P214" s="194">
        <f>AC214*Input!$G594</f>
        <v>0</v>
      </c>
      <c r="Q214" s="194">
        <f>AD214*Input!$G594</f>
        <v>0</v>
      </c>
      <c r="S214" s="11"/>
      <c r="T214" s="94" t="s">
        <v>406</v>
      </c>
      <c r="U214" s="89" t="s">
        <v>260</v>
      </c>
      <c r="V214" s="74">
        <v>7</v>
      </c>
      <c r="W214" s="90">
        <f>_xlfn.XLOOKUP($V214,'Risk Charges'!$C$117:$C$128,'Risk Charges'!D$117:D$128,,0)</f>
        <v>0.41299999999999998</v>
      </c>
      <c r="X214" s="90">
        <f>_xlfn.XLOOKUP($V214,'Risk Charges'!$C$117:$C$128,'Risk Charges'!E$117:E$128,,0)</f>
        <v>0.35</v>
      </c>
      <c r="Y214" s="90">
        <f>_xlfn.XLOOKUP($V214,'Risk Charges'!$C$117:$C$128,'Risk Charges'!F$117:F$128,,0)</f>
        <v>0.3</v>
      </c>
      <c r="Z214" s="90">
        <f>_xlfn.XLOOKUP($V214,'Risk Charges'!$C$117:$C$128,'Risk Charges'!G$117:G$128,,0)</f>
        <v>0.25</v>
      </c>
      <c r="AA214" s="90">
        <f>_xlfn.XLOOKUP($V214,'Risk Charges'!$C$132:$C$143,'Risk Charges'!D$132:D$143,,0)</f>
        <v>0.51600000000000001</v>
      </c>
      <c r="AB214" s="90">
        <f>_xlfn.XLOOKUP($V214,'Risk Charges'!$C$132:$C$143,'Risk Charges'!E$132:E$143,,0)</f>
        <v>0.438</v>
      </c>
      <c r="AC214" s="90">
        <f>_xlfn.XLOOKUP($V214,'Risk Charges'!$C$132:$C$143,'Risk Charges'!F$132:F$143,,0)</f>
        <v>0.375</v>
      </c>
      <c r="AD214" s="90">
        <f>_xlfn.XLOOKUP($V214,'Risk Charges'!$C$132:$C$143,'Risk Charges'!G$132:G$143,,0)</f>
        <v>0.313</v>
      </c>
      <c r="AM214" s="18"/>
      <c r="AN214" s="62"/>
    </row>
    <row r="215" spans="2:40" hidden="1" outlineLevel="1" x14ac:dyDescent="0.3">
      <c r="B215" s="11"/>
      <c r="D215" s="16" t="str">
        <f t="shared" si="28"/>
        <v>Product liability - occurrence</v>
      </c>
      <c r="E215" s="194">
        <f>W215*Input!$F595</f>
        <v>0</v>
      </c>
      <c r="F215" s="194">
        <f>X215*Input!$F595</f>
        <v>0</v>
      </c>
      <c r="G215" s="194">
        <f>Y215*Input!$F595</f>
        <v>0</v>
      </c>
      <c r="H215" s="194">
        <f>Z215*Input!$F595</f>
        <v>0</v>
      </c>
      <c r="K215" s="11"/>
      <c r="M215" s="16" t="str">
        <f t="shared" si="29"/>
        <v>Product liability - occurrence</v>
      </c>
      <c r="N215" s="194">
        <f>AA215*Input!$G595</f>
        <v>0</v>
      </c>
      <c r="O215" s="194">
        <f>AB215*Input!$G595</f>
        <v>0</v>
      </c>
      <c r="P215" s="194">
        <f>AC215*Input!$G595</f>
        <v>0</v>
      </c>
      <c r="Q215" s="194">
        <f>AD215*Input!$G595</f>
        <v>0</v>
      </c>
      <c r="S215" s="11"/>
      <c r="T215" s="94" t="s">
        <v>405</v>
      </c>
      <c r="U215" s="89" t="s">
        <v>260</v>
      </c>
      <c r="V215" s="74">
        <v>8</v>
      </c>
      <c r="W215" s="90">
        <f>_xlfn.XLOOKUP($V215,'Risk Charges'!$C$117:$C$128,'Risk Charges'!D$117:D$128,,0)</f>
        <v>0.495</v>
      </c>
      <c r="X215" s="90">
        <f>_xlfn.XLOOKUP($V215,'Risk Charges'!$C$117:$C$128,'Risk Charges'!E$117:E$128,,0)</f>
        <v>0.42</v>
      </c>
      <c r="Y215" s="90">
        <f>_xlfn.XLOOKUP($V215,'Risk Charges'!$C$117:$C$128,'Risk Charges'!F$117:F$128,,0)</f>
        <v>0.36</v>
      </c>
      <c r="Z215" s="90">
        <f>_xlfn.XLOOKUP($V215,'Risk Charges'!$C$117:$C$128,'Risk Charges'!G$117:G$128,,0)</f>
        <v>0.3</v>
      </c>
      <c r="AA215" s="90">
        <f>_xlfn.XLOOKUP($V215,'Risk Charges'!$C$132:$C$143,'Risk Charges'!D$132:D$143,,0)</f>
        <v>0.61899999999999999</v>
      </c>
      <c r="AB215" s="90">
        <f>_xlfn.XLOOKUP($V215,'Risk Charges'!$C$132:$C$143,'Risk Charges'!E$132:E$143,,0)</f>
        <v>0.52500000000000002</v>
      </c>
      <c r="AC215" s="90">
        <f>_xlfn.XLOOKUP($V215,'Risk Charges'!$C$132:$C$143,'Risk Charges'!F$132:F$143,,0)</f>
        <v>0.45</v>
      </c>
      <c r="AD215" s="90">
        <f>_xlfn.XLOOKUP($V215,'Risk Charges'!$C$132:$C$143,'Risk Charges'!G$132:G$143,,0)</f>
        <v>0.375</v>
      </c>
      <c r="AM215" s="18"/>
      <c r="AN215" s="62"/>
    </row>
    <row r="216" spans="2:40" hidden="1" outlineLevel="1" x14ac:dyDescent="0.3">
      <c r="B216" s="11"/>
      <c r="D216" s="16" t="str">
        <f t="shared" si="28"/>
        <v>Workers compensation</v>
      </c>
      <c r="E216" s="194">
        <f>W216*Input!$F596</f>
        <v>0</v>
      </c>
      <c r="F216" s="194">
        <f>X216*Input!$F596</f>
        <v>0</v>
      </c>
      <c r="G216" s="194">
        <f>Y216*Input!$F596</f>
        <v>0</v>
      </c>
      <c r="H216" s="194">
        <f>Z216*Input!$F596</f>
        <v>0</v>
      </c>
      <c r="K216" s="11"/>
      <c r="M216" s="16" t="str">
        <f t="shared" si="29"/>
        <v>Workers compensation</v>
      </c>
      <c r="N216" s="194">
        <f>AA216*Input!$G596</f>
        <v>0</v>
      </c>
      <c r="O216" s="194">
        <f>AB216*Input!$G596</f>
        <v>0</v>
      </c>
      <c r="P216" s="194">
        <f>AC216*Input!$G596</f>
        <v>0</v>
      </c>
      <c r="Q216" s="194">
        <f>AD216*Input!$G596</f>
        <v>0</v>
      </c>
      <c r="S216" s="11"/>
      <c r="T216" s="94" t="s">
        <v>979</v>
      </c>
      <c r="U216" s="89" t="s">
        <v>260</v>
      </c>
      <c r="V216" s="74">
        <v>5</v>
      </c>
      <c r="W216" s="90">
        <f>_xlfn.XLOOKUP($V216,'Risk Charges'!$C$117:$C$128,'Risk Charges'!D$117:D$128,,0)</f>
        <v>0.248</v>
      </c>
      <c r="X216" s="90">
        <f>_xlfn.XLOOKUP($V216,'Risk Charges'!$C$117:$C$128,'Risk Charges'!E$117:E$128,,0)</f>
        <v>0.21</v>
      </c>
      <c r="Y216" s="90">
        <f>_xlfn.XLOOKUP($V216,'Risk Charges'!$C$117:$C$128,'Risk Charges'!F$117:F$128,,0)</f>
        <v>0.18</v>
      </c>
      <c r="Z216" s="90">
        <f>_xlfn.XLOOKUP($V216,'Risk Charges'!$C$117:$C$128,'Risk Charges'!G$117:G$128,,0)</f>
        <v>0.15</v>
      </c>
      <c r="AA216" s="90">
        <f>_xlfn.XLOOKUP($V216,'Risk Charges'!$C$132:$C$143,'Risk Charges'!D$132:D$143,,0)</f>
        <v>0.31</v>
      </c>
      <c r="AB216" s="90">
        <f>_xlfn.XLOOKUP($V216,'Risk Charges'!$C$132:$C$143,'Risk Charges'!E$132:E$143,,0)</f>
        <v>0.26300000000000001</v>
      </c>
      <c r="AC216" s="90">
        <f>_xlfn.XLOOKUP($V216,'Risk Charges'!$C$132:$C$143,'Risk Charges'!F$132:F$143,,0)</f>
        <v>0.22500000000000001</v>
      </c>
      <c r="AD216" s="90">
        <f>_xlfn.XLOOKUP($V216,'Risk Charges'!$C$132:$C$143,'Risk Charges'!G$132:G$143,,0)</f>
        <v>0.188</v>
      </c>
      <c r="AM216" s="18"/>
      <c r="AN216" s="62"/>
    </row>
    <row r="217" spans="2:40" hidden="1" outlineLevel="1" x14ac:dyDescent="0.3">
      <c r="B217" s="11"/>
      <c r="D217" s="16" t="str">
        <f t="shared" si="28"/>
        <v>Boiler &amp; machinery</v>
      </c>
      <c r="E217" s="194">
        <f>W217*Input!$F597</f>
        <v>0</v>
      </c>
      <c r="F217" s="194">
        <f>X217*Input!$F597</f>
        <v>0</v>
      </c>
      <c r="G217" s="194">
        <f>Y217*Input!$F597</f>
        <v>0</v>
      </c>
      <c r="H217" s="194">
        <f>Z217*Input!$F597</f>
        <v>0</v>
      </c>
      <c r="K217" s="11"/>
      <c r="M217" s="16" t="str">
        <f t="shared" si="29"/>
        <v>Boiler &amp; machinery</v>
      </c>
      <c r="N217" s="194">
        <f>AA217*Input!$G597</f>
        <v>0</v>
      </c>
      <c r="O217" s="194">
        <f>AB217*Input!$G597</f>
        <v>0</v>
      </c>
      <c r="P217" s="194">
        <f>AC217*Input!$G597</f>
        <v>0</v>
      </c>
      <c r="Q217" s="194">
        <f>AD217*Input!$G597</f>
        <v>0</v>
      </c>
      <c r="S217" s="11"/>
      <c r="T217" s="94" t="s">
        <v>989</v>
      </c>
      <c r="U217" s="89" t="s">
        <v>258</v>
      </c>
      <c r="V217" s="74">
        <v>8</v>
      </c>
      <c r="W217" s="90">
        <f>_xlfn.XLOOKUP($V217,'Risk Charges'!$C$117:$C$128,'Risk Charges'!D$117:D$128,,0)</f>
        <v>0.495</v>
      </c>
      <c r="X217" s="90">
        <f>_xlfn.XLOOKUP($V217,'Risk Charges'!$C$117:$C$128,'Risk Charges'!E$117:E$128,,0)</f>
        <v>0.42</v>
      </c>
      <c r="Y217" s="90">
        <f>_xlfn.XLOOKUP($V217,'Risk Charges'!$C$117:$C$128,'Risk Charges'!F$117:F$128,,0)</f>
        <v>0.36</v>
      </c>
      <c r="Z217" s="90">
        <f>_xlfn.XLOOKUP($V217,'Risk Charges'!$C$117:$C$128,'Risk Charges'!G$117:G$128,,0)</f>
        <v>0.3</v>
      </c>
      <c r="AA217" s="90">
        <f>_xlfn.XLOOKUP($V217,'Risk Charges'!$C$132:$C$143,'Risk Charges'!D$132:D$143,,0)</f>
        <v>0.61899999999999999</v>
      </c>
      <c r="AB217" s="90">
        <f>_xlfn.XLOOKUP($V217,'Risk Charges'!$C$132:$C$143,'Risk Charges'!E$132:E$143,,0)</f>
        <v>0.52500000000000002</v>
      </c>
      <c r="AC217" s="90">
        <f>_xlfn.XLOOKUP($V217,'Risk Charges'!$C$132:$C$143,'Risk Charges'!F$132:F$143,,0)</f>
        <v>0.45</v>
      </c>
      <c r="AD217" s="90">
        <f>_xlfn.XLOOKUP($V217,'Risk Charges'!$C$132:$C$143,'Risk Charges'!G$132:G$143,,0)</f>
        <v>0.375</v>
      </c>
      <c r="AM217" s="18"/>
      <c r="AN217" s="62"/>
    </row>
    <row r="218" spans="2:40" hidden="1" outlineLevel="1" x14ac:dyDescent="0.3">
      <c r="B218" s="11"/>
      <c r="D218" s="16" t="str">
        <f t="shared" si="28"/>
        <v>Commercial multi-peril</v>
      </c>
      <c r="E218" s="194">
        <f>W218*Input!$F598</f>
        <v>0</v>
      </c>
      <c r="F218" s="194">
        <f>X218*Input!$F598</f>
        <v>0</v>
      </c>
      <c r="G218" s="194">
        <f>Y218*Input!$F598</f>
        <v>0</v>
      </c>
      <c r="H218" s="194">
        <f>Z218*Input!$F598</f>
        <v>0</v>
      </c>
      <c r="K218" s="11"/>
      <c r="M218" s="16" t="str">
        <f t="shared" si="29"/>
        <v>Commercial multi-peril</v>
      </c>
      <c r="N218" s="194">
        <f>AA218*Input!$G598</f>
        <v>0</v>
      </c>
      <c r="O218" s="194">
        <f>AB218*Input!$G598</f>
        <v>0</v>
      </c>
      <c r="P218" s="194">
        <f>AC218*Input!$G598</f>
        <v>0</v>
      </c>
      <c r="Q218" s="194">
        <f>AD218*Input!$G598</f>
        <v>0</v>
      </c>
      <c r="S218" s="11"/>
      <c r="T218" s="94" t="s">
        <v>378</v>
      </c>
      <c r="U218" s="89" t="s">
        <v>258</v>
      </c>
      <c r="V218" s="74">
        <v>7</v>
      </c>
      <c r="W218" s="90">
        <f>_xlfn.XLOOKUP($V218,'Risk Charges'!$C$117:$C$128,'Risk Charges'!D$117:D$128,,0)</f>
        <v>0.41299999999999998</v>
      </c>
      <c r="X218" s="90">
        <f>_xlfn.XLOOKUP($V218,'Risk Charges'!$C$117:$C$128,'Risk Charges'!E$117:E$128,,0)</f>
        <v>0.35</v>
      </c>
      <c r="Y218" s="90">
        <f>_xlfn.XLOOKUP($V218,'Risk Charges'!$C$117:$C$128,'Risk Charges'!F$117:F$128,,0)</f>
        <v>0.3</v>
      </c>
      <c r="Z218" s="90">
        <f>_xlfn.XLOOKUP($V218,'Risk Charges'!$C$117:$C$128,'Risk Charges'!G$117:G$128,,0)</f>
        <v>0.25</v>
      </c>
      <c r="AA218" s="90">
        <f>_xlfn.XLOOKUP($V218,'Risk Charges'!$C$132:$C$143,'Risk Charges'!D$132:D$143,,0)</f>
        <v>0.51600000000000001</v>
      </c>
      <c r="AB218" s="90">
        <f>_xlfn.XLOOKUP($V218,'Risk Charges'!$C$132:$C$143,'Risk Charges'!E$132:E$143,,0)</f>
        <v>0.438</v>
      </c>
      <c r="AC218" s="90">
        <f>_xlfn.XLOOKUP($V218,'Risk Charges'!$C$132:$C$143,'Risk Charges'!F$132:F$143,,0)</f>
        <v>0.375</v>
      </c>
      <c r="AD218" s="90">
        <f>_xlfn.XLOOKUP($V218,'Risk Charges'!$C$132:$C$143,'Risk Charges'!G$132:G$143,,0)</f>
        <v>0.313</v>
      </c>
      <c r="AM218" s="18"/>
      <c r="AN218" s="62"/>
    </row>
    <row r="219" spans="2:40" hidden="1" outlineLevel="1" x14ac:dyDescent="0.3">
      <c r="B219" s="11"/>
      <c r="D219" s="16" t="str">
        <f t="shared" si="28"/>
        <v>Homeowner/Farmowner multi-peril</v>
      </c>
      <c r="E219" s="194">
        <f>W219*Input!$F599</f>
        <v>0</v>
      </c>
      <c r="F219" s="194">
        <f>X219*Input!$F599</f>
        <v>0</v>
      </c>
      <c r="G219" s="194">
        <f>Y219*Input!$F599</f>
        <v>0</v>
      </c>
      <c r="H219" s="194">
        <f>Z219*Input!$F599</f>
        <v>0</v>
      </c>
      <c r="K219" s="11"/>
      <c r="M219" s="16" t="str">
        <f t="shared" si="29"/>
        <v>Homeowner/Farmowner multi-peril</v>
      </c>
      <c r="N219" s="194">
        <f>AA219*Input!$G599</f>
        <v>0</v>
      </c>
      <c r="O219" s="194">
        <f>AB219*Input!$G599</f>
        <v>0</v>
      </c>
      <c r="P219" s="194">
        <f>AC219*Input!$G599</f>
        <v>0</v>
      </c>
      <c r="Q219" s="194">
        <f>AD219*Input!$G599</f>
        <v>0</v>
      </c>
      <c r="S219" s="11"/>
      <c r="T219" s="94" t="s">
        <v>961</v>
      </c>
      <c r="U219" s="89" t="s">
        <v>258</v>
      </c>
      <c r="V219" s="74">
        <v>6</v>
      </c>
      <c r="W219" s="90">
        <f>_xlfn.XLOOKUP($V219,'Risk Charges'!$C$117:$C$128,'Risk Charges'!D$117:D$128,,0)</f>
        <v>0.33</v>
      </c>
      <c r="X219" s="90">
        <f>_xlfn.XLOOKUP($V219,'Risk Charges'!$C$117:$C$128,'Risk Charges'!E$117:E$128,,0)</f>
        <v>0.28000000000000003</v>
      </c>
      <c r="Y219" s="90">
        <f>_xlfn.XLOOKUP($V219,'Risk Charges'!$C$117:$C$128,'Risk Charges'!F$117:F$128,,0)</f>
        <v>0.24</v>
      </c>
      <c r="Z219" s="90">
        <f>_xlfn.XLOOKUP($V219,'Risk Charges'!$C$117:$C$128,'Risk Charges'!G$117:G$128,,0)</f>
        <v>0.2</v>
      </c>
      <c r="AA219" s="90">
        <f>_xlfn.XLOOKUP($V219,'Risk Charges'!$C$132:$C$143,'Risk Charges'!D$132:D$143,,0)</f>
        <v>0.41299999999999998</v>
      </c>
      <c r="AB219" s="90">
        <f>_xlfn.XLOOKUP($V219,'Risk Charges'!$C$132:$C$143,'Risk Charges'!E$132:E$143,,0)</f>
        <v>0.35</v>
      </c>
      <c r="AC219" s="90">
        <f>_xlfn.XLOOKUP($V219,'Risk Charges'!$C$132:$C$143,'Risk Charges'!F$132:F$143,,0)</f>
        <v>0.3</v>
      </c>
      <c r="AD219" s="90">
        <f>_xlfn.XLOOKUP($V219,'Risk Charges'!$C$132:$C$143,'Risk Charges'!G$132:G$143,,0)</f>
        <v>0.25</v>
      </c>
      <c r="AM219" s="18"/>
      <c r="AN219" s="62"/>
    </row>
    <row r="220" spans="2:40" hidden="1" outlineLevel="1" x14ac:dyDescent="0.3">
      <c r="B220" s="11"/>
      <c r="D220" s="16" t="str">
        <f t="shared" si="28"/>
        <v>Special property (fire, allied lines, inland marine, earthquake, burglary and theft)</v>
      </c>
      <c r="E220" s="194">
        <f>W220*Input!$F600</f>
        <v>0</v>
      </c>
      <c r="F220" s="194">
        <f>X220*Input!$F600</f>
        <v>0</v>
      </c>
      <c r="G220" s="194">
        <f>Y220*Input!$F600</f>
        <v>0</v>
      </c>
      <c r="H220" s="194">
        <f>Z220*Input!$F600</f>
        <v>0</v>
      </c>
      <c r="K220" s="11"/>
      <c r="M220" s="16" t="str">
        <f t="shared" si="29"/>
        <v>Special property (fire, allied lines, inland marine, earthquake, burglary and theft)</v>
      </c>
      <c r="N220" s="194">
        <f>AA220*Input!$G600</f>
        <v>0</v>
      </c>
      <c r="O220" s="194">
        <f>AB220*Input!$G600</f>
        <v>0</v>
      </c>
      <c r="P220" s="194">
        <f>AC220*Input!$G600</f>
        <v>0</v>
      </c>
      <c r="Q220" s="194">
        <f>AD220*Input!$G600</f>
        <v>0</v>
      </c>
      <c r="S220" s="11"/>
      <c r="T220" s="94" t="s">
        <v>4143</v>
      </c>
      <c r="U220" s="89" t="s">
        <v>258</v>
      </c>
      <c r="V220" s="74">
        <v>7</v>
      </c>
      <c r="W220" s="90">
        <f>_xlfn.XLOOKUP($V220,'Risk Charges'!$C$117:$C$128,'Risk Charges'!D$117:D$128,,0)</f>
        <v>0.41299999999999998</v>
      </c>
      <c r="X220" s="90">
        <f>_xlfn.XLOOKUP($V220,'Risk Charges'!$C$117:$C$128,'Risk Charges'!E$117:E$128,,0)</f>
        <v>0.35</v>
      </c>
      <c r="Y220" s="90">
        <f>_xlfn.XLOOKUP($V220,'Risk Charges'!$C$117:$C$128,'Risk Charges'!F$117:F$128,,0)</f>
        <v>0.3</v>
      </c>
      <c r="Z220" s="90">
        <f>_xlfn.XLOOKUP($V220,'Risk Charges'!$C$117:$C$128,'Risk Charges'!G$117:G$128,,0)</f>
        <v>0.25</v>
      </c>
      <c r="AA220" s="90">
        <f>_xlfn.XLOOKUP($V220,'Risk Charges'!$C$132:$C$143,'Risk Charges'!D$132:D$143,,0)</f>
        <v>0.51600000000000001</v>
      </c>
      <c r="AB220" s="90">
        <f>_xlfn.XLOOKUP($V220,'Risk Charges'!$C$132:$C$143,'Risk Charges'!E$132:E$143,,0)</f>
        <v>0.438</v>
      </c>
      <c r="AC220" s="90">
        <f>_xlfn.XLOOKUP($V220,'Risk Charges'!$C$132:$C$143,'Risk Charges'!F$132:F$143,,0)</f>
        <v>0.375</v>
      </c>
      <c r="AD220" s="90">
        <f>_xlfn.XLOOKUP($V220,'Risk Charges'!$C$132:$C$143,'Risk Charges'!G$132:G$143,,0)</f>
        <v>0.313</v>
      </c>
      <c r="AM220" s="18"/>
      <c r="AN220" s="62"/>
    </row>
    <row r="221" spans="2:40" hidden="1" outlineLevel="1" x14ac:dyDescent="0.3">
      <c r="B221" s="11"/>
      <c r="D221" s="16" t="str">
        <f t="shared" si="28"/>
        <v>Auto physical damage</v>
      </c>
      <c r="E221" s="194">
        <f>W221*Input!$F601</f>
        <v>0</v>
      </c>
      <c r="F221" s="194">
        <f>X221*Input!$F601</f>
        <v>0</v>
      </c>
      <c r="G221" s="194">
        <f>Y221*Input!$F601</f>
        <v>0</v>
      </c>
      <c r="H221" s="194">
        <f>Z221*Input!$F601</f>
        <v>0</v>
      </c>
      <c r="K221" s="11"/>
      <c r="M221" s="16" t="str">
        <f t="shared" si="29"/>
        <v>Auto physical damage</v>
      </c>
      <c r="N221" s="194">
        <f>AA221*Input!$G601</f>
        <v>0</v>
      </c>
      <c r="O221" s="194">
        <f>AB221*Input!$G601</f>
        <v>0</v>
      </c>
      <c r="P221" s="194">
        <f>AC221*Input!$G601</f>
        <v>0</v>
      </c>
      <c r="Q221" s="194">
        <f>AD221*Input!$G601</f>
        <v>0</v>
      </c>
      <c r="S221" s="11"/>
      <c r="T221" s="94" t="s">
        <v>990</v>
      </c>
      <c r="U221" s="89" t="s">
        <v>259</v>
      </c>
      <c r="V221" s="74">
        <v>5</v>
      </c>
      <c r="W221" s="90">
        <f>_xlfn.XLOOKUP($V221,'Risk Charges'!$C$117:$C$128,'Risk Charges'!D$117:D$128,,0)</f>
        <v>0.248</v>
      </c>
      <c r="X221" s="90">
        <f>_xlfn.XLOOKUP($V221,'Risk Charges'!$C$117:$C$128,'Risk Charges'!E$117:E$128,,0)</f>
        <v>0.21</v>
      </c>
      <c r="Y221" s="90">
        <f>_xlfn.XLOOKUP($V221,'Risk Charges'!$C$117:$C$128,'Risk Charges'!F$117:F$128,,0)</f>
        <v>0.18</v>
      </c>
      <c r="Z221" s="90">
        <f>_xlfn.XLOOKUP($V221,'Risk Charges'!$C$117:$C$128,'Risk Charges'!G$117:G$128,,0)</f>
        <v>0.15</v>
      </c>
      <c r="AA221" s="90">
        <f>_xlfn.XLOOKUP($V221,'Risk Charges'!$C$132:$C$143,'Risk Charges'!D$132:D$143,,0)</f>
        <v>0.31</v>
      </c>
      <c r="AB221" s="90">
        <f>_xlfn.XLOOKUP($V221,'Risk Charges'!$C$132:$C$143,'Risk Charges'!E$132:E$143,,0)</f>
        <v>0.26300000000000001</v>
      </c>
      <c r="AC221" s="90">
        <f>_xlfn.XLOOKUP($V221,'Risk Charges'!$C$132:$C$143,'Risk Charges'!F$132:F$143,,0)</f>
        <v>0.22500000000000001</v>
      </c>
      <c r="AD221" s="90">
        <f>_xlfn.XLOOKUP($V221,'Risk Charges'!$C$132:$C$143,'Risk Charges'!G$132:G$143,,0)</f>
        <v>0.188</v>
      </c>
      <c r="AM221" s="18"/>
      <c r="AN221" s="62"/>
    </row>
    <row r="222" spans="2:40" hidden="1" outlineLevel="1" x14ac:dyDescent="0.3">
      <c r="B222" s="11"/>
      <c r="D222" s="16" t="str">
        <f t="shared" si="28"/>
        <v>Commercial auto liability</v>
      </c>
      <c r="E222" s="194">
        <f>W222*Input!$F602</f>
        <v>0</v>
      </c>
      <c r="F222" s="194">
        <f>X222*Input!$F602</f>
        <v>0</v>
      </c>
      <c r="G222" s="194">
        <f>Y222*Input!$F602</f>
        <v>0</v>
      </c>
      <c r="H222" s="194">
        <f>Z222*Input!$F602</f>
        <v>0</v>
      </c>
      <c r="K222" s="11"/>
      <c r="M222" s="16" t="str">
        <f t="shared" si="29"/>
        <v>Commercial auto liability</v>
      </c>
      <c r="N222" s="194">
        <f>AA222*Input!$G602</f>
        <v>0</v>
      </c>
      <c r="O222" s="194">
        <f>AB222*Input!$G602</f>
        <v>0</v>
      </c>
      <c r="P222" s="194">
        <f>AC222*Input!$G602</f>
        <v>0</v>
      </c>
      <c r="Q222" s="194">
        <f>AD222*Input!$G602</f>
        <v>0</v>
      </c>
      <c r="S222" s="11"/>
      <c r="T222" s="94" t="s">
        <v>400</v>
      </c>
      <c r="U222" s="89" t="s">
        <v>259</v>
      </c>
      <c r="V222" s="74">
        <v>6</v>
      </c>
      <c r="W222" s="90">
        <f>_xlfn.XLOOKUP($V222,'Risk Charges'!$C$117:$C$128,'Risk Charges'!D$117:D$128,,0)</f>
        <v>0.33</v>
      </c>
      <c r="X222" s="90">
        <f>_xlfn.XLOOKUP($V222,'Risk Charges'!$C$117:$C$128,'Risk Charges'!E$117:E$128,,0)</f>
        <v>0.28000000000000003</v>
      </c>
      <c r="Y222" s="90">
        <f>_xlfn.XLOOKUP($V222,'Risk Charges'!$C$117:$C$128,'Risk Charges'!F$117:F$128,,0)</f>
        <v>0.24</v>
      </c>
      <c r="Z222" s="90">
        <f>_xlfn.XLOOKUP($V222,'Risk Charges'!$C$117:$C$128,'Risk Charges'!G$117:G$128,,0)</f>
        <v>0.2</v>
      </c>
      <c r="AA222" s="90">
        <f>_xlfn.XLOOKUP($V222,'Risk Charges'!$C$132:$C$143,'Risk Charges'!D$132:D$143,,0)</f>
        <v>0.41299999999999998</v>
      </c>
      <c r="AB222" s="90">
        <f>_xlfn.XLOOKUP($V222,'Risk Charges'!$C$132:$C$143,'Risk Charges'!E$132:E$143,,0)</f>
        <v>0.35</v>
      </c>
      <c r="AC222" s="90">
        <f>_xlfn.XLOOKUP($V222,'Risk Charges'!$C$132:$C$143,'Risk Charges'!F$132:F$143,,0)</f>
        <v>0.3</v>
      </c>
      <c r="AD222" s="90">
        <f>_xlfn.XLOOKUP($V222,'Risk Charges'!$C$132:$C$143,'Risk Charges'!G$132:G$143,,0)</f>
        <v>0.25</v>
      </c>
      <c r="AM222" s="18"/>
      <c r="AN222" s="62"/>
    </row>
    <row r="223" spans="2:40" hidden="1" outlineLevel="1" x14ac:dyDescent="0.3">
      <c r="B223" s="11"/>
      <c r="D223" s="16" t="str">
        <f t="shared" si="28"/>
        <v>Private passenger auto liability</v>
      </c>
      <c r="E223" s="194">
        <f>W223*Input!$F603</f>
        <v>0</v>
      </c>
      <c r="F223" s="194">
        <f>X223*Input!$F603</f>
        <v>0</v>
      </c>
      <c r="G223" s="194">
        <f>Y223*Input!$F603</f>
        <v>0</v>
      </c>
      <c r="H223" s="194">
        <f>Z223*Input!$F603</f>
        <v>0</v>
      </c>
      <c r="K223" s="11"/>
      <c r="M223" s="16" t="str">
        <f t="shared" si="29"/>
        <v>Private passenger auto liability</v>
      </c>
      <c r="N223" s="194">
        <f>AA223*Input!$G603</f>
        <v>0</v>
      </c>
      <c r="O223" s="194">
        <f>AB223*Input!$G603</f>
        <v>0</v>
      </c>
      <c r="P223" s="194">
        <f>AC223*Input!$G603</f>
        <v>0</v>
      </c>
      <c r="Q223" s="194">
        <f>AD223*Input!$G603</f>
        <v>0</v>
      </c>
      <c r="S223" s="11"/>
      <c r="T223" s="94" t="s">
        <v>991</v>
      </c>
      <c r="U223" s="89" t="s">
        <v>259</v>
      </c>
      <c r="V223" s="74">
        <v>5</v>
      </c>
      <c r="W223" s="90">
        <f>_xlfn.XLOOKUP($V223,'Risk Charges'!$C$117:$C$128,'Risk Charges'!D$117:D$128,,0)</f>
        <v>0.248</v>
      </c>
      <c r="X223" s="90">
        <f>_xlfn.XLOOKUP($V223,'Risk Charges'!$C$117:$C$128,'Risk Charges'!E$117:E$128,,0)</f>
        <v>0.21</v>
      </c>
      <c r="Y223" s="90">
        <f>_xlfn.XLOOKUP($V223,'Risk Charges'!$C$117:$C$128,'Risk Charges'!F$117:F$128,,0)</f>
        <v>0.18</v>
      </c>
      <c r="Z223" s="90">
        <f>_xlfn.XLOOKUP($V223,'Risk Charges'!$C$117:$C$128,'Risk Charges'!G$117:G$128,,0)</f>
        <v>0.15</v>
      </c>
      <c r="AA223" s="90">
        <f>_xlfn.XLOOKUP($V223,'Risk Charges'!$C$132:$C$143,'Risk Charges'!D$132:D$143,,0)</f>
        <v>0.31</v>
      </c>
      <c r="AB223" s="90">
        <f>_xlfn.XLOOKUP($V223,'Risk Charges'!$C$132:$C$143,'Risk Charges'!E$132:E$143,,0)</f>
        <v>0.26300000000000001</v>
      </c>
      <c r="AC223" s="90">
        <f>_xlfn.XLOOKUP($V223,'Risk Charges'!$C$132:$C$143,'Risk Charges'!F$132:F$143,,0)</f>
        <v>0.22500000000000001</v>
      </c>
      <c r="AD223" s="90">
        <f>_xlfn.XLOOKUP($V223,'Risk Charges'!$C$132:$C$143,'Risk Charges'!G$132:G$143,,0)</f>
        <v>0.188</v>
      </c>
      <c r="AM223" s="18"/>
      <c r="AN223" s="62"/>
    </row>
    <row r="224" spans="2:40" hidden="1" outlineLevel="1" x14ac:dyDescent="0.3">
      <c r="B224" s="11"/>
      <c r="D224" s="16" t="str">
        <f t="shared" si="28"/>
        <v>Credit</v>
      </c>
      <c r="E224" s="194">
        <f>W224*Input!$F604</f>
        <v>0</v>
      </c>
      <c r="F224" s="194">
        <f>X224*Input!$F604</f>
        <v>0</v>
      </c>
      <c r="G224" s="194">
        <f>Y224*Input!$F604</f>
        <v>0</v>
      </c>
      <c r="H224" s="194">
        <f>Z224*Input!$F604</f>
        <v>0</v>
      </c>
      <c r="K224" s="11"/>
      <c r="M224" s="16" t="str">
        <f t="shared" si="29"/>
        <v>Credit</v>
      </c>
      <c r="N224" s="194">
        <f>AA224*Input!$G604</f>
        <v>0</v>
      </c>
      <c r="O224" s="194">
        <f>AB224*Input!$G604</f>
        <v>0</v>
      </c>
      <c r="P224" s="194">
        <f>AC224*Input!$G604</f>
        <v>0</v>
      </c>
      <c r="Q224" s="194">
        <f>AD224*Input!$G604</f>
        <v>0</v>
      </c>
      <c r="S224" s="11"/>
      <c r="T224" s="94" t="s">
        <v>374</v>
      </c>
      <c r="U224" s="89" t="s">
        <v>9</v>
      </c>
      <c r="V224" s="74">
        <v>7</v>
      </c>
      <c r="W224" s="90">
        <f>_xlfn.XLOOKUP($V224,'Risk Charges'!$C$117:$C$128,'Risk Charges'!D$117:D$128,,0)</f>
        <v>0.41299999999999998</v>
      </c>
      <c r="X224" s="90">
        <f>_xlfn.XLOOKUP($V224,'Risk Charges'!$C$117:$C$128,'Risk Charges'!E$117:E$128,,0)</f>
        <v>0.35</v>
      </c>
      <c r="Y224" s="90">
        <f>_xlfn.XLOOKUP($V224,'Risk Charges'!$C$117:$C$128,'Risk Charges'!F$117:F$128,,0)</f>
        <v>0.3</v>
      </c>
      <c r="Z224" s="90">
        <f>_xlfn.XLOOKUP($V224,'Risk Charges'!$C$117:$C$128,'Risk Charges'!G$117:G$128,,0)</f>
        <v>0.25</v>
      </c>
      <c r="AA224" s="90">
        <f>_xlfn.XLOOKUP($V224,'Risk Charges'!$C$132:$C$143,'Risk Charges'!D$132:D$143,,0)</f>
        <v>0.51600000000000001</v>
      </c>
      <c r="AB224" s="90">
        <f>_xlfn.XLOOKUP($V224,'Risk Charges'!$C$132:$C$143,'Risk Charges'!E$132:E$143,,0)</f>
        <v>0.438</v>
      </c>
      <c r="AC224" s="90">
        <f>_xlfn.XLOOKUP($V224,'Risk Charges'!$C$132:$C$143,'Risk Charges'!F$132:F$143,,0)</f>
        <v>0.375</v>
      </c>
      <c r="AD224" s="90">
        <f>_xlfn.XLOOKUP($V224,'Risk Charges'!$C$132:$C$143,'Risk Charges'!G$132:G$143,,0)</f>
        <v>0.313</v>
      </c>
      <c r="AM224" s="18"/>
      <c r="AN224" s="62"/>
    </row>
    <row r="225" spans="2:40" hidden="1" outlineLevel="1" x14ac:dyDescent="0.3">
      <c r="B225" s="11"/>
      <c r="D225" s="16" t="str">
        <f t="shared" si="28"/>
        <v>Fidelity/Surety</v>
      </c>
      <c r="E225" s="194">
        <f>W225*Input!$F605</f>
        <v>0</v>
      </c>
      <c r="F225" s="194">
        <f>X225*Input!$F605</f>
        <v>0</v>
      </c>
      <c r="G225" s="194">
        <f>Y225*Input!$F605</f>
        <v>0</v>
      </c>
      <c r="H225" s="194">
        <f>Z225*Input!$F605</f>
        <v>0</v>
      </c>
      <c r="K225" s="11"/>
      <c r="M225" s="16" t="str">
        <f t="shared" si="29"/>
        <v>Fidelity/Surety</v>
      </c>
      <c r="N225" s="194">
        <f>AA225*Input!$G605</f>
        <v>0</v>
      </c>
      <c r="O225" s="194">
        <f>AB225*Input!$G605</f>
        <v>0</v>
      </c>
      <c r="P225" s="194">
        <f>AC225*Input!$G605</f>
        <v>0</v>
      </c>
      <c r="Q225" s="194">
        <f>AD225*Input!$G605</f>
        <v>0</v>
      </c>
      <c r="S225" s="11"/>
      <c r="T225" s="94" t="s">
        <v>399</v>
      </c>
      <c r="U225" s="89" t="s">
        <v>9</v>
      </c>
      <c r="V225" s="74">
        <v>7</v>
      </c>
      <c r="W225" s="90">
        <f>_xlfn.XLOOKUP($V225,'Risk Charges'!$C$117:$C$128,'Risk Charges'!D$117:D$128,,0)</f>
        <v>0.41299999999999998</v>
      </c>
      <c r="X225" s="90">
        <f>_xlfn.XLOOKUP($V225,'Risk Charges'!$C$117:$C$128,'Risk Charges'!E$117:E$128,,0)</f>
        <v>0.35</v>
      </c>
      <c r="Y225" s="90">
        <f>_xlfn.XLOOKUP($V225,'Risk Charges'!$C$117:$C$128,'Risk Charges'!F$117:F$128,,0)</f>
        <v>0.3</v>
      </c>
      <c r="Z225" s="90">
        <f>_xlfn.XLOOKUP($V225,'Risk Charges'!$C$117:$C$128,'Risk Charges'!G$117:G$128,,0)</f>
        <v>0.25</v>
      </c>
      <c r="AA225" s="90">
        <f>_xlfn.XLOOKUP($V225,'Risk Charges'!$C$132:$C$143,'Risk Charges'!D$132:D$143,,0)</f>
        <v>0.51600000000000001</v>
      </c>
      <c r="AB225" s="90">
        <f>_xlfn.XLOOKUP($V225,'Risk Charges'!$C$132:$C$143,'Risk Charges'!E$132:E$143,,0)</f>
        <v>0.438</v>
      </c>
      <c r="AC225" s="90">
        <f>_xlfn.XLOOKUP($V225,'Risk Charges'!$C$132:$C$143,'Risk Charges'!F$132:F$143,,0)</f>
        <v>0.375</v>
      </c>
      <c r="AD225" s="90">
        <f>_xlfn.XLOOKUP($V225,'Risk Charges'!$C$132:$C$143,'Risk Charges'!G$132:G$143,,0)</f>
        <v>0.313</v>
      </c>
      <c r="AM225" s="18"/>
      <c r="AN225" s="62"/>
    </row>
    <row r="226" spans="2:40" hidden="1" outlineLevel="1" x14ac:dyDescent="0.3">
      <c r="B226" s="11"/>
      <c r="D226" s="16" t="str">
        <f t="shared" si="28"/>
        <v>Financial guaranty</v>
      </c>
      <c r="E226" s="194">
        <f>W226*Input!$F606</f>
        <v>0</v>
      </c>
      <c r="F226" s="194">
        <f>X226*Input!$F606</f>
        <v>0</v>
      </c>
      <c r="G226" s="194">
        <f>Y226*Input!$F606</f>
        <v>0</v>
      </c>
      <c r="H226" s="194">
        <f>Z226*Input!$F606</f>
        <v>0</v>
      </c>
      <c r="K226" s="11"/>
      <c r="M226" s="16" t="str">
        <f t="shared" si="29"/>
        <v>Financial guaranty</v>
      </c>
      <c r="N226" s="194">
        <f>AA226*Input!$G606</f>
        <v>0</v>
      </c>
      <c r="O226" s="194">
        <f>AB226*Input!$G606</f>
        <v>0</v>
      </c>
      <c r="P226" s="194">
        <f>AC226*Input!$G606</f>
        <v>0</v>
      </c>
      <c r="Q226" s="194">
        <f>AD226*Input!$G606</f>
        <v>0</v>
      </c>
      <c r="S226" s="11"/>
      <c r="T226" s="94" t="s">
        <v>1020</v>
      </c>
      <c r="U226" s="89" t="s">
        <v>9</v>
      </c>
      <c r="V226" s="74">
        <v>7</v>
      </c>
      <c r="W226" s="90">
        <f>_xlfn.XLOOKUP($V226,'Risk Charges'!$C$117:$C$128,'Risk Charges'!D$117:D$128,,0)</f>
        <v>0.41299999999999998</v>
      </c>
      <c r="X226" s="90">
        <f>_xlfn.XLOOKUP($V226,'Risk Charges'!$C$117:$C$128,'Risk Charges'!E$117:E$128,,0)</f>
        <v>0.35</v>
      </c>
      <c r="Y226" s="90">
        <f>_xlfn.XLOOKUP($V226,'Risk Charges'!$C$117:$C$128,'Risk Charges'!F$117:F$128,,0)</f>
        <v>0.3</v>
      </c>
      <c r="Z226" s="90">
        <f>_xlfn.XLOOKUP($V226,'Risk Charges'!$C$117:$C$128,'Risk Charges'!G$117:G$128,,0)</f>
        <v>0.25</v>
      </c>
      <c r="AA226" s="90">
        <f>_xlfn.XLOOKUP($V226,'Risk Charges'!$C$132:$C$143,'Risk Charges'!D$132:D$143,,0)</f>
        <v>0.51600000000000001</v>
      </c>
      <c r="AB226" s="90">
        <f>_xlfn.XLOOKUP($V226,'Risk Charges'!$C$132:$C$143,'Risk Charges'!E$132:E$143,,0)</f>
        <v>0.438</v>
      </c>
      <c r="AC226" s="90">
        <f>_xlfn.XLOOKUP($V226,'Risk Charges'!$C$132:$C$143,'Risk Charges'!F$132:F$143,,0)</f>
        <v>0.375</v>
      </c>
      <c r="AD226" s="90">
        <f>_xlfn.XLOOKUP($V226,'Risk Charges'!$C$132:$C$143,'Risk Charges'!G$132:G$143,,0)</f>
        <v>0.313</v>
      </c>
      <c r="AM226" s="18"/>
      <c r="AN226" s="62"/>
    </row>
    <row r="227" spans="2:40" hidden="1" outlineLevel="1" x14ac:dyDescent="0.3">
      <c r="B227" s="11"/>
      <c r="D227" s="16" t="str">
        <f t="shared" si="28"/>
        <v>Accident &amp; health</v>
      </c>
      <c r="E227" s="194">
        <f>W227*Input!$F607</f>
        <v>0</v>
      </c>
      <c r="F227" s="194">
        <f>X227*Input!$F607</f>
        <v>0</v>
      </c>
      <c r="G227" s="194">
        <f>Y227*Input!$F607</f>
        <v>0</v>
      </c>
      <c r="H227" s="194">
        <f>Z227*Input!$F607</f>
        <v>0</v>
      </c>
      <c r="I227" s="95"/>
      <c r="J227" s="95"/>
      <c r="K227" s="11"/>
      <c r="M227" s="16" t="str">
        <f t="shared" si="29"/>
        <v>Accident &amp; health</v>
      </c>
      <c r="N227" s="194">
        <f>AA227*Input!$G607</f>
        <v>0</v>
      </c>
      <c r="O227" s="194">
        <f>AB227*Input!$G607</f>
        <v>0</v>
      </c>
      <c r="P227" s="194">
        <f>AC227*Input!$G607</f>
        <v>0</v>
      </c>
      <c r="Q227" s="194">
        <f>AD227*Input!$G607</f>
        <v>0</v>
      </c>
      <c r="S227" s="11"/>
      <c r="T227" s="94" t="s">
        <v>994</v>
      </c>
      <c r="U227" s="91" t="s">
        <v>261</v>
      </c>
      <c r="V227" s="74">
        <v>7</v>
      </c>
      <c r="W227" s="90">
        <f>_xlfn.XLOOKUP($V227,'Risk Charges'!$C$117:$C$128,'Risk Charges'!D$117:D$128,,0)</f>
        <v>0.41299999999999998</v>
      </c>
      <c r="X227" s="90">
        <f>_xlfn.XLOOKUP($V227,'Risk Charges'!$C$117:$C$128,'Risk Charges'!E$117:E$128,,0)</f>
        <v>0.35</v>
      </c>
      <c r="Y227" s="90">
        <f>_xlfn.XLOOKUP($V227,'Risk Charges'!$C$117:$C$128,'Risk Charges'!F$117:F$128,,0)</f>
        <v>0.3</v>
      </c>
      <c r="Z227" s="90">
        <f>_xlfn.XLOOKUP($V227,'Risk Charges'!$C$117:$C$128,'Risk Charges'!G$117:G$128,,0)</f>
        <v>0.25</v>
      </c>
      <c r="AA227" s="90">
        <f>_xlfn.XLOOKUP($V227,'Risk Charges'!$C$132:$C$143,'Risk Charges'!D$132:D$143,,0)</f>
        <v>0.51600000000000001</v>
      </c>
      <c r="AB227" s="90">
        <f>_xlfn.XLOOKUP($V227,'Risk Charges'!$C$132:$C$143,'Risk Charges'!E$132:E$143,,0)</f>
        <v>0.438</v>
      </c>
      <c r="AC227" s="90">
        <f>_xlfn.XLOOKUP($V227,'Risk Charges'!$C$132:$C$143,'Risk Charges'!F$132:F$143,,0)</f>
        <v>0.375</v>
      </c>
      <c r="AD227" s="90">
        <f>_xlfn.XLOOKUP($V227,'Risk Charges'!$C$132:$C$143,'Risk Charges'!G$132:G$143,,0)</f>
        <v>0.313</v>
      </c>
      <c r="AM227" s="18"/>
      <c r="AN227" s="62"/>
    </row>
    <row r="228" spans="2:40" hidden="1" outlineLevel="1" x14ac:dyDescent="0.3">
      <c r="B228" s="11"/>
      <c r="D228" s="16" t="str">
        <f t="shared" si="28"/>
        <v>US health reserves</v>
      </c>
      <c r="E228" s="194">
        <f>W228*Input!$F608</f>
        <v>0</v>
      </c>
      <c r="F228" s="194">
        <f>X228*Input!$F608</f>
        <v>0</v>
      </c>
      <c r="G228" s="194">
        <f>Y228*Input!$F608</f>
        <v>0</v>
      </c>
      <c r="H228" s="194">
        <f>Z228*Input!$F608</f>
        <v>0</v>
      </c>
      <c r="I228" s="95"/>
      <c r="J228" s="95"/>
      <c r="K228" s="11"/>
      <c r="M228" s="16" t="str">
        <f t="shared" si="29"/>
        <v>US health reserves</v>
      </c>
      <c r="N228" s="194">
        <f>AA228*Input!$G608</f>
        <v>0</v>
      </c>
      <c r="O228" s="194">
        <f>AB228*Input!$G608</f>
        <v>0</v>
      </c>
      <c r="P228" s="194">
        <f>AC228*Input!$G608</f>
        <v>0</v>
      </c>
      <c r="Q228" s="194">
        <f>AD228*Input!$G608</f>
        <v>0</v>
      </c>
      <c r="S228" s="11"/>
      <c r="T228" s="94" t="s">
        <v>1021</v>
      </c>
      <c r="U228" s="89" t="s">
        <v>261</v>
      </c>
      <c r="V228" s="74">
        <v>2</v>
      </c>
      <c r="W228" s="90">
        <f>_xlfn.XLOOKUP($V228,'Risk Charges'!$C$117:$C$128,'Risk Charges'!D$117:D$128,,0)</f>
        <v>8.3000000000000004E-2</v>
      </c>
      <c r="X228" s="90">
        <f>_xlfn.XLOOKUP($V228,'Risk Charges'!$C$117:$C$128,'Risk Charges'!E$117:E$128,,0)</f>
        <v>7.0000000000000007E-2</v>
      </c>
      <c r="Y228" s="90">
        <f>_xlfn.XLOOKUP($V228,'Risk Charges'!$C$117:$C$128,'Risk Charges'!F$117:F$128,,0)</f>
        <v>0.06</v>
      </c>
      <c r="Z228" s="90">
        <f>_xlfn.XLOOKUP($V228,'Risk Charges'!$C$117:$C$128,'Risk Charges'!G$117:G$128,,0)</f>
        <v>0.05</v>
      </c>
      <c r="AA228" s="90">
        <f>_xlfn.XLOOKUP($V228,'Risk Charges'!$C$132:$C$143,'Risk Charges'!D$132:D$143,,0)</f>
        <v>0.104</v>
      </c>
      <c r="AB228" s="90">
        <f>_xlfn.XLOOKUP($V228,'Risk Charges'!$C$132:$C$143,'Risk Charges'!E$132:E$143,,0)</f>
        <v>8.7999999999999995E-2</v>
      </c>
      <c r="AC228" s="90">
        <f>_xlfn.XLOOKUP($V228,'Risk Charges'!$C$132:$C$143,'Risk Charges'!F$132:F$143,,0)</f>
        <v>7.4999999999999997E-2</v>
      </c>
      <c r="AD228" s="90">
        <f>_xlfn.XLOOKUP($V228,'Risk Charges'!$C$132:$C$143,'Risk Charges'!G$132:G$143,,0)</f>
        <v>6.3E-2</v>
      </c>
      <c r="AM228" s="18"/>
      <c r="AN228" s="62"/>
    </row>
    <row r="229" spans="2:40" hidden="1" outlineLevel="1" x14ac:dyDescent="0.3">
      <c r="B229" s="11"/>
      <c r="D229" s="16" t="str">
        <f t="shared" si="28"/>
        <v>Aircraft</v>
      </c>
      <c r="E229" s="194">
        <f>W229*Input!$F609</f>
        <v>0</v>
      </c>
      <c r="F229" s="194">
        <f>X229*Input!$F609</f>
        <v>0</v>
      </c>
      <c r="G229" s="194">
        <f>Y229*Input!$F609</f>
        <v>0</v>
      </c>
      <c r="H229" s="194">
        <f>Z229*Input!$F609</f>
        <v>0</v>
      </c>
      <c r="I229" s="95"/>
      <c r="J229" s="95"/>
      <c r="K229" s="11"/>
      <c r="M229" s="16" t="str">
        <f t="shared" si="29"/>
        <v>Aircraft</v>
      </c>
      <c r="N229" s="194">
        <f>AA229*Input!$G609</f>
        <v>0</v>
      </c>
      <c r="O229" s="194">
        <f>AB229*Input!$G609</f>
        <v>0</v>
      </c>
      <c r="P229" s="194">
        <f>AC229*Input!$G609</f>
        <v>0</v>
      </c>
      <c r="Q229" s="194">
        <f>AD229*Input!$G609</f>
        <v>0</v>
      </c>
      <c r="S229" s="11"/>
      <c r="T229" s="94" t="s">
        <v>377</v>
      </c>
      <c r="U229" s="89" t="s">
        <v>411</v>
      </c>
      <c r="V229" s="74">
        <v>8</v>
      </c>
      <c r="W229" s="90">
        <f>_xlfn.XLOOKUP($V229,'Risk Charges'!$C$117:$C$128,'Risk Charges'!D$117:D$128,,0)</f>
        <v>0.495</v>
      </c>
      <c r="X229" s="90">
        <f>_xlfn.XLOOKUP($V229,'Risk Charges'!$C$117:$C$128,'Risk Charges'!E$117:E$128,,0)</f>
        <v>0.42</v>
      </c>
      <c r="Y229" s="90">
        <f>_xlfn.XLOOKUP($V229,'Risk Charges'!$C$117:$C$128,'Risk Charges'!F$117:F$128,,0)</f>
        <v>0.36</v>
      </c>
      <c r="Z229" s="90">
        <f>_xlfn.XLOOKUP($V229,'Risk Charges'!$C$117:$C$128,'Risk Charges'!G$117:G$128,,0)</f>
        <v>0.3</v>
      </c>
      <c r="AA229" s="90">
        <f>_xlfn.XLOOKUP($V229,'Risk Charges'!$C$132:$C$143,'Risk Charges'!D$132:D$143,,0)</f>
        <v>0.61899999999999999</v>
      </c>
      <c r="AB229" s="90">
        <f>_xlfn.XLOOKUP($V229,'Risk Charges'!$C$132:$C$143,'Risk Charges'!E$132:E$143,,0)</f>
        <v>0.52500000000000002</v>
      </c>
      <c r="AC229" s="90">
        <f>_xlfn.XLOOKUP($V229,'Risk Charges'!$C$132:$C$143,'Risk Charges'!F$132:F$143,,0)</f>
        <v>0.45</v>
      </c>
      <c r="AD229" s="90">
        <f>_xlfn.XLOOKUP($V229,'Risk Charges'!$C$132:$C$143,'Risk Charges'!G$132:G$143,,0)</f>
        <v>0.375</v>
      </c>
      <c r="AM229" s="18"/>
    </row>
    <row r="230" spans="2:40" hidden="1" outlineLevel="1" x14ac:dyDescent="0.3">
      <c r="B230" s="11"/>
      <c r="D230" s="16" t="str">
        <f t="shared" si="28"/>
        <v>Marine protection &amp; indemnity</v>
      </c>
      <c r="E230" s="194">
        <f>W230*Input!$F610</f>
        <v>0</v>
      </c>
      <c r="F230" s="194">
        <f>X230*Input!$F610</f>
        <v>0</v>
      </c>
      <c r="G230" s="194">
        <f>Y230*Input!$F610</f>
        <v>0</v>
      </c>
      <c r="H230" s="194">
        <f>Z230*Input!$F610</f>
        <v>0</v>
      </c>
      <c r="I230" s="95"/>
      <c r="J230" s="95"/>
      <c r="K230" s="11"/>
      <c r="M230" s="16" t="str">
        <f t="shared" si="29"/>
        <v>Marine protection &amp; indemnity</v>
      </c>
      <c r="N230" s="194">
        <f>AA230*Input!$G610</f>
        <v>0</v>
      </c>
      <c r="O230" s="194">
        <f>AB230*Input!$G610</f>
        <v>0</v>
      </c>
      <c r="P230" s="194">
        <f>AC230*Input!$G610</f>
        <v>0</v>
      </c>
      <c r="Q230" s="194">
        <f>AD230*Input!$G610</f>
        <v>0</v>
      </c>
      <c r="R230" s="95"/>
      <c r="S230" s="11"/>
      <c r="T230" s="16" t="s">
        <v>4130</v>
      </c>
      <c r="U230" s="89" t="s">
        <v>411</v>
      </c>
      <c r="V230" s="74">
        <v>7</v>
      </c>
      <c r="W230" s="90">
        <f>_xlfn.XLOOKUP($V230,'Risk Charges'!$C$117:$C$128,'Risk Charges'!D$117:D$128,,0)</f>
        <v>0.41299999999999998</v>
      </c>
      <c r="X230" s="90">
        <f>_xlfn.XLOOKUP($V230,'Risk Charges'!$C$117:$C$128,'Risk Charges'!E$117:E$128,,0)</f>
        <v>0.35</v>
      </c>
      <c r="Y230" s="90">
        <f>_xlfn.XLOOKUP($V230,'Risk Charges'!$C$117:$C$128,'Risk Charges'!F$117:F$128,,0)</f>
        <v>0.3</v>
      </c>
      <c r="Z230" s="90">
        <f>_xlfn.XLOOKUP($V230,'Risk Charges'!$C$117:$C$128,'Risk Charges'!G$117:G$128,,0)</f>
        <v>0.25</v>
      </c>
      <c r="AA230" s="90">
        <f>_xlfn.XLOOKUP($V230,'Risk Charges'!$C$132:$C$143,'Risk Charges'!D$132:D$143,,0)</f>
        <v>0.51600000000000001</v>
      </c>
      <c r="AB230" s="90">
        <f>_xlfn.XLOOKUP($V230,'Risk Charges'!$C$132:$C$143,'Risk Charges'!E$132:E$143,,0)</f>
        <v>0.438</v>
      </c>
      <c r="AC230" s="90">
        <f>_xlfn.XLOOKUP($V230,'Risk Charges'!$C$132:$C$143,'Risk Charges'!F$132:F$143,,0)</f>
        <v>0.375</v>
      </c>
      <c r="AD230" s="90">
        <f>_xlfn.XLOOKUP($V230,'Risk Charges'!$C$132:$C$143,'Risk Charges'!G$132:G$143,,0)</f>
        <v>0.313</v>
      </c>
      <c r="AM230" s="18"/>
    </row>
    <row r="231" spans="2:40" hidden="1" outlineLevel="1" x14ac:dyDescent="0.3">
      <c r="B231" s="11"/>
      <c r="D231" s="16" t="str">
        <f t="shared" si="28"/>
        <v>Ocean marine</v>
      </c>
      <c r="E231" s="194">
        <f>W231*Input!$F611</f>
        <v>0</v>
      </c>
      <c r="F231" s="194">
        <f>X231*Input!$F611</f>
        <v>0</v>
      </c>
      <c r="G231" s="194">
        <f>Y231*Input!$F611</f>
        <v>0</v>
      </c>
      <c r="H231" s="194">
        <f>Z231*Input!$F611</f>
        <v>0</v>
      </c>
      <c r="K231" s="11"/>
      <c r="M231" s="16" t="str">
        <f t="shared" si="29"/>
        <v>Ocean marine</v>
      </c>
      <c r="N231" s="194">
        <f>AA231*Input!$G611</f>
        <v>0</v>
      </c>
      <c r="O231" s="194">
        <f>AB231*Input!$G611</f>
        <v>0</v>
      </c>
      <c r="P231" s="194">
        <f>AC231*Input!$G611</f>
        <v>0</v>
      </c>
      <c r="Q231" s="194">
        <f>AD231*Input!$G611</f>
        <v>0</v>
      </c>
      <c r="S231" s="11"/>
      <c r="T231" s="94" t="s">
        <v>996</v>
      </c>
      <c r="U231" s="89" t="s">
        <v>411</v>
      </c>
      <c r="V231" s="74">
        <v>8</v>
      </c>
      <c r="W231" s="90">
        <f>_xlfn.XLOOKUP($V231,'Risk Charges'!$C$117:$C$128,'Risk Charges'!D$117:D$128,,0)</f>
        <v>0.495</v>
      </c>
      <c r="X231" s="90">
        <f>_xlfn.XLOOKUP($V231,'Risk Charges'!$C$117:$C$128,'Risk Charges'!E$117:E$128,,0)</f>
        <v>0.42</v>
      </c>
      <c r="Y231" s="90">
        <f>_xlfn.XLOOKUP($V231,'Risk Charges'!$C$117:$C$128,'Risk Charges'!F$117:F$128,,0)</f>
        <v>0.36</v>
      </c>
      <c r="Z231" s="90">
        <f>_xlfn.XLOOKUP($V231,'Risk Charges'!$C$117:$C$128,'Risk Charges'!G$117:G$128,,0)</f>
        <v>0.3</v>
      </c>
      <c r="AA231" s="90">
        <f>_xlfn.XLOOKUP($V231,'Risk Charges'!$C$132:$C$143,'Risk Charges'!D$132:D$143,,0)</f>
        <v>0.61899999999999999</v>
      </c>
      <c r="AB231" s="90">
        <f>_xlfn.XLOOKUP($V231,'Risk Charges'!$C$132:$C$143,'Risk Charges'!E$132:E$143,,0)</f>
        <v>0.52500000000000002</v>
      </c>
      <c r="AC231" s="90">
        <f>_xlfn.XLOOKUP($V231,'Risk Charges'!$C$132:$C$143,'Risk Charges'!F$132:F$143,,0)</f>
        <v>0.45</v>
      </c>
      <c r="AD231" s="90">
        <f>_xlfn.XLOOKUP($V231,'Risk Charges'!$C$132:$C$143,'Risk Charges'!G$132:G$143,,0)</f>
        <v>0.375</v>
      </c>
    </row>
    <row r="232" spans="2:40" hidden="1" outlineLevel="1" x14ac:dyDescent="0.3">
      <c r="B232" s="11"/>
      <c r="D232" s="16" t="str">
        <f t="shared" si="28"/>
        <v>Title</v>
      </c>
      <c r="E232" s="194">
        <f>W232*Input!$F612</f>
        <v>0</v>
      </c>
      <c r="F232" s="194">
        <f>X232*Input!$F612</f>
        <v>0</v>
      </c>
      <c r="G232" s="194">
        <f>Y232*Input!$F612</f>
        <v>0</v>
      </c>
      <c r="H232" s="194">
        <f>Z232*Input!$F612</f>
        <v>0</v>
      </c>
      <c r="I232" s="95"/>
      <c r="J232" s="95"/>
      <c r="K232" s="11"/>
      <c r="M232" s="16" t="str">
        <f t="shared" si="29"/>
        <v>Title</v>
      </c>
      <c r="N232" s="194">
        <f>AA232*Input!$G612</f>
        <v>0</v>
      </c>
      <c r="O232" s="194">
        <f>AB232*Input!$G612</f>
        <v>0</v>
      </c>
      <c r="P232" s="194">
        <f>AC232*Input!$G612</f>
        <v>0</v>
      </c>
      <c r="Q232" s="194">
        <f>AD232*Input!$G612</f>
        <v>0</v>
      </c>
      <c r="R232" s="95"/>
      <c r="S232" s="11"/>
      <c r="T232" s="94" t="s">
        <v>385</v>
      </c>
      <c r="U232" s="89" t="s">
        <v>262</v>
      </c>
      <c r="V232" s="74">
        <v>6</v>
      </c>
      <c r="W232" s="90">
        <f>_xlfn.XLOOKUP($V232,'Risk Charges'!$C$117:$C$128,'Risk Charges'!D$117:D$128,,0)</f>
        <v>0.33</v>
      </c>
      <c r="X232" s="90">
        <f>_xlfn.XLOOKUP($V232,'Risk Charges'!$C$117:$C$128,'Risk Charges'!E$117:E$128,,0)</f>
        <v>0.28000000000000003</v>
      </c>
      <c r="Y232" s="90">
        <f>_xlfn.XLOOKUP($V232,'Risk Charges'!$C$117:$C$128,'Risk Charges'!F$117:F$128,,0)</f>
        <v>0.24</v>
      </c>
      <c r="Z232" s="90">
        <f>_xlfn.XLOOKUP($V232,'Risk Charges'!$C$117:$C$128,'Risk Charges'!G$117:G$128,,0)</f>
        <v>0.2</v>
      </c>
      <c r="AA232" s="90">
        <f>_xlfn.XLOOKUP($V232,'Risk Charges'!$C$132:$C$143,'Risk Charges'!D$132:D$143,,0)</f>
        <v>0.41299999999999998</v>
      </c>
      <c r="AB232" s="90">
        <f>_xlfn.XLOOKUP($V232,'Risk Charges'!$C$132:$C$143,'Risk Charges'!E$132:E$143,,0)</f>
        <v>0.35</v>
      </c>
      <c r="AC232" s="90">
        <f>_xlfn.XLOOKUP($V232,'Risk Charges'!$C$132:$C$143,'Risk Charges'!F$132:F$143,,0)</f>
        <v>0.3</v>
      </c>
      <c r="AD232" s="90">
        <f>_xlfn.XLOOKUP($V232,'Risk Charges'!$C$132:$C$143,'Risk Charges'!G$132:G$143,,0)</f>
        <v>0.25</v>
      </c>
      <c r="AM232" s="18"/>
    </row>
    <row r="233" spans="2:40" hidden="1" outlineLevel="1" x14ac:dyDescent="0.3">
      <c r="B233" s="11"/>
      <c r="D233" s="16" t="str">
        <f t="shared" si="28"/>
        <v>Warranty</v>
      </c>
      <c r="E233" s="194">
        <f>W233*Input!$F613</f>
        <v>0</v>
      </c>
      <c r="F233" s="194">
        <f>X233*Input!$F613</f>
        <v>0</v>
      </c>
      <c r="G233" s="194">
        <f>Y233*Input!$F613</f>
        <v>0</v>
      </c>
      <c r="H233" s="194">
        <f>Z233*Input!$F613</f>
        <v>0</v>
      </c>
      <c r="I233" s="95"/>
      <c r="J233" s="95"/>
      <c r="K233" s="11"/>
      <c r="M233" s="16" t="str">
        <f t="shared" si="29"/>
        <v>Warranty</v>
      </c>
      <c r="N233" s="194">
        <f>AA233*Input!$G613</f>
        <v>0</v>
      </c>
      <c r="O233" s="194">
        <f>AB233*Input!$G613</f>
        <v>0</v>
      </c>
      <c r="P233" s="194">
        <f>AC233*Input!$G613</f>
        <v>0</v>
      </c>
      <c r="Q233" s="194">
        <f>AD233*Input!$G613</f>
        <v>0</v>
      </c>
      <c r="R233" s="95"/>
      <c r="S233" s="11"/>
      <c r="T233" s="94" t="s">
        <v>380</v>
      </c>
      <c r="U233" s="89" t="s">
        <v>262</v>
      </c>
      <c r="V233" s="74">
        <v>7</v>
      </c>
      <c r="W233" s="90">
        <f>_xlfn.XLOOKUP($V233,'Risk Charges'!$C$117:$C$128,'Risk Charges'!D$117:D$128,,0)</f>
        <v>0.41299999999999998</v>
      </c>
      <c r="X233" s="90">
        <f>_xlfn.XLOOKUP($V233,'Risk Charges'!$C$117:$C$128,'Risk Charges'!E$117:E$128,,0)</f>
        <v>0.35</v>
      </c>
      <c r="Y233" s="90">
        <f>_xlfn.XLOOKUP($V233,'Risk Charges'!$C$117:$C$128,'Risk Charges'!F$117:F$128,,0)</f>
        <v>0.3</v>
      </c>
      <c r="Z233" s="90">
        <f>_xlfn.XLOOKUP($V233,'Risk Charges'!$C$117:$C$128,'Risk Charges'!G$117:G$128,,0)</f>
        <v>0.25</v>
      </c>
      <c r="AA233" s="90">
        <f>_xlfn.XLOOKUP($V233,'Risk Charges'!$C$132:$C$143,'Risk Charges'!D$132:D$143,,0)</f>
        <v>0.51600000000000001</v>
      </c>
      <c r="AB233" s="90">
        <f>_xlfn.XLOOKUP($V233,'Risk Charges'!$C$132:$C$143,'Risk Charges'!E$132:E$143,,0)</f>
        <v>0.438</v>
      </c>
      <c r="AC233" s="90">
        <f>_xlfn.XLOOKUP($V233,'Risk Charges'!$C$132:$C$143,'Risk Charges'!F$132:F$143,,0)</f>
        <v>0.375</v>
      </c>
      <c r="AD233" s="90">
        <f>_xlfn.XLOOKUP($V233,'Risk Charges'!$C$132:$C$143,'Risk Charges'!G$132:G$143,,0)</f>
        <v>0.313</v>
      </c>
    </row>
    <row r="234" spans="2:40" hidden="1" outlineLevel="1" x14ac:dyDescent="0.3">
      <c r="B234" s="11"/>
      <c r="D234" s="16" t="str">
        <f t="shared" si="28"/>
        <v>Other</v>
      </c>
      <c r="E234" s="194">
        <f>W234*Input!$F614</f>
        <v>0</v>
      </c>
      <c r="F234" s="194">
        <f>X234*Input!$F614</f>
        <v>0</v>
      </c>
      <c r="G234" s="194">
        <f>Y234*Input!$F614</f>
        <v>0</v>
      </c>
      <c r="H234" s="194">
        <f>Z234*Input!$F614</f>
        <v>0</v>
      </c>
      <c r="I234" s="95"/>
      <c r="J234" s="95"/>
      <c r="K234" s="11"/>
      <c r="M234" s="16" t="str">
        <f t="shared" si="29"/>
        <v>Other</v>
      </c>
      <c r="N234" s="194">
        <f>AA234*Input!$G614</f>
        <v>0</v>
      </c>
      <c r="O234" s="194">
        <f>AB234*Input!$G614</f>
        <v>0</v>
      </c>
      <c r="P234" s="194">
        <f>AC234*Input!$G614</f>
        <v>0</v>
      </c>
      <c r="Q234" s="194">
        <f>AD234*Input!$G614</f>
        <v>0</v>
      </c>
      <c r="R234" s="95"/>
      <c r="S234" s="11"/>
      <c r="T234" s="16" t="s">
        <v>262</v>
      </c>
      <c r="U234" s="89" t="s">
        <v>262</v>
      </c>
      <c r="V234" s="74">
        <v>10</v>
      </c>
      <c r="W234" s="90">
        <f>_xlfn.XLOOKUP($V234,'Risk Charges'!$C$117:$C$128,'Risk Charges'!D$117:D$128,,0)</f>
        <v>0.66</v>
      </c>
      <c r="X234" s="90">
        <f>_xlfn.XLOOKUP($V234,'Risk Charges'!$C$117:$C$128,'Risk Charges'!E$117:E$128,,0)</f>
        <v>0.56000000000000005</v>
      </c>
      <c r="Y234" s="90">
        <f>_xlfn.XLOOKUP($V234,'Risk Charges'!$C$117:$C$128,'Risk Charges'!F$117:F$128,,0)</f>
        <v>0.48</v>
      </c>
      <c r="Z234" s="90">
        <f>_xlfn.XLOOKUP($V234,'Risk Charges'!$C$117:$C$128,'Risk Charges'!G$117:G$128,,0)</f>
        <v>0.4</v>
      </c>
      <c r="AA234" s="90">
        <f>_xlfn.XLOOKUP($V234,'Risk Charges'!$C$132:$C$143,'Risk Charges'!D$132:D$143,,0)</f>
        <v>0.82499999999999996</v>
      </c>
      <c r="AB234" s="90">
        <f>_xlfn.XLOOKUP($V234,'Risk Charges'!$C$132:$C$143,'Risk Charges'!E$132:E$143,,0)</f>
        <v>0.7</v>
      </c>
      <c r="AC234" s="90">
        <f>_xlfn.XLOOKUP($V234,'Risk Charges'!$C$132:$C$143,'Risk Charges'!F$132:F$143,,0)</f>
        <v>0.6</v>
      </c>
      <c r="AD234" s="90">
        <f>_xlfn.XLOOKUP($V234,'Risk Charges'!$C$132:$C$143,'Risk Charges'!G$132:G$143,,0)</f>
        <v>0.5</v>
      </c>
    </row>
    <row r="235" spans="2:40" hidden="1" outlineLevel="1" x14ac:dyDescent="0.3">
      <c r="B235" s="88" t="s">
        <v>327</v>
      </c>
      <c r="E235" s="194"/>
      <c r="F235" s="194"/>
      <c r="G235" s="194"/>
      <c r="H235" s="194"/>
      <c r="K235" s="88" t="s">
        <v>327</v>
      </c>
      <c r="N235" s="194"/>
      <c r="O235" s="194"/>
      <c r="P235" s="194"/>
      <c r="Q235" s="194"/>
      <c r="S235" s="88" t="s">
        <v>327</v>
      </c>
      <c r="T235" s="94"/>
      <c r="U235" s="89"/>
      <c r="V235" s="96"/>
      <c r="W235" s="90"/>
      <c r="X235" s="90"/>
      <c r="Y235" s="90"/>
      <c r="Z235" s="90"/>
      <c r="AA235" s="90"/>
      <c r="AB235" s="90"/>
      <c r="AC235" s="90"/>
      <c r="AD235" s="90"/>
    </row>
    <row r="236" spans="2:40" hidden="1" outlineLevel="1" x14ac:dyDescent="0.3">
      <c r="B236" s="11"/>
      <c r="D236" s="16" t="str">
        <f t="shared" ref="D236:D257" si="30">T236</f>
        <v>Liability</v>
      </c>
      <c r="E236" s="194">
        <f>W236*Input!$F616</f>
        <v>0</v>
      </c>
      <c r="F236" s="194">
        <f>X236*Input!$F616</f>
        <v>0</v>
      </c>
      <c r="G236" s="194">
        <f>Y236*Input!$F616</f>
        <v>0</v>
      </c>
      <c r="H236" s="194">
        <f>Z236*Input!$F616</f>
        <v>0</v>
      </c>
      <c r="I236" s="95"/>
      <c r="J236" s="95"/>
      <c r="K236" s="11"/>
      <c r="M236" s="16" t="str">
        <f t="shared" ref="M236:M257" si="31">T236</f>
        <v>Liability</v>
      </c>
      <c r="N236" s="194">
        <f>AA236*Input!$G616</f>
        <v>0</v>
      </c>
      <c r="O236" s="194">
        <f>AB236*Input!$G616</f>
        <v>0</v>
      </c>
      <c r="P236" s="194">
        <f>AC236*Input!$G616</f>
        <v>0</v>
      </c>
      <c r="Q236" s="194">
        <f>AD236*Input!$G616</f>
        <v>0</v>
      </c>
      <c r="S236" s="61"/>
      <c r="T236" s="94" t="s">
        <v>260</v>
      </c>
      <c r="U236" s="89" t="s">
        <v>260</v>
      </c>
      <c r="V236" s="74">
        <v>9</v>
      </c>
      <c r="W236" s="90">
        <f>_xlfn.XLOOKUP($V236,'Risk Charges'!$C$117:$C$128,'Risk Charges'!D$117:D$128,,0)</f>
        <v>0.57799999999999996</v>
      </c>
      <c r="X236" s="90">
        <f>_xlfn.XLOOKUP($V236,'Risk Charges'!$C$117:$C$128,'Risk Charges'!E$117:E$128,,0)</f>
        <v>0.49</v>
      </c>
      <c r="Y236" s="90">
        <f>_xlfn.XLOOKUP($V236,'Risk Charges'!$C$117:$C$128,'Risk Charges'!F$117:F$128,,0)</f>
        <v>0.42</v>
      </c>
      <c r="Z236" s="90">
        <f>_xlfn.XLOOKUP($V236,'Risk Charges'!$C$117:$C$128,'Risk Charges'!G$117:G$128,,0)</f>
        <v>0.35</v>
      </c>
      <c r="AA236" s="90">
        <f>_xlfn.XLOOKUP($V236,'Risk Charges'!$C$132:$C$143,'Risk Charges'!D$132:D$143,,0)</f>
        <v>0.72299999999999998</v>
      </c>
      <c r="AB236" s="90">
        <f>_xlfn.XLOOKUP($V236,'Risk Charges'!$C$132:$C$143,'Risk Charges'!E$132:E$143,,0)</f>
        <v>0.61299999999999999</v>
      </c>
      <c r="AC236" s="90">
        <f>_xlfn.XLOOKUP($V236,'Risk Charges'!$C$132:$C$143,'Risk Charges'!F$132:F$143,,0)</f>
        <v>0.52500000000000002</v>
      </c>
      <c r="AD236" s="90">
        <f>_xlfn.XLOOKUP($V236,'Risk Charges'!$C$132:$C$143,'Risk Charges'!G$132:G$143,,0)</f>
        <v>0.438</v>
      </c>
    </row>
    <row r="237" spans="2:40" hidden="1" outlineLevel="1" x14ac:dyDescent="0.3">
      <c r="B237" s="11"/>
      <c r="D237" s="16" t="str">
        <f t="shared" si="30"/>
        <v>Boiler &amp; machinery</v>
      </c>
      <c r="E237" s="194">
        <f>W237*Input!$F617</f>
        <v>0</v>
      </c>
      <c r="F237" s="194">
        <f>X237*Input!$F617</f>
        <v>0</v>
      </c>
      <c r="G237" s="194">
        <f>Y237*Input!$F617</f>
        <v>0</v>
      </c>
      <c r="H237" s="194">
        <f>Z237*Input!$F617</f>
        <v>0</v>
      </c>
      <c r="I237" s="95"/>
      <c r="J237" s="95"/>
      <c r="K237" s="11"/>
      <c r="M237" s="16" t="str">
        <f t="shared" si="31"/>
        <v>Boiler &amp; machinery</v>
      </c>
      <c r="N237" s="194">
        <f>AA237*Input!$G617</f>
        <v>0</v>
      </c>
      <c r="O237" s="194">
        <f>AB237*Input!$G617</f>
        <v>0</v>
      </c>
      <c r="P237" s="194">
        <f>AC237*Input!$G617</f>
        <v>0</v>
      </c>
      <c r="Q237" s="194">
        <f>AD237*Input!$G617</f>
        <v>0</v>
      </c>
      <c r="R237" s="95"/>
      <c r="S237" s="61"/>
      <c r="T237" s="94" t="s">
        <v>989</v>
      </c>
      <c r="U237" s="89" t="s">
        <v>258</v>
      </c>
      <c r="V237" s="74">
        <v>6</v>
      </c>
      <c r="W237" s="90">
        <f>_xlfn.XLOOKUP($V237,'Risk Charges'!$C$117:$C$128,'Risk Charges'!D$117:D$128,,0)</f>
        <v>0.33</v>
      </c>
      <c r="X237" s="90">
        <f>_xlfn.XLOOKUP($V237,'Risk Charges'!$C$117:$C$128,'Risk Charges'!E$117:E$128,,0)</f>
        <v>0.28000000000000003</v>
      </c>
      <c r="Y237" s="90">
        <f>_xlfn.XLOOKUP($V237,'Risk Charges'!$C$117:$C$128,'Risk Charges'!F$117:F$128,,0)</f>
        <v>0.24</v>
      </c>
      <c r="Z237" s="90">
        <f>_xlfn.XLOOKUP($V237,'Risk Charges'!$C$117:$C$128,'Risk Charges'!G$117:G$128,,0)</f>
        <v>0.2</v>
      </c>
      <c r="AA237" s="90">
        <f>_xlfn.XLOOKUP($V237,'Risk Charges'!$C$132:$C$143,'Risk Charges'!D$132:D$143,,0)</f>
        <v>0.41299999999999998</v>
      </c>
      <c r="AB237" s="90">
        <f>_xlfn.XLOOKUP($V237,'Risk Charges'!$C$132:$C$143,'Risk Charges'!E$132:E$143,,0)</f>
        <v>0.35</v>
      </c>
      <c r="AC237" s="90">
        <f>_xlfn.XLOOKUP($V237,'Risk Charges'!$C$132:$C$143,'Risk Charges'!F$132:F$143,,0)</f>
        <v>0.3</v>
      </c>
      <c r="AD237" s="90">
        <f>_xlfn.XLOOKUP($V237,'Risk Charges'!$C$132:$C$143,'Risk Charges'!G$132:G$143,,0)</f>
        <v>0.25</v>
      </c>
    </row>
    <row r="238" spans="2:40" hidden="1" outlineLevel="1" x14ac:dyDescent="0.3">
      <c r="B238" s="61"/>
      <c r="D238" s="16" t="str">
        <f t="shared" si="30"/>
        <v>Commercial property</v>
      </c>
      <c r="E238" s="194">
        <f>W238*Input!$F618</f>
        <v>0</v>
      </c>
      <c r="F238" s="194">
        <f>X238*Input!$F618</f>
        <v>0</v>
      </c>
      <c r="G238" s="194">
        <f>Y238*Input!$F618</f>
        <v>0</v>
      </c>
      <c r="H238" s="194">
        <f>Z238*Input!$F618</f>
        <v>0</v>
      </c>
      <c r="I238" s="97"/>
      <c r="J238" s="97"/>
      <c r="K238" s="61"/>
      <c r="L238" s="35"/>
      <c r="M238" s="16" t="str">
        <f t="shared" si="31"/>
        <v>Commercial property</v>
      </c>
      <c r="N238" s="194">
        <f>AA238*Input!$G618</f>
        <v>0</v>
      </c>
      <c r="O238" s="194">
        <f>AB238*Input!$G618</f>
        <v>0</v>
      </c>
      <c r="P238" s="194">
        <f>AC238*Input!$G618</f>
        <v>0</v>
      </c>
      <c r="Q238" s="194">
        <f>AD238*Input!$G618</f>
        <v>0</v>
      </c>
      <c r="R238" s="95"/>
      <c r="S238" s="61"/>
      <c r="T238" s="94" t="s">
        <v>997</v>
      </c>
      <c r="U238" s="89" t="s">
        <v>258</v>
      </c>
      <c r="V238" s="74">
        <v>7</v>
      </c>
      <c r="W238" s="90">
        <f>_xlfn.XLOOKUP($V238,'Risk Charges'!$C$117:$C$128,'Risk Charges'!D$117:D$128,,0)</f>
        <v>0.41299999999999998</v>
      </c>
      <c r="X238" s="90">
        <f>_xlfn.XLOOKUP($V238,'Risk Charges'!$C$117:$C$128,'Risk Charges'!E$117:E$128,,0)</f>
        <v>0.35</v>
      </c>
      <c r="Y238" s="90">
        <f>_xlfn.XLOOKUP($V238,'Risk Charges'!$C$117:$C$128,'Risk Charges'!F$117:F$128,,0)</f>
        <v>0.3</v>
      </c>
      <c r="Z238" s="90">
        <f>_xlfn.XLOOKUP($V238,'Risk Charges'!$C$117:$C$128,'Risk Charges'!G$117:G$128,,0)</f>
        <v>0.25</v>
      </c>
      <c r="AA238" s="90">
        <f>_xlfn.XLOOKUP($V238,'Risk Charges'!$C$132:$C$143,'Risk Charges'!D$132:D$143,,0)</f>
        <v>0.51600000000000001</v>
      </c>
      <c r="AB238" s="90">
        <f>_xlfn.XLOOKUP($V238,'Risk Charges'!$C$132:$C$143,'Risk Charges'!E$132:E$143,,0)</f>
        <v>0.438</v>
      </c>
      <c r="AC238" s="90">
        <f>_xlfn.XLOOKUP($V238,'Risk Charges'!$C$132:$C$143,'Risk Charges'!F$132:F$143,,0)</f>
        <v>0.375</v>
      </c>
      <c r="AD238" s="90">
        <f>_xlfn.XLOOKUP($V238,'Risk Charges'!$C$132:$C$143,'Risk Charges'!G$132:G$143,,0)</f>
        <v>0.313</v>
      </c>
    </row>
    <row r="239" spans="2:40" hidden="1" outlineLevel="1" x14ac:dyDescent="0.3">
      <c r="B239" s="61"/>
      <c r="D239" s="16" t="str">
        <f t="shared" si="30"/>
        <v>Hail</v>
      </c>
      <c r="E239" s="194">
        <f>W239*Input!$F619</f>
        <v>0</v>
      </c>
      <c r="F239" s="194">
        <f>X239*Input!$F619</f>
        <v>0</v>
      </c>
      <c r="G239" s="194">
        <f>Y239*Input!$F619</f>
        <v>0</v>
      </c>
      <c r="H239" s="194">
        <f>Z239*Input!$F619</f>
        <v>0</v>
      </c>
      <c r="I239" s="95"/>
      <c r="J239" s="95"/>
      <c r="K239" s="61"/>
      <c r="M239" s="16" t="str">
        <f t="shared" si="31"/>
        <v>Hail</v>
      </c>
      <c r="N239" s="194">
        <f>AA239*Input!$G619</f>
        <v>0</v>
      </c>
      <c r="O239" s="194">
        <f>AB239*Input!$G619</f>
        <v>0</v>
      </c>
      <c r="P239" s="194">
        <f>AC239*Input!$G619</f>
        <v>0</v>
      </c>
      <c r="Q239" s="194">
        <f>AD239*Input!$G619</f>
        <v>0</v>
      </c>
      <c r="S239" s="61"/>
      <c r="T239" s="94" t="s">
        <v>383</v>
      </c>
      <c r="U239" s="89" t="s">
        <v>258</v>
      </c>
      <c r="V239" s="74">
        <v>7</v>
      </c>
      <c r="W239" s="90">
        <f>_xlfn.XLOOKUP($V239,'Risk Charges'!$C$117:$C$128,'Risk Charges'!D$117:D$128,,0)</f>
        <v>0.41299999999999998</v>
      </c>
      <c r="X239" s="90">
        <f>_xlfn.XLOOKUP($V239,'Risk Charges'!$C$117:$C$128,'Risk Charges'!E$117:E$128,,0)</f>
        <v>0.35</v>
      </c>
      <c r="Y239" s="90">
        <f>_xlfn.XLOOKUP($V239,'Risk Charges'!$C$117:$C$128,'Risk Charges'!F$117:F$128,,0)</f>
        <v>0.3</v>
      </c>
      <c r="Z239" s="90">
        <f>_xlfn.XLOOKUP($V239,'Risk Charges'!$C$117:$C$128,'Risk Charges'!G$117:G$128,,0)</f>
        <v>0.25</v>
      </c>
      <c r="AA239" s="90">
        <f>_xlfn.XLOOKUP($V239,'Risk Charges'!$C$132:$C$143,'Risk Charges'!D$132:D$143,,0)</f>
        <v>0.51600000000000001</v>
      </c>
      <c r="AB239" s="90">
        <f>_xlfn.XLOOKUP($V239,'Risk Charges'!$C$132:$C$143,'Risk Charges'!E$132:E$143,,0)</f>
        <v>0.438</v>
      </c>
      <c r="AC239" s="90">
        <f>_xlfn.XLOOKUP($V239,'Risk Charges'!$C$132:$C$143,'Risk Charges'!F$132:F$143,,0)</f>
        <v>0.375</v>
      </c>
      <c r="AD239" s="90">
        <f>_xlfn.XLOOKUP($V239,'Risk Charges'!$C$132:$C$143,'Risk Charges'!G$132:G$143,,0)</f>
        <v>0.313</v>
      </c>
    </row>
    <row r="240" spans="2:40" hidden="1" outlineLevel="1" x14ac:dyDescent="0.3">
      <c r="B240" s="61"/>
      <c r="D240" s="16" t="str">
        <f t="shared" si="30"/>
        <v>Personal property</v>
      </c>
      <c r="E240" s="194">
        <f>W240*Input!$F620</f>
        <v>0</v>
      </c>
      <c r="F240" s="194">
        <f>X240*Input!$F620</f>
        <v>0</v>
      </c>
      <c r="G240" s="194">
        <f>Y240*Input!$F620</f>
        <v>0</v>
      </c>
      <c r="H240" s="194">
        <f>Z240*Input!$F620</f>
        <v>0</v>
      </c>
      <c r="I240" s="95"/>
      <c r="J240" s="95"/>
      <c r="K240" s="61"/>
      <c r="M240" s="16" t="str">
        <f t="shared" si="31"/>
        <v>Personal property</v>
      </c>
      <c r="N240" s="194">
        <f>AA240*Input!$G620</f>
        <v>0</v>
      </c>
      <c r="O240" s="194">
        <f>AB240*Input!$G620</f>
        <v>0</v>
      </c>
      <c r="P240" s="194">
        <f>AC240*Input!$G620</f>
        <v>0</v>
      </c>
      <c r="Q240" s="194">
        <f>AD240*Input!$G620</f>
        <v>0</v>
      </c>
      <c r="R240" s="95"/>
      <c r="S240" s="61"/>
      <c r="T240" s="94" t="s">
        <v>998</v>
      </c>
      <c r="U240" s="89" t="s">
        <v>258</v>
      </c>
      <c r="V240" s="74">
        <v>6</v>
      </c>
      <c r="W240" s="90">
        <f>_xlfn.XLOOKUP($V240,'Risk Charges'!$C$117:$C$128,'Risk Charges'!D$117:D$128,,0)</f>
        <v>0.33</v>
      </c>
      <c r="X240" s="90">
        <f>_xlfn.XLOOKUP($V240,'Risk Charges'!$C$117:$C$128,'Risk Charges'!E$117:E$128,,0)</f>
        <v>0.28000000000000003</v>
      </c>
      <c r="Y240" s="90">
        <f>_xlfn.XLOOKUP($V240,'Risk Charges'!$C$117:$C$128,'Risk Charges'!F$117:F$128,,0)</f>
        <v>0.24</v>
      </c>
      <c r="Z240" s="90">
        <f>_xlfn.XLOOKUP($V240,'Risk Charges'!$C$117:$C$128,'Risk Charges'!G$117:G$128,,0)</f>
        <v>0.2</v>
      </c>
      <c r="AA240" s="90">
        <f>_xlfn.XLOOKUP($V240,'Risk Charges'!$C$132:$C$143,'Risk Charges'!D$132:D$143,,0)</f>
        <v>0.41299999999999998</v>
      </c>
      <c r="AB240" s="90">
        <f>_xlfn.XLOOKUP($V240,'Risk Charges'!$C$132:$C$143,'Risk Charges'!E$132:E$143,,0)</f>
        <v>0.35</v>
      </c>
      <c r="AC240" s="90">
        <f>_xlfn.XLOOKUP($V240,'Risk Charges'!$C$132:$C$143,'Risk Charges'!F$132:F$143,,0)</f>
        <v>0.3</v>
      </c>
      <c r="AD240" s="90">
        <f>_xlfn.XLOOKUP($V240,'Risk Charges'!$C$132:$C$143,'Risk Charges'!G$132:G$143,,0)</f>
        <v>0.25</v>
      </c>
    </row>
    <row r="241" spans="2:30" hidden="1" outlineLevel="1" x14ac:dyDescent="0.3">
      <c r="B241" s="61"/>
      <c r="D241" s="16" t="str">
        <f t="shared" si="30"/>
        <v>Auto - liability</v>
      </c>
      <c r="E241" s="194">
        <f>W241*Input!$F621</f>
        <v>0</v>
      </c>
      <c r="F241" s="194">
        <f>X241*Input!$F621</f>
        <v>0</v>
      </c>
      <c r="G241" s="194">
        <f>Y241*Input!$F621</f>
        <v>0</v>
      </c>
      <c r="H241" s="194">
        <f>Z241*Input!$F621</f>
        <v>0</v>
      </c>
      <c r="I241" s="95"/>
      <c r="J241" s="95"/>
      <c r="K241" s="61"/>
      <c r="M241" s="16" t="str">
        <f t="shared" si="31"/>
        <v>Auto - liability</v>
      </c>
      <c r="N241" s="194">
        <f>AA241*Input!$G621</f>
        <v>0</v>
      </c>
      <c r="O241" s="194">
        <f>AB241*Input!$G621</f>
        <v>0</v>
      </c>
      <c r="P241" s="194">
        <f>AC241*Input!$G621</f>
        <v>0</v>
      </c>
      <c r="Q241" s="194">
        <f>AD241*Input!$G621</f>
        <v>0</v>
      </c>
      <c r="R241" s="95"/>
      <c r="S241" s="31"/>
      <c r="T241" s="94" t="s">
        <v>999</v>
      </c>
      <c r="U241" s="92" t="s">
        <v>259</v>
      </c>
      <c r="V241" s="106">
        <v>5</v>
      </c>
      <c r="W241" s="90">
        <f>_xlfn.XLOOKUP($V241,'Risk Charges'!$C$117:$C$128,'Risk Charges'!D$117:D$128,,0)</f>
        <v>0.248</v>
      </c>
      <c r="X241" s="90">
        <f>_xlfn.XLOOKUP($V241,'Risk Charges'!$C$117:$C$128,'Risk Charges'!E$117:E$128,,0)</f>
        <v>0.21</v>
      </c>
      <c r="Y241" s="90">
        <f>_xlfn.XLOOKUP($V241,'Risk Charges'!$C$117:$C$128,'Risk Charges'!F$117:F$128,,0)</f>
        <v>0.18</v>
      </c>
      <c r="Z241" s="90">
        <f>_xlfn.XLOOKUP($V241,'Risk Charges'!$C$117:$C$128,'Risk Charges'!G$117:G$128,,0)</f>
        <v>0.15</v>
      </c>
      <c r="AA241" s="90">
        <f>_xlfn.XLOOKUP($V241,'Risk Charges'!$C$132:$C$143,'Risk Charges'!D$132:D$143,,0)</f>
        <v>0.31</v>
      </c>
      <c r="AB241" s="90">
        <f>_xlfn.XLOOKUP($V241,'Risk Charges'!$C$132:$C$143,'Risk Charges'!E$132:E$143,,0)</f>
        <v>0.26300000000000001</v>
      </c>
      <c r="AC241" s="90">
        <f>_xlfn.XLOOKUP($V241,'Risk Charges'!$C$132:$C$143,'Risk Charges'!F$132:F$143,,0)</f>
        <v>0.22500000000000001</v>
      </c>
      <c r="AD241" s="90">
        <f>_xlfn.XLOOKUP($V241,'Risk Charges'!$C$132:$C$143,'Risk Charges'!G$132:G$143,,0)</f>
        <v>0.188</v>
      </c>
    </row>
    <row r="242" spans="2:30" hidden="1" outlineLevel="1" x14ac:dyDescent="0.3">
      <c r="B242" s="61"/>
      <c r="D242" s="16" t="str">
        <f t="shared" si="30"/>
        <v>Auto - other</v>
      </c>
      <c r="E242" s="194">
        <f>W242*Input!$F622</f>
        <v>0</v>
      </c>
      <c r="F242" s="194">
        <f>X242*Input!$F622</f>
        <v>0</v>
      </c>
      <c r="G242" s="194">
        <f>Y242*Input!$F622</f>
        <v>0</v>
      </c>
      <c r="H242" s="194">
        <f>Z242*Input!$F622</f>
        <v>0</v>
      </c>
      <c r="I242" s="95"/>
      <c r="J242" s="95"/>
      <c r="K242" s="61"/>
      <c r="M242" s="16" t="str">
        <f t="shared" si="31"/>
        <v>Auto - other</v>
      </c>
      <c r="N242" s="194">
        <f>AA242*Input!$G622</f>
        <v>0</v>
      </c>
      <c r="O242" s="194">
        <f>AB242*Input!$G622</f>
        <v>0</v>
      </c>
      <c r="P242" s="194">
        <f>AC242*Input!$G622</f>
        <v>0</v>
      </c>
      <c r="Q242" s="194">
        <f>AD242*Input!$G622</f>
        <v>0</v>
      </c>
      <c r="S242" s="11"/>
      <c r="T242" s="94" t="s">
        <v>1000</v>
      </c>
      <c r="U242" s="89" t="s">
        <v>259</v>
      </c>
      <c r="V242" s="74">
        <v>5</v>
      </c>
      <c r="W242" s="90">
        <f>_xlfn.XLOOKUP($V242,'Risk Charges'!$C$117:$C$128,'Risk Charges'!D$117:D$128,,0)</f>
        <v>0.248</v>
      </c>
      <c r="X242" s="90">
        <f>_xlfn.XLOOKUP($V242,'Risk Charges'!$C$117:$C$128,'Risk Charges'!E$117:E$128,,0)</f>
        <v>0.21</v>
      </c>
      <c r="Y242" s="90">
        <f>_xlfn.XLOOKUP($V242,'Risk Charges'!$C$117:$C$128,'Risk Charges'!F$117:F$128,,0)</f>
        <v>0.18</v>
      </c>
      <c r="Z242" s="90">
        <f>_xlfn.XLOOKUP($V242,'Risk Charges'!$C$117:$C$128,'Risk Charges'!G$117:G$128,,0)</f>
        <v>0.15</v>
      </c>
      <c r="AA242" s="90">
        <f>_xlfn.XLOOKUP($V242,'Risk Charges'!$C$132:$C$143,'Risk Charges'!D$132:D$143,,0)</f>
        <v>0.31</v>
      </c>
      <c r="AB242" s="90">
        <f>_xlfn.XLOOKUP($V242,'Risk Charges'!$C$132:$C$143,'Risk Charges'!E$132:E$143,,0)</f>
        <v>0.26300000000000001</v>
      </c>
      <c r="AC242" s="90">
        <f>_xlfn.XLOOKUP($V242,'Risk Charges'!$C$132:$C$143,'Risk Charges'!F$132:F$143,,0)</f>
        <v>0.22500000000000001</v>
      </c>
      <c r="AD242" s="90">
        <f>_xlfn.XLOOKUP($V242,'Risk Charges'!$C$132:$C$143,'Risk Charges'!G$132:G$143,,0)</f>
        <v>0.188</v>
      </c>
    </row>
    <row r="243" spans="2:30" hidden="1" outlineLevel="1" x14ac:dyDescent="0.3">
      <c r="B243" s="61"/>
      <c r="D243" s="16" t="str">
        <f t="shared" si="30"/>
        <v>Auto - personal accident</v>
      </c>
      <c r="E243" s="194">
        <f>W243*Input!$F623</f>
        <v>0</v>
      </c>
      <c r="F243" s="194">
        <f>X243*Input!$F623</f>
        <v>0</v>
      </c>
      <c r="G243" s="194">
        <f>Y243*Input!$F623</f>
        <v>0</v>
      </c>
      <c r="H243" s="194">
        <f>Z243*Input!$F623</f>
        <v>0</v>
      </c>
      <c r="I243" s="95"/>
      <c r="J243" s="95"/>
      <c r="K243" s="61"/>
      <c r="M243" s="16" t="str">
        <f t="shared" si="31"/>
        <v>Auto - personal accident</v>
      </c>
      <c r="N243" s="194">
        <f>AA243*Input!$G623</f>
        <v>0</v>
      </c>
      <c r="O243" s="194">
        <f>AB243*Input!$G623</f>
        <v>0</v>
      </c>
      <c r="P243" s="194">
        <f>AC243*Input!$G623</f>
        <v>0</v>
      </c>
      <c r="Q243" s="194">
        <f>AD243*Input!$G623</f>
        <v>0</v>
      </c>
      <c r="S243" s="11"/>
      <c r="T243" s="94" t="s">
        <v>1001</v>
      </c>
      <c r="U243" s="89" t="s">
        <v>259</v>
      </c>
      <c r="V243" s="74">
        <v>5</v>
      </c>
      <c r="W243" s="90">
        <f>_xlfn.XLOOKUP($V243,'Risk Charges'!$C$117:$C$128,'Risk Charges'!D$117:D$128,,0)</f>
        <v>0.248</v>
      </c>
      <c r="X243" s="90">
        <f>_xlfn.XLOOKUP($V243,'Risk Charges'!$C$117:$C$128,'Risk Charges'!E$117:E$128,,0)</f>
        <v>0.21</v>
      </c>
      <c r="Y243" s="90">
        <f>_xlfn.XLOOKUP($V243,'Risk Charges'!$C$117:$C$128,'Risk Charges'!F$117:F$128,,0)</f>
        <v>0.18</v>
      </c>
      <c r="Z243" s="90">
        <f>_xlfn.XLOOKUP($V243,'Risk Charges'!$C$117:$C$128,'Risk Charges'!G$117:G$128,,0)</f>
        <v>0.15</v>
      </c>
      <c r="AA243" s="90">
        <f>_xlfn.XLOOKUP($V243,'Risk Charges'!$C$132:$C$143,'Risk Charges'!D$132:D$143,,0)</f>
        <v>0.31</v>
      </c>
      <c r="AB243" s="90">
        <f>_xlfn.XLOOKUP($V243,'Risk Charges'!$C$132:$C$143,'Risk Charges'!E$132:E$143,,0)</f>
        <v>0.26300000000000001</v>
      </c>
      <c r="AC243" s="90">
        <f>_xlfn.XLOOKUP($V243,'Risk Charges'!$C$132:$C$143,'Risk Charges'!F$132:F$143,,0)</f>
        <v>0.22500000000000001</v>
      </c>
      <c r="AD243" s="90">
        <f>_xlfn.XLOOKUP($V243,'Risk Charges'!$C$132:$C$143,'Risk Charges'!G$132:G$143,,0)</f>
        <v>0.188</v>
      </c>
    </row>
    <row r="244" spans="2:30" hidden="1" outlineLevel="1" x14ac:dyDescent="0.3">
      <c r="D244" s="16" t="str">
        <f t="shared" si="30"/>
        <v>Credit</v>
      </c>
      <c r="E244" s="194">
        <f>W244*Input!$F624</f>
        <v>0</v>
      </c>
      <c r="F244" s="194">
        <f>X244*Input!$F624</f>
        <v>0</v>
      </c>
      <c r="G244" s="194">
        <f>Y244*Input!$F624</f>
        <v>0</v>
      </c>
      <c r="H244" s="194">
        <f>Z244*Input!$F624</f>
        <v>0</v>
      </c>
      <c r="I244" s="95"/>
      <c r="J244" s="95"/>
      <c r="M244" s="16" t="str">
        <f t="shared" si="31"/>
        <v>Credit</v>
      </c>
      <c r="N244" s="194">
        <f>AA244*Input!$G624</f>
        <v>0</v>
      </c>
      <c r="O244" s="194">
        <f>AB244*Input!$G624</f>
        <v>0</v>
      </c>
      <c r="P244" s="194">
        <f>AC244*Input!$G624</f>
        <v>0</v>
      </c>
      <c r="Q244" s="194">
        <f>AD244*Input!$G624</f>
        <v>0</v>
      </c>
      <c r="R244" s="94"/>
      <c r="S244" s="11"/>
      <c r="T244" s="94" t="s">
        <v>374</v>
      </c>
      <c r="U244" s="89" t="s">
        <v>9</v>
      </c>
      <c r="V244" s="74">
        <v>6</v>
      </c>
      <c r="W244" s="90">
        <f>_xlfn.XLOOKUP($V244,'Risk Charges'!$C$117:$C$128,'Risk Charges'!D$117:D$128,,0)</f>
        <v>0.33</v>
      </c>
      <c r="X244" s="90">
        <f>_xlfn.XLOOKUP($V244,'Risk Charges'!$C$117:$C$128,'Risk Charges'!E$117:E$128,,0)</f>
        <v>0.28000000000000003</v>
      </c>
      <c r="Y244" s="90">
        <f>_xlfn.XLOOKUP($V244,'Risk Charges'!$C$117:$C$128,'Risk Charges'!F$117:F$128,,0)</f>
        <v>0.24</v>
      </c>
      <c r="Z244" s="90">
        <f>_xlfn.XLOOKUP($V244,'Risk Charges'!$C$117:$C$128,'Risk Charges'!G$117:G$128,,0)</f>
        <v>0.2</v>
      </c>
      <c r="AA244" s="90">
        <f>_xlfn.XLOOKUP($V244,'Risk Charges'!$C$132:$C$143,'Risk Charges'!D$132:D$143,,0)</f>
        <v>0.41299999999999998</v>
      </c>
      <c r="AB244" s="90">
        <f>_xlfn.XLOOKUP($V244,'Risk Charges'!$C$132:$C$143,'Risk Charges'!E$132:E$143,,0)</f>
        <v>0.35</v>
      </c>
      <c r="AC244" s="90">
        <f>_xlfn.XLOOKUP($V244,'Risk Charges'!$C$132:$C$143,'Risk Charges'!F$132:F$143,,0)</f>
        <v>0.3</v>
      </c>
      <c r="AD244" s="90">
        <f>_xlfn.XLOOKUP($V244,'Risk Charges'!$C$132:$C$143,'Risk Charges'!G$132:G$143,,0)</f>
        <v>0.25</v>
      </c>
    </row>
    <row r="245" spans="2:30" hidden="1" outlineLevel="1" x14ac:dyDescent="0.3">
      <c r="B245" s="61"/>
      <c r="D245" s="16" t="str">
        <f t="shared" si="30"/>
        <v>Credit protection</v>
      </c>
      <c r="E245" s="194">
        <f>W245*Input!$F625</f>
        <v>0</v>
      </c>
      <c r="F245" s="194">
        <f>X245*Input!$F625</f>
        <v>0</v>
      </c>
      <c r="G245" s="194">
        <f>Y245*Input!$F625</f>
        <v>0</v>
      </c>
      <c r="H245" s="194">
        <f>Z245*Input!$F625</f>
        <v>0</v>
      </c>
      <c r="I245" s="95"/>
      <c r="J245" s="95"/>
      <c r="K245" s="61"/>
      <c r="M245" s="16" t="str">
        <f t="shared" si="31"/>
        <v>Credit protection</v>
      </c>
      <c r="N245" s="194">
        <f>AA245*Input!$G625</f>
        <v>0</v>
      </c>
      <c r="O245" s="194">
        <f>AB245*Input!$G625</f>
        <v>0</v>
      </c>
      <c r="P245" s="194">
        <f>AC245*Input!$G625</f>
        <v>0</v>
      </c>
      <c r="Q245" s="194">
        <f>AD245*Input!$G625</f>
        <v>0</v>
      </c>
      <c r="S245" s="11"/>
      <c r="T245" s="94" t="s">
        <v>1002</v>
      </c>
      <c r="U245" s="89" t="s">
        <v>9</v>
      </c>
      <c r="V245" s="74">
        <v>6</v>
      </c>
      <c r="W245" s="90">
        <f>_xlfn.XLOOKUP($V245,'Risk Charges'!$C$117:$C$128,'Risk Charges'!D$117:D$128,,0)</f>
        <v>0.33</v>
      </c>
      <c r="X245" s="90">
        <f>_xlfn.XLOOKUP($V245,'Risk Charges'!$C$117:$C$128,'Risk Charges'!E$117:E$128,,0)</f>
        <v>0.28000000000000003</v>
      </c>
      <c r="Y245" s="90">
        <f>_xlfn.XLOOKUP($V245,'Risk Charges'!$C$117:$C$128,'Risk Charges'!F$117:F$128,,0)</f>
        <v>0.24</v>
      </c>
      <c r="Z245" s="90">
        <f>_xlfn.XLOOKUP($V245,'Risk Charges'!$C$117:$C$128,'Risk Charges'!G$117:G$128,,0)</f>
        <v>0.2</v>
      </c>
      <c r="AA245" s="90">
        <f>_xlfn.XLOOKUP($V245,'Risk Charges'!$C$132:$C$143,'Risk Charges'!D$132:D$143,,0)</f>
        <v>0.41299999999999998</v>
      </c>
      <c r="AB245" s="90">
        <f>_xlfn.XLOOKUP($V245,'Risk Charges'!$C$132:$C$143,'Risk Charges'!E$132:E$143,,0)</f>
        <v>0.35</v>
      </c>
      <c r="AC245" s="90">
        <f>_xlfn.XLOOKUP($V245,'Risk Charges'!$C$132:$C$143,'Risk Charges'!F$132:F$143,,0)</f>
        <v>0.3</v>
      </c>
      <c r="AD245" s="90">
        <f>_xlfn.XLOOKUP($V245,'Risk Charges'!$C$132:$C$143,'Risk Charges'!G$132:G$143,,0)</f>
        <v>0.25</v>
      </c>
    </row>
    <row r="246" spans="2:30" hidden="1" outlineLevel="1" x14ac:dyDescent="0.3">
      <c r="B246" s="61"/>
      <c r="D246" s="16" t="str">
        <f t="shared" si="30"/>
        <v>Fidelity</v>
      </c>
      <c r="E246" s="194">
        <f>W246*Input!$F626</f>
        <v>0</v>
      </c>
      <c r="F246" s="194">
        <f>X246*Input!$F626</f>
        <v>0</v>
      </c>
      <c r="G246" s="194">
        <f>Y246*Input!$F626</f>
        <v>0</v>
      </c>
      <c r="H246" s="194">
        <f>Z246*Input!$F626</f>
        <v>0</v>
      </c>
      <c r="I246" s="95"/>
      <c r="J246" s="95"/>
      <c r="K246" s="61"/>
      <c r="M246" s="16" t="str">
        <f t="shared" si="31"/>
        <v>Fidelity</v>
      </c>
      <c r="N246" s="194">
        <f>AA246*Input!$G626</f>
        <v>0</v>
      </c>
      <c r="O246" s="194">
        <f>AB246*Input!$G626</f>
        <v>0</v>
      </c>
      <c r="P246" s="194">
        <f>AC246*Input!$G626</f>
        <v>0</v>
      </c>
      <c r="Q246" s="194">
        <f>AD246*Input!$G626</f>
        <v>0</v>
      </c>
      <c r="S246" s="11"/>
      <c r="T246" s="94" t="s">
        <v>375</v>
      </c>
      <c r="U246" s="89" t="s">
        <v>9</v>
      </c>
      <c r="V246" s="74">
        <v>7</v>
      </c>
      <c r="W246" s="90">
        <f>_xlfn.XLOOKUP($V246,'Risk Charges'!$C$117:$C$128,'Risk Charges'!D$117:D$128,,0)</f>
        <v>0.41299999999999998</v>
      </c>
      <c r="X246" s="90">
        <f>_xlfn.XLOOKUP($V246,'Risk Charges'!$C$117:$C$128,'Risk Charges'!E$117:E$128,,0)</f>
        <v>0.35</v>
      </c>
      <c r="Y246" s="90">
        <f>_xlfn.XLOOKUP($V246,'Risk Charges'!$C$117:$C$128,'Risk Charges'!F$117:F$128,,0)</f>
        <v>0.3</v>
      </c>
      <c r="Z246" s="90">
        <f>_xlfn.XLOOKUP($V246,'Risk Charges'!$C$117:$C$128,'Risk Charges'!G$117:G$128,,0)</f>
        <v>0.25</v>
      </c>
      <c r="AA246" s="90">
        <f>_xlfn.XLOOKUP($V246,'Risk Charges'!$C$132:$C$143,'Risk Charges'!D$132:D$143,,0)</f>
        <v>0.51600000000000001</v>
      </c>
      <c r="AB246" s="90">
        <f>_xlfn.XLOOKUP($V246,'Risk Charges'!$C$132:$C$143,'Risk Charges'!E$132:E$143,,0)</f>
        <v>0.438</v>
      </c>
      <c r="AC246" s="90">
        <f>_xlfn.XLOOKUP($V246,'Risk Charges'!$C$132:$C$143,'Risk Charges'!F$132:F$143,,0)</f>
        <v>0.375</v>
      </c>
      <c r="AD246" s="90">
        <f>_xlfn.XLOOKUP($V246,'Risk Charges'!$C$132:$C$143,'Risk Charges'!G$132:G$143,,0)</f>
        <v>0.313</v>
      </c>
    </row>
    <row r="247" spans="2:30" hidden="1" outlineLevel="1" x14ac:dyDescent="0.3">
      <c r="B247" s="61"/>
      <c r="D247" s="16" t="str">
        <f t="shared" si="30"/>
        <v>Surety</v>
      </c>
      <c r="E247" s="194">
        <f>W247*Input!$F627</f>
        <v>0</v>
      </c>
      <c r="F247" s="194">
        <f>X247*Input!$F627</f>
        <v>0</v>
      </c>
      <c r="G247" s="194">
        <f>Y247*Input!$F627</f>
        <v>0</v>
      </c>
      <c r="H247" s="194">
        <f>Z247*Input!$F627</f>
        <v>0</v>
      </c>
      <c r="I247" s="95"/>
      <c r="J247" s="95"/>
      <c r="K247" s="61"/>
      <c r="M247" s="16" t="str">
        <f t="shared" si="31"/>
        <v>Surety</v>
      </c>
      <c r="N247" s="194">
        <f>AA247*Input!$G627</f>
        <v>0</v>
      </c>
      <c r="O247" s="194">
        <f>AB247*Input!$G627</f>
        <v>0</v>
      </c>
      <c r="P247" s="194">
        <f>AC247*Input!$G627</f>
        <v>0</v>
      </c>
      <c r="Q247" s="194">
        <f>AD247*Input!$G627</f>
        <v>0</v>
      </c>
      <c r="S247" s="11"/>
      <c r="T247" s="94" t="s">
        <v>376</v>
      </c>
      <c r="U247" s="89" t="s">
        <v>9</v>
      </c>
      <c r="V247" s="74">
        <v>7</v>
      </c>
      <c r="W247" s="90">
        <f>_xlfn.XLOOKUP($V247,'Risk Charges'!$C$117:$C$128,'Risk Charges'!D$117:D$128,,0)</f>
        <v>0.41299999999999998</v>
      </c>
      <c r="X247" s="90">
        <f>_xlfn.XLOOKUP($V247,'Risk Charges'!$C$117:$C$128,'Risk Charges'!E$117:E$128,,0)</f>
        <v>0.35</v>
      </c>
      <c r="Y247" s="90">
        <f>_xlfn.XLOOKUP($V247,'Risk Charges'!$C$117:$C$128,'Risk Charges'!F$117:F$128,,0)</f>
        <v>0.3</v>
      </c>
      <c r="Z247" s="90">
        <f>_xlfn.XLOOKUP($V247,'Risk Charges'!$C$117:$C$128,'Risk Charges'!G$117:G$128,,0)</f>
        <v>0.25</v>
      </c>
      <c r="AA247" s="90">
        <f>_xlfn.XLOOKUP($V247,'Risk Charges'!$C$132:$C$143,'Risk Charges'!D$132:D$143,,0)</f>
        <v>0.51600000000000001</v>
      </c>
      <c r="AB247" s="90">
        <f>_xlfn.XLOOKUP($V247,'Risk Charges'!$C$132:$C$143,'Risk Charges'!E$132:E$143,,0)</f>
        <v>0.438</v>
      </c>
      <c r="AC247" s="90">
        <f>_xlfn.XLOOKUP($V247,'Risk Charges'!$C$132:$C$143,'Risk Charges'!F$132:F$143,,0)</f>
        <v>0.375</v>
      </c>
      <c r="AD247" s="90">
        <f>_xlfn.XLOOKUP($V247,'Risk Charges'!$C$132:$C$143,'Risk Charges'!G$132:G$143,,0)</f>
        <v>0.313</v>
      </c>
    </row>
    <row r="248" spans="2:30" hidden="1" outlineLevel="1" x14ac:dyDescent="0.3">
      <c r="B248" s="61"/>
      <c r="D248" s="16" t="str">
        <f t="shared" si="30"/>
        <v>Accident &amp; sickness (excluding supplementary health, disability income)</v>
      </c>
      <c r="E248" s="194">
        <f>W248*Input!$F628</f>
        <v>0</v>
      </c>
      <c r="F248" s="194">
        <f>X248*Input!$F628</f>
        <v>0</v>
      </c>
      <c r="G248" s="194">
        <f>Y248*Input!$F628</f>
        <v>0</v>
      </c>
      <c r="H248" s="194">
        <f>Z248*Input!$F628</f>
        <v>0</v>
      </c>
      <c r="I248" s="95"/>
      <c r="J248" s="95"/>
      <c r="K248" s="61"/>
      <c r="M248" s="16" t="str">
        <f t="shared" si="31"/>
        <v>Accident &amp; sickness (excluding supplementary health, disability income)</v>
      </c>
      <c r="N248" s="194">
        <f>AA248*Input!$G628</f>
        <v>0</v>
      </c>
      <c r="O248" s="194">
        <f>AB248*Input!$G628</f>
        <v>0</v>
      </c>
      <c r="P248" s="194">
        <f>AC248*Input!$G628</f>
        <v>0</v>
      </c>
      <c r="Q248" s="194">
        <f>AD248*Input!$G628</f>
        <v>0</v>
      </c>
      <c r="S248" s="11"/>
      <c r="T248" s="94" t="s">
        <v>4144</v>
      </c>
      <c r="U248" s="89" t="s">
        <v>261</v>
      </c>
      <c r="V248" s="74">
        <v>7</v>
      </c>
      <c r="W248" s="90">
        <f>_xlfn.XLOOKUP($V248,'Risk Charges'!$C$117:$C$128,'Risk Charges'!D$117:D$128,,0)</f>
        <v>0.41299999999999998</v>
      </c>
      <c r="X248" s="90">
        <f>_xlfn.XLOOKUP($V248,'Risk Charges'!$C$117:$C$128,'Risk Charges'!E$117:E$128,,0)</f>
        <v>0.35</v>
      </c>
      <c r="Y248" s="90">
        <f>_xlfn.XLOOKUP($V248,'Risk Charges'!$C$117:$C$128,'Risk Charges'!F$117:F$128,,0)</f>
        <v>0.3</v>
      </c>
      <c r="Z248" s="90">
        <f>_xlfn.XLOOKUP($V248,'Risk Charges'!$C$117:$C$128,'Risk Charges'!G$117:G$128,,0)</f>
        <v>0.25</v>
      </c>
      <c r="AA248" s="90">
        <f>_xlfn.XLOOKUP($V248,'Risk Charges'!$C$132:$C$143,'Risk Charges'!D$132:D$143,,0)</f>
        <v>0.51600000000000001</v>
      </c>
      <c r="AB248" s="90">
        <f>_xlfn.XLOOKUP($V248,'Risk Charges'!$C$132:$C$143,'Risk Charges'!E$132:E$143,,0)</f>
        <v>0.438</v>
      </c>
      <c r="AC248" s="90">
        <f>_xlfn.XLOOKUP($V248,'Risk Charges'!$C$132:$C$143,'Risk Charges'!F$132:F$143,,0)</f>
        <v>0.375</v>
      </c>
      <c r="AD248" s="90">
        <f>_xlfn.XLOOKUP($V248,'Risk Charges'!$C$132:$C$143,'Risk Charges'!G$132:G$143,,0)</f>
        <v>0.313</v>
      </c>
    </row>
    <row r="249" spans="2:30" hidden="1" outlineLevel="1" x14ac:dyDescent="0.3">
      <c r="B249" s="61"/>
      <c r="D249" s="16" t="str">
        <f t="shared" si="30"/>
        <v>Supplementary health</v>
      </c>
      <c r="E249" s="194">
        <f>W249*Input!$F629</f>
        <v>0</v>
      </c>
      <c r="F249" s="194">
        <f>X249*Input!$F629</f>
        <v>0</v>
      </c>
      <c r="G249" s="194">
        <f>Y249*Input!$F629</f>
        <v>0</v>
      </c>
      <c r="H249" s="194">
        <f>Z249*Input!$F629</f>
        <v>0</v>
      </c>
      <c r="I249" s="95"/>
      <c r="J249" s="95"/>
      <c r="K249" s="61"/>
      <c r="M249" s="16" t="str">
        <f t="shared" si="31"/>
        <v>Supplementary health</v>
      </c>
      <c r="N249" s="194">
        <f>AA249*Input!$G629</f>
        <v>0</v>
      </c>
      <c r="O249" s="194">
        <f>AB249*Input!$G629</f>
        <v>0</v>
      </c>
      <c r="P249" s="194">
        <f>AC249*Input!$G629</f>
        <v>0</v>
      </c>
      <c r="Q249" s="194">
        <f>AD249*Input!$G629</f>
        <v>0</v>
      </c>
      <c r="R249" s="95"/>
      <c r="S249" s="11"/>
      <c r="T249" s="94" t="s">
        <v>4094</v>
      </c>
      <c r="U249" s="89" t="s">
        <v>261</v>
      </c>
      <c r="V249" s="74">
        <v>2</v>
      </c>
      <c r="W249" s="90">
        <f>_xlfn.XLOOKUP($V249,'Risk Charges'!$C$117:$C$128,'Risk Charges'!D$117:D$128,,0)</f>
        <v>8.3000000000000004E-2</v>
      </c>
      <c r="X249" s="90">
        <f>_xlfn.XLOOKUP($V249,'Risk Charges'!$C$117:$C$128,'Risk Charges'!E$117:E$128,,0)</f>
        <v>7.0000000000000007E-2</v>
      </c>
      <c r="Y249" s="90">
        <f>_xlfn.XLOOKUP($V249,'Risk Charges'!$C$117:$C$128,'Risk Charges'!F$117:F$128,,0)</f>
        <v>0.06</v>
      </c>
      <c r="Z249" s="90">
        <f>_xlfn.XLOOKUP($V249,'Risk Charges'!$C$117:$C$128,'Risk Charges'!G$117:G$128,,0)</f>
        <v>0.05</v>
      </c>
      <c r="AA249" s="90">
        <f>_xlfn.XLOOKUP($V249,'Risk Charges'!$C$132:$C$143,'Risk Charges'!D$132:D$143,,0)</f>
        <v>0.104</v>
      </c>
      <c r="AB249" s="90">
        <f>_xlfn.XLOOKUP($V249,'Risk Charges'!$C$132:$C$143,'Risk Charges'!E$132:E$143,,0)</f>
        <v>8.7999999999999995E-2</v>
      </c>
      <c r="AC249" s="90">
        <f>_xlfn.XLOOKUP($V249,'Risk Charges'!$C$132:$C$143,'Risk Charges'!F$132:F$143,,0)</f>
        <v>7.4999999999999997E-2</v>
      </c>
      <c r="AD249" s="90">
        <f>_xlfn.XLOOKUP($V249,'Risk Charges'!$C$132:$C$143,'Risk Charges'!G$132:G$143,,0)</f>
        <v>6.3E-2</v>
      </c>
    </row>
    <row r="250" spans="2:30" hidden="1" outlineLevel="1" x14ac:dyDescent="0.3">
      <c r="B250" s="61"/>
      <c r="D250" s="16" t="str">
        <f t="shared" si="30"/>
        <v>Aircraft</v>
      </c>
      <c r="E250" s="194">
        <f>W250*Input!$F630</f>
        <v>0</v>
      </c>
      <c r="F250" s="194">
        <f>X250*Input!$F630</f>
        <v>0</v>
      </c>
      <c r="G250" s="194">
        <f>Y250*Input!$F630</f>
        <v>0</v>
      </c>
      <c r="H250" s="194">
        <f>Z250*Input!$F630</f>
        <v>0</v>
      </c>
      <c r="I250" s="95"/>
      <c r="J250" s="95"/>
      <c r="K250" s="61"/>
      <c r="M250" s="16" t="str">
        <f t="shared" si="31"/>
        <v>Aircraft</v>
      </c>
      <c r="N250" s="194">
        <f>AA250*Input!$G630</f>
        <v>0</v>
      </c>
      <c r="O250" s="194">
        <f>AB250*Input!$G630</f>
        <v>0</v>
      </c>
      <c r="P250" s="194">
        <f>AC250*Input!$G630</f>
        <v>0</v>
      </c>
      <c r="Q250" s="194">
        <f>AD250*Input!$G630</f>
        <v>0</v>
      </c>
      <c r="R250" s="95"/>
      <c r="S250" s="11"/>
      <c r="T250" s="94" t="s">
        <v>377</v>
      </c>
      <c r="U250" s="89" t="s">
        <v>411</v>
      </c>
      <c r="V250" s="74">
        <v>8</v>
      </c>
      <c r="W250" s="90">
        <f>_xlfn.XLOOKUP($V250,'Risk Charges'!$C$117:$C$128,'Risk Charges'!D$117:D$128,,0)</f>
        <v>0.495</v>
      </c>
      <c r="X250" s="90">
        <f>_xlfn.XLOOKUP($V250,'Risk Charges'!$C$117:$C$128,'Risk Charges'!E$117:E$128,,0)</f>
        <v>0.42</v>
      </c>
      <c r="Y250" s="90">
        <f>_xlfn.XLOOKUP($V250,'Risk Charges'!$C$117:$C$128,'Risk Charges'!F$117:F$128,,0)</f>
        <v>0.36</v>
      </c>
      <c r="Z250" s="90">
        <f>_xlfn.XLOOKUP($V250,'Risk Charges'!$C$117:$C$128,'Risk Charges'!G$117:G$128,,0)</f>
        <v>0.3</v>
      </c>
      <c r="AA250" s="90">
        <f>_xlfn.XLOOKUP($V250,'Risk Charges'!$C$132:$C$143,'Risk Charges'!D$132:D$143,,0)</f>
        <v>0.61899999999999999</v>
      </c>
      <c r="AB250" s="90">
        <f>_xlfn.XLOOKUP($V250,'Risk Charges'!$C$132:$C$143,'Risk Charges'!E$132:E$143,,0)</f>
        <v>0.52500000000000002</v>
      </c>
      <c r="AC250" s="90">
        <f>_xlfn.XLOOKUP($V250,'Risk Charges'!$C$132:$C$143,'Risk Charges'!F$132:F$143,,0)</f>
        <v>0.45</v>
      </c>
      <c r="AD250" s="90">
        <f>_xlfn.XLOOKUP($V250,'Risk Charges'!$C$132:$C$143,'Risk Charges'!G$132:G$143,,0)</f>
        <v>0.375</v>
      </c>
    </row>
    <row r="251" spans="2:30" hidden="1" outlineLevel="1" x14ac:dyDescent="0.3">
      <c r="B251" s="31"/>
      <c r="D251" s="16" t="str">
        <f t="shared" si="30"/>
        <v>Marine</v>
      </c>
      <c r="E251" s="194">
        <f>W251*Input!$F631</f>
        <v>0</v>
      </c>
      <c r="F251" s="194">
        <f>X251*Input!$F631</f>
        <v>0</v>
      </c>
      <c r="G251" s="194">
        <f>Y251*Input!$F631</f>
        <v>0</v>
      </c>
      <c r="H251" s="194">
        <f>Z251*Input!$F631</f>
        <v>0</v>
      </c>
      <c r="I251" s="95"/>
      <c r="J251" s="95"/>
      <c r="K251" s="31"/>
      <c r="M251" s="16" t="str">
        <f t="shared" si="31"/>
        <v>Marine</v>
      </c>
      <c r="N251" s="194">
        <f>AA251*Input!$G631</f>
        <v>0</v>
      </c>
      <c r="O251" s="194">
        <f>AB251*Input!$G631</f>
        <v>0</v>
      </c>
      <c r="P251" s="194">
        <f>AC251*Input!$G631</f>
        <v>0</v>
      </c>
      <c r="Q251" s="194">
        <f>AD251*Input!$G631</f>
        <v>0</v>
      </c>
      <c r="R251" s="95"/>
      <c r="S251" s="11"/>
      <c r="T251" s="94" t="s">
        <v>384</v>
      </c>
      <c r="U251" s="89" t="s">
        <v>411</v>
      </c>
      <c r="V251" s="74">
        <v>8</v>
      </c>
      <c r="W251" s="90">
        <f>_xlfn.XLOOKUP($V251,'Risk Charges'!$C$117:$C$128,'Risk Charges'!D$117:D$128,,0)</f>
        <v>0.495</v>
      </c>
      <c r="X251" s="90">
        <f>_xlfn.XLOOKUP($V251,'Risk Charges'!$C$117:$C$128,'Risk Charges'!E$117:E$128,,0)</f>
        <v>0.42</v>
      </c>
      <c r="Y251" s="90">
        <f>_xlfn.XLOOKUP($V251,'Risk Charges'!$C$117:$C$128,'Risk Charges'!F$117:F$128,,0)</f>
        <v>0.36</v>
      </c>
      <c r="Z251" s="90">
        <f>_xlfn.XLOOKUP($V251,'Risk Charges'!$C$117:$C$128,'Risk Charges'!G$117:G$128,,0)</f>
        <v>0.3</v>
      </c>
      <c r="AA251" s="90">
        <f>_xlfn.XLOOKUP($V251,'Risk Charges'!$C$132:$C$143,'Risk Charges'!D$132:D$143,,0)</f>
        <v>0.61899999999999999</v>
      </c>
      <c r="AB251" s="90">
        <f>_xlfn.XLOOKUP($V251,'Risk Charges'!$C$132:$C$143,'Risk Charges'!E$132:E$143,,0)</f>
        <v>0.52500000000000002</v>
      </c>
      <c r="AC251" s="90">
        <f>_xlfn.XLOOKUP($V251,'Risk Charges'!$C$132:$C$143,'Risk Charges'!F$132:F$143,,0)</f>
        <v>0.45</v>
      </c>
      <c r="AD251" s="90">
        <f>_xlfn.XLOOKUP($V251,'Risk Charges'!$C$132:$C$143,'Risk Charges'!G$132:G$143,,0)</f>
        <v>0.375</v>
      </c>
    </row>
    <row r="252" spans="2:30" hidden="1" outlineLevel="1" x14ac:dyDescent="0.3">
      <c r="B252" s="11"/>
      <c r="D252" s="16" t="str">
        <f t="shared" si="30"/>
        <v>Marine protection &amp; indemnity</v>
      </c>
      <c r="E252" s="194">
        <f>W252*Input!$F632</f>
        <v>0</v>
      </c>
      <c r="F252" s="194">
        <f>X252*Input!$F632</f>
        <v>0</v>
      </c>
      <c r="G252" s="194">
        <f>Y252*Input!$F632</f>
        <v>0</v>
      </c>
      <c r="H252" s="194">
        <f>Z252*Input!$F632</f>
        <v>0</v>
      </c>
      <c r="I252" s="95"/>
      <c r="J252" s="95"/>
      <c r="K252" s="11"/>
      <c r="M252" s="16" t="str">
        <f t="shared" si="31"/>
        <v>Marine protection &amp; indemnity</v>
      </c>
      <c r="N252" s="194">
        <f>AA252*Input!$G632</f>
        <v>0</v>
      </c>
      <c r="O252" s="194">
        <f>AB252*Input!$G632</f>
        <v>0</v>
      </c>
      <c r="P252" s="194">
        <f>AC252*Input!$G632</f>
        <v>0</v>
      </c>
      <c r="Q252" s="194">
        <f>AD252*Input!$G632</f>
        <v>0</v>
      </c>
      <c r="R252" s="95"/>
      <c r="S252" s="11"/>
      <c r="T252" s="16" t="s">
        <v>4130</v>
      </c>
      <c r="U252" s="89" t="s">
        <v>411</v>
      </c>
      <c r="V252" s="74">
        <v>7</v>
      </c>
      <c r="W252" s="90">
        <f>_xlfn.XLOOKUP($V252,'Risk Charges'!$C$117:$C$128,'Risk Charges'!D$117:D$128,,0)</f>
        <v>0.41299999999999998</v>
      </c>
      <c r="X252" s="90">
        <f>_xlfn.XLOOKUP($V252,'Risk Charges'!$C$117:$C$128,'Risk Charges'!E$117:E$128,,0)</f>
        <v>0.35</v>
      </c>
      <c r="Y252" s="90">
        <f>_xlfn.XLOOKUP($V252,'Risk Charges'!$C$117:$C$128,'Risk Charges'!F$117:F$128,,0)</f>
        <v>0.3</v>
      </c>
      <c r="Z252" s="90">
        <f>_xlfn.XLOOKUP($V252,'Risk Charges'!$C$117:$C$128,'Risk Charges'!G$117:G$128,,0)</f>
        <v>0.25</v>
      </c>
      <c r="AA252" s="90">
        <f>_xlfn.XLOOKUP($V252,'Risk Charges'!$C$132:$C$143,'Risk Charges'!D$132:D$143,,0)</f>
        <v>0.51600000000000001</v>
      </c>
      <c r="AB252" s="90">
        <f>_xlfn.XLOOKUP($V252,'Risk Charges'!$C$132:$C$143,'Risk Charges'!E$132:E$143,,0)</f>
        <v>0.438</v>
      </c>
      <c r="AC252" s="90">
        <f>_xlfn.XLOOKUP($V252,'Risk Charges'!$C$132:$C$143,'Risk Charges'!F$132:F$143,,0)</f>
        <v>0.375</v>
      </c>
      <c r="AD252" s="90">
        <f>_xlfn.XLOOKUP($V252,'Risk Charges'!$C$132:$C$143,'Risk Charges'!G$132:G$143,,0)</f>
        <v>0.313</v>
      </c>
    </row>
    <row r="253" spans="2:30" hidden="1" outlineLevel="1" x14ac:dyDescent="0.3">
      <c r="B253" s="11"/>
      <c r="D253" s="16" t="str">
        <f t="shared" si="30"/>
        <v>Legal expense</v>
      </c>
      <c r="E253" s="194">
        <f>W253*Input!$F633</f>
        <v>0</v>
      </c>
      <c r="F253" s="194">
        <f>X253*Input!$F633</f>
        <v>0</v>
      </c>
      <c r="G253" s="194">
        <f>Y253*Input!$F633</f>
        <v>0</v>
      </c>
      <c r="H253" s="194">
        <f>Z253*Input!$F633</f>
        <v>0</v>
      </c>
      <c r="K253" s="11"/>
      <c r="M253" s="16" t="str">
        <f t="shared" si="31"/>
        <v>Legal expense</v>
      </c>
      <c r="N253" s="194">
        <f>AA253*Input!$G633</f>
        <v>0</v>
      </c>
      <c r="O253" s="194">
        <f>AB253*Input!$G633</f>
        <v>0</v>
      </c>
      <c r="P253" s="194">
        <f>AC253*Input!$G633</f>
        <v>0</v>
      </c>
      <c r="Q253" s="194">
        <f>AD253*Input!$G633</f>
        <v>0</v>
      </c>
      <c r="S253" s="11"/>
      <c r="T253" s="94" t="s">
        <v>988</v>
      </c>
      <c r="U253" s="89" t="s">
        <v>262</v>
      </c>
      <c r="V253" s="74">
        <v>9</v>
      </c>
      <c r="W253" s="90">
        <f>_xlfn.XLOOKUP($V253,'Risk Charges'!$C$117:$C$128,'Risk Charges'!D$117:D$128,,0)</f>
        <v>0.57799999999999996</v>
      </c>
      <c r="X253" s="90">
        <f>_xlfn.XLOOKUP($V253,'Risk Charges'!$C$117:$C$128,'Risk Charges'!E$117:E$128,,0)</f>
        <v>0.49</v>
      </c>
      <c r="Y253" s="90">
        <f>_xlfn.XLOOKUP($V253,'Risk Charges'!$C$117:$C$128,'Risk Charges'!F$117:F$128,,0)</f>
        <v>0.42</v>
      </c>
      <c r="Z253" s="90">
        <f>_xlfn.XLOOKUP($V253,'Risk Charges'!$C$117:$C$128,'Risk Charges'!G$117:G$128,,0)</f>
        <v>0.35</v>
      </c>
      <c r="AA253" s="90">
        <f>_xlfn.XLOOKUP($V253,'Risk Charges'!$C$132:$C$143,'Risk Charges'!D$132:D$143,,0)</f>
        <v>0.72299999999999998</v>
      </c>
      <c r="AB253" s="90">
        <f>_xlfn.XLOOKUP($V253,'Risk Charges'!$C$132:$C$143,'Risk Charges'!E$132:E$143,,0)</f>
        <v>0.61299999999999999</v>
      </c>
      <c r="AC253" s="90">
        <f>_xlfn.XLOOKUP($V253,'Risk Charges'!$C$132:$C$143,'Risk Charges'!F$132:F$143,,0)</f>
        <v>0.52500000000000002</v>
      </c>
      <c r="AD253" s="90">
        <f>_xlfn.XLOOKUP($V253,'Risk Charges'!$C$132:$C$143,'Risk Charges'!G$132:G$143,,0)</f>
        <v>0.438</v>
      </c>
    </row>
    <row r="254" spans="2:30" hidden="1" outlineLevel="1" x14ac:dyDescent="0.3">
      <c r="B254" s="11"/>
      <c r="D254" s="16" t="str">
        <f t="shared" si="30"/>
        <v>Other approved products</v>
      </c>
      <c r="E254" s="194">
        <f>W254*Input!$F634</f>
        <v>0</v>
      </c>
      <c r="F254" s="194">
        <f>X254*Input!$F634</f>
        <v>0</v>
      </c>
      <c r="G254" s="194">
        <f>Y254*Input!$F634</f>
        <v>0</v>
      </c>
      <c r="H254" s="194">
        <f>Z254*Input!$F634</f>
        <v>0</v>
      </c>
      <c r="K254" s="11"/>
      <c r="M254" s="16" t="str">
        <f t="shared" si="31"/>
        <v>Other approved products</v>
      </c>
      <c r="N254" s="194">
        <f>AA254*Input!$G634</f>
        <v>0</v>
      </c>
      <c r="O254" s="194">
        <f>AB254*Input!$G634</f>
        <v>0</v>
      </c>
      <c r="P254" s="194">
        <f>AC254*Input!$G634</f>
        <v>0</v>
      </c>
      <c r="Q254" s="194">
        <f>AD254*Input!$G634</f>
        <v>0</v>
      </c>
      <c r="R254" s="95"/>
      <c r="S254" s="11"/>
      <c r="T254" s="94" t="s">
        <v>1003</v>
      </c>
      <c r="U254" s="89" t="s">
        <v>262</v>
      </c>
      <c r="V254" s="74">
        <v>7</v>
      </c>
      <c r="W254" s="90">
        <f>_xlfn.XLOOKUP($V254,'Risk Charges'!$C$117:$C$128,'Risk Charges'!D$117:D$128,,0)</f>
        <v>0.41299999999999998</v>
      </c>
      <c r="X254" s="90">
        <f>_xlfn.XLOOKUP($V254,'Risk Charges'!$C$117:$C$128,'Risk Charges'!E$117:E$128,,0)</f>
        <v>0.35</v>
      </c>
      <c r="Y254" s="90">
        <f>_xlfn.XLOOKUP($V254,'Risk Charges'!$C$117:$C$128,'Risk Charges'!F$117:F$128,,0)</f>
        <v>0.3</v>
      </c>
      <c r="Z254" s="90">
        <f>_xlfn.XLOOKUP($V254,'Risk Charges'!$C$117:$C$128,'Risk Charges'!G$117:G$128,,0)</f>
        <v>0.25</v>
      </c>
      <c r="AA254" s="90">
        <f>_xlfn.XLOOKUP($V254,'Risk Charges'!$C$132:$C$143,'Risk Charges'!D$132:D$143,,0)</f>
        <v>0.51600000000000001</v>
      </c>
      <c r="AB254" s="90">
        <f>_xlfn.XLOOKUP($V254,'Risk Charges'!$C$132:$C$143,'Risk Charges'!E$132:E$143,,0)</f>
        <v>0.438</v>
      </c>
      <c r="AC254" s="90">
        <f>_xlfn.XLOOKUP($V254,'Risk Charges'!$C$132:$C$143,'Risk Charges'!F$132:F$143,,0)</f>
        <v>0.375</v>
      </c>
      <c r="AD254" s="90">
        <f>_xlfn.XLOOKUP($V254,'Risk Charges'!$C$132:$C$143,'Risk Charges'!G$132:G$143,,0)</f>
        <v>0.313</v>
      </c>
    </row>
    <row r="255" spans="2:30" hidden="1" outlineLevel="1" x14ac:dyDescent="0.3">
      <c r="B255" s="11"/>
      <c r="D255" s="16" t="str">
        <f t="shared" si="30"/>
        <v>Title</v>
      </c>
      <c r="E255" s="194">
        <f>W255*Input!$F635</f>
        <v>0</v>
      </c>
      <c r="F255" s="194">
        <f>X255*Input!$F635</f>
        <v>0</v>
      </c>
      <c r="G255" s="194">
        <f>Y255*Input!$F635</f>
        <v>0</v>
      </c>
      <c r="H255" s="194">
        <f>Z255*Input!$F635</f>
        <v>0</v>
      </c>
      <c r="K255" s="11"/>
      <c r="M255" s="16" t="str">
        <f t="shared" si="31"/>
        <v>Title</v>
      </c>
      <c r="N255" s="194">
        <f>AA255*Input!$G635</f>
        <v>0</v>
      </c>
      <c r="O255" s="194">
        <f>AB255*Input!$G635</f>
        <v>0</v>
      </c>
      <c r="P255" s="194">
        <f>AC255*Input!$G635</f>
        <v>0</v>
      </c>
      <c r="Q255" s="194">
        <f>AD255*Input!$G635</f>
        <v>0</v>
      </c>
      <c r="R255" s="95"/>
      <c r="S255" s="11"/>
      <c r="T255" s="94" t="s">
        <v>385</v>
      </c>
      <c r="U255" s="89" t="s">
        <v>262</v>
      </c>
      <c r="V255" s="74">
        <v>6</v>
      </c>
      <c r="W255" s="90">
        <f>_xlfn.XLOOKUP($V255,'Risk Charges'!$C$117:$C$128,'Risk Charges'!D$117:D$128,,0)</f>
        <v>0.33</v>
      </c>
      <c r="X255" s="90">
        <f>_xlfn.XLOOKUP($V255,'Risk Charges'!$C$117:$C$128,'Risk Charges'!E$117:E$128,,0)</f>
        <v>0.28000000000000003</v>
      </c>
      <c r="Y255" s="90">
        <f>_xlfn.XLOOKUP($V255,'Risk Charges'!$C$117:$C$128,'Risk Charges'!F$117:F$128,,0)</f>
        <v>0.24</v>
      </c>
      <c r="Z255" s="90">
        <f>_xlfn.XLOOKUP($V255,'Risk Charges'!$C$117:$C$128,'Risk Charges'!G$117:G$128,,0)</f>
        <v>0.2</v>
      </c>
      <c r="AA255" s="90">
        <f>_xlfn.XLOOKUP($V255,'Risk Charges'!$C$132:$C$143,'Risk Charges'!D$132:D$143,,0)</f>
        <v>0.41299999999999998</v>
      </c>
      <c r="AB255" s="90">
        <f>_xlfn.XLOOKUP($V255,'Risk Charges'!$C$132:$C$143,'Risk Charges'!E$132:E$143,,0)</f>
        <v>0.35</v>
      </c>
      <c r="AC255" s="90">
        <f>_xlfn.XLOOKUP($V255,'Risk Charges'!$C$132:$C$143,'Risk Charges'!F$132:F$143,,0)</f>
        <v>0.3</v>
      </c>
      <c r="AD255" s="90">
        <f>_xlfn.XLOOKUP($V255,'Risk Charges'!$C$132:$C$143,'Risk Charges'!G$132:G$143,,0)</f>
        <v>0.25</v>
      </c>
    </row>
    <row r="256" spans="2:30" hidden="1" outlineLevel="1" x14ac:dyDescent="0.3">
      <c r="B256" s="11"/>
      <c r="D256" s="16" t="str">
        <f t="shared" si="30"/>
        <v>Warranty</v>
      </c>
      <c r="E256" s="194">
        <f>W256*Input!$F636</f>
        <v>0</v>
      </c>
      <c r="F256" s="194">
        <f>X256*Input!$F636</f>
        <v>0</v>
      </c>
      <c r="G256" s="194">
        <f>Y256*Input!$F636</f>
        <v>0</v>
      </c>
      <c r="H256" s="194">
        <f>Z256*Input!$F636</f>
        <v>0</v>
      </c>
      <c r="K256" s="11"/>
      <c r="M256" s="16" t="str">
        <f t="shared" si="31"/>
        <v>Warranty</v>
      </c>
      <c r="N256" s="194">
        <f>AA256*Input!$G636</f>
        <v>0</v>
      </c>
      <c r="O256" s="194">
        <f>AB256*Input!$G636</f>
        <v>0</v>
      </c>
      <c r="P256" s="194">
        <f>AC256*Input!$G636</f>
        <v>0</v>
      </c>
      <c r="Q256" s="194">
        <f>AD256*Input!$G636</f>
        <v>0</v>
      </c>
      <c r="R256" s="95"/>
      <c r="S256" s="11"/>
      <c r="T256" s="94" t="s">
        <v>380</v>
      </c>
      <c r="U256" s="89" t="s">
        <v>262</v>
      </c>
      <c r="V256" s="74">
        <v>7</v>
      </c>
      <c r="W256" s="90">
        <f>_xlfn.XLOOKUP($V256,'Risk Charges'!$C$117:$C$128,'Risk Charges'!D$117:D$128,,0)</f>
        <v>0.41299999999999998</v>
      </c>
      <c r="X256" s="90">
        <f>_xlfn.XLOOKUP($V256,'Risk Charges'!$C$117:$C$128,'Risk Charges'!E$117:E$128,,0)</f>
        <v>0.35</v>
      </c>
      <c r="Y256" s="90">
        <f>_xlfn.XLOOKUP($V256,'Risk Charges'!$C$117:$C$128,'Risk Charges'!F$117:F$128,,0)</f>
        <v>0.3</v>
      </c>
      <c r="Z256" s="90">
        <f>_xlfn.XLOOKUP($V256,'Risk Charges'!$C$117:$C$128,'Risk Charges'!G$117:G$128,,0)</f>
        <v>0.25</v>
      </c>
      <c r="AA256" s="90">
        <f>_xlfn.XLOOKUP($V256,'Risk Charges'!$C$132:$C$143,'Risk Charges'!D$132:D$143,,0)</f>
        <v>0.51600000000000001</v>
      </c>
      <c r="AB256" s="90">
        <f>_xlfn.XLOOKUP($V256,'Risk Charges'!$C$132:$C$143,'Risk Charges'!E$132:E$143,,0)</f>
        <v>0.438</v>
      </c>
      <c r="AC256" s="90">
        <f>_xlfn.XLOOKUP($V256,'Risk Charges'!$C$132:$C$143,'Risk Charges'!F$132:F$143,,0)</f>
        <v>0.375</v>
      </c>
      <c r="AD256" s="90">
        <f>_xlfn.XLOOKUP($V256,'Risk Charges'!$C$132:$C$143,'Risk Charges'!G$132:G$143,,0)</f>
        <v>0.313</v>
      </c>
    </row>
    <row r="257" spans="2:30" hidden="1" outlineLevel="1" x14ac:dyDescent="0.3">
      <c r="B257" s="11"/>
      <c r="D257" s="16" t="str">
        <f t="shared" si="30"/>
        <v>Other</v>
      </c>
      <c r="E257" s="194">
        <f>W257*Input!$F637</f>
        <v>0</v>
      </c>
      <c r="F257" s="194">
        <f>X257*Input!$F637</f>
        <v>0</v>
      </c>
      <c r="G257" s="194">
        <f>Y257*Input!$F637</f>
        <v>0</v>
      </c>
      <c r="H257" s="194">
        <f>Z257*Input!$F637</f>
        <v>0</v>
      </c>
      <c r="K257" s="11"/>
      <c r="M257" s="16" t="str">
        <f t="shared" si="31"/>
        <v>Other</v>
      </c>
      <c r="N257" s="194">
        <f>AA257*Input!$G637</f>
        <v>0</v>
      </c>
      <c r="O257" s="194">
        <f>AB257*Input!$G637</f>
        <v>0</v>
      </c>
      <c r="P257" s="194">
        <f>AC257*Input!$G637</f>
        <v>0</v>
      </c>
      <c r="Q257" s="194">
        <f>AD257*Input!$G637</f>
        <v>0</v>
      </c>
      <c r="R257" s="95"/>
      <c r="S257" s="11"/>
      <c r="T257" s="16" t="s">
        <v>262</v>
      </c>
      <c r="U257" s="89" t="s">
        <v>262</v>
      </c>
      <c r="V257" s="74">
        <v>10</v>
      </c>
      <c r="W257" s="90">
        <f>_xlfn.XLOOKUP($V257,'Risk Charges'!$C$117:$C$128,'Risk Charges'!D$117:D$128,,0)</f>
        <v>0.66</v>
      </c>
      <c r="X257" s="90">
        <f>_xlfn.XLOOKUP($V257,'Risk Charges'!$C$117:$C$128,'Risk Charges'!E$117:E$128,,0)</f>
        <v>0.56000000000000005</v>
      </c>
      <c r="Y257" s="90">
        <f>_xlfn.XLOOKUP($V257,'Risk Charges'!$C$117:$C$128,'Risk Charges'!F$117:F$128,,0)</f>
        <v>0.48</v>
      </c>
      <c r="Z257" s="90">
        <f>_xlfn.XLOOKUP($V257,'Risk Charges'!$C$117:$C$128,'Risk Charges'!G$117:G$128,,0)</f>
        <v>0.4</v>
      </c>
      <c r="AA257" s="90">
        <f>_xlfn.XLOOKUP($V257,'Risk Charges'!$C$132:$C$143,'Risk Charges'!D$132:D$143,,0)</f>
        <v>0.82499999999999996</v>
      </c>
      <c r="AB257" s="90">
        <f>_xlfn.XLOOKUP($V257,'Risk Charges'!$C$132:$C$143,'Risk Charges'!E$132:E$143,,0)</f>
        <v>0.7</v>
      </c>
      <c r="AC257" s="90">
        <f>_xlfn.XLOOKUP($V257,'Risk Charges'!$C$132:$C$143,'Risk Charges'!F$132:F$143,,0)</f>
        <v>0.6</v>
      </c>
      <c r="AD257" s="90">
        <f>_xlfn.XLOOKUP($V257,'Risk Charges'!$C$132:$C$143,'Risk Charges'!G$132:G$143,,0)</f>
        <v>0.5</v>
      </c>
    </row>
    <row r="258" spans="2:30" hidden="1" outlineLevel="1" x14ac:dyDescent="0.3">
      <c r="B258" s="88" t="s">
        <v>387</v>
      </c>
      <c r="E258" s="194"/>
      <c r="F258" s="194"/>
      <c r="G258" s="194"/>
      <c r="H258" s="194"/>
      <c r="K258" s="88" t="s">
        <v>387</v>
      </c>
      <c r="N258" s="194"/>
      <c r="O258" s="194"/>
      <c r="P258" s="194"/>
      <c r="Q258" s="194"/>
      <c r="R258" s="95"/>
      <c r="S258" s="88" t="s">
        <v>387</v>
      </c>
      <c r="T258" s="16"/>
      <c r="U258" s="89"/>
      <c r="V258" s="93"/>
      <c r="W258" s="90"/>
      <c r="X258" s="90"/>
      <c r="Y258" s="90"/>
      <c r="Z258" s="90"/>
      <c r="AA258" s="90"/>
      <c r="AB258" s="90"/>
      <c r="AC258" s="90"/>
      <c r="AD258" s="90"/>
    </row>
    <row r="259" spans="2:30" hidden="1" outlineLevel="1" x14ac:dyDescent="0.3">
      <c r="B259" s="11"/>
      <c r="D259" s="16" t="str">
        <f t="shared" ref="D259:D279" si="32">T259</f>
        <v>Employers liability</v>
      </c>
      <c r="E259" s="194">
        <f>W259*Input!$F639</f>
        <v>0</v>
      </c>
      <c r="F259" s="194">
        <f>X259*Input!$F639</f>
        <v>0</v>
      </c>
      <c r="G259" s="194">
        <f>Y259*Input!$F639</f>
        <v>0</v>
      </c>
      <c r="H259" s="194">
        <f>Z259*Input!$F639</f>
        <v>0</v>
      </c>
      <c r="K259" s="11"/>
      <c r="M259" s="16" t="str">
        <f t="shared" ref="M259:M279" si="33">T259</f>
        <v>Employers liability</v>
      </c>
      <c r="N259" s="194">
        <f>AA259*Input!$G639</f>
        <v>0</v>
      </c>
      <c r="O259" s="194">
        <f>AB259*Input!$G639</f>
        <v>0</v>
      </c>
      <c r="P259" s="194">
        <f>AC259*Input!$G639</f>
        <v>0</v>
      </c>
      <c r="Q259" s="194">
        <f>AD259*Input!$G639</f>
        <v>0</v>
      </c>
      <c r="R259" s="95"/>
      <c r="S259" s="61"/>
      <c r="T259" s="94" t="s">
        <v>1004</v>
      </c>
      <c r="U259" s="89" t="s">
        <v>260</v>
      </c>
      <c r="V259" s="74">
        <v>6</v>
      </c>
      <c r="W259" s="90">
        <f>_xlfn.XLOOKUP($V259,'Risk Charges'!$C$117:$C$128,'Risk Charges'!D$117:D$128,,0)</f>
        <v>0.33</v>
      </c>
      <c r="X259" s="90">
        <f>_xlfn.XLOOKUP($V259,'Risk Charges'!$C$117:$C$128,'Risk Charges'!E$117:E$128,,0)</f>
        <v>0.28000000000000003</v>
      </c>
      <c r="Y259" s="90">
        <f>_xlfn.XLOOKUP($V259,'Risk Charges'!$C$117:$C$128,'Risk Charges'!F$117:F$128,,0)</f>
        <v>0.24</v>
      </c>
      <c r="Z259" s="90">
        <f>_xlfn.XLOOKUP($V259,'Risk Charges'!$C$117:$C$128,'Risk Charges'!G$117:G$128,,0)</f>
        <v>0.2</v>
      </c>
      <c r="AA259" s="90">
        <f>_xlfn.XLOOKUP($V259,'Risk Charges'!$C$132:$C$143,'Risk Charges'!D$132:D$143,,0)</f>
        <v>0.41299999999999998</v>
      </c>
      <c r="AB259" s="90">
        <f>_xlfn.XLOOKUP($V259,'Risk Charges'!$C$132:$C$143,'Risk Charges'!E$132:E$143,,0)</f>
        <v>0.35</v>
      </c>
      <c r="AC259" s="90">
        <f>_xlfn.XLOOKUP($V259,'Risk Charges'!$C$132:$C$143,'Risk Charges'!F$132:F$143,,0)</f>
        <v>0.3</v>
      </c>
      <c r="AD259" s="90">
        <f>_xlfn.XLOOKUP($V259,'Risk Charges'!$C$132:$C$143,'Risk Charges'!G$132:G$143,,0)</f>
        <v>0.25</v>
      </c>
    </row>
    <row r="260" spans="2:30" hidden="1" outlineLevel="1" x14ac:dyDescent="0.3">
      <c r="B260" s="11"/>
      <c r="D260" s="16" t="str">
        <f t="shared" si="32"/>
        <v>General liability</v>
      </c>
      <c r="E260" s="194">
        <f>W260*Input!$F640</f>
        <v>0</v>
      </c>
      <c r="F260" s="194">
        <f>X260*Input!$F640</f>
        <v>0</v>
      </c>
      <c r="G260" s="194">
        <f>Y260*Input!$F640</f>
        <v>0</v>
      </c>
      <c r="H260" s="194">
        <f>Z260*Input!$F640</f>
        <v>0</v>
      </c>
      <c r="K260" s="11"/>
      <c r="M260" s="16" t="str">
        <f t="shared" si="33"/>
        <v>General liability</v>
      </c>
      <c r="N260" s="194">
        <f>AA260*Input!$G640</f>
        <v>0</v>
      </c>
      <c r="O260" s="194">
        <f>AB260*Input!$G640</f>
        <v>0</v>
      </c>
      <c r="P260" s="194">
        <f>AC260*Input!$G640</f>
        <v>0</v>
      </c>
      <c r="Q260" s="194">
        <f>AD260*Input!$G640</f>
        <v>0</v>
      </c>
      <c r="R260" s="95"/>
      <c r="S260" s="61"/>
      <c r="T260" s="94" t="s">
        <v>978</v>
      </c>
      <c r="U260" s="89" t="s">
        <v>260</v>
      </c>
      <c r="V260" s="74">
        <v>6</v>
      </c>
      <c r="W260" s="90">
        <f>_xlfn.XLOOKUP($V260,'Risk Charges'!$C$117:$C$128,'Risk Charges'!D$117:D$128,,0)</f>
        <v>0.33</v>
      </c>
      <c r="X260" s="90">
        <f>_xlfn.XLOOKUP($V260,'Risk Charges'!$C$117:$C$128,'Risk Charges'!E$117:E$128,,0)</f>
        <v>0.28000000000000003</v>
      </c>
      <c r="Y260" s="90">
        <f>_xlfn.XLOOKUP($V260,'Risk Charges'!$C$117:$C$128,'Risk Charges'!F$117:F$128,,0)</f>
        <v>0.24</v>
      </c>
      <c r="Z260" s="90">
        <f>_xlfn.XLOOKUP($V260,'Risk Charges'!$C$117:$C$128,'Risk Charges'!G$117:G$128,,0)</f>
        <v>0.2</v>
      </c>
      <c r="AA260" s="90">
        <f>_xlfn.XLOOKUP($V260,'Risk Charges'!$C$132:$C$143,'Risk Charges'!D$132:D$143,,0)</f>
        <v>0.41299999999999998</v>
      </c>
      <c r="AB260" s="90">
        <f>_xlfn.XLOOKUP($V260,'Risk Charges'!$C$132:$C$143,'Risk Charges'!E$132:E$143,,0)</f>
        <v>0.35</v>
      </c>
      <c r="AC260" s="90">
        <f>_xlfn.XLOOKUP($V260,'Risk Charges'!$C$132:$C$143,'Risk Charges'!F$132:F$143,,0)</f>
        <v>0.3</v>
      </c>
      <c r="AD260" s="90">
        <f>_xlfn.XLOOKUP($V260,'Risk Charges'!$C$132:$C$143,'Risk Charges'!G$132:G$143,,0)</f>
        <v>0.25</v>
      </c>
    </row>
    <row r="261" spans="2:30" hidden="1" outlineLevel="1" x14ac:dyDescent="0.3">
      <c r="B261" s="11"/>
      <c r="D261" s="16" t="str">
        <f t="shared" si="32"/>
        <v>Professional indemnity</v>
      </c>
      <c r="E261" s="194">
        <f>W261*Input!$F641</f>
        <v>0</v>
      </c>
      <c r="F261" s="194">
        <f>X261*Input!$F641</f>
        <v>0</v>
      </c>
      <c r="G261" s="194">
        <f>Y261*Input!$F641</f>
        <v>0</v>
      </c>
      <c r="H261" s="194">
        <f>Z261*Input!$F641</f>
        <v>0</v>
      </c>
      <c r="K261" s="11"/>
      <c r="M261" s="16" t="str">
        <f t="shared" si="33"/>
        <v>Professional indemnity</v>
      </c>
      <c r="N261" s="194">
        <f>AA261*Input!$G641</f>
        <v>0</v>
      </c>
      <c r="O261" s="194">
        <f>AB261*Input!$G641</f>
        <v>0</v>
      </c>
      <c r="P261" s="194">
        <f>AC261*Input!$G641</f>
        <v>0</v>
      </c>
      <c r="Q261" s="194">
        <f>AD261*Input!$G641</f>
        <v>0</v>
      </c>
      <c r="R261" s="95"/>
      <c r="S261" s="61"/>
      <c r="T261" s="94" t="s">
        <v>1005</v>
      </c>
      <c r="U261" s="89" t="s">
        <v>260</v>
      </c>
      <c r="V261" s="74">
        <v>6</v>
      </c>
      <c r="W261" s="90">
        <f>_xlfn.XLOOKUP($V261,'Risk Charges'!$C$117:$C$128,'Risk Charges'!D$117:D$128,,0)</f>
        <v>0.33</v>
      </c>
      <c r="X261" s="90">
        <f>_xlfn.XLOOKUP($V261,'Risk Charges'!$C$117:$C$128,'Risk Charges'!E$117:E$128,,0)</f>
        <v>0.28000000000000003</v>
      </c>
      <c r="Y261" s="90">
        <f>_xlfn.XLOOKUP($V261,'Risk Charges'!$C$117:$C$128,'Risk Charges'!F$117:F$128,,0)</f>
        <v>0.24</v>
      </c>
      <c r="Z261" s="90">
        <f>_xlfn.XLOOKUP($V261,'Risk Charges'!$C$117:$C$128,'Risk Charges'!G$117:G$128,,0)</f>
        <v>0.2</v>
      </c>
      <c r="AA261" s="90">
        <f>_xlfn.XLOOKUP($V261,'Risk Charges'!$C$132:$C$143,'Risk Charges'!D$132:D$143,,0)</f>
        <v>0.41299999999999998</v>
      </c>
      <c r="AB261" s="90">
        <f>_xlfn.XLOOKUP($V261,'Risk Charges'!$C$132:$C$143,'Risk Charges'!E$132:E$143,,0)</f>
        <v>0.35</v>
      </c>
      <c r="AC261" s="90">
        <f>_xlfn.XLOOKUP($V261,'Risk Charges'!$C$132:$C$143,'Risk Charges'!F$132:F$143,,0)</f>
        <v>0.3</v>
      </c>
      <c r="AD261" s="90">
        <f>_xlfn.XLOOKUP($V261,'Risk Charges'!$C$132:$C$143,'Risk Charges'!G$132:G$143,,0)</f>
        <v>0.25</v>
      </c>
    </row>
    <row r="262" spans="2:30" hidden="1" outlineLevel="1" x14ac:dyDescent="0.3">
      <c r="B262" s="11"/>
      <c r="D262" s="16" t="str">
        <f t="shared" si="32"/>
        <v>Public and product liability</v>
      </c>
      <c r="E262" s="194">
        <f>W262*Input!$F642</f>
        <v>0</v>
      </c>
      <c r="F262" s="194">
        <f>X262*Input!$F642</f>
        <v>0</v>
      </c>
      <c r="G262" s="194">
        <f>Y262*Input!$F642</f>
        <v>0</v>
      </c>
      <c r="H262" s="194">
        <f>Z262*Input!$F642</f>
        <v>0</v>
      </c>
      <c r="K262" s="11"/>
      <c r="M262" s="16" t="str">
        <f t="shared" si="33"/>
        <v>Public and product liability</v>
      </c>
      <c r="N262" s="194">
        <f>AA262*Input!$G642</f>
        <v>0</v>
      </c>
      <c r="O262" s="194">
        <f>AB262*Input!$G642</f>
        <v>0</v>
      </c>
      <c r="P262" s="194">
        <f>AC262*Input!$G642</f>
        <v>0</v>
      </c>
      <c r="Q262" s="194">
        <f>AD262*Input!$G642</f>
        <v>0</v>
      </c>
      <c r="S262" s="31"/>
      <c r="T262" s="16" t="s">
        <v>407</v>
      </c>
      <c r="U262" s="89" t="s">
        <v>260</v>
      </c>
      <c r="V262" s="74">
        <v>7</v>
      </c>
      <c r="W262" s="90">
        <f>_xlfn.XLOOKUP($V262,'Risk Charges'!$C$117:$C$128,'Risk Charges'!D$117:D$128,,0)</f>
        <v>0.41299999999999998</v>
      </c>
      <c r="X262" s="90">
        <f>_xlfn.XLOOKUP($V262,'Risk Charges'!$C$117:$C$128,'Risk Charges'!E$117:E$128,,0)</f>
        <v>0.35</v>
      </c>
      <c r="Y262" s="90">
        <f>_xlfn.XLOOKUP($V262,'Risk Charges'!$C$117:$C$128,'Risk Charges'!F$117:F$128,,0)</f>
        <v>0.3</v>
      </c>
      <c r="Z262" s="90">
        <f>_xlfn.XLOOKUP($V262,'Risk Charges'!$C$117:$C$128,'Risk Charges'!G$117:G$128,,0)</f>
        <v>0.25</v>
      </c>
      <c r="AA262" s="90">
        <f>_xlfn.XLOOKUP($V262,'Risk Charges'!$C$132:$C$143,'Risk Charges'!D$132:D$143,,0)</f>
        <v>0.51600000000000001</v>
      </c>
      <c r="AB262" s="90">
        <f>_xlfn.XLOOKUP($V262,'Risk Charges'!$C$132:$C$143,'Risk Charges'!E$132:E$143,,0)</f>
        <v>0.438</v>
      </c>
      <c r="AC262" s="90">
        <f>_xlfn.XLOOKUP($V262,'Risk Charges'!$C$132:$C$143,'Risk Charges'!F$132:F$143,,0)</f>
        <v>0.375</v>
      </c>
      <c r="AD262" s="90">
        <f>_xlfn.XLOOKUP($V262,'Risk Charges'!$C$132:$C$143,'Risk Charges'!G$132:G$143,,0)</f>
        <v>0.313</v>
      </c>
    </row>
    <row r="263" spans="2:30" hidden="1" outlineLevel="1" x14ac:dyDescent="0.3">
      <c r="B263" s="11"/>
      <c r="D263" s="16" t="str">
        <f t="shared" si="32"/>
        <v>Commercial property</v>
      </c>
      <c r="E263" s="194">
        <f>W263*Input!$F643</f>
        <v>0</v>
      </c>
      <c r="F263" s="194">
        <f>X263*Input!$F643</f>
        <v>0</v>
      </c>
      <c r="G263" s="194">
        <f>Y263*Input!$F643</f>
        <v>0</v>
      </c>
      <c r="H263" s="194">
        <f>Z263*Input!$F643</f>
        <v>0</v>
      </c>
      <c r="K263" s="11"/>
      <c r="M263" s="16" t="str">
        <f t="shared" si="33"/>
        <v>Commercial property</v>
      </c>
      <c r="N263" s="194">
        <f>AA263*Input!$G643</f>
        <v>0</v>
      </c>
      <c r="O263" s="194">
        <f>AB263*Input!$G643</f>
        <v>0</v>
      </c>
      <c r="P263" s="194">
        <f>AC263*Input!$G643</f>
        <v>0</v>
      </c>
      <c r="Q263" s="194">
        <f>AD263*Input!$G643</f>
        <v>0</v>
      </c>
      <c r="R263" s="95"/>
      <c r="S263" s="11"/>
      <c r="T263" s="16" t="s">
        <v>997</v>
      </c>
      <c r="U263" s="89" t="s">
        <v>258</v>
      </c>
      <c r="V263" s="74">
        <v>6</v>
      </c>
      <c r="W263" s="90">
        <f>_xlfn.XLOOKUP($V263,'Risk Charges'!$C$117:$C$128,'Risk Charges'!D$117:D$128,,0)</f>
        <v>0.33</v>
      </c>
      <c r="X263" s="90">
        <f>_xlfn.XLOOKUP($V263,'Risk Charges'!$C$117:$C$128,'Risk Charges'!E$117:E$128,,0)</f>
        <v>0.28000000000000003</v>
      </c>
      <c r="Y263" s="90">
        <f>_xlfn.XLOOKUP($V263,'Risk Charges'!$C$117:$C$128,'Risk Charges'!F$117:F$128,,0)</f>
        <v>0.24</v>
      </c>
      <c r="Z263" s="90">
        <f>_xlfn.XLOOKUP($V263,'Risk Charges'!$C$117:$C$128,'Risk Charges'!G$117:G$128,,0)</f>
        <v>0.2</v>
      </c>
      <c r="AA263" s="90">
        <f>_xlfn.XLOOKUP($V263,'Risk Charges'!$C$132:$C$143,'Risk Charges'!D$132:D$143,,0)</f>
        <v>0.41299999999999998</v>
      </c>
      <c r="AB263" s="90">
        <f>_xlfn.XLOOKUP($V263,'Risk Charges'!$C$132:$C$143,'Risk Charges'!E$132:E$143,,0)</f>
        <v>0.35</v>
      </c>
      <c r="AC263" s="90">
        <f>_xlfn.XLOOKUP($V263,'Risk Charges'!$C$132:$C$143,'Risk Charges'!F$132:F$143,,0)</f>
        <v>0.3</v>
      </c>
      <c r="AD263" s="90">
        <f>_xlfn.XLOOKUP($V263,'Risk Charges'!$C$132:$C$143,'Risk Charges'!G$132:G$143,,0)</f>
        <v>0.25</v>
      </c>
    </row>
    <row r="264" spans="2:30" hidden="1" outlineLevel="1" x14ac:dyDescent="0.3">
      <c r="B264" s="11"/>
      <c r="D264" s="16" t="str">
        <f t="shared" si="32"/>
        <v>Domestic property</v>
      </c>
      <c r="E264" s="194">
        <f>W264*Input!$F644</f>
        <v>0</v>
      </c>
      <c r="F264" s="194">
        <f>X264*Input!$F644</f>
        <v>0</v>
      </c>
      <c r="G264" s="194">
        <f>Y264*Input!$F644</f>
        <v>0</v>
      </c>
      <c r="H264" s="194">
        <f>Z264*Input!$F644</f>
        <v>0</v>
      </c>
      <c r="K264" s="11"/>
      <c r="M264" s="16" t="str">
        <f t="shared" si="33"/>
        <v>Domestic property</v>
      </c>
      <c r="N264" s="194">
        <f>AA264*Input!$G644</f>
        <v>0</v>
      </c>
      <c r="O264" s="194">
        <f>AB264*Input!$G644</f>
        <v>0</v>
      </c>
      <c r="P264" s="194">
        <f>AC264*Input!$G644</f>
        <v>0</v>
      </c>
      <c r="Q264" s="194">
        <f>AD264*Input!$G644</f>
        <v>0</v>
      </c>
      <c r="R264" s="95"/>
      <c r="S264" s="11"/>
      <c r="T264" s="16" t="s">
        <v>1006</v>
      </c>
      <c r="U264" s="89" t="s">
        <v>258</v>
      </c>
      <c r="V264" s="74">
        <v>6</v>
      </c>
      <c r="W264" s="90">
        <f>_xlfn.XLOOKUP($V264,'Risk Charges'!$C$117:$C$128,'Risk Charges'!D$117:D$128,,0)</f>
        <v>0.33</v>
      </c>
      <c r="X264" s="90">
        <f>_xlfn.XLOOKUP($V264,'Risk Charges'!$C$117:$C$128,'Risk Charges'!E$117:E$128,,0)</f>
        <v>0.28000000000000003</v>
      </c>
      <c r="Y264" s="90">
        <f>_xlfn.XLOOKUP($V264,'Risk Charges'!$C$117:$C$128,'Risk Charges'!F$117:F$128,,0)</f>
        <v>0.24</v>
      </c>
      <c r="Z264" s="90">
        <f>_xlfn.XLOOKUP($V264,'Risk Charges'!$C$117:$C$128,'Risk Charges'!G$117:G$128,,0)</f>
        <v>0.2</v>
      </c>
      <c r="AA264" s="90">
        <f>_xlfn.XLOOKUP($V264,'Risk Charges'!$C$132:$C$143,'Risk Charges'!D$132:D$143,,0)</f>
        <v>0.41299999999999998</v>
      </c>
      <c r="AB264" s="90">
        <f>_xlfn.XLOOKUP($V264,'Risk Charges'!$C$132:$C$143,'Risk Charges'!E$132:E$143,,0)</f>
        <v>0.35</v>
      </c>
      <c r="AC264" s="90">
        <f>_xlfn.XLOOKUP($V264,'Risk Charges'!$C$132:$C$143,'Risk Charges'!F$132:F$143,,0)</f>
        <v>0.3</v>
      </c>
      <c r="AD264" s="90">
        <f>_xlfn.XLOOKUP($V264,'Risk Charges'!$C$132:$C$143,'Risk Charges'!G$132:G$143,,0)</f>
        <v>0.25</v>
      </c>
    </row>
    <row r="265" spans="2:30" hidden="1" outlineLevel="1" x14ac:dyDescent="0.3">
      <c r="B265" s="61"/>
      <c r="D265" s="16" t="str">
        <f t="shared" si="32"/>
        <v>Engineering</v>
      </c>
      <c r="E265" s="194">
        <f>W265*Input!$F645</f>
        <v>0</v>
      </c>
      <c r="F265" s="194">
        <f>X265*Input!$F645</f>
        <v>0</v>
      </c>
      <c r="G265" s="194">
        <f>Y265*Input!$F645</f>
        <v>0</v>
      </c>
      <c r="H265" s="194">
        <f>Z265*Input!$F645</f>
        <v>0</v>
      </c>
      <c r="K265" s="61"/>
      <c r="M265" s="16" t="str">
        <f t="shared" si="33"/>
        <v>Engineering</v>
      </c>
      <c r="N265" s="194">
        <f>AA265*Input!$G645</f>
        <v>0</v>
      </c>
      <c r="O265" s="194">
        <f>AB265*Input!$G645</f>
        <v>0</v>
      </c>
      <c r="P265" s="194">
        <f>AC265*Input!$G645</f>
        <v>0</v>
      </c>
      <c r="Q265" s="194">
        <f>AD265*Input!$G645</f>
        <v>0</v>
      </c>
      <c r="R265" s="95"/>
      <c r="S265" s="11"/>
      <c r="T265" s="16" t="s">
        <v>386</v>
      </c>
      <c r="U265" s="89" t="s">
        <v>258</v>
      </c>
      <c r="V265" s="74">
        <v>8</v>
      </c>
      <c r="W265" s="90">
        <f>_xlfn.XLOOKUP($V265,'Risk Charges'!$C$117:$C$128,'Risk Charges'!D$117:D$128,,0)</f>
        <v>0.495</v>
      </c>
      <c r="X265" s="90">
        <f>_xlfn.XLOOKUP($V265,'Risk Charges'!$C$117:$C$128,'Risk Charges'!E$117:E$128,,0)</f>
        <v>0.42</v>
      </c>
      <c r="Y265" s="90">
        <f>_xlfn.XLOOKUP($V265,'Risk Charges'!$C$117:$C$128,'Risk Charges'!F$117:F$128,,0)</f>
        <v>0.36</v>
      </c>
      <c r="Z265" s="90">
        <f>_xlfn.XLOOKUP($V265,'Risk Charges'!$C$117:$C$128,'Risk Charges'!G$117:G$128,,0)</f>
        <v>0.3</v>
      </c>
      <c r="AA265" s="90">
        <f>_xlfn.XLOOKUP($V265,'Risk Charges'!$C$132:$C$143,'Risk Charges'!D$132:D$143,,0)</f>
        <v>0.61899999999999999</v>
      </c>
      <c r="AB265" s="90">
        <f>_xlfn.XLOOKUP($V265,'Risk Charges'!$C$132:$C$143,'Risk Charges'!E$132:E$143,,0)</f>
        <v>0.52500000000000002</v>
      </c>
      <c r="AC265" s="90">
        <f>_xlfn.XLOOKUP($V265,'Risk Charges'!$C$132:$C$143,'Risk Charges'!F$132:F$143,,0)</f>
        <v>0.45</v>
      </c>
      <c r="AD265" s="90">
        <f>_xlfn.XLOOKUP($V265,'Risk Charges'!$C$132:$C$143,'Risk Charges'!G$132:G$143,,0)</f>
        <v>0.375</v>
      </c>
    </row>
    <row r="266" spans="2:30" hidden="1" outlineLevel="1" x14ac:dyDescent="0.3">
      <c r="B266" s="61"/>
      <c r="D266" s="16" t="str">
        <f t="shared" si="32"/>
        <v>Commercial motor - Australia and New Zealand</v>
      </c>
      <c r="E266" s="194">
        <f>W266*Input!$F646</f>
        <v>0</v>
      </c>
      <c r="F266" s="194">
        <f>X266*Input!$F646</f>
        <v>0</v>
      </c>
      <c r="G266" s="194">
        <f>Y266*Input!$F646</f>
        <v>0</v>
      </c>
      <c r="H266" s="194">
        <f>Z266*Input!$F646</f>
        <v>0</v>
      </c>
      <c r="K266" s="61"/>
      <c r="M266" s="16" t="str">
        <f t="shared" si="33"/>
        <v>Commercial motor - Australia and New Zealand</v>
      </c>
      <c r="N266" s="194">
        <f>AA266*Input!$G646</f>
        <v>0</v>
      </c>
      <c r="O266" s="194">
        <f>AB266*Input!$G646</f>
        <v>0</v>
      </c>
      <c r="P266" s="194">
        <f>AC266*Input!$G646</f>
        <v>0</v>
      </c>
      <c r="Q266" s="194">
        <f>AD266*Input!$G646</f>
        <v>0</v>
      </c>
      <c r="R266" s="95"/>
      <c r="S266" s="11"/>
      <c r="T266" s="16" t="s">
        <v>1027</v>
      </c>
      <c r="U266" s="89" t="s">
        <v>259</v>
      </c>
      <c r="V266" s="74">
        <v>4</v>
      </c>
      <c r="W266" s="90">
        <f>_xlfn.XLOOKUP($V266,'Risk Charges'!$C$117:$C$128,'Risk Charges'!D$117:D$128,,0)</f>
        <v>0.16500000000000001</v>
      </c>
      <c r="X266" s="90">
        <f>_xlfn.XLOOKUP($V266,'Risk Charges'!$C$117:$C$128,'Risk Charges'!E$117:E$128,,0)</f>
        <v>0.14000000000000001</v>
      </c>
      <c r="Y266" s="90">
        <f>_xlfn.XLOOKUP($V266,'Risk Charges'!$C$117:$C$128,'Risk Charges'!F$117:F$128,,0)</f>
        <v>0.12</v>
      </c>
      <c r="Z266" s="90">
        <f>_xlfn.XLOOKUP($V266,'Risk Charges'!$C$117:$C$128,'Risk Charges'!G$117:G$128,,0)</f>
        <v>0.1</v>
      </c>
      <c r="AA266" s="90">
        <f>_xlfn.XLOOKUP($V266,'Risk Charges'!$C$132:$C$143,'Risk Charges'!D$132:D$143,,0)</f>
        <v>0.20599999999999999</v>
      </c>
      <c r="AB266" s="90">
        <f>_xlfn.XLOOKUP($V266,'Risk Charges'!$C$132:$C$143,'Risk Charges'!E$132:E$143,,0)</f>
        <v>0.17499999999999999</v>
      </c>
      <c r="AC266" s="90">
        <f>_xlfn.XLOOKUP($V266,'Risk Charges'!$C$132:$C$143,'Risk Charges'!F$132:F$143,,0)</f>
        <v>0.15</v>
      </c>
      <c r="AD266" s="90">
        <f>_xlfn.XLOOKUP($V266,'Risk Charges'!$C$132:$C$143,'Risk Charges'!G$132:G$143,,0)</f>
        <v>0.125</v>
      </c>
    </row>
    <row r="267" spans="2:30" hidden="1" outlineLevel="1" x14ac:dyDescent="0.3">
      <c r="D267" s="16" t="str">
        <f t="shared" si="32"/>
        <v>Domestic motor - Australia and New Zealand</v>
      </c>
      <c r="E267" s="194">
        <f>W267*Input!$F647</f>
        <v>0</v>
      </c>
      <c r="F267" s="194">
        <f>X267*Input!$F647</f>
        <v>0</v>
      </c>
      <c r="G267" s="194">
        <f>Y267*Input!$F647</f>
        <v>0</v>
      </c>
      <c r="H267" s="194">
        <f>Z267*Input!$F647</f>
        <v>0</v>
      </c>
      <c r="M267" s="16" t="str">
        <f t="shared" si="33"/>
        <v>Domestic motor - Australia and New Zealand</v>
      </c>
      <c r="N267" s="194">
        <f>AA267*Input!$G647</f>
        <v>0</v>
      </c>
      <c r="O267" s="194">
        <f>AB267*Input!$G647</f>
        <v>0</v>
      </c>
      <c r="P267" s="194">
        <f>AC267*Input!$G647</f>
        <v>0</v>
      </c>
      <c r="Q267" s="194">
        <f>AD267*Input!$G647</f>
        <v>0</v>
      </c>
      <c r="R267" s="95"/>
      <c r="S267" s="11"/>
      <c r="T267" s="16" t="s">
        <v>1028</v>
      </c>
      <c r="U267" s="89" t="s">
        <v>259</v>
      </c>
      <c r="V267" s="74">
        <v>4</v>
      </c>
      <c r="W267" s="90">
        <f>_xlfn.XLOOKUP($V267,'Risk Charges'!$C$117:$C$128,'Risk Charges'!D$117:D$128,,0)</f>
        <v>0.16500000000000001</v>
      </c>
      <c r="X267" s="90">
        <f>_xlfn.XLOOKUP($V267,'Risk Charges'!$C$117:$C$128,'Risk Charges'!E$117:E$128,,0)</f>
        <v>0.14000000000000001</v>
      </c>
      <c r="Y267" s="90">
        <f>_xlfn.XLOOKUP($V267,'Risk Charges'!$C$117:$C$128,'Risk Charges'!F$117:F$128,,0)</f>
        <v>0.12</v>
      </c>
      <c r="Z267" s="90">
        <f>_xlfn.XLOOKUP($V267,'Risk Charges'!$C$117:$C$128,'Risk Charges'!G$117:G$128,,0)</f>
        <v>0.1</v>
      </c>
      <c r="AA267" s="90">
        <f>_xlfn.XLOOKUP($V267,'Risk Charges'!$C$132:$C$143,'Risk Charges'!D$132:D$143,,0)</f>
        <v>0.20599999999999999</v>
      </c>
      <c r="AB267" s="90">
        <f>_xlfn.XLOOKUP($V267,'Risk Charges'!$C$132:$C$143,'Risk Charges'!E$132:E$143,,0)</f>
        <v>0.17499999999999999</v>
      </c>
      <c r="AC267" s="90">
        <f>_xlfn.XLOOKUP($V267,'Risk Charges'!$C$132:$C$143,'Risk Charges'!F$132:F$143,,0)</f>
        <v>0.15</v>
      </c>
      <c r="AD267" s="90">
        <f>_xlfn.XLOOKUP($V267,'Risk Charges'!$C$132:$C$143,'Risk Charges'!G$132:G$143,,0)</f>
        <v>0.125</v>
      </c>
    </row>
    <row r="268" spans="2:30" hidden="1" outlineLevel="1" x14ac:dyDescent="0.3">
      <c r="D268" s="16" t="str">
        <f t="shared" si="32"/>
        <v>Motor - all inclusive</v>
      </c>
      <c r="E268" s="194">
        <f>W268*Input!$F648</f>
        <v>0</v>
      </c>
      <c r="F268" s="194">
        <f>X268*Input!$F648</f>
        <v>0</v>
      </c>
      <c r="G268" s="194">
        <f>Y268*Input!$F648</f>
        <v>0</v>
      </c>
      <c r="H268" s="194">
        <f>Z268*Input!$F648</f>
        <v>0</v>
      </c>
      <c r="M268" s="16" t="str">
        <f t="shared" si="33"/>
        <v>Motor - all inclusive</v>
      </c>
      <c r="N268" s="194">
        <f>AA268*Input!$G648</f>
        <v>0</v>
      </c>
      <c r="O268" s="194">
        <f>AB268*Input!$G648</f>
        <v>0</v>
      </c>
      <c r="P268" s="194">
        <f>AC268*Input!$G648</f>
        <v>0</v>
      </c>
      <c r="Q268" s="194">
        <f>AD268*Input!$G648</f>
        <v>0</v>
      </c>
      <c r="R268" s="95"/>
      <c r="S268" s="11"/>
      <c r="T268" s="98" t="s">
        <v>1007</v>
      </c>
      <c r="U268" s="89" t="s">
        <v>259</v>
      </c>
      <c r="V268" s="74">
        <v>5</v>
      </c>
      <c r="W268" s="90">
        <f>_xlfn.XLOOKUP($V268,'Risk Charges'!$C$117:$C$128,'Risk Charges'!D$117:D$128,,0)</f>
        <v>0.248</v>
      </c>
      <c r="X268" s="90">
        <f>_xlfn.XLOOKUP($V268,'Risk Charges'!$C$117:$C$128,'Risk Charges'!E$117:E$128,,0)</f>
        <v>0.21</v>
      </c>
      <c r="Y268" s="90">
        <f>_xlfn.XLOOKUP($V268,'Risk Charges'!$C$117:$C$128,'Risk Charges'!F$117:F$128,,0)</f>
        <v>0.18</v>
      </c>
      <c r="Z268" s="90">
        <f>_xlfn.XLOOKUP($V268,'Risk Charges'!$C$117:$C$128,'Risk Charges'!G$117:G$128,,0)</f>
        <v>0.15</v>
      </c>
      <c r="AA268" s="90">
        <f>_xlfn.XLOOKUP($V268,'Risk Charges'!$C$132:$C$143,'Risk Charges'!D$132:D$143,,0)</f>
        <v>0.31</v>
      </c>
      <c r="AB268" s="90">
        <f>_xlfn.XLOOKUP($V268,'Risk Charges'!$C$132:$C$143,'Risk Charges'!E$132:E$143,,0)</f>
        <v>0.26300000000000001</v>
      </c>
      <c r="AC268" s="90">
        <f>_xlfn.XLOOKUP($V268,'Risk Charges'!$C$132:$C$143,'Risk Charges'!F$132:F$143,,0)</f>
        <v>0.22500000000000001</v>
      </c>
      <c r="AD268" s="90">
        <f>_xlfn.XLOOKUP($V268,'Risk Charges'!$C$132:$C$143,'Risk Charges'!G$132:G$143,,0)</f>
        <v>0.188</v>
      </c>
    </row>
    <row r="269" spans="2:30" hidden="1" outlineLevel="1" x14ac:dyDescent="0.3">
      <c r="B269" s="61"/>
      <c r="D269" s="16" t="str">
        <f t="shared" si="32"/>
        <v>Motor - Japan and Taiwan</v>
      </c>
      <c r="E269" s="194">
        <f>W269*Input!$F649</f>
        <v>0</v>
      </c>
      <c r="F269" s="194">
        <f>X269*Input!$F649</f>
        <v>0</v>
      </c>
      <c r="G269" s="194">
        <f>Y269*Input!$F649</f>
        <v>0</v>
      </c>
      <c r="H269" s="194">
        <f>Z269*Input!$F649</f>
        <v>0</v>
      </c>
      <c r="K269" s="61"/>
      <c r="M269" s="16" t="str">
        <f t="shared" si="33"/>
        <v>Motor - Japan and Taiwan</v>
      </c>
      <c r="N269" s="194">
        <f>AA269*Input!$G649</f>
        <v>0</v>
      </c>
      <c r="O269" s="194">
        <f>AB269*Input!$G649</f>
        <v>0</v>
      </c>
      <c r="P269" s="194">
        <f>AC269*Input!$G649</f>
        <v>0</v>
      </c>
      <c r="Q269" s="194">
        <f>AD269*Input!$G649</f>
        <v>0</v>
      </c>
      <c r="R269" s="95"/>
      <c r="S269" s="11"/>
      <c r="T269" s="98" t="s">
        <v>4095</v>
      </c>
      <c r="U269" s="89" t="s">
        <v>259</v>
      </c>
      <c r="V269" s="74">
        <v>4</v>
      </c>
      <c r="W269" s="90">
        <f>_xlfn.XLOOKUP($V269,'Risk Charges'!$C$117:$C$128,'Risk Charges'!D$117:D$128,,0)</f>
        <v>0.16500000000000001</v>
      </c>
      <c r="X269" s="90">
        <f>_xlfn.XLOOKUP($V269,'Risk Charges'!$C$117:$C$128,'Risk Charges'!E$117:E$128,,0)</f>
        <v>0.14000000000000001</v>
      </c>
      <c r="Y269" s="90">
        <f>_xlfn.XLOOKUP($V269,'Risk Charges'!$C$117:$C$128,'Risk Charges'!F$117:F$128,,0)</f>
        <v>0.12</v>
      </c>
      <c r="Z269" s="90">
        <f>_xlfn.XLOOKUP($V269,'Risk Charges'!$C$117:$C$128,'Risk Charges'!G$117:G$128,,0)</f>
        <v>0.1</v>
      </c>
      <c r="AA269" s="90">
        <f>_xlfn.XLOOKUP($V269,'Risk Charges'!$C$132:$C$143,'Risk Charges'!D$132:D$143,,0)</f>
        <v>0.20599999999999999</v>
      </c>
      <c r="AB269" s="90">
        <f>_xlfn.XLOOKUP($V269,'Risk Charges'!$C$132:$C$143,'Risk Charges'!E$132:E$143,,0)</f>
        <v>0.17499999999999999</v>
      </c>
      <c r="AC269" s="90">
        <f>_xlfn.XLOOKUP($V269,'Risk Charges'!$C$132:$C$143,'Risk Charges'!F$132:F$143,,0)</f>
        <v>0.15</v>
      </c>
      <c r="AD269" s="90">
        <f>_xlfn.XLOOKUP($V269,'Risk Charges'!$C$132:$C$143,'Risk Charges'!G$132:G$143,,0)</f>
        <v>0.125</v>
      </c>
    </row>
    <row r="270" spans="2:30" hidden="1" outlineLevel="1" x14ac:dyDescent="0.3">
      <c r="B270" s="61"/>
      <c r="D270" s="16" t="str">
        <f t="shared" si="32"/>
        <v>Third party liability motor</v>
      </c>
      <c r="E270" s="194">
        <f>W270*Input!$F650</f>
        <v>0</v>
      </c>
      <c r="F270" s="194">
        <f>X270*Input!$F650</f>
        <v>0</v>
      </c>
      <c r="G270" s="194">
        <f>Y270*Input!$F650</f>
        <v>0</v>
      </c>
      <c r="H270" s="194">
        <f>Z270*Input!$F650</f>
        <v>0</v>
      </c>
      <c r="K270" s="61"/>
      <c r="M270" s="16" t="str">
        <f t="shared" si="33"/>
        <v>Third party liability motor</v>
      </c>
      <c r="N270" s="194">
        <f>AA270*Input!$G650</f>
        <v>0</v>
      </c>
      <c r="O270" s="194">
        <f>AB270*Input!$G650</f>
        <v>0</v>
      </c>
      <c r="P270" s="194">
        <f>AC270*Input!$G650</f>
        <v>0</v>
      </c>
      <c r="Q270" s="194">
        <f>AD270*Input!$G650</f>
        <v>0</v>
      </c>
      <c r="R270" s="95"/>
      <c r="S270" s="11"/>
      <c r="T270" s="16" t="s">
        <v>1008</v>
      </c>
      <c r="U270" s="89" t="s">
        <v>259</v>
      </c>
      <c r="V270" s="74">
        <v>6</v>
      </c>
      <c r="W270" s="90">
        <f>_xlfn.XLOOKUP($V270,'Risk Charges'!$C$117:$C$128,'Risk Charges'!D$117:D$128,,0)</f>
        <v>0.33</v>
      </c>
      <c r="X270" s="90">
        <f>_xlfn.XLOOKUP($V270,'Risk Charges'!$C$117:$C$128,'Risk Charges'!E$117:E$128,,0)</f>
        <v>0.28000000000000003</v>
      </c>
      <c r="Y270" s="90">
        <f>_xlfn.XLOOKUP($V270,'Risk Charges'!$C$117:$C$128,'Risk Charges'!F$117:F$128,,0)</f>
        <v>0.24</v>
      </c>
      <c r="Z270" s="90">
        <f>_xlfn.XLOOKUP($V270,'Risk Charges'!$C$117:$C$128,'Risk Charges'!G$117:G$128,,0)</f>
        <v>0.2</v>
      </c>
      <c r="AA270" s="90">
        <f>_xlfn.XLOOKUP($V270,'Risk Charges'!$C$132:$C$143,'Risk Charges'!D$132:D$143,,0)</f>
        <v>0.41299999999999998</v>
      </c>
      <c r="AB270" s="90">
        <f>_xlfn.XLOOKUP($V270,'Risk Charges'!$C$132:$C$143,'Risk Charges'!E$132:E$143,,0)</f>
        <v>0.35</v>
      </c>
      <c r="AC270" s="90">
        <f>_xlfn.XLOOKUP($V270,'Risk Charges'!$C$132:$C$143,'Risk Charges'!F$132:F$143,,0)</f>
        <v>0.3</v>
      </c>
      <c r="AD270" s="90">
        <f>_xlfn.XLOOKUP($V270,'Risk Charges'!$C$132:$C$143,'Risk Charges'!G$132:G$143,,0)</f>
        <v>0.25</v>
      </c>
    </row>
    <row r="271" spans="2:30" hidden="1" outlineLevel="1" x14ac:dyDescent="0.3">
      <c r="B271" s="61"/>
      <c r="D271" s="16" t="str">
        <f t="shared" si="32"/>
        <v>Consumer credit</v>
      </c>
      <c r="E271" s="194">
        <f>W271*Input!$F651</f>
        <v>0</v>
      </c>
      <c r="F271" s="194">
        <f>X271*Input!$F651</f>
        <v>0</v>
      </c>
      <c r="G271" s="194">
        <f>Y271*Input!$F651</f>
        <v>0</v>
      </c>
      <c r="H271" s="194">
        <f>Z271*Input!$F651</f>
        <v>0</v>
      </c>
      <c r="K271" s="61"/>
      <c r="M271" s="16" t="str">
        <f t="shared" si="33"/>
        <v>Consumer credit</v>
      </c>
      <c r="N271" s="194">
        <f>AA271*Input!$G651</f>
        <v>0</v>
      </c>
      <c r="O271" s="194">
        <f>AB271*Input!$G651</f>
        <v>0</v>
      </c>
      <c r="P271" s="194">
        <f>AC271*Input!$G651</f>
        <v>0</v>
      </c>
      <c r="Q271" s="194">
        <f>AD271*Input!$G651</f>
        <v>0</v>
      </c>
      <c r="R271" s="16"/>
      <c r="S271" s="11"/>
      <c r="T271" s="94" t="s">
        <v>1009</v>
      </c>
      <c r="U271" s="89" t="s">
        <v>9</v>
      </c>
      <c r="V271" s="74">
        <v>5</v>
      </c>
      <c r="W271" s="90">
        <f>_xlfn.XLOOKUP($V271,'Risk Charges'!$C$117:$C$128,'Risk Charges'!D$117:D$128,,0)</f>
        <v>0.248</v>
      </c>
      <c r="X271" s="90">
        <f>_xlfn.XLOOKUP($V271,'Risk Charges'!$C$117:$C$128,'Risk Charges'!E$117:E$128,,0)</f>
        <v>0.21</v>
      </c>
      <c r="Y271" s="90">
        <f>_xlfn.XLOOKUP($V271,'Risk Charges'!$C$117:$C$128,'Risk Charges'!F$117:F$128,,0)</f>
        <v>0.18</v>
      </c>
      <c r="Z271" s="90">
        <f>_xlfn.XLOOKUP($V271,'Risk Charges'!$C$117:$C$128,'Risk Charges'!G$117:G$128,,0)</f>
        <v>0.15</v>
      </c>
      <c r="AA271" s="90">
        <f>_xlfn.XLOOKUP($V271,'Risk Charges'!$C$132:$C$143,'Risk Charges'!D$132:D$143,,0)</f>
        <v>0.31</v>
      </c>
      <c r="AB271" s="90">
        <f>_xlfn.XLOOKUP($V271,'Risk Charges'!$C$132:$C$143,'Risk Charges'!E$132:E$143,,0)</f>
        <v>0.26300000000000001</v>
      </c>
      <c r="AC271" s="90">
        <f>_xlfn.XLOOKUP($V271,'Risk Charges'!$C$132:$C$143,'Risk Charges'!F$132:F$143,,0)</f>
        <v>0.22500000000000001</v>
      </c>
      <c r="AD271" s="90">
        <f>_xlfn.XLOOKUP($V271,'Risk Charges'!$C$132:$C$143,'Risk Charges'!G$132:G$143,,0)</f>
        <v>0.188</v>
      </c>
    </row>
    <row r="272" spans="2:30" hidden="1" outlineLevel="1" x14ac:dyDescent="0.3">
      <c r="B272" s="31"/>
      <c r="D272" s="16" t="str">
        <f t="shared" si="32"/>
        <v>Credit</v>
      </c>
      <c r="E272" s="194">
        <f>W272*Input!$F652</f>
        <v>0</v>
      </c>
      <c r="F272" s="194">
        <f>X272*Input!$F652</f>
        <v>0</v>
      </c>
      <c r="G272" s="194">
        <f>Y272*Input!$F652</f>
        <v>0</v>
      </c>
      <c r="H272" s="194">
        <f>Z272*Input!$F652</f>
        <v>0</v>
      </c>
      <c r="K272" s="31"/>
      <c r="M272" s="16" t="str">
        <f t="shared" si="33"/>
        <v>Credit</v>
      </c>
      <c r="N272" s="194">
        <f>AA272*Input!$G652</f>
        <v>0</v>
      </c>
      <c r="O272" s="194">
        <f>AB272*Input!$G652</f>
        <v>0</v>
      </c>
      <c r="P272" s="194">
        <f>AC272*Input!$G652</f>
        <v>0</v>
      </c>
      <c r="Q272" s="194">
        <f>AD272*Input!$G652</f>
        <v>0</v>
      </c>
      <c r="S272" s="11"/>
      <c r="T272" s="16" t="s">
        <v>374</v>
      </c>
      <c r="U272" s="89" t="s">
        <v>9</v>
      </c>
      <c r="V272" s="74">
        <v>8</v>
      </c>
      <c r="W272" s="90">
        <f>_xlfn.XLOOKUP($V272,'Risk Charges'!$C$117:$C$128,'Risk Charges'!D$117:D$128,,0)</f>
        <v>0.495</v>
      </c>
      <c r="X272" s="90">
        <f>_xlfn.XLOOKUP($V272,'Risk Charges'!$C$117:$C$128,'Risk Charges'!E$117:E$128,,0)</f>
        <v>0.42</v>
      </c>
      <c r="Y272" s="90">
        <f>_xlfn.XLOOKUP($V272,'Risk Charges'!$C$117:$C$128,'Risk Charges'!F$117:F$128,,0)</f>
        <v>0.36</v>
      </c>
      <c r="Z272" s="90">
        <f>_xlfn.XLOOKUP($V272,'Risk Charges'!$C$117:$C$128,'Risk Charges'!G$117:G$128,,0)</f>
        <v>0.3</v>
      </c>
      <c r="AA272" s="90">
        <f>_xlfn.XLOOKUP($V272,'Risk Charges'!$C$132:$C$143,'Risk Charges'!D$132:D$143,,0)</f>
        <v>0.61899999999999999</v>
      </c>
      <c r="AB272" s="90">
        <f>_xlfn.XLOOKUP($V272,'Risk Charges'!$C$132:$C$143,'Risk Charges'!E$132:E$143,,0)</f>
        <v>0.52500000000000002</v>
      </c>
      <c r="AC272" s="90">
        <f>_xlfn.XLOOKUP($V272,'Risk Charges'!$C$132:$C$143,'Risk Charges'!F$132:F$143,,0)</f>
        <v>0.45</v>
      </c>
      <c r="AD272" s="90">
        <f>_xlfn.XLOOKUP($V272,'Risk Charges'!$C$132:$C$143,'Risk Charges'!G$132:G$143,,0)</f>
        <v>0.375</v>
      </c>
    </row>
    <row r="273" spans="2:30" hidden="1" outlineLevel="1" x14ac:dyDescent="0.3">
      <c r="B273" s="11"/>
      <c r="D273" s="16" t="str">
        <f t="shared" si="32"/>
        <v>Accident and health</v>
      </c>
      <c r="E273" s="194">
        <f>W273*Input!$F653</f>
        <v>0</v>
      </c>
      <c r="F273" s="194">
        <f>X273*Input!$F653</f>
        <v>0</v>
      </c>
      <c r="G273" s="194">
        <f>Y273*Input!$F653</f>
        <v>0</v>
      </c>
      <c r="H273" s="194">
        <f>Z273*Input!$F653</f>
        <v>0</v>
      </c>
      <c r="K273" s="11"/>
      <c r="M273" s="16" t="str">
        <f t="shared" si="33"/>
        <v>Accident and health</v>
      </c>
      <c r="N273" s="194">
        <f>AA273*Input!$G653</f>
        <v>0</v>
      </c>
      <c r="O273" s="194">
        <f>AB273*Input!$G653</f>
        <v>0</v>
      </c>
      <c r="P273" s="194">
        <f>AC273*Input!$G653</f>
        <v>0</v>
      </c>
      <c r="Q273" s="194">
        <f>AD273*Input!$G653</f>
        <v>0</v>
      </c>
      <c r="S273" s="11"/>
      <c r="T273" s="94" t="s">
        <v>1022</v>
      </c>
      <c r="U273" s="89" t="s">
        <v>261</v>
      </c>
      <c r="V273" s="74">
        <v>4</v>
      </c>
      <c r="W273" s="90">
        <f>_xlfn.XLOOKUP($V273,'Risk Charges'!$C$117:$C$128,'Risk Charges'!D$117:D$128,,0)</f>
        <v>0.16500000000000001</v>
      </c>
      <c r="X273" s="90">
        <f>_xlfn.XLOOKUP($V273,'Risk Charges'!$C$117:$C$128,'Risk Charges'!E$117:E$128,,0)</f>
        <v>0.14000000000000001</v>
      </c>
      <c r="Y273" s="90">
        <f>_xlfn.XLOOKUP($V273,'Risk Charges'!$C$117:$C$128,'Risk Charges'!F$117:F$128,,0)</f>
        <v>0.12</v>
      </c>
      <c r="Z273" s="90">
        <f>_xlfn.XLOOKUP($V273,'Risk Charges'!$C$117:$C$128,'Risk Charges'!G$117:G$128,,0)</f>
        <v>0.1</v>
      </c>
      <c r="AA273" s="90">
        <f>_xlfn.XLOOKUP($V273,'Risk Charges'!$C$132:$C$143,'Risk Charges'!D$132:D$143,,0)</f>
        <v>0.20599999999999999</v>
      </c>
      <c r="AB273" s="90">
        <f>_xlfn.XLOOKUP($V273,'Risk Charges'!$C$132:$C$143,'Risk Charges'!E$132:E$143,,0)</f>
        <v>0.17499999999999999</v>
      </c>
      <c r="AC273" s="90">
        <f>_xlfn.XLOOKUP($V273,'Risk Charges'!$C$132:$C$143,'Risk Charges'!F$132:F$143,,0)</f>
        <v>0.15</v>
      </c>
      <c r="AD273" s="90">
        <f>_xlfn.XLOOKUP($V273,'Risk Charges'!$C$132:$C$143,'Risk Charges'!G$132:G$143,,0)</f>
        <v>0.125</v>
      </c>
    </row>
    <row r="274" spans="2:30" hidden="1" outlineLevel="1" x14ac:dyDescent="0.3">
      <c r="B274" s="11"/>
      <c r="D274" s="16" t="str">
        <f t="shared" si="32"/>
        <v>Health</v>
      </c>
      <c r="E274" s="194">
        <f>W274*Input!$F654</f>
        <v>0</v>
      </c>
      <c r="F274" s="194">
        <f>X274*Input!$F654</f>
        <v>0</v>
      </c>
      <c r="G274" s="194">
        <f>Y274*Input!$F654</f>
        <v>0</v>
      </c>
      <c r="H274" s="194">
        <f>Z274*Input!$F654</f>
        <v>0</v>
      </c>
      <c r="K274" s="11"/>
      <c r="M274" s="16" t="str">
        <f t="shared" si="33"/>
        <v>Health</v>
      </c>
      <c r="N274" s="194">
        <f>AA274*Input!$G654</f>
        <v>0</v>
      </c>
      <c r="O274" s="194">
        <f>AB274*Input!$G654</f>
        <v>0</v>
      </c>
      <c r="P274" s="194">
        <f>AC274*Input!$G654</f>
        <v>0</v>
      </c>
      <c r="Q274" s="194">
        <f>AD274*Input!$G654</f>
        <v>0</v>
      </c>
      <c r="S274" s="11"/>
      <c r="T274" s="16" t="s">
        <v>261</v>
      </c>
      <c r="U274" s="89" t="s">
        <v>261</v>
      </c>
      <c r="V274" s="74">
        <v>3</v>
      </c>
      <c r="W274" s="90">
        <f>_xlfn.XLOOKUP($V274,'Risk Charges'!$C$117:$C$128,'Risk Charges'!D$117:D$128,,0)</f>
        <v>0.124</v>
      </c>
      <c r="X274" s="90">
        <f>_xlfn.XLOOKUP($V274,'Risk Charges'!$C$117:$C$128,'Risk Charges'!E$117:E$128,,0)</f>
        <v>0.105</v>
      </c>
      <c r="Y274" s="90">
        <f>_xlfn.XLOOKUP($V274,'Risk Charges'!$C$117:$C$128,'Risk Charges'!F$117:F$128,,0)</f>
        <v>0.09</v>
      </c>
      <c r="Z274" s="90">
        <f>_xlfn.XLOOKUP($V274,'Risk Charges'!$C$117:$C$128,'Risk Charges'!G$117:G$128,,0)</f>
        <v>7.4999999999999997E-2</v>
      </c>
      <c r="AA274" s="90">
        <f>_xlfn.XLOOKUP($V274,'Risk Charges'!$C$132:$C$143,'Risk Charges'!D$132:D$143,,0)</f>
        <v>0.155</v>
      </c>
      <c r="AB274" s="90">
        <f>_xlfn.XLOOKUP($V274,'Risk Charges'!$C$132:$C$143,'Risk Charges'!E$132:E$143,,0)</f>
        <v>0.13100000000000001</v>
      </c>
      <c r="AC274" s="90">
        <f>_xlfn.XLOOKUP($V274,'Risk Charges'!$C$132:$C$143,'Risk Charges'!F$132:F$143,,0)</f>
        <v>0.113</v>
      </c>
      <c r="AD274" s="90">
        <f>_xlfn.XLOOKUP($V274,'Risk Charges'!$C$132:$C$143,'Risk Charges'!G$132:G$143,,0)</f>
        <v>9.4E-2</v>
      </c>
    </row>
    <row r="275" spans="2:30" hidden="1" outlineLevel="1" x14ac:dyDescent="0.3">
      <c r="B275" s="11"/>
      <c r="D275" s="16" t="str">
        <f t="shared" si="32"/>
        <v>Marine, aviation - cargo</v>
      </c>
      <c r="E275" s="194">
        <f>W275*Input!$F655</f>
        <v>0</v>
      </c>
      <c r="F275" s="194">
        <f>X275*Input!$F655</f>
        <v>0</v>
      </c>
      <c r="G275" s="194">
        <f>Y275*Input!$F655</f>
        <v>0</v>
      </c>
      <c r="H275" s="194">
        <f>Z275*Input!$F655</f>
        <v>0</v>
      </c>
      <c r="K275" s="11"/>
      <c r="M275" s="16" t="str">
        <f t="shared" si="33"/>
        <v>Marine, aviation - cargo</v>
      </c>
      <c r="N275" s="194">
        <f>AA275*Input!$G655</f>
        <v>0</v>
      </c>
      <c r="O275" s="194">
        <f>AB275*Input!$G655</f>
        <v>0</v>
      </c>
      <c r="P275" s="194">
        <f>AC275*Input!$G655</f>
        <v>0</v>
      </c>
      <c r="Q275" s="194">
        <f>AD275*Input!$G655</f>
        <v>0</v>
      </c>
      <c r="S275" s="11"/>
      <c r="T275" s="94" t="s">
        <v>1010</v>
      </c>
      <c r="U275" s="89" t="s">
        <v>411</v>
      </c>
      <c r="V275" s="74">
        <v>6</v>
      </c>
      <c r="W275" s="90">
        <f>_xlfn.XLOOKUP($V275,'Risk Charges'!$C$117:$C$128,'Risk Charges'!D$117:D$128,,0)</f>
        <v>0.33</v>
      </c>
      <c r="X275" s="90">
        <f>_xlfn.XLOOKUP($V275,'Risk Charges'!$C$117:$C$128,'Risk Charges'!E$117:E$128,,0)</f>
        <v>0.28000000000000003</v>
      </c>
      <c r="Y275" s="90">
        <f>_xlfn.XLOOKUP($V275,'Risk Charges'!$C$117:$C$128,'Risk Charges'!F$117:F$128,,0)</f>
        <v>0.24</v>
      </c>
      <c r="Z275" s="90">
        <f>_xlfn.XLOOKUP($V275,'Risk Charges'!$C$117:$C$128,'Risk Charges'!G$117:G$128,,0)</f>
        <v>0.2</v>
      </c>
      <c r="AA275" s="90">
        <f>_xlfn.XLOOKUP($V275,'Risk Charges'!$C$132:$C$143,'Risk Charges'!D$132:D$143,,0)</f>
        <v>0.41299999999999998</v>
      </c>
      <c r="AB275" s="90">
        <f>_xlfn.XLOOKUP($V275,'Risk Charges'!$C$132:$C$143,'Risk Charges'!E$132:E$143,,0)</f>
        <v>0.35</v>
      </c>
      <c r="AC275" s="90">
        <f>_xlfn.XLOOKUP($V275,'Risk Charges'!$C$132:$C$143,'Risk Charges'!F$132:F$143,,0)</f>
        <v>0.3</v>
      </c>
      <c r="AD275" s="90">
        <f>_xlfn.XLOOKUP($V275,'Risk Charges'!$C$132:$C$143,'Risk Charges'!G$132:G$143,,0)</f>
        <v>0.25</v>
      </c>
    </row>
    <row r="276" spans="2:30" hidden="1" outlineLevel="1" x14ac:dyDescent="0.3">
      <c r="B276" s="11"/>
      <c r="D276" s="16" t="str">
        <f t="shared" si="32"/>
        <v>Marine, aviation - hull</v>
      </c>
      <c r="E276" s="194">
        <f>W276*Input!$F656</f>
        <v>0</v>
      </c>
      <c r="F276" s="194">
        <f>X276*Input!$F656</f>
        <v>0</v>
      </c>
      <c r="G276" s="194">
        <f>Y276*Input!$F656</f>
        <v>0</v>
      </c>
      <c r="H276" s="194">
        <f>Z276*Input!$F656</f>
        <v>0</v>
      </c>
      <c r="K276" s="11"/>
      <c r="M276" s="16" t="str">
        <f t="shared" si="33"/>
        <v>Marine, aviation - hull</v>
      </c>
      <c r="N276" s="194">
        <f>AA276*Input!$G656</f>
        <v>0</v>
      </c>
      <c r="O276" s="194">
        <f>AB276*Input!$G656</f>
        <v>0</v>
      </c>
      <c r="P276" s="194">
        <f>AC276*Input!$G656</f>
        <v>0</v>
      </c>
      <c r="Q276" s="194">
        <f>AD276*Input!$G656</f>
        <v>0</v>
      </c>
      <c r="S276" s="11"/>
      <c r="T276" s="94" t="s">
        <v>1011</v>
      </c>
      <c r="U276" s="89" t="s">
        <v>411</v>
      </c>
      <c r="V276" s="74">
        <v>8</v>
      </c>
      <c r="W276" s="90">
        <f>_xlfn.XLOOKUP($V276,'Risk Charges'!$C$117:$C$128,'Risk Charges'!D$117:D$128,,0)</f>
        <v>0.495</v>
      </c>
      <c r="X276" s="90">
        <f>_xlfn.XLOOKUP($V276,'Risk Charges'!$C$117:$C$128,'Risk Charges'!E$117:E$128,,0)</f>
        <v>0.42</v>
      </c>
      <c r="Y276" s="90">
        <f>_xlfn.XLOOKUP($V276,'Risk Charges'!$C$117:$C$128,'Risk Charges'!F$117:F$128,,0)</f>
        <v>0.36</v>
      </c>
      <c r="Z276" s="90">
        <f>_xlfn.XLOOKUP($V276,'Risk Charges'!$C$117:$C$128,'Risk Charges'!G$117:G$128,,0)</f>
        <v>0.3</v>
      </c>
      <c r="AA276" s="90">
        <f>_xlfn.XLOOKUP($V276,'Risk Charges'!$C$132:$C$143,'Risk Charges'!D$132:D$143,,0)</f>
        <v>0.61899999999999999</v>
      </c>
      <c r="AB276" s="90">
        <f>_xlfn.XLOOKUP($V276,'Risk Charges'!$C$132:$C$143,'Risk Charges'!E$132:E$143,,0)</f>
        <v>0.52500000000000002</v>
      </c>
      <c r="AC276" s="90">
        <f>_xlfn.XLOOKUP($V276,'Risk Charges'!$C$132:$C$143,'Risk Charges'!F$132:F$143,,0)</f>
        <v>0.45</v>
      </c>
      <c r="AD276" s="90">
        <f>_xlfn.XLOOKUP($V276,'Risk Charges'!$C$132:$C$143,'Risk Charges'!G$132:G$143,,0)</f>
        <v>0.375</v>
      </c>
    </row>
    <row r="277" spans="2:30" hidden="1" outlineLevel="1" x14ac:dyDescent="0.3">
      <c r="B277" s="11"/>
      <c r="D277" s="16" t="str">
        <f t="shared" si="32"/>
        <v>Marine protection &amp; indemnity</v>
      </c>
      <c r="E277" s="194">
        <f>W277*Input!$F657</f>
        <v>0</v>
      </c>
      <c r="F277" s="194">
        <f>X277*Input!$F657</f>
        <v>0</v>
      </c>
      <c r="G277" s="194">
        <f>Y277*Input!$F657</f>
        <v>0</v>
      </c>
      <c r="H277" s="194">
        <f>Z277*Input!$F657</f>
        <v>0</v>
      </c>
      <c r="K277" s="11"/>
      <c r="M277" s="16" t="str">
        <f t="shared" si="33"/>
        <v>Marine protection &amp; indemnity</v>
      </c>
      <c r="N277" s="194">
        <f>AA277*Input!$G657</f>
        <v>0</v>
      </c>
      <c r="O277" s="194">
        <f>AB277*Input!$G657</f>
        <v>0</v>
      </c>
      <c r="P277" s="194">
        <f>AC277*Input!$G657</f>
        <v>0</v>
      </c>
      <c r="Q277" s="194">
        <f>AD277*Input!$G657</f>
        <v>0</v>
      </c>
      <c r="S277" s="11"/>
      <c r="T277" s="16" t="s">
        <v>4130</v>
      </c>
      <c r="U277" s="89" t="s">
        <v>411</v>
      </c>
      <c r="V277" s="74">
        <v>7</v>
      </c>
      <c r="W277" s="90">
        <f>_xlfn.XLOOKUP($V277,'Risk Charges'!$C$117:$C$128,'Risk Charges'!D$117:D$128,,0)</f>
        <v>0.41299999999999998</v>
      </c>
      <c r="X277" s="90">
        <f>_xlfn.XLOOKUP($V277,'Risk Charges'!$C$117:$C$128,'Risk Charges'!E$117:E$128,,0)</f>
        <v>0.35</v>
      </c>
      <c r="Y277" s="90">
        <f>_xlfn.XLOOKUP($V277,'Risk Charges'!$C$117:$C$128,'Risk Charges'!F$117:F$128,,0)</f>
        <v>0.3</v>
      </c>
      <c r="Z277" s="90">
        <f>_xlfn.XLOOKUP($V277,'Risk Charges'!$C$117:$C$128,'Risk Charges'!G$117:G$128,,0)</f>
        <v>0.25</v>
      </c>
      <c r="AA277" s="90">
        <f>_xlfn.XLOOKUP($V277,'Risk Charges'!$C$132:$C$143,'Risk Charges'!D$132:D$143,,0)</f>
        <v>0.51600000000000001</v>
      </c>
      <c r="AB277" s="90">
        <f>_xlfn.XLOOKUP($V277,'Risk Charges'!$C$132:$C$143,'Risk Charges'!E$132:E$143,,0)</f>
        <v>0.438</v>
      </c>
      <c r="AC277" s="90">
        <f>_xlfn.XLOOKUP($V277,'Risk Charges'!$C$132:$C$143,'Risk Charges'!F$132:F$143,,0)</f>
        <v>0.375</v>
      </c>
      <c r="AD277" s="90">
        <f>_xlfn.XLOOKUP($V277,'Risk Charges'!$C$132:$C$143,'Risk Charges'!G$132:G$143,,0)</f>
        <v>0.313</v>
      </c>
    </row>
    <row r="278" spans="2:30" hidden="1" outlineLevel="1" x14ac:dyDescent="0.3">
      <c r="B278" s="11"/>
      <c r="D278" s="16" t="str">
        <f t="shared" si="32"/>
        <v>Travel</v>
      </c>
      <c r="E278" s="194">
        <f>W278*Input!$F658</f>
        <v>0</v>
      </c>
      <c r="F278" s="194">
        <f>X278*Input!$F658</f>
        <v>0</v>
      </c>
      <c r="G278" s="194">
        <f>Y278*Input!$F658</f>
        <v>0</v>
      </c>
      <c r="H278" s="194">
        <f>Z278*Input!$F658</f>
        <v>0</v>
      </c>
      <c r="K278" s="11"/>
      <c r="M278" s="16" t="str">
        <f t="shared" si="33"/>
        <v>Travel</v>
      </c>
      <c r="N278" s="194">
        <f>AA278*Input!$G658</f>
        <v>0</v>
      </c>
      <c r="O278" s="194">
        <f>AB278*Input!$G658</f>
        <v>0</v>
      </c>
      <c r="P278" s="194">
        <f>AC278*Input!$G658</f>
        <v>0</v>
      </c>
      <c r="Q278" s="194">
        <f>AD278*Input!$G658</f>
        <v>0</v>
      </c>
      <c r="S278" s="11"/>
      <c r="T278" s="16" t="s">
        <v>382</v>
      </c>
      <c r="U278" s="89" t="s">
        <v>262</v>
      </c>
      <c r="V278" s="74">
        <v>5</v>
      </c>
      <c r="W278" s="90">
        <f>_xlfn.XLOOKUP($V278,'Risk Charges'!$C$117:$C$128,'Risk Charges'!D$117:D$128,,0)</f>
        <v>0.248</v>
      </c>
      <c r="X278" s="90">
        <f>_xlfn.XLOOKUP($V278,'Risk Charges'!$C$117:$C$128,'Risk Charges'!E$117:E$128,,0)</f>
        <v>0.21</v>
      </c>
      <c r="Y278" s="90">
        <f>_xlfn.XLOOKUP($V278,'Risk Charges'!$C$117:$C$128,'Risk Charges'!F$117:F$128,,0)</f>
        <v>0.18</v>
      </c>
      <c r="Z278" s="90">
        <f>_xlfn.XLOOKUP($V278,'Risk Charges'!$C$117:$C$128,'Risk Charges'!G$117:G$128,,0)</f>
        <v>0.15</v>
      </c>
      <c r="AA278" s="90">
        <f>_xlfn.XLOOKUP($V278,'Risk Charges'!$C$132:$C$143,'Risk Charges'!D$132:D$143,,0)</f>
        <v>0.31</v>
      </c>
      <c r="AB278" s="90">
        <f>_xlfn.XLOOKUP($V278,'Risk Charges'!$C$132:$C$143,'Risk Charges'!E$132:E$143,,0)</f>
        <v>0.26300000000000001</v>
      </c>
      <c r="AC278" s="90">
        <f>_xlfn.XLOOKUP($V278,'Risk Charges'!$C$132:$C$143,'Risk Charges'!F$132:F$143,,0)</f>
        <v>0.22500000000000001</v>
      </c>
      <c r="AD278" s="90">
        <f>_xlfn.XLOOKUP($V278,'Risk Charges'!$C$132:$C$143,'Risk Charges'!G$132:G$143,,0)</f>
        <v>0.188</v>
      </c>
    </row>
    <row r="279" spans="2:30" hidden="1" outlineLevel="1" x14ac:dyDescent="0.3">
      <c r="D279" s="16" t="str">
        <f t="shared" si="32"/>
        <v>Other</v>
      </c>
      <c r="E279" s="194">
        <f>W279*Input!$F659</f>
        <v>0</v>
      </c>
      <c r="F279" s="194">
        <f>X279*Input!$F659</f>
        <v>0</v>
      </c>
      <c r="G279" s="194">
        <f>Y279*Input!$F659</f>
        <v>0</v>
      </c>
      <c r="H279" s="194">
        <f>Z279*Input!$F659</f>
        <v>0</v>
      </c>
      <c r="M279" s="16" t="str">
        <f t="shared" si="33"/>
        <v>Other</v>
      </c>
      <c r="N279" s="194">
        <f>AA279*Input!$G659</f>
        <v>0</v>
      </c>
      <c r="O279" s="194">
        <f>AB279*Input!$G659</f>
        <v>0</v>
      </c>
      <c r="P279" s="194">
        <f>AC279*Input!$G659</f>
        <v>0</v>
      </c>
      <c r="Q279" s="194">
        <f>AD279*Input!$G659</f>
        <v>0</v>
      </c>
      <c r="S279" s="61"/>
      <c r="T279" s="16" t="s">
        <v>262</v>
      </c>
      <c r="U279" s="89" t="s">
        <v>262</v>
      </c>
      <c r="V279" s="74">
        <v>10</v>
      </c>
      <c r="W279" s="90">
        <f>_xlfn.XLOOKUP($V279,'Risk Charges'!$C$117:$C$128,'Risk Charges'!D$117:D$128,,0)</f>
        <v>0.66</v>
      </c>
      <c r="X279" s="90">
        <f>_xlfn.XLOOKUP($V279,'Risk Charges'!$C$117:$C$128,'Risk Charges'!E$117:E$128,,0)</f>
        <v>0.56000000000000005</v>
      </c>
      <c r="Y279" s="90">
        <f>_xlfn.XLOOKUP($V279,'Risk Charges'!$C$117:$C$128,'Risk Charges'!F$117:F$128,,0)</f>
        <v>0.48</v>
      </c>
      <c r="Z279" s="90">
        <f>_xlfn.XLOOKUP($V279,'Risk Charges'!$C$117:$C$128,'Risk Charges'!G$117:G$128,,0)</f>
        <v>0.4</v>
      </c>
      <c r="AA279" s="90">
        <f>_xlfn.XLOOKUP($V279,'Risk Charges'!$C$132:$C$143,'Risk Charges'!D$132:D$143,,0)</f>
        <v>0.82499999999999996</v>
      </c>
      <c r="AB279" s="90">
        <f>_xlfn.XLOOKUP($V279,'Risk Charges'!$C$132:$C$143,'Risk Charges'!E$132:E$143,,0)</f>
        <v>0.7</v>
      </c>
      <c r="AC279" s="90">
        <f>_xlfn.XLOOKUP($V279,'Risk Charges'!$C$132:$C$143,'Risk Charges'!F$132:F$143,,0)</f>
        <v>0.6</v>
      </c>
      <c r="AD279" s="90">
        <f>_xlfn.XLOOKUP($V279,'Risk Charges'!$C$132:$C$143,'Risk Charges'!G$132:G$143,,0)</f>
        <v>0.5</v>
      </c>
    </row>
    <row r="280" spans="2:30" hidden="1" outlineLevel="1" x14ac:dyDescent="0.3">
      <c r="B280" s="88" t="s">
        <v>328</v>
      </c>
      <c r="E280" s="194"/>
      <c r="F280" s="194"/>
      <c r="G280" s="194"/>
      <c r="H280" s="194"/>
      <c r="K280" s="88" t="s">
        <v>328</v>
      </c>
      <c r="N280" s="194"/>
      <c r="O280" s="194"/>
      <c r="P280" s="194"/>
      <c r="Q280" s="194"/>
      <c r="S280" s="88" t="s">
        <v>328</v>
      </c>
      <c r="U280" s="89"/>
      <c r="V280" s="74"/>
      <c r="W280" s="90"/>
      <c r="X280" s="90"/>
      <c r="Y280" s="90"/>
      <c r="Z280" s="90"/>
      <c r="AA280" s="90"/>
      <c r="AB280" s="90"/>
      <c r="AC280" s="90"/>
      <c r="AD280" s="90"/>
    </row>
    <row r="281" spans="2:30" hidden="1" outlineLevel="1" x14ac:dyDescent="0.3">
      <c r="B281" s="11"/>
      <c r="D281" s="16" t="str">
        <f t="shared" ref="D281:D299" si="34">T281</f>
        <v>Employers liability</v>
      </c>
      <c r="E281" s="194">
        <f>W281*Input!$F661</f>
        <v>0</v>
      </c>
      <c r="F281" s="194">
        <f>X281*Input!$F661</f>
        <v>0</v>
      </c>
      <c r="G281" s="194">
        <f>Y281*Input!$F661</f>
        <v>0</v>
      </c>
      <c r="H281" s="194">
        <f>Z281*Input!$F661</f>
        <v>0</v>
      </c>
      <c r="K281" s="11"/>
      <c r="M281" s="16" t="str">
        <f t="shared" ref="M281:M299" si="35">T281</f>
        <v>Employers liability</v>
      </c>
      <c r="N281" s="194">
        <f>AA281*Input!$G661</f>
        <v>0</v>
      </c>
      <c r="O281" s="194">
        <f>AB281*Input!$G661</f>
        <v>0</v>
      </c>
      <c r="P281" s="194">
        <f>AC281*Input!$G661</f>
        <v>0</v>
      </c>
      <c r="Q281" s="194">
        <f>AD281*Input!$G661</f>
        <v>0</v>
      </c>
      <c r="S281" s="61"/>
      <c r="T281" s="94" t="s">
        <v>1004</v>
      </c>
      <c r="U281" s="89" t="s">
        <v>260</v>
      </c>
      <c r="V281" s="74">
        <v>6</v>
      </c>
      <c r="W281" s="90">
        <f>_xlfn.XLOOKUP($V281,'Risk Charges'!$C$117:$C$128,'Risk Charges'!D$117:D$128,,0)</f>
        <v>0.33</v>
      </c>
      <c r="X281" s="90">
        <f>_xlfn.XLOOKUP($V281,'Risk Charges'!$C$117:$C$128,'Risk Charges'!E$117:E$128,,0)</f>
        <v>0.28000000000000003</v>
      </c>
      <c r="Y281" s="90">
        <f>_xlfn.XLOOKUP($V281,'Risk Charges'!$C$117:$C$128,'Risk Charges'!F$117:F$128,,0)</f>
        <v>0.24</v>
      </c>
      <c r="Z281" s="90">
        <f>_xlfn.XLOOKUP($V281,'Risk Charges'!$C$117:$C$128,'Risk Charges'!G$117:G$128,,0)</f>
        <v>0.2</v>
      </c>
      <c r="AA281" s="90">
        <f>_xlfn.XLOOKUP($V281,'Risk Charges'!$C$132:$C$143,'Risk Charges'!D$132:D$143,,0)</f>
        <v>0.41299999999999998</v>
      </c>
      <c r="AB281" s="90">
        <f>_xlfn.XLOOKUP($V281,'Risk Charges'!$C$132:$C$143,'Risk Charges'!E$132:E$143,,0)</f>
        <v>0.35</v>
      </c>
      <c r="AC281" s="90">
        <f>_xlfn.XLOOKUP($V281,'Risk Charges'!$C$132:$C$143,'Risk Charges'!F$132:F$143,,0)</f>
        <v>0.3</v>
      </c>
      <c r="AD281" s="90">
        <f>_xlfn.XLOOKUP($V281,'Risk Charges'!$C$132:$C$143,'Risk Charges'!G$132:G$143,,0)</f>
        <v>0.25</v>
      </c>
    </row>
    <row r="282" spans="2:30" hidden="1" outlineLevel="1" x14ac:dyDescent="0.3">
      <c r="B282" s="11"/>
      <c r="D282" s="16" t="str">
        <f t="shared" si="34"/>
        <v>General liability</v>
      </c>
      <c r="E282" s="194">
        <f>W282*Input!$F662</f>
        <v>0</v>
      </c>
      <c r="F282" s="194">
        <f>X282*Input!$F662</f>
        <v>0</v>
      </c>
      <c r="G282" s="194">
        <f>Y282*Input!$F662</f>
        <v>0</v>
      </c>
      <c r="H282" s="194">
        <f>Z282*Input!$F662</f>
        <v>0</v>
      </c>
      <c r="K282" s="11"/>
      <c r="M282" s="16" t="str">
        <f t="shared" si="35"/>
        <v>General liability</v>
      </c>
      <c r="N282" s="194">
        <f>AA282*Input!$G662</f>
        <v>0</v>
      </c>
      <c r="O282" s="194">
        <f>AB282*Input!$G662</f>
        <v>0</v>
      </c>
      <c r="P282" s="194">
        <f>AC282*Input!$G662</f>
        <v>0</v>
      </c>
      <c r="Q282" s="194">
        <f>AD282*Input!$G662</f>
        <v>0</v>
      </c>
      <c r="S282" s="61"/>
      <c r="T282" s="94" t="s">
        <v>978</v>
      </c>
      <c r="U282" s="89" t="s">
        <v>260</v>
      </c>
      <c r="V282" s="74">
        <v>6</v>
      </c>
      <c r="W282" s="90">
        <f>_xlfn.XLOOKUP($V282,'Risk Charges'!$C$117:$C$128,'Risk Charges'!D$117:D$128,,0)</f>
        <v>0.33</v>
      </c>
      <c r="X282" s="90">
        <f>_xlfn.XLOOKUP($V282,'Risk Charges'!$C$117:$C$128,'Risk Charges'!E$117:E$128,,0)</f>
        <v>0.28000000000000003</v>
      </c>
      <c r="Y282" s="90">
        <f>_xlfn.XLOOKUP($V282,'Risk Charges'!$C$117:$C$128,'Risk Charges'!F$117:F$128,,0)</f>
        <v>0.24</v>
      </c>
      <c r="Z282" s="90">
        <f>_xlfn.XLOOKUP($V282,'Risk Charges'!$C$117:$C$128,'Risk Charges'!G$117:G$128,,0)</f>
        <v>0.2</v>
      </c>
      <c r="AA282" s="90">
        <f>_xlfn.XLOOKUP($V282,'Risk Charges'!$C$132:$C$143,'Risk Charges'!D$132:D$143,,0)</f>
        <v>0.41299999999999998</v>
      </c>
      <c r="AB282" s="90">
        <f>_xlfn.XLOOKUP($V282,'Risk Charges'!$C$132:$C$143,'Risk Charges'!E$132:E$143,,0)</f>
        <v>0.35</v>
      </c>
      <c r="AC282" s="90">
        <f>_xlfn.XLOOKUP($V282,'Risk Charges'!$C$132:$C$143,'Risk Charges'!F$132:F$143,,0)</f>
        <v>0.3</v>
      </c>
      <c r="AD282" s="90">
        <f>_xlfn.XLOOKUP($V282,'Risk Charges'!$C$132:$C$143,'Risk Charges'!G$132:G$143,,0)</f>
        <v>0.25</v>
      </c>
    </row>
    <row r="283" spans="2:30" hidden="1" outlineLevel="1" x14ac:dyDescent="0.3">
      <c r="B283" s="11"/>
      <c r="D283" s="16" t="str">
        <f t="shared" si="34"/>
        <v>Professional indemnity</v>
      </c>
      <c r="E283" s="194">
        <f>W283*Input!$F663</f>
        <v>0</v>
      </c>
      <c r="F283" s="194">
        <f>X283*Input!$F663</f>
        <v>0</v>
      </c>
      <c r="G283" s="194">
        <f>Y283*Input!$F663</f>
        <v>0</v>
      </c>
      <c r="H283" s="194">
        <f>Z283*Input!$F663</f>
        <v>0</v>
      </c>
      <c r="K283" s="11"/>
      <c r="M283" s="16" t="str">
        <f t="shared" si="35"/>
        <v>Professional indemnity</v>
      </c>
      <c r="N283" s="194">
        <f>AA283*Input!$G663</f>
        <v>0</v>
      </c>
      <c r="O283" s="194">
        <f>AB283*Input!$G663</f>
        <v>0</v>
      </c>
      <c r="P283" s="194">
        <f>AC283*Input!$G663</f>
        <v>0</v>
      </c>
      <c r="Q283" s="194">
        <f>AD283*Input!$G663</f>
        <v>0</v>
      </c>
      <c r="S283" s="31"/>
      <c r="T283" s="94" t="s">
        <v>1005</v>
      </c>
      <c r="U283" s="89" t="s">
        <v>260</v>
      </c>
      <c r="V283" s="74">
        <v>8</v>
      </c>
      <c r="W283" s="90">
        <f>_xlfn.XLOOKUP($V283,'Risk Charges'!$C$117:$C$128,'Risk Charges'!D$117:D$128,,0)</f>
        <v>0.495</v>
      </c>
      <c r="X283" s="90">
        <f>_xlfn.XLOOKUP($V283,'Risk Charges'!$C$117:$C$128,'Risk Charges'!E$117:E$128,,0)</f>
        <v>0.42</v>
      </c>
      <c r="Y283" s="90">
        <f>_xlfn.XLOOKUP($V283,'Risk Charges'!$C$117:$C$128,'Risk Charges'!F$117:F$128,,0)</f>
        <v>0.36</v>
      </c>
      <c r="Z283" s="90">
        <f>_xlfn.XLOOKUP($V283,'Risk Charges'!$C$117:$C$128,'Risk Charges'!G$117:G$128,,0)</f>
        <v>0.3</v>
      </c>
      <c r="AA283" s="90">
        <f>_xlfn.XLOOKUP($V283,'Risk Charges'!$C$132:$C$143,'Risk Charges'!D$132:D$143,,0)</f>
        <v>0.61899999999999999</v>
      </c>
      <c r="AB283" s="90">
        <f>_xlfn.XLOOKUP($V283,'Risk Charges'!$C$132:$C$143,'Risk Charges'!E$132:E$143,,0)</f>
        <v>0.52500000000000002</v>
      </c>
      <c r="AC283" s="90">
        <f>_xlfn.XLOOKUP($V283,'Risk Charges'!$C$132:$C$143,'Risk Charges'!F$132:F$143,,0)</f>
        <v>0.45</v>
      </c>
      <c r="AD283" s="90">
        <f>_xlfn.XLOOKUP($V283,'Risk Charges'!$C$132:$C$143,'Risk Charges'!G$132:G$143,,0)</f>
        <v>0.375</v>
      </c>
    </row>
    <row r="284" spans="2:30" hidden="1" outlineLevel="1" x14ac:dyDescent="0.3">
      <c r="B284" s="11"/>
      <c r="D284" s="16" t="str">
        <f t="shared" si="34"/>
        <v>Commercial property</v>
      </c>
      <c r="E284" s="194">
        <f>W284*Input!$F664</f>
        <v>0</v>
      </c>
      <c r="F284" s="194">
        <f>X284*Input!$F664</f>
        <v>0</v>
      </c>
      <c r="G284" s="194">
        <f>Y284*Input!$F664</f>
        <v>0</v>
      </c>
      <c r="H284" s="194">
        <f>Z284*Input!$F664</f>
        <v>0</v>
      </c>
      <c r="K284" s="11"/>
      <c r="M284" s="16" t="str">
        <f t="shared" si="35"/>
        <v>Commercial property</v>
      </c>
      <c r="N284" s="194">
        <f>AA284*Input!$G664</f>
        <v>0</v>
      </c>
      <c r="O284" s="194">
        <f>AB284*Input!$G664</f>
        <v>0</v>
      </c>
      <c r="P284" s="194">
        <f>AC284*Input!$G664</f>
        <v>0</v>
      </c>
      <c r="Q284" s="194">
        <f>AD284*Input!$G664</f>
        <v>0</v>
      </c>
      <c r="S284" s="88"/>
      <c r="T284" s="94" t="s">
        <v>997</v>
      </c>
      <c r="U284" s="89" t="s">
        <v>258</v>
      </c>
      <c r="V284" s="74">
        <v>7</v>
      </c>
      <c r="W284" s="90">
        <f>_xlfn.XLOOKUP($V284,'Risk Charges'!$C$117:$C$128,'Risk Charges'!D$117:D$128,,0)</f>
        <v>0.41299999999999998</v>
      </c>
      <c r="X284" s="90">
        <f>_xlfn.XLOOKUP($V284,'Risk Charges'!$C$117:$C$128,'Risk Charges'!E$117:E$128,,0)</f>
        <v>0.35</v>
      </c>
      <c r="Y284" s="90">
        <f>_xlfn.XLOOKUP($V284,'Risk Charges'!$C$117:$C$128,'Risk Charges'!F$117:F$128,,0)</f>
        <v>0.3</v>
      </c>
      <c r="Z284" s="90">
        <f>_xlfn.XLOOKUP($V284,'Risk Charges'!$C$117:$C$128,'Risk Charges'!G$117:G$128,,0)</f>
        <v>0.25</v>
      </c>
      <c r="AA284" s="90">
        <f>_xlfn.XLOOKUP($V284,'Risk Charges'!$C$132:$C$143,'Risk Charges'!D$132:D$143,,0)</f>
        <v>0.51600000000000001</v>
      </c>
      <c r="AB284" s="90">
        <f>_xlfn.XLOOKUP($V284,'Risk Charges'!$C$132:$C$143,'Risk Charges'!E$132:E$143,,0)</f>
        <v>0.438</v>
      </c>
      <c r="AC284" s="90">
        <f>_xlfn.XLOOKUP($V284,'Risk Charges'!$C$132:$C$143,'Risk Charges'!F$132:F$143,,0)</f>
        <v>0.375</v>
      </c>
      <c r="AD284" s="90">
        <f>_xlfn.XLOOKUP($V284,'Risk Charges'!$C$132:$C$143,'Risk Charges'!G$132:G$143,,0)</f>
        <v>0.313</v>
      </c>
    </row>
    <row r="285" spans="2:30" hidden="1" outlineLevel="1" x14ac:dyDescent="0.3">
      <c r="D285" s="16" t="str">
        <f t="shared" si="34"/>
        <v>Domestic property</v>
      </c>
      <c r="E285" s="194">
        <f>W285*Input!$F665</f>
        <v>0</v>
      </c>
      <c r="F285" s="194">
        <f>X285*Input!$F665</f>
        <v>0</v>
      </c>
      <c r="G285" s="194">
        <f>Y285*Input!$F665</f>
        <v>0</v>
      </c>
      <c r="H285" s="194">
        <f>Z285*Input!$F665</f>
        <v>0</v>
      </c>
      <c r="M285" s="16" t="str">
        <f t="shared" si="35"/>
        <v>Domestic property</v>
      </c>
      <c r="N285" s="194">
        <f>AA285*Input!$G665</f>
        <v>0</v>
      </c>
      <c r="O285" s="194">
        <f>AB285*Input!$G665</f>
        <v>0</v>
      </c>
      <c r="P285" s="194">
        <f>AC285*Input!$G665</f>
        <v>0</v>
      </c>
      <c r="Q285" s="194">
        <f>AD285*Input!$G665</f>
        <v>0</v>
      </c>
      <c r="S285" s="88"/>
      <c r="T285" s="94" t="s">
        <v>1006</v>
      </c>
      <c r="U285" s="89" t="s">
        <v>258</v>
      </c>
      <c r="V285" s="74">
        <v>6</v>
      </c>
      <c r="W285" s="90">
        <f>_xlfn.XLOOKUP($V285,'Risk Charges'!$C$117:$C$128,'Risk Charges'!D$117:D$128,,0)</f>
        <v>0.33</v>
      </c>
      <c r="X285" s="90">
        <f>_xlfn.XLOOKUP($V285,'Risk Charges'!$C$117:$C$128,'Risk Charges'!E$117:E$128,,0)</f>
        <v>0.28000000000000003</v>
      </c>
      <c r="Y285" s="90">
        <f>_xlfn.XLOOKUP($V285,'Risk Charges'!$C$117:$C$128,'Risk Charges'!F$117:F$128,,0)</f>
        <v>0.24</v>
      </c>
      <c r="Z285" s="90">
        <f>_xlfn.XLOOKUP($V285,'Risk Charges'!$C$117:$C$128,'Risk Charges'!G$117:G$128,,0)</f>
        <v>0.2</v>
      </c>
      <c r="AA285" s="90">
        <f>_xlfn.XLOOKUP($V285,'Risk Charges'!$C$132:$C$143,'Risk Charges'!D$132:D$143,,0)</f>
        <v>0.41299999999999998</v>
      </c>
      <c r="AB285" s="90">
        <f>_xlfn.XLOOKUP($V285,'Risk Charges'!$C$132:$C$143,'Risk Charges'!E$132:E$143,,0)</f>
        <v>0.35</v>
      </c>
      <c r="AC285" s="90">
        <f>_xlfn.XLOOKUP($V285,'Risk Charges'!$C$132:$C$143,'Risk Charges'!F$132:F$143,,0)</f>
        <v>0.3</v>
      </c>
      <c r="AD285" s="90">
        <f>_xlfn.XLOOKUP($V285,'Risk Charges'!$C$132:$C$143,'Risk Charges'!G$132:G$143,,0)</f>
        <v>0.25</v>
      </c>
    </row>
    <row r="286" spans="2:30" hidden="1" outlineLevel="1" x14ac:dyDescent="0.3">
      <c r="B286" s="11"/>
      <c r="D286" s="16" t="str">
        <f t="shared" si="34"/>
        <v>Mexico farm &amp; ranch</v>
      </c>
      <c r="E286" s="194">
        <f>W286*Input!$F666</f>
        <v>0</v>
      </c>
      <c r="F286" s="194">
        <f>X286*Input!$F666</f>
        <v>0</v>
      </c>
      <c r="G286" s="194">
        <f>Y286*Input!$F666</f>
        <v>0</v>
      </c>
      <c r="H286" s="194">
        <f>Z286*Input!$F666</f>
        <v>0</v>
      </c>
      <c r="K286" s="11"/>
      <c r="M286" s="16" t="str">
        <f t="shared" si="35"/>
        <v>Mexico farm &amp; ranch</v>
      </c>
      <c r="N286" s="194">
        <f>AA286*Input!$G666</f>
        <v>0</v>
      </c>
      <c r="O286" s="194">
        <f>AB286*Input!$G666</f>
        <v>0</v>
      </c>
      <c r="P286" s="194">
        <f>AC286*Input!$G666</f>
        <v>0</v>
      </c>
      <c r="Q286" s="194">
        <f>AD286*Input!$G666</f>
        <v>0</v>
      </c>
      <c r="S286" s="88"/>
      <c r="T286" s="94" t="s">
        <v>1012</v>
      </c>
      <c r="U286" s="89" t="s">
        <v>258</v>
      </c>
      <c r="V286" s="74">
        <v>10</v>
      </c>
      <c r="W286" s="90">
        <f>_xlfn.XLOOKUP($V286,'Risk Charges'!$C$117:$C$128,'Risk Charges'!D$117:D$128,,0)</f>
        <v>0.66</v>
      </c>
      <c r="X286" s="90">
        <f>_xlfn.XLOOKUP($V286,'Risk Charges'!$C$117:$C$128,'Risk Charges'!E$117:E$128,,0)</f>
        <v>0.56000000000000005</v>
      </c>
      <c r="Y286" s="90">
        <f>_xlfn.XLOOKUP($V286,'Risk Charges'!$C$117:$C$128,'Risk Charges'!F$117:F$128,,0)</f>
        <v>0.48</v>
      </c>
      <c r="Z286" s="90">
        <f>_xlfn.XLOOKUP($V286,'Risk Charges'!$C$117:$C$128,'Risk Charges'!G$117:G$128,,0)</f>
        <v>0.4</v>
      </c>
      <c r="AA286" s="90">
        <f>_xlfn.XLOOKUP($V286,'Risk Charges'!$C$132:$C$143,'Risk Charges'!D$132:D$143,,0)</f>
        <v>0.82499999999999996</v>
      </c>
      <c r="AB286" s="90">
        <f>_xlfn.XLOOKUP($V286,'Risk Charges'!$C$132:$C$143,'Risk Charges'!E$132:E$143,,0)</f>
        <v>0.7</v>
      </c>
      <c r="AC286" s="90">
        <f>_xlfn.XLOOKUP($V286,'Risk Charges'!$C$132:$C$143,'Risk Charges'!F$132:F$143,,0)</f>
        <v>0.6</v>
      </c>
      <c r="AD286" s="90">
        <f>_xlfn.XLOOKUP($V286,'Risk Charges'!$C$132:$C$143,'Risk Charges'!G$132:G$143,,0)</f>
        <v>0.5</v>
      </c>
    </row>
    <row r="287" spans="2:30" hidden="1" outlineLevel="1" x14ac:dyDescent="0.3">
      <c r="B287" s="11"/>
      <c r="D287" s="16" t="str">
        <f t="shared" si="34"/>
        <v>Property all inclusive</v>
      </c>
      <c r="E287" s="194">
        <f>W287*Input!$F667</f>
        <v>0</v>
      </c>
      <c r="F287" s="194">
        <f>X287*Input!$F667</f>
        <v>0</v>
      </c>
      <c r="G287" s="194">
        <f>Y287*Input!$F667</f>
        <v>0</v>
      </c>
      <c r="H287" s="194">
        <f>Z287*Input!$F667</f>
        <v>0</v>
      </c>
      <c r="K287" s="11"/>
      <c r="M287" s="16" t="str">
        <f t="shared" si="35"/>
        <v>Property all inclusive</v>
      </c>
      <c r="N287" s="194">
        <f>AA287*Input!$G667</f>
        <v>0</v>
      </c>
      <c r="O287" s="194">
        <f>AB287*Input!$G667</f>
        <v>0</v>
      </c>
      <c r="P287" s="194">
        <f>AC287*Input!$G667</f>
        <v>0</v>
      </c>
      <c r="Q287" s="194">
        <f>AD287*Input!$G667</f>
        <v>0</v>
      </c>
      <c r="S287" s="88"/>
      <c r="T287" s="94" t="s">
        <v>1013</v>
      </c>
      <c r="U287" s="89" t="s">
        <v>258</v>
      </c>
      <c r="V287" s="74">
        <v>7</v>
      </c>
      <c r="W287" s="90">
        <f>_xlfn.XLOOKUP($V287,'Risk Charges'!$C$117:$C$128,'Risk Charges'!D$117:D$128,,0)</f>
        <v>0.41299999999999998</v>
      </c>
      <c r="X287" s="90">
        <f>_xlfn.XLOOKUP($V287,'Risk Charges'!$C$117:$C$128,'Risk Charges'!E$117:E$128,,0)</f>
        <v>0.35</v>
      </c>
      <c r="Y287" s="90">
        <f>_xlfn.XLOOKUP($V287,'Risk Charges'!$C$117:$C$128,'Risk Charges'!F$117:F$128,,0)</f>
        <v>0.3</v>
      </c>
      <c r="Z287" s="90">
        <f>_xlfn.XLOOKUP($V287,'Risk Charges'!$C$117:$C$128,'Risk Charges'!G$117:G$128,,0)</f>
        <v>0.25</v>
      </c>
      <c r="AA287" s="90">
        <f>_xlfn.XLOOKUP($V287,'Risk Charges'!$C$132:$C$143,'Risk Charges'!D$132:D$143,,0)</f>
        <v>0.51600000000000001</v>
      </c>
      <c r="AB287" s="90">
        <f>_xlfn.XLOOKUP($V287,'Risk Charges'!$C$132:$C$143,'Risk Charges'!E$132:E$143,,0)</f>
        <v>0.438</v>
      </c>
      <c r="AC287" s="90">
        <f>_xlfn.XLOOKUP($V287,'Risk Charges'!$C$132:$C$143,'Risk Charges'!F$132:F$143,,0)</f>
        <v>0.375</v>
      </c>
      <c r="AD287" s="90">
        <f>_xlfn.XLOOKUP($V287,'Risk Charges'!$C$132:$C$143,'Risk Charges'!G$132:G$143,,0)</f>
        <v>0.313</v>
      </c>
    </row>
    <row r="288" spans="2:30" hidden="1" outlineLevel="1" x14ac:dyDescent="0.3">
      <c r="B288" s="11"/>
      <c r="D288" s="16" t="str">
        <f t="shared" si="34"/>
        <v>Motor all inclusive</v>
      </c>
      <c r="E288" s="194">
        <f>W288*Input!$F668</f>
        <v>0</v>
      </c>
      <c r="F288" s="194">
        <f>X288*Input!$F668</f>
        <v>0</v>
      </c>
      <c r="G288" s="194">
        <f>Y288*Input!$F668</f>
        <v>0</v>
      </c>
      <c r="H288" s="194">
        <f>Z288*Input!$F668</f>
        <v>0</v>
      </c>
      <c r="K288" s="11"/>
      <c r="M288" s="16" t="str">
        <f t="shared" si="35"/>
        <v>Motor all inclusive</v>
      </c>
      <c r="N288" s="194">
        <f>AA288*Input!$G668</f>
        <v>0</v>
      </c>
      <c r="O288" s="194">
        <f>AB288*Input!$G668</f>
        <v>0</v>
      </c>
      <c r="P288" s="194">
        <f>AC288*Input!$G668</f>
        <v>0</v>
      </c>
      <c r="Q288" s="194">
        <f>AD288*Input!$G668</f>
        <v>0</v>
      </c>
      <c r="S288" s="88"/>
      <c r="T288" s="94" t="s">
        <v>1014</v>
      </c>
      <c r="U288" s="89" t="s">
        <v>259</v>
      </c>
      <c r="V288" s="74">
        <v>5</v>
      </c>
      <c r="W288" s="90">
        <f>_xlfn.XLOOKUP($V288,'Risk Charges'!$C$117:$C$128,'Risk Charges'!D$117:D$128,,0)</f>
        <v>0.248</v>
      </c>
      <c r="X288" s="90">
        <f>_xlfn.XLOOKUP($V288,'Risk Charges'!$C$117:$C$128,'Risk Charges'!E$117:E$128,,0)</f>
        <v>0.21</v>
      </c>
      <c r="Y288" s="90">
        <f>_xlfn.XLOOKUP($V288,'Risk Charges'!$C$117:$C$128,'Risk Charges'!F$117:F$128,,0)</f>
        <v>0.18</v>
      </c>
      <c r="Z288" s="90">
        <f>_xlfn.XLOOKUP($V288,'Risk Charges'!$C$117:$C$128,'Risk Charges'!G$117:G$128,,0)</f>
        <v>0.15</v>
      </c>
      <c r="AA288" s="90">
        <f>_xlfn.XLOOKUP($V288,'Risk Charges'!$C$132:$C$143,'Risk Charges'!D$132:D$143,,0)</f>
        <v>0.31</v>
      </c>
      <c r="AB288" s="90">
        <f>_xlfn.XLOOKUP($V288,'Risk Charges'!$C$132:$C$143,'Risk Charges'!E$132:E$143,,0)</f>
        <v>0.26300000000000001</v>
      </c>
      <c r="AC288" s="90">
        <f>_xlfn.XLOOKUP($V288,'Risk Charges'!$C$132:$C$143,'Risk Charges'!F$132:F$143,,0)</f>
        <v>0.22500000000000001</v>
      </c>
      <c r="AD288" s="90">
        <f>_xlfn.XLOOKUP($V288,'Risk Charges'!$C$132:$C$143,'Risk Charges'!G$132:G$143,,0)</f>
        <v>0.188</v>
      </c>
    </row>
    <row r="289" spans="2:30" hidden="1" outlineLevel="1" x14ac:dyDescent="0.3">
      <c r="D289" s="16" t="str">
        <f t="shared" si="34"/>
        <v>Credit</v>
      </c>
      <c r="E289" s="194">
        <f>W289*Input!$F669</f>
        <v>0</v>
      </c>
      <c r="F289" s="194">
        <f>X289*Input!$F669</f>
        <v>0</v>
      </c>
      <c r="G289" s="194">
        <f>Y289*Input!$F669</f>
        <v>0</v>
      </c>
      <c r="H289" s="194">
        <f>Z289*Input!$F669</f>
        <v>0</v>
      </c>
      <c r="M289" s="16" t="str">
        <f t="shared" si="35"/>
        <v>Credit</v>
      </c>
      <c r="N289" s="194">
        <f>AA289*Input!$G669</f>
        <v>0</v>
      </c>
      <c r="O289" s="194">
        <f>AB289*Input!$G669</f>
        <v>0</v>
      </c>
      <c r="P289" s="194">
        <f>AC289*Input!$G669</f>
        <v>0</v>
      </c>
      <c r="Q289" s="194">
        <f>AD289*Input!$G669</f>
        <v>0</v>
      </c>
      <c r="S289" s="88"/>
      <c r="T289" s="94" t="s">
        <v>374</v>
      </c>
      <c r="U289" s="89" t="s">
        <v>9</v>
      </c>
      <c r="V289" s="74">
        <v>8</v>
      </c>
      <c r="W289" s="90">
        <f>_xlfn.XLOOKUP($V289,'Risk Charges'!$C$117:$C$128,'Risk Charges'!D$117:D$128,,0)</f>
        <v>0.495</v>
      </c>
      <c r="X289" s="90">
        <f>_xlfn.XLOOKUP($V289,'Risk Charges'!$C$117:$C$128,'Risk Charges'!E$117:E$128,,0)</f>
        <v>0.42</v>
      </c>
      <c r="Y289" s="90">
        <f>_xlfn.XLOOKUP($V289,'Risk Charges'!$C$117:$C$128,'Risk Charges'!F$117:F$128,,0)</f>
        <v>0.36</v>
      </c>
      <c r="Z289" s="90">
        <f>_xlfn.XLOOKUP($V289,'Risk Charges'!$C$117:$C$128,'Risk Charges'!G$117:G$128,,0)</f>
        <v>0.3</v>
      </c>
      <c r="AA289" s="90">
        <f>_xlfn.XLOOKUP($V289,'Risk Charges'!$C$132:$C$143,'Risk Charges'!D$132:D$143,,0)</f>
        <v>0.61899999999999999</v>
      </c>
      <c r="AB289" s="90">
        <f>_xlfn.XLOOKUP($V289,'Risk Charges'!$C$132:$C$143,'Risk Charges'!E$132:E$143,,0)</f>
        <v>0.52500000000000002</v>
      </c>
      <c r="AC289" s="90">
        <f>_xlfn.XLOOKUP($V289,'Risk Charges'!$C$132:$C$143,'Risk Charges'!F$132:F$143,,0)</f>
        <v>0.45</v>
      </c>
      <c r="AD289" s="90">
        <f>_xlfn.XLOOKUP($V289,'Risk Charges'!$C$132:$C$143,'Risk Charges'!G$132:G$143,,0)</f>
        <v>0.375</v>
      </c>
    </row>
    <row r="290" spans="2:30" hidden="1" outlineLevel="1" x14ac:dyDescent="0.3">
      <c r="B290" s="61"/>
      <c r="D290" s="16" t="str">
        <f t="shared" si="34"/>
        <v>Fidelity</v>
      </c>
      <c r="E290" s="194">
        <f>W290*Input!$F670</f>
        <v>0</v>
      </c>
      <c r="F290" s="194">
        <f>X290*Input!$F670</f>
        <v>0</v>
      </c>
      <c r="G290" s="194">
        <f>Y290*Input!$F670</f>
        <v>0</v>
      </c>
      <c r="H290" s="194">
        <f>Z290*Input!$F670</f>
        <v>0</v>
      </c>
      <c r="K290" s="61"/>
      <c r="M290" s="16" t="str">
        <f t="shared" si="35"/>
        <v>Fidelity</v>
      </c>
      <c r="N290" s="194">
        <f>AA290*Input!$G670</f>
        <v>0</v>
      </c>
      <c r="O290" s="194">
        <f>AB290*Input!$G670</f>
        <v>0</v>
      </c>
      <c r="P290" s="194">
        <f>AC290*Input!$G670</f>
        <v>0</v>
      </c>
      <c r="Q290" s="194">
        <f>AD290*Input!$G670</f>
        <v>0</v>
      </c>
      <c r="S290" s="88"/>
      <c r="T290" s="94" t="s">
        <v>375</v>
      </c>
      <c r="U290" s="89" t="s">
        <v>9</v>
      </c>
      <c r="V290" s="74">
        <v>8</v>
      </c>
      <c r="W290" s="90">
        <f>_xlfn.XLOOKUP($V290,'Risk Charges'!$C$117:$C$128,'Risk Charges'!D$117:D$128,,0)</f>
        <v>0.495</v>
      </c>
      <c r="X290" s="90">
        <f>_xlfn.XLOOKUP($V290,'Risk Charges'!$C$117:$C$128,'Risk Charges'!E$117:E$128,,0)</f>
        <v>0.42</v>
      </c>
      <c r="Y290" s="90">
        <f>_xlfn.XLOOKUP($V290,'Risk Charges'!$C$117:$C$128,'Risk Charges'!F$117:F$128,,0)</f>
        <v>0.36</v>
      </c>
      <c r="Z290" s="90">
        <f>_xlfn.XLOOKUP($V290,'Risk Charges'!$C$117:$C$128,'Risk Charges'!G$117:G$128,,0)</f>
        <v>0.3</v>
      </c>
      <c r="AA290" s="90">
        <f>_xlfn.XLOOKUP($V290,'Risk Charges'!$C$132:$C$143,'Risk Charges'!D$132:D$143,,0)</f>
        <v>0.61899999999999999</v>
      </c>
      <c r="AB290" s="90">
        <f>_xlfn.XLOOKUP($V290,'Risk Charges'!$C$132:$C$143,'Risk Charges'!E$132:E$143,,0)</f>
        <v>0.52500000000000002</v>
      </c>
      <c r="AC290" s="90">
        <f>_xlfn.XLOOKUP($V290,'Risk Charges'!$C$132:$C$143,'Risk Charges'!F$132:F$143,,0)</f>
        <v>0.45</v>
      </c>
      <c r="AD290" s="90">
        <f>_xlfn.XLOOKUP($V290,'Risk Charges'!$C$132:$C$143,'Risk Charges'!G$132:G$143,,0)</f>
        <v>0.375</v>
      </c>
    </row>
    <row r="291" spans="2:30" hidden="1" outlineLevel="1" x14ac:dyDescent="0.3">
      <c r="B291" s="61"/>
      <c r="D291" s="16" t="str">
        <f t="shared" si="34"/>
        <v>Surety</v>
      </c>
      <c r="E291" s="194">
        <f>W291*Input!$F671</f>
        <v>0</v>
      </c>
      <c r="F291" s="194">
        <f>X291*Input!$F671</f>
        <v>0</v>
      </c>
      <c r="G291" s="194">
        <f>Y291*Input!$F671</f>
        <v>0</v>
      </c>
      <c r="H291" s="194">
        <f>Z291*Input!$F671</f>
        <v>0</v>
      </c>
      <c r="K291" s="61"/>
      <c r="M291" s="16" t="str">
        <f t="shared" si="35"/>
        <v>Surety</v>
      </c>
      <c r="N291" s="194">
        <f>AA291*Input!$G671</f>
        <v>0</v>
      </c>
      <c r="O291" s="194">
        <f>AB291*Input!$G671</f>
        <v>0</v>
      </c>
      <c r="P291" s="194">
        <f>AC291*Input!$G671</f>
        <v>0</v>
      </c>
      <c r="Q291" s="194">
        <f>AD291*Input!$G671</f>
        <v>0</v>
      </c>
      <c r="S291" s="88"/>
      <c r="T291" s="94" t="s">
        <v>376</v>
      </c>
      <c r="U291" s="89" t="s">
        <v>9</v>
      </c>
      <c r="V291" s="74">
        <v>8</v>
      </c>
      <c r="W291" s="90">
        <f>_xlfn.XLOOKUP($V291,'Risk Charges'!$C$117:$C$128,'Risk Charges'!D$117:D$128,,0)</f>
        <v>0.495</v>
      </c>
      <c r="X291" s="90">
        <f>_xlfn.XLOOKUP($V291,'Risk Charges'!$C$117:$C$128,'Risk Charges'!E$117:E$128,,0)</f>
        <v>0.42</v>
      </c>
      <c r="Y291" s="90">
        <f>_xlfn.XLOOKUP($V291,'Risk Charges'!$C$117:$C$128,'Risk Charges'!F$117:F$128,,0)</f>
        <v>0.36</v>
      </c>
      <c r="Z291" s="90">
        <f>_xlfn.XLOOKUP($V291,'Risk Charges'!$C$117:$C$128,'Risk Charges'!G$117:G$128,,0)</f>
        <v>0.3</v>
      </c>
      <c r="AA291" s="90">
        <f>_xlfn.XLOOKUP($V291,'Risk Charges'!$C$132:$C$143,'Risk Charges'!D$132:D$143,,0)</f>
        <v>0.61899999999999999</v>
      </c>
      <c r="AB291" s="90">
        <f>_xlfn.XLOOKUP($V291,'Risk Charges'!$C$132:$C$143,'Risk Charges'!E$132:E$143,,0)</f>
        <v>0.52500000000000002</v>
      </c>
      <c r="AC291" s="90">
        <f>_xlfn.XLOOKUP($V291,'Risk Charges'!$C$132:$C$143,'Risk Charges'!F$132:F$143,,0)</f>
        <v>0.45</v>
      </c>
      <c r="AD291" s="90">
        <f>_xlfn.XLOOKUP($V291,'Risk Charges'!$C$132:$C$143,'Risk Charges'!G$132:G$143,,0)</f>
        <v>0.375</v>
      </c>
    </row>
    <row r="292" spans="2:30" hidden="1" outlineLevel="1" x14ac:dyDescent="0.3">
      <c r="B292" s="31"/>
      <c r="D292" s="16" t="str">
        <f t="shared" si="34"/>
        <v>Accident &amp; health</v>
      </c>
      <c r="E292" s="194">
        <f>W292*Input!$F672</f>
        <v>0</v>
      </c>
      <c r="F292" s="194">
        <f>X292*Input!$F672</f>
        <v>0</v>
      </c>
      <c r="G292" s="194">
        <f>Y292*Input!$F672</f>
        <v>0</v>
      </c>
      <c r="H292" s="194">
        <f>Z292*Input!$F672</f>
        <v>0</v>
      </c>
      <c r="K292" s="31"/>
      <c r="M292" s="16" t="str">
        <f t="shared" si="35"/>
        <v>Accident &amp; health</v>
      </c>
      <c r="N292" s="194">
        <f>AA292*Input!$G672</f>
        <v>0</v>
      </c>
      <c r="O292" s="194">
        <f>AB292*Input!$G672</f>
        <v>0</v>
      </c>
      <c r="P292" s="194">
        <f>AC292*Input!$G672</f>
        <v>0</v>
      </c>
      <c r="Q292" s="194">
        <f>AD292*Input!$G672</f>
        <v>0</v>
      </c>
      <c r="S292" s="88"/>
      <c r="T292" s="94" t="s">
        <v>994</v>
      </c>
      <c r="U292" s="89" t="s">
        <v>261</v>
      </c>
      <c r="V292" s="74">
        <v>6</v>
      </c>
      <c r="W292" s="90">
        <f>_xlfn.XLOOKUP($V292,'Risk Charges'!$C$117:$C$128,'Risk Charges'!D$117:D$128,,0)</f>
        <v>0.33</v>
      </c>
      <c r="X292" s="90">
        <f>_xlfn.XLOOKUP($V292,'Risk Charges'!$C$117:$C$128,'Risk Charges'!E$117:E$128,,0)</f>
        <v>0.28000000000000003</v>
      </c>
      <c r="Y292" s="90">
        <f>_xlfn.XLOOKUP($V292,'Risk Charges'!$C$117:$C$128,'Risk Charges'!F$117:F$128,,0)</f>
        <v>0.24</v>
      </c>
      <c r="Z292" s="90">
        <f>_xlfn.XLOOKUP($V292,'Risk Charges'!$C$117:$C$128,'Risk Charges'!G$117:G$128,,0)</f>
        <v>0.2</v>
      </c>
      <c r="AA292" s="90">
        <f>_xlfn.XLOOKUP($V292,'Risk Charges'!$C$132:$C$143,'Risk Charges'!D$132:D$143,,0)</f>
        <v>0.41299999999999998</v>
      </c>
      <c r="AB292" s="90">
        <f>_xlfn.XLOOKUP($V292,'Risk Charges'!$C$132:$C$143,'Risk Charges'!E$132:E$143,,0)</f>
        <v>0.35</v>
      </c>
      <c r="AC292" s="90">
        <f>_xlfn.XLOOKUP($V292,'Risk Charges'!$C$132:$C$143,'Risk Charges'!F$132:F$143,,0)</f>
        <v>0.3</v>
      </c>
      <c r="AD292" s="90">
        <f>_xlfn.XLOOKUP($V292,'Risk Charges'!$C$132:$C$143,'Risk Charges'!G$132:G$143,,0)</f>
        <v>0.25</v>
      </c>
    </row>
    <row r="293" spans="2:30" hidden="1" outlineLevel="1" x14ac:dyDescent="0.3">
      <c r="B293" s="88"/>
      <c r="D293" s="16" t="str">
        <f t="shared" si="34"/>
        <v>Health &amp; medical exp</v>
      </c>
      <c r="E293" s="194">
        <f>W293*Input!$F673</f>
        <v>0</v>
      </c>
      <c r="F293" s="194">
        <f>X293*Input!$F673</f>
        <v>0</v>
      </c>
      <c r="G293" s="194">
        <f>Y293*Input!$F673</f>
        <v>0</v>
      </c>
      <c r="H293" s="194">
        <f>Z293*Input!$F673</f>
        <v>0</v>
      </c>
      <c r="K293" s="88"/>
      <c r="M293" s="16" t="str">
        <f t="shared" si="35"/>
        <v>Health &amp; medical exp</v>
      </c>
      <c r="N293" s="194">
        <f>AA293*Input!$G673</f>
        <v>0</v>
      </c>
      <c r="O293" s="194">
        <f>AB293*Input!$G673</f>
        <v>0</v>
      </c>
      <c r="P293" s="194">
        <f>AC293*Input!$G673</f>
        <v>0</v>
      </c>
      <c r="Q293" s="194">
        <f>AD293*Input!$G673</f>
        <v>0</v>
      </c>
      <c r="S293" s="88"/>
      <c r="T293" s="94" t="s">
        <v>1015</v>
      </c>
      <c r="U293" s="89" t="s">
        <v>261</v>
      </c>
      <c r="V293" s="74">
        <v>3</v>
      </c>
      <c r="W293" s="90">
        <f>_xlfn.XLOOKUP($V293,'Risk Charges'!$C$117:$C$128,'Risk Charges'!D$117:D$128,,0)</f>
        <v>0.124</v>
      </c>
      <c r="X293" s="90">
        <f>_xlfn.XLOOKUP($V293,'Risk Charges'!$C$117:$C$128,'Risk Charges'!E$117:E$128,,0)</f>
        <v>0.105</v>
      </c>
      <c r="Y293" s="90">
        <f>_xlfn.XLOOKUP($V293,'Risk Charges'!$C$117:$C$128,'Risk Charges'!F$117:F$128,,0)</f>
        <v>0.09</v>
      </c>
      <c r="Z293" s="90">
        <f>_xlfn.XLOOKUP($V293,'Risk Charges'!$C$117:$C$128,'Risk Charges'!G$117:G$128,,0)</f>
        <v>7.4999999999999997E-2</v>
      </c>
      <c r="AA293" s="90">
        <f>_xlfn.XLOOKUP($V293,'Risk Charges'!$C$132:$C$143,'Risk Charges'!D$132:D$143,,0)</f>
        <v>0.155</v>
      </c>
      <c r="AB293" s="90">
        <f>_xlfn.XLOOKUP($V293,'Risk Charges'!$C$132:$C$143,'Risk Charges'!E$132:E$143,,0)</f>
        <v>0.13100000000000001</v>
      </c>
      <c r="AC293" s="90">
        <f>_xlfn.XLOOKUP($V293,'Risk Charges'!$C$132:$C$143,'Risk Charges'!F$132:F$143,,0)</f>
        <v>0.113</v>
      </c>
      <c r="AD293" s="90">
        <f>_xlfn.XLOOKUP($V293,'Risk Charges'!$C$132:$C$143,'Risk Charges'!G$132:G$143,,0)</f>
        <v>9.4E-2</v>
      </c>
    </row>
    <row r="294" spans="2:30" hidden="1" outlineLevel="1" x14ac:dyDescent="0.3">
      <c r="B294" s="88"/>
      <c r="D294" s="16" t="str">
        <f t="shared" si="34"/>
        <v>Marine aviation - all inclusive</v>
      </c>
      <c r="E294" s="194">
        <f>W294*Input!$F674</f>
        <v>0</v>
      </c>
      <c r="F294" s="194">
        <f>X294*Input!$F674</f>
        <v>0</v>
      </c>
      <c r="G294" s="194">
        <f>Y294*Input!$F674</f>
        <v>0</v>
      </c>
      <c r="H294" s="194">
        <f>Z294*Input!$F674</f>
        <v>0</v>
      </c>
      <c r="K294" s="88"/>
      <c r="M294" s="16" t="str">
        <f t="shared" si="35"/>
        <v>Marine aviation - all inclusive</v>
      </c>
      <c r="N294" s="194">
        <f>AA294*Input!$G674</f>
        <v>0</v>
      </c>
      <c r="O294" s="194">
        <f>AB294*Input!$G674</f>
        <v>0</v>
      </c>
      <c r="P294" s="194">
        <f>AC294*Input!$G674</f>
        <v>0</v>
      </c>
      <c r="Q294" s="194">
        <f>AD294*Input!$G674</f>
        <v>0</v>
      </c>
      <c r="S294" s="18"/>
      <c r="T294" s="94" t="s">
        <v>1023</v>
      </c>
      <c r="U294" s="89" t="s">
        <v>411</v>
      </c>
      <c r="V294" s="74">
        <v>7</v>
      </c>
      <c r="W294" s="90">
        <f>_xlfn.XLOOKUP($V294,'Risk Charges'!$C$117:$C$128,'Risk Charges'!D$117:D$128,,0)</f>
        <v>0.41299999999999998</v>
      </c>
      <c r="X294" s="90">
        <f>_xlfn.XLOOKUP($V294,'Risk Charges'!$C$117:$C$128,'Risk Charges'!E$117:E$128,,0)</f>
        <v>0.35</v>
      </c>
      <c r="Y294" s="90">
        <f>_xlfn.XLOOKUP($V294,'Risk Charges'!$C$117:$C$128,'Risk Charges'!F$117:F$128,,0)</f>
        <v>0.3</v>
      </c>
      <c r="Z294" s="90">
        <f>_xlfn.XLOOKUP($V294,'Risk Charges'!$C$117:$C$128,'Risk Charges'!G$117:G$128,,0)</f>
        <v>0.25</v>
      </c>
      <c r="AA294" s="90">
        <f>_xlfn.XLOOKUP($V294,'Risk Charges'!$C$132:$C$143,'Risk Charges'!D$132:D$143,,0)</f>
        <v>0.51600000000000001</v>
      </c>
      <c r="AB294" s="90">
        <f>_xlfn.XLOOKUP($V294,'Risk Charges'!$C$132:$C$143,'Risk Charges'!E$132:E$143,,0)</f>
        <v>0.438</v>
      </c>
      <c r="AC294" s="90">
        <f>_xlfn.XLOOKUP($V294,'Risk Charges'!$C$132:$C$143,'Risk Charges'!F$132:F$143,,0)</f>
        <v>0.375</v>
      </c>
      <c r="AD294" s="90">
        <f>_xlfn.XLOOKUP($V294,'Risk Charges'!$C$132:$C$143,'Risk Charges'!G$132:G$143,,0)</f>
        <v>0.313</v>
      </c>
    </row>
    <row r="295" spans="2:30" hidden="1" outlineLevel="1" x14ac:dyDescent="0.3">
      <c r="B295" s="88"/>
      <c r="D295" s="16" t="str">
        <f t="shared" si="34"/>
        <v>Marine aviation - cargo</v>
      </c>
      <c r="E295" s="194">
        <f>W295*Input!$F675</f>
        <v>0</v>
      </c>
      <c r="F295" s="194">
        <f>X295*Input!$F675</f>
        <v>0</v>
      </c>
      <c r="G295" s="194">
        <f>Y295*Input!$F675</f>
        <v>0</v>
      </c>
      <c r="H295" s="194">
        <f>Z295*Input!$F675</f>
        <v>0</v>
      </c>
      <c r="K295" s="88"/>
      <c r="M295" s="16" t="str">
        <f t="shared" si="35"/>
        <v>Marine aviation - cargo</v>
      </c>
      <c r="N295" s="194">
        <f>AA295*Input!$G675</f>
        <v>0</v>
      </c>
      <c r="O295" s="194">
        <f>AB295*Input!$G675</f>
        <v>0</v>
      </c>
      <c r="P295" s="194">
        <f>AC295*Input!$G675</f>
        <v>0</v>
      </c>
      <c r="Q295" s="194">
        <f>AD295*Input!$G675</f>
        <v>0</v>
      </c>
      <c r="S295" s="18"/>
      <c r="T295" s="94" t="s">
        <v>1024</v>
      </c>
      <c r="U295" s="89" t="s">
        <v>411</v>
      </c>
      <c r="V295" s="74">
        <v>7</v>
      </c>
      <c r="W295" s="90">
        <f>_xlfn.XLOOKUP($V295,'Risk Charges'!$C$117:$C$128,'Risk Charges'!D$117:D$128,,0)</f>
        <v>0.41299999999999998</v>
      </c>
      <c r="X295" s="90">
        <f>_xlfn.XLOOKUP($V295,'Risk Charges'!$C$117:$C$128,'Risk Charges'!E$117:E$128,,0)</f>
        <v>0.35</v>
      </c>
      <c r="Y295" s="90">
        <f>_xlfn.XLOOKUP($V295,'Risk Charges'!$C$117:$C$128,'Risk Charges'!F$117:F$128,,0)</f>
        <v>0.3</v>
      </c>
      <c r="Z295" s="90">
        <f>_xlfn.XLOOKUP($V295,'Risk Charges'!$C$117:$C$128,'Risk Charges'!G$117:G$128,,0)</f>
        <v>0.25</v>
      </c>
      <c r="AA295" s="90">
        <f>_xlfn.XLOOKUP($V295,'Risk Charges'!$C$132:$C$143,'Risk Charges'!D$132:D$143,,0)</f>
        <v>0.51600000000000001</v>
      </c>
      <c r="AB295" s="90">
        <f>_xlfn.XLOOKUP($V295,'Risk Charges'!$C$132:$C$143,'Risk Charges'!E$132:E$143,,0)</f>
        <v>0.438</v>
      </c>
      <c r="AC295" s="90">
        <f>_xlfn.XLOOKUP($V295,'Risk Charges'!$C$132:$C$143,'Risk Charges'!F$132:F$143,,0)</f>
        <v>0.375</v>
      </c>
      <c r="AD295" s="90">
        <f>_xlfn.XLOOKUP($V295,'Risk Charges'!$C$132:$C$143,'Risk Charges'!G$132:G$143,,0)</f>
        <v>0.313</v>
      </c>
    </row>
    <row r="296" spans="2:30" hidden="1" outlineLevel="1" x14ac:dyDescent="0.3">
      <c r="B296" s="11"/>
      <c r="D296" s="16" t="str">
        <f t="shared" si="34"/>
        <v>Marine protection &amp; indemnity</v>
      </c>
      <c r="E296" s="194">
        <f>W296*Input!$F676</f>
        <v>0</v>
      </c>
      <c r="F296" s="194">
        <f>X296*Input!$F676</f>
        <v>0</v>
      </c>
      <c r="G296" s="194">
        <f>Y296*Input!$F676</f>
        <v>0</v>
      </c>
      <c r="H296" s="194">
        <f>Z296*Input!$F676</f>
        <v>0</v>
      </c>
      <c r="K296" s="11"/>
      <c r="M296" s="16" t="str">
        <f t="shared" si="35"/>
        <v>Marine protection &amp; indemnity</v>
      </c>
      <c r="N296" s="194">
        <f>AA296*Input!$G676</f>
        <v>0</v>
      </c>
      <c r="O296" s="194">
        <f>AB296*Input!$G676</f>
        <v>0</v>
      </c>
      <c r="P296" s="194">
        <f>AC296*Input!$G676</f>
        <v>0</v>
      </c>
      <c r="Q296" s="194">
        <f>AD296*Input!$G676</f>
        <v>0</v>
      </c>
      <c r="S296" s="11"/>
      <c r="T296" s="16" t="s">
        <v>4130</v>
      </c>
      <c r="U296" s="89" t="s">
        <v>411</v>
      </c>
      <c r="V296" s="74">
        <v>7</v>
      </c>
      <c r="W296" s="90">
        <f>_xlfn.XLOOKUP($V296,'Risk Charges'!$C$117:$C$128,'Risk Charges'!D$117:D$128,,0)</f>
        <v>0.41299999999999998</v>
      </c>
      <c r="X296" s="90">
        <f>_xlfn.XLOOKUP($V296,'Risk Charges'!$C$117:$C$128,'Risk Charges'!E$117:E$128,,0)</f>
        <v>0.35</v>
      </c>
      <c r="Y296" s="90">
        <f>_xlfn.XLOOKUP($V296,'Risk Charges'!$C$117:$C$128,'Risk Charges'!F$117:F$128,,0)</f>
        <v>0.3</v>
      </c>
      <c r="Z296" s="90">
        <f>_xlfn.XLOOKUP($V296,'Risk Charges'!$C$117:$C$128,'Risk Charges'!G$117:G$128,,0)</f>
        <v>0.25</v>
      </c>
      <c r="AA296" s="90">
        <f>_xlfn.XLOOKUP($V296,'Risk Charges'!$C$132:$C$143,'Risk Charges'!D$132:D$143,,0)</f>
        <v>0.51600000000000001</v>
      </c>
      <c r="AB296" s="90">
        <f>_xlfn.XLOOKUP($V296,'Risk Charges'!$C$132:$C$143,'Risk Charges'!E$132:E$143,,0)</f>
        <v>0.438</v>
      </c>
      <c r="AC296" s="90">
        <f>_xlfn.XLOOKUP($V296,'Risk Charges'!$C$132:$C$143,'Risk Charges'!F$132:F$143,,0)</f>
        <v>0.375</v>
      </c>
      <c r="AD296" s="90">
        <f>_xlfn.XLOOKUP($V296,'Risk Charges'!$C$132:$C$143,'Risk Charges'!G$132:G$143,,0)</f>
        <v>0.313</v>
      </c>
    </row>
    <row r="297" spans="2:30" hidden="1" outlineLevel="1" x14ac:dyDescent="0.3">
      <c r="B297" s="88"/>
      <c r="D297" s="16" t="str">
        <f t="shared" si="34"/>
        <v>Travel</v>
      </c>
      <c r="E297" s="194">
        <f>W297*Input!$F677</f>
        <v>0</v>
      </c>
      <c r="F297" s="194">
        <f>X297*Input!$F677</f>
        <v>0</v>
      </c>
      <c r="G297" s="194">
        <f>Y297*Input!$F677</f>
        <v>0</v>
      </c>
      <c r="H297" s="194">
        <f>Z297*Input!$F677</f>
        <v>0</v>
      </c>
      <c r="K297" s="88"/>
      <c r="M297" s="16" t="str">
        <f t="shared" si="35"/>
        <v>Travel</v>
      </c>
      <c r="N297" s="194">
        <f>AA297*Input!$G677</f>
        <v>0</v>
      </c>
      <c r="O297" s="194">
        <f>AB297*Input!$G677</f>
        <v>0</v>
      </c>
      <c r="P297" s="194">
        <f>AC297*Input!$G677</f>
        <v>0</v>
      </c>
      <c r="Q297" s="194">
        <f>AD297*Input!$G677</f>
        <v>0</v>
      </c>
      <c r="S297" s="11"/>
      <c r="T297" s="94" t="s">
        <v>382</v>
      </c>
      <c r="U297" s="89" t="s">
        <v>262</v>
      </c>
      <c r="V297" s="74">
        <v>6</v>
      </c>
      <c r="W297" s="90">
        <f>_xlfn.XLOOKUP($V297,'Risk Charges'!$C$117:$C$128,'Risk Charges'!D$117:D$128,,0)</f>
        <v>0.33</v>
      </c>
      <c r="X297" s="90">
        <f>_xlfn.XLOOKUP($V297,'Risk Charges'!$C$117:$C$128,'Risk Charges'!E$117:E$128,,0)</f>
        <v>0.28000000000000003</v>
      </c>
      <c r="Y297" s="90">
        <f>_xlfn.XLOOKUP($V297,'Risk Charges'!$C$117:$C$128,'Risk Charges'!F$117:F$128,,0)</f>
        <v>0.24</v>
      </c>
      <c r="Z297" s="90">
        <f>_xlfn.XLOOKUP($V297,'Risk Charges'!$C$117:$C$128,'Risk Charges'!G$117:G$128,,0)</f>
        <v>0.2</v>
      </c>
      <c r="AA297" s="90">
        <f>_xlfn.XLOOKUP($V297,'Risk Charges'!$C$132:$C$143,'Risk Charges'!D$132:D$143,,0)</f>
        <v>0.41299999999999998</v>
      </c>
      <c r="AB297" s="90">
        <f>_xlfn.XLOOKUP($V297,'Risk Charges'!$C$132:$C$143,'Risk Charges'!E$132:E$143,,0)</f>
        <v>0.35</v>
      </c>
      <c r="AC297" s="90">
        <f>_xlfn.XLOOKUP($V297,'Risk Charges'!$C$132:$C$143,'Risk Charges'!F$132:F$143,,0)</f>
        <v>0.3</v>
      </c>
      <c r="AD297" s="90">
        <f>_xlfn.XLOOKUP($V297,'Risk Charges'!$C$132:$C$143,'Risk Charges'!G$132:G$143,,0)</f>
        <v>0.25</v>
      </c>
    </row>
    <row r="298" spans="2:30" hidden="1" outlineLevel="1" x14ac:dyDescent="0.3">
      <c r="B298" s="88"/>
      <c r="D298" s="16" t="str">
        <f t="shared" si="34"/>
        <v>Warranty</v>
      </c>
      <c r="E298" s="194">
        <f>W298*Input!$F678</f>
        <v>0</v>
      </c>
      <c r="F298" s="194">
        <f>X298*Input!$F678</f>
        <v>0</v>
      </c>
      <c r="G298" s="194">
        <f>Y298*Input!$F678</f>
        <v>0</v>
      </c>
      <c r="H298" s="194">
        <f>Z298*Input!$F678</f>
        <v>0</v>
      </c>
      <c r="K298" s="88"/>
      <c r="M298" s="16" t="str">
        <f t="shared" si="35"/>
        <v>Warranty</v>
      </c>
      <c r="N298" s="194">
        <f>AA298*Input!$G678</f>
        <v>0</v>
      </c>
      <c r="O298" s="194">
        <f>AB298*Input!$G678</f>
        <v>0</v>
      </c>
      <c r="P298" s="194">
        <f>AC298*Input!$G678</f>
        <v>0</v>
      </c>
      <c r="Q298" s="194">
        <f>AD298*Input!$G678</f>
        <v>0</v>
      </c>
      <c r="S298" s="11"/>
      <c r="T298" s="94" t="s">
        <v>380</v>
      </c>
      <c r="U298" s="89" t="s">
        <v>262</v>
      </c>
      <c r="V298" s="74">
        <v>7</v>
      </c>
      <c r="W298" s="90">
        <f>_xlfn.XLOOKUP($V298,'Risk Charges'!$C$117:$C$128,'Risk Charges'!D$117:D$128,,0)</f>
        <v>0.41299999999999998</v>
      </c>
      <c r="X298" s="90">
        <f>_xlfn.XLOOKUP($V298,'Risk Charges'!$C$117:$C$128,'Risk Charges'!E$117:E$128,,0)</f>
        <v>0.35</v>
      </c>
      <c r="Y298" s="90">
        <f>_xlfn.XLOOKUP($V298,'Risk Charges'!$C$117:$C$128,'Risk Charges'!F$117:F$128,,0)</f>
        <v>0.3</v>
      </c>
      <c r="Z298" s="90">
        <f>_xlfn.XLOOKUP($V298,'Risk Charges'!$C$117:$C$128,'Risk Charges'!G$117:G$128,,0)</f>
        <v>0.25</v>
      </c>
      <c r="AA298" s="90">
        <f>_xlfn.XLOOKUP($V298,'Risk Charges'!$C$132:$C$143,'Risk Charges'!D$132:D$143,,0)</f>
        <v>0.51600000000000001</v>
      </c>
      <c r="AB298" s="90">
        <f>_xlfn.XLOOKUP($V298,'Risk Charges'!$C$132:$C$143,'Risk Charges'!E$132:E$143,,0)</f>
        <v>0.438</v>
      </c>
      <c r="AC298" s="90">
        <f>_xlfn.XLOOKUP($V298,'Risk Charges'!$C$132:$C$143,'Risk Charges'!F$132:F$143,,0)</f>
        <v>0.375</v>
      </c>
      <c r="AD298" s="90">
        <f>_xlfn.XLOOKUP($V298,'Risk Charges'!$C$132:$C$143,'Risk Charges'!G$132:G$143,,0)</f>
        <v>0.313</v>
      </c>
    </row>
    <row r="299" spans="2:30" hidden="1" outlineLevel="1" x14ac:dyDescent="0.3">
      <c r="B299" s="88"/>
      <c r="D299" s="16" t="str">
        <f t="shared" si="34"/>
        <v>Other</v>
      </c>
      <c r="E299" s="194">
        <f>W299*Input!$F679</f>
        <v>0</v>
      </c>
      <c r="F299" s="194">
        <f>X299*Input!$F679</f>
        <v>0</v>
      </c>
      <c r="G299" s="194">
        <f>Y299*Input!$F679</f>
        <v>0</v>
      </c>
      <c r="H299" s="194">
        <f>Z299*Input!$F679</f>
        <v>0</v>
      </c>
      <c r="K299" s="88"/>
      <c r="M299" s="16" t="str">
        <f t="shared" si="35"/>
        <v>Other</v>
      </c>
      <c r="N299" s="194">
        <f>AA299*Input!$G679</f>
        <v>0</v>
      </c>
      <c r="O299" s="194">
        <f>AB299*Input!$G679</f>
        <v>0</v>
      </c>
      <c r="P299" s="194">
        <f>AC299*Input!$G679</f>
        <v>0</v>
      </c>
      <c r="Q299" s="194">
        <f>AD299*Input!$G679</f>
        <v>0</v>
      </c>
      <c r="S299" s="11"/>
      <c r="T299" s="94" t="s">
        <v>262</v>
      </c>
      <c r="U299" s="89" t="s">
        <v>262</v>
      </c>
      <c r="V299" s="74">
        <v>10</v>
      </c>
      <c r="W299" s="90">
        <f>_xlfn.XLOOKUP($V299,'Risk Charges'!$C$117:$C$128,'Risk Charges'!D$117:D$128,,0)</f>
        <v>0.66</v>
      </c>
      <c r="X299" s="90">
        <f>_xlfn.XLOOKUP($V299,'Risk Charges'!$C$117:$C$128,'Risk Charges'!E$117:E$128,,0)</f>
        <v>0.56000000000000005</v>
      </c>
      <c r="Y299" s="90">
        <f>_xlfn.XLOOKUP($V299,'Risk Charges'!$C$117:$C$128,'Risk Charges'!F$117:F$128,,0)</f>
        <v>0.48</v>
      </c>
      <c r="Z299" s="90">
        <f>_xlfn.XLOOKUP($V299,'Risk Charges'!$C$117:$C$128,'Risk Charges'!G$117:G$128,,0)</f>
        <v>0.4</v>
      </c>
      <c r="AA299" s="90">
        <f>_xlfn.XLOOKUP($V299,'Risk Charges'!$C$132:$C$143,'Risk Charges'!D$132:D$143,,0)</f>
        <v>0.82499999999999996</v>
      </c>
      <c r="AB299" s="90">
        <f>_xlfn.XLOOKUP($V299,'Risk Charges'!$C$132:$C$143,'Risk Charges'!E$132:E$143,,0)</f>
        <v>0.7</v>
      </c>
      <c r="AC299" s="90">
        <f>_xlfn.XLOOKUP($V299,'Risk Charges'!$C$132:$C$143,'Risk Charges'!F$132:F$143,,0)</f>
        <v>0.6</v>
      </c>
      <c r="AD299" s="90">
        <f>_xlfn.XLOOKUP($V299,'Risk Charges'!$C$132:$C$143,'Risk Charges'!G$132:G$143,,0)</f>
        <v>0.5</v>
      </c>
    </row>
    <row r="300" spans="2:30" hidden="1" outlineLevel="1" x14ac:dyDescent="0.3"/>
    <row r="301" spans="2:30" hidden="1" outlineLevel="1" x14ac:dyDescent="0.3"/>
    <row r="302" spans="2:30" collapsed="1" x14ac:dyDescent="0.3"/>
  </sheetData>
  <sheetProtection algorithmName="SHA-512" hashValue="Jg6PT/prDxIXhXVIlU3pZbMWa12isIZB5MTrNBEUlrAYukdn+RFd/vzdnaImI3yYI+hmP5ZBjBICR8/TPQLBew==" saltValue="Bu6Y1oMZcfSUnXs9sZFqOg==" spinCount="100000" sheet="1" objects="1" scenarios="1" formatColumns="0" formatRows="0"/>
  <mergeCells count="6">
    <mergeCell ref="W4:Z4"/>
    <mergeCell ref="AA45:AD45"/>
    <mergeCell ref="W45:Z45"/>
    <mergeCell ref="W193:Z193"/>
    <mergeCell ref="AA193:AD193"/>
    <mergeCell ref="W10:Z10"/>
  </mergeCells>
  <conditionalFormatting sqref="A141:AE159 A161:AE203 A277:AE295 A297:AE308 E47:H60 N47:Q60 E62:H98 N62:Q98 E100:H121 N100:Q121 N145:Q163 E145:H163 E195:H208 N195:Q208 E210:H234 N210:Q234 E236:H257 N236:Q257 E281:H299 N281:Q299 A57:AE94 T95:V95 A96:AE116 T117:V118 A118:AE139 E123:H143 N123:Q143 T130:V140 A205:AE230 T231:V231 A232:AE252 T253:V254 A254:AE275 N259:Q279 E259:H279 T266:V276 A1:AE55">
    <cfRule type="expression" dxfId="42" priority="22">
      <formula>_xlfn.ISFORMULA(A1)</formula>
    </cfRule>
  </conditionalFormatting>
  <conditionalFormatting sqref="A56:AE56">
    <cfRule type="expression" dxfId="41" priority="17">
      <formula>_xlfn.ISFORMULA(A56)</formula>
    </cfRule>
  </conditionalFormatting>
  <conditionalFormatting sqref="A204:AE204">
    <cfRule type="expression" dxfId="40" priority="16">
      <formula>_xlfn.ISFORMULA(A204)</formula>
    </cfRule>
  </conditionalFormatting>
  <conditionalFormatting sqref="A95:AE95">
    <cfRule type="expression" dxfId="39" priority="15">
      <formula>_xlfn.ISFORMULA(A95)</formula>
    </cfRule>
  </conditionalFormatting>
  <conditionalFormatting sqref="A117:AE117">
    <cfRule type="expression" dxfId="38" priority="14">
      <formula>_xlfn.ISFORMULA(A117)</formula>
    </cfRule>
  </conditionalFormatting>
  <conditionalFormatting sqref="A140:AE140">
    <cfRule type="expression" dxfId="37" priority="13">
      <formula>_xlfn.ISFORMULA(A140)</formula>
    </cfRule>
  </conditionalFormatting>
  <conditionalFormatting sqref="A160:AE160">
    <cfRule type="expression" dxfId="36" priority="12">
      <formula>_xlfn.ISFORMULA(A160)</formula>
    </cfRule>
  </conditionalFormatting>
  <conditionalFormatting sqref="A231:AE231">
    <cfRule type="expression" dxfId="35" priority="11">
      <formula>_xlfn.ISFORMULA(A231)</formula>
    </cfRule>
  </conditionalFormatting>
  <conditionalFormatting sqref="A253:AE253">
    <cfRule type="expression" dxfId="34" priority="10">
      <formula>_xlfn.ISFORMULA(A253)</formula>
    </cfRule>
  </conditionalFormatting>
  <conditionalFormatting sqref="A276:AE276">
    <cfRule type="expression" dxfId="33" priority="9">
      <formula>_xlfn.ISFORMULA(A276)</formula>
    </cfRule>
  </conditionalFormatting>
  <conditionalFormatting sqref="A296:AE296">
    <cfRule type="expression" dxfId="32" priority="8">
      <formula>_xlfn.ISFORMULA(A296)</formula>
    </cfRule>
  </conditionalFormatting>
  <conditionalFormatting sqref="T94:V94">
    <cfRule type="expression" dxfId="31" priority="7">
      <formula>_xlfn.ISFORMULA(T94)</formula>
    </cfRule>
  </conditionalFormatting>
  <conditionalFormatting sqref="T116:V116">
    <cfRule type="expression" dxfId="30" priority="6">
      <formula>_xlfn.ISFORMULA(T116)</formula>
    </cfRule>
  </conditionalFormatting>
  <conditionalFormatting sqref="AF141:AH141">
    <cfRule type="expression" dxfId="29" priority="5">
      <formula>_xlfn.ISFORMULA(AF141)</formula>
    </cfRule>
  </conditionalFormatting>
  <conditionalFormatting sqref="T141:V141">
    <cfRule type="expression" dxfId="28" priority="4">
      <formula>_xlfn.ISFORMULA(T141)</formula>
    </cfRule>
  </conditionalFormatting>
  <conditionalFormatting sqref="T230:V230">
    <cfRule type="expression" dxfId="27" priority="3">
      <formula>_xlfn.ISFORMULA(T230)</formula>
    </cfRule>
  </conditionalFormatting>
  <conditionalFormatting sqref="T252:V252">
    <cfRule type="expression" dxfId="26" priority="2">
      <formula>_xlfn.ISFORMULA(T252)</formula>
    </cfRule>
  </conditionalFormatting>
  <conditionalFormatting sqref="T277:V277">
    <cfRule type="expression" dxfId="25" priority="1">
      <formula>_xlfn.ISFORMULA(T277)</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6C978-CB97-45A9-8201-DE18A8BAD847}">
  <sheetPr codeName="Sheet12">
    <tabColor theme="6" tint="0.39997558519241921"/>
  </sheetPr>
  <dimension ref="A1:P186"/>
  <sheetViews>
    <sheetView showGridLines="0" zoomScaleNormal="100" workbookViewId="0"/>
  </sheetViews>
  <sheetFormatPr defaultColWidth="11.6328125" defaultRowHeight="13" outlineLevelRow="1" x14ac:dyDescent="0.3"/>
  <cols>
    <col min="1" max="1" width="4.453125" style="35" customWidth="1"/>
    <col min="2" max="2" width="11.6328125" style="35"/>
    <col min="3" max="3" width="35.36328125" style="35" customWidth="1"/>
    <col min="4" max="4" width="12.6328125" style="35" customWidth="1"/>
    <col min="5" max="7" width="12" style="35" bestFit="1" customWidth="1"/>
    <col min="8" max="8" width="15.6328125" style="35" customWidth="1"/>
    <col min="9" max="11" width="11.6328125" style="35"/>
    <col min="12" max="12" width="22" style="35" customWidth="1"/>
    <col min="13" max="13" width="12" style="35" bestFit="1" customWidth="1"/>
    <col min="14" max="16384" width="11.6328125" style="35"/>
  </cols>
  <sheetData>
    <row r="1" spans="1:10" ht="41.4" customHeight="1" x14ac:dyDescent="0.3">
      <c r="A1" s="109"/>
    </row>
    <row r="2" spans="1:10" x14ac:dyDescent="0.3">
      <c r="B2" s="46" t="s">
        <v>322</v>
      </c>
      <c r="C2" s="48"/>
      <c r="D2" s="48"/>
      <c r="E2" s="48"/>
      <c r="F2" s="48"/>
      <c r="G2" s="48"/>
      <c r="H2" s="48"/>
      <c r="I2" s="48"/>
      <c r="J2" s="46"/>
    </row>
    <row r="3" spans="1:10" hidden="1" outlineLevel="1" x14ac:dyDescent="0.3"/>
    <row r="4" spans="1:10" hidden="1" outlineLevel="1" x14ac:dyDescent="0.3">
      <c r="D4" s="58">
        <v>0.99990000000000001</v>
      </c>
      <c r="E4" s="58">
        <v>0.99950000000000006</v>
      </c>
      <c r="F4" s="58">
        <v>0.998</v>
      </c>
      <c r="G4" s="58">
        <v>0.995</v>
      </c>
    </row>
    <row r="5" spans="1:10" hidden="1" outlineLevel="1" x14ac:dyDescent="0.3">
      <c r="C5" s="18" t="s">
        <v>859</v>
      </c>
      <c r="D5" s="190">
        <f>D42</f>
        <v>0</v>
      </c>
      <c r="E5" s="190">
        <f>E42</f>
        <v>0</v>
      </c>
      <c r="F5" s="190">
        <f>F42</f>
        <v>0</v>
      </c>
      <c r="G5" s="190">
        <f>G42</f>
        <v>0</v>
      </c>
      <c r="I5" s="108"/>
    </row>
    <row r="6" spans="1:10" hidden="1" outlineLevel="1" x14ac:dyDescent="0.3">
      <c r="C6" s="18" t="s">
        <v>861</v>
      </c>
      <c r="D6" s="190">
        <f>D108</f>
        <v>0</v>
      </c>
      <c r="E6" s="190">
        <f>E108</f>
        <v>0</v>
      </c>
      <c r="F6" s="190">
        <f>F108</f>
        <v>0</v>
      </c>
      <c r="G6" s="190">
        <f>G108</f>
        <v>0</v>
      </c>
    </row>
    <row r="7" spans="1:10" hidden="1" outlineLevel="1" x14ac:dyDescent="0.3">
      <c r="C7" s="18" t="s">
        <v>858</v>
      </c>
      <c r="D7" s="190">
        <f>D121</f>
        <v>0</v>
      </c>
      <c r="E7" s="190">
        <f>E121</f>
        <v>0</v>
      </c>
      <c r="F7" s="190">
        <f>F121</f>
        <v>0</v>
      </c>
      <c r="G7" s="190">
        <f>G121</f>
        <v>0</v>
      </c>
    </row>
    <row r="8" spans="1:10" hidden="1" outlineLevel="1" x14ac:dyDescent="0.3">
      <c r="C8" s="18" t="s">
        <v>857</v>
      </c>
      <c r="D8" s="190">
        <f>D163</f>
        <v>0</v>
      </c>
      <c r="E8" s="190">
        <f>E163</f>
        <v>0</v>
      </c>
      <c r="F8" s="190">
        <f>F163</f>
        <v>0</v>
      </c>
      <c r="G8" s="190">
        <f>G163</f>
        <v>0</v>
      </c>
    </row>
    <row r="9" spans="1:10" hidden="1" outlineLevel="1" x14ac:dyDescent="0.3">
      <c r="C9" s="18" t="s">
        <v>860</v>
      </c>
      <c r="D9" s="190">
        <f>D47</f>
        <v>0</v>
      </c>
      <c r="E9" s="190">
        <f>E47</f>
        <v>0</v>
      </c>
      <c r="F9" s="190">
        <f>F47</f>
        <v>0</v>
      </c>
      <c r="G9" s="190">
        <f>G47</f>
        <v>0</v>
      </c>
    </row>
    <row r="10" spans="1:10" hidden="1" outlineLevel="1" x14ac:dyDescent="0.3">
      <c r="C10" s="18" t="s">
        <v>4141</v>
      </c>
      <c r="D10" s="190">
        <f>D184</f>
        <v>0</v>
      </c>
      <c r="E10" s="190">
        <f>E184</f>
        <v>0</v>
      </c>
      <c r="F10" s="190">
        <f>F184</f>
        <v>0</v>
      </c>
      <c r="G10" s="190">
        <f>G184</f>
        <v>0</v>
      </c>
    </row>
    <row r="11" spans="1:10" hidden="1" outlineLevel="1" x14ac:dyDescent="0.3">
      <c r="C11" s="18" t="s">
        <v>917</v>
      </c>
      <c r="D11" s="190">
        <f>D174</f>
        <v>0</v>
      </c>
      <c r="E11" s="190">
        <f>E174</f>
        <v>0</v>
      </c>
      <c r="F11" s="190">
        <f>F174</f>
        <v>0</v>
      </c>
      <c r="G11" s="190">
        <f>G174</f>
        <v>0</v>
      </c>
    </row>
    <row r="12" spans="1:10" hidden="1" outlineLevel="1" x14ac:dyDescent="0.3">
      <c r="C12" s="52" t="s">
        <v>6</v>
      </c>
      <c r="D12" s="192">
        <f>SUM(D5:D11)</f>
        <v>0</v>
      </c>
      <c r="E12" s="192">
        <f>SUM(E5:E11)</f>
        <v>0</v>
      </c>
      <c r="F12" s="192">
        <f>SUM(F5:F11)</f>
        <v>0</v>
      </c>
      <c r="G12" s="192">
        <f>SUM(G5:G11)</f>
        <v>0</v>
      </c>
    </row>
    <row r="13" spans="1:10" hidden="1" outlineLevel="1" x14ac:dyDescent="0.3">
      <c r="C13" s="52" t="s">
        <v>862</v>
      </c>
      <c r="D13" s="192">
        <f>SUMIF(Adjustment!$L$5:$L$24,Lists!$L$7,Adjustment!M$5:M$24)</f>
        <v>0</v>
      </c>
      <c r="E13" s="192">
        <f>SUMIF(Adjustment!$L$5:$L$24,Lists!$L$7,Adjustment!N$5:N$24)</f>
        <v>0</v>
      </c>
      <c r="F13" s="192">
        <f>SUMIF(Adjustment!$L$5:$L$24,Lists!$L$7,Adjustment!O$5:O$24)</f>
        <v>0</v>
      </c>
      <c r="G13" s="192">
        <f>SUMIF(Adjustment!$L$5:$L$24,Lists!$L$7,Adjustment!P$5:P$24)</f>
        <v>0</v>
      </c>
    </row>
    <row r="14" spans="1:10" hidden="1" outlineLevel="1" x14ac:dyDescent="0.3">
      <c r="C14" s="52" t="s">
        <v>863</v>
      </c>
      <c r="D14" s="192">
        <f>D12+D13</f>
        <v>0</v>
      </c>
      <c r="E14" s="192">
        <f t="shared" ref="E14:G14" si="0">E12+E13</f>
        <v>0</v>
      </c>
      <c r="F14" s="192">
        <f t="shared" si="0"/>
        <v>0</v>
      </c>
      <c r="G14" s="192">
        <f t="shared" si="0"/>
        <v>0</v>
      </c>
    </row>
    <row r="15" spans="1:10" collapsed="1" x14ac:dyDescent="0.3"/>
    <row r="16" spans="1:10" x14ac:dyDescent="0.3">
      <c r="B16" s="46" t="s">
        <v>782</v>
      </c>
      <c r="C16" s="48"/>
      <c r="D16" s="48"/>
      <c r="E16" s="48"/>
      <c r="F16" s="48"/>
      <c r="G16" s="48"/>
      <c r="H16" s="48"/>
      <c r="I16" s="48"/>
      <c r="J16" s="46"/>
    </row>
    <row r="17" spans="2:14" hidden="1" outlineLevel="1" x14ac:dyDescent="0.3">
      <c r="C17" s="52"/>
      <c r="D17" s="59"/>
      <c r="E17" s="59"/>
      <c r="F17" s="59"/>
      <c r="G17" s="60"/>
      <c r="H17" s="60"/>
      <c r="I17" s="60"/>
    </row>
    <row r="18" spans="2:14" hidden="1" outlineLevel="1" x14ac:dyDescent="0.3">
      <c r="C18" s="52" t="s">
        <v>1155</v>
      </c>
      <c r="D18" s="124">
        <f>IF(Input!H12="",1,Input!H12)</f>
        <v>1</v>
      </c>
      <c r="E18" s="59"/>
      <c r="F18" s="59"/>
      <c r="G18" s="60"/>
      <c r="H18" s="60"/>
      <c r="I18" s="60"/>
    </row>
    <row r="19" spans="2:14" hidden="1" outlineLevel="1" x14ac:dyDescent="0.3">
      <c r="C19" s="52" t="s">
        <v>285</v>
      </c>
      <c r="D19" s="123" t="str">
        <f>Input!J12</f>
        <v>Millions</v>
      </c>
      <c r="E19" s="59"/>
      <c r="F19" s="59"/>
      <c r="G19" s="60"/>
      <c r="H19" s="60"/>
      <c r="I19" s="60"/>
    </row>
    <row r="20" spans="2:14" hidden="1" outlineLevel="1" x14ac:dyDescent="0.3">
      <c r="C20" s="52" t="s">
        <v>783</v>
      </c>
      <c r="D20" s="106">
        <f>IF(D19="Millions",1,IF(D19="Billions",1000,IF(D19="Thousands",10^-3,IF(D19="Ones",10^-6,0))))/D18</f>
        <v>1</v>
      </c>
      <c r="E20" s="59"/>
      <c r="F20" s="59"/>
      <c r="G20" s="60"/>
      <c r="H20" s="60"/>
      <c r="I20" s="60"/>
      <c r="N20" s="49"/>
    </row>
    <row r="21" spans="2:14" collapsed="1" x14ac:dyDescent="0.3">
      <c r="C21" s="52"/>
      <c r="D21" s="59"/>
      <c r="E21" s="59"/>
      <c r="F21" s="59"/>
      <c r="G21" s="60"/>
      <c r="H21" s="60"/>
      <c r="I21" s="60"/>
      <c r="N21" s="49"/>
    </row>
    <row r="22" spans="2:14" x14ac:dyDescent="0.3">
      <c r="B22" s="46" t="s">
        <v>1461</v>
      </c>
      <c r="C22" s="48"/>
      <c r="D22" s="48"/>
      <c r="E22" s="48"/>
      <c r="F22" s="48"/>
      <c r="G22" s="48"/>
      <c r="H22" s="48"/>
      <c r="I22" s="48"/>
      <c r="J22" s="46"/>
      <c r="L22" s="49"/>
      <c r="N22" s="49"/>
    </row>
    <row r="23" spans="2:14" hidden="1" outlineLevel="1" x14ac:dyDescent="0.3"/>
    <row r="24" spans="2:14" hidden="1" outlineLevel="1" x14ac:dyDescent="0.3">
      <c r="B24" s="52" t="s">
        <v>348</v>
      </c>
    </row>
    <row r="25" spans="2:14" hidden="1" outlineLevel="1" x14ac:dyDescent="0.3">
      <c r="C25" s="52" t="s">
        <v>4723</v>
      </c>
      <c r="G25" s="57" t="s">
        <v>875</v>
      </c>
      <c r="H25" s="57" t="s">
        <v>876</v>
      </c>
    </row>
    <row r="26" spans="2:14" hidden="1" outlineLevel="1" x14ac:dyDescent="0.3">
      <c r="C26" s="52" t="s">
        <v>308</v>
      </c>
      <c r="D26" s="190">
        <f>Input!F724*D20/1000</f>
        <v>0</v>
      </c>
      <c r="F26" s="49" t="s">
        <v>2185</v>
      </c>
      <c r="G26" s="190">
        <f>MIN(50,D26)</f>
        <v>0</v>
      </c>
      <c r="H26" s="190">
        <f>MIN(50,D27)</f>
        <v>0</v>
      </c>
    </row>
    <row r="27" spans="2:14" hidden="1" outlineLevel="1" x14ac:dyDescent="0.3">
      <c r="C27" s="52" t="s">
        <v>309</v>
      </c>
      <c r="D27" s="190">
        <f>Input!F725*D20/1000</f>
        <v>0</v>
      </c>
      <c r="F27" s="49" t="s">
        <v>2186</v>
      </c>
      <c r="G27" s="190">
        <f>MIN(200,D26-G26)</f>
        <v>0</v>
      </c>
      <c r="H27" s="190">
        <f>MIN(200,D27-H26)</f>
        <v>0</v>
      </c>
    </row>
    <row r="28" spans="2:14" hidden="1" outlineLevel="1" x14ac:dyDescent="0.3">
      <c r="D28" s="106"/>
      <c r="E28" s="106"/>
      <c r="F28" s="49" t="s">
        <v>2187</v>
      </c>
      <c r="G28" s="190">
        <f>D26-G26-G27</f>
        <v>0</v>
      </c>
      <c r="H28" s="190">
        <f>D27-H26-H27</f>
        <v>0</v>
      </c>
    </row>
    <row r="29" spans="2:14" hidden="1" outlineLevel="1" x14ac:dyDescent="0.3">
      <c r="D29" s="57" t="s">
        <v>310</v>
      </c>
      <c r="E29" s="106"/>
      <c r="F29" s="106"/>
      <c r="G29" s="106"/>
    </row>
    <row r="30" spans="2:14" hidden="1" outlineLevel="1" x14ac:dyDescent="0.3">
      <c r="D30" s="58">
        <v>0.99990000000000001</v>
      </c>
      <c r="E30" s="58">
        <v>0.99950000000000006</v>
      </c>
      <c r="F30" s="58">
        <v>0.998</v>
      </c>
      <c r="G30" s="58">
        <v>0.995</v>
      </c>
    </row>
    <row r="31" spans="2:14" hidden="1" outlineLevel="1" x14ac:dyDescent="0.3">
      <c r="C31" s="49" t="s">
        <v>2185</v>
      </c>
      <c r="D31" s="190">
        <f>$G26*'Risk Charges'!D179*1000/$D$20</f>
        <v>0</v>
      </c>
      <c r="E31" s="190">
        <f>$G26*'Risk Charges'!E179*1000/$D$20</f>
        <v>0</v>
      </c>
      <c r="F31" s="190">
        <f>$G26*'Risk Charges'!F179*1000/$D$20</f>
        <v>0</v>
      </c>
      <c r="G31" s="190">
        <f>$G26*'Risk Charges'!G179*1000/$D$20</f>
        <v>0</v>
      </c>
      <c r="I31" s="50"/>
    </row>
    <row r="32" spans="2:14" hidden="1" outlineLevel="1" x14ac:dyDescent="0.3">
      <c r="C32" s="49" t="s">
        <v>2186</v>
      </c>
      <c r="D32" s="190">
        <f>$G27*'Risk Charges'!D180*1000/$D$20</f>
        <v>0</v>
      </c>
      <c r="E32" s="190">
        <f>$G27*'Risk Charges'!E180*1000/$D$20</f>
        <v>0</v>
      </c>
      <c r="F32" s="190">
        <f>$G27*'Risk Charges'!F180*1000/$D$20</f>
        <v>0</v>
      </c>
      <c r="G32" s="190">
        <f>$G27*'Risk Charges'!G180*1000/$D$20</f>
        <v>0</v>
      </c>
    </row>
    <row r="33" spans="2:10" hidden="1" outlineLevel="1" x14ac:dyDescent="0.3">
      <c r="C33" s="49" t="s">
        <v>2187</v>
      </c>
      <c r="D33" s="190">
        <f>$G28*'Risk Charges'!D181*1000/$D$20</f>
        <v>0</v>
      </c>
      <c r="E33" s="190">
        <f>$G28*'Risk Charges'!E181*1000/$D$20</f>
        <v>0</v>
      </c>
      <c r="F33" s="190">
        <f>$G28*'Risk Charges'!F181*1000/$D$20</f>
        <v>0</v>
      </c>
      <c r="G33" s="190">
        <f>$G28*'Risk Charges'!G181*1000/$D$20</f>
        <v>0</v>
      </c>
    </row>
    <row r="34" spans="2:10" hidden="1" outlineLevel="1" x14ac:dyDescent="0.3">
      <c r="D34" s="106"/>
      <c r="E34" s="106"/>
      <c r="F34" s="106"/>
      <c r="G34" s="106"/>
    </row>
    <row r="35" spans="2:10" hidden="1" outlineLevel="1" x14ac:dyDescent="0.3">
      <c r="D35" s="57" t="s">
        <v>311</v>
      </c>
      <c r="E35" s="106"/>
      <c r="F35" s="106"/>
      <c r="G35" s="106"/>
    </row>
    <row r="36" spans="2:10" hidden="1" outlineLevel="1" x14ac:dyDescent="0.3">
      <c r="D36" s="58">
        <v>0.99990000000000001</v>
      </c>
      <c r="E36" s="58">
        <v>0.99950000000000006</v>
      </c>
      <c r="F36" s="58">
        <v>0.998</v>
      </c>
      <c r="G36" s="58">
        <v>0.995</v>
      </c>
    </row>
    <row r="37" spans="2:10" hidden="1" outlineLevel="1" x14ac:dyDescent="0.3">
      <c r="C37" s="49" t="s">
        <v>2185</v>
      </c>
      <c r="D37" s="190">
        <f>$H26*'Risk Charges'!D185*1000/$D$20</f>
        <v>0</v>
      </c>
      <c r="E37" s="190">
        <f>$H26*'Risk Charges'!E185*1000/$D$20</f>
        <v>0</v>
      </c>
      <c r="F37" s="190">
        <f>$H26*'Risk Charges'!F185*1000/$D$20</f>
        <v>0</v>
      </c>
      <c r="G37" s="190">
        <f>$H26*'Risk Charges'!G185*1000/$D$20</f>
        <v>0</v>
      </c>
    </row>
    <row r="38" spans="2:10" hidden="1" outlineLevel="1" x14ac:dyDescent="0.3">
      <c r="C38" s="49" t="s">
        <v>2186</v>
      </c>
      <c r="D38" s="190">
        <f>$H27*'Risk Charges'!D186*1000/$D$20</f>
        <v>0</v>
      </c>
      <c r="E38" s="190">
        <f>$H27*'Risk Charges'!E186*1000/$D$20</f>
        <v>0</v>
      </c>
      <c r="F38" s="190">
        <f>$H27*'Risk Charges'!F186*1000/$D$20</f>
        <v>0</v>
      </c>
      <c r="G38" s="190">
        <f>$H27*'Risk Charges'!G186*1000/$D$20</f>
        <v>0</v>
      </c>
    </row>
    <row r="39" spans="2:10" hidden="1" outlineLevel="1" x14ac:dyDescent="0.3">
      <c r="C39" s="49" t="s">
        <v>2187</v>
      </c>
      <c r="D39" s="190">
        <f>$H28*'Risk Charges'!D187*1000/$D$20</f>
        <v>0</v>
      </c>
      <c r="E39" s="190">
        <f>$H28*'Risk Charges'!E187*1000/$D$20</f>
        <v>0</v>
      </c>
      <c r="F39" s="190">
        <f>$H28*'Risk Charges'!F187*1000/$D$20</f>
        <v>0</v>
      </c>
      <c r="G39" s="190">
        <f>$H28*'Risk Charges'!G187*1000/$D$20</f>
        <v>0</v>
      </c>
    </row>
    <row r="40" spans="2:10" hidden="1" outlineLevel="1" x14ac:dyDescent="0.3">
      <c r="C40" s="52" t="s">
        <v>6</v>
      </c>
      <c r="D40" s="192">
        <f>SUM(D31:D33,D37:D39)</f>
        <v>0</v>
      </c>
      <c r="E40" s="192">
        <f>SUM(E31:E33,E37:E39)</f>
        <v>0</v>
      </c>
      <c r="F40" s="192">
        <f>SUM(F31:F33,F37:F39)</f>
        <v>0</v>
      </c>
      <c r="G40" s="192">
        <f>SUM(G31:G33,G37:G39)</f>
        <v>0</v>
      </c>
    </row>
    <row r="41" spans="2:10" hidden="1" outlineLevel="1" x14ac:dyDescent="0.3">
      <c r="C41" s="52" t="s">
        <v>276</v>
      </c>
      <c r="D41" s="192">
        <f>SUMIF(Adjustment!$L$5:$L$24,Lists!$L$14,Adjustment!M$5:M$24)</f>
        <v>0</v>
      </c>
      <c r="E41" s="192">
        <f>SUMIF(Adjustment!$L$5:$L$24,Lists!$L$14,Adjustment!N$5:N$24)</f>
        <v>0</v>
      </c>
      <c r="F41" s="192">
        <f>SUMIF(Adjustment!$L$5:$L$24,Lists!$L$14,Adjustment!O$5:O$24)</f>
        <v>0</v>
      </c>
      <c r="G41" s="192">
        <f>SUMIF(Adjustment!$L$5:$L$24,Lists!$L$14,Adjustment!P$5:P$24)</f>
        <v>0</v>
      </c>
    </row>
    <row r="42" spans="2:10" ht="15" hidden="1" customHeight="1" outlineLevel="1" x14ac:dyDescent="0.3">
      <c r="C42" s="52" t="s">
        <v>356</v>
      </c>
      <c r="D42" s="192">
        <f>D40+D41</f>
        <v>0</v>
      </c>
      <c r="E42" s="192">
        <f>E40+E41</f>
        <v>0</v>
      </c>
      <c r="F42" s="192">
        <f>F40+F41</f>
        <v>0</v>
      </c>
      <c r="G42" s="192">
        <f>G40+G41</f>
        <v>0</v>
      </c>
    </row>
    <row r="43" spans="2:10" hidden="1" outlineLevel="1" x14ac:dyDescent="0.3">
      <c r="J43" s="52"/>
    </row>
    <row r="44" spans="2:10" hidden="1" outlineLevel="1" x14ac:dyDescent="0.3">
      <c r="B44" s="52" t="s">
        <v>349</v>
      </c>
      <c r="D44" s="58">
        <v>0.99990000000000001</v>
      </c>
      <c r="E44" s="58">
        <v>0.99950000000000006</v>
      </c>
      <c r="F44" s="58">
        <v>0.998</v>
      </c>
      <c r="G44" s="58">
        <v>0.995</v>
      </c>
      <c r="J44" s="52"/>
    </row>
    <row r="45" spans="2:10" hidden="1" outlineLevel="1" x14ac:dyDescent="0.3">
      <c r="C45" s="52" t="s">
        <v>750</v>
      </c>
      <c r="D45" s="190">
        <f>Input!$F727*'Risk Charges'!D190</f>
        <v>0</v>
      </c>
      <c r="E45" s="190">
        <f>Input!$F727*'Risk Charges'!E190</f>
        <v>0</v>
      </c>
      <c r="F45" s="190">
        <f>Input!$F727*'Risk Charges'!F190</f>
        <v>0</v>
      </c>
      <c r="G45" s="190">
        <f>Input!$F727*'Risk Charges'!G190</f>
        <v>0</v>
      </c>
      <c r="J45" s="52"/>
    </row>
    <row r="46" spans="2:10" hidden="1" outlineLevel="1" x14ac:dyDescent="0.3">
      <c r="C46" s="52" t="s">
        <v>276</v>
      </c>
      <c r="D46" s="192">
        <f>SUMIF(Adjustment!$L$5:$L$24,Lists!$L$15,Adjustment!M$5:M$24)</f>
        <v>0</v>
      </c>
      <c r="E46" s="192">
        <f>SUMIF(Adjustment!$L$5:$L$24,Lists!$L$15,Adjustment!N$5:N$24)</f>
        <v>0</v>
      </c>
      <c r="F46" s="192">
        <f>SUMIF(Adjustment!$L$5:$L$24,Lists!$L$15,Adjustment!O$5:O$24)</f>
        <v>0</v>
      </c>
      <c r="G46" s="192">
        <f>SUMIF(Adjustment!$L$5:$L$24,Lists!$L$15,Adjustment!P$5:P$24)</f>
        <v>0</v>
      </c>
      <c r="J46" s="52"/>
    </row>
    <row r="47" spans="2:10" hidden="1" outlineLevel="1" x14ac:dyDescent="0.3">
      <c r="C47" s="52" t="s">
        <v>356</v>
      </c>
      <c r="D47" s="192">
        <f>D45+D46</f>
        <v>0</v>
      </c>
      <c r="E47" s="192">
        <f>E45+E46</f>
        <v>0</v>
      </c>
      <c r="F47" s="192">
        <f>F45+F46</f>
        <v>0</v>
      </c>
      <c r="G47" s="192">
        <f>G45+G46</f>
        <v>0</v>
      </c>
    </row>
    <row r="48" spans="2:10" hidden="1" outlineLevel="1" x14ac:dyDescent="0.3">
      <c r="D48" s="191"/>
      <c r="E48" s="191"/>
      <c r="F48" s="191"/>
      <c r="G48" s="191"/>
    </row>
    <row r="49" spans="2:10" hidden="1" outlineLevel="1" x14ac:dyDescent="0.3">
      <c r="C49" s="52" t="s">
        <v>929</v>
      </c>
      <c r="D49" s="190">
        <f>MAX(0,Input!$F729-Input!$F727)*'Risk Charges'!P59*'Risk Charges'!D190</f>
        <v>0</v>
      </c>
      <c r="E49" s="190">
        <f>MAX(0,Input!$F729-Input!$F727)*'Risk Charges'!Q59*'Risk Charges'!E190</f>
        <v>0</v>
      </c>
      <c r="F49" s="190">
        <f>MAX(0,Input!$F729-Input!$F727)*'Risk Charges'!R59*'Risk Charges'!F190</f>
        <v>0</v>
      </c>
      <c r="G49" s="190">
        <f>MAX(0,Input!$F729-Input!$F727)*'Risk Charges'!S59*'Risk Charges'!G190</f>
        <v>0</v>
      </c>
    </row>
    <row r="50" spans="2:10" hidden="1" outlineLevel="1" x14ac:dyDescent="0.3">
      <c r="C50" s="52" t="s">
        <v>276</v>
      </c>
      <c r="D50" s="192">
        <f>SUMIF(Adjustment!$L$5:$L$24,Lists!$L$18,Adjustment!M$5:M$24)</f>
        <v>0</v>
      </c>
      <c r="E50" s="192">
        <f>SUMIF(Adjustment!$L$5:$L$24,Lists!$L$18,Adjustment!N$5:N$24)</f>
        <v>0</v>
      </c>
      <c r="F50" s="192">
        <f>SUMIF(Adjustment!$L$5:$L$24,Lists!$L$18,Adjustment!O$5:O$24)</f>
        <v>0</v>
      </c>
      <c r="G50" s="192">
        <f>SUMIF(Adjustment!$L$5:$L$24,Lists!$L$18,Adjustment!P$5:P$24)</f>
        <v>0</v>
      </c>
      <c r="J50" s="52"/>
    </row>
    <row r="51" spans="2:10" hidden="1" outlineLevel="1" x14ac:dyDescent="0.3">
      <c r="C51" s="52" t="s">
        <v>356</v>
      </c>
      <c r="D51" s="192">
        <f>D49+D50</f>
        <v>0</v>
      </c>
      <c r="E51" s="192">
        <f>E49+E50</f>
        <v>0</v>
      </c>
      <c r="F51" s="192">
        <f>F49+F50</f>
        <v>0</v>
      </c>
      <c r="G51" s="192">
        <f>G49+G50</f>
        <v>0</v>
      </c>
    </row>
    <row r="52" spans="2:10" collapsed="1" x14ac:dyDescent="0.3"/>
    <row r="53" spans="2:10" x14ac:dyDescent="0.3">
      <c r="B53" s="46" t="s">
        <v>1462</v>
      </c>
      <c r="C53" s="48"/>
      <c r="D53" s="48"/>
      <c r="E53" s="48"/>
      <c r="F53" s="48"/>
      <c r="G53" s="48"/>
      <c r="H53" s="48"/>
      <c r="I53" s="48"/>
      <c r="J53" s="46"/>
    </row>
    <row r="54" spans="2:10" hidden="1" outlineLevel="1" x14ac:dyDescent="0.3"/>
    <row r="55" spans="2:10" hidden="1" outlineLevel="1" x14ac:dyDescent="0.3"/>
    <row r="56" spans="2:10" hidden="1" outlineLevel="1" x14ac:dyDescent="0.3">
      <c r="C56" s="52" t="s">
        <v>4724</v>
      </c>
      <c r="G56" s="57" t="s">
        <v>875</v>
      </c>
      <c r="H56" s="57" t="s">
        <v>876</v>
      </c>
    </row>
    <row r="57" spans="2:10" hidden="1" outlineLevel="1" x14ac:dyDescent="0.3">
      <c r="C57" s="52" t="s">
        <v>308</v>
      </c>
      <c r="D57" s="190">
        <f>Input!$F735*$D20/1000</f>
        <v>0</v>
      </c>
      <c r="F57" s="49" t="s">
        <v>2185</v>
      </c>
      <c r="G57" s="190">
        <f>MIN(50,D57)</f>
        <v>0</v>
      </c>
      <c r="H57" s="190">
        <f>MIN(50,D58)</f>
        <v>0</v>
      </c>
    </row>
    <row r="58" spans="2:10" hidden="1" outlineLevel="1" x14ac:dyDescent="0.3">
      <c r="C58" s="52" t="s">
        <v>309</v>
      </c>
      <c r="D58" s="190">
        <f>Input!$F736*$D20/1000</f>
        <v>0</v>
      </c>
      <c r="F58" s="49" t="s">
        <v>2186</v>
      </c>
      <c r="G58" s="190">
        <f>MIN(200,D57-G57)</f>
        <v>0</v>
      </c>
      <c r="H58" s="190">
        <f>MIN(200,D58-H57)</f>
        <v>0</v>
      </c>
    </row>
    <row r="59" spans="2:10" hidden="1" outlineLevel="1" x14ac:dyDescent="0.3">
      <c r="F59" s="49" t="s">
        <v>2187</v>
      </c>
      <c r="G59" s="190">
        <f>D57-G57-G58</f>
        <v>0</v>
      </c>
      <c r="H59" s="190">
        <f>D58-H57-H58</f>
        <v>0</v>
      </c>
    </row>
    <row r="60" spans="2:10" hidden="1" outlineLevel="1" x14ac:dyDescent="0.3"/>
    <row r="61" spans="2:10" hidden="1" outlineLevel="1" x14ac:dyDescent="0.3">
      <c r="D61" s="57" t="s">
        <v>310</v>
      </c>
      <c r="E61" s="106"/>
      <c r="F61" s="106"/>
      <c r="G61" s="106"/>
    </row>
    <row r="62" spans="2:10" hidden="1" outlineLevel="1" x14ac:dyDescent="0.3">
      <c r="D62" s="58">
        <v>0.99990000000000001</v>
      </c>
      <c r="E62" s="58">
        <v>0.99950000000000006</v>
      </c>
      <c r="F62" s="58">
        <v>0.998</v>
      </c>
      <c r="G62" s="58">
        <v>0.995</v>
      </c>
    </row>
    <row r="63" spans="2:10" hidden="1" outlineLevel="1" x14ac:dyDescent="0.3">
      <c r="C63" s="49" t="s">
        <v>2185</v>
      </c>
      <c r="D63" s="190">
        <f>$G57*'Risk Charges'!P179*1000/$D$20</f>
        <v>0</v>
      </c>
      <c r="E63" s="190">
        <f>$G57*'Risk Charges'!Q179*1000/$D$20</f>
        <v>0</v>
      </c>
      <c r="F63" s="190">
        <f>$G57*'Risk Charges'!R179*1000/$D$20</f>
        <v>0</v>
      </c>
      <c r="G63" s="190">
        <f>$G57*'Risk Charges'!S179*1000/$D$20</f>
        <v>0</v>
      </c>
    </row>
    <row r="64" spans="2:10" hidden="1" outlineLevel="1" x14ac:dyDescent="0.3">
      <c r="C64" s="49" t="s">
        <v>2186</v>
      </c>
      <c r="D64" s="190">
        <f>$G58*'Risk Charges'!P180*1000/$D$20</f>
        <v>0</v>
      </c>
      <c r="E64" s="190">
        <f>$G58*'Risk Charges'!Q180*1000/$D$20</f>
        <v>0</v>
      </c>
      <c r="F64" s="190">
        <f>$G58*'Risk Charges'!R180*1000/$D$20</f>
        <v>0</v>
      </c>
      <c r="G64" s="190">
        <f>$G58*'Risk Charges'!S180*1000/$D$20</f>
        <v>0</v>
      </c>
    </row>
    <row r="65" spans="2:10" hidden="1" outlineLevel="1" x14ac:dyDescent="0.3">
      <c r="C65" s="49" t="s">
        <v>2187</v>
      </c>
      <c r="D65" s="190">
        <f>$G59*'Risk Charges'!P181*1000/$D$20</f>
        <v>0</v>
      </c>
      <c r="E65" s="190">
        <f>$G59*'Risk Charges'!Q181*1000/$D$20</f>
        <v>0</v>
      </c>
      <c r="F65" s="190">
        <f>$G59*'Risk Charges'!R181*1000/$D$20</f>
        <v>0</v>
      </c>
      <c r="G65" s="190">
        <f>$G59*'Risk Charges'!S181*1000/$D$20</f>
        <v>0</v>
      </c>
    </row>
    <row r="66" spans="2:10" hidden="1" outlineLevel="1" x14ac:dyDescent="0.3">
      <c r="D66" s="106"/>
      <c r="E66" s="106"/>
      <c r="F66" s="106"/>
      <c r="G66" s="106"/>
    </row>
    <row r="67" spans="2:10" hidden="1" outlineLevel="1" x14ac:dyDescent="0.3">
      <c r="D67" s="57" t="s">
        <v>311</v>
      </c>
      <c r="E67" s="106"/>
      <c r="F67" s="106"/>
      <c r="G67" s="106"/>
    </row>
    <row r="68" spans="2:10" hidden="1" outlineLevel="1" x14ac:dyDescent="0.3">
      <c r="D68" s="58">
        <v>0.99990000000000001</v>
      </c>
      <c r="E68" s="58">
        <v>0.99950000000000006</v>
      </c>
      <c r="F68" s="58">
        <v>0.998</v>
      </c>
      <c r="G68" s="58">
        <v>0.995</v>
      </c>
    </row>
    <row r="69" spans="2:10" hidden="1" outlineLevel="1" x14ac:dyDescent="0.3">
      <c r="C69" s="49" t="s">
        <v>2185</v>
      </c>
      <c r="D69" s="190">
        <f>$H57*'Risk Charges'!P185*1000/$D$20</f>
        <v>0</v>
      </c>
      <c r="E69" s="190">
        <f>$H57*'Risk Charges'!Q185*1000/$D$20</f>
        <v>0</v>
      </c>
      <c r="F69" s="190">
        <f>$H57*'Risk Charges'!R185*1000/$D$20</f>
        <v>0</v>
      </c>
      <c r="G69" s="190">
        <f>$H57*'Risk Charges'!S185*1000/$D$20</f>
        <v>0</v>
      </c>
    </row>
    <row r="70" spans="2:10" hidden="1" outlineLevel="1" x14ac:dyDescent="0.3">
      <c r="C70" s="49" t="s">
        <v>2186</v>
      </c>
      <c r="D70" s="190">
        <f>$H58*'Risk Charges'!P186*1000/$D$20</f>
        <v>0</v>
      </c>
      <c r="E70" s="190">
        <f>$H58*'Risk Charges'!Q186*1000/$D$20</f>
        <v>0</v>
      </c>
      <c r="F70" s="190">
        <f>$H58*'Risk Charges'!R186*1000/$D$20</f>
        <v>0</v>
      </c>
      <c r="G70" s="190">
        <f>$H58*'Risk Charges'!S186*1000/$D$20</f>
        <v>0</v>
      </c>
    </row>
    <row r="71" spans="2:10" hidden="1" outlineLevel="1" x14ac:dyDescent="0.3">
      <c r="C71" s="49" t="s">
        <v>2187</v>
      </c>
      <c r="D71" s="190">
        <f>$H59*'Risk Charges'!P187*1000/$D$20</f>
        <v>0</v>
      </c>
      <c r="E71" s="190">
        <f>$H59*'Risk Charges'!Q187*1000/$D$20</f>
        <v>0</v>
      </c>
      <c r="F71" s="190">
        <f>$H59*'Risk Charges'!R187*1000/$D$20</f>
        <v>0</v>
      </c>
      <c r="G71" s="190">
        <f>$H59*'Risk Charges'!S187*1000/$D$20</f>
        <v>0</v>
      </c>
    </row>
    <row r="72" spans="2:10" hidden="1" outlineLevel="1" x14ac:dyDescent="0.3">
      <c r="C72" s="52" t="s">
        <v>6</v>
      </c>
      <c r="D72" s="192">
        <f>SUM(D63:D65,D69:D71)</f>
        <v>0</v>
      </c>
      <c r="E72" s="192">
        <f t="shared" ref="E72:G72" si="1">SUM(E63:E65,E69:E71)</f>
        <v>0</v>
      </c>
      <c r="F72" s="192">
        <f t="shared" si="1"/>
        <v>0</v>
      </c>
      <c r="G72" s="192">
        <f t="shared" si="1"/>
        <v>0</v>
      </c>
    </row>
    <row r="73" spans="2:10" collapsed="1" x14ac:dyDescent="0.3"/>
    <row r="74" spans="2:10" x14ac:dyDescent="0.3">
      <c r="B74" s="46" t="s">
        <v>1463</v>
      </c>
      <c r="C74" s="48"/>
      <c r="D74" s="48"/>
      <c r="E74" s="48"/>
      <c r="F74" s="48"/>
      <c r="G74" s="48"/>
      <c r="H74" s="48"/>
      <c r="I74" s="48"/>
      <c r="J74" s="46"/>
    </row>
    <row r="75" spans="2:10" hidden="1" outlineLevel="1" x14ac:dyDescent="0.3"/>
    <row r="76" spans="2:10" hidden="1" outlineLevel="1" x14ac:dyDescent="0.3"/>
    <row r="77" spans="2:10" ht="26" hidden="1" outlineLevel="1" x14ac:dyDescent="0.3">
      <c r="D77" s="107" t="s">
        <v>4726</v>
      </c>
      <c r="E77" s="166" t="s">
        <v>784</v>
      </c>
      <c r="F77" s="166" t="s">
        <v>785</v>
      </c>
      <c r="G77" s="110">
        <v>0.99990000000000001</v>
      </c>
      <c r="H77" s="110">
        <v>0.99950000000000006</v>
      </c>
      <c r="I77" s="110">
        <v>0.998</v>
      </c>
      <c r="J77" s="110">
        <v>0.995</v>
      </c>
    </row>
    <row r="78" spans="2:10" hidden="1" outlineLevel="1" x14ac:dyDescent="0.3">
      <c r="C78" s="18" t="s">
        <v>811</v>
      </c>
      <c r="D78" s="190">
        <f>Input!F742*$D$20</f>
        <v>0</v>
      </c>
      <c r="E78" s="190">
        <f>MIN(D78, 50)</f>
        <v>0</v>
      </c>
      <c r="F78" s="190">
        <f>D78-E78</f>
        <v>0</v>
      </c>
      <c r="G78" s="190">
        <f>($E78*'Risk Charges'!D202+$F78*'Risk Charges'!D213)/$D$20</f>
        <v>0</v>
      </c>
      <c r="H78" s="190">
        <f>($E78*'Risk Charges'!E202+$F78*'Risk Charges'!E213)/$D$20</f>
        <v>0</v>
      </c>
      <c r="I78" s="190">
        <f>($E78*'Risk Charges'!F202+$F78*'Risk Charges'!F213)/$D$20</f>
        <v>0</v>
      </c>
      <c r="J78" s="190">
        <f>($E78*'Risk Charges'!G202+$F78*'Risk Charges'!G213)/$D$20</f>
        <v>0</v>
      </c>
    </row>
    <row r="79" spans="2:10" hidden="1" outlineLevel="1" x14ac:dyDescent="0.3">
      <c r="C79" s="18" t="s">
        <v>772</v>
      </c>
      <c r="D79" s="190">
        <f>Input!F743*$D$20</f>
        <v>0</v>
      </c>
      <c r="E79" s="190">
        <f t="shared" ref="E79:E85" si="2">MIN(D79, 50)</f>
        <v>0</v>
      </c>
      <c r="F79" s="190">
        <f t="shared" ref="F79:F85" si="3">D79-E79</f>
        <v>0</v>
      </c>
      <c r="G79" s="190">
        <f>($E79*'Risk Charges'!D203+$F79*'Risk Charges'!D214)/$D$20</f>
        <v>0</v>
      </c>
      <c r="H79" s="190">
        <f>($E79*'Risk Charges'!E203+$F79*'Risk Charges'!E214)/$D$20</f>
        <v>0</v>
      </c>
      <c r="I79" s="190">
        <f>($E79*'Risk Charges'!F203+$F79*'Risk Charges'!F214)/$D$20</f>
        <v>0</v>
      </c>
      <c r="J79" s="190">
        <f>($E79*'Risk Charges'!G203+$F79*'Risk Charges'!G214)/$D$20</f>
        <v>0</v>
      </c>
    </row>
    <row r="80" spans="2:10" hidden="1" outlineLevel="1" x14ac:dyDescent="0.3">
      <c r="C80" s="18" t="s">
        <v>773</v>
      </c>
      <c r="D80" s="190">
        <f>Input!F744*$D$20</f>
        <v>0</v>
      </c>
      <c r="E80" s="190">
        <f t="shared" si="2"/>
        <v>0</v>
      </c>
      <c r="F80" s="190">
        <f t="shared" si="3"/>
        <v>0</v>
      </c>
      <c r="G80" s="190">
        <f>($E80*'Risk Charges'!D204+$F80*'Risk Charges'!D215)/$D$20</f>
        <v>0</v>
      </c>
      <c r="H80" s="190">
        <f>($E80*'Risk Charges'!E204+$F80*'Risk Charges'!E215)/$D$20</f>
        <v>0</v>
      </c>
      <c r="I80" s="190">
        <f>($E80*'Risk Charges'!F204+$F80*'Risk Charges'!F215)/$D$20</f>
        <v>0</v>
      </c>
      <c r="J80" s="190">
        <f>($E80*'Risk Charges'!G204+$F80*'Risk Charges'!G215)/$D$20</f>
        <v>0</v>
      </c>
    </row>
    <row r="81" spans="2:10" hidden="1" outlineLevel="1" x14ac:dyDescent="0.3">
      <c r="C81" s="18" t="s">
        <v>774</v>
      </c>
      <c r="D81" s="190">
        <f>Input!F745*$D$20</f>
        <v>0</v>
      </c>
      <c r="E81" s="190">
        <f t="shared" si="2"/>
        <v>0</v>
      </c>
      <c r="F81" s="190">
        <f t="shared" si="3"/>
        <v>0</v>
      </c>
      <c r="G81" s="190">
        <f>($E81*'Risk Charges'!D205+$F81*'Risk Charges'!D216)/$D$20</f>
        <v>0</v>
      </c>
      <c r="H81" s="190">
        <f>($E81*'Risk Charges'!E205+$F81*'Risk Charges'!E216)/$D$20</f>
        <v>0</v>
      </c>
      <c r="I81" s="190">
        <f>($E81*'Risk Charges'!F205+$F81*'Risk Charges'!F216)/$D$20</f>
        <v>0</v>
      </c>
      <c r="J81" s="190">
        <f>($E81*'Risk Charges'!G205+$F81*'Risk Charges'!G216)/$D$20</f>
        <v>0</v>
      </c>
    </row>
    <row r="82" spans="2:10" hidden="1" outlineLevel="1" x14ac:dyDescent="0.3">
      <c r="C82" s="18" t="s">
        <v>775</v>
      </c>
      <c r="D82" s="190">
        <f>Input!F746*$D$20</f>
        <v>0</v>
      </c>
      <c r="E82" s="190">
        <f t="shared" si="2"/>
        <v>0</v>
      </c>
      <c r="F82" s="190">
        <f t="shared" si="3"/>
        <v>0</v>
      </c>
      <c r="G82" s="190">
        <f>($E82*'Risk Charges'!D206+$F82*'Risk Charges'!D217)/$D$20</f>
        <v>0</v>
      </c>
      <c r="H82" s="190">
        <f>($E82*'Risk Charges'!E206+$F82*'Risk Charges'!E217)/$D$20</f>
        <v>0</v>
      </c>
      <c r="I82" s="190">
        <f>($E82*'Risk Charges'!F206+$F82*'Risk Charges'!F217)/$D$20</f>
        <v>0</v>
      </c>
      <c r="J82" s="190">
        <f>($E82*'Risk Charges'!G206+$F82*'Risk Charges'!G217)/$D$20</f>
        <v>0</v>
      </c>
    </row>
    <row r="83" spans="2:10" hidden="1" outlineLevel="1" x14ac:dyDescent="0.3">
      <c r="C83" s="18" t="s">
        <v>776</v>
      </c>
      <c r="D83" s="190">
        <f>Input!F747*$D$20</f>
        <v>0</v>
      </c>
      <c r="E83" s="190">
        <f t="shared" si="2"/>
        <v>0</v>
      </c>
      <c r="F83" s="190">
        <f t="shared" si="3"/>
        <v>0</v>
      </c>
      <c r="G83" s="190">
        <f>($E83*'Risk Charges'!D207+$F83*'Risk Charges'!D218)/$D$20</f>
        <v>0</v>
      </c>
      <c r="H83" s="190">
        <f>($E83*'Risk Charges'!E207+$F83*'Risk Charges'!E218)/$D$20</f>
        <v>0</v>
      </c>
      <c r="I83" s="190">
        <f>($E83*'Risk Charges'!F207+$F83*'Risk Charges'!F218)/$D$20</f>
        <v>0</v>
      </c>
      <c r="J83" s="190">
        <f>($E83*'Risk Charges'!G207+$F83*'Risk Charges'!G218)/$D$20</f>
        <v>0</v>
      </c>
    </row>
    <row r="84" spans="2:10" hidden="1" outlineLevel="1" x14ac:dyDescent="0.3">
      <c r="C84" s="18" t="s">
        <v>777</v>
      </c>
      <c r="D84" s="190">
        <f>Input!F748*$D$20</f>
        <v>0</v>
      </c>
      <c r="E84" s="190">
        <f t="shared" si="2"/>
        <v>0</v>
      </c>
      <c r="F84" s="190">
        <f t="shared" si="3"/>
        <v>0</v>
      </c>
      <c r="G84" s="190">
        <f>($E84*'Risk Charges'!D208+$F84*'Risk Charges'!D219)/$D$20</f>
        <v>0</v>
      </c>
      <c r="H84" s="190">
        <f>($E84*'Risk Charges'!E208+$F84*'Risk Charges'!E219)/$D$20</f>
        <v>0</v>
      </c>
      <c r="I84" s="190">
        <f>($E84*'Risk Charges'!F208+$F84*'Risk Charges'!F219)/$D$20</f>
        <v>0</v>
      </c>
      <c r="J84" s="190">
        <f>($E84*'Risk Charges'!G208+$F84*'Risk Charges'!G219)/$D$20</f>
        <v>0</v>
      </c>
    </row>
    <row r="85" spans="2:10" hidden="1" outlineLevel="1" x14ac:dyDescent="0.3">
      <c r="C85" s="18" t="s">
        <v>778</v>
      </c>
      <c r="D85" s="190">
        <f>Input!F749*$D$20</f>
        <v>0</v>
      </c>
      <c r="E85" s="190">
        <f t="shared" si="2"/>
        <v>0</v>
      </c>
      <c r="F85" s="190">
        <f t="shared" si="3"/>
        <v>0</v>
      </c>
      <c r="G85" s="190">
        <f>($E85*'Risk Charges'!D209+$F85*'Risk Charges'!D220)/$D$20</f>
        <v>0</v>
      </c>
      <c r="H85" s="190">
        <f>($E85*'Risk Charges'!E209+$F85*'Risk Charges'!E220)/$D$20</f>
        <v>0</v>
      </c>
      <c r="I85" s="190">
        <f>($E85*'Risk Charges'!F209+$F85*'Risk Charges'!F220)/$D$20</f>
        <v>0</v>
      </c>
      <c r="J85" s="190">
        <f>($E85*'Risk Charges'!G209+$F85*'Risk Charges'!G220)/$D$20</f>
        <v>0</v>
      </c>
    </row>
    <row r="86" spans="2:10" hidden="1" outlineLevel="1" x14ac:dyDescent="0.3"/>
    <row r="87" spans="2:10" hidden="1" outlineLevel="1" x14ac:dyDescent="0.3">
      <c r="F87" s="52" t="s">
        <v>792</v>
      </c>
      <c r="G87" s="192">
        <f>SUM(G78:G85)</f>
        <v>0</v>
      </c>
      <c r="H87" s="192">
        <f>SUM(H78:H85)</f>
        <v>0</v>
      </c>
      <c r="I87" s="192">
        <f>SUM(I78:I85)</f>
        <v>0</v>
      </c>
      <c r="J87" s="192">
        <f>SUM(J78:J85)</f>
        <v>0</v>
      </c>
    </row>
    <row r="88" spans="2:10" hidden="1" outlineLevel="1" x14ac:dyDescent="0.3">
      <c r="F88" s="52" t="s">
        <v>793</v>
      </c>
      <c r="G88" s="190">
        <f>Input!$F$752*'Risk Charges'!D224</f>
        <v>0</v>
      </c>
      <c r="H88" s="190">
        <f>Input!$F$752*'Risk Charges'!E224</f>
        <v>0</v>
      </c>
      <c r="I88" s="190">
        <f>Input!$F$752*'Risk Charges'!F224</f>
        <v>0</v>
      </c>
      <c r="J88" s="190">
        <f>Input!$F$752*'Risk Charges'!G224</f>
        <v>0</v>
      </c>
    </row>
    <row r="89" spans="2:10" hidden="1" outlineLevel="1" x14ac:dyDescent="0.3">
      <c r="C89" s="49"/>
      <c r="F89" s="52" t="s">
        <v>794</v>
      </c>
      <c r="G89" s="192">
        <f>G87+G88</f>
        <v>0</v>
      </c>
      <c r="H89" s="192">
        <f t="shared" ref="H89:J89" si="4">H87+H88</f>
        <v>0</v>
      </c>
      <c r="I89" s="192">
        <f t="shared" si="4"/>
        <v>0</v>
      </c>
      <c r="J89" s="192">
        <f t="shared" si="4"/>
        <v>0</v>
      </c>
    </row>
    <row r="90" spans="2:10" collapsed="1" x14ac:dyDescent="0.3"/>
    <row r="91" spans="2:10" x14ac:dyDescent="0.3">
      <c r="B91" s="46" t="s">
        <v>1464</v>
      </c>
      <c r="C91" s="48"/>
      <c r="D91" s="48"/>
      <c r="E91" s="48"/>
      <c r="F91" s="48"/>
      <c r="G91" s="48"/>
      <c r="H91" s="48"/>
      <c r="I91" s="48"/>
      <c r="J91" s="46"/>
    </row>
    <row r="92" spans="2:10" hidden="1" outlineLevel="1" x14ac:dyDescent="0.3"/>
    <row r="93" spans="2:10" hidden="1" outlineLevel="1" x14ac:dyDescent="0.3">
      <c r="C93" s="50"/>
      <c r="D93" s="58">
        <v>0.99990000000000001</v>
      </c>
      <c r="E93" s="58">
        <v>0.99950000000000006</v>
      </c>
      <c r="F93" s="58">
        <v>0.998</v>
      </c>
      <c r="G93" s="58">
        <v>0.995</v>
      </c>
    </row>
    <row r="94" spans="2:10" hidden="1" outlineLevel="1" x14ac:dyDescent="0.3">
      <c r="B94" s="166" t="s">
        <v>813</v>
      </c>
      <c r="C94" s="52" t="s">
        <v>914</v>
      </c>
      <c r="D94" s="190">
        <f>Input!$F758*'Risk Charges'!D229</f>
        <v>0</v>
      </c>
      <c r="E94" s="190">
        <f>Input!$F758*'Risk Charges'!E229</f>
        <v>0</v>
      </c>
      <c r="F94" s="190">
        <f>Input!$F758*'Risk Charges'!F229</f>
        <v>0</v>
      </c>
      <c r="G94" s="190">
        <f>Input!$F758*'Risk Charges'!G229</f>
        <v>0</v>
      </c>
    </row>
    <row r="95" spans="2:10" hidden="1" outlineLevel="1" x14ac:dyDescent="0.3">
      <c r="B95" s="777" t="s">
        <v>812</v>
      </c>
      <c r="C95" s="52" t="s">
        <v>818</v>
      </c>
      <c r="D95" s="190">
        <f>Input!$F760*'Risk Charges'!D230</f>
        <v>0</v>
      </c>
      <c r="E95" s="190">
        <f>Input!$F760*'Risk Charges'!E230</f>
        <v>0</v>
      </c>
      <c r="F95" s="190">
        <f>Input!$F760*'Risk Charges'!F230</f>
        <v>0</v>
      </c>
      <c r="G95" s="190">
        <f>Input!$F760*'Risk Charges'!G230</f>
        <v>0</v>
      </c>
    </row>
    <row r="96" spans="2:10" hidden="1" outlineLevel="1" x14ac:dyDescent="0.3">
      <c r="B96" s="777"/>
      <c r="C96" s="52" t="s">
        <v>819</v>
      </c>
      <c r="D96" s="190">
        <f>Input!$F761*'Risk Charges'!D231</f>
        <v>0</v>
      </c>
      <c r="E96" s="190">
        <f>Input!$F761*'Risk Charges'!E231</f>
        <v>0</v>
      </c>
      <c r="F96" s="190">
        <f>Input!$F761*'Risk Charges'!F231</f>
        <v>0</v>
      </c>
      <c r="G96" s="190">
        <f>Input!$F761*'Risk Charges'!G231</f>
        <v>0</v>
      </c>
    </row>
    <row r="97" spans="2:10" hidden="1" outlineLevel="1" x14ac:dyDescent="0.3">
      <c r="B97" s="777"/>
      <c r="C97" s="52" t="s">
        <v>817</v>
      </c>
      <c r="D97" s="190">
        <f>Input!$F762*'Risk Charges'!D232</f>
        <v>0</v>
      </c>
      <c r="E97" s="190">
        <f>Input!$F762*'Risk Charges'!E232</f>
        <v>0</v>
      </c>
      <c r="F97" s="190">
        <f>Input!$F762*'Risk Charges'!F232</f>
        <v>0</v>
      </c>
      <c r="G97" s="190">
        <f>Input!$F762*'Risk Charges'!G232</f>
        <v>0</v>
      </c>
    </row>
    <row r="98" spans="2:10" hidden="1" outlineLevel="1" x14ac:dyDescent="0.3">
      <c r="C98" s="52" t="s">
        <v>6</v>
      </c>
      <c r="D98" s="192">
        <f>SUM(D94:D97)</f>
        <v>0</v>
      </c>
      <c r="E98" s="192">
        <f>SUM(E94:E97)</f>
        <v>0</v>
      </c>
      <c r="F98" s="192">
        <f>SUM(F94:F97)</f>
        <v>0</v>
      </c>
      <c r="G98" s="192">
        <f>SUM(G94:G97)</f>
        <v>0</v>
      </c>
    </row>
    <row r="99" spans="2:10" collapsed="1" x14ac:dyDescent="0.3"/>
    <row r="100" spans="2:10" x14ac:dyDescent="0.3">
      <c r="B100" s="46" t="s">
        <v>1470</v>
      </c>
      <c r="C100" s="48"/>
      <c r="D100" s="48"/>
      <c r="E100" s="48"/>
      <c r="F100" s="48"/>
      <c r="G100" s="48"/>
      <c r="H100" s="48"/>
      <c r="I100" s="48"/>
      <c r="J100" s="46"/>
    </row>
    <row r="101" spans="2:10" hidden="1" outlineLevel="1" x14ac:dyDescent="0.3"/>
    <row r="102" spans="2:10" hidden="1" outlineLevel="1" x14ac:dyDescent="0.3">
      <c r="D102" s="58">
        <v>0.99990000000000001</v>
      </c>
      <c r="E102" s="58">
        <v>0.99950000000000006</v>
      </c>
      <c r="F102" s="58">
        <v>0.998</v>
      </c>
      <c r="G102" s="58">
        <v>0.995</v>
      </c>
    </row>
    <row r="103" spans="2:10" hidden="1" outlineLevel="1" x14ac:dyDescent="0.3">
      <c r="C103" s="52" t="s">
        <v>795</v>
      </c>
      <c r="D103" s="190">
        <f>D72</f>
        <v>0</v>
      </c>
      <c r="E103" s="190">
        <f>E72</f>
        <v>0</v>
      </c>
      <c r="F103" s="190">
        <f>F72</f>
        <v>0</v>
      </c>
      <c r="G103" s="190">
        <f>G72</f>
        <v>0</v>
      </c>
    </row>
    <row r="104" spans="2:10" ht="14.4" hidden="1" customHeight="1" outlineLevel="1" x14ac:dyDescent="0.3">
      <c r="C104" s="52" t="s">
        <v>796</v>
      </c>
      <c r="D104" s="190">
        <f>G89</f>
        <v>0</v>
      </c>
      <c r="E104" s="190">
        <f>H89</f>
        <v>0</v>
      </c>
      <c r="F104" s="190">
        <f>I89</f>
        <v>0</v>
      </c>
      <c r="G104" s="190">
        <f>J89</f>
        <v>0</v>
      </c>
    </row>
    <row r="105" spans="2:10" hidden="1" outlineLevel="1" x14ac:dyDescent="0.3">
      <c r="C105" s="52" t="s">
        <v>1469</v>
      </c>
      <c r="D105" s="190">
        <f>D98</f>
        <v>0</v>
      </c>
      <c r="E105" s="190">
        <f>E98</f>
        <v>0</v>
      </c>
      <c r="F105" s="190">
        <f>F98</f>
        <v>0</v>
      </c>
      <c r="G105" s="190">
        <f>G98</f>
        <v>0</v>
      </c>
    </row>
    <row r="106" spans="2:10" hidden="1" outlineLevel="1" x14ac:dyDescent="0.3">
      <c r="C106" s="52" t="s">
        <v>6</v>
      </c>
      <c r="D106" s="192">
        <f>SUM(D103:D105)</f>
        <v>0</v>
      </c>
      <c r="E106" s="192">
        <f t="shared" ref="E106:G106" si="5">SUM(E103:E105)</f>
        <v>0</v>
      </c>
      <c r="F106" s="192">
        <f t="shared" si="5"/>
        <v>0</v>
      </c>
      <c r="G106" s="192">
        <f t="shared" si="5"/>
        <v>0</v>
      </c>
    </row>
    <row r="107" spans="2:10" hidden="1" outlineLevel="1" x14ac:dyDescent="0.3">
      <c r="C107" s="52" t="s">
        <v>276</v>
      </c>
      <c r="D107" s="192">
        <f>SUMIF(Adjustment!$L$5:$L$24,Lists!$L$16,Adjustment!M$5:M$24)</f>
        <v>0</v>
      </c>
      <c r="E107" s="192">
        <f>SUMIF(Adjustment!$L$5:$L$24,Lists!$L$16,Adjustment!N$5:N$24)</f>
        <v>0</v>
      </c>
      <c r="F107" s="192">
        <f>SUMIF(Adjustment!$L$5:$L$24,Lists!$L$16,Adjustment!O$5:O$24)</f>
        <v>0</v>
      </c>
      <c r="G107" s="192">
        <f>SUMIF(Adjustment!$L$5:$L$24,Lists!$L$16,Adjustment!P$5:P$24)</f>
        <v>0</v>
      </c>
    </row>
    <row r="108" spans="2:10" hidden="1" outlineLevel="1" x14ac:dyDescent="0.3">
      <c r="C108" s="52" t="s">
        <v>356</v>
      </c>
      <c r="D108" s="192">
        <f>D106+D107</f>
        <v>0</v>
      </c>
      <c r="E108" s="192">
        <f t="shared" ref="E108:G108" si="6">E106+E107</f>
        <v>0</v>
      </c>
      <c r="F108" s="192">
        <f t="shared" si="6"/>
        <v>0</v>
      </c>
      <c r="G108" s="192">
        <f t="shared" si="6"/>
        <v>0</v>
      </c>
    </row>
    <row r="109" spans="2:10" collapsed="1" x14ac:dyDescent="0.3"/>
    <row r="110" spans="2:10" x14ac:dyDescent="0.3">
      <c r="B110" s="46" t="s">
        <v>1465</v>
      </c>
      <c r="C110" s="48"/>
      <c r="D110" s="48"/>
      <c r="E110" s="48"/>
      <c r="F110" s="48"/>
      <c r="G110" s="48"/>
      <c r="H110" s="48"/>
      <c r="I110" s="48"/>
      <c r="J110" s="48"/>
    </row>
    <row r="111" spans="2:10" hidden="1" outlineLevel="1" x14ac:dyDescent="0.3"/>
    <row r="112" spans="2:10" ht="26" hidden="1" outlineLevel="1" x14ac:dyDescent="0.3">
      <c r="C112" s="112" t="s">
        <v>1092</v>
      </c>
      <c r="D112" s="482">
        <f>Input!F768+Input!F769</f>
        <v>0</v>
      </c>
      <c r="F112" s="167" t="s">
        <v>4112</v>
      </c>
      <c r="G112" s="172">
        <f>IFERROR(VLOOKUP(inp_long_reserve_cl,'Risk Charges'!I168:J171,2,FALSE),0)</f>
        <v>0</v>
      </c>
    </row>
    <row r="113" spans="2:16" ht="26" hidden="1" outlineLevel="1" x14ac:dyDescent="0.3">
      <c r="C113" s="112" t="s">
        <v>1093</v>
      </c>
      <c r="D113" s="482">
        <f>Input!F770</f>
        <v>0</v>
      </c>
      <c r="F113" s="485" t="s">
        <v>4122</v>
      </c>
      <c r="G113" s="486">
        <f>1-G112</f>
        <v>1</v>
      </c>
    </row>
    <row r="114" spans="2:16" ht="27.65" hidden="1" customHeight="1" outlineLevel="1" x14ac:dyDescent="0.3">
      <c r="C114" s="112" t="s">
        <v>1094</v>
      </c>
      <c r="D114" s="482">
        <f>Input!F771</f>
        <v>0</v>
      </c>
    </row>
    <row r="115" spans="2:16" hidden="1" outlineLevel="1" x14ac:dyDescent="0.3">
      <c r="D115" s="58">
        <v>0.99990000000000001</v>
      </c>
      <c r="E115" s="58">
        <v>0.99950000000000006</v>
      </c>
      <c r="F115" s="58">
        <v>0.998</v>
      </c>
      <c r="G115" s="58">
        <v>0.995</v>
      </c>
    </row>
    <row r="116" spans="2:16" hidden="1" outlineLevel="1" x14ac:dyDescent="0.3">
      <c r="C116" s="52" t="s">
        <v>1092</v>
      </c>
      <c r="D116" s="190">
        <f>$D112*'Risk Charges'!D169*$G$113</f>
        <v>0</v>
      </c>
      <c r="E116" s="190">
        <f>$D112*'Risk Charges'!E169*$G$113</f>
        <v>0</v>
      </c>
      <c r="F116" s="190">
        <f>$D112*'Risk Charges'!F169*$G$113</f>
        <v>0</v>
      </c>
      <c r="G116" s="190">
        <f>$D112*'Risk Charges'!G169*$G$113</f>
        <v>0</v>
      </c>
    </row>
    <row r="117" spans="2:16" hidden="1" outlineLevel="1" x14ac:dyDescent="0.3">
      <c r="C117" s="52" t="s">
        <v>1093</v>
      </c>
      <c r="D117" s="190">
        <f>$D113*'Risk Charges'!D170*$G$113</f>
        <v>0</v>
      </c>
      <c r="E117" s="190">
        <f>$D113*'Risk Charges'!E170*$G$113</f>
        <v>0</v>
      </c>
      <c r="F117" s="190">
        <f>$D113*'Risk Charges'!F170*$G$113</f>
        <v>0</v>
      </c>
      <c r="G117" s="190">
        <f>$D113*'Risk Charges'!G170*$G$113</f>
        <v>0</v>
      </c>
    </row>
    <row r="118" spans="2:16" hidden="1" outlineLevel="1" x14ac:dyDescent="0.3">
      <c r="C118" s="52" t="s">
        <v>1094</v>
      </c>
      <c r="D118" s="190">
        <f>$D114*'Risk Charges'!D171*$G$113</f>
        <v>0</v>
      </c>
      <c r="E118" s="190">
        <f>$D114*'Risk Charges'!E171*$G$113</f>
        <v>0</v>
      </c>
      <c r="F118" s="190">
        <f>$D114*'Risk Charges'!F171*$G$113</f>
        <v>0</v>
      </c>
      <c r="G118" s="190">
        <f>$D114*'Risk Charges'!G171*$G$113</f>
        <v>0</v>
      </c>
    </row>
    <row r="119" spans="2:16" hidden="1" outlineLevel="1" x14ac:dyDescent="0.3">
      <c r="C119" s="52" t="s">
        <v>6</v>
      </c>
      <c r="D119" s="192">
        <f>SUM(D116:D118)</f>
        <v>0</v>
      </c>
      <c r="E119" s="192">
        <f t="shared" ref="E119:G119" si="7">SUM(E116:E118)</f>
        <v>0</v>
      </c>
      <c r="F119" s="192">
        <f t="shared" si="7"/>
        <v>0</v>
      </c>
      <c r="G119" s="192">
        <f t="shared" si="7"/>
        <v>0</v>
      </c>
    </row>
    <row r="120" spans="2:16" hidden="1" outlineLevel="1" x14ac:dyDescent="0.3">
      <c r="C120" s="52" t="s">
        <v>276</v>
      </c>
      <c r="D120" s="192">
        <f>SUMIF(Adjustment!$L$5:$L$24,Lists!$L$17,Adjustment!M$5:M$24)</f>
        <v>0</v>
      </c>
      <c r="E120" s="192">
        <f>SUMIF(Adjustment!$L$5:$L$24,Lists!$L$17,Adjustment!N$5:N$24)</f>
        <v>0</v>
      </c>
      <c r="F120" s="192">
        <f>SUMIF(Adjustment!$L$5:$L$24,Lists!$L$17,Adjustment!O$5:O$24)</f>
        <v>0</v>
      </c>
      <c r="G120" s="192">
        <f>SUMIF(Adjustment!$L$5:$L$24,Lists!$L$17,Adjustment!P$5:P$24)</f>
        <v>0</v>
      </c>
    </row>
    <row r="121" spans="2:16" hidden="1" outlineLevel="1" x14ac:dyDescent="0.3">
      <c r="C121" s="52" t="s">
        <v>356</v>
      </c>
      <c r="D121" s="192">
        <f>D119+D120</f>
        <v>0</v>
      </c>
      <c r="E121" s="192">
        <f t="shared" ref="E121" si="8">E119+E120</f>
        <v>0</v>
      </c>
      <c r="F121" s="192">
        <f t="shared" ref="F121" si="9">F119+F120</f>
        <v>0</v>
      </c>
      <c r="G121" s="192">
        <f t="shared" ref="G121" si="10">G119+G120</f>
        <v>0</v>
      </c>
    </row>
    <row r="122" spans="2:16" collapsed="1" x14ac:dyDescent="0.3"/>
    <row r="123" spans="2:16" x14ac:dyDescent="0.3">
      <c r="B123" s="46" t="s">
        <v>1466</v>
      </c>
      <c r="C123" s="48"/>
      <c r="D123" s="48"/>
      <c r="E123" s="48"/>
      <c r="F123" s="48"/>
      <c r="G123" s="48"/>
      <c r="H123" s="48"/>
      <c r="I123" s="48"/>
      <c r="J123" s="46"/>
      <c r="L123" s="52"/>
      <c r="M123" s="57"/>
      <c r="N123" s="57"/>
      <c r="O123" s="57"/>
      <c r="P123" s="57"/>
    </row>
    <row r="124" spans="2:16" hidden="1" outlineLevel="1" x14ac:dyDescent="0.3"/>
    <row r="125" spans="2:16" ht="14.5" hidden="1" outlineLevel="1" x14ac:dyDescent="0.35">
      <c r="B125" s="177" t="s">
        <v>1151</v>
      </c>
    </row>
    <row r="126" spans="2:16" hidden="1" outlineLevel="1" x14ac:dyDescent="0.3">
      <c r="C126" s="52" t="s">
        <v>1152</v>
      </c>
      <c r="D126" s="192">
        <f>Input!I802</f>
        <v>0</v>
      </c>
    </row>
    <row r="127" spans="2:16" hidden="1" outlineLevel="1" x14ac:dyDescent="0.3">
      <c r="C127" s="52" t="s">
        <v>1153</v>
      </c>
      <c r="D127" s="229">
        <f>D126-Input!F48-Input!F50-Input!F51-Input!F53-Input!F55</f>
        <v>0</v>
      </c>
    </row>
    <row r="128" spans="2:16" hidden="1" outlineLevel="1" x14ac:dyDescent="0.3">
      <c r="C128" s="52" t="s">
        <v>1154</v>
      </c>
      <c r="D128" s="78">
        <f>IFERROR(D127/D126,1)</f>
        <v>1</v>
      </c>
    </row>
    <row r="129" spans="3:6" hidden="1" outlineLevel="1" x14ac:dyDescent="0.3"/>
    <row r="130" spans="3:6" ht="26" hidden="1" outlineLevel="1" x14ac:dyDescent="0.3">
      <c r="C130" s="166" t="s">
        <v>1090</v>
      </c>
      <c r="D130" s="167" t="s">
        <v>1091</v>
      </c>
      <c r="E130" s="167" t="s">
        <v>1088</v>
      </c>
      <c r="F130" s="111" t="s">
        <v>1089</v>
      </c>
    </row>
    <row r="131" spans="3:6" hidden="1" outlineLevel="1" x14ac:dyDescent="0.3">
      <c r="C131" s="125" t="s">
        <v>758</v>
      </c>
      <c r="D131" s="106">
        <v>3</v>
      </c>
      <c r="E131" s="192">
        <f>Input!F782*(1-Input!G782-Input!H782)</f>
        <v>0</v>
      </c>
      <c r="F131" s="192">
        <f>Input!F782*Input!G782</f>
        <v>0</v>
      </c>
    </row>
    <row r="132" spans="3:6" ht="26" hidden="1" outlineLevel="1" x14ac:dyDescent="0.3">
      <c r="C132" s="125" t="s">
        <v>2852</v>
      </c>
      <c r="D132" s="106">
        <v>3</v>
      </c>
      <c r="E132" s="192">
        <f>Input!F783*(1-Input!G783-Input!H783)</f>
        <v>0</v>
      </c>
      <c r="F132" s="192">
        <f>Input!F783*Input!G783</f>
        <v>0</v>
      </c>
    </row>
    <row r="133" spans="3:6" hidden="1" outlineLevel="1" x14ac:dyDescent="0.3">
      <c r="C133" s="125" t="s">
        <v>245</v>
      </c>
      <c r="D133" s="106"/>
      <c r="E133" s="192"/>
      <c r="F133" s="192"/>
    </row>
    <row r="134" spans="3:6" ht="26" hidden="1" outlineLevel="1" x14ac:dyDescent="0.3">
      <c r="C134" s="125" t="s">
        <v>759</v>
      </c>
      <c r="D134" s="106">
        <v>1</v>
      </c>
      <c r="E134" s="192">
        <f>Input!F785*(1-Input!G785-Input!H785)</f>
        <v>0</v>
      </c>
      <c r="F134" s="192">
        <f>Input!F785*Input!G785</f>
        <v>0</v>
      </c>
    </row>
    <row r="135" spans="3:6" hidden="1" outlineLevel="1" x14ac:dyDescent="0.3">
      <c r="C135" s="126"/>
      <c r="D135" s="106"/>
      <c r="E135" s="192"/>
      <c r="F135" s="192"/>
    </row>
    <row r="136" spans="3:6" hidden="1" outlineLevel="1" x14ac:dyDescent="0.3">
      <c r="C136" s="125" t="s">
        <v>760</v>
      </c>
      <c r="D136" s="106">
        <v>3</v>
      </c>
      <c r="E136" s="192">
        <f>Input!F787*(1-Input!G787-Input!H787)</f>
        <v>0</v>
      </c>
      <c r="F136" s="192">
        <f>Input!F787*Input!G787</f>
        <v>0</v>
      </c>
    </row>
    <row r="137" spans="3:6" ht="26" hidden="1" outlineLevel="1" x14ac:dyDescent="0.3">
      <c r="C137" s="125" t="s">
        <v>761</v>
      </c>
      <c r="D137" s="106">
        <v>2</v>
      </c>
      <c r="E137" s="192">
        <f>Input!F788*(1-Input!G788-Input!H788)</f>
        <v>0</v>
      </c>
      <c r="F137" s="192">
        <f>Input!F788*Input!G788</f>
        <v>0</v>
      </c>
    </row>
    <row r="138" spans="3:6" ht="26" hidden="1" outlineLevel="1" x14ac:dyDescent="0.3">
      <c r="C138" s="127" t="s">
        <v>762</v>
      </c>
      <c r="D138" s="106">
        <v>1</v>
      </c>
      <c r="E138" s="192">
        <f>Input!F789*(1-Input!G789-Input!H789)</f>
        <v>0</v>
      </c>
      <c r="F138" s="192">
        <f>Input!F789*Input!G789</f>
        <v>0</v>
      </c>
    </row>
    <row r="139" spans="3:6" hidden="1" outlineLevel="1" x14ac:dyDescent="0.3">
      <c r="C139" s="126"/>
      <c r="D139" s="106"/>
      <c r="E139" s="192"/>
      <c r="F139" s="192"/>
    </row>
    <row r="140" spans="3:6" hidden="1" outlineLevel="1" x14ac:dyDescent="0.3">
      <c r="C140" s="125" t="s">
        <v>763</v>
      </c>
      <c r="D140" s="106">
        <v>1</v>
      </c>
      <c r="E140" s="192">
        <f>Input!F791*(1-Input!G791-Input!H791)</f>
        <v>0</v>
      </c>
      <c r="F140" s="192">
        <f>Input!F791*Input!G791</f>
        <v>0</v>
      </c>
    </row>
    <row r="141" spans="3:6" ht="65" hidden="1" outlineLevel="1" x14ac:dyDescent="0.3">
      <c r="C141" s="125" t="s">
        <v>1387</v>
      </c>
      <c r="D141" s="106">
        <v>3</v>
      </c>
      <c r="E141" s="192">
        <f>Input!F792*(1-Input!G792-Input!H792)</f>
        <v>0</v>
      </c>
      <c r="F141" s="192">
        <f>Input!F792*Input!G792</f>
        <v>0</v>
      </c>
    </row>
    <row r="142" spans="3:6" hidden="1" outlineLevel="1" x14ac:dyDescent="0.3">
      <c r="C142" s="125"/>
      <c r="D142" s="106"/>
      <c r="E142" s="192"/>
      <c r="F142" s="192"/>
    </row>
    <row r="143" spans="3:6" hidden="1" outlineLevel="1" x14ac:dyDescent="0.3">
      <c r="C143" s="125" t="s">
        <v>302</v>
      </c>
      <c r="D143" s="106">
        <v>1</v>
      </c>
      <c r="E143" s="192">
        <f>Input!F794*(1-Input!G794-Input!H794)</f>
        <v>0</v>
      </c>
      <c r="F143" s="192">
        <f>Input!F794*Input!G794</f>
        <v>0</v>
      </c>
    </row>
    <row r="144" spans="3:6" ht="26" hidden="1" outlineLevel="1" x14ac:dyDescent="0.3">
      <c r="C144" s="125" t="s">
        <v>765</v>
      </c>
      <c r="D144" s="106">
        <v>3</v>
      </c>
      <c r="E144" s="192">
        <f>Input!F795*(1-Input!G795-Input!H795)</f>
        <v>0</v>
      </c>
      <c r="F144" s="192">
        <f>Input!F795*Input!G795</f>
        <v>0</v>
      </c>
    </row>
    <row r="145" spans="3:7" hidden="1" outlineLevel="1" x14ac:dyDescent="0.3">
      <c r="C145" s="126"/>
      <c r="D145" s="106"/>
      <c r="E145" s="192"/>
      <c r="F145" s="192"/>
    </row>
    <row r="146" spans="3:7" hidden="1" outlineLevel="1" x14ac:dyDescent="0.3">
      <c r="C146" s="125"/>
      <c r="D146" s="106"/>
      <c r="E146" s="192"/>
      <c r="F146" s="192"/>
    </row>
    <row r="147" spans="3:7" ht="26" hidden="1" outlineLevel="1" x14ac:dyDescent="0.3">
      <c r="C147" s="125" t="s">
        <v>767</v>
      </c>
      <c r="D147" s="106">
        <v>1</v>
      </c>
      <c r="E147" s="192">
        <f>Input!F798*(1-Input!G798-Input!H798)</f>
        <v>0</v>
      </c>
      <c r="F147" s="192">
        <f>Input!F798*Input!G798</f>
        <v>0</v>
      </c>
    </row>
    <row r="148" spans="3:7" hidden="1" outlineLevel="1" x14ac:dyDescent="0.3">
      <c r="C148" s="125" t="s">
        <v>768</v>
      </c>
      <c r="D148" s="106">
        <v>3</v>
      </c>
      <c r="E148" s="192">
        <f>Input!F799*(1-Input!G799-Input!H799)</f>
        <v>0</v>
      </c>
      <c r="F148" s="192">
        <f>Input!F799*Input!G799</f>
        <v>0</v>
      </c>
    </row>
    <row r="149" spans="3:7" hidden="1" outlineLevel="1" x14ac:dyDescent="0.3">
      <c r="C149" s="125" t="s">
        <v>769</v>
      </c>
      <c r="D149" s="106">
        <v>1</v>
      </c>
      <c r="E149" s="192">
        <f>Input!F800*(1-Input!G800-Input!H800)</f>
        <v>0</v>
      </c>
      <c r="F149" s="192">
        <f>Input!F800*Input!G800</f>
        <v>0</v>
      </c>
    </row>
    <row r="150" spans="3:7" hidden="1" outlineLevel="1" x14ac:dyDescent="0.3"/>
    <row r="151" spans="3:7" hidden="1" outlineLevel="1" x14ac:dyDescent="0.3">
      <c r="C151" s="57" t="s">
        <v>352</v>
      </c>
      <c r="D151" s="57" t="s">
        <v>18</v>
      </c>
    </row>
    <row r="152" spans="3:7" hidden="1" outlineLevel="1" x14ac:dyDescent="0.3">
      <c r="C152" s="31">
        <v>1</v>
      </c>
      <c r="D152" s="190">
        <f>SUMIF($D$131:$D$149,C152,$E$131:$E$149)</f>
        <v>0</v>
      </c>
    </row>
    <row r="153" spans="3:7" hidden="1" outlineLevel="1" x14ac:dyDescent="0.3">
      <c r="C153" s="31">
        <v>2</v>
      </c>
      <c r="D153" s="190">
        <f>SUMIF($D$131:$D$149,C153,$E$131:$E$149)+SUMIF($D$131:$D$149,C152,$F$131:$F$149)</f>
        <v>0</v>
      </c>
    </row>
    <row r="154" spans="3:7" hidden="1" outlineLevel="1" x14ac:dyDescent="0.3">
      <c r="C154" s="31">
        <v>3</v>
      </c>
      <c r="D154" s="190">
        <f>SUMIF($D$131:$D$149,C154,$E$131:$E$149)+SUMPRODUCT(Input!F781:F800,Input!H781:H800)</f>
        <v>0</v>
      </c>
    </row>
    <row r="155" spans="3:7" hidden="1" outlineLevel="1" x14ac:dyDescent="0.3">
      <c r="D155" s="49"/>
      <c r="E155" s="49"/>
    </row>
    <row r="156" spans="3:7" hidden="1" outlineLevel="1" x14ac:dyDescent="0.3">
      <c r="D156" s="58">
        <v>0.99990000000000001</v>
      </c>
      <c r="E156" s="58">
        <v>0.99950000000000006</v>
      </c>
      <c r="F156" s="58">
        <v>0.998</v>
      </c>
      <c r="G156" s="58">
        <v>0.995</v>
      </c>
    </row>
    <row r="157" spans="3:7" hidden="1" outlineLevel="1" x14ac:dyDescent="0.3">
      <c r="C157" s="18" t="s">
        <v>1092</v>
      </c>
      <c r="D157" s="190">
        <f>$D152*'Risk Charges'!D161</f>
        <v>0</v>
      </c>
      <c r="E157" s="190">
        <f>$D152*'Risk Charges'!E161</f>
        <v>0</v>
      </c>
      <c r="F157" s="190">
        <f>$D152*'Risk Charges'!F161</f>
        <v>0</v>
      </c>
      <c r="G157" s="190">
        <f>$D152*'Risk Charges'!G161</f>
        <v>0</v>
      </c>
    </row>
    <row r="158" spans="3:7" hidden="1" outlineLevel="1" x14ac:dyDescent="0.3">
      <c r="C158" s="18" t="s">
        <v>1093</v>
      </c>
      <c r="D158" s="190">
        <f>$D153*'Risk Charges'!D162</f>
        <v>0</v>
      </c>
      <c r="E158" s="190">
        <f>$D153*'Risk Charges'!E162</f>
        <v>0</v>
      </c>
      <c r="F158" s="190">
        <f>$D153*'Risk Charges'!F162</f>
        <v>0</v>
      </c>
      <c r="G158" s="190">
        <f>$D153*'Risk Charges'!G162</f>
        <v>0</v>
      </c>
    </row>
    <row r="159" spans="3:7" hidden="1" outlineLevel="1" x14ac:dyDescent="0.3">
      <c r="C159" s="18" t="s">
        <v>1094</v>
      </c>
      <c r="D159" s="190">
        <f>$D154*'Risk Charges'!D163</f>
        <v>0</v>
      </c>
      <c r="E159" s="190">
        <f>$D154*'Risk Charges'!E163</f>
        <v>0</v>
      </c>
      <c r="F159" s="190">
        <f>$D154*'Risk Charges'!F163</f>
        <v>0</v>
      </c>
      <c r="G159" s="190">
        <f>$D154*'Risk Charges'!G163</f>
        <v>0</v>
      </c>
    </row>
    <row r="160" spans="3:7" hidden="1" outlineLevel="1" x14ac:dyDescent="0.3">
      <c r="C160" s="52" t="s">
        <v>6</v>
      </c>
      <c r="D160" s="192">
        <f>SUM(D157:D159)</f>
        <v>0</v>
      </c>
      <c r="E160" s="192">
        <f>SUM(E157:E159)</f>
        <v>0</v>
      </c>
      <c r="F160" s="192">
        <f>SUM(F157:F159)</f>
        <v>0</v>
      </c>
      <c r="G160" s="192">
        <f>SUM(G157:G159)</f>
        <v>0</v>
      </c>
    </row>
    <row r="161" spans="2:10" hidden="1" outlineLevel="1" x14ac:dyDescent="0.3">
      <c r="C161" s="52" t="s">
        <v>1381</v>
      </c>
      <c r="D161" s="192">
        <f>D160*(1-$D128)</f>
        <v>0</v>
      </c>
      <c r="E161" s="192">
        <f t="shared" ref="E161:G161" si="11">E160*(1-$D128)</f>
        <v>0</v>
      </c>
      <c r="F161" s="192">
        <f t="shared" si="11"/>
        <v>0</v>
      </c>
      <c r="G161" s="192">
        <f t="shared" si="11"/>
        <v>0</v>
      </c>
    </row>
    <row r="162" spans="2:10" hidden="1" outlineLevel="1" x14ac:dyDescent="0.3">
      <c r="C162" s="52" t="s">
        <v>1382</v>
      </c>
      <c r="D162" s="192">
        <f>SUMIF(Adjustment!$L$5:$L$24,Lists!$L$19,Adjustment!M$5:M$24)</f>
        <v>0</v>
      </c>
      <c r="E162" s="192">
        <f>SUMIF(Adjustment!$L$5:$L$24,Lists!$L$19,Adjustment!N$5:N$24)</f>
        <v>0</v>
      </c>
      <c r="F162" s="192">
        <f>SUMIF(Adjustment!$L$5:$L$24,Lists!$L$19,Adjustment!O$5:O$24)</f>
        <v>0</v>
      </c>
      <c r="G162" s="192">
        <f>SUMIF(Adjustment!$L$5:$L$24,Lists!$L$19,Adjustment!P$5:P$24)</f>
        <v>0</v>
      </c>
    </row>
    <row r="163" spans="2:10" hidden="1" outlineLevel="1" x14ac:dyDescent="0.3">
      <c r="C163" s="52" t="s">
        <v>356</v>
      </c>
      <c r="D163" s="192">
        <f>D160-D161+D162</f>
        <v>0</v>
      </c>
      <c r="E163" s="192">
        <f t="shared" ref="E163:G163" si="12">E160-E161+E162</f>
        <v>0</v>
      </c>
      <c r="F163" s="192">
        <f t="shared" si="12"/>
        <v>0</v>
      </c>
      <c r="G163" s="192">
        <f t="shared" si="12"/>
        <v>0</v>
      </c>
      <c r="J163" s="50"/>
    </row>
    <row r="164" spans="2:10" collapsed="1" x14ac:dyDescent="0.3"/>
    <row r="165" spans="2:10" x14ac:dyDescent="0.3">
      <c r="B165" s="46" t="s">
        <v>1467</v>
      </c>
      <c r="C165" s="48"/>
      <c r="D165" s="48"/>
      <c r="E165" s="48"/>
      <c r="F165" s="48"/>
      <c r="G165" s="48"/>
      <c r="H165" s="48"/>
      <c r="I165" s="48"/>
      <c r="J165" s="46"/>
    </row>
    <row r="166" spans="2:10" hidden="1" outlineLevel="1" x14ac:dyDescent="0.3"/>
    <row r="167" spans="2:10" hidden="1" outlineLevel="1" x14ac:dyDescent="0.3">
      <c r="C167" s="52" t="s">
        <v>891</v>
      </c>
      <c r="D167" s="56">
        <f>MAX(Input!F815,'Risk Charges'!D195)</f>
        <v>0.2</v>
      </c>
    </row>
    <row r="168" spans="2:10" hidden="1" outlineLevel="1" x14ac:dyDescent="0.3"/>
    <row r="169" spans="2:10" hidden="1" outlineLevel="1" x14ac:dyDescent="0.3">
      <c r="C169" s="52" t="s">
        <v>892</v>
      </c>
      <c r="D169" s="56">
        <f>1-D167</f>
        <v>0.8</v>
      </c>
    </row>
    <row r="170" spans="2:10" hidden="1" outlineLevel="1" x14ac:dyDescent="0.3">
      <c r="C170" s="52" t="s">
        <v>893</v>
      </c>
      <c r="D170" s="56">
        <f>D167</f>
        <v>0.2</v>
      </c>
    </row>
    <row r="171" spans="2:10" hidden="1" outlineLevel="1" x14ac:dyDescent="0.3"/>
    <row r="172" spans="2:10" hidden="1" outlineLevel="1" x14ac:dyDescent="0.3">
      <c r="D172" s="58">
        <v>0.99990000000000001</v>
      </c>
      <c r="E172" s="58">
        <v>0.99950000000000006</v>
      </c>
      <c r="F172" s="58">
        <v>0.998</v>
      </c>
      <c r="G172" s="58">
        <v>0.995</v>
      </c>
    </row>
    <row r="173" spans="2:10" hidden="1" outlineLevel="1" x14ac:dyDescent="0.3">
      <c r="C173" s="52" t="s">
        <v>894</v>
      </c>
      <c r="D173" s="190">
        <f t="array" ref="D173:G173">TRANSPOSE(Input!F810:F813*D169+Input!G810:G813*D170-Input!F817)</f>
        <v>0</v>
      </c>
      <c r="E173" s="190">
        <v>0</v>
      </c>
      <c r="F173" s="190">
        <v>0</v>
      </c>
      <c r="G173" s="190">
        <v>0</v>
      </c>
    </row>
    <row r="174" spans="2:10" hidden="1" outlineLevel="1" x14ac:dyDescent="0.3">
      <c r="C174" s="52" t="s">
        <v>895</v>
      </c>
      <c r="D174" s="190">
        <f>MAX(0,D173)</f>
        <v>0</v>
      </c>
      <c r="E174" s="190">
        <f t="shared" ref="E174:G174" si="13">MAX(0,E173)</f>
        <v>0</v>
      </c>
      <c r="F174" s="190">
        <f t="shared" si="13"/>
        <v>0</v>
      </c>
      <c r="G174" s="190">
        <f t="shared" si="13"/>
        <v>0</v>
      </c>
    </row>
    <row r="175" spans="2:10" collapsed="1" x14ac:dyDescent="0.3"/>
    <row r="176" spans="2:10" x14ac:dyDescent="0.3">
      <c r="B176" s="46" t="s">
        <v>1468</v>
      </c>
      <c r="C176" s="46"/>
      <c r="D176" s="46"/>
      <c r="E176" s="46"/>
      <c r="F176" s="46"/>
      <c r="G176" s="46"/>
      <c r="H176" s="46"/>
      <c r="I176" s="46"/>
      <c r="J176" s="46"/>
    </row>
    <row r="177" spans="2:10" hidden="1" outlineLevel="1" x14ac:dyDescent="0.3"/>
    <row r="178" spans="2:10" hidden="1" outlineLevel="1" x14ac:dyDescent="0.3">
      <c r="C178" s="50"/>
      <c r="D178" s="58">
        <v>0.99990000000000001</v>
      </c>
      <c r="E178" s="58">
        <v>0.99950000000000006</v>
      </c>
      <c r="F178" s="58">
        <v>0.998</v>
      </c>
      <c r="G178" s="58">
        <v>0.995</v>
      </c>
    </row>
    <row r="179" spans="2:10" hidden="1" outlineLevel="1" x14ac:dyDescent="0.3">
      <c r="C179" s="52" t="s">
        <v>824</v>
      </c>
      <c r="D179" s="190">
        <f>(Input!$F$48+Input!$F$49)*'Risk Charges'!D238</f>
        <v>0</v>
      </c>
      <c r="E179" s="190">
        <f>(Input!$F$48+Input!$F$49)*'Risk Charges'!E238</f>
        <v>0</v>
      </c>
      <c r="F179" s="190">
        <f>(Input!$F$48+Input!$F$49)*'Risk Charges'!F238</f>
        <v>0</v>
      </c>
      <c r="G179" s="190">
        <f>(Input!$F$48+Input!$F$49)*'Risk Charges'!G238</f>
        <v>0</v>
      </c>
    </row>
    <row r="180" spans="2:10" collapsed="1" x14ac:dyDescent="0.3"/>
    <row r="181" spans="2:10" x14ac:dyDescent="0.3">
      <c r="B181" s="500" t="s">
        <v>4137</v>
      </c>
      <c r="C181" s="46"/>
      <c r="D181" s="46"/>
      <c r="E181" s="46"/>
      <c r="F181" s="46"/>
      <c r="G181" s="46"/>
      <c r="H181" s="46"/>
      <c r="I181" s="46"/>
      <c r="J181" s="46"/>
    </row>
    <row r="182" spans="2:10" hidden="1" outlineLevel="1" x14ac:dyDescent="0.3"/>
    <row r="183" spans="2:10" hidden="1" outlineLevel="1" x14ac:dyDescent="0.3">
      <c r="C183" s="50"/>
      <c r="D183" s="58">
        <v>0.99990000000000001</v>
      </c>
      <c r="E183" s="58">
        <v>0.99950000000000006</v>
      </c>
      <c r="F183" s="58">
        <v>0.998</v>
      </c>
      <c r="G183" s="58">
        <v>0.995</v>
      </c>
    </row>
    <row r="184" spans="2:10" hidden="1" outlineLevel="1" x14ac:dyDescent="0.3">
      <c r="C184" s="52" t="s">
        <v>4140</v>
      </c>
      <c r="D184" s="190">
        <f>Input!$F$831*'Risk Charges'!D244</f>
        <v>0</v>
      </c>
      <c r="E184" s="190">
        <f>Input!$F$831*'Risk Charges'!E244</f>
        <v>0</v>
      </c>
      <c r="F184" s="190">
        <f>Input!$F$831*'Risk Charges'!F244</f>
        <v>0</v>
      </c>
      <c r="G184" s="190">
        <f>Input!$F$831*'Risk Charges'!G244</f>
        <v>0</v>
      </c>
      <c r="H184" s="50"/>
    </row>
    <row r="185" spans="2:10" hidden="1" outlineLevel="1" x14ac:dyDescent="0.3"/>
    <row r="186" spans="2:10" collapsed="1" x14ac:dyDescent="0.3"/>
  </sheetData>
  <sheetProtection algorithmName="SHA-512" hashValue="auMyTOOlBbkNZYit7wa3yATVp4ku1XivFdTmKoZcvDXTCuVCZs8z+BlMx420tewVtspuZb60BhWjQP4DBTcgbw==" saltValue="ktB7O9wUxFYUDw6Ka4O9vw==" spinCount="100000" sheet="1" objects="1" scenarios="1" formatColumns="0" formatRows="0"/>
  <mergeCells count="1">
    <mergeCell ref="B95:B97"/>
  </mergeCells>
  <phoneticPr fontId="14" type="noConversion"/>
  <conditionalFormatting sqref="A1:K200">
    <cfRule type="expression" dxfId="24" priority="10">
      <formula>_xlfn.ISFORMULA(A1)</formula>
    </cfRule>
  </conditionalFormatting>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E1613-F07C-4F30-90CB-502806F2DE8B}">
  <sheetPr codeName="Sheet1">
    <tabColor theme="6" tint="0.39997558519241921"/>
  </sheetPr>
  <dimension ref="A1:AE90"/>
  <sheetViews>
    <sheetView showGridLines="0" zoomScaleNormal="100" workbookViewId="0"/>
  </sheetViews>
  <sheetFormatPr defaultColWidth="8.6328125" defaultRowHeight="13" outlineLevelRow="1" x14ac:dyDescent="0.35"/>
  <cols>
    <col min="1" max="1" width="5.54296875" style="64" customWidth="1"/>
    <col min="2" max="2" width="23.36328125" style="64" bestFit="1" customWidth="1"/>
    <col min="3" max="3" width="17.6328125" style="64" bestFit="1" customWidth="1"/>
    <col min="4" max="4" width="16.36328125" style="64" customWidth="1"/>
    <col min="5" max="5" width="14.54296875" style="64" customWidth="1"/>
    <col min="6" max="6" width="11.6328125" style="64" customWidth="1"/>
    <col min="7" max="7" width="13.08984375" style="64" customWidth="1"/>
    <col min="8" max="8" width="11.36328125" style="64" customWidth="1"/>
    <col min="9" max="16" width="6.90625" style="64" bestFit="1" customWidth="1"/>
    <col min="17" max="18" width="10.36328125" style="64" customWidth="1"/>
    <col min="19" max="20" width="5.36328125" style="64" customWidth="1"/>
    <col min="21" max="21" width="9.36328125" style="64" customWidth="1"/>
    <col min="22" max="22" width="16.36328125" style="64" customWidth="1"/>
    <col min="23" max="30" width="9.36328125" style="64" customWidth="1"/>
    <col min="31" max="16384" width="8.6328125" style="64"/>
  </cols>
  <sheetData>
    <row r="1" spans="1:30" ht="44.4" customHeight="1" x14ac:dyDescent="0.3">
      <c r="A1" s="45"/>
    </row>
    <row r="2" spans="1:30" x14ac:dyDescent="0.3">
      <c r="B2" s="46" t="s">
        <v>1102</v>
      </c>
      <c r="C2" s="46"/>
      <c r="D2" s="46"/>
      <c r="E2" s="46"/>
      <c r="F2" s="46"/>
      <c r="G2" s="46"/>
      <c r="H2" s="46"/>
      <c r="I2" s="46"/>
      <c r="J2" s="46"/>
      <c r="K2" s="46"/>
      <c r="L2" s="46"/>
      <c r="M2" s="46"/>
      <c r="N2" s="46"/>
      <c r="O2" s="46"/>
      <c r="P2" s="46"/>
      <c r="Q2" s="46"/>
      <c r="R2" s="46"/>
      <c r="S2" s="46"/>
      <c r="T2" s="46"/>
      <c r="U2" s="46"/>
      <c r="V2" s="46"/>
      <c r="W2" s="46"/>
      <c r="X2" s="46"/>
      <c r="Y2" s="46"/>
      <c r="Z2" s="46"/>
      <c r="AA2" s="46"/>
      <c r="AB2" s="46"/>
      <c r="AC2" s="46"/>
      <c r="AD2" s="46"/>
    </row>
    <row r="3" spans="1:30" hidden="1" outlineLevel="1" x14ac:dyDescent="0.35"/>
    <row r="4" spans="1:30" ht="15.5" hidden="1" outlineLevel="1" x14ac:dyDescent="0.35">
      <c r="B4" s="793" t="s">
        <v>4159</v>
      </c>
      <c r="C4" s="794"/>
      <c r="D4" s="794"/>
      <c r="E4" s="794"/>
      <c r="F4" s="794"/>
      <c r="G4" s="794"/>
      <c r="H4" s="795"/>
    </row>
    <row r="5" spans="1:30" hidden="1" outlineLevel="1" x14ac:dyDescent="0.35">
      <c r="B5" s="679" t="s">
        <v>352</v>
      </c>
      <c r="C5" s="681" t="s">
        <v>20</v>
      </c>
      <c r="D5" s="681" t="s">
        <v>21</v>
      </c>
      <c r="E5" s="677">
        <v>0.99990000000000001</v>
      </c>
      <c r="F5" s="677">
        <v>0.99950000000000006</v>
      </c>
      <c r="G5" s="677">
        <v>0.998</v>
      </c>
      <c r="H5" s="677">
        <v>0.995</v>
      </c>
    </row>
    <row r="6" spans="1:30" hidden="1" outlineLevel="1" x14ac:dyDescent="0.3">
      <c r="B6" s="69">
        <f>Lists!U3</f>
        <v>1</v>
      </c>
      <c r="C6" s="70" t="str">
        <f>Lists!$T$3</f>
        <v>Up</v>
      </c>
      <c r="D6" s="70" t="str">
        <f t="shared" ref="D6:D15" si="0">CONCATENATE(B6,C6)</f>
        <v>1Up</v>
      </c>
      <c r="E6" s="72">
        <v>130</v>
      </c>
      <c r="F6" s="72">
        <v>115</v>
      </c>
      <c r="G6" s="72">
        <v>105</v>
      </c>
      <c r="H6" s="72">
        <v>95</v>
      </c>
    </row>
    <row r="7" spans="1:30" hidden="1" outlineLevel="1" x14ac:dyDescent="0.3">
      <c r="B7" s="69">
        <f>Lists!U3</f>
        <v>1</v>
      </c>
      <c r="C7" s="70" t="str">
        <f>Lists!$T$4</f>
        <v>Down</v>
      </c>
      <c r="D7" s="70" t="str">
        <f t="shared" si="0"/>
        <v>1Down</v>
      </c>
      <c r="E7" s="72">
        <v>120</v>
      </c>
      <c r="F7" s="72">
        <v>105</v>
      </c>
      <c r="G7" s="72">
        <v>95</v>
      </c>
      <c r="H7" s="72">
        <v>85</v>
      </c>
    </row>
    <row r="8" spans="1:30" hidden="1" outlineLevel="1" x14ac:dyDescent="0.3">
      <c r="B8" s="69">
        <f>Lists!U4</f>
        <v>2</v>
      </c>
      <c r="C8" s="70" t="str">
        <f>Lists!$T$3</f>
        <v>Up</v>
      </c>
      <c r="D8" s="70" t="str">
        <f t="shared" si="0"/>
        <v>2Up</v>
      </c>
      <c r="E8" s="72">
        <v>180</v>
      </c>
      <c r="F8" s="72">
        <v>160</v>
      </c>
      <c r="G8" s="72">
        <v>145</v>
      </c>
      <c r="H8" s="72">
        <v>135</v>
      </c>
    </row>
    <row r="9" spans="1:30" hidden="1" outlineLevel="1" x14ac:dyDescent="0.3">
      <c r="B9" s="69">
        <f>Lists!U4</f>
        <v>2</v>
      </c>
      <c r="C9" s="70" t="str">
        <f>Lists!$T$4</f>
        <v>Down</v>
      </c>
      <c r="D9" s="70" t="str">
        <f t="shared" si="0"/>
        <v>2Down</v>
      </c>
      <c r="E9" s="72">
        <v>170</v>
      </c>
      <c r="F9" s="72">
        <v>150</v>
      </c>
      <c r="G9" s="72">
        <v>135</v>
      </c>
      <c r="H9" s="72">
        <v>120</v>
      </c>
    </row>
    <row r="10" spans="1:30" hidden="1" outlineLevel="1" x14ac:dyDescent="0.3">
      <c r="B10" s="69">
        <f>Lists!U5</f>
        <v>3</v>
      </c>
      <c r="C10" s="70" t="str">
        <f>Lists!$T$3</f>
        <v>Up</v>
      </c>
      <c r="D10" s="70" t="str">
        <f t="shared" si="0"/>
        <v>3Up</v>
      </c>
      <c r="E10" s="72">
        <v>275</v>
      </c>
      <c r="F10" s="72">
        <v>250</v>
      </c>
      <c r="G10" s="72">
        <v>220</v>
      </c>
      <c r="H10" s="72">
        <v>205</v>
      </c>
    </row>
    <row r="11" spans="1:30" hidden="1" outlineLevel="1" x14ac:dyDescent="0.3">
      <c r="B11" s="69">
        <f>Lists!U5</f>
        <v>3</v>
      </c>
      <c r="C11" s="70" t="str">
        <f>Lists!$T$4</f>
        <v>Down</v>
      </c>
      <c r="D11" s="70" t="str">
        <f t="shared" si="0"/>
        <v>3Down</v>
      </c>
      <c r="E11" s="72">
        <v>255</v>
      </c>
      <c r="F11" s="72">
        <v>225</v>
      </c>
      <c r="G11" s="72">
        <v>195</v>
      </c>
      <c r="H11" s="72">
        <v>175</v>
      </c>
    </row>
    <row r="12" spans="1:30" hidden="1" outlineLevel="1" x14ac:dyDescent="0.3">
      <c r="B12" s="69">
        <f>Lists!U6</f>
        <v>4</v>
      </c>
      <c r="C12" s="70" t="str">
        <f>Lists!$T$3</f>
        <v>Up</v>
      </c>
      <c r="D12" s="70" t="str">
        <f t="shared" si="0"/>
        <v>4Up</v>
      </c>
      <c r="E12" s="72">
        <v>365</v>
      </c>
      <c r="F12" s="72">
        <v>330</v>
      </c>
      <c r="G12" s="72">
        <v>295</v>
      </c>
      <c r="H12" s="72">
        <v>270</v>
      </c>
    </row>
    <row r="13" spans="1:30" hidden="1" outlineLevel="1" x14ac:dyDescent="0.3">
      <c r="B13" s="69">
        <f>Lists!U6</f>
        <v>4</v>
      </c>
      <c r="C13" s="70" t="str">
        <f>Lists!$T$4</f>
        <v>Down</v>
      </c>
      <c r="D13" s="70" t="str">
        <f t="shared" si="0"/>
        <v>4Down</v>
      </c>
      <c r="E13" s="72">
        <v>330</v>
      </c>
      <c r="F13" s="72">
        <v>290</v>
      </c>
      <c r="G13" s="72">
        <v>250</v>
      </c>
      <c r="H13" s="72">
        <v>225</v>
      </c>
    </row>
    <row r="14" spans="1:30" hidden="1" outlineLevel="1" x14ac:dyDescent="0.3">
      <c r="B14" s="69">
        <f>Lists!U7</f>
        <v>5</v>
      </c>
      <c r="C14" s="70" t="str">
        <f>Lists!$T$3</f>
        <v>Up</v>
      </c>
      <c r="D14" s="70" t="str">
        <f t="shared" si="0"/>
        <v>5Up</v>
      </c>
      <c r="E14" s="72">
        <v>490</v>
      </c>
      <c r="F14" s="72">
        <v>450</v>
      </c>
      <c r="G14" s="72">
        <v>400</v>
      </c>
      <c r="H14" s="72">
        <v>370</v>
      </c>
    </row>
    <row r="15" spans="1:30" hidden="1" outlineLevel="1" x14ac:dyDescent="0.3">
      <c r="B15" s="69">
        <f>Lists!U7</f>
        <v>5</v>
      </c>
      <c r="C15" s="70" t="str">
        <f>Lists!$T$4</f>
        <v>Down</v>
      </c>
      <c r="D15" s="71" t="str">
        <f t="shared" si="0"/>
        <v>5Down</v>
      </c>
      <c r="E15" s="73">
        <v>470</v>
      </c>
      <c r="F15" s="73">
        <v>410</v>
      </c>
      <c r="G15" s="73">
        <v>350</v>
      </c>
      <c r="H15" s="73">
        <v>320</v>
      </c>
    </row>
    <row r="16" spans="1:30" hidden="1" outlineLevel="1" x14ac:dyDescent="0.35">
      <c r="C16" s="158"/>
      <c r="D16" s="158"/>
      <c r="E16" s="158"/>
      <c r="F16" s="158"/>
      <c r="G16" s="158"/>
    </row>
    <row r="17" spans="2:30" hidden="1" outlineLevel="1" x14ac:dyDescent="0.35">
      <c r="B17" s="158"/>
      <c r="C17" s="67"/>
      <c r="D17" s="158"/>
      <c r="E17" s="158"/>
      <c r="F17" s="158"/>
    </row>
    <row r="18" spans="2:30" ht="26" hidden="1" outlineLevel="1" x14ac:dyDescent="0.35">
      <c r="B18" s="796" t="s">
        <v>2188</v>
      </c>
      <c r="C18" s="797"/>
      <c r="D18" s="65"/>
      <c r="E18" s="678" t="s">
        <v>1100</v>
      </c>
      <c r="F18" s="158"/>
    </row>
    <row r="19" spans="2:30" ht="26" hidden="1" outlineLevel="1" x14ac:dyDescent="0.35">
      <c r="B19" s="679" t="s">
        <v>1095</v>
      </c>
      <c r="C19" s="683" t="s">
        <v>1096</v>
      </c>
      <c r="E19" s="264">
        <f>1/3</f>
        <v>0.33333333333333331</v>
      </c>
    </row>
    <row r="20" spans="2:30" hidden="1" outlineLevel="1" x14ac:dyDescent="0.3">
      <c r="B20" s="69" t="str">
        <f>Lists!V3</f>
        <v>A</v>
      </c>
      <c r="C20" s="72">
        <v>1</v>
      </c>
    </row>
    <row r="21" spans="2:30" hidden="1" outlineLevel="1" x14ac:dyDescent="0.3">
      <c r="B21" s="69" t="str">
        <f>Lists!V4</f>
        <v>B</v>
      </c>
      <c r="C21" s="72">
        <v>2</v>
      </c>
    </row>
    <row r="22" spans="2:30" hidden="1" outlineLevel="1" x14ac:dyDescent="0.3">
      <c r="B22" s="69" t="str">
        <f>Lists!V5</f>
        <v>C</v>
      </c>
      <c r="C22" s="72">
        <v>3</v>
      </c>
    </row>
    <row r="23" spans="2:30" hidden="1" outlineLevel="1" x14ac:dyDescent="0.3">
      <c r="B23" s="69" t="str">
        <f>Lists!V6</f>
        <v>D</v>
      </c>
      <c r="C23" s="72">
        <v>4</v>
      </c>
    </row>
    <row r="24" spans="2:30" hidden="1" outlineLevel="1" x14ac:dyDescent="0.3">
      <c r="B24" s="69" t="str">
        <f>Lists!V7</f>
        <v>E</v>
      </c>
      <c r="C24" s="72">
        <v>5</v>
      </c>
    </row>
    <row r="25" spans="2:30" hidden="1" outlineLevel="1" x14ac:dyDescent="0.3">
      <c r="B25" s="69" t="str">
        <f>Lists!V8</f>
        <v>F</v>
      </c>
      <c r="C25" s="73">
        <v>7</v>
      </c>
    </row>
    <row r="26" spans="2:30" collapsed="1" x14ac:dyDescent="0.35"/>
    <row r="27" spans="2:30" x14ac:dyDescent="0.3">
      <c r="B27" s="46" t="s">
        <v>2146</v>
      </c>
      <c r="C27" s="46"/>
      <c r="D27" s="46"/>
      <c r="E27" s="46"/>
      <c r="F27" s="46"/>
      <c r="G27" s="46"/>
      <c r="H27" s="46"/>
      <c r="I27" s="46"/>
      <c r="J27" s="46"/>
      <c r="K27" s="46"/>
      <c r="L27" s="46"/>
      <c r="M27" s="46"/>
      <c r="N27" s="46"/>
      <c r="O27" s="46"/>
      <c r="P27" s="46"/>
      <c r="Q27" s="46"/>
      <c r="R27" s="46"/>
      <c r="S27" s="46"/>
      <c r="T27" s="46"/>
      <c r="U27" s="46"/>
      <c r="V27" s="46"/>
      <c r="W27" s="46"/>
      <c r="X27" s="46"/>
      <c r="Y27" s="46"/>
      <c r="Z27" s="46"/>
      <c r="AA27" s="46"/>
      <c r="AB27" s="46"/>
      <c r="AC27" s="46"/>
      <c r="AD27" s="46"/>
    </row>
    <row r="28" spans="2:30" hidden="1" outlineLevel="1" x14ac:dyDescent="0.35"/>
    <row r="29" spans="2:30" ht="39" hidden="1" outlineLevel="1" x14ac:dyDescent="0.35">
      <c r="B29" s="263" t="s">
        <v>1056</v>
      </c>
      <c r="C29" s="683" t="s">
        <v>4438</v>
      </c>
      <c r="D29" s="683" t="s">
        <v>4441</v>
      </c>
      <c r="E29" s="683" t="s">
        <v>4442</v>
      </c>
      <c r="F29" s="683" t="s">
        <v>2147</v>
      </c>
      <c r="G29" s="683" t="s">
        <v>3105</v>
      </c>
      <c r="H29" s="683" t="s">
        <v>771</v>
      </c>
    </row>
    <row r="30" spans="2:30" hidden="1" outlineLevel="1" x14ac:dyDescent="0.3">
      <c r="B30" s="117" t="s">
        <v>934</v>
      </c>
      <c r="C30" s="184">
        <f>SUM(Input!F83:M83)+SUM(Input!F91:M91)+SUM(Input!F99:M99)+SUM(Input!F107:M107)</f>
        <v>0</v>
      </c>
      <c r="D30" s="184">
        <f>SUM(Input!F123:L123,Input!F131:L131,Input!F139:L139,Input!F147:L147,Input!F156:L156,Input!F164:L164,Input!F172:L172,Input!F180:L180)</f>
        <v>0</v>
      </c>
      <c r="E30" s="184">
        <f>SUMIF('Step 4 bond aggregation'!$D$2:$D$661,B30,'Step 4 bond aggregation'!$B$2:$B$661)</f>
        <v>0</v>
      </c>
      <c r="F30" s="184">
        <f>SUM(C30:E30)</f>
        <v>0</v>
      </c>
      <c r="G30" s="70">
        <v>0.5</v>
      </c>
      <c r="H30" s="184">
        <f>G30*F30</f>
        <v>0</v>
      </c>
    </row>
    <row r="31" spans="2:30" hidden="1" outlineLevel="1" x14ac:dyDescent="0.3">
      <c r="B31" s="117" t="s">
        <v>935</v>
      </c>
      <c r="C31" s="184">
        <f>SUM(Input!F84:M84)+SUM(Input!F92:M92)+SUM(Input!F100:M100)+SUM(Input!F108:M108)</f>
        <v>0</v>
      </c>
      <c r="D31" s="184">
        <f>SUM(Input!F124:L124,Input!F132:L132,Input!F140:L140,Input!F148:L148,Input!F157:L157,Input!F165:L165,Input!F173:L173,Input!F181:L181)</f>
        <v>0</v>
      </c>
      <c r="E31" s="184">
        <f>SUMIF('Step 4 bond aggregation'!$D$2:$D$661,B31,'Step 4 bond aggregation'!$B$2:$B$661)</f>
        <v>0</v>
      </c>
      <c r="F31" s="184">
        <f t="shared" ref="F31:F34" si="1">SUM(C31:E31)</f>
        <v>0</v>
      </c>
      <c r="G31" s="70">
        <v>3</v>
      </c>
      <c r="H31" s="184">
        <f t="shared" ref="H31:H34" si="2">G31*F31</f>
        <v>0</v>
      </c>
    </row>
    <row r="32" spans="2:30" hidden="1" outlineLevel="1" x14ac:dyDescent="0.3">
      <c r="B32" s="117" t="s">
        <v>936</v>
      </c>
      <c r="C32" s="184">
        <f>SUM(Input!F85:M85)+SUM(Input!F93:M93)+SUM(Input!F101:M101)+SUM(Input!F109:M109)</f>
        <v>0</v>
      </c>
      <c r="D32" s="184">
        <f>SUM(Input!F125:L125,Input!F133:L133,Input!F141:L141,Input!F149:L149,Input!F158:L158,Input!F166:L166,Input!F174:L174,Input!F182:L182)</f>
        <v>0</v>
      </c>
      <c r="E32" s="184">
        <f>SUMIF('Step 4 bond aggregation'!$D$2:$D$661,B32,'Step 4 bond aggregation'!$B$2:$B$661)</f>
        <v>0</v>
      </c>
      <c r="F32" s="184">
        <f t="shared" si="1"/>
        <v>0</v>
      </c>
      <c r="G32" s="70">
        <v>7.5</v>
      </c>
      <c r="H32" s="184">
        <f t="shared" si="2"/>
        <v>0</v>
      </c>
    </row>
    <row r="33" spans="2:30" hidden="1" outlineLevel="1" x14ac:dyDescent="0.3">
      <c r="B33" s="117" t="s">
        <v>937</v>
      </c>
      <c r="C33" s="184">
        <f>SUM(Input!F86:M86)+SUM(Input!F94:M94)+SUM(Input!F102:M102)+SUM(Input!F110:M110)</f>
        <v>0</v>
      </c>
      <c r="D33" s="184">
        <f>SUM(Input!F126:L126,Input!F134:L134,Input!F142:L142,Input!F150:L150,Input!F159:L159,Input!F167:L167,Input!F175:L175,Input!F183:L183)</f>
        <v>0</v>
      </c>
      <c r="E33" s="184">
        <f>SUMIF('Step 4 bond aggregation'!$D$2:$D$661,B33,'Step 4 bond aggregation'!$B$2:$B$661)</f>
        <v>0</v>
      </c>
      <c r="F33" s="184">
        <f t="shared" si="1"/>
        <v>0</v>
      </c>
      <c r="G33" s="70">
        <v>15</v>
      </c>
      <c r="H33" s="184">
        <f t="shared" si="2"/>
        <v>0</v>
      </c>
    </row>
    <row r="34" spans="2:30" hidden="1" outlineLevel="1" x14ac:dyDescent="0.3">
      <c r="B34" s="118" t="s">
        <v>938</v>
      </c>
      <c r="C34" s="185">
        <f>SUM(Input!F87:M87)+SUM(Input!F95:M95)+SUM(Input!F103:M103)+SUM(Input!F111:M111)</f>
        <v>0</v>
      </c>
      <c r="D34" s="184">
        <f>SUM(Input!F127:L127,Input!F135:L135,Input!F143:L143,Input!F151:L151,Input!F160:L160,Input!F168:L168,Input!F176:L176,Input!F184:L184)</f>
        <v>0</v>
      </c>
      <c r="E34" s="184">
        <f>SUMIF('Step 4 bond aggregation'!$D$2:$D$661,B34,'Step 4 bond aggregation'!$B$2:$B$661)</f>
        <v>0</v>
      </c>
      <c r="F34" s="185">
        <f t="shared" si="1"/>
        <v>0</v>
      </c>
      <c r="G34" s="71">
        <v>25</v>
      </c>
      <c r="H34" s="185">
        <f t="shared" si="2"/>
        <v>0</v>
      </c>
    </row>
    <row r="35" spans="2:30" hidden="1" outlineLevel="1" x14ac:dyDescent="0.35">
      <c r="F35" s="186">
        <f>SUM(F30:F34)</f>
        <v>0</v>
      </c>
      <c r="G35" s="158"/>
      <c r="H35" s="186">
        <f>IFERROR(SUM(H30:H34)/F35,0)</f>
        <v>0</v>
      </c>
    </row>
    <row r="36" spans="2:30" collapsed="1" x14ac:dyDescent="0.35"/>
    <row r="37" spans="2:30" x14ac:dyDescent="0.3">
      <c r="B37" s="46" t="s">
        <v>4097</v>
      </c>
      <c r="C37" s="46"/>
      <c r="D37" s="46"/>
      <c r="E37" s="46"/>
      <c r="F37" s="46"/>
      <c r="G37" s="46"/>
      <c r="H37" s="46"/>
      <c r="I37" s="46"/>
      <c r="J37" s="46"/>
      <c r="K37" s="46"/>
      <c r="L37" s="46"/>
      <c r="M37" s="46"/>
      <c r="N37" s="46"/>
      <c r="O37" s="46"/>
      <c r="P37" s="46"/>
      <c r="Q37" s="46"/>
      <c r="R37" s="46"/>
      <c r="S37" s="46"/>
      <c r="T37" s="46"/>
      <c r="U37" s="46"/>
      <c r="V37" s="46"/>
      <c r="W37" s="46"/>
      <c r="X37" s="46"/>
      <c r="Y37" s="46"/>
      <c r="Z37" s="46"/>
      <c r="AA37" s="46"/>
      <c r="AB37" s="46"/>
      <c r="AC37" s="46"/>
      <c r="AD37" s="46"/>
    </row>
    <row r="38" spans="2:30" hidden="1" outlineLevel="1" x14ac:dyDescent="0.35"/>
    <row r="39" spans="2:30" hidden="1" outlineLevel="1" x14ac:dyDescent="0.35">
      <c r="B39" s="680" t="s">
        <v>24</v>
      </c>
      <c r="C39" s="681" t="s">
        <v>25</v>
      </c>
      <c r="D39" s="166"/>
      <c r="E39" s="676" t="s">
        <v>4152</v>
      </c>
      <c r="F39" s="676" t="s">
        <v>4153</v>
      </c>
      <c r="G39" s="676" t="s">
        <v>4154</v>
      </c>
      <c r="H39" s="681" t="s">
        <v>4096</v>
      </c>
    </row>
    <row r="40" spans="2:30" hidden="1" outlineLevel="1" x14ac:dyDescent="0.35">
      <c r="B40" s="66" t="str">
        <f>IF(inp_ir_mismatch_directiion_bespoke="Yes",Input!G847,"Unknown")</f>
        <v>Unknown</v>
      </c>
      <c r="C40" s="66" t="str">
        <f>IF(inp_ir_mismatch_directiion_bespoke="Yes",Input!H847,"Unknown")</f>
        <v>Unknown</v>
      </c>
      <c r="E40" s="158" t="b">
        <f>OR(calc_ir_in_step_1a,calc_ir_in_step_1b)</f>
        <v>0</v>
      </c>
      <c r="F40" s="158" t="b">
        <f>AND(duration_mismatch_bespoke="Yes, NCMV")</f>
        <v>0</v>
      </c>
      <c r="G40" s="158" t="b">
        <f>AND(duration_mismatch_bespoke="Yes, Duration Mismatch")</f>
        <v>0</v>
      </c>
      <c r="H40" s="158" t="b">
        <f>AND(duration_mismatch_bespoke="No",OR(B40&lt;&gt;"Unknown",C40&lt;&gt;"Unknown"))</f>
        <v>0</v>
      </c>
    </row>
    <row r="41" spans="2:30" collapsed="1" x14ac:dyDescent="0.35"/>
    <row r="42" spans="2:30" x14ac:dyDescent="0.3">
      <c r="B42" s="46" t="s">
        <v>1101</v>
      </c>
      <c r="C42" s="46"/>
      <c r="D42" s="46"/>
      <c r="E42" s="46"/>
      <c r="F42" s="46"/>
      <c r="G42" s="46"/>
      <c r="H42" s="46"/>
      <c r="I42" s="46"/>
      <c r="J42" s="46"/>
      <c r="K42" s="46"/>
      <c r="L42" s="46"/>
      <c r="M42" s="46"/>
      <c r="N42" s="46"/>
      <c r="O42" s="46"/>
      <c r="P42" s="46"/>
      <c r="Q42" s="46"/>
      <c r="R42" s="46"/>
      <c r="S42" s="46"/>
      <c r="T42" s="46"/>
      <c r="U42" s="46"/>
      <c r="V42" s="46"/>
      <c r="W42" s="46"/>
      <c r="X42" s="46"/>
      <c r="Y42" s="46"/>
      <c r="Z42" s="46"/>
      <c r="AA42" s="46"/>
      <c r="AB42" s="46"/>
      <c r="AC42" s="46"/>
      <c r="AD42" s="46"/>
    </row>
    <row r="43" spans="2:30" hidden="1" outlineLevel="1" x14ac:dyDescent="0.35"/>
    <row r="44" spans="2:30" hidden="1" outlineLevel="1" x14ac:dyDescent="0.35">
      <c r="W44" s="784" t="s">
        <v>2086</v>
      </c>
      <c r="X44" s="784"/>
      <c r="Y44" s="784"/>
      <c r="Z44" s="784"/>
      <c r="AA44" s="784"/>
      <c r="AB44" s="784"/>
      <c r="AC44" s="784"/>
      <c r="AD44" s="784"/>
    </row>
    <row r="45" spans="2:30" hidden="1" outlineLevel="1" x14ac:dyDescent="0.35">
      <c r="W45" s="785">
        <v>0.99990000000000001</v>
      </c>
      <c r="X45" s="786"/>
      <c r="Y45" s="785">
        <v>0.99950000000000006</v>
      </c>
      <c r="Z45" s="786"/>
      <c r="AA45" s="785">
        <v>0.998</v>
      </c>
      <c r="AB45" s="786"/>
      <c r="AC45" s="785">
        <v>0.995</v>
      </c>
      <c r="AD45" s="786"/>
    </row>
    <row r="46" spans="2:30" ht="18.5" hidden="1" outlineLevel="1" x14ac:dyDescent="0.35">
      <c r="V46" s="493" t="s">
        <v>4151</v>
      </c>
      <c r="W46" s="787">
        <f>IF(W51&gt;=X51,MAX(W47,W51),MAX(X47,X51))</f>
        <v>0</v>
      </c>
      <c r="X46" s="788"/>
      <c r="Y46" s="787">
        <f>IF(Y51&gt;=Z51,MAX(Y47,Y51),MAX(Z47,Z51))</f>
        <v>0</v>
      </c>
      <c r="Z46" s="788"/>
      <c r="AA46" s="787">
        <f>IF(AA51&gt;=AB51,MAX(AA47,AA51),MAX(AB47,AB51))</f>
        <v>0</v>
      </c>
      <c r="AB46" s="788"/>
      <c r="AC46" s="787">
        <f>IF(AC51&gt;=AD51,MAX(AC47,AC51),MAX(AD47,AD51))</f>
        <v>0</v>
      </c>
      <c r="AD46" s="788"/>
    </row>
    <row r="47" spans="2:30" hidden="1" outlineLevel="1" x14ac:dyDescent="0.35">
      <c r="V47" s="678" t="s">
        <v>4098</v>
      </c>
      <c r="W47" s="234">
        <f t="shared" ref="W47:AD47" si="3">IF(calc_ir_in_step_2,W48,IF(calc_ir_in_step_1,W49,0))</f>
        <v>0</v>
      </c>
      <c r="X47" s="234">
        <f t="shared" si="3"/>
        <v>0</v>
      </c>
      <c r="Y47" s="234">
        <f t="shared" si="3"/>
        <v>0</v>
      </c>
      <c r="Z47" s="234">
        <f t="shared" si="3"/>
        <v>0</v>
      </c>
      <c r="AA47" s="234">
        <f t="shared" si="3"/>
        <v>0</v>
      </c>
      <c r="AB47" s="234">
        <f t="shared" si="3"/>
        <v>0</v>
      </c>
      <c r="AC47" s="234">
        <f t="shared" si="3"/>
        <v>0</v>
      </c>
      <c r="AD47" s="234">
        <f t="shared" si="3"/>
        <v>0</v>
      </c>
    </row>
    <row r="48" spans="2:30" hidden="1" outlineLevel="1" x14ac:dyDescent="0.35">
      <c r="V48" s="678" t="s">
        <v>2090</v>
      </c>
      <c r="W48" s="234">
        <f>W50</f>
        <v>0</v>
      </c>
      <c r="X48" s="234">
        <f t="shared" ref="X48:AD48" si="4">X50</f>
        <v>0</v>
      </c>
      <c r="Y48" s="234">
        <f t="shared" si="4"/>
        <v>0</v>
      </c>
      <c r="Z48" s="234">
        <f t="shared" si="4"/>
        <v>0</v>
      </c>
      <c r="AA48" s="234">
        <f t="shared" si="4"/>
        <v>0</v>
      </c>
      <c r="AB48" s="234">
        <f t="shared" si="4"/>
        <v>0</v>
      </c>
      <c r="AC48" s="234">
        <f t="shared" si="4"/>
        <v>0</v>
      </c>
      <c r="AD48" s="234">
        <f t="shared" si="4"/>
        <v>0</v>
      </c>
    </row>
    <row r="49" spans="2:31" hidden="1" outlineLevel="1" x14ac:dyDescent="0.35">
      <c r="V49" s="678" t="s">
        <v>4150</v>
      </c>
      <c r="W49" s="234">
        <f>0.5*W50</f>
        <v>0</v>
      </c>
      <c r="X49" s="234">
        <f t="shared" ref="X49:AD49" si="5">0.5*X50</f>
        <v>0</v>
      </c>
      <c r="Y49" s="234">
        <f t="shared" si="5"/>
        <v>0</v>
      </c>
      <c r="Z49" s="234">
        <f t="shared" si="5"/>
        <v>0</v>
      </c>
      <c r="AA49" s="234">
        <f t="shared" si="5"/>
        <v>0</v>
      </c>
      <c r="AB49" s="234">
        <f t="shared" si="5"/>
        <v>0</v>
      </c>
      <c r="AC49" s="234">
        <f t="shared" si="5"/>
        <v>0</v>
      </c>
      <c r="AD49" s="234">
        <f t="shared" si="5"/>
        <v>0</v>
      </c>
    </row>
    <row r="50" spans="2:31" hidden="1" outlineLevel="1" x14ac:dyDescent="0.35">
      <c r="V50" s="495" t="s">
        <v>4120</v>
      </c>
      <c r="W50" s="234">
        <f t="shared" ref="W50:AD50" si="6">SUMPRODUCT($E$54:$E$89,I54:I89)/10000</f>
        <v>0</v>
      </c>
      <c r="X50" s="234">
        <f t="shared" si="6"/>
        <v>0</v>
      </c>
      <c r="Y50" s="234">
        <f t="shared" si="6"/>
        <v>0</v>
      </c>
      <c r="Z50" s="234">
        <f t="shared" si="6"/>
        <v>0</v>
      </c>
      <c r="AA50" s="234">
        <f t="shared" si="6"/>
        <v>0</v>
      </c>
      <c r="AB50" s="234">
        <f t="shared" si="6"/>
        <v>0</v>
      </c>
      <c r="AC50" s="234">
        <f t="shared" si="6"/>
        <v>0</v>
      </c>
      <c r="AD50" s="234">
        <f t="shared" si="6"/>
        <v>0</v>
      </c>
    </row>
    <row r="51" spans="2:31" hidden="1" outlineLevel="1" x14ac:dyDescent="0.35">
      <c r="B51" s="63"/>
      <c r="C51" s="63"/>
      <c r="D51" s="63"/>
      <c r="E51" s="63"/>
      <c r="F51" s="63"/>
      <c r="G51" s="63"/>
      <c r="H51" s="63"/>
      <c r="I51" s="798" t="s">
        <v>1097</v>
      </c>
      <c r="J51" s="799"/>
      <c r="K51" s="799"/>
      <c r="L51" s="799"/>
      <c r="M51" s="799"/>
      <c r="N51" s="799"/>
      <c r="O51" s="799"/>
      <c r="P51" s="800"/>
      <c r="Q51" s="63"/>
      <c r="V51" s="679" t="str">
        <f>IF(calc_ir_in_step_1a, "NCMV from Step 1", "Total (Before floor)")</f>
        <v>Total (Before floor)</v>
      </c>
      <c r="W51" s="234">
        <f>IF(calc_ir_in_step_1a, IF(Input!$G$840 = W53,Input!I839,0),SUM(W54:W89))</f>
        <v>0</v>
      </c>
      <c r="X51" s="234">
        <f>IF(calc_ir_in_step_1a, IF(Input!$G$840 = X53,Input!I839,0),SUM(X54:X89))</f>
        <v>0</v>
      </c>
      <c r="Y51" s="234">
        <f>IF(calc_ir_in_step_1a, IF(Input!$G$840 = Y53,Input!J839,0),SUM(Y54:Y89))</f>
        <v>0</v>
      </c>
      <c r="Z51" s="234">
        <f>IF(calc_ir_in_step_1a, IF(Input!$G$840 = Z53,Input!J839,0),SUM(Z54:Z89))</f>
        <v>0</v>
      </c>
      <c r="AA51" s="234">
        <f>IF(calc_ir_in_step_1a, IF(Input!$G$840 = AA53,Input!K839,0),SUM(AA54:AA89))</f>
        <v>0</v>
      </c>
      <c r="AB51" s="234">
        <f>IF(calc_ir_in_step_1a, IF(Input!$G$840 = AB53,Input!K839,0),SUM(AB54:AB89))</f>
        <v>0</v>
      </c>
      <c r="AC51" s="234">
        <f>IF(calc_ir_in_step_1a, IF(Input!$G$840 = AC53,Input!L839,0),SUM(AC54:AC89))</f>
        <v>0</v>
      </c>
      <c r="AD51" s="234">
        <f>IF(calc_ir_in_step_1a, IF(Input!$G$840 = AD53,Input!L839,0),SUM(AD54:AD89))</f>
        <v>0</v>
      </c>
    </row>
    <row r="52" spans="2:31" ht="41.4" hidden="1" customHeight="1" outlineLevel="1" x14ac:dyDescent="0.35">
      <c r="B52" s="789" t="s">
        <v>28</v>
      </c>
      <c r="C52" s="789" t="s">
        <v>1473</v>
      </c>
      <c r="D52" s="789" t="s">
        <v>1081</v>
      </c>
      <c r="E52" s="789" t="s">
        <v>29</v>
      </c>
      <c r="F52" s="789" t="s">
        <v>1082</v>
      </c>
      <c r="G52" s="789" t="s">
        <v>946</v>
      </c>
      <c r="H52" s="789" t="s">
        <v>945</v>
      </c>
      <c r="I52" s="785">
        <v>0.99990000000000001</v>
      </c>
      <c r="J52" s="786"/>
      <c r="K52" s="785">
        <v>0.99950000000000006</v>
      </c>
      <c r="L52" s="786"/>
      <c r="M52" s="785">
        <v>0.998</v>
      </c>
      <c r="N52" s="786"/>
      <c r="O52" s="785">
        <v>0.995</v>
      </c>
      <c r="P52" s="786"/>
      <c r="Q52" s="789" t="s">
        <v>1098</v>
      </c>
      <c r="R52" s="789" t="s">
        <v>1099</v>
      </c>
      <c r="S52" s="792" t="s">
        <v>2088</v>
      </c>
      <c r="T52" s="792"/>
      <c r="U52" s="792" t="s">
        <v>2089</v>
      </c>
      <c r="V52" s="792"/>
      <c r="W52" s="785">
        <v>0.99990000000000001</v>
      </c>
      <c r="X52" s="786"/>
      <c r="Y52" s="785">
        <v>0.99950000000000006</v>
      </c>
      <c r="Z52" s="786"/>
      <c r="AA52" s="785">
        <v>0.998</v>
      </c>
      <c r="AB52" s="786"/>
      <c r="AC52" s="785">
        <v>0.995</v>
      </c>
      <c r="AD52" s="791"/>
    </row>
    <row r="53" spans="2:31" hidden="1" outlineLevel="1" x14ac:dyDescent="0.35">
      <c r="B53" s="790"/>
      <c r="C53" s="790"/>
      <c r="D53" s="790"/>
      <c r="E53" s="790"/>
      <c r="F53" s="790"/>
      <c r="G53" s="790"/>
      <c r="H53" s="790"/>
      <c r="I53" s="679" t="s">
        <v>22</v>
      </c>
      <c r="J53" s="679" t="s">
        <v>23</v>
      </c>
      <c r="K53" s="679" t="s">
        <v>22</v>
      </c>
      <c r="L53" s="679" t="s">
        <v>23</v>
      </c>
      <c r="M53" s="679" t="s">
        <v>22</v>
      </c>
      <c r="N53" s="679" t="s">
        <v>23</v>
      </c>
      <c r="O53" s="679" t="s">
        <v>22</v>
      </c>
      <c r="P53" s="679" t="s">
        <v>23</v>
      </c>
      <c r="Q53" s="790"/>
      <c r="R53" s="790"/>
      <c r="S53" s="679" t="s">
        <v>22</v>
      </c>
      <c r="T53" s="682" t="s">
        <v>23</v>
      </c>
      <c r="U53" s="679" t="s">
        <v>22</v>
      </c>
      <c r="V53" s="682" t="s">
        <v>23</v>
      </c>
      <c r="W53" s="679" t="s">
        <v>22</v>
      </c>
      <c r="X53" s="679" t="s">
        <v>23</v>
      </c>
      <c r="Y53" s="679" t="s">
        <v>22</v>
      </c>
      <c r="Z53" s="679" t="s">
        <v>23</v>
      </c>
      <c r="AA53" s="679" t="s">
        <v>22</v>
      </c>
      <c r="AB53" s="679" t="s">
        <v>23</v>
      </c>
      <c r="AC53" s="679" t="s">
        <v>22</v>
      </c>
      <c r="AD53" s="679" t="s">
        <v>23</v>
      </c>
      <c r="AE53" s="676" t="s">
        <v>4378</v>
      </c>
    </row>
    <row r="54" spans="2:31" hidden="1" outlineLevel="1" x14ac:dyDescent="0.3">
      <c r="B54" s="158" t="str">
        <f>IF(Input!C862="","",Input!C862)</f>
        <v/>
      </c>
      <c r="C54" s="158" t="str">
        <f>IF(Input!D862="","",Input!D862)</f>
        <v/>
      </c>
      <c r="D54" s="64" t="str">
        <f>IF(Input!E862="","",Input!E862)</f>
        <v>Capital</v>
      </c>
      <c r="E54" s="234">
        <f>Input!G862</f>
        <v>0</v>
      </c>
      <c r="F54" s="68" t="b">
        <f t="shared" ref="F54:F89" si="7">AND(B54&lt;&gt;"",D54&lt;&gt;"",E54&lt;&gt;0)</f>
        <v>0</v>
      </c>
      <c r="G54" s="68" t="str">
        <f>IF(Input!L862="","",Input!L862)</f>
        <v/>
      </c>
      <c r="H54" s="68" t="str">
        <f>IF(Input!M862="","",Input!M862)</f>
        <v/>
      </c>
      <c r="I54" s="181">
        <f t="shared" ref="I54:I89" si="8">IFERROR(VLOOKUP(CONCATENATE($G54,I$53),$D$6:$H$15,MATCH(I$52,$D$5:$H$5,0),FALSE),0)</f>
        <v>0</v>
      </c>
      <c r="J54" s="181">
        <f t="shared" ref="J54:J89" si="9">IFERROR(VLOOKUP(CONCATENATE($G54,J$53),$D$6:$H$15,MATCH(I$52,$D$5:$H$5,0),FALSE),0)</f>
        <v>0</v>
      </c>
      <c r="K54" s="181">
        <f t="shared" ref="K54:K89" si="10">IFERROR(VLOOKUP(CONCATENATE($G54,K$53),$D$6:$H$15,MATCH(K$52,$D$5:$H$5,0),FALSE),0)</f>
        <v>0</v>
      </c>
      <c r="L54" s="181">
        <f t="shared" ref="L54:L89" si="11">IFERROR(VLOOKUP(CONCATENATE($G54,L$53),$D$6:$H$15,MATCH(K$52,$D$5:$H$5,0),FALSE),0)</f>
        <v>0</v>
      </c>
      <c r="M54" s="181">
        <f t="shared" ref="M54:M89" si="12">IFERROR(VLOOKUP(CONCATENATE($G54,M$53),$D$6:$H$15,MATCH(M$52,$D$5:$H$5,0),FALSE),0)</f>
        <v>0</v>
      </c>
      <c r="N54" s="181">
        <f t="shared" ref="N54:N89" si="13">IFERROR(VLOOKUP(CONCATENATE($G54,N$53),$D$6:$H$15,MATCH(M$52,$D$5:$H$5,0),FALSE),0)</f>
        <v>0</v>
      </c>
      <c r="O54" s="181">
        <f t="shared" ref="O54:O89" si="14">IFERROR(VLOOKUP(CONCATENATE($G54,O$53),$D$6:$H$15,MATCH(O$52,$D$5:$H$5,0),FALSE),0)</f>
        <v>0</v>
      </c>
      <c r="P54" s="181">
        <f t="shared" ref="P54:P89" si="15">IFERROR(VLOOKUP(CONCATENATE($G54,P$53),$D$6:$H$15,MATCH(O$52,$D$5:$H$5,0),FALSE),0)</f>
        <v>0</v>
      </c>
      <c r="Q54" s="182">
        <f>IFERROR(IF(AE54,VLOOKUP(H54,$B$20:$C$25,2, FALSE), IF(D54="Non-life",MAX(1, Input!$G$842*$E$19),IF(D54="Capital", MAX(1, Input!$G$843), 0))),0)</f>
        <v>1</v>
      </c>
      <c r="R54" s="182">
        <f>IF(F54, IF(NOT(calc_ir_in_step_1),Q54,Input!$G$839),0)</f>
        <v>0</v>
      </c>
      <c r="S54" s="158">
        <f>IF(OR(AND(calc_ir_in_step_1b,Input!$G$840="Down"),AND(NOT(calc_ir_in_step_1),OR(AND(AE54,$B$40="Down"),AND($D54="Non-life",$C$40="Down")))),0,1)</f>
        <v>1</v>
      </c>
      <c r="T54" s="158">
        <f>IF(OR(AND(calc_ir_in_step_1b,Input!$G$840&lt;&gt;"Down"),AND(NOT(calc_ir_in_step_1),OR($D54="Capital",AND(AE54,$B$40="Up"),AND($D54="Non-life",$C$40="Up")))),0,1)</f>
        <v>0</v>
      </c>
      <c r="U54" s="234">
        <f t="shared" ref="U54:U89" si="16">$E54*$R54*S54/100</f>
        <v>0</v>
      </c>
      <c r="V54" s="234">
        <f t="shared" ref="V54:V89" si="17">$E54*$R54*T54/100</f>
        <v>0</v>
      </c>
      <c r="W54" s="235">
        <f>$U54/100*I54</f>
        <v>0</v>
      </c>
      <c r="X54" s="235">
        <f>$V54/100*J54</f>
        <v>0</v>
      </c>
      <c r="Y54" s="235">
        <f>$U54/100*K54</f>
        <v>0</v>
      </c>
      <c r="Z54" s="235">
        <f>$V54/100*L54</f>
        <v>0</v>
      </c>
      <c r="AA54" s="235">
        <f>$U54/100*M54</f>
        <v>0</v>
      </c>
      <c r="AB54" s="235">
        <f>$V54/100*N54</f>
        <v>0</v>
      </c>
      <c r="AC54" s="235">
        <f>$U54/100*O54</f>
        <v>0</v>
      </c>
      <c r="AD54" s="235">
        <f>$V54/100*P54</f>
        <v>0</v>
      </c>
      <c r="AE54" s="158" t="b">
        <f>Input!T862</f>
        <v>0</v>
      </c>
    </row>
    <row r="55" spans="2:31" hidden="1" outlineLevel="1" x14ac:dyDescent="0.3">
      <c r="B55" s="158" t="str">
        <f>IF(Input!C863="","",Input!C863)</f>
        <v/>
      </c>
      <c r="C55" s="158" t="str">
        <f>IF(Input!D863="","",Input!D863)</f>
        <v/>
      </c>
      <c r="D55" s="64" t="str">
        <f>IF(Input!E863="","",Input!E863)</f>
        <v/>
      </c>
      <c r="E55" s="234">
        <f>Input!G863</f>
        <v>0</v>
      </c>
      <c r="F55" s="68" t="b">
        <f t="shared" si="7"/>
        <v>0</v>
      </c>
      <c r="G55" s="68" t="str">
        <f>IF(Input!L863="","",Input!L863)</f>
        <v/>
      </c>
      <c r="H55" s="68" t="str">
        <f>IF(Input!M863="","",Input!M863)</f>
        <v/>
      </c>
      <c r="I55" s="181">
        <f t="shared" si="8"/>
        <v>0</v>
      </c>
      <c r="J55" s="181">
        <f t="shared" si="9"/>
        <v>0</v>
      </c>
      <c r="K55" s="181">
        <f t="shared" si="10"/>
        <v>0</v>
      </c>
      <c r="L55" s="181">
        <f t="shared" si="11"/>
        <v>0</v>
      </c>
      <c r="M55" s="181">
        <f t="shared" si="12"/>
        <v>0</v>
      </c>
      <c r="N55" s="181">
        <f t="shared" si="13"/>
        <v>0</v>
      </c>
      <c r="O55" s="181">
        <f t="shared" si="14"/>
        <v>0</v>
      </c>
      <c r="P55" s="181">
        <f t="shared" si="15"/>
        <v>0</v>
      </c>
      <c r="Q55" s="182">
        <f>IFERROR(IF(AE55,VLOOKUP(H55,$B$20:$C$25,2, FALSE), IF(D55="Non-life",MAX(1, Input!$G$842*$E$19),IF(D55="Capital", MAX(1, Input!$G$843), 0))),0)</f>
        <v>0</v>
      </c>
      <c r="R55" s="182">
        <f>IF(F55, IF(NOT(calc_ir_in_step_1),Q55,Input!$G$839),0)</f>
        <v>0</v>
      </c>
      <c r="S55" s="158">
        <f>IF(OR(AND(calc_ir_in_step_1b,Input!$G$840="Down"),AND(NOT(calc_ir_in_step_1),OR(AND(AE55,$B$40="Down"),AND($D55="Non-life",$C$40="Down")))),0,1)</f>
        <v>1</v>
      </c>
      <c r="T55" s="158">
        <f>IF(OR(AND(calc_ir_in_step_1b,Input!$G$840&lt;&gt;"Down"),AND(NOT(calc_ir_in_step_1),OR($D55="Capital",AND(AE55,$B$40="Up"),AND($D55="Non-life",$C$40="Up")))),0,1)</f>
        <v>1</v>
      </c>
      <c r="U55" s="234">
        <f t="shared" si="16"/>
        <v>0</v>
      </c>
      <c r="V55" s="234">
        <f t="shared" si="17"/>
        <v>0</v>
      </c>
      <c r="W55" s="235">
        <f t="shared" ref="W55:W89" si="18">$U55/100*I55</f>
        <v>0</v>
      </c>
      <c r="X55" s="235">
        <f t="shared" ref="X55:X89" si="19">$V55/100*J55</f>
        <v>0</v>
      </c>
      <c r="Y55" s="235">
        <f t="shared" ref="Y55:Y89" si="20">$U55/100*K55</f>
        <v>0</v>
      </c>
      <c r="Z55" s="235">
        <f t="shared" ref="Z55:Z89" si="21">$V55/100*L55</f>
        <v>0</v>
      </c>
      <c r="AA55" s="235">
        <f t="shared" ref="AA55:AA89" si="22">$U55/100*M55</f>
        <v>0</v>
      </c>
      <c r="AB55" s="235">
        <f t="shared" ref="AB55:AB89" si="23">$V55/100*N55</f>
        <v>0</v>
      </c>
      <c r="AC55" s="235">
        <f t="shared" ref="AC55:AC89" si="24">$U55/100*O55</f>
        <v>0</v>
      </c>
      <c r="AD55" s="235">
        <f t="shared" ref="AD55:AD89" si="25">$V55/100*P55</f>
        <v>0</v>
      </c>
      <c r="AE55" s="158" t="b">
        <f>Input!T863</f>
        <v>0</v>
      </c>
    </row>
    <row r="56" spans="2:31" hidden="1" outlineLevel="1" x14ac:dyDescent="0.3">
      <c r="B56" s="158" t="str">
        <f>IF(Input!C864="","",Input!C864)</f>
        <v/>
      </c>
      <c r="C56" s="158" t="str">
        <f>IF(Input!D864="","",Input!D864)</f>
        <v/>
      </c>
      <c r="D56" s="64" t="str">
        <f>IF(Input!E864="","",Input!E864)</f>
        <v/>
      </c>
      <c r="E56" s="234">
        <f>Input!G864</f>
        <v>0</v>
      </c>
      <c r="F56" s="68" t="b">
        <f t="shared" si="7"/>
        <v>0</v>
      </c>
      <c r="G56" s="68" t="str">
        <f>IF(Input!L864="","",Input!L864)</f>
        <v/>
      </c>
      <c r="H56" s="68" t="str">
        <f>IF(Input!M864="","",Input!M864)</f>
        <v/>
      </c>
      <c r="I56" s="181">
        <f t="shared" si="8"/>
        <v>0</v>
      </c>
      <c r="J56" s="181">
        <f t="shared" si="9"/>
        <v>0</v>
      </c>
      <c r="K56" s="181">
        <f t="shared" si="10"/>
        <v>0</v>
      </c>
      <c r="L56" s="181">
        <f t="shared" si="11"/>
        <v>0</v>
      </c>
      <c r="M56" s="181">
        <f t="shared" si="12"/>
        <v>0</v>
      </c>
      <c r="N56" s="181">
        <f t="shared" si="13"/>
        <v>0</v>
      </c>
      <c r="O56" s="181">
        <f t="shared" si="14"/>
        <v>0</v>
      </c>
      <c r="P56" s="181">
        <f t="shared" si="15"/>
        <v>0</v>
      </c>
      <c r="Q56" s="182">
        <f>IFERROR(IF(AE56,VLOOKUP(H56,$B$20:$C$25,2, FALSE), IF(D56="Non-life",MAX(1, Input!$G$842*$E$19),IF(D56="Capital", MAX(1, Input!$G$843), 0))),0)</f>
        <v>0</v>
      </c>
      <c r="R56" s="182">
        <f>IF(F56, IF(NOT(calc_ir_in_step_1),Q56,Input!$G$839),0)</f>
        <v>0</v>
      </c>
      <c r="S56" s="158">
        <f>IF(OR(AND(calc_ir_in_step_1b,Input!$G$840="Down"),AND(NOT(calc_ir_in_step_1),OR(AND(AE56,$B$40="Down"),AND($D56="Non-life",$C$40="Down")))),0,1)</f>
        <v>1</v>
      </c>
      <c r="T56" s="158">
        <f>IF(OR(AND(calc_ir_in_step_1b,Input!$G$840&lt;&gt;"Down"),AND(NOT(calc_ir_in_step_1),OR($D56="Capital",AND(AE56,$B$40="Up"),AND($D56="Non-life",$C$40="Up")))),0,1)</f>
        <v>1</v>
      </c>
      <c r="U56" s="234">
        <f t="shared" si="16"/>
        <v>0</v>
      </c>
      <c r="V56" s="234">
        <f t="shared" si="17"/>
        <v>0</v>
      </c>
      <c r="W56" s="235">
        <f t="shared" si="18"/>
        <v>0</v>
      </c>
      <c r="X56" s="235">
        <f t="shared" si="19"/>
        <v>0</v>
      </c>
      <c r="Y56" s="235">
        <f t="shared" si="20"/>
        <v>0</v>
      </c>
      <c r="Z56" s="235">
        <f t="shared" si="21"/>
        <v>0</v>
      </c>
      <c r="AA56" s="235">
        <f t="shared" si="22"/>
        <v>0</v>
      </c>
      <c r="AB56" s="235">
        <f t="shared" si="23"/>
        <v>0</v>
      </c>
      <c r="AC56" s="235">
        <f t="shared" si="24"/>
        <v>0</v>
      </c>
      <c r="AD56" s="235">
        <f t="shared" si="25"/>
        <v>0</v>
      </c>
      <c r="AE56" s="158" t="b">
        <f>Input!T864</f>
        <v>0</v>
      </c>
    </row>
    <row r="57" spans="2:31" hidden="1" outlineLevel="1" x14ac:dyDescent="0.3">
      <c r="B57" s="158" t="str">
        <f>IF(Input!C865="","",Input!C865)</f>
        <v/>
      </c>
      <c r="C57" s="158" t="str">
        <f>IF(Input!D865="","",Input!D865)</f>
        <v/>
      </c>
      <c r="D57" s="64" t="str">
        <f>IF(Input!E865="","",Input!E865)</f>
        <v/>
      </c>
      <c r="E57" s="234">
        <f>Input!G865</f>
        <v>0</v>
      </c>
      <c r="F57" s="68" t="b">
        <f t="shared" si="7"/>
        <v>0</v>
      </c>
      <c r="G57" s="68" t="str">
        <f>IF(Input!L865="","",Input!L865)</f>
        <v/>
      </c>
      <c r="H57" s="68" t="str">
        <f>IF(Input!M865="","",Input!M865)</f>
        <v/>
      </c>
      <c r="I57" s="181">
        <f t="shared" si="8"/>
        <v>0</v>
      </c>
      <c r="J57" s="181">
        <f t="shared" si="9"/>
        <v>0</v>
      </c>
      <c r="K57" s="181">
        <f t="shared" si="10"/>
        <v>0</v>
      </c>
      <c r="L57" s="181">
        <f t="shared" si="11"/>
        <v>0</v>
      </c>
      <c r="M57" s="181">
        <f t="shared" si="12"/>
        <v>0</v>
      </c>
      <c r="N57" s="181">
        <f t="shared" si="13"/>
        <v>0</v>
      </c>
      <c r="O57" s="181">
        <f t="shared" si="14"/>
        <v>0</v>
      </c>
      <c r="P57" s="181">
        <f t="shared" si="15"/>
        <v>0</v>
      </c>
      <c r="Q57" s="182">
        <f>IFERROR(IF(AE57,VLOOKUP(H57,$B$20:$C$25,2, FALSE), IF(D57="Non-life",MAX(1, Input!$G$842*$E$19),IF(D57="Capital", MAX(1, Input!$G$843), 0))),0)</f>
        <v>0</v>
      </c>
      <c r="R57" s="182">
        <f>IF(F57, IF(NOT(calc_ir_in_step_1),Q57,Input!$G$839),0)</f>
        <v>0</v>
      </c>
      <c r="S57" s="158">
        <f>IF(OR(AND(calc_ir_in_step_1b,Input!$G$840="Down"),AND(NOT(calc_ir_in_step_1),OR(AND(AE57,$B$40="Down"),AND($D57="Non-life",$C$40="Down")))),0,1)</f>
        <v>1</v>
      </c>
      <c r="T57" s="158">
        <f>IF(OR(AND(calc_ir_in_step_1b,Input!$G$840&lt;&gt;"Down"),AND(NOT(calc_ir_in_step_1),OR($D57="Capital",AND(AE57,$B$40="Up"),AND($D57="Non-life",$C$40="Up")))),0,1)</f>
        <v>1</v>
      </c>
      <c r="U57" s="234">
        <f t="shared" si="16"/>
        <v>0</v>
      </c>
      <c r="V57" s="234">
        <f t="shared" si="17"/>
        <v>0</v>
      </c>
      <c r="W57" s="235">
        <f t="shared" si="18"/>
        <v>0</v>
      </c>
      <c r="X57" s="235">
        <f t="shared" si="19"/>
        <v>0</v>
      </c>
      <c r="Y57" s="235">
        <f t="shared" si="20"/>
        <v>0</v>
      </c>
      <c r="Z57" s="235">
        <f t="shared" si="21"/>
        <v>0</v>
      </c>
      <c r="AA57" s="235">
        <f t="shared" si="22"/>
        <v>0</v>
      </c>
      <c r="AB57" s="235">
        <f t="shared" si="23"/>
        <v>0</v>
      </c>
      <c r="AC57" s="235">
        <f t="shared" si="24"/>
        <v>0</v>
      </c>
      <c r="AD57" s="235">
        <f t="shared" si="25"/>
        <v>0</v>
      </c>
      <c r="AE57" s="158" t="b">
        <f>Input!T865</f>
        <v>0</v>
      </c>
    </row>
    <row r="58" spans="2:31" hidden="1" outlineLevel="1" x14ac:dyDescent="0.3">
      <c r="B58" s="158" t="str">
        <f>IF(Input!C866="","",Input!C866)</f>
        <v/>
      </c>
      <c r="C58" s="158" t="str">
        <f>IF(Input!D866="","",Input!D866)</f>
        <v/>
      </c>
      <c r="D58" s="64" t="str">
        <f>IF(Input!E866="","",Input!E866)</f>
        <v/>
      </c>
      <c r="E58" s="234">
        <f>Input!G866</f>
        <v>0</v>
      </c>
      <c r="F58" s="68" t="b">
        <f t="shared" si="7"/>
        <v>0</v>
      </c>
      <c r="G58" s="68" t="str">
        <f>IF(Input!L866="","",Input!L866)</f>
        <v/>
      </c>
      <c r="H58" s="68" t="str">
        <f>IF(Input!M866="","",Input!M866)</f>
        <v/>
      </c>
      <c r="I58" s="181">
        <f t="shared" si="8"/>
        <v>0</v>
      </c>
      <c r="J58" s="181">
        <f t="shared" si="9"/>
        <v>0</v>
      </c>
      <c r="K58" s="181">
        <f t="shared" si="10"/>
        <v>0</v>
      </c>
      <c r="L58" s="181">
        <f t="shared" si="11"/>
        <v>0</v>
      </c>
      <c r="M58" s="181">
        <f t="shared" si="12"/>
        <v>0</v>
      </c>
      <c r="N58" s="181">
        <f t="shared" si="13"/>
        <v>0</v>
      </c>
      <c r="O58" s="181">
        <f t="shared" si="14"/>
        <v>0</v>
      </c>
      <c r="P58" s="181">
        <f t="shared" si="15"/>
        <v>0</v>
      </c>
      <c r="Q58" s="182">
        <f>IFERROR(IF(AE58,VLOOKUP(H58,$B$20:$C$25,2, FALSE), IF(D58="Non-life",MAX(1, Input!$G$842*$E$19),IF(D58="Capital", MAX(1, Input!$G$843), 0))),0)</f>
        <v>0</v>
      </c>
      <c r="R58" s="182">
        <f>IF(F58, IF(NOT(calc_ir_in_step_1),Q58,Input!$G$839),0)</f>
        <v>0</v>
      </c>
      <c r="S58" s="158">
        <f>IF(OR(AND(calc_ir_in_step_1b,Input!$G$840="Down"),AND(NOT(calc_ir_in_step_1),OR(AND(AE58,$B$40="Down"),AND($D58="Non-life",$C$40="Down")))),0,1)</f>
        <v>1</v>
      </c>
      <c r="T58" s="158">
        <f>IF(OR(AND(calc_ir_in_step_1b,Input!$G$840&lt;&gt;"Down"),AND(NOT(calc_ir_in_step_1),OR($D58="Capital",AND(AE58,$B$40="Up"),AND($D58="Non-life",$C$40="Up")))),0,1)</f>
        <v>1</v>
      </c>
      <c r="U58" s="234">
        <f t="shared" si="16"/>
        <v>0</v>
      </c>
      <c r="V58" s="234">
        <f t="shared" si="17"/>
        <v>0</v>
      </c>
      <c r="W58" s="235">
        <f t="shared" si="18"/>
        <v>0</v>
      </c>
      <c r="X58" s="235">
        <f t="shared" si="19"/>
        <v>0</v>
      </c>
      <c r="Y58" s="235">
        <f t="shared" si="20"/>
        <v>0</v>
      </c>
      <c r="Z58" s="235">
        <f t="shared" si="21"/>
        <v>0</v>
      </c>
      <c r="AA58" s="235">
        <f t="shared" si="22"/>
        <v>0</v>
      </c>
      <c r="AB58" s="235">
        <f t="shared" si="23"/>
        <v>0</v>
      </c>
      <c r="AC58" s="235">
        <f t="shared" si="24"/>
        <v>0</v>
      </c>
      <c r="AD58" s="235">
        <f t="shared" si="25"/>
        <v>0</v>
      </c>
      <c r="AE58" s="158" t="b">
        <f>Input!T866</f>
        <v>0</v>
      </c>
    </row>
    <row r="59" spans="2:31" hidden="1" outlineLevel="1" x14ac:dyDescent="0.3">
      <c r="B59" s="158" t="str">
        <f>IF(Input!C867="","",Input!C867)</f>
        <v/>
      </c>
      <c r="C59" s="158" t="str">
        <f>IF(Input!D867="","",Input!D867)</f>
        <v/>
      </c>
      <c r="D59" s="64" t="str">
        <f>IF(Input!E867="","",Input!E867)</f>
        <v/>
      </c>
      <c r="E59" s="234">
        <f>Input!G867</f>
        <v>0</v>
      </c>
      <c r="F59" s="68" t="b">
        <f t="shared" si="7"/>
        <v>0</v>
      </c>
      <c r="G59" s="68" t="str">
        <f>IF(Input!L867="","",Input!L867)</f>
        <v/>
      </c>
      <c r="H59" s="68" t="str">
        <f>IF(Input!M867="","",Input!M867)</f>
        <v/>
      </c>
      <c r="I59" s="181">
        <f t="shared" si="8"/>
        <v>0</v>
      </c>
      <c r="J59" s="181">
        <f t="shared" si="9"/>
        <v>0</v>
      </c>
      <c r="K59" s="181">
        <f t="shared" si="10"/>
        <v>0</v>
      </c>
      <c r="L59" s="181">
        <f t="shared" si="11"/>
        <v>0</v>
      </c>
      <c r="M59" s="181">
        <f t="shared" si="12"/>
        <v>0</v>
      </c>
      <c r="N59" s="181">
        <f t="shared" si="13"/>
        <v>0</v>
      </c>
      <c r="O59" s="181">
        <f t="shared" si="14"/>
        <v>0</v>
      </c>
      <c r="P59" s="181">
        <f t="shared" si="15"/>
        <v>0</v>
      </c>
      <c r="Q59" s="182">
        <f>IFERROR(IF(AE59,VLOOKUP(H59,$B$20:$C$25,2, FALSE), IF(D59="Non-life",MAX(1, Input!$G$842*$E$19),IF(D59="Capital", MAX(1, Input!$G$843), 0))),0)</f>
        <v>0</v>
      </c>
      <c r="R59" s="182">
        <f>IF(F59, IF(NOT(calc_ir_in_step_1),Q59,Input!$G$839),0)</f>
        <v>0</v>
      </c>
      <c r="S59" s="158">
        <f>IF(OR(AND(calc_ir_in_step_1b,Input!$G$840="Down"),AND(NOT(calc_ir_in_step_1),OR(AND(AE59,$B$40="Down"),AND($D59="Non-life",$C$40="Down")))),0,1)</f>
        <v>1</v>
      </c>
      <c r="T59" s="158">
        <f>IF(OR(AND(calc_ir_in_step_1b,Input!$G$840&lt;&gt;"Down"),AND(NOT(calc_ir_in_step_1),OR($D59="Capital",AND(AE59,$B$40="Up"),AND($D59="Non-life",$C$40="Up")))),0,1)</f>
        <v>1</v>
      </c>
      <c r="U59" s="234">
        <f t="shared" si="16"/>
        <v>0</v>
      </c>
      <c r="V59" s="234">
        <f t="shared" si="17"/>
        <v>0</v>
      </c>
      <c r="W59" s="235">
        <f t="shared" si="18"/>
        <v>0</v>
      </c>
      <c r="X59" s="235">
        <f t="shared" si="19"/>
        <v>0</v>
      </c>
      <c r="Y59" s="235">
        <f t="shared" si="20"/>
        <v>0</v>
      </c>
      <c r="Z59" s="235">
        <f t="shared" si="21"/>
        <v>0</v>
      </c>
      <c r="AA59" s="235">
        <f t="shared" si="22"/>
        <v>0</v>
      </c>
      <c r="AB59" s="235">
        <f t="shared" si="23"/>
        <v>0</v>
      </c>
      <c r="AC59" s="235">
        <f t="shared" si="24"/>
        <v>0</v>
      </c>
      <c r="AD59" s="235">
        <f t="shared" si="25"/>
        <v>0</v>
      </c>
      <c r="AE59" s="158" t="b">
        <f>Input!T867</f>
        <v>0</v>
      </c>
    </row>
    <row r="60" spans="2:31" ht="14" hidden="1" customHeight="1" outlineLevel="1" x14ac:dyDescent="0.3">
      <c r="B60" s="158" t="str">
        <f>IF(Input!C868="","",Input!C868)</f>
        <v/>
      </c>
      <c r="C60" s="158" t="str">
        <f>IF(Input!D868="","",Input!D868)</f>
        <v/>
      </c>
      <c r="D60" s="64" t="str">
        <f>IF(Input!E868="","",Input!E868)</f>
        <v/>
      </c>
      <c r="E60" s="234">
        <f>Input!G868</f>
        <v>0</v>
      </c>
      <c r="F60" s="68" t="b">
        <f t="shared" si="7"/>
        <v>0</v>
      </c>
      <c r="G60" s="68" t="str">
        <f>IF(Input!L868="","",Input!L868)</f>
        <v/>
      </c>
      <c r="H60" s="68" t="str">
        <f>IF(Input!M868="","",Input!M868)</f>
        <v/>
      </c>
      <c r="I60" s="181">
        <f t="shared" si="8"/>
        <v>0</v>
      </c>
      <c r="J60" s="181">
        <f t="shared" si="9"/>
        <v>0</v>
      </c>
      <c r="K60" s="181">
        <f t="shared" si="10"/>
        <v>0</v>
      </c>
      <c r="L60" s="181">
        <f t="shared" si="11"/>
        <v>0</v>
      </c>
      <c r="M60" s="181">
        <f t="shared" si="12"/>
        <v>0</v>
      </c>
      <c r="N60" s="181">
        <f t="shared" si="13"/>
        <v>0</v>
      </c>
      <c r="O60" s="181">
        <f t="shared" si="14"/>
        <v>0</v>
      </c>
      <c r="P60" s="181">
        <f t="shared" si="15"/>
        <v>0</v>
      </c>
      <c r="Q60" s="182">
        <f>IFERROR(IF(AE60,VLOOKUP(H60,$B$20:$C$25,2, FALSE), IF(D60="Non-life",MAX(1, Input!$G$842*$E$19),IF(D60="Capital", MAX(1, Input!$G$843), 0))),0)</f>
        <v>0</v>
      </c>
      <c r="R60" s="182">
        <f>IF(F60, IF(NOT(calc_ir_in_step_1),Q60,Input!$G$839),0)</f>
        <v>0</v>
      </c>
      <c r="S60" s="158">
        <f>IF(OR(AND(calc_ir_in_step_1b,Input!$G$840="Down"),AND(NOT(calc_ir_in_step_1),OR(AND(AE60,$B$40="Down"),AND($D60="Non-life",$C$40="Down")))),0,1)</f>
        <v>1</v>
      </c>
      <c r="T60" s="158">
        <f>IF(OR(AND(calc_ir_in_step_1b,Input!$G$840&lt;&gt;"Down"),AND(NOT(calc_ir_in_step_1),OR($D60="Capital",AND(AE60,$B$40="Up"),AND($D60="Non-life",$C$40="Up")))),0,1)</f>
        <v>1</v>
      </c>
      <c r="U60" s="234">
        <f t="shared" si="16"/>
        <v>0</v>
      </c>
      <c r="V60" s="234">
        <f t="shared" si="17"/>
        <v>0</v>
      </c>
      <c r="W60" s="235">
        <f t="shared" si="18"/>
        <v>0</v>
      </c>
      <c r="X60" s="235">
        <f t="shared" si="19"/>
        <v>0</v>
      </c>
      <c r="Y60" s="235">
        <f t="shared" si="20"/>
        <v>0</v>
      </c>
      <c r="Z60" s="235">
        <f t="shared" si="21"/>
        <v>0</v>
      </c>
      <c r="AA60" s="235">
        <f t="shared" si="22"/>
        <v>0</v>
      </c>
      <c r="AB60" s="235">
        <f t="shared" si="23"/>
        <v>0</v>
      </c>
      <c r="AC60" s="235">
        <f t="shared" si="24"/>
        <v>0</v>
      </c>
      <c r="AD60" s="235">
        <f t="shared" si="25"/>
        <v>0</v>
      </c>
      <c r="AE60" s="158" t="b">
        <f>Input!T868</f>
        <v>0</v>
      </c>
    </row>
    <row r="61" spans="2:31" hidden="1" outlineLevel="1" x14ac:dyDescent="0.3">
      <c r="B61" s="158" t="str">
        <f>IF(Input!C869="","",Input!C869)</f>
        <v/>
      </c>
      <c r="C61" s="158" t="str">
        <f>IF(Input!D869="","",Input!D869)</f>
        <v/>
      </c>
      <c r="D61" s="64" t="str">
        <f>IF(Input!E869="","",Input!E869)</f>
        <v/>
      </c>
      <c r="E61" s="234">
        <f>Input!G869</f>
        <v>0</v>
      </c>
      <c r="F61" s="68" t="b">
        <f t="shared" si="7"/>
        <v>0</v>
      </c>
      <c r="G61" s="68" t="str">
        <f>IF(Input!L869="","",Input!L869)</f>
        <v/>
      </c>
      <c r="H61" s="68" t="str">
        <f>IF(Input!M869="","",Input!M869)</f>
        <v/>
      </c>
      <c r="I61" s="181">
        <f t="shared" si="8"/>
        <v>0</v>
      </c>
      <c r="J61" s="181">
        <f t="shared" si="9"/>
        <v>0</v>
      </c>
      <c r="K61" s="181">
        <f t="shared" si="10"/>
        <v>0</v>
      </c>
      <c r="L61" s="181">
        <f t="shared" si="11"/>
        <v>0</v>
      </c>
      <c r="M61" s="181">
        <f t="shared" si="12"/>
        <v>0</v>
      </c>
      <c r="N61" s="181">
        <f t="shared" si="13"/>
        <v>0</v>
      </c>
      <c r="O61" s="181">
        <f t="shared" si="14"/>
        <v>0</v>
      </c>
      <c r="P61" s="181">
        <f t="shared" si="15"/>
        <v>0</v>
      </c>
      <c r="Q61" s="182">
        <f>IFERROR(IF(AE61,VLOOKUP(H61,$B$20:$C$25,2, FALSE), IF(D61="Non-life",MAX(1, Input!$G$842*$E$19),IF(D61="Capital", MAX(1, Input!$G$843), 0))),0)</f>
        <v>0</v>
      </c>
      <c r="R61" s="182">
        <f>IF(F61, IF(NOT(calc_ir_in_step_1),Q61,Input!$G$839),0)</f>
        <v>0</v>
      </c>
      <c r="S61" s="158">
        <f>IF(OR(AND(calc_ir_in_step_1b,Input!$G$840="Down"),AND(NOT(calc_ir_in_step_1),OR(AND(AE61,$B$40="Down"),AND($D61="Non-life",$C$40="Down")))),0,1)</f>
        <v>1</v>
      </c>
      <c r="T61" s="158">
        <f>IF(OR(AND(calc_ir_in_step_1b,Input!$G$840&lt;&gt;"Down"),AND(NOT(calc_ir_in_step_1),OR($D61="Capital",AND(AE61,$B$40="Up"),AND($D61="Non-life",$C$40="Up")))),0,1)</f>
        <v>1</v>
      </c>
      <c r="U61" s="234">
        <f t="shared" si="16"/>
        <v>0</v>
      </c>
      <c r="V61" s="234">
        <f t="shared" si="17"/>
        <v>0</v>
      </c>
      <c r="W61" s="235">
        <f t="shared" si="18"/>
        <v>0</v>
      </c>
      <c r="X61" s="235">
        <f t="shared" si="19"/>
        <v>0</v>
      </c>
      <c r="Y61" s="235">
        <f t="shared" si="20"/>
        <v>0</v>
      </c>
      <c r="Z61" s="235">
        <f t="shared" si="21"/>
        <v>0</v>
      </c>
      <c r="AA61" s="235">
        <f t="shared" si="22"/>
        <v>0</v>
      </c>
      <c r="AB61" s="235">
        <f t="shared" si="23"/>
        <v>0</v>
      </c>
      <c r="AC61" s="235">
        <f t="shared" si="24"/>
        <v>0</v>
      </c>
      <c r="AD61" s="235">
        <f t="shared" si="25"/>
        <v>0</v>
      </c>
      <c r="AE61" s="158" t="b">
        <f>Input!T869</f>
        <v>0</v>
      </c>
    </row>
    <row r="62" spans="2:31" hidden="1" outlineLevel="1" x14ac:dyDescent="0.3">
      <c r="B62" s="158" t="str">
        <f>IF(Input!C870="","",Input!C870)</f>
        <v/>
      </c>
      <c r="C62" s="158" t="str">
        <f>IF(Input!D870="","",Input!D870)</f>
        <v/>
      </c>
      <c r="D62" s="64" t="str">
        <f>IF(Input!E870="","",Input!E870)</f>
        <v/>
      </c>
      <c r="E62" s="234">
        <f>Input!G870</f>
        <v>0</v>
      </c>
      <c r="F62" s="68" t="b">
        <f t="shared" si="7"/>
        <v>0</v>
      </c>
      <c r="G62" s="68" t="str">
        <f>IF(Input!L870="","",Input!L870)</f>
        <v/>
      </c>
      <c r="H62" s="68" t="str">
        <f>IF(Input!M870="","",Input!M870)</f>
        <v/>
      </c>
      <c r="I62" s="181">
        <f t="shared" si="8"/>
        <v>0</v>
      </c>
      <c r="J62" s="181">
        <f t="shared" si="9"/>
        <v>0</v>
      </c>
      <c r="K62" s="181">
        <f t="shared" si="10"/>
        <v>0</v>
      </c>
      <c r="L62" s="181">
        <f t="shared" si="11"/>
        <v>0</v>
      </c>
      <c r="M62" s="181">
        <f t="shared" si="12"/>
        <v>0</v>
      </c>
      <c r="N62" s="181">
        <f t="shared" si="13"/>
        <v>0</v>
      </c>
      <c r="O62" s="181">
        <f t="shared" si="14"/>
        <v>0</v>
      </c>
      <c r="P62" s="181">
        <f t="shared" si="15"/>
        <v>0</v>
      </c>
      <c r="Q62" s="182">
        <f>IFERROR(IF(AE62,VLOOKUP(H62,$B$20:$C$25,2, FALSE), IF(D62="Non-life",MAX(1, Input!$G$842*$E$19),IF(D62="Capital", MAX(1, Input!$G$843), 0))),0)</f>
        <v>0</v>
      </c>
      <c r="R62" s="182">
        <f>IF(F62, IF(NOT(calc_ir_in_step_1),Q62,Input!$G$839),0)</f>
        <v>0</v>
      </c>
      <c r="S62" s="158">
        <f>IF(OR(AND(calc_ir_in_step_1b,Input!$G$840="Down"),AND(NOT(calc_ir_in_step_1),OR(AND(AE62,$B$40="Down"),AND($D62="Non-life",$C$40="Down")))),0,1)</f>
        <v>1</v>
      </c>
      <c r="T62" s="158">
        <f>IF(OR(AND(calc_ir_in_step_1b,Input!$G$840&lt;&gt;"Down"),AND(NOT(calc_ir_in_step_1),OR($D62="Capital",AND(AE62,$B$40="Up"),AND($D62="Non-life",$C$40="Up")))),0,1)</f>
        <v>1</v>
      </c>
      <c r="U62" s="234">
        <f t="shared" si="16"/>
        <v>0</v>
      </c>
      <c r="V62" s="234">
        <f t="shared" si="17"/>
        <v>0</v>
      </c>
      <c r="W62" s="235">
        <f t="shared" si="18"/>
        <v>0</v>
      </c>
      <c r="X62" s="235">
        <f t="shared" si="19"/>
        <v>0</v>
      </c>
      <c r="Y62" s="235">
        <f t="shared" si="20"/>
        <v>0</v>
      </c>
      <c r="Z62" s="235">
        <f t="shared" si="21"/>
        <v>0</v>
      </c>
      <c r="AA62" s="235">
        <f t="shared" si="22"/>
        <v>0</v>
      </c>
      <c r="AB62" s="235">
        <f t="shared" si="23"/>
        <v>0</v>
      </c>
      <c r="AC62" s="235">
        <f t="shared" si="24"/>
        <v>0</v>
      </c>
      <c r="AD62" s="235">
        <f t="shared" si="25"/>
        <v>0</v>
      </c>
      <c r="AE62" s="158" t="b">
        <f>Input!T870</f>
        <v>0</v>
      </c>
    </row>
    <row r="63" spans="2:31" ht="14" hidden="1" customHeight="1" outlineLevel="1" x14ac:dyDescent="0.3">
      <c r="B63" s="158" t="str">
        <f>IF(Input!C871="","",Input!C871)</f>
        <v/>
      </c>
      <c r="C63" s="158" t="str">
        <f>IF(Input!D871="","",Input!D871)</f>
        <v/>
      </c>
      <c r="D63" s="64" t="str">
        <f>IF(Input!E871="","",Input!E871)</f>
        <v/>
      </c>
      <c r="E63" s="234">
        <f>Input!G871</f>
        <v>0</v>
      </c>
      <c r="F63" s="68" t="b">
        <f t="shared" si="7"/>
        <v>0</v>
      </c>
      <c r="G63" s="68" t="str">
        <f>IF(Input!L871="","",Input!L871)</f>
        <v/>
      </c>
      <c r="H63" s="68" t="str">
        <f>IF(Input!M871="","",Input!M871)</f>
        <v/>
      </c>
      <c r="I63" s="181">
        <f t="shared" si="8"/>
        <v>0</v>
      </c>
      <c r="J63" s="181">
        <f t="shared" si="9"/>
        <v>0</v>
      </c>
      <c r="K63" s="181">
        <f t="shared" si="10"/>
        <v>0</v>
      </c>
      <c r="L63" s="181">
        <f t="shared" si="11"/>
        <v>0</v>
      </c>
      <c r="M63" s="181">
        <f t="shared" si="12"/>
        <v>0</v>
      </c>
      <c r="N63" s="181">
        <f t="shared" si="13"/>
        <v>0</v>
      </c>
      <c r="O63" s="181">
        <f t="shared" si="14"/>
        <v>0</v>
      </c>
      <c r="P63" s="181">
        <f t="shared" si="15"/>
        <v>0</v>
      </c>
      <c r="Q63" s="182">
        <f>IFERROR(IF(AE63,VLOOKUP(H63,$B$20:$C$25,2, FALSE), IF(D63="Non-life",MAX(1, Input!$G$842*$E$19),IF(D63="Capital", MAX(1, Input!$G$843), 0))),0)</f>
        <v>0</v>
      </c>
      <c r="R63" s="182">
        <f>IF(F63, IF(NOT(calc_ir_in_step_1),Q63,Input!$G$839),0)</f>
        <v>0</v>
      </c>
      <c r="S63" s="158">
        <f>IF(OR(AND(calc_ir_in_step_1b,Input!$G$840="Down"),AND(NOT(calc_ir_in_step_1),OR(AND(AE63,$B$40="Down"),AND($D63="Non-life",$C$40="Down")))),0,1)</f>
        <v>1</v>
      </c>
      <c r="T63" s="158">
        <f>IF(OR(AND(calc_ir_in_step_1b,Input!$G$840&lt;&gt;"Down"),AND(NOT(calc_ir_in_step_1),OR($D63="Capital",AND(AE63,$B$40="Up"),AND($D63="Non-life",$C$40="Up")))),0,1)</f>
        <v>1</v>
      </c>
      <c r="U63" s="234">
        <f t="shared" si="16"/>
        <v>0</v>
      </c>
      <c r="V63" s="234">
        <f t="shared" si="17"/>
        <v>0</v>
      </c>
      <c r="W63" s="235">
        <f t="shared" si="18"/>
        <v>0</v>
      </c>
      <c r="X63" s="235">
        <f t="shared" si="19"/>
        <v>0</v>
      </c>
      <c r="Y63" s="235">
        <f t="shared" si="20"/>
        <v>0</v>
      </c>
      <c r="Z63" s="235">
        <f t="shared" si="21"/>
        <v>0</v>
      </c>
      <c r="AA63" s="235">
        <f t="shared" si="22"/>
        <v>0</v>
      </c>
      <c r="AB63" s="235">
        <f t="shared" si="23"/>
        <v>0</v>
      </c>
      <c r="AC63" s="235">
        <f t="shared" si="24"/>
        <v>0</v>
      </c>
      <c r="AD63" s="235">
        <f t="shared" si="25"/>
        <v>0</v>
      </c>
      <c r="AE63" s="158" t="b">
        <f>Input!T871</f>
        <v>0</v>
      </c>
    </row>
    <row r="64" spans="2:31" hidden="1" outlineLevel="1" x14ac:dyDescent="0.3">
      <c r="B64" s="158" t="str">
        <f>IF(Input!C872="","",Input!C872)</f>
        <v/>
      </c>
      <c r="C64" s="158" t="str">
        <f>IF(Input!D872="","",Input!D872)</f>
        <v/>
      </c>
      <c r="D64" s="64" t="str">
        <f>IF(Input!E872="","",Input!E872)</f>
        <v/>
      </c>
      <c r="E64" s="234">
        <f>Input!G872</f>
        <v>0</v>
      </c>
      <c r="F64" s="68" t="b">
        <f t="shared" si="7"/>
        <v>0</v>
      </c>
      <c r="G64" s="68" t="str">
        <f>IF(Input!L872="","",Input!L872)</f>
        <v/>
      </c>
      <c r="H64" s="68" t="str">
        <f>IF(Input!M872="","",Input!M872)</f>
        <v/>
      </c>
      <c r="I64" s="181">
        <f t="shared" si="8"/>
        <v>0</v>
      </c>
      <c r="J64" s="181">
        <f t="shared" si="9"/>
        <v>0</v>
      </c>
      <c r="K64" s="181">
        <f t="shared" si="10"/>
        <v>0</v>
      </c>
      <c r="L64" s="181">
        <f t="shared" si="11"/>
        <v>0</v>
      </c>
      <c r="M64" s="181">
        <f t="shared" si="12"/>
        <v>0</v>
      </c>
      <c r="N64" s="181">
        <f t="shared" si="13"/>
        <v>0</v>
      </c>
      <c r="O64" s="181">
        <f t="shared" si="14"/>
        <v>0</v>
      </c>
      <c r="P64" s="181">
        <f t="shared" si="15"/>
        <v>0</v>
      </c>
      <c r="Q64" s="182">
        <f>IFERROR(IF(AE64,VLOOKUP(H64,$B$20:$C$25,2, FALSE), IF(D64="Non-life",MAX(1, Input!$G$842*$E$19),IF(D64="Capital", MAX(1, Input!$G$843), 0))),0)</f>
        <v>0</v>
      </c>
      <c r="R64" s="182">
        <f>IF(F64, IF(NOT(calc_ir_in_step_1),Q64,Input!$G$839),0)</f>
        <v>0</v>
      </c>
      <c r="S64" s="158">
        <f>IF(OR(AND(calc_ir_in_step_1b,Input!$G$840="Down"),AND(NOT(calc_ir_in_step_1),OR(AND(AE64,$B$40="Down"),AND($D64="Non-life",$C$40="Down")))),0,1)</f>
        <v>1</v>
      </c>
      <c r="T64" s="158">
        <f>IF(OR(AND(calc_ir_in_step_1b,Input!$G$840&lt;&gt;"Down"),AND(NOT(calc_ir_in_step_1),OR($D64="Capital",AND(AE64,$B$40="Up"),AND($D64="Non-life",$C$40="Up")))),0,1)</f>
        <v>1</v>
      </c>
      <c r="U64" s="234">
        <f t="shared" si="16"/>
        <v>0</v>
      </c>
      <c r="V64" s="234">
        <f t="shared" si="17"/>
        <v>0</v>
      </c>
      <c r="W64" s="235">
        <f t="shared" si="18"/>
        <v>0</v>
      </c>
      <c r="X64" s="235">
        <f t="shared" si="19"/>
        <v>0</v>
      </c>
      <c r="Y64" s="235">
        <f t="shared" si="20"/>
        <v>0</v>
      </c>
      <c r="Z64" s="235">
        <f t="shared" si="21"/>
        <v>0</v>
      </c>
      <c r="AA64" s="235">
        <f t="shared" si="22"/>
        <v>0</v>
      </c>
      <c r="AB64" s="235">
        <f t="shared" si="23"/>
        <v>0</v>
      </c>
      <c r="AC64" s="235">
        <f t="shared" si="24"/>
        <v>0</v>
      </c>
      <c r="AD64" s="235">
        <f t="shared" si="25"/>
        <v>0</v>
      </c>
      <c r="AE64" s="158" t="b">
        <f>Input!T872</f>
        <v>0</v>
      </c>
    </row>
    <row r="65" spans="2:31" hidden="1" outlineLevel="1" x14ac:dyDescent="0.3">
      <c r="B65" s="158" t="str">
        <f>IF(Input!C873="","",Input!C873)</f>
        <v/>
      </c>
      <c r="C65" s="158" t="str">
        <f>IF(Input!D873="","",Input!D873)</f>
        <v/>
      </c>
      <c r="D65" s="64" t="str">
        <f>IF(Input!E873="","",Input!E873)</f>
        <v/>
      </c>
      <c r="E65" s="234">
        <f>Input!G873</f>
        <v>0</v>
      </c>
      <c r="F65" s="68" t="b">
        <f t="shared" si="7"/>
        <v>0</v>
      </c>
      <c r="G65" s="68" t="str">
        <f>IF(Input!L873="","",Input!L873)</f>
        <v/>
      </c>
      <c r="H65" s="68" t="str">
        <f>IF(Input!M873="","",Input!M873)</f>
        <v/>
      </c>
      <c r="I65" s="181">
        <f t="shared" si="8"/>
        <v>0</v>
      </c>
      <c r="J65" s="181">
        <f t="shared" si="9"/>
        <v>0</v>
      </c>
      <c r="K65" s="181">
        <f t="shared" si="10"/>
        <v>0</v>
      </c>
      <c r="L65" s="181">
        <f t="shared" si="11"/>
        <v>0</v>
      </c>
      <c r="M65" s="181">
        <f t="shared" si="12"/>
        <v>0</v>
      </c>
      <c r="N65" s="181">
        <f t="shared" si="13"/>
        <v>0</v>
      </c>
      <c r="O65" s="181">
        <f t="shared" si="14"/>
        <v>0</v>
      </c>
      <c r="P65" s="181">
        <f t="shared" si="15"/>
        <v>0</v>
      </c>
      <c r="Q65" s="182">
        <f>IFERROR(IF(AE65,VLOOKUP(H65,$B$20:$C$25,2, FALSE), IF(D65="Non-life",MAX(1, Input!$G$842*$E$19),IF(D65="Capital", MAX(1, Input!$G$843), 0))),0)</f>
        <v>0</v>
      </c>
      <c r="R65" s="182">
        <f>IF(F65, IF(NOT(calc_ir_in_step_1),Q65,Input!$G$839),0)</f>
        <v>0</v>
      </c>
      <c r="S65" s="158">
        <f>IF(OR(AND(calc_ir_in_step_1b,Input!$G$840="Down"),AND(NOT(calc_ir_in_step_1),OR(AND(AE65,$B$40="Down"),AND($D65="Non-life",$C$40="Down")))),0,1)</f>
        <v>1</v>
      </c>
      <c r="T65" s="158">
        <f>IF(OR(AND(calc_ir_in_step_1b,Input!$G$840&lt;&gt;"Down"),AND(NOT(calc_ir_in_step_1),OR($D65="Capital",AND(AE65,$B$40="Up"),AND($D65="Non-life",$C$40="Up")))),0,1)</f>
        <v>1</v>
      </c>
      <c r="U65" s="234">
        <f t="shared" si="16"/>
        <v>0</v>
      </c>
      <c r="V65" s="234">
        <f t="shared" si="17"/>
        <v>0</v>
      </c>
      <c r="W65" s="235">
        <f t="shared" si="18"/>
        <v>0</v>
      </c>
      <c r="X65" s="235">
        <f t="shared" si="19"/>
        <v>0</v>
      </c>
      <c r="Y65" s="235">
        <f t="shared" si="20"/>
        <v>0</v>
      </c>
      <c r="Z65" s="235">
        <f t="shared" si="21"/>
        <v>0</v>
      </c>
      <c r="AA65" s="235">
        <f t="shared" si="22"/>
        <v>0</v>
      </c>
      <c r="AB65" s="235">
        <f t="shared" si="23"/>
        <v>0</v>
      </c>
      <c r="AC65" s="235">
        <f t="shared" si="24"/>
        <v>0</v>
      </c>
      <c r="AD65" s="235">
        <f t="shared" si="25"/>
        <v>0</v>
      </c>
      <c r="AE65" s="158" t="b">
        <f>Input!T873</f>
        <v>0</v>
      </c>
    </row>
    <row r="66" spans="2:31" hidden="1" outlineLevel="1" x14ac:dyDescent="0.3">
      <c r="B66" s="158" t="str">
        <f>IF(Input!C874="","",Input!C874)</f>
        <v/>
      </c>
      <c r="C66" s="158" t="str">
        <f>IF(Input!D874="","",Input!D874)</f>
        <v/>
      </c>
      <c r="D66" s="64" t="str">
        <f>IF(Input!E874="","",Input!E874)</f>
        <v/>
      </c>
      <c r="E66" s="234">
        <f>Input!G874</f>
        <v>0</v>
      </c>
      <c r="F66" s="68" t="b">
        <f t="shared" si="7"/>
        <v>0</v>
      </c>
      <c r="G66" s="68" t="str">
        <f>IF(Input!L874="","",Input!L874)</f>
        <v/>
      </c>
      <c r="H66" s="68" t="str">
        <f>IF(Input!M874="","",Input!M874)</f>
        <v/>
      </c>
      <c r="I66" s="181">
        <f t="shared" si="8"/>
        <v>0</v>
      </c>
      <c r="J66" s="181">
        <f t="shared" si="9"/>
        <v>0</v>
      </c>
      <c r="K66" s="181">
        <f t="shared" si="10"/>
        <v>0</v>
      </c>
      <c r="L66" s="181">
        <f t="shared" si="11"/>
        <v>0</v>
      </c>
      <c r="M66" s="181">
        <f t="shared" si="12"/>
        <v>0</v>
      </c>
      <c r="N66" s="181">
        <f t="shared" si="13"/>
        <v>0</v>
      </c>
      <c r="O66" s="181">
        <f t="shared" si="14"/>
        <v>0</v>
      </c>
      <c r="P66" s="181">
        <f t="shared" si="15"/>
        <v>0</v>
      </c>
      <c r="Q66" s="182">
        <f>IFERROR(IF(AE66,VLOOKUP(H66,$B$20:$C$25,2, FALSE), IF(D66="Non-life",MAX(1, Input!$G$842*$E$19),IF(D66="Capital", MAX(1, Input!$G$843), 0))),0)</f>
        <v>0</v>
      </c>
      <c r="R66" s="182">
        <f>IF(F66, IF(NOT(calc_ir_in_step_1),Q66,Input!$G$839),0)</f>
        <v>0</v>
      </c>
      <c r="S66" s="158">
        <f>IF(OR(AND(calc_ir_in_step_1b,Input!$G$840="Down"),AND(NOT(calc_ir_in_step_1),OR(AND(AE66,$B$40="Down"),AND($D66="Non-life",$C$40="Down")))),0,1)</f>
        <v>1</v>
      </c>
      <c r="T66" s="158">
        <f>IF(OR(AND(calc_ir_in_step_1b,Input!$G$840&lt;&gt;"Down"),AND(NOT(calc_ir_in_step_1),OR($D66="Capital",AND(AE66,$B$40="Up"),AND($D66="Non-life",$C$40="Up")))),0,1)</f>
        <v>1</v>
      </c>
      <c r="U66" s="234">
        <f t="shared" si="16"/>
        <v>0</v>
      </c>
      <c r="V66" s="234">
        <f t="shared" si="17"/>
        <v>0</v>
      </c>
      <c r="W66" s="235">
        <f t="shared" si="18"/>
        <v>0</v>
      </c>
      <c r="X66" s="235">
        <f t="shared" si="19"/>
        <v>0</v>
      </c>
      <c r="Y66" s="235">
        <f t="shared" si="20"/>
        <v>0</v>
      </c>
      <c r="Z66" s="235">
        <f t="shared" si="21"/>
        <v>0</v>
      </c>
      <c r="AA66" s="235">
        <f t="shared" si="22"/>
        <v>0</v>
      </c>
      <c r="AB66" s="235">
        <f t="shared" si="23"/>
        <v>0</v>
      </c>
      <c r="AC66" s="235">
        <f t="shared" si="24"/>
        <v>0</v>
      </c>
      <c r="AD66" s="235">
        <f t="shared" si="25"/>
        <v>0</v>
      </c>
      <c r="AE66" s="158" t="b">
        <f>Input!T874</f>
        <v>0</v>
      </c>
    </row>
    <row r="67" spans="2:31" hidden="1" outlineLevel="1" x14ac:dyDescent="0.3">
      <c r="B67" s="158" t="str">
        <f>IF(Input!C875="","",Input!C875)</f>
        <v/>
      </c>
      <c r="C67" s="158" t="str">
        <f>IF(Input!D875="","",Input!D875)</f>
        <v/>
      </c>
      <c r="D67" s="64" t="str">
        <f>IF(Input!E875="","",Input!E875)</f>
        <v/>
      </c>
      <c r="E67" s="234">
        <f>Input!G875</f>
        <v>0</v>
      </c>
      <c r="F67" s="68" t="b">
        <f t="shared" si="7"/>
        <v>0</v>
      </c>
      <c r="G67" s="68" t="str">
        <f>IF(Input!L875="","",Input!L875)</f>
        <v/>
      </c>
      <c r="H67" s="68" t="str">
        <f>IF(Input!M875="","",Input!M875)</f>
        <v/>
      </c>
      <c r="I67" s="181">
        <f t="shared" si="8"/>
        <v>0</v>
      </c>
      <c r="J67" s="181">
        <f t="shared" si="9"/>
        <v>0</v>
      </c>
      <c r="K67" s="181">
        <f t="shared" si="10"/>
        <v>0</v>
      </c>
      <c r="L67" s="181">
        <f t="shared" si="11"/>
        <v>0</v>
      </c>
      <c r="M67" s="181">
        <f t="shared" si="12"/>
        <v>0</v>
      </c>
      <c r="N67" s="181">
        <f t="shared" si="13"/>
        <v>0</v>
      </c>
      <c r="O67" s="181">
        <f t="shared" si="14"/>
        <v>0</v>
      </c>
      <c r="P67" s="181">
        <f t="shared" si="15"/>
        <v>0</v>
      </c>
      <c r="Q67" s="182">
        <f>IFERROR(IF(AE67,VLOOKUP(H67,$B$20:$C$25,2, FALSE), IF(D67="Non-life",MAX(1, Input!$G$842*$E$19),IF(D67="Capital", MAX(1, Input!$G$843), 0))),0)</f>
        <v>0</v>
      </c>
      <c r="R67" s="182">
        <f>IF(F67, IF(NOT(calc_ir_in_step_1),Q67,Input!$G$839),0)</f>
        <v>0</v>
      </c>
      <c r="S67" s="158">
        <f>IF(OR(AND(calc_ir_in_step_1b,Input!$G$840="Down"),AND(NOT(calc_ir_in_step_1),OR(AND(AE67,$B$40="Down"),AND($D67="Non-life",$C$40="Down")))),0,1)</f>
        <v>1</v>
      </c>
      <c r="T67" s="158">
        <f>IF(OR(AND(calc_ir_in_step_1b,Input!$G$840&lt;&gt;"Down"),AND(NOT(calc_ir_in_step_1),OR($D67="Capital",AND(AE67,$B$40="Up"),AND($D67="Non-life",$C$40="Up")))),0,1)</f>
        <v>1</v>
      </c>
      <c r="U67" s="234">
        <f t="shared" si="16"/>
        <v>0</v>
      </c>
      <c r="V67" s="234">
        <f t="shared" si="17"/>
        <v>0</v>
      </c>
      <c r="W67" s="235">
        <f t="shared" si="18"/>
        <v>0</v>
      </c>
      <c r="X67" s="235">
        <f t="shared" si="19"/>
        <v>0</v>
      </c>
      <c r="Y67" s="235">
        <f t="shared" si="20"/>
        <v>0</v>
      </c>
      <c r="Z67" s="235">
        <f t="shared" si="21"/>
        <v>0</v>
      </c>
      <c r="AA67" s="235">
        <f t="shared" si="22"/>
        <v>0</v>
      </c>
      <c r="AB67" s="235">
        <f t="shared" si="23"/>
        <v>0</v>
      </c>
      <c r="AC67" s="235">
        <f t="shared" si="24"/>
        <v>0</v>
      </c>
      <c r="AD67" s="235">
        <f t="shared" si="25"/>
        <v>0</v>
      </c>
      <c r="AE67" s="158" t="b">
        <f>Input!T875</f>
        <v>0</v>
      </c>
    </row>
    <row r="68" spans="2:31" hidden="1" outlineLevel="1" x14ac:dyDescent="0.3">
      <c r="B68" s="158" t="str">
        <f>IF(Input!C876="","",Input!C876)</f>
        <v/>
      </c>
      <c r="C68" s="158" t="str">
        <f>IF(Input!D876="","",Input!D876)</f>
        <v/>
      </c>
      <c r="D68" s="64" t="str">
        <f>IF(Input!E876="","",Input!E876)</f>
        <v/>
      </c>
      <c r="E68" s="234">
        <f>Input!G876</f>
        <v>0</v>
      </c>
      <c r="F68" s="68" t="b">
        <f t="shared" si="7"/>
        <v>0</v>
      </c>
      <c r="G68" s="68" t="str">
        <f>IF(Input!L876="","",Input!L876)</f>
        <v/>
      </c>
      <c r="H68" s="68" t="str">
        <f>IF(Input!M876="","",Input!M876)</f>
        <v/>
      </c>
      <c r="I68" s="181">
        <f t="shared" si="8"/>
        <v>0</v>
      </c>
      <c r="J68" s="181">
        <f t="shared" si="9"/>
        <v>0</v>
      </c>
      <c r="K68" s="181">
        <f t="shared" si="10"/>
        <v>0</v>
      </c>
      <c r="L68" s="181">
        <f t="shared" si="11"/>
        <v>0</v>
      </c>
      <c r="M68" s="181">
        <f t="shared" si="12"/>
        <v>0</v>
      </c>
      <c r="N68" s="181">
        <f t="shared" si="13"/>
        <v>0</v>
      </c>
      <c r="O68" s="181">
        <f t="shared" si="14"/>
        <v>0</v>
      </c>
      <c r="P68" s="181">
        <f t="shared" si="15"/>
        <v>0</v>
      </c>
      <c r="Q68" s="182">
        <f>IFERROR(IF(AE68,VLOOKUP(H68,$B$20:$C$25,2, FALSE), IF(D68="Non-life",MAX(1, Input!$G$842*$E$19),IF(D68="Capital", MAX(1, Input!$G$843), 0))),0)</f>
        <v>0</v>
      </c>
      <c r="R68" s="182">
        <f>IF(F68, IF(NOT(calc_ir_in_step_1),Q68,Input!$G$839),0)</f>
        <v>0</v>
      </c>
      <c r="S68" s="158">
        <f>IF(OR(AND(calc_ir_in_step_1b,Input!$G$840="Down"),AND(NOT(calc_ir_in_step_1),OR(AND(AE68,$B$40="Down"),AND($D68="Non-life",$C$40="Down")))),0,1)</f>
        <v>1</v>
      </c>
      <c r="T68" s="158">
        <f>IF(OR(AND(calc_ir_in_step_1b,Input!$G$840&lt;&gt;"Down"),AND(NOT(calc_ir_in_step_1),OR($D68="Capital",AND(AE68,$B$40="Up"),AND($D68="Non-life",$C$40="Up")))),0,1)</f>
        <v>1</v>
      </c>
      <c r="U68" s="234">
        <f t="shared" si="16"/>
        <v>0</v>
      </c>
      <c r="V68" s="234">
        <f t="shared" si="17"/>
        <v>0</v>
      </c>
      <c r="W68" s="235">
        <f t="shared" si="18"/>
        <v>0</v>
      </c>
      <c r="X68" s="235">
        <f t="shared" si="19"/>
        <v>0</v>
      </c>
      <c r="Y68" s="235">
        <f t="shared" si="20"/>
        <v>0</v>
      </c>
      <c r="Z68" s="235">
        <f t="shared" si="21"/>
        <v>0</v>
      </c>
      <c r="AA68" s="235">
        <f t="shared" si="22"/>
        <v>0</v>
      </c>
      <c r="AB68" s="235">
        <f t="shared" si="23"/>
        <v>0</v>
      </c>
      <c r="AC68" s="235">
        <f t="shared" si="24"/>
        <v>0</v>
      </c>
      <c r="AD68" s="235">
        <f t="shared" si="25"/>
        <v>0</v>
      </c>
      <c r="AE68" s="158" t="b">
        <f>Input!T876</f>
        <v>0</v>
      </c>
    </row>
    <row r="69" spans="2:31" hidden="1" outlineLevel="1" x14ac:dyDescent="0.3">
      <c r="B69" s="158" t="str">
        <f>IF(Input!C877="","",Input!C877)</f>
        <v/>
      </c>
      <c r="C69" s="158" t="str">
        <f>IF(Input!D877="","",Input!D877)</f>
        <v/>
      </c>
      <c r="D69" s="64" t="str">
        <f>IF(Input!E877="","",Input!E877)</f>
        <v/>
      </c>
      <c r="E69" s="234">
        <f>Input!G877</f>
        <v>0</v>
      </c>
      <c r="F69" s="68" t="b">
        <f t="shared" si="7"/>
        <v>0</v>
      </c>
      <c r="G69" s="68" t="str">
        <f>IF(Input!L877="","",Input!L877)</f>
        <v/>
      </c>
      <c r="H69" s="68" t="str">
        <f>IF(Input!M877="","",Input!M877)</f>
        <v/>
      </c>
      <c r="I69" s="181">
        <f t="shared" si="8"/>
        <v>0</v>
      </c>
      <c r="J69" s="181">
        <f t="shared" si="9"/>
        <v>0</v>
      </c>
      <c r="K69" s="181">
        <f t="shared" si="10"/>
        <v>0</v>
      </c>
      <c r="L69" s="181">
        <f t="shared" si="11"/>
        <v>0</v>
      </c>
      <c r="M69" s="181">
        <f t="shared" si="12"/>
        <v>0</v>
      </c>
      <c r="N69" s="181">
        <f t="shared" si="13"/>
        <v>0</v>
      </c>
      <c r="O69" s="181">
        <f t="shared" si="14"/>
        <v>0</v>
      </c>
      <c r="P69" s="181">
        <f t="shared" si="15"/>
        <v>0</v>
      </c>
      <c r="Q69" s="182">
        <f>IFERROR(IF(AE69,VLOOKUP(H69,$B$20:$C$25,2, FALSE), IF(D69="Non-life",MAX(1, Input!$G$842*$E$19),IF(D69="Capital", MAX(1, Input!$G$843), 0))),0)</f>
        <v>0</v>
      </c>
      <c r="R69" s="182">
        <f>IF(F69, IF(NOT(calc_ir_in_step_1),Q69,Input!$G$839),0)</f>
        <v>0</v>
      </c>
      <c r="S69" s="158">
        <f>IF(OR(AND(calc_ir_in_step_1b,Input!$G$840="Down"),AND(NOT(calc_ir_in_step_1),OR(AND(AE69,$B$40="Down"),AND($D69="Non-life",$C$40="Down")))),0,1)</f>
        <v>1</v>
      </c>
      <c r="T69" s="158">
        <f>IF(OR(AND(calc_ir_in_step_1b,Input!$G$840&lt;&gt;"Down"),AND(NOT(calc_ir_in_step_1),OR($D69="Capital",AND(AE69,$B$40="Up"),AND($D69="Non-life",$C$40="Up")))),0,1)</f>
        <v>1</v>
      </c>
      <c r="U69" s="234">
        <f t="shared" si="16"/>
        <v>0</v>
      </c>
      <c r="V69" s="234">
        <f t="shared" si="17"/>
        <v>0</v>
      </c>
      <c r="W69" s="235">
        <f t="shared" si="18"/>
        <v>0</v>
      </c>
      <c r="X69" s="235">
        <f t="shared" si="19"/>
        <v>0</v>
      </c>
      <c r="Y69" s="235">
        <f t="shared" si="20"/>
        <v>0</v>
      </c>
      <c r="Z69" s="235">
        <f t="shared" si="21"/>
        <v>0</v>
      </c>
      <c r="AA69" s="235">
        <f t="shared" si="22"/>
        <v>0</v>
      </c>
      <c r="AB69" s="235">
        <f t="shared" si="23"/>
        <v>0</v>
      </c>
      <c r="AC69" s="235">
        <f t="shared" si="24"/>
        <v>0</v>
      </c>
      <c r="AD69" s="235">
        <f t="shared" si="25"/>
        <v>0</v>
      </c>
      <c r="AE69" s="158" t="b">
        <f>Input!T877</f>
        <v>0</v>
      </c>
    </row>
    <row r="70" spans="2:31" hidden="1" outlineLevel="1" x14ac:dyDescent="0.3">
      <c r="B70" s="158" t="str">
        <f>IF(Input!C878="","",Input!C878)</f>
        <v/>
      </c>
      <c r="C70" s="158" t="str">
        <f>IF(Input!D878="","",Input!D878)</f>
        <v/>
      </c>
      <c r="D70" s="64" t="str">
        <f>IF(Input!E878="","",Input!E878)</f>
        <v/>
      </c>
      <c r="E70" s="234">
        <f>Input!G878</f>
        <v>0</v>
      </c>
      <c r="F70" s="68" t="b">
        <f t="shared" si="7"/>
        <v>0</v>
      </c>
      <c r="G70" s="68" t="str">
        <f>IF(Input!L878="","",Input!L878)</f>
        <v/>
      </c>
      <c r="H70" s="68" t="str">
        <f>IF(Input!M878="","",Input!M878)</f>
        <v/>
      </c>
      <c r="I70" s="181">
        <f t="shared" si="8"/>
        <v>0</v>
      </c>
      <c r="J70" s="181">
        <f t="shared" si="9"/>
        <v>0</v>
      </c>
      <c r="K70" s="181">
        <f t="shared" si="10"/>
        <v>0</v>
      </c>
      <c r="L70" s="181">
        <f t="shared" si="11"/>
        <v>0</v>
      </c>
      <c r="M70" s="181">
        <f t="shared" si="12"/>
        <v>0</v>
      </c>
      <c r="N70" s="181">
        <f t="shared" si="13"/>
        <v>0</v>
      </c>
      <c r="O70" s="181">
        <f t="shared" si="14"/>
        <v>0</v>
      </c>
      <c r="P70" s="181">
        <f t="shared" si="15"/>
        <v>0</v>
      </c>
      <c r="Q70" s="182">
        <f>IFERROR(IF(AE70,VLOOKUP(H70,$B$20:$C$25,2, FALSE), IF(D70="Non-life",MAX(1, Input!$G$842*$E$19),IF(D70="Capital", MAX(1, Input!$G$843), 0))),0)</f>
        <v>0</v>
      </c>
      <c r="R70" s="182">
        <f>IF(F70, IF(NOT(calc_ir_in_step_1),Q70,Input!$G$839),0)</f>
        <v>0</v>
      </c>
      <c r="S70" s="158">
        <f>IF(OR(AND(calc_ir_in_step_1b,Input!$G$840="Down"),AND(NOT(calc_ir_in_step_1),OR(AND(AE70,$B$40="Down"),AND($D70="Non-life",$C$40="Down")))),0,1)</f>
        <v>1</v>
      </c>
      <c r="T70" s="158">
        <f>IF(OR(AND(calc_ir_in_step_1b,Input!$G$840&lt;&gt;"Down"),AND(NOT(calc_ir_in_step_1),OR($D70="Capital",AND(AE70,$B$40="Up"),AND($D70="Non-life",$C$40="Up")))),0,1)</f>
        <v>1</v>
      </c>
      <c r="U70" s="234">
        <f t="shared" si="16"/>
        <v>0</v>
      </c>
      <c r="V70" s="234">
        <f t="shared" si="17"/>
        <v>0</v>
      </c>
      <c r="W70" s="235">
        <f t="shared" si="18"/>
        <v>0</v>
      </c>
      <c r="X70" s="235">
        <f t="shared" si="19"/>
        <v>0</v>
      </c>
      <c r="Y70" s="235">
        <f t="shared" si="20"/>
        <v>0</v>
      </c>
      <c r="Z70" s="235">
        <f t="shared" si="21"/>
        <v>0</v>
      </c>
      <c r="AA70" s="235">
        <f t="shared" si="22"/>
        <v>0</v>
      </c>
      <c r="AB70" s="235">
        <f t="shared" si="23"/>
        <v>0</v>
      </c>
      <c r="AC70" s="235">
        <f t="shared" si="24"/>
        <v>0</v>
      </c>
      <c r="AD70" s="235">
        <f t="shared" si="25"/>
        <v>0</v>
      </c>
      <c r="AE70" s="158" t="b">
        <f>Input!T878</f>
        <v>0</v>
      </c>
    </row>
    <row r="71" spans="2:31" hidden="1" outlineLevel="1" x14ac:dyDescent="0.3">
      <c r="B71" s="158" t="str">
        <f>IF(Input!C879="","",Input!C879)</f>
        <v/>
      </c>
      <c r="C71" s="158" t="str">
        <f>IF(Input!D879="","",Input!D879)</f>
        <v/>
      </c>
      <c r="D71" s="64" t="str">
        <f>IF(Input!E879="","",Input!E879)</f>
        <v/>
      </c>
      <c r="E71" s="234">
        <f>Input!G879</f>
        <v>0</v>
      </c>
      <c r="F71" s="68" t="b">
        <f t="shared" si="7"/>
        <v>0</v>
      </c>
      <c r="G71" s="68" t="str">
        <f>IF(Input!L879="","",Input!L879)</f>
        <v/>
      </c>
      <c r="H71" s="68" t="str">
        <f>IF(Input!M879="","",Input!M879)</f>
        <v/>
      </c>
      <c r="I71" s="181">
        <f t="shared" si="8"/>
        <v>0</v>
      </c>
      <c r="J71" s="181">
        <f t="shared" si="9"/>
        <v>0</v>
      </c>
      <c r="K71" s="181">
        <f t="shared" si="10"/>
        <v>0</v>
      </c>
      <c r="L71" s="181">
        <f t="shared" si="11"/>
        <v>0</v>
      </c>
      <c r="M71" s="181">
        <f t="shared" si="12"/>
        <v>0</v>
      </c>
      <c r="N71" s="181">
        <f t="shared" si="13"/>
        <v>0</v>
      </c>
      <c r="O71" s="181">
        <f t="shared" si="14"/>
        <v>0</v>
      </c>
      <c r="P71" s="181">
        <f t="shared" si="15"/>
        <v>0</v>
      </c>
      <c r="Q71" s="182">
        <f>IFERROR(IF(AE71,VLOOKUP(H71,$B$20:$C$25,2, FALSE), IF(D71="Non-life",MAX(1, Input!$G$842*$E$19),IF(D71="Capital", MAX(1, Input!$G$843), 0))),0)</f>
        <v>0</v>
      </c>
      <c r="R71" s="182">
        <f>IF(F71, IF(NOT(calc_ir_in_step_1),Q71,Input!$G$839),0)</f>
        <v>0</v>
      </c>
      <c r="S71" s="158">
        <f>IF(OR(AND(calc_ir_in_step_1b,Input!$G$840="Down"),AND(NOT(calc_ir_in_step_1),OR(AND(AE71,$B$40="Down"),AND($D71="Non-life",$C$40="Down")))),0,1)</f>
        <v>1</v>
      </c>
      <c r="T71" s="158">
        <f>IF(OR(AND(calc_ir_in_step_1b,Input!$G$840&lt;&gt;"Down"),AND(NOT(calc_ir_in_step_1),OR($D71="Capital",AND(AE71,$B$40="Up"),AND($D71="Non-life",$C$40="Up")))),0,1)</f>
        <v>1</v>
      </c>
      <c r="U71" s="234">
        <f t="shared" si="16"/>
        <v>0</v>
      </c>
      <c r="V71" s="234">
        <f t="shared" si="17"/>
        <v>0</v>
      </c>
      <c r="W71" s="235">
        <f t="shared" si="18"/>
        <v>0</v>
      </c>
      <c r="X71" s="235">
        <f t="shared" si="19"/>
        <v>0</v>
      </c>
      <c r="Y71" s="235">
        <f t="shared" si="20"/>
        <v>0</v>
      </c>
      <c r="Z71" s="235">
        <f t="shared" si="21"/>
        <v>0</v>
      </c>
      <c r="AA71" s="235">
        <f t="shared" si="22"/>
        <v>0</v>
      </c>
      <c r="AB71" s="235">
        <f t="shared" si="23"/>
        <v>0</v>
      </c>
      <c r="AC71" s="235">
        <f t="shared" si="24"/>
        <v>0</v>
      </c>
      <c r="AD71" s="235">
        <f t="shared" si="25"/>
        <v>0</v>
      </c>
      <c r="AE71" s="158" t="b">
        <f>Input!T879</f>
        <v>0</v>
      </c>
    </row>
    <row r="72" spans="2:31" hidden="1" outlineLevel="1" x14ac:dyDescent="0.3">
      <c r="B72" s="158" t="str">
        <f>IF(Input!C880="","",Input!C880)</f>
        <v/>
      </c>
      <c r="C72" s="158" t="str">
        <f>IF(Input!D880="","",Input!D880)</f>
        <v/>
      </c>
      <c r="D72" s="64" t="str">
        <f>IF(Input!E880="","",Input!E880)</f>
        <v/>
      </c>
      <c r="E72" s="234">
        <f>Input!G880</f>
        <v>0</v>
      </c>
      <c r="F72" s="68" t="b">
        <f t="shared" si="7"/>
        <v>0</v>
      </c>
      <c r="G72" s="68" t="str">
        <f>IF(Input!L880="","",Input!L880)</f>
        <v/>
      </c>
      <c r="H72" s="68" t="str">
        <f>IF(Input!M880="","",Input!M880)</f>
        <v/>
      </c>
      <c r="I72" s="181">
        <f t="shared" si="8"/>
        <v>0</v>
      </c>
      <c r="J72" s="181">
        <f t="shared" si="9"/>
        <v>0</v>
      </c>
      <c r="K72" s="181">
        <f t="shared" si="10"/>
        <v>0</v>
      </c>
      <c r="L72" s="181">
        <f t="shared" si="11"/>
        <v>0</v>
      </c>
      <c r="M72" s="181">
        <f t="shared" si="12"/>
        <v>0</v>
      </c>
      <c r="N72" s="181">
        <f t="shared" si="13"/>
        <v>0</v>
      </c>
      <c r="O72" s="181">
        <f t="shared" si="14"/>
        <v>0</v>
      </c>
      <c r="P72" s="181">
        <f t="shared" si="15"/>
        <v>0</v>
      </c>
      <c r="Q72" s="182">
        <f>IFERROR(IF(AE72,VLOOKUP(H72,$B$20:$C$25,2, FALSE), IF(D72="Non-life",MAX(1, Input!$G$842*$E$19),IF(D72="Capital", MAX(1, Input!$G$843), 0))),0)</f>
        <v>0</v>
      </c>
      <c r="R72" s="182">
        <f>IF(F72, IF(NOT(calc_ir_in_step_1),Q72,Input!$G$839),0)</f>
        <v>0</v>
      </c>
      <c r="S72" s="158">
        <f>IF(OR(AND(calc_ir_in_step_1b,Input!$G$840="Down"),AND(NOT(calc_ir_in_step_1),OR(AND(AE72,$B$40="Down"),AND($D72="Non-life",$C$40="Down")))),0,1)</f>
        <v>1</v>
      </c>
      <c r="T72" s="158">
        <f>IF(OR(AND(calc_ir_in_step_1b,Input!$G$840&lt;&gt;"Down"),AND(NOT(calc_ir_in_step_1),OR($D72="Capital",AND(AE72,$B$40="Up"),AND($D72="Non-life",$C$40="Up")))),0,1)</f>
        <v>1</v>
      </c>
      <c r="U72" s="234">
        <f t="shared" si="16"/>
        <v>0</v>
      </c>
      <c r="V72" s="234">
        <f t="shared" si="17"/>
        <v>0</v>
      </c>
      <c r="W72" s="235">
        <f t="shared" si="18"/>
        <v>0</v>
      </c>
      <c r="X72" s="235">
        <f t="shared" si="19"/>
        <v>0</v>
      </c>
      <c r="Y72" s="235">
        <f t="shared" si="20"/>
        <v>0</v>
      </c>
      <c r="Z72" s="235">
        <f t="shared" si="21"/>
        <v>0</v>
      </c>
      <c r="AA72" s="235">
        <f t="shared" si="22"/>
        <v>0</v>
      </c>
      <c r="AB72" s="235">
        <f t="shared" si="23"/>
        <v>0</v>
      </c>
      <c r="AC72" s="235">
        <f t="shared" si="24"/>
        <v>0</v>
      </c>
      <c r="AD72" s="235">
        <f t="shared" si="25"/>
        <v>0</v>
      </c>
      <c r="AE72" s="158" t="b">
        <f>Input!T880</f>
        <v>0</v>
      </c>
    </row>
    <row r="73" spans="2:31" hidden="1" outlineLevel="1" x14ac:dyDescent="0.3">
      <c r="B73" s="158" t="str">
        <f>IF(Input!C881="","",Input!C881)</f>
        <v/>
      </c>
      <c r="C73" s="158" t="str">
        <f>IF(Input!D881="","",Input!D881)</f>
        <v/>
      </c>
      <c r="D73" s="64" t="str">
        <f>IF(Input!E881="","",Input!E881)</f>
        <v/>
      </c>
      <c r="E73" s="234">
        <f>Input!G881</f>
        <v>0</v>
      </c>
      <c r="F73" s="68" t="b">
        <f t="shared" si="7"/>
        <v>0</v>
      </c>
      <c r="G73" s="68" t="str">
        <f>IF(Input!L881="","",Input!L881)</f>
        <v/>
      </c>
      <c r="H73" s="68" t="str">
        <f>IF(Input!M881="","",Input!M881)</f>
        <v/>
      </c>
      <c r="I73" s="181">
        <f t="shared" si="8"/>
        <v>0</v>
      </c>
      <c r="J73" s="181">
        <f t="shared" si="9"/>
        <v>0</v>
      </c>
      <c r="K73" s="181">
        <f t="shared" si="10"/>
        <v>0</v>
      </c>
      <c r="L73" s="181">
        <f t="shared" si="11"/>
        <v>0</v>
      </c>
      <c r="M73" s="181">
        <f t="shared" si="12"/>
        <v>0</v>
      </c>
      <c r="N73" s="181">
        <f t="shared" si="13"/>
        <v>0</v>
      </c>
      <c r="O73" s="181">
        <f t="shared" si="14"/>
        <v>0</v>
      </c>
      <c r="P73" s="181">
        <f t="shared" si="15"/>
        <v>0</v>
      </c>
      <c r="Q73" s="182">
        <f>IFERROR(IF(AE73,VLOOKUP(H73,$B$20:$C$25,2, FALSE), IF(D73="Non-life",MAX(1, Input!$G$842*$E$19),IF(D73="Capital", MAX(1, Input!$G$843), 0))),0)</f>
        <v>0</v>
      </c>
      <c r="R73" s="182">
        <f>IF(F73, IF(NOT(calc_ir_in_step_1),Q73,Input!$G$839),0)</f>
        <v>0</v>
      </c>
      <c r="S73" s="158">
        <f>IF(OR(AND(calc_ir_in_step_1b,Input!$G$840="Down"),AND(NOT(calc_ir_in_step_1),OR(AND(AE73,$B$40="Down"),AND($D73="Non-life",$C$40="Down")))),0,1)</f>
        <v>1</v>
      </c>
      <c r="T73" s="158">
        <f>IF(OR(AND(calc_ir_in_step_1b,Input!$G$840&lt;&gt;"Down"),AND(NOT(calc_ir_in_step_1),OR($D73="Capital",AND(AE73,$B$40="Up"),AND($D73="Non-life",$C$40="Up")))),0,1)</f>
        <v>1</v>
      </c>
      <c r="U73" s="234">
        <f t="shared" si="16"/>
        <v>0</v>
      </c>
      <c r="V73" s="234">
        <f t="shared" si="17"/>
        <v>0</v>
      </c>
      <c r="W73" s="235">
        <f t="shared" si="18"/>
        <v>0</v>
      </c>
      <c r="X73" s="235">
        <f t="shared" si="19"/>
        <v>0</v>
      </c>
      <c r="Y73" s="235">
        <f t="shared" si="20"/>
        <v>0</v>
      </c>
      <c r="Z73" s="235">
        <f t="shared" si="21"/>
        <v>0</v>
      </c>
      <c r="AA73" s="235">
        <f t="shared" si="22"/>
        <v>0</v>
      </c>
      <c r="AB73" s="235">
        <f t="shared" si="23"/>
        <v>0</v>
      </c>
      <c r="AC73" s="235">
        <f t="shared" si="24"/>
        <v>0</v>
      </c>
      <c r="AD73" s="235">
        <f t="shared" si="25"/>
        <v>0</v>
      </c>
      <c r="AE73" s="158" t="b">
        <f>Input!T881</f>
        <v>0</v>
      </c>
    </row>
    <row r="74" spans="2:31" hidden="1" outlineLevel="1" x14ac:dyDescent="0.3">
      <c r="B74" s="158" t="str">
        <f>IF(Input!C882="","",Input!C882)</f>
        <v/>
      </c>
      <c r="C74" s="158" t="str">
        <f>IF(Input!D882="","",Input!D882)</f>
        <v/>
      </c>
      <c r="D74" s="64" t="str">
        <f>IF(Input!E882="","",Input!E882)</f>
        <v/>
      </c>
      <c r="E74" s="234">
        <f>Input!G882</f>
        <v>0</v>
      </c>
      <c r="F74" s="68" t="b">
        <f t="shared" si="7"/>
        <v>0</v>
      </c>
      <c r="G74" s="68" t="str">
        <f>IF(Input!L882="","",Input!L882)</f>
        <v/>
      </c>
      <c r="H74" s="68" t="str">
        <f>IF(Input!M882="","",Input!M882)</f>
        <v/>
      </c>
      <c r="I74" s="181">
        <f t="shared" si="8"/>
        <v>0</v>
      </c>
      <c r="J74" s="181">
        <f t="shared" si="9"/>
        <v>0</v>
      </c>
      <c r="K74" s="181">
        <f t="shared" si="10"/>
        <v>0</v>
      </c>
      <c r="L74" s="181">
        <f t="shared" si="11"/>
        <v>0</v>
      </c>
      <c r="M74" s="181">
        <f t="shared" si="12"/>
        <v>0</v>
      </c>
      <c r="N74" s="181">
        <f t="shared" si="13"/>
        <v>0</v>
      </c>
      <c r="O74" s="181">
        <f t="shared" si="14"/>
        <v>0</v>
      </c>
      <c r="P74" s="181">
        <f t="shared" si="15"/>
        <v>0</v>
      </c>
      <c r="Q74" s="182">
        <f>IFERROR(IF(AE74,VLOOKUP(H74,$B$20:$C$25,2, FALSE), IF(D74="Non-life",MAX(1, Input!$G$842*$E$19),IF(D74="Capital", MAX(1, Input!$G$843), 0))),0)</f>
        <v>0</v>
      </c>
      <c r="R74" s="182">
        <f>IF(F74, IF(NOT(calc_ir_in_step_1),Q74,Input!$G$839),0)</f>
        <v>0</v>
      </c>
      <c r="S74" s="158">
        <f>IF(OR(AND(calc_ir_in_step_1b,Input!$G$840="Down"),AND(NOT(calc_ir_in_step_1),OR(AND(AE74,$B$40="Down"),AND($D74="Non-life",$C$40="Down")))),0,1)</f>
        <v>1</v>
      </c>
      <c r="T74" s="158">
        <f>IF(OR(AND(calc_ir_in_step_1b,Input!$G$840&lt;&gt;"Down"),AND(NOT(calc_ir_in_step_1),OR($D74="Capital",AND(AE74,$B$40="Up"),AND($D74="Non-life",$C$40="Up")))),0,1)</f>
        <v>1</v>
      </c>
      <c r="U74" s="234">
        <f t="shared" si="16"/>
        <v>0</v>
      </c>
      <c r="V74" s="234">
        <f t="shared" si="17"/>
        <v>0</v>
      </c>
      <c r="W74" s="235">
        <f t="shared" si="18"/>
        <v>0</v>
      </c>
      <c r="X74" s="235">
        <f t="shared" si="19"/>
        <v>0</v>
      </c>
      <c r="Y74" s="235">
        <f t="shared" si="20"/>
        <v>0</v>
      </c>
      <c r="Z74" s="235">
        <f t="shared" si="21"/>
        <v>0</v>
      </c>
      <c r="AA74" s="235">
        <f t="shared" si="22"/>
        <v>0</v>
      </c>
      <c r="AB74" s="235">
        <f t="shared" si="23"/>
        <v>0</v>
      </c>
      <c r="AC74" s="235">
        <f t="shared" si="24"/>
        <v>0</v>
      </c>
      <c r="AD74" s="235">
        <f t="shared" si="25"/>
        <v>0</v>
      </c>
      <c r="AE74" s="158" t="b">
        <f>Input!T882</f>
        <v>0</v>
      </c>
    </row>
    <row r="75" spans="2:31" hidden="1" outlineLevel="1" x14ac:dyDescent="0.3">
      <c r="B75" s="158" t="str">
        <f>IF(Input!C883="","",Input!C883)</f>
        <v/>
      </c>
      <c r="C75" s="158" t="str">
        <f>IF(Input!D883="","",Input!D883)</f>
        <v/>
      </c>
      <c r="D75" s="64" t="str">
        <f>IF(Input!E883="","",Input!E883)</f>
        <v/>
      </c>
      <c r="E75" s="234">
        <f>Input!G883</f>
        <v>0</v>
      </c>
      <c r="F75" s="68" t="b">
        <f t="shared" si="7"/>
        <v>0</v>
      </c>
      <c r="G75" s="68" t="str">
        <f>IF(Input!L883="","",Input!L883)</f>
        <v/>
      </c>
      <c r="H75" s="68" t="str">
        <f>IF(Input!M883="","",Input!M883)</f>
        <v/>
      </c>
      <c r="I75" s="181">
        <f t="shared" si="8"/>
        <v>0</v>
      </c>
      <c r="J75" s="181">
        <f t="shared" si="9"/>
        <v>0</v>
      </c>
      <c r="K75" s="181">
        <f t="shared" si="10"/>
        <v>0</v>
      </c>
      <c r="L75" s="181">
        <f t="shared" si="11"/>
        <v>0</v>
      </c>
      <c r="M75" s="181">
        <f t="shared" si="12"/>
        <v>0</v>
      </c>
      <c r="N75" s="181">
        <f t="shared" si="13"/>
        <v>0</v>
      </c>
      <c r="O75" s="181">
        <f t="shared" si="14"/>
        <v>0</v>
      </c>
      <c r="P75" s="181">
        <f t="shared" si="15"/>
        <v>0</v>
      </c>
      <c r="Q75" s="182">
        <f>IFERROR(IF(AE75,VLOOKUP(H75,$B$20:$C$25,2, FALSE), IF(D75="Non-life",MAX(1, Input!$G$842*$E$19),IF(D75="Capital", MAX(1, Input!$G$843), 0))),0)</f>
        <v>0</v>
      </c>
      <c r="R75" s="182">
        <f>IF(F75, IF(NOT(calc_ir_in_step_1),Q75,Input!$G$839),0)</f>
        <v>0</v>
      </c>
      <c r="S75" s="158">
        <f>IF(OR(AND(calc_ir_in_step_1b,Input!$G$840="Down"),AND(NOT(calc_ir_in_step_1),OR(AND(AE75,$B$40="Down"),AND($D75="Non-life",$C$40="Down")))),0,1)</f>
        <v>1</v>
      </c>
      <c r="T75" s="158">
        <f>IF(OR(AND(calc_ir_in_step_1b,Input!$G$840&lt;&gt;"Down"),AND(NOT(calc_ir_in_step_1),OR($D75="Capital",AND(AE75,$B$40="Up"),AND($D75="Non-life",$C$40="Up")))),0,1)</f>
        <v>1</v>
      </c>
      <c r="U75" s="234">
        <f t="shared" si="16"/>
        <v>0</v>
      </c>
      <c r="V75" s="234">
        <f t="shared" si="17"/>
        <v>0</v>
      </c>
      <c r="W75" s="235">
        <f t="shared" si="18"/>
        <v>0</v>
      </c>
      <c r="X75" s="235">
        <f t="shared" si="19"/>
        <v>0</v>
      </c>
      <c r="Y75" s="235">
        <f t="shared" si="20"/>
        <v>0</v>
      </c>
      <c r="Z75" s="235">
        <f t="shared" si="21"/>
        <v>0</v>
      </c>
      <c r="AA75" s="235">
        <f t="shared" si="22"/>
        <v>0</v>
      </c>
      <c r="AB75" s="235">
        <f t="shared" si="23"/>
        <v>0</v>
      </c>
      <c r="AC75" s="235">
        <f t="shared" si="24"/>
        <v>0</v>
      </c>
      <c r="AD75" s="235">
        <f t="shared" si="25"/>
        <v>0</v>
      </c>
      <c r="AE75" s="158" t="b">
        <f>Input!T883</f>
        <v>0</v>
      </c>
    </row>
    <row r="76" spans="2:31" hidden="1" outlineLevel="1" x14ac:dyDescent="0.3">
      <c r="B76" s="158" t="str">
        <f>IF(Input!C884="","",Input!C884)</f>
        <v/>
      </c>
      <c r="C76" s="158" t="str">
        <f>IF(Input!D884="","",Input!D884)</f>
        <v/>
      </c>
      <c r="D76" s="64" t="str">
        <f>IF(Input!E884="","",Input!E884)</f>
        <v/>
      </c>
      <c r="E76" s="234">
        <f>Input!G884</f>
        <v>0</v>
      </c>
      <c r="F76" s="68" t="b">
        <f t="shared" si="7"/>
        <v>0</v>
      </c>
      <c r="G76" s="68" t="str">
        <f>IF(Input!L884="","",Input!L884)</f>
        <v/>
      </c>
      <c r="H76" s="68" t="str">
        <f>IF(Input!M884="","",Input!M884)</f>
        <v/>
      </c>
      <c r="I76" s="181">
        <f t="shared" si="8"/>
        <v>0</v>
      </c>
      <c r="J76" s="181">
        <f t="shared" si="9"/>
        <v>0</v>
      </c>
      <c r="K76" s="181">
        <f t="shared" si="10"/>
        <v>0</v>
      </c>
      <c r="L76" s="181">
        <f t="shared" si="11"/>
        <v>0</v>
      </c>
      <c r="M76" s="181">
        <f t="shared" si="12"/>
        <v>0</v>
      </c>
      <c r="N76" s="181">
        <f t="shared" si="13"/>
        <v>0</v>
      </c>
      <c r="O76" s="181">
        <f t="shared" si="14"/>
        <v>0</v>
      </c>
      <c r="P76" s="181">
        <f t="shared" si="15"/>
        <v>0</v>
      </c>
      <c r="Q76" s="182">
        <f>IFERROR(IF(AE76,VLOOKUP(H76,$B$20:$C$25,2, FALSE), IF(D76="Non-life",MAX(1, Input!$G$842*$E$19),IF(D76="Capital", MAX(1, Input!$G$843), 0))),0)</f>
        <v>0</v>
      </c>
      <c r="R76" s="182">
        <f>IF(F76, IF(NOT(calc_ir_in_step_1),Q76,Input!$G$839),0)</f>
        <v>0</v>
      </c>
      <c r="S76" s="158">
        <f>IF(OR(AND(calc_ir_in_step_1b,Input!$G$840="Down"),AND(NOT(calc_ir_in_step_1),OR(AND(AE76,$B$40="Down"),AND($D76="Non-life",$C$40="Down")))),0,1)</f>
        <v>1</v>
      </c>
      <c r="T76" s="158">
        <f>IF(OR(AND(calc_ir_in_step_1b,Input!$G$840&lt;&gt;"Down"),AND(NOT(calc_ir_in_step_1),OR($D76="Capital",AND(AE76,$B$40="Up"),AND($D76="Non-life",$C$40="Up")))),0,1)</f>
        <v>1</v>
      </c>
      <c r="U76" s="234">
        <f t="shared" si="16"/>
        <v>0</v>
      </c>
      <c r="V76" s="234">
        <f t="shared" si="17"/>
        <v>0</v>
      </c>
      <c r="W76" s="235">
        <f t="shared" si="18"/>
        <v>0</v>
      </c>
      <c r="X76" s="235">
        <f t="shared" si="19"/>
        <v>0</v>
      </c>
      <c r="Y76" s="235">
        <f t="shared" si="20"/>
        <v>0</v>
      </c>
      <c r="Z76" s="235">
        <f t="shared" si="21"/>
        <v>0</v>
      </c>
      <c r="AA76" s="235">
        <f t="shared" si="22"/>
        <v>0</v>
      </c>
      <c r="AB76" s="235">
        <f t="shared" si="23"/>
        <v>0</v>
      </c>
      <c r="AC76" s="235">
        <f t="shared" si="24"/>
        <v>0</v>
      </c>
      <c r="AD76" s="235">
        <f t="shared" si="25"/>
        <v>0</v>
      </c>
      <c r="AE76" s="158" t="b">
        <f>Input!T884</f>
        <v>0</v>
      </c>
    </row>
    <row r="77" spans="2:31" hidden="1" outlineLevel="1" x14ac:dyDescent="0.3">
      <c r="B77" s="158" t="str">
        <f>IF(Input!C885="","",Input!C885)</f>
        <v/>
      </c>
      <c r="C77" s="158" t="str">
        <f>IF(Input!D885="","",Input!D885)</f>
        <v/>
      </c>
      <c r="D77" s="64" t="str">
        <f>IF(Input!E885="","",Input!E885)</f>
        <v/>
      </c>
      <c r="E77" s="234">
        <f>Input!G885</f>
        <v>0</v>
      </c>
      <c r="F77" s="68" t="b">
        <f t="shared" si="7"/>
        <v>0</v>
      </c>
      <c r="G77" s="68" t="str">
        <f>IF(Input!L885="","",Input!L885)</f>
        <v/>
      </c>
      <c r="H77" s="68" t="str">
        <f>IF(Input!M885="","",Input!M885)</f>
        <v/>
      </c>
      <c r="I77" s="181">
        <f t="shared" si="8"/>
        <v>0</v>
      </c>
      <c r="J77" s="181">
        <f t="shared" si="9"/>
        <v>0</v>
      </c>
      <c r="K77" s="181">
        <f t="shared" si="10"/>
        <v>0</v>
      </c>
      <c r="L77" s="181">
        <f t="shared" si="11"/>
        <v>0</v>
      </c>
      <c r="M77" s="181">
        <f t="shared" si="12"/>
        <v>0</v>
      </c>
      <c r="N77" s="181">
        <f t="shared" si="13"/>
        <v>0</v>
      </c>
      <c r="O77" s="181">
        <f t="shared" si="14"/>
        <v>0</v>
      </c>
      <c r="P77" s="181">
        <f t="shared" si="15"/>
        <v>0</v>
      </c>
      <c r="Q77" s="182">
        <f>IFERROR(IF(AE77,VLOOKUP(H77,$B$20:$C$25,2, FALSE), IF(D77="Non-life",MAX(1, Input!$G$842*$E$19),IF(D77="Capital", MAX(1, Input!$G$843), 0))),0)</f>
        <v>0</v>
      </c>
      <c r="R77" s="182">
        <f>IF(F77, IF(NOT(calc_ir_in_step_1),Q77,Input!$G$839),0)</f>
        <v>0</v>
      </c>
      <c r="S77" s="158">
        <f>IF(OR(AND(calc_ir_in_step_1b,Input!$G$840="Down"),AND(NOT(calc_ir_in_step_1),OR(AND(AE77,$B$40="Down"),AND($D77="Non-life",$C$40="Down")))),0,1)</f>
        <v>1</v>
      </c>
      <c r="T77" s="158">
        <f>IF(OR(AND(calc_ir_in_step_1b,Input!$G$840&lt;&gt;"Down"),AND(NOT(calc_ir_in_step_1),OR($D77="Capital",AND(AE77,$B$40="Up"),AND($D77="Non-life",$C$40="Up")))),0,1)</f>
        <v>1</v>
      </c>
      <c r="U77" s="234">
        <f t="shared" si="16"/>
        <v>0</v>
      </c>
      <c r="V77" s="234">
        <f t="shared" si="17"/>
        <v>0</v>
      </c>
      <c r="W77" s="235">
        <f t="shared" si="18"/>
        <v>0</v>
      </c>
      <c r="X77" s="235">
        <f t="shared" si="19"/>
        <v>0</v>
      </c>
      <c r="Y77" s="235">
        <f t="shared" si="20"/>
        <v>0</v>
      </c>
      <c r="Z77" s="235">
        <f t="shared" si="21"/>
        <v>0</v>
      </c>
      <c r="AA77" s="235">
        <f t="shared" si="22"/>
        <v>0</v>
      </c>
      <c r="AB77" s="235">
        <f t="shared" si="23"/>
        <v>0</v>
      </c>
      <c r="AC77" s="235">
        <f t="shared" si="24"/>
        <v>0</v>
      </c>
      <c r="AD77" s="235">
        <f t="shared" si="25"/>
        <v>0</v>
      </c>
      <c r="AE77" s="158" t="b">
        <f>Input!T885</f>
        <v>0</v>
      </c>
    </row>
    <row r="78" spans="2:31" hidden="1" outlineLevel="1" x14ac:dyDescent="0.3">
      <c r="B78" s="158" t="str">
        <f>IF(Input!C886="","",Input!C886)</f>
        <v/>
      </c>
      <c r="C78" s="158" t="str">
        <f>IF(Input!D886="","",Input!D886)</f>
        <v/>
      </c>
      <c r="D78" s="64" t="str">
        <f>IF(Input!E886="","",Input!E886)</f>
        <v/>
      </c>
      <c r="E78" s="234">
        <f>Input!G886</f>
        <v>0</v>
      </c>
      <c r="F78" s="68" t="b">
        <f t="shared" si="7"/>
        <v>0</v>
      </c>
      <c r="G78" s="68" t="str">
        <f>IF(Input!L886="","",Input!L886)</f>
        <v/>
      </c>
      <c r="H78" s="68" t="str">
        <f>IF(Input!M886="","",Input!M886)</f>
        <v/>
      </c>
      <c r="I78" s="181">
        <f t="shared" si="8"/>
        <v>0</v>
      </c>
      <c r="J78" s="181">
        <f t="shared" si="9"/>
        <v>0</v>
      </c>
      <c r="K78" s="181">
        <f t="shared" si="10"/>
        <v>0</v>
      </c>
      <c r="L78" s="181">
        <f t="shared" si="11"/>
        <v>0</v>
      </c>
      <c r="M78" s="181">
        <f t="shared" si="12"/>
        <v>0</v>
      </c>
      <c r="N78" s="181">
        <f t="shared" si="13"/>
        <v>0</v>
      </c>
      <c r="O78" s="181">
        <f t="shared" si="14"/>
        <v>0</v>
      </c>
      <c r="P78" s="181">
        <f t="shared" si="15"/>
        <v>0</v>
      </c>
      <c r="Q78" s="182">
        <f>IFERROR(IF(AE78,VLOOKUP(H78,$B$20:$C$25,2, FALSE), IF(D78="Non-life",MAX(1, Input!$G$842*$E$19),IF(D78="Capital", MAX(1, Input!$G$843), 0))),0)</f>
        <v>0</v>
      </c>
      <c r="R78" s="182">
        <f>IF(F78, IF(NOT(calc_ir_in_step_1),Q78,Input!$G$839),0)</f>
        <v>0</v>
      </c>
      <c r="S78" s="158">
        <f>IF(OR(AND(calc_ir_in_step_1b,Input!$G$840="Down"),AND(NOT(calc_ir_in_step_1),OR(AND(AE78,$B$40="Down"),AND($D78="Non-life",$C$40="Down")))),0,1)</f>
        <v>1</v>
      </c>
      <c r="T78" s="158">
        <f>IF(OR(AND(calc_ir_in_step_1b,Input!$G$840&lt;&gt;"Down"),AND(NOT(calc_ir_in_step_1),OR($D78="Capital",AND(AE78,$B$40="Up"),AND($D78="Non-life",$C$40="Up")))),0,1)</f>
        <v>1</v>
      </c>
      <c r="U78" s="234">
        <f t="shared" si="16"/>
        <v>0</v>
      </c>
      <c r="V78" s="234">
        <f t="shared" si="17"/>
        <v>0</v>
      </c>
      <c r="W78" s="235">
        <f t="shared" si="18"/>
        <v>0</v>
      </c>
      <c r="X78" s="235">
        <f t="shared" si="19"/>
        <v>0</v>
      </c>
      <c r="Y78" s="235">
        <f t="shared" si="20"/>
        <v>0</v>
      </c>
      <c r="Z78" s="235">
        <f t="shared" si="21"/>
        <v>0</v>
      </c>
      <c r="AA78" s="235">
        <f t="shared" si="22"/>
        <v>0</v>
      </c>
      <c r="AB78" s="235">
        <f t="shared" si="23"/>
        <v>0</v>
      </c>
      <c r="AC78" s="235">
        <f t="shared" si="24"/>
        <v>0</v>
      </c>
      <c r="AD78" s="235">
        <f t="shared" si="25"/>
        <v>0</v>
      </c>
      <c r="AE78" s="158" t="b">
        <f>Input!T886</f>
        <v>0</v>
      </c>
    </row>
    <row r="79" spans="2:31" hidden="1" outlineLevel="1" x14ac:dyDescent="0.3">
      <c r="B79" s="158" t="str">
        <f>IF(Input!C887="","",Input!C887)</f>
        <v/>
      </c>
      <c r="C79" s="158" t="str">
        <f>IF(Input!D887="","",Input!D887)</f>
        <v/>
      </c>
      <c r="D79" s="64" t="str">
        <f>IF(Input!E887="","",Input!E887)</f>
        <v/>
      </c>
      <c r="E79" s="234">
        <f>Input!G887</f>
        <v>0</v>
      </c>
      <c r="F79" s="68" t="b">
        <f t="shared" si="7"/>
        <v>0</v>
      </c>
      <c r="G79" s="68" t="str">
        <f>IF(Input!L887="","",Input!L887)</f>
        <v/>
      </c>
      <c r="H79" s="68" t="str">
        <f>IF(Input!M887="","",Input!M887)</f>
        <v/>
      </c>
      <c r="I79" s="181">
        <f t="shared" si="8"/>
        <v>0</v>
      </c>
      <c r="J79" s="181">
        <f t="shared" si="9"/>
        <v>0</v>
      </c>
      <c r="K79" s="181">
        <f t="shared" si="10"/>
        <v>0</v>
      </c>
      <c r="L79" s="181">
        <f t="shared" si="11"/>
        <v>0</v>
      </c>
      <c r="M79" s="181">
        <f t="shared" si="12"/>
        <v>0</v>
      </c>
      <c r="N79" s="181">
        <f t="shared" si="13"/>
        <v>0</v>
      </c>
      <c r="O79" s="181">
        <f t="shared" si="14"/>
        <v>0</v>
      </c>
      <c r="P79" s="181">
        <f t="shared" si="15"/>
        <v>0</v>
      </c>
      <c r="Q79" s="182">
        <f>IFERROR(IF(AE79,VLOOKUP(H79,$B$20:$C$25,2, FALSE), IF(D79="Non-life",MAX(1, Input!$G$842*$E$19),IF(D79="Capital", MAX(1, Input!$G$843), 0))),0)</f>
        <v>0</v>
      </c>
      <c r="R79" s="182">
        <f>IF(F79, IF(NOT(calc_ir_in_step_1),Q79,Input!$G$839),0)</f>
        <v>0</v>
      </c>
      <c r="S79" s="158">
        <f>IF(OR(AND(calc_ir_in_step_1b,Input!$G$840="Down"),AND(NOT(calc_ir_in_step_1),OR(AND(AE79,$B$40="Down"),AND($D79="Non-life",$C$40="Down")))),0,1)</f>
        <v>1</v>
      </c>
      <c r="T79" s="158">
        <f>IF(OR(AND(calc_ir_in_step_1b,Input!$G$840&lt;&gt;"Down"),AND(NOT(calc_ir_in_step_1),OR($D79="Capital",AND(AE79,$B$40="Up"),AND($D79="Non-life",$C$40="Up")))),0,1)</f>
        <v>1</v>
      </c>
      <c r="U79" s="234">
        <f t="shared" si="16"/>
        <v>0</v>
      </c>
      <c r="V79" s="234">
        <f t="shared" si="17"/>
        <v>0</v>
      </c>
      <c r="W79" s="235">
        <f t="shared" si="18"/>
        <v>0</v>
      </c>
      <c r="X79" s="235">
        <f t="shared" si="19"/>
        <v>0</v>
      </c>
      <c r="Y79" s="235">
        <f t="shared" si="20"/>
        <v>0</v>
      </c>
      <c r="Z79" s="235">
        <f t="shared" si="21"/>
        <v>0</v>
      </c>
      <c r="AA79" s="235">
        <f t="shared" si="22"/>
        <v>0</v>
      </c>
      <c r="AB79" s="235">
        <f t="shared" si="23"/>
        <v>0</v>
      </c>
      <c r="AC79" s="235">
        <f t="shared" si="24"/>
        <v>0</v>
      </c>
      <c r="AD79" s="235">
        <f t="shared" si="25"/>
        <v>0</v>
      </c>
      <c r="AE79" s="158" t="b">
        <f>Input!T887</f>
        <v>0</v>
      </c>
    </row>
    <row r="80" spans="2:31" hidden="1" outlineLevel="1" x14ac:dyDescent="0.3">
      <c r="B80" s="158" t="str">
        <f>IF(Input!C888="","",Input!C888)</f>
        <v/>
      </c>
      <c r="C80" s="158" t="str">
        <f>IF(Input!D888="","",Input!D888)</f>
        <v/>
      </c>
      <c r="D80" s="64" t="str">
        <f>IF(Input!E888="","",Input!E888)</f>
        <v/>
      </c>
      <c r="E80" s="234">
        <f>Input!G888</f>
        <v>0</v>
      </c>
      <c r="F80" s="68" t="b">
        <f t="shared" si="7"/>
        <v>0</v>
      </c>
      <c r="G80" s="68" t="str">
        <f>IF(Input!L888="","",Input!L888)</f>
        <v/>
      </c>
      <c r="H80" s="68" t="str">
        <f>IF(Input!M888="","",Input!M888)</f>
        <v/>
      </c>
      <c r="I80" s="181">
        <f t="shared" si="8"/>
        <v>0</v>
      </c>
      <c r="J80" s="181">
        <f t="shared" si="9"/>
        <v>0</v>
      </c>
      <c r="K80" s="181">
        <f t="shared" si="10"/>
        <v>0</v>
      </c>
      <c r="L80" s="181">
        <f t="shared" si="11"/>
        <v>0</v>
      </c>
      <c r="M80" s="181">
        <f t="shared" si="12"/>
        <v>0</v>
      </c>
      <c r="N80" s="181">
        <f t="shared" si="13"/>
        <v>0</v>
      </c>
      <c r="O80" s="181">
        <f t="shared" si="14"/>
        <v>0</v>
      </c>
      <c r="P80" s="181">
        <f t="shared" si="15"/>
        <v>0</v>
      </c>
      <c r="Q80" s="182">
        <f>IFERROR(IF(AE80,VLOOKUP(H80,$B$20:$C$25,2, FALSE), IF(D80="Non-life",MAX(1, Input!$G$842*$E$19),IF(D80="Capital", MAX(1, Input!$G$843), 0))),0)</f>
        <v>0</v>
      </c>
      <c r="R80" s="182">
        <f>IF(F80, IF(NOT(calc_ir_in_step_1),Q80,Input!$G$839),0)</f>
        <v>0</v>
      </c>
      <c r="S80" s="158">
        <f>IF(OR(AND(calc_ir_in_step_1b,Input!$G$840="Down"),AND(NOT(calc_ir_in_step_1),OR(AND(AE80,$B$40="Down"),AND($D80="Non-life",$C$40="Down")))),0,1)</f>
        <v>1</v>
      </c>
      <c r="T80" s="158">
        <f>IF(OR(AND(calc_ir_in_step_1b,Input!$G$840&lt;&gt;"Down"),AND(NOT(calc_ir_in_step_1),OR($D80="Capital",AND(AE80,$B$40="Up"),AND($D80="Non-life",$C$40="Up")))),0,1)</f>
        <v>1</v>
      </c>
      <c r="U80" s="234">
        <f t="shared" si="16"/>
        <v>0</v>
      </c>
      <c r="V80" s="234">
        <f t="shared" si="17"/>
        <v>0</v>
      </c>
      <c r="W80" s="235">
        <f t="shared" si="18"/>
        <v>0</v>
      </c>
      <c r="X80" s="235">
        <f t="shared" si="19"/>
        <v>0</v>
      </c>
      <c r="Y80" s="235">
        <f t="shared" si="20"/>
        <v>0</v>
      </c>
      <c r="Z80" s="235">
        <f t="shared" si="21"/>
        <v>0</v>
      </c>
      <c r="AA80" s="235">
        <f t="shared" si="22"/>
        <v>0</v>
      </c>
      <c r="AB80" s="235">
        <f t="shared" si="23"/>
        <v>0</v>
      </c>
      <c r="AC80" s="235">
        <f t="shared" si="24"/>
        <v>0</v>
      </c>
      <c r="AD80" s="235">
        <f t="shared" si="25"/>
        <v>0</v>
      </c>
      <c r="AE80" s="158" t="b">
        <f>Input!T888</f>
        <v>0</v>
      </c>
    </row>
    <row r="81" spans="2:31" hidden="1" outlineLevel="1" x14ac:dyDescent="0.3">
      <c r="B81" s="158" t="str">
        <f>IF(Input!C889="","",Input!C889)</f>
        <v/>
      </c>
      <c r="C81" s="158" t="str">
        <f>IF(Input!D889="","",Input!D889)</f>
        <v/>
      </c>
      <c r="D81" s="64" t="str">
        <f>IF(Input!E889="","",Input!E889)</f>
        <v/>
      </c>
      <c r="E81" s="234">
        <f>Input!G889</f>
        <v>0</v>
      </c>
      <c r="F81" s="68" t="b">
        <f t="shared" si="7"/>
        <v>0</v>
      </c>
      <c r="G81" s="68" t="str">
        <f>IF(Input!L889="","",Input!L889)</f>
        <v/>
      </c>
      <c r="H81" s="68" t="str">
        <f>IF(Input!M889="","",Input!M889)</f>
        <v/>
      </c>
      <c r="I81" s="181">
        <f t="shared" si="8"/>
        <v>0</v>
      </c>
      <c r="J81" s="181">
        <f t="shared" si="9"/>
        <v>0</v>
      </c>
      <c r="K81" s="181">
        <f t="shared" si="10"/>
        <v>0</v>
      </c>
      <c r="L81" s="181">
        <f t="shared" si="11"/>
        <v>0</v>
      </c>
      <c r="M81" s="181">
        <f t="shared" si="12"/>
        <v>0</v>
      </c>
      <c r="N81" s="181">
        <f t="shared" si="13"/>
        <v>0</v>
      </c>
      <c r="O81" s="181">
        <f t="shared" si="14"/>
        <v>0</v>
      </c>
      <c r="P81" s="181">
        <f t="shared" si="15"/>
        <v>0</v>
      </c>
      <c r="Q81" s="182">
        <f>IFERROR(IF(AE81,VLOOKUP(H81,$B$20:$C$25,2, FALSE), IF(D81="Non-life",MAX(1, Input!$G$842*$E$19),IF(D81="Capital", MAX(1, Input!$G$843), 0))),0)</f>
        <v>0</v>
      </c>
      <c r="R81" s="182">
        <f>IF(F81, IF(NOT(calc_ir_in_step_1),Q81,Input!$G$839),0)</f>
        <v>0</v>
      </c>
      <c r="S81" s="158">
        <f>IF(OR(AND(calc_ir_in_step_1b,Input!$G$840="Down"),AND(NOT(calc_ir_in_step_1),OR(AND(AE81,$B$40="Down"),AND($D81="Non-life",$C$40="Down")))),0,1)</f>
        <v>1</v>
      </c>
      <c r="T81" s="158">
        <f>IF(OR(AND(calc_ir_in_step_1b,Input!$G$840&lt;&gt;"Down"),AND(NOT(calc_ir_in_step_1),OR($D81="Capital",AND(AE81,$B$40="Up"),AND($D81="Non-life",$C$40="Up")))),0,1)</f>
        <v>1</v>
      </c>
      <c r="U81" s="234">
        <f t="shared" si="16"/>
        <v>0</v>
      </c>
      <c r="V81" s="234">
        <f t="shared" si="17"/>
        <v>0</v>
      </c>
      <c r="W81" s="235">
        <f t="shared" si="18"/>
        <v>0</v>
      </c>
      <c r="X81" s="235">
        <f t="shared" si="19"/>
        <v>0</v>
      </c>
      <c r="Y81" s="235">
        <f t="shared" si="20"/>
        <v>0</v>
      </c>
      <c r="Z81" s="235">
        <f t="shared" si="21"/>
        <v>0</v>
      </c>
      <c r="AA81" s="235">
        <f t="shared" si="22"/>
        <v>0</v>
      </c>
      <c r="AB81" s="235">
        <f t="shared" si="23"/>
        <v>0</v>
      </c>
      <c r="AC81" s="235">
        <f t="shared" si="24"/>
        <v>0</v>
      </c>
      <c r="AD81" s="235">
        <f t="shared" si="25"/>
        <v>0</v>
      </c>
      <c r="AE81" s="158" t="b">
        <f>Input!T889</f>
        <v>0</v>
      </c>
    </row>
    <row r="82" spans="2:31" hidden="1" outlineLevel="1" x14ac:dyDescent="0.3">
      <c r="B82" s="158" t="str">
        <f>IF(Input!C890="","",Input!C890)</f>
        <v/>
      </c>
      <c r="C82" s="158" t="str">
        <f>IF(Input!D890="","",Input!D890)</f>
        <v/>
      </c>
      <c r="D82" s="64" t="str">
        <f>IF(Input!E890="","",Input!E890)</f>
        <v/>
      </c>
      <c r="E82" s="234">
        <f>Input!G890</f>
        <v>0</v>
      </c>
      <c r="F82" s="68" t="b">
        <f t="shared" si="7"/>
        <v>0</v>
      </c>
      <c r="G82" s="68" t="str">
        <f>IF(Input!L890="","",Input!L890)</f>
        <v/>
      </c>
      <c r="H82" s="68" t="str">
        <f>IF(Input!M890="","",Input!M890)</f>
        <v/>
      </c>
      <c r="I82" s="181">
        <f t="shared" si="8"/>
        <v>0</v>
      </c>
      <c r="J82" s="181">
        <f t="shared" si="9"/>
        <v>0</v>
      </c>
      <c r="K82" s="181">
        <f t="shared" si="10"/>
        <v>0</v>
      </c>
      <c r="L82" s="181">
        <f t="shared" si="11"/>
        <v>0</v>
      </c>
      <c r="M82" s="181">
        <f t="shared" si="12"/>
        <v>0</v>
      </c>
      <c r="N82" s="181">
        <f t="shared" si="13"/>
        <v>0</v>
      </c>
      <c r="O82" s="181">
        <f t="shared" si="14"/>
        <v>0</v>
      </c>
      <c r="P82" s="181">
        <f t="shared" si="15"/>
        <v>0</v>
      </c>
      <c r="Q82" s="182">
        <f>IFERROR(IF(AE82,VLOOKUP(H82,$B$20:$C$25,2, FALSE), IF(D82="Non-life",MAX(1, Input!$G$842*$E$19),IF(D82="Capital", MAX(1, Input!$G$843), 0))),0)</f>
        <v>0</v>
      </c>
      <c r="R82" s="182">
        <f>IF(F82, IF(NOT(calc_ir_in_step_1),Q82,Input!$G$839),0)</f>
        <v>0</v>
      </c>
      <c r="S82" s="158">
        <f>IF(OR(AND(calc_ir_in_step_1b,Input!$G$840="Down"),AND(NOT(calc_ir_in_step_1),OR(AND(AE82,$B$40="Down"),AND($D82="Non-life",$C$40="Down")))),0,1)</f>
        <v>1</v>
      </c>
      <c r="T82" s="158">
        <f>IF(OR(AND(calc_ir_in_step_1b,Input!$G$840&lt;&gt;"Down"),AND(NOT(calc_ir_in_step_1),OR($D82="Capital",AND(AE82,$B$40="Up"),AND($D82="Non-life",$C$40="Up")))),0,1)</f>
        <v>1</v>
      </c>
      <c r="U82" s="234">
        <f t="shared" si="16"/>
        <v>0</v>
      </c>
      <c r="V82" s="234">
        <f t="shared" si="17"/>
        <v>0</v>
      </c>
      <c r="W82" s="235">
        <f t="shared" si="18"/>
        <v>0</v>
      </c>
      <c r="X82" s="235">
        <f t="shared" si="19"/>
        <v>0</v>
      </c>
      <c r="Y82" s="235">
        <f t="shared" si="20"/>
        <v>0</v>
      </c>
      <c r="Z82" s="235">
        <f t="shared" si="21"/>
        <v>0</v>
      </c>
      <c r="AA82" s="235">
        <f t="shared" si="22"/>
        <v>0</v>
      </c>
      <c r="AB82" s="235">
        <f t="shared" si="23"/>
        <v>0</v>
      </c>
      <c r="AC82" s="235">
        <f t="shared" si="24"/>
        <v>0</v>
      </c>
      <c r="AD82" s="235">
        <f t="shared" si="25"/>
        <v>0</v>
      </c>
      <c r="AE82" s="158" t="b">
        <f>Input!T890</f>
        <v>0</v>
      </c>
    </row>
    <row r="83" spans="2:31" hidden="1" outlineLevel="1" x14ac:dyDescent="0.3">
      <c r="B83" s="158" t="str">
        <f>IF(Input!C891="","",Input!C891)</f>
        <v/>
      </c>
      <c r="C83" s="158" t="str">
        <f>IF(Input!D891="","",Input!D891)</f>
        <v/>
      </c>
      <c r="D83" s="64" t="str">
        <f>IF(Input!E891="","",Input!E891)</f>
        <v/>
      </c>
      <c r="E83" s="234">
        <f>Input!G891</f>
        <v>0</v>
      </c>
      <c r="F83" s="68" t="b">
        <f t="shared" si="7"/>
        <v>0</v>
      </c>
      <c r="G83" s="68" t="str">
        <f>IF(Input!L891="","",Input!L891)</f>
        <v/>
      </c>
      <c r="H83" s="68" t="str">
        <f>IF(Input!M891="","",Input!M891)</f>
        <v/>
      </c>
      <c r="I83" s="181">
        <f t="shared" si="8"/>
        <v>0</v>
      </c>
      <c r="J83" s="181">
        <f t="shared" si="9"/>
        <v>0</v>
      </c>
      <c r="K83" s="181">
        <f t="shared" si="10"/>
        <v>0</v>
      </c>
      <c r="L83" s="181">
        <f t="shared" si="11"/>
        <v>0</v>
      </c>
      <c r="M83" s="181">
        <f t="shared" si="12"/>
        <v>0</v>
      </c>
      <c r="N83" s="181">
        <f t="shared" si="13"/>
        <v>0</v>
      </c>
      <c r="O83" s="181">
        <f t="shared" si="14"/>
        <v>0</v>
      </c>
      <c r="P83" s="181">
        <f t="shared" si="15"/>
        <v>0</v>
      </c>
      <c r="Q83" s="182">
        <f>IFERROR(IF(AE83,VLOOKUP(H83,$B$20:$C$25,2, FALSE), IF(D83="Non-life",MAX(1, Input!$G$842*$E$19),IF(D83="Capital", MAX(1, Input!$G$843), 0))),0)</f>
        <v>0</v>
      </c>
      <c r="R83" s="182">
        <f>IF(F83, IF(NOT(calc_ir_in_step_1),Q83,Input!$G$839),0)</f>
        <v>0</v>
      </c>
      <c r="S83" s="158">
        <f>IF(OR(AND(calc_ir_in_step_1b,Input!$G$840="Down"),AND(NOT(calc_ir_in_step_1),OR(AND(AE83,$B$40="Down"),AND($D83="Non-life",$C$40="Down")))),0,1)</f>
        <v>1</v>
      </c>
      <c r="T83" s="158">
        <f>IF(OR(AND(calc_ir_in_step_1b,Input!$G$840&lt;&gt;"Down"),AND(NOT(calc_ir_in_step_1),OR($D83="Capital",AND(AE83,$B$40="Up"),AND($D83="Non-life",$C$40="Up")))),0,1)</f>
        <v>1</v>
      </c>
      <c r="U83" s="234">
        <f t="shared" si="16"/>
        <v>0</v>
      </c>
      <c r="V83" s="234">
        <f t="shared" si="17"/>
        <v>0</v>
      </c>
      <c r="W83" s="235">
        <f t="shared" si="18"/>
        <v>0</v>
      </c>
      <c r="X83" s="235">
        <f t="shared" si="19"/>
        <v>0</v>
      </c>
      <c r="Y83" s="235">
        <f t="shared" si="20"/>
        <v>0</v>
      </c>
      <c r="Z83" s="235">
        <f t="shared" si="21"/>
        <v>0</v>
      </c>
      <c r="AA83" s="235">
        <f t="shared" si="22"/>
        <v>0</v>
      </c>
      <c r="AB83" s="235">
        <f t="shared" si="23"/>
        <v>0</v>
      </c>
      <c r="AC83" s="235">
        <f t="shared" si="24"/>
        <v>0</v>
      </c>
      <c r="AD83" s="235">
        <f t="shared" si="25"/>
        <v>0</v>
      </c>
      <c r="AE83" s="158" t="b">
        <f>Input!T891</f>
        <v>0</v>
      </c>
    </row>
    <row r="84" spans="2:31" hidden="1" outlineLevel="1" x14ac:dyDescent="0.3">
      <c r="B84" s="158" t="str">
        <f>IF(Input!C892="","",Input!C892)</f>
        <v/>
      </c>
      <c r="C84" s="158" t="str">
        <f>IF(Input!D892="","",Input!D892)</f>
        <v/>
      </c>
      <c r="D84" s="64" t="str">
        <f>IF(Input!E892="","",Input!E892)</f>
        <v/>
      </c>
      <c r="E84" s="234">
        <f>Input!G892</f>
        <v>0</v>
      </c>
      <c r="F84" s="68" t="b">
        <f t="shared" si="7"/>
        <v>0</v>
      </c>
      <c r="G84" s="68" t="str">
        <f>IF(Input!L892="","",Input!L892)</f>
        <v/>
      </c>
      <c r="H84" s="68" t="str">
        <f>IF(Input!M892="","",Input!M892)</f>
        <v/>
      </c>
      <c r="I84" s="181">
        <f t="shared" si="8"/>
        <v>0</v>
      </c>
      <c r="J84" s="181">
        <f t="shared" si="9"/>
        <v>0</v>
      </c>
      <c r="K84" s="181">
        <f t="shared" si="10"/>
        <v>0</v>
      </c>
      <c r="L84" s="181">
        <f t="shared" si="11"/>
        <v>0</v>
      </c>
      <c r="M84" s="181">
        <f t="shared" si="12"/>
        <v>0</v>
      </c>
      <c r="N84" s="181">
        <f t="shared" si="13"/>
        <v>0</v>
      </c>
      <c r="O84" s="181">
        <f t="shared" si="14"/>
        <v>0</v>
      </c>
      <c r="P84" s="181">
        <f t="shared" si="15"/>
        <v>0</v>
      </c>
      <c r="Q84" s="182">
        <f>IFERROR(IF(AE84,VLOOKUP(H84,$B$20:$C$25,2, FALSE), IF(D84="Non-life",MAX(1, Input!$G$842*$E$19),IF(D84="Capital", MAX(1, Input!$G$843), 0))),0)</f>
        <v>0</v>
      </c>
      <c r="R84" s="182">
        <f>IF(F84, IF(NOT(calc_ir_in_step_1),Q84,Input!$G$839),0)</f>
        <v>0</v>
      </c>
      <c r="S84" s="158">
        <f>IF(OR(AND(calc_ir_in_step_1b,Input!$G$840="Down"),AND(NOT(calc_ir_in_step_1),OR(AND(AE84,$B$40="Down"),AND($D84="Non-life",$C$40="Down")))),0,1)</f>
        <v>1</v>
      </c>
      <c r="T84" s="158">
        <f>IF(OR(AND(calc_ir_in_step_1b,Input!$G$840&lt;&gt;"Down"),AND(NOT(calc_ir_in_step_1),OR($D84="Capital",AND(AE84,$B$40="Up"),AND($D84="Non-life",$C$40="Up")))),0,1)</f>
        <v>1</v>
      </c>
      <c r="U84" s="234">
        <f t="shared" si="16"/>
        <v>0</v>
      </c>
      <c r="V84" s="234">
        <f t="shared" si="17"/>
        <v>0</v>
      </c>
      <c r="W84" s="235">
        <f t="shared" si="18"/>
        <v>0</v>
      </c>
      <c r="X84" s="235">
        <f t="shared" si="19"/>
        <v>0</v>
      </c>
      <c r="Y84" s="235">
        <f t="shared" si="20"/>
        <v>0</v>
      </c>
      <c r="Z84" s="235">
        <f t="shared" si="21"/>
        <v>0</v>
      </c>
      <c r="AA84" s="235">
        <f t="shared" si="22"/>
        <v>0</v>
      </c>
      <c r="AB84" s="235">
        <f t="shared" si="23"/>
        <v>0</v>
      </c>
      <c r="AC84" s="235">
        <f t="shared" si="24"/>
        <v>0</v>
      </c>
      <c r="AD84" s="235">
        <f t="shared" si="25"/>
        <v>0</v>
      </c>
      <c r="AE84" s="158" t="b">
        <f>Input!T892</f>
        <v>0</v>
      </c>
    </row>
    <row r="85" spans="2:31" hidden="1" outlineLevel="1" x14ac:dyDescent="0.3">
      <c r="B85" s="158" t="str">
        <f>IF(Input!C893="","",Input!C893)</f>
        <v/>
      </c>
      <c r="C85" s="158" t="str">
        <f>IF(Input!D893="","",Input!D893)</f>
        <v/>
      </c>
      <c r="D85" s="64" t="str">
        <f>IF(Input!E893="","",Input!E893)</f>
        <v/>
      </c>
      <c r="E85" s="234">
        <f>Input!G893</f>
        <v>0</v>
      </c>
      <c r="F85" s="68" t="b">
        <f t="shared" si="7"/>
        <v>0</v>
      </c>
      <c r="G85" s="68" t="str">
        <f>IF(Input!L893="","",Input!L893)</f>
        <v/>
      </c>
      <c r="H85" s="68" t="str">
        <f>IF(Input!M893="","",Input!M893)</f>
        <v/>
      </c>
      <c r="I85" s="181">
        <f t="shared" si="8"/>
        <v>0</v>
      </c>
      <c r="J85" s="181">
        <f t="shared" si="9"/>
        <v>0</v>
      </c>
      <c r="K85" s="181">
        <f t="shared" si="10"/>
        <v>0</v>
      </c>
      <c r="L85" s="181">
        <f t="shared" si="11"/>
        <v>0</v>
      </c>
      <c r="M85" s="181">
        <f t="shared" si="12"/>
        <v>0</v>
      </c>
      <c r="N85" s="181">
        <f t="shared" si="13"/>
        <v>0</v>
      </c>
      <c r="O85" s="181">
        <f t="shared" si="14"/>
        <v>0</v>
      </c>
      <c r="P85" s="181">
        <f t="shared" si="15"/>
        <v>0</v>
      </c>
      <c r="Q85" s="182">
        <f>IFERROR(IF(AE85,VLOOKUP(H85,$B$20:$C$25,2, FALSE), IF(D85="Non-life",MAX(1, Input!$G$842*$E$19),IF(D85="Capital", MAX(1, Input!$G$843), 0))),0)</f>
        <v>0</v>
      </c>
      <c r="R85" s="182">
        <f>IF(F85, IF(NOT(calc_ir_in_step_1),Q85,Input!$G$839),0)</f>
        <v>0</v>
      </c>
      <c r="S85" s="158">
        <f>IF(OR(AND(calc_ir_in_step_1b,Input!$G$840="Down"),AND(NOT(calc_ir_in_step_1),OR(AND(AE85,$B$40="Down"),AND($D85="Non-life",$C$40="Down")))),0,1)</f>
        <v>1</v>
      </c>
      <c r="T85" s="158">
        <f>IF(OR(AND(calc_ir_in_step_1b,Input!$G$840&lt;&gt;"Down"),AND(NOT(calc_ir_in_step_1),OR($D85="Capital",AND(AE85,$B$40="Up"),AND($D85="Non-life",$C$40="Up")))),0,1)</f>
        <v>1</v>
      </c>
      <c r="U85" s="234">
        <f t="shared" si="16"/>
        <v>0</v>
      </c>
      <c r="V85" s="234">
        <f t="shared" si="17"/>
        <v>0</v>
      </c>
      <c r="W85" s="235">
        <f t="shared" si="18"/>
        <v>0</v>
      </c>
      <c r="X85" s="235">
        <f t="shared" si="19"/>
        <v>0</v>
      </c>
      <c r="Y85" s="235">
        <f t="shared" si="20"/>
        <v>0</v>
      </c>
      <c r="Z85" s="235">
        <f t="shared" si="21"/>
        <v>0</v>
      </c>
      <c r="AA85" s="235">
        <f t="shared" si="22"/>
        <v>0</v>
      </c>
      <c r="AB85" s="235">
        <f t="shared" si="23"/>
        <v>0</v>
      </c>
      <c r="AC85" s="235">
        <f t="shared" si="24"/>
        <v>0</v>
      </c>
      <c r="AD85" s="235">
        <f t="shared" si="25"/>
        <v>0</v>
      </c>
      <c r="AE85" s="158" t="b">
        <f>Input!T893</f>
        <v>0</v>
      </c>
    </row>
    <row r="86" spans="2:31" hidden="1" outlineLevel="1" x14ac:dyDescent="0.3">
      <c r="B86" s="158" t="str">
        <f>IF(Input!C894="","",Input!C894)</f>
        <v/>
      </c>
      <c r="C86" s="158" t="str">
        <f>IF(Input!D894="","",Input!D894)</f>
        <v/>
      </c>
      <c r="D86" s="64" t="str">
        <f>IF(Input!E894="","",Input!E894)</f>
        <v/>
      </c>
      <c r="E86" s="234">
        <f>Input!G894</f>
        <v>0</v>
      </c>
      <c r="F86" s="68" t="b">
        <f t="shared" si="7"/>
        <v>0</v>
      </c>
      <c r="G86" s="68" t="str">
        <f>IF(Input!L894="","",Input!L894)</f>
        <v/>
      </c>
      <c r="H86" s="68" t="str">
        <f>IF(Input!M894="","",Input!M894)</f>
        <v/>
      </c>
      <c r="I86" s="181">
        <f t="shared" si="8"/>
        <v>0</v>
      </c>
      <c r="J86" s="181">
        <f t="shared" si="9"/>
        <v>0</v>
      </c>
      <c r="K86" s="181">
        <f t="shared" si="10"/>
        <v>0</v>
      </c>
      <c r="L86" s="181">
        <f t="shared" si="11"/>
        <v>0</v>
      </c>
      <c r="M86" s="181">
        <f t="shared" si="12"/>
        <v>0</v>
      </c>
      <c r="N86" s="181">
        <f t="shared" si="13"/>
        <v>0</v>
      </c>
      <c r="O86" s="181">
        <f t="shared" si="14"/>
        <v>0</v>
      </c>
      <c r="P86" s="181">
        <f t="shared" si="15"/>
        <v>0</v>
      </c>
      <c r="Q86" s="182">
        <f>IFERROR(IF(AE86,VLOOKUP(H86,$B$20:$C$25,2, FALSE), IF(D86="Non-life",MAX(1, Input!$G$842*$E$19),IF(D86="Capital", MAX(1, Input!$G$843), 0))),0)</f>
        <v>0</v>
      </c>
      <c r="R86" s="182">
        <f>IF(F86, IF(NOT(calc_ir_in_step_1),Q86,Input!$G$839),0)</f>
        <v>0</v>
      </c>
      <c r="S86" s="158">
        <f>IF(OR(AND(calc_ir_in_step_1b,Input!$G$840="Down"),AND(NOT(calc_ir_in_step_1),OR(AND(AE86,$B$40="Down"),AND($D86="Non-life",$C$40="Down")))),0,1)</f>
        <v>1</v>
      </c>
      <c r="T86" s="158">
        <f>IF(OR(AND(calc_ir_in_step_1b,Input!$G$840&lt;&gt;"Down"),AND(NOT(calc_ir_in_step_1),OR($D86="Capital",AND(AE86,$B$40="Up"),AND($D86="Non-life",$C$40="Up")))),0,1)</f>
        <v>1</v>
      </c>
      <c r="U86" s="234">
        <f t="shared" si="16"/>
        <v>0</v>
      </c>
      <c r="V86" s="234">
        <f t="shared" si="17"/>
        <v>0</v>
      </c>
      <c r="W86" s="235">
        <f t="shared" si="18"/>
        <v>0</v>
      </c>
      <c r="X86" s="235">
        <f t="shared" si="19"/>
        <v>0</v>
      </c>
      <c r="Y86" s="235">
        <f t="shared" si="20"/>
        <v>0</v>
      </c>
      <c r="Z86" s="235">
        <f t="shared" si="21"/>
        <v>0</v>
      </c>
      <c r="AA86" s="235">
        <f t="shared" si="22"/>
        <v>0</v>
      </c>
      <c r="AB86" s="235">
        <f t="shared" si="23"/>
        <v>0</v>
      </c>
      <c r="AC86" s="235">
        <f t="shared" si="24"/>
        <v>0</v>
      </c>
      <c r="AD86" s="235">
        <f t="shared" si="25"/>
        <v>0</v>
      </c>
      <c r="AE86" s="158" t="b">
        <f>Input!T894</f>
        <v>0</v>
      </c>
    </row>
    <row r="87" spans="2:31" hidden="1" outlineLevel="1" x14ac:dyDescent="0.3">
      <c r="B87" s="158" t="str">
        <f>IF(Input!C895="","",Input!C895)</f>
        <v/>
      </c>
      <c r="C87" s="158" t="str">
        <f>IF(Input!D895="","",Input!D895)</f>
        <v/>
      </c>
      <c r="D87" s="64" t="str">
        <f>IF(Input!E895="","",Input!E895)</f>
        <v/>
      </c>
      <c r="E87" s="234">
        <f>Input!G895</f>
        <v>0</v>
      </c>
      <c r="F87" s="68" t="b">
        <f t="shared" si="7"/>
        <v>0</v>
      </c>
      <c r="G87" s="68" t="str">
        <f>IF(Input!L895="","",Input!L895)</f>
        <v/>
      </c>
      <c r="H87" s="68" t="str">
        <f>IF(Input!M895="","",Input!M895)</f>
        <v/>
      </c>
      <c r="I87" s="181">
        <f t="shared" si="8"/>
        <v>0</v>
      </c>
      <c r="J87" s="181">
        <f t="shared" si="9"/>
        <v>0</v>
      </c>
      <c r="K87" s="181">
        <f t="shared" si="10"/>
        <v>0</v>
      </c>
      <c r="L87" s="181">
        <f t="shared" si="11"/>
        <v>0</v>
      </c>
      <c r="M87" s="181">
        <f t="shared" si="12"/>
        <v>0</v>
      </c>
      <c r="N87" s="181">
        <f t="shared" si="13"/>
        <v>0</v>
      </c>
      <c r="O87" s="181">
        <f t="shared" si="14"/>
        <v>0</v>
      </c>
      <c r="P87" s="181">
        <f t="shared" si="15"/>
        <v>0</v>
      </c>
      <c r="Q87" s="182">
        <f>IFERROR(IF(AE87,VLOOKUP(H87,$B$20:$C$25,2, FALSE), IF(D87="Non-life",MAX(1, Input!$G$842*$E$19),IF(D87="Capital", MAX(1, Input!$G$843), 0))),0)</f>
        <v>0</v>
      </c>
      <c r="R87" s="182">
        <f>IF(F87, IF(NOT(calc_ir_in_step_1),Q87,Input!$G$839),0)</f>
        <v>0</v>
      </c>
      <c r="S87" s="158">
        <f>IF(OR(AND(calc_ir_in_step_1b,Input!$G$840="Down"),AND(NOT(calc_ir_in_step_1),OR(AND(AE87,$B$40="Down"),AND($D87="Non-life",$C$40="Down")))),0,1)</f>
        <v>1</v>
      </c>
      <c r="T87" s="158">
        <f>IF(OR(AND(calc_ir_in_step_1b,Input!$G$840&lt;&gt;"Down"),AND(NOT(calc_ir_in_step_1),OR($D87="Capital",AND(AE87,$B$40="Up"),AND($D87="Non-life",$C$40="Up")))),0,1)</f>
        <v>1</v>
      </c>
      <c r="U87" s="234">
        <f t="shared" si="16"/>
        <v>0</v>
      </c>
      <c r="V87" s="234">
        <f t="shared" si="17"/>
        <v>0</v>
      </c>
      <c r="W87" s="235">
        <f t="shared" si="18"/>
        <v>0</v>
      </c>
      <c r="X87" s="235">
        <f t="shared" si="19"/>
        <v>0</v>
      </c>
      <c r="Y87" s="235">
        <f t="shared" si="20"/>
        <v>0</v>
      </c>
      <c r="Z87" s="235">
        <f t="shared" si="21"/>
        <v>0</v>
      </c>
      <c r="AA87" s="235">
        <f t="shared" si="22"/>
        <v>0</v>
      </c>
      <c r="AB87" s="235">
        <f t="shared" si="23"/>
        <v>0</v>
      </c>
      <c r="AC87" s="235">
        <f t="shared" si="24"/>
        <v>0</v>
      </c>
      <c r="AD87" s="235">
        <f t="shared" si="25"/>
        <v>0</v>
      </c>
      <c r="AE87" s="158" t="b">
        <f>Input!T895</f>
        <v>0</v>
      </c>
    </row>
    <row r="88" spans="2:31" hidden="1" outlineLevel="1" x14ac:dyDescent="0.3">
      <c r="B88" s="158" t="str">
        <f>IF(Input!C896="","",Input!C896)</f>
        <v/>
      </c>
      <c r="C88" s="158" t="str">
        <f>IF(Input!D896="","",Input!D896)</f>
        <v/>
      </c>
      <c r="D88" s="64" t="str">
        <f>IF(Input!E896="","",Input!E896)</f>
        <v/>
      </c>
      <c r="E88" s="234">
        <f>Input!G896</f>
        <v>0</v>
      </c>
      <c r="F88" s="68" t="b">
        <f t="shared" si="7"/>
        <v>0</v>
      </c>
      <c r="G88" s="68" t="str">
        <f>IF(Input!L896="","",Input!L896)</f>
        <v/>
      </c>
      <c r="H88" s="68" t="str">
        <f>IF(Input!M896="","",Input!M896)</f>
        <v/>
      </c>
      <c r="I88" s="181">
        <f t="shared" si="8"/>
        <v>0</v>
      </c>
      <c r="J88" s="181">
        <f t="shared" si="9"/>
        <v>0</v>
      </c>
      <c r="K88" s="181">
        <f t="shared" si="10"/>
        <v>0</v>
      </c>
      <c r="L88" s="181">
        <f t="shared" si="11"/>
        <v>0</v>
      </c>
      <c r="M88" s="181">
        <f t="shared" si="12"/>
        <v>0</v>
      </c>
      <c r="N88" s="181">
        <f t="shared" si="13"/>
        <v>0</v>
      </c>
      <c r="O88" s="181">
        <f t="shared" si="14"/>
        <v>0</v>
      </c>
      <c r="P88" s="181">
        <f t="shared" si="15"/>
        <v>0</v>
      </c>
      <c r="Q88" s="182">
        <f>IFERROR(IF(AE88,VLOOKUP(H88,$B$20:$C$25,2, FALSE), IF(D88="Non-life",MAX(1, Input!$G$842*$E$19),IF(D88="Capital", MAX(1, Input!$G$843), 0))),0)</f>
        <v>0</v>
      </c>
      <c r="R88" s="182">
        <f>IF(F88, IF(NOT(calc_ir_in_step_1),Q88,Input!$G$839),0)</f>
        <v>0</v>
      </c>
      <c r="S88" s="158">
        <f>IF(OR(AND(calc_ir_in_step_1b,Input!$G$840="Down"),AND(NOT(calc_ir_in_step_1),OR(AND(AE88,$B$40="Down"),AND($D88="Non-life",$C$40="Down")))),0,1)</f>
        <v>1</v>
      </c>
      <c r="T88" s="158">
        <f>IF(OR(AND(calc_ir_in_step_1b,Input!$G$840&lt;&gt;"Down"),AND(NOT(calc_ir_in_step_1),OR($D88="Capital",AND(AE88,$B$40="Up"),AND($D88="Non-life",$C$40="Up")))),0,1)</f>
        <v>1</v>
      </c>
      <c r="U88" s="234">
        <f t="shared" si="16"/>
        <v>0</v>
      </c>
      <c r="V88" s="234">
        <f t="shared" si="17"/>
        <v>0</v>
      </c>
      <c r="W88" s="235">
        <f t="shared" si="18"/>
        <v>0</v>
      </c>
      <c r="X88" s="235">
        <f t="shared" si="19"/>
        <v>0</v>
      </c>
      <c r="Y88" s="235">
        <f t="shared" si="20"/>
        <v>0</v>
      </c>
      <c r="Z88" s="235">
        <f t="shared" si="21"/>
        <v>0</v>
      </c>
      <c r="AA88" s="235">
        <f t="shared" si="22"/>
        <v>0</v>
      </c>
      <c r="AB88" s="235">
        <f t="shared" si="23"/>
        <v>0</v>
      </c>
      <c r="AC88" s="235">
        <f t="shared" si="24"/>
        <v>0</v>
      </c>
      <c r="AD88" s="235">
        <f t="shared" si="25"/>
        <v>0</v>
      </c>
      <c r="AE88" s="158" t="b">
        <f>Input!T896</f>
        <v>0</v>
      </c>
    </row>
    <row r="89" spans="2:31" hidden="1" outlineLevel="1" x14ac:dyDescent="0.3">
      <c r="B89" s="158" t="s">
        <v>219</v>
      </c>
      <c r="C89" s="158"/>
      <c r="D89" s="158" t="s">
        <v>916</v>
      </c>
      <c r="E89" s="234">
        <f>Input!F763</f>
        <v>0</v>
      </c>
      <c r="F89" s="68" t="b">
        <f t="shared" si="7"/>
        <v>0</v>
      </c>
      <c r="G89" s="68" t="str">
        <f>IF(F89,VLOOKUP(B89,lov_ir_risk_by_country,2,FALSE),"")</f>
        <v/>
      </c>
      <c r="H89" s="68" t="s">
        <v>1124</v>
      </c>
      <c r="I89" s="181">
        <f t="shared" si="8"/>
        <v>0</v>
      </c>
      <c r="J89" s="181">
        <f t="shared" si="9"/>
        <v>0</v>
      </c>
      <c r="K89" s="181">
        <f t="shared" si="10"/>
        <v>0</v>
      </c>
      <c r="L89" s="181">
        <f t="shared" si="11"/>
        <v>0</v>
      </c>
      <c r="M89" s="181">
        <f t="shared" si="12"/>
        <v>0</v>
      </c>
      <c r="N89" s="181">
        <f t="shared" si="13"/>
        <v>0</v>
      </c>
      <c r="O89" s="181">
        <f t="shared" si="14"/>
        <v>0</v>
      </c>
      <c r="P89" s="181">
        <f t="shared" si="15"/>
        <v>0</v>
      </c>
      <c r="Q89" s="182">
        <f>IFERROR(IF(AE89,VLOOKUP(H89,$B$20:$C$25,2, FALSE), IF(D89="Non-life",MAX(1, Input!$G$842*$E$19),IF(D89="Capital", MAX(1, Input!$G$843), 0))),0)</f>
        <v>7</v>
      </c>
      <c r="R89" s="182">
        <f>IF(F89, IF(NOT(calc_ir_in_step_1),Q89,Input!$G$839),0)</f>
        <v>0</v>
      </c>
      <c r="S89" s="158">
        <f>IF(OR(AND(calc_ir_in_step_1b,Input!$G$840="Down"),AND(NOT(calc_ir_in_step_1),OR(AND(AE89,$B$40="Down"),AND($D89="Non-life",$C$40="Down")))),0,1)</f>
        <v>1</v>
      </c>
      <c r="T89" s="158">
        <f>IF(OR(AND(calc_ir_in_step_1b,Input!$G$840&lt;&gt;"Down"),AND(NOT(calc_ir_in_step_1),OR($D89="Capital",AND(AE89,$B$40="Up"),AND($D89="Non-life",$C$40="Up")))),0,1)</f>
        <v>1</v>
      </c>
      <c r="U89" s="234">
        <f t="shared" si="16"/>
        <v>0</v>
      </c>
      <c r="V89" s="234">
        <f t="shared" si="17"/>
        <v>0</v>
      </c>
      <c r="W89" s="235">
        <f t="shared" si="18"/>
        <v>0</v>
      </c>
      <c r="X89" s="235">
        <f t="shared" si="19"/>
        <v>0</v>
      </c>
      <c r="Y89" s="235">
        <f t="shared" si="20"/>
        <v>0</v>
      </c>
      <c r="Z89" s="235">
        <f t="shared" si="21"/>
        <v>0</v>
      </c>
      <c r="AA89" s="235">
        <f t="shared" si="22"/>
        <v>0</v>
      </c>
      <c r="AB89" s="235">
        <f t="shared" si="23"/>
        <v>0</v>
      </c>
      <c r="AC89" s="235">
        <f t="shared" si="24"/>
        <v>0</v>
      </c>
      <c r="AD89" s="235">
        <f t="shared" si="25"/>
        <v>0</v>
      </c>
      <c r="AE89" s="158" t="b">
        <f>NOT(ISERROR(VLOOKUP(D89,lov_ir_exposure_ctg_life, 1, FALSE)))</f>
        <v>1</v>
      </c>
    </row>
    <row r="90" spans="2:31" collapsed="1" x14ac:dyDescent="0.35"/>
  </sheetData>
  <sheetProtection algorithmName="SHA-512" hashValue="sweTXf5bXX21txdMdGjHVt97g2XIaQBMkhSljb/L1xdr77U0PUotvGBZwGE7FRz10zvIlLojW9YupK1GEaP5wg==" saltValue="Jyrc4TTglaJ1gdIFc8Y8oQ==" spinCount="100000" sheet="1" objects="1" scenarios="1" formatColumns="0" formatRows="0"/>
  <mergeCells count="31">
    <mergeCell ref="B4:H4"/>
    <mergeCell ref="B18:C18"/>
    <mergeCell ref="H52:H53"/>
    <mergeCell ref="Q52:Q53"/>
    <mergeCell ref="B52:B53"/>
    <mergeCell ref="D52:D53"/>
    <mergeCell ref="E52:E53"/>
    <mergeCell ref="F52:F53"/>
    <mergeCell ref="G52:G53"/>
    <mergeCell ref="C52:C53"/>
    <mergeCell ref="I52:J52"/>
    <mergeCell ref="K52:L52"/>
    <mergeCell ref="M52:N52"/>
    <mergeCell ref="O52:P52"/>
    <mergeCell ref="I51:P51"/>
    <mergeCell ref="AA46:AB46"/>
    <mergeCell ref="AC46:AD46"/>
    <mergeCell ref="W46:X46"/>
    <mergeCell ref="R52:R53"/>
    <mergeCell ref="AC52:AD52"/>
    <mergeCell ref="Y46:Z46"/>
    <mergeCell ref="W52:X52"/>
    <mergeCell ref="Y52:Z52"/>
    <mergeCell ref="AA52:AB52"/>
    <mergeCell ref="S52:T52"/>
    <mergeCell ref="U52:V52"/>
    <mergeCell ref="W44:AD44"/>
    <mergeCell ref="W45:X45"/>
    <mergeCell ref="Y45:Z45"/>
    <mergeCell ref="AA45:AB45"/>
    <mergeCell ref="AC45:AD45"/>
  </mergeCells>
  <conditionalFormatting sqref="A1:AE100">
    <cfRule type="expression" dxfId="23" priority="11">
      <formula>_xlfn.ISFORMULA(A1)</formula>
    </cfRule>
  </conditionalFormatting>
  <pageMargins left="0.7" right="0.7" top="0.75" bottom="0.75" header="0.3" footer="0.3"/>
  <pageSetup orientation="portrait" r:id="rId1"/>
  <ignoredErrors>
    <ignoredError sqref="C7:C14 X54:X88 Z54:Z88 Y54:Y88 AA54:AA88 AC54:AC88 J54:J88 L54:L88 N54:N88 AB54:AB88 K54:K88 M54:M88 O54:O88 X89 Z89 Y89 AA89 AC89 J89 L89 N89 AB89 K89 M89 O89" formula="1"/>
  </ignoredError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B6E56-3A47-4839-9284-4EE61F62CFF6}">
  <sheetPr codeName="Sheet10">
    <tabColor theme="6" tint="0.39997558519241921"/>
  </sheetPr>
  <dimension ref="A1:Z180"/>
  <sheetViews>
    <sheetView showGridLines="0" zoomScaleNormal="100" workbookViewId="0"/>
  </sheetViews>
  <sheetFormatPr defaultColWidth="8.90625" defaultRowHeight="13" outlineLevelRow="1" x14ac:dyDescent="0.3"/>
  <cols>
    <col min="1" max="1" width="4.6328125" style="35" customWidth="1"/>
    <col min="2" max="2" width="8.90625" style="35"/>
    <col min="3" max="3" width="25.6328125" style="35" bestFit="1" customWidth="1"/>
    <col min="4" max="4" width="12" style="35" bestFit="1" customWidth="1"/>
    <col min="5" max="7" width="11.36328125" style="35" bestFit="1" customWidth="1"/>
    <col min="8" max="9" width="10.6328125" style="35" customWidth="1"/>
    <col min="10" max="13" width="10.54296875" style="35" customWidth="1"/>
    <col min="14" max="14" width="8.90625" style="35"/>
    <col min="15" max="15" width="24.6328125" style="35" customWidth="1"/>
    <col min="16" max="30" width="8.90625" style="35"/>
    <col min="31" max="31" width="18.90625" style="35" bestFit="1" customWidth="1"/>
    <col min="32" max="32" width="12" style="35" bestFit="1" customWidth="1"/>
    <col min="33" max="33" width="8.90625" style="35"/>
    <col min="34" max="34" width="10.36328125" style="35" customWidth="1"/>
    <col min="35" max="16384" width="8.90625" style="35"/>
  </cols>
  <sheetData>
    <row r="1" spans="1:13" ht="39.65" customHeight="1" x14ac:dyDescent="0.3">
      <c r="A1" s="189"/>
    </row>
    <row r="3" spans="1:13" x14ac:dyDescent="0.3">
      <c r="B3" s="46" t="s">
        <v>3093</v>
      </c>
      <c r="C3" s="48"/>
      <c r="D3" s="48"/>
      <c r="E3" s="48"/>
      <c r="F3" s="48"/>
      <c r="G3" s="48"/>
      <c r="H3" s="48"/>
      <c r="I3" s="48"/>
      <c r="J3" s="48"/>
      <c r="K3" s="48"/>
      <c r="L3" s="48"/>
      <c r="M3" s="48"/>
    </row>
    <row r="4" spans="1:13" hidden="1" outlineLevel="1" x14ac:dyDescent="0.3"/>
    <row r="5" spans="1:13" hidden="1" outlineLevel="1" x14ac:dyDescent="0.3">
      <c r="D5" s="58">
        <v>0.99990000000000001</v>
      </c>
      <c r="E5" s="58">
        <v>0.99950000000000006</v>
      </c>
      <c r="F5" s="58">
        <v>0.998</v>
      </c>
      <c r="G5" s="58">
        <v>0.995</v>
      </c>
    </row>
    <row r="6" spans="1:13" hidden="1" outlineLevel="1" x14ac:dyDescent="0.3">
      <c r="C6" s="166" t="s">
        <v>930</v>
      </c>
      <c r="D6" s="172">
        <v>0.3</v>
      </c>
      <c r="E6" s="172">
        <v>0.2</v>
      </c>
      <c r="F6" s="172">
        <v>0.1</v>
      </c>
      <c r="G6" s="172">
        <v>0</v>
      </c>
    </row>
    <row r="7" spans="1:13" collapsed="1" x14ac:dyDescent="0.3"/>
    <row r="8" spans="1:13" x14ac:dyDescent="0.3">
      <c r="B8" s="46" t="s">
        <v>1452</v>
      </c>
      <c r="C8" s="48"/>
      <c r="D8" s="48"/>
      <c r="E8" s="48"/>
      <c r="F8" s="48"/>
      <c r="G8" s="48"/>
      <c r="H8" s="48"/>
      <c r="I8" s="48"/>
      <c r="J8" s="48"/>
      <c r="K8" s="48"/>
      <c r="L8" s="48"/>
      <c r="M8" s="48"/>
    </row>
    <row r="9" spans="1:13" hidden="1" outlineLevel="1" x14ac:dyDescent="0.3"/>
    <row r="10" spans="1:13" hidden="1" outlineLevel="1" x14ac:dyDescent="0.3">
      <c r="B10" s="50" t="s">
        <v>313</v>
      </c>
    </row>
    <row r="11" spans="1:13" ht="39" hidden="1" outlineLevel="1" x14ac:dyDescent="0.3">
      <c r="D11" s="167" t="s">
        <v>314</v>
      </c>
      <c r="E11" s="167" t="s">
        <v>315</v>
      </c>
      <c r="F11" s="167" t="s">
        <v>316</v>
      </c>
      <c r="G11" s="167" t="s">
        <v>317</v>
      </c>
      <c r="H11" s="167" t="s">
        <v>318</v>
      </c>
      <c r="I11" s="167" t="s">
        <v>750</v>
      </c>
    </row>
    <row r="12" spans="1:13" hidden="1" outlineLevel="1" x14ac:dyDescent="0.3">
      <c r="C12" s="112" t="s">
        <v>235</v>
      </c>
      <c r="D12" s="169">
        <v>1</v>
      </c>
      <c r="E12" s="169">
        <v>0.75</v>
      </c>
      <c r="F12" s="169">
        <v>0.25</v>
      </c>
      <c r="G12" s="169">
        <v>0.25</v>
      </c>
      <c r="H12" s="169">
        <v>0.25</v>
      </c>
      <c r="I12" s="169">
        <v>0.75</v>
      </c>
    </row>
    <row r="13" spans="1:13" hidden="1" outlineLevel="1" x14ac:dyDescent="0.3">
      <c r="C13" s="112" t="s">
        <v>319</v>
      </c>
      <c r="D13" s="169">
        <f>E12</f>
        <v>0.75</v>
      </c>
      <c r="E13" s="169">
        <v>1</v>
      </c>
      <c r="F13" s="169">
        <v>0.25</v>
      </c>
      <c r="G13" s="169">
        <v>0.25</v>
      </c>
      <c r="H13" s="169">
        <v>0.25</v>
      </c>
      <c r="I13" s="169">
        <v>0.75</v>
      </c>
      <c r="M13" s="50"/>
    </row>
    <row r="14" spans="1:13" hidden="1" outlineLevel="1" x14ac:dyDescent="0.3">
      <c r="C14" s="112" t="s">
        <v>320</v>
      </c>
      <c r="D14" s="169">
        <f>F12</f>
        <v>0.25</v>
      </c>
      <c r="E14" s="169">
        <f>F13</f>
        <v>0.25</v>
      </c>
      <c r="F14" s="169">
        <v>1</v>
      </c>
      <c r="G14" s="169">
        <v>0</v>
      </c>
      <c r="H14" s="169">
        <v>0</v>
      </c>
      <c r="I14" s="169">
        <v>0</v>
      </c>
    </row>
    <row r="15" spans="1:13" hidden="1" outlineLevel="1" x14ac:dyDescent="0.3">
      <c r="C15" s="112" t="s">
        <v>321</v>
      </c>
      <c r="D15" s="169">
        <f>G12</f>
        <v>0.25</v>
      </c>
      <c r="E15" s="169">
        <f>G13</f>
        <v>0.25</v>
      </c>
      <c r="F15" s="169">
        <f>G14</f>
        <v>0</v>
      </c>
      <c r="G15" s="169">
        <v>1</v>
      </c>
      <c r="H15" s="169">
        <v>0</v>
      </c>
      <c r="I15" s="169">
        <v>0.25</v>
      </c>
    </row>
    <row r="16" spans="1:13" hidden="1" outlineLevel="1" x14ac:dyDescent="0.3">
      <c r="C16" s="112" t="s">
        <v>322</v>
      </c>
      <c r="D16" s="169">
        <f>H12</f>
        <v>0.25</v>
      </c>
      <c r="E16" s="169">
        <f>H13</f>
        <v>0.25</v>
      </c>
      <c r="F16" s="169">
        <f>H14</f>
        <v>0</v>
      </c>
      <c r="G16" s="169">
        <f>H15</f>
        <v>0</v>
      </c>
      <c r="H16" s="169">
        <v>1</v>
      </c>
      <c r="I16" s="78">
        <f>T64</f>
        <v>0.25</v>
      </c>
    </row>
    <row r="17" spans="2:9" hidden="1" outlineLevel="1" x14ac:dyDescent="0.3">
      <c r="C17" s="112" t="s">
        <v>1083</v>
      </c>
      <c r="D17" s="169">
        <f>I12</f>
        <v>0.75</v>
      </c>
      <c r="E17" s="169">
        <f>I13</f>
        <v>0.75</v>
      </c>
      <c r="F17" s="169">
        <f>I14</f>
        <v>0</v>
      </c>
      <c r="G17" s="169">
        <f>I15</f>
        <v>0.25</v>
      </c>
      <c r="H17" s="78">
        <f>I16</f>
        <v>0.25</v>
      </c>
      <c r="I17" s="169">
        <v>1</v>
      </c>
    </row>
    <row r="18" spans="2:9" hidden="1" outlineLevel="1" x14ac:dyDescent="0.3"/>
    <row r="19" spans="2:9" hidden="1" outlineLevel="1" x14ac:dyDescent="0.3">
      <c r="B19" s="170" t="s">
        <v>2180</v>
      </c>
    </row>
    <row r="20" spans="2:9" hidden="1" outlineLevel="1" x14ac:dyDescent="0.3">
      <c r="D20" s="58">
        <v>0.99990000000000001</v>
      </c>
      <c r="E20" s="58">
        <v>0.99950000000000006</v>
      </c>
      <c r="F20" s="58">
        <v>0.998</v>
      </c>
      <c r="G20" s="58">
        <v>0.995</v>
      </c>
    </row>
    <row r="21" spans="2:9" hidden="1" outlineLevel="1" x14ac:dyDescent="0.3">
      <c r="C21" s="112" t="s">
        <v>235</v>
      </c>
      <c r="D21" s="190">
        <f>D55+'Asset Risk'!D6</f>
        <v>0</v>
      </c>
      <c r="E21" s="190">
        <f>E55+'Asset Risk'!E6</f>
        <v>0</v>
      </c>
      <c r="F21" s="190">
        <f>F55+'Asset Risk'!F6</f>
        <v>0</v>
      </c>
      <c r="G21" s="190">
        <f>G55+'Asset Risk'!G6</f>
        <v>0</v>
      </c>
    </row>
    <row r="22" spans="2:9" hidden="1" outlineLevel="1" x14ac:dyDescent="0.3">
      <c r="C22" s="112" t="s">
        <v>319</v>
      </c>
      <c r="D22" s="190">
        <f>'Asset Risk'!D30</f>
        <v>0</v>
      </c>
      <c r="E22" s="190">
        <f>'Asset Risk'!E30</f>
        <v>0</v>
      </c>
      <c r="F22" s="190">
        <f>'Asset Risk'!F30</f>
        <v>0</v>
      </c>
      <c r="G22" s="190">
        <f>'Asset Risk'!G30</f>
        <v>0</v>
      </c>
    </row>
    <row r="23" spans="2:9" hidden="1" outlineLevel="1" x14ac:dyDescent="0.3">
      <c r="C23" s="112" t="s">
        <v>320</v>
      </c>
      <c r="D23" s="190">
        <f>'Nat Cat Risk'!D23+'Nat Cat Risk'!D36</f>
        <v>0</v>
      </c>
      <c r="E23" s="190">
        <f>'Nat Cat Risk'!E23+'Nat Cat Risk'!E36</f>
        <v>0</v>
      </c>
      <c r="F23" s="190">
        <f>'Nat Cat Risk'!F23+'Nat Cat Risk'!F36</f>
        <v>0</v>
      </c>
      <c r="G23" s="190">
        <f>'Nat Cat Risk'!G23+'Nat Cat Risk'!G36</f>
        <v>0</v>
      </c>
    </row>
    <row r="24" spans="2:9" hidden="1" outlineLevel="1" x14ac:dyDescent="0.3">
      <c r="C24" s="112" t="s">
        <v>321</v>
      </c>
      <c r="D24" s="190">
        <f>D91+D100+'Non-Life Risk'!E6</f>
        <v>0</v>
      </c>
      <c r="E24" s="190">
        <f>E91+E100+'Non-Life Risk'!F6</f>
        <v>0</v>
      </c>
      <c r="F24" s="190">
        <f>F91+F100+'Non-Life Risk'!G6</f>
        <v>0</v>
      </c>
      <c r="G24" s="190">
        <f>G91+G100+'Non-Life Risk'!H6</f>
        <v>0</v>
      </c>
    </row>
    <row r="25" spans="2:9" hidden="1" outlineLevel="1" x14ac:dyDescent="0.3">
      <c r="C25" s="112" t="s">
        <v>322</v>
      </c>
      <c r="D25" s="190">
        <f>Q58</f>
        <v>0</v>
      </c>
      <c r="E25" s="190">
        <f>R58</f>
        <v>0</v>
      </c>
      <c r="F25" s="190">
        <f>S58</f>
        <v>0</v>
      </c>
      <c r="G25" s="190">
        <f>T58</f>
        <v>0</v>
      </c>
    </row>
    <row r="26" spans="2:9" hidden="1" outlineLevel="1" x14ac:dyDescent="0.3">
      <c r="C26" s="112" t="s">
        <v>750</v>
      </c>
      <c r="D26" s="190">
        <f>'Life Risk'!D9+'Life Risk'!D51</f>
        <v>0</v>
      </c>
      <c r="E26" s="190">
        <f>'Life Risk'!E9+'Life Risk'!E51</f>
        <v>0</v>
      </c>
      <c r="F26" s="190">
        <f>'Life Risk'!F9+'Life Risk'!F51</f>
        <v>0</v>
      </c>
      <c r="G26" s="190">
        <f>'Life Risk'!G9+'Life Risk'!G51</f>
        <v>0</v>
      </c>
    </row>
    <row r="27" spans="2:9" hidden="1" outlineLevel="1" x14ac:dyDescent="0.3">
      <c r="D27" s="108"/>
      <c r="E27" s="108"/>
      <c r="F27" s="108"/>
      <c r="G27" s="108"/>
    </row>
    <row r="28" spans="2:9" hidden="1" outlineLevel="1" x14ac:dyDescent="0.3">
      <c r="C28" s="112" t="s">
        <v>323</v>
      </c>
      <c r="D28" s="190">
        <f>SUM(D21:D26)</f>
        <v>0</v>
      </c>
      <c r="E28" s="190">
        <f t="shared" ref="E28:G28" si="0">SUM(E21:E26)</f>
        <v>0</v>
      </c>
      <c r="F28" s="190">
        <f t="shared" si="0"/>
        <v>0</v>
      </c>
      <c r="G28" s="190">
        <f t="shared" si="0"/>
        <v>0</v>
      </c>
    </row>
    <row r="29" spans="2:9" hidden="1" outlineLevel="1" x14ac:dyDescent="0.3">
      <c r="C29" s="112" t="s">
        <v>324</v>
      </c>
      <c r="D29" s="190">
        <f>D28-D31</f>
        <v>0</v>
      </c>
      <c r="E29" s="190">
        <f>E28-E31</f>
        <v>0</v>
      </c>
      <c r="F29" s="190">
        <f>F28-F31</f>
        <v>0</v>
      </c>
      <c r="G29" s="190">
        <f>G28-G31</f>
        <v>0</v>
      </c>
    </row>
    <row r="30" spans="2:9" hidden="1" outlineLevel="1" x14ac:dyDescent="0.3">
      <c r="C30" s="112" t="s">
        <v>296</v>
      </c>
      <c r="D30" s="190" cm="1">
        <f t="array" ref="D30">SQRT(MMULT(MMULT(TRANSPOSE(D21:D26),$D$12:$I$17),D21:D26))</f>
        <v>0</v>
      </c>
      <c r="E30" s="190" cm="1">
        <f t="array" ref="E30">SQRT(MMULT(MMULT(TRANSPOSE(E21:E26),$D$12:$I$17),E21:E26))</f>
        <v>0</v>
      </c>
      <c r="F30" s="190" cm="1">
        <f t="array" ref="F30">SQRT(MMULT(MMULT(TRANSPOSE(F21:F26),$D$12:$I$17),F21:F26))</f>
        <v>0</v>
      </c>
      <c r="G30" s="190" cm="1">
        <f t="array" ref="G30">SQRT(MMULT(MMULT(TRANSPOSE(G21:G26),$D$12:$I$17),G21:G26))</f>
        <v>0</v>
      </c>
    </row>
    <row r="31" spans="2:9" hidden="1" outlineLevel="1" x14ac:dyDescent="0.3">
      <c r="C31" s="112" t="s">
        <v>3089</v>
      </c>
      <c r="D31" s="190">
        <f>D30-D153-Q142</f>
        <v>0</v>
      </c>
      <c r="E31" s="190">
        <f>E30-E153-R142</f>
        <v>0</v>
      </c>
      <c r="F31" s="190">
        <f>F30-F153-S142</f>
        <v>0</v>
      </c>
      <c r="G31" s="190">
        <f>G30-G153-T142</f>
        <v>0</v>
      </c>
    </row>
    <row r="32" spans="2:9" hidden="1" outlineLevel="1" x14ac:dyDescent="0.3">
      <c r="C32" s="112" t="s">
        <v>1400</v>
      </c>
      <c r="D32" s="244">
        <f>IFERROR(D29/D28,0)</f>
        <v>0</v>
      </c>
      <c r="E32" s="244">
        <f>IFERROR(E29/E28,0)</f>
        <v>0</v>
      </c>
      <c r="F32" s="244">
        <f>IFERROR(F29/F28,0)</f>
        <v>0</v>
      </c>
      <c r="G32" s="244">
        <f>IFERROR(G29/G28,0)</f>
        <v>0</v>
      </c>
    </row>
    <row r="33" spans="2:26" hidden="1" outlineLevel="1" x14ac:dyDescent="0.3">
      <c r="C33" s="112" t="s">
        <v>3090</v>
      </c>
      <c r="D33" s="190">
        <f>Output!H52*D32</f>
        <v>0</v>
      </c>
      <c r="E33" s="190">
        <f>Output!J52*E32</f>
        <v>0</v>
      </c>
      <c r="F33" s="190">
        <f>Output!L52*F32</f>
        <v>0</v>
      </c>
      <c r="G33" s="190">
        <f>Output!N52*G32</f>
        <v>0</v>
      </c>
    </row>
    <row r="34" spans="2:26" hidden="1" outlineLevel="1" x14ac:dyDescent="0.3">
      <c r="C34" s="112" t="s">
        <v>3091</v>
      </c>
      <c r="D34" s="190">
        <f>Output!H101*D32</f>
        <v>0</v>
      </c>
      <c r="E34" s="190">
        <f>Output!J101*E32</f>
        <v>0</v>
      </c>
      <c r="F34" s="190">
        <f>Output!L101*F32</f>
        <v>0</v>
      </c>
      <c r="G34" s="190">
        <f>Output!N101*G32</f>
        <v>0</v>
      </c>
    </row>
    <row r="35" spans="2:26" hidden="1" outlineLevel="1" x14ac:dyDescent="0.3">
      <c r="C35" s="112" t="s">
        <v>3092</v>
      </c>
      <c r="D35" s="190">
        <f>D29+D33+D34</f>
        <v>0</v>
      </c>
      <c r="E35" s="190">
        <f t="shared" ref="E35:G35" si="1">E29+E33+E34</f>
        <v>0</v>
      </c>
      <c r="F35" s="190">
        <f t="shared" si="1"/>
        <v>0</v>
      </c>
      <c r="G35" s="190">
        <f t="shared" si="1"/>
        <v>0</v>
      </c>
    </row>
    <row r="36" spans="2:26" collapsed="1" x14ac:dyDescent="0.3"/>
    <row r="37" spans="2:26" x14ac:dyDescent="0.3">
      <c r="B37" s="46" t="s">
        <v>1453</v>
      </c>
      <c r="C37" s="48"/>
      <c r="D37" s="48"/>
      <c r="E37" s="48"/>
      <c r="F37" s="48"/>
      <c r="G37" s="48"/>
      <c r="H37" s="48"/>
      <c r="I37" s="48"/>
      <c r="J37" s="48"/>
      <c r="K37" s="48"/>
      <c r="L37" s="48"/>
      <c r="M37" s="48"/>
      <c r="O37" s="46" t="s">
        <v>1454</v>
      </c>
      <c r="P37" s="48"/>
      <c r="Q37" s="48"/>
      <c r="R37" s="48"/>
      <c r="S37" s="48"/>
      <c r="T37" s="48"/>
      <c r="U37" s="48"/>
      <c r="V37" s="48"/>
      <c r="W37" s="48"/>
      <c r="X37" s="48"/>
      <c r="Y37" s="48"/>
      <c r="Z37" s="48"/>
    </row>
    <row r="38" spans="2:26" hidden="1" outlineLevel="1" x14ac:dyDescent="0.3"/>
    <row r="39" spans="2:26" hidden="1" outlineLevel="1" x14ac:dyDescent="0.3">
      <c r="B39" s="50" t="s">
        <v>313</v>
      </c>
      <c r="O39" s="50" t="s">
        <v>313</v>
      </c>
    </row>
    <row r="40" spans="2:26" ht="26" hidden="1" outlineLevel="1" x14ac:dyDescent="0.3">
      <c r="D40" s="166" t="s">
        <v>337</v>
      </c>
      <c r="E40" s="167" t="s">
        <v>341</v>
      </c>
      <c r="F40" s="167" t="s">
        <v>340</v>
      </c>
      <c r="Q40" s="166" t="s">
        <v>348</v>
      </c>
      <c r="R40" s="166" t="s">
        <v>295</v>
      </c>
      <c r="S40" s="166" t="s">
        <v>347</v>
      </c>
      <c r="T40" s="166" t="s">
        <v>755</v>
      </c>
      <c r="U40" s="166" t="s">
        <v>349</v>
      </c>
    </row>
    <row r="41" spans="2:26" hidden="1" outlineLevel="1" x14ac:dyDescent="0.3">
      <c r="C41" s="52" t="s">
        <v>337</v>
      </c>
      <c r="D41" s="169">
        <v>1</v>
      </c>
      <c r="E41" s="169">
        <v>0.75</v>
      </c>
      <c r="F41" s="169">
        <v>0.5</v>
      </c>
      <c r="P41" s="52" t="s">
        <v>348</v>
      </c>
      <c r="Q41" s="169">
        <v>1</v>
      </c>
      <c r="R41" s="169">
        <v>0.5</v>
      </c>
      <c r="S41" s="169">
        <v>-0.25</v>
      </c>
      <c r="T41" s="169">
        <v>0.25</v>
      </c>
      <c r="U41" s="169">
        <v>0.25</v>
      </c>
      <c r="W41" s="50"/>
      <c r="X41" s="50"/>
      <c r="Y41" s="50"/>
    </row>
    <row r="42" spans="2:26" hidden="1" outlineLevel="1" x14ac:dyDescent="0.3">
      <c r="C42" s="52" t="s">
        <v>338</v>
      </c>
      <c r="D42" s="169">
        <f>E41</f>
        <v>0.75</v>
      </c>
      <c r="E42" s="169">
        <v>1</v>
      </c>
      <c r="F42" s="169">
        <v>0.5</v>
      </c>
      <c r="P42" s="52" t="s">
        <v>295</v>
      </c>
      <c r="Q42" s="169">
        <f>R41</f>
        <v>0.5</v>
      </c>
      <c r="R42" s="169">
        <v>1</v>
      </c>
      <c r="S42" s="169">
        <v>0.25</v>
      </c>
      <c r="T42" s="169">
        <v>0.25</v>
      </c>
      <c r="U42" s="169">
        <v>0.5</v>
      </c>
    </row>
    <row r="43" spans="2:26" hidden="1" outlineLevel="1" x14ac:dyDescent="0.3">
      <c r="C43" s="52" t="s">
        <v>339</v>
      </c>
      <c r="D43" s="169">
        <f>F41</f>
        <v>0.5</v>
      </c>
      <c r="E43" s="169">
        <f>F42</f>
        <v>0.5</v>
      </c>
      <c r="F43" s="169">
        <v>1</v>
      </c>
      <c r="P43" s="52" t="s">
        <v>347</v>
      </c>
      <c r="Q43" s="169">
        <f>S41</f>
        <v>-0.25</v>
      </c>
      <c r="R43" s="169">
        <f>S42</f>
        <v>0.25</v>
      </c>
      <c r="S43" s="169">
        <v>1</v>
      </c>
      <c r="T43" s="169">
        <v>0.25</v>
      </c>
      <c r="U43" s="169">
        <v>0</v>
      </c>
    </row>
    <row r="44" spans="2:26" hidden="1" outlineLevel="1" x14ac:dyDescent="0.3">
      <c r="P44" s="52" t="s">
        <v>755</v>
      </c>
      <c r="Q44" s="169">
        <f>T41</f>
        <v>0.25</v>
      </c>
      <c r="R44" s="169">
        <f>T42</f>
        <v>0.25</v>
      </c>
      <c r="S44" s="169">
        <f>T43</f>
        <v>0.25</v>
      </c>
      <c r="T44" s="169">
        <v>1</v>
      </c>
      <c r="U44" s="169">
        <v>0.25</v>
      </c>
    </row>
    <row r="45" spans="2:26" hidden="1" outlineLevel="1" x14ac:dyDescent="0.3">
      <c r="B45" s="170" t="s">
        <v>2180</v>
      </c>
      <c r="P45" s="52" t="s">
        <v>349</v>
      </c>
      <c r="Q45" s="169">
        <f>U41</f>
        <v>0.25</v>
      </c>
      <c r="R45" s="169">
        <f>U42</f>
        <v>0.5</v>
      </c>
      <c r="S45" s="169">
        <f>U43</f>
        <v>0</v>
      </c>
      <c r="T45" s="169">
        <f>U44</f>
        <v>0.25</v>
      </c>
      <c r="U45" s="169">
        <v>1</v>
      </c>
    </row>
    <row r="46" spans="2:26" hidden="1" outlineLevel="1" x14ac:dyDescent="0.3">
      <c r="D46" s="58">
        <v>0.99990000000000001</v>
      </c>
      <c r="E46" s="58">
        <v>0.99950000000000006</v>
      </c>
      <c r="F46" s="58">
        <v>0.998</v>
      </c>
      <c r="G46" s="58">
        <v>0.995</v>
      </c>
    </row>
    <row r="47" spans="2:26" hidden="1" outlineLevel="1" x14ac:dyDescent="0.3">
      <c r="C47" s="52" t="s">
        <v>337</v>
      </c>
      <c r="D47" s="190">
        <f>'Asset Risk'!D11</f>
        <v>0</v>
      </c>
      <c r="E47" s="190">
        <f>'Asset Risk'!E11</f>
        <v>0</v>
      </c>
      <c r="F47" s="190">
        <f>'Asset Risk'!F11</f>
        <v>0</v>
      </c>
      <c r="G47" s="190">
        <f>'Asset Risk'!G11</f>
        <v>0</v>
      </c>
      <c r="O47" s="170" t="s">
        <v>2180</v>
      </c>
    </row>
    <row r="48" spans="2:26" hidden="1" outlineLevel="1" x14ac:dyDescent="0.3">
      <c r="C48" s="52" t="s">
        <v>338</v>
      </c>
      <c r="D48" s="190">
        <f>'Asset Risk'!D19</f>
        <v>0</v>
      </c>
      <c r="E48" s="190">
        <f>'Asset Risk'!E19</f>
        <v>0</v>
      </c>
      <c r="F48" s="190">
        <f>'Asset Risk'!F19</f>
        <v>0</v>
      </c>
      <c r="G48" s="190">
        <f>'Asset Risk'!G19</f>
        <v>0</v>
      </c>
      <c r="Q48" s="58">
        <v>0.99990000000000001</v>
      </c>
      <c r="R48" s="58">
        <v>0.99950000000000006</v>
      </c>
      <c r="S48" s="58">
        <v>0.998</v>
      </c>
      <c r="T48" s="58">
        <v>0.995</v>
      </c>
    </row>
    <row r="49" spans="3:20" hidden="1" outlineLevel="1" x14ac:dyDescent="0.3">
      <c r="C49" s="52" t="s">
        <v>339</v>
      </c>
      <c r="D49" s="190">
        <f>'Asset Risk'!D15</f>
        <v>0</v>
      </c>
      <c r="E49" s="190">
        <f>'Asset Risk'!E15</f>
        <v>0</v>
      </c>
      <c r="F49" s="190">
        <f>'Asset Risk'!F15</f>
        <v>0</v>
      </c>
      <c r="G49" s="190">
        <f>'Asset Risk'!G15</f>
        <v>0</v>
      </c>
      <c r="P49" s="52" t="s">
        <v>348</v>
      </c>
      <c r="Q49" s="190">
        <f>'Life Risk'!D5</f>
        <v>0</v>
      </c>
      <c r="R49" s="190">
        <f>'Life Risk'!E5</f>
        <v>0</v>
      </c>
      <c r="S49" s="190">
        <f>'Life Risk'!F5</f>
        <v>0</v>
      </c>
      <c r="T49" s="190">
        <f>'Life Risk'!G5</f>
        <v>0</v>
      </c>
    </row>
    <row r="50" spans="3:20" hidden="1" outlineLevel="1" x14ac:dyDescent="0.3">
      <c r="P50" s="52" t="s">
        <v>295</v>
      </c>
      <c r="Q50" s="190">
        <f>'Life Risk'!D6</f>
        <v>0</v>
      </c>
      <c r="R50" s="190">
        <f>'Life Risk'!E6</f>
        <v>0</v>
      </c>
      <c r="S50" s="190">
        <f>'Life Risk'!F6</f>
        <v>0</v>
      </c>
      <c r="T50" s="190">
        <f>'Life Risk'!G6</f>
        <v>0</v>
      </c>
    </row>
    <row r="51" spans="3:20" hidden="1" outlineLevel="1" x14ac:dyDescent="0.3">
      <c r="P51" s="52" t="s">
        <v>347</v>
      </c>
      <c r="Q51" s="190">
        <f>'Life Risk'!D7</f>
        <v>0</v>
      </c>
      <c r="R51" s="190">
        <f>'Life Risk'!E7</f>
        <v>0</v>
      </c>
      <c r="S51" s="190">
        <f>'Life Risk'!F7</f>
        <v>0</v>
      </c>
      <c r="T51" s="190">
        <f>'Life Risk'!G7</f>
        <v>0</v>
      </c>
    </row>
    <row r="52" spans="3:20" hidden="1" outlineLevel="1" x14ac:dyDescent="0.3">
      <c r="D52" s="774" t="s">
        <v>345</v>
      </c>
      <c r="E52" s="774"/>
      <c r="F52" s="774"/>
      <c r="G52" s="774"/>
      <c r="P52" s="52" t="s">
        <v>755</v>
      </c>
      <c r="Q52" s="190">
        <f>'Life Risk'!D8</f>
        <v>0</v>
      </c>
      <c r="R52" s="190">
        <f>'Life Risk'!E8</f>
        <v>0</v>
      </c>
      <c r="S52" s="190">
        <f>'Life Risk'!F8</f>
        <v>0</v>
      </c>
      <c r="T52" s="190">
        <f>'Life Risk'!G8</f>
        <v>0</v>
      </c>
    </row>
    <row r="53" spans="3:20" hidden="1" outlineLevel="1" x14ac:dyDescent="0.3">
      <c r="C53" s="112" t="s">
        <v>323</v>
      </c>
      <c r="D53" s="190">
        <f>SUM(D47:D49)</f>
        <v>0</v>
      </c>
      <c r="E53" s="190">
        <f>SUM(E47:E49)</f>
        <v>0</v>
      </c>
      <c r="F53" s="190">
        <f>SUM(F47:F49)</f>
        <v>0</v>
      </c>
      <c r="G53" s="190">
        <f>SUM(G47:G49)</f>
        <v>0</v>
      </c>
      <c r="P53" s="52" t="s">
        <v>349</v>
      </c>
      <c r="Q53" s="190">
        <f>'Life Risk'!D9</f>
        <v>0</v>
      </c>
      <c r="R53" s="190">
        <f>'Life Risk'!E9</f>
        <v>0</v>
      </c>
      <c r="S53" s="190">
        <f>'Life Risk'!F9</f>
        <v>0</v>
      </c>
      <c r="T53" s="190">
        <f>'Life Risk'!G9</f>
        <v>0</v>
      </c>
    </row>
    <row r="54" spans="3:20" hidden="1" outlineLevel="1" x14ac:dyDescent="0.3">
      <c r="C54" s="112" t="s">
        <v>324</v>
      </c>
      <c r="D54" s="190">
        <f>D53-D55</f>
        <v>0</v>
      </c>
      <c r="E54" s="190">
        <f t="shared" ref="E54:G54" si="2">E53-E55</f>
        <v>0</v>
      </c>
      <c r="F54" s="190">
        <f t="shared" si="2"/>
        <v>0</v>
      </c>
      <c r="G54" s="190">
        <f t="shared" si="2"/>
        <v>0</v>
      </c>
      <c r="P54" s="49"/>
      <c r="Q54" s="108"/>
      <c r="R54" s="108"/>
      <c r="S54" s="108"/>
      <c r="T54" s="108"/>
    </row>
    <row r="55" spans="3:20" hidden="1" outlineLevel="1" x14ac:dyDescent="0.3">
      <c r="C55" s="112" t="s">
        <v>296</v>
      </c>
      <c r="D55" s="190" cm="1">
        <f t="array" ref="D55">SQRT(MMULT(MMULT(TRANSPOSE(D47:D49),$D$41:$F$43),D47:D49))</f>
        <v>0</v>
      </c>
      <c r="E55" s="190" cm="1">
        <f t="array" ref="E55">SQRT(MMULT(MMULT(TRANSPOSE(E47:E49),$D$41:$F$43),E47:E49))</f>
        <v>0</v>
      </c>
      <c r="F55" s="190" cm="1">
        <f t="array" ref="F55">SQRT(MMULT(MMULT(TRANSPOSE(F47:F49),$D$41:$F$43),F47:F49))</f>
        <v>0</v>
      </c>
      <c r="G55" s="190" cm="1">
        <f t="array" ref="G55">SQRT(MMULT(MMULT(TRANSPOSE(G47:G49),$D$41:$F$43),G47:G49))</f>
        <v>0</v>
      </c>
      <c r="Q55" s="774" t="s">
        <v>751</v>
      </c>
      <c r="R55" s="774"/>
      <c r="S55" s="774"/>
      <c r="T55" s="774"/>
    </row>
    <row r="56" spans="3:20" hidden="1" outlineLevel="1" x14ac:dyDescent="0.3">
      <c r="P56" s="112" t="s">
        <v>323</v>
      </c>
      <c r="Q56" s="190">
        <f>SUM(Q49:Q52)+'Life Risk'!D13+'Life Risk'!D10+'Life Risk'!D11</f>
        <v>0</v>
      </c>
      <c r="R56" s="190">
        <f>SUM(R49:R52)+'Life Risk'!E13+'Life Risk'!E10+'Life Risk'!E11</f>
        <v>0</v>
      </c>
      <c r="S56" s="190">
        <f>SUM(S49:S52)+'Life Risk'!F13+'Life Risk'!F10+'Life Risk'!F11</f>
        <v>0</v>
      </c>
      <c r="T56" s="190">
        <f>SUM(T49:T52)+'Life Risk'!G13+'Life Risk'!G10+'Life Risk'!G11</f>
        <v>0</v>
      </c>
    </row>
    <row r="57" spans="3:20" hidden="1" outlineLevel="1" x14ac:dyDescent="0.3">
      <c r="P57" s="112" t="s">
        <v>324</v>
      </c>
      <c r="Q57" s="190">
        <f>Q56-Q58</f>
        <v>0</v>
      </c>
      <c r="R57" s="190">
        <f t="shared" ref="R57:T57" si="3">R56-R58</f>
        <v>0</v>
      </c>
      <c r="S57" s="190">
        <f t="shared" si="3"/>
        <v>0</v>
      </c>
      <c r="T57" s="190">
        <f t="shared" si="3"/>
        <v>0</v>
      </c>
    </row>
    <row r="58" spans="3:20" hidden="1" outlineLevel="1" x14ac:dyDescent="0.3">
      <c r="P58" s="112" t="s">
        <v>296</v>
      </c>
      <c r="Q58" s="190" cm="1">
        <f t="array" ref="Q58">SQRT(MMULT(MMULT(TRANSPOSE(Q49:Q52),$Q$41:$T$44),Q49:Q52))+'Life Risk'!D13+'Life Risk'!D10+'Life Risk'!D11</f>
        <v>0</v>
      </c>
      <c r="R58" s="190" cm="1">
        <f t="array" ref="R58">SQRT(MMULT(MMULT(TRANSPOSE(R49:R52),$Q$41:$T$44),R49:R52))+'Life Risk'!E13+'Life Risk'!E10+'Life Risk'!E11</f>
        <v>0</v>
      </c>
      <c r="S58" s="190" cm="1">
        <f t="array" ref="S58">SQRT(MMULT(MMULT(TRANSPOSE(S49:S52),$Q$41:$T$44),S49:S52))+'Life Risk'!F13+'Life Risk'!F10+'Life Risk'!F11</f>
        <v>0</v>
      </c>
      <c r="T58" s="190" cm="1">
        <f t="array" ref="T58">SQRT(MMULT(MMULT(TRANSPOSE(T49:T52),$Q$41:$T$44),T49:T52))+'Life Risk'!G13+'Life Risk'!G10+'Life Risk'!G11</f>
        <v>0</v>
      </c>
    </row>
    <row r="59" spans="3:20" hidden="1" outlineLevel="1" x14ac:dyDescent="0.3">
      <c r="O59" s="171"/>
    </row>
    <row r="60" spans="3:20" hidden="1" outlineLevel="1" x14ac:dyDescent="0.3">
      <c r="Q60" s="774" t="s">
        <v>752</v>
      </c>
      <c r="R60" s="774"/>
      <c r="S60" s="774"/>
      <c r="T60" s="774"/>
    </row>
    <row r="61" spans="3:20" hidden="1" outlineLevel="1" x14ac:dyDescent="0.3">
      <c r="P61" s="112" t="s">
        <v>296</v>
      </c>
      <c r="Q61" s="190" cm="1">
        <f t="array" ref="Q61">SQRT(MMULT(MMULT(TRANSPOSE(Q49:Q53),$Q$41:$U$45),Q49:Q53))+'Life Risk'!D13+'Life Risk'!D10+'Life Risk'!D11</f>
        <v>0</v>
      </c>
      <c r="R61" s="190" cm="1">
        <f t="array" ref="R61">SQRT(MMULT(MMULT(TRANSPOSE(R49:R53),$Q$41:$U$45),R49:R53))+'Life Risk'!E13+'Life Risk'!E10+'Life Risk'!E11</f>
        <v>0</v>
      </c>
      <c r="S61" s="190" cm="1">
        <f t="array" ref="S61">SQRT(MMULT(MMULT(TRANSPOSE(S49:S53),$Q$41:$U$45),S49:S53))+'Life Risk'!F13+'Life Risk'!F10+'Life Risk'!F11</f>
        <v>0</v>
      </c>
      <c r="T61" s="190" cm="1">
        <f t="array" ref="T61">SQRT(MMULT(MMULT(TRANSPOSE(T49:T53),$Q$41:$U$45),T49:T53))+'Life Risk'!G13+'Life Risk'!G10+'Life Risk'!G11</f>
        <v>0</v>
      </c>
    </row>
    <row r="62" spans="3:20" hidden="1" outlineLevel="1" x14ac:dyDescent="0.3"/>
    <row r="63" spans="3:20" hidden="1" outlineLevel="1" x14ac:dyDescent="0.3">
      <c r="Q63" s="774" t="s">
        <v>753</v>
      </c>
      <c r="R63" s="774"/>
      <c r="S63" s="774"/>
      <c r="T63" s="774"/>
    </row>
    <row r="64" spans="3:20" hidden="1" outlineLevel="1" x14ac:dyDescent="0.3">
      <c r="P64" s="112" t="s">
        <v>2170</v>
      </c>
      <c r="T64" s="244">
        <f>IFERROR((T61^2-T58^2-T53^2)/(2*T58*T53),0.25)</f>
        <v>0.25</v>
      </c>
    </row>
    <row r="65" spans="2:26" collapsed="1" x14ac:dyDescent="0.3"/>
    <row r="66" spans="2:26" x14ac:dyDescent="0.3">
      <c r="B66" s="46" t="s">
        <v>2182</v>
      </c>
      <c r="C66" s="48"/>
      <c r="D66" s="48"/>
      <c r="E66" s="48"/>
      <c r="F66" s="48"/>
      <c r="G66" s="48"/>
      <c r="H66" s="48"/>
      <c r="I66" s="48"/>
      <c r="J66" s="48"/>
      <c r="K66" s="48"/>
      <c r="L66" s="48"/>
      <c r="M66" s="48"/>
      <c r="O66" s="46" t="s">
        <v>2181</v>
      </c>
      <c r="P66" s="47"/>
      <c r="Q66" s="47"/>
      <c r="R66" s="47"/>
      <c r="S66" s="47"/>
      <c r="T66" s="47"/>
      <c r="U66" s="47"/>
      <c r="V66" s="48"/>
      <c r="W66" s="48"/>
      <c r="X66" s="48"/>
      <c r="Y66" s="48"/>
      <c r="Z66" s="48"/>
    </row>
    <row r="67" spans="2:26" hidden="1" outlineLevel="1" x14ac:dyDescent="0.3">
      <c r="O67" s="50"/>
      <c r="P67" s="106"/>
      <c r="Q67" s="106"/>
      <c r="R67" s="106"/>
      <c r="S67" s="106"/>
      <c r="T67" s="106"/>
      <c r="U67" s="106"/>
    </row>
    <row r="68" spans="2:26" hidden="1" outlineLevel="1" x14ac:dyDescent="0.3">
      <c r="B68" s="170" t="s">
        <v>1430</v>
      </c>
      <c r="O68" s="170" t="s">
        <v>1430</v>
      </c>
      <c r="Q68" s="106"/>
      <c r="R68" s="106"/>
      <c r="S68" s="106"/>
      <c r="T68" s="106"/>
      <c r="U68" s="106"/>
      <c r="V68" s="106"/>
    </row>
    <row r="69" spans="2:26" hidden="1" outlineLevel="1" x14ac:dyDescent="0.3">
      <c r="D69" s="166" t="s">
        <v>260</v>
      </c>
      <c r="E69" s="166" t="s">
        <v>258</v>
      </c>
      <c r="F69" s="166" t="s">
        <v>259</v>
      </c>
      <c r="G69" s="166" t="s">
        <v>9</v>
      </c>
      <c r="H69" s="166" t="s">
        <v>261</v>
      </c>
      <c r="I69" s="166" t="s">
        <v>411</v>
      </c>
      <c r="J69" s="166" t="s">
        <v>262</v>
      </c>
      <c r="Q69" s="166" t="s">
        <v>297</v>
      </c>
      <c r="R69" s="166" t="s">
        <v>298</v>
      </c>
      <c r="S69" s="106"/>
      <c r="T69" s="106"/>
      <c r="U69" s="106"/>
      <c r="V69" s="106"/>
    </row>
    <row r="70" spans="2:26" hidden="1" outlineLevel="1" x14ac:dyDescent="0.3">
      <c r="C70" s="52" t="s">
        <v>260</v>
      </c>
      <c r="D70" s="169">
        <v>1</v>
      </c>
      <c r="E70" s="169">
        <v>0.5</v>
      </c>
      <c r="F70" s="169">
        <v>0.5</v>
      </c>
      <c r="G70" s="169">
        <v>0.25</v>
      </c>
      <c r="H70" s="169">
        <v>0.5</v>
      </c>
      <c r="I70" s="169">
        <v>0.5</v>
      </c>
      <c r="J70" s="169">
        <v>0.5</v>
      </c>
      <c r="P70" s="52" t="s">
        <v>297</v>
      </c>
      <c r="Q70" s="169">
        <v>1</v>
      </c>
      <c r="R70" s="169">
        <v>0.75</v>
      </c>
      <c r="S70" s="106"/>
      <c r="T70" s="106"/>
      <c r="U70" s="170"/>
      <c r="V70" s="106"/>
    </row>
    <row r="71" spans="2:26" hidden="1" outlineLevel="1" x14ac:dyDescent="0.3">
      <c r="C71" s="52" t="s">
        <v>258</v>
      </c>
      <c r="D71" s="169">
        <f>E70</f>
        <v>0.5</v>
      </c>
      <c r="E71" s="169">
        <v>1</v>
      </c>
      <c r="F71" s="169">
        <v>0.75</v>
      </c>
      <c r="G71" s="169">
        <v>0.25</v>
      </c>
      <c r="H71" s="169">
        <v>0.5</v>
      </c>
      <c r="I71" s="169">
        <v>0.5</v>
      </c>
      <c r="J71" s="169">
        <v>0.5</v>
      </c>
      <c r="P71" s="52" t="s">
        <v>298</v>
      </c>
      <c r="Q71" s="169">
        <f>R70</f>
        <v>0.75</v>
      </c>
      <c r="R71" s="169">
        <v>1</v>
      </c>
      <c r="S71" s="106"/>
      <c r="T71" s="106"/>
      <c r="U71" s="106"/>
      <c r="V71" s="106"/>
    </row>
    <row r="72" spans="2:26" hidden="1" outlineLevel="1" x14ac:dyDescent="0.3">
      <c r="C72" s="52" t="s">
        <v>259</v>
      </c>
      <c r="D72" s="169">
        <f>F70</f>
        <v>0.5</v>
      </c>
      <c r="E72" s="169">
        <f>F71</f>
        <v>0.75</v>
      </c>
      <c r="F72" s="169">
        <v>1</v>
      </c>
      <c r="G72" s="169">
        <v>0.25</v>
      </c>
      <c r="H72" s="169">
        <v>0.5</v>
      </c>
      <c r="I72" s="169">
        <v>0.5</v>
      </c>
      <c r="J72" s="169">
        <v>0.5</v>
      </c>
    </row>
    <row r="73" spans="2:26" hidden="1" outlineLevel="1" x14ac:dyDescent="0.3">
      <c r="C73" s="52" t="s">
        <v>9</v>
      </c>
      <c r="D73" s="169">
        <f>G70</f>
        <v>0.25</v>
      </c>
      <c r="E73" s="169">
        <f>G71</f>
        <v>0.25</v>
      </c>
      <c r="F73" s="169">
        <f>G72</f>
        <v>0.25</v>
      </c>
      <c r="G73" s="169">
        <v>1</v>
      </c>
      <c r="H73" s="169">
        <v>0.25</v>
      </c>
      <c r="I73" s="169">
        <v>0.25</v>
      </c>
      <c r="J73" s="169">
        <v>0.5</v>
      </c>
      <c r="O73" s="170" t="s">
        <v>2180</v>
      </c>
    </row>
    <row r="74" spans="2:26" hidden="1" outlineLevel="1" x14ac:dyDescent="0.3">
      <c r="C74" s="52" t="s">
        <v>261</v>
      </c>
      <c r="D74" s="169">
        <f>H70</f>
        <v>0.5</v>
      </c>
      <c r="E74" s="169">
        <f>H71</f>
        <v>0.5</v>
      </c>
      <c r="F74" s="169">
        <f>H72</f>
        <v>0.5</v>
      </c>
      <c r="G74" s="169">
        <f>H73</f>
        <v>0.25</v>
      </c>
      <c r="H74" s="169">
        <v>1</v>
      </c>
      <c r="I74" s="169">
        <v>0.5</v>
      </c>
      <c r="J74" s="169">
        <v>0.5</v>
      </c>
      <c r="Q74" s="58">
        <v>0.99990000000000001</v>
      </c>
      <c r="R74" s="58">
        <v>0.99950000000000006</v>
      </c>
      <c r="S74" s="58">
        <v>0.998</v>
      </c>
      <c r="T74" s="58">
        <v>0.995</v>
      </c>
    </row>
    <row r="75" spans="2:26" hidden="1" outlineLevel="1" x14ac:dyDescent="0.3">
      <c r="C75" s="52" t="s">
        <v>411</v>
      </c>
      <c r="D75" s="169">
        <f>I70</f>
        <v>0.5</v>
      </c>
      <c r="E75" s="169">
        <f>I71</f>
        <v>0.5</v>
      </c>
      <c r="F75" s="169">
        <f>I72</f>
        <v>0.5</v>
      </c>
      <c r="G75" s="169">
        <f>I73</f>
        <v>0.25</v>
      </c>
      <c r="H75" s="169">
        <f>I74</f>
        <v>0.5</v>
      </c>
      <c r="I75" s="169">
        <v>1</v>
      </c>
      <c r="J75" s="169">
        <v>0.5</v>
      </c>
      <c r="Q75" s="774" t="s">
        <v>260</v>
      </c>
      <c r="R75" s="774"/>
      <c r="S75" s="774"/>
      <c r="T75" s="774"/>
    </row>
    <row r="76" spans="2:26" hidden="1" outlineLevel="1" x14ac:dyDescent="0.3">
      <c r="C76" s="52" t="s">
        <v>262</v>
      </c>
      <c r="D76" s="173">
        <f>J70</f>
        <v>0.5</v>
      </c>
      <c r="E76" s="173">
        <f>J71</f>
        <v>0.5</v>
      </c>
      <c r="F76" s="173">
        <f>J72</f>
        <v>0.5</v>
      </c>
      <c r="G76" s="173">
        <f>J73</f>
        <v>0.5</v>
      </c>
      <c r="H76" s="173">
        <f>J74</f>
        <v>0.5</v>
      </c>
      <c r="I76" s="173">
        <f>J75</f>
        <v>0.5</v>
      </c>
      <c r="J76" s="169">
        <v>1</v>
      </c>
      <c r="P76" s="52" t="s">
        <v>297</v>
      </c>
      <c r="Q76" s="190">
        <f>'Non-Life Risk'!N23</f>
        <v>0</v>
      </c>
      <c r="R76" s="190">
        <f>'Non-Life Risk'!O23</f>
        <v>0</v>
      </c>
      <c r="S76" s="190">
        <f>'Non-Life Risk'!P23</f>
        <v>0</v>
      </c>
      <c r="T76" s="190">
        <f>'Non-Life Risk'!Q23</f>
        <v>0</v>
      </c>
      <c r="V76" s="108"/>
      <c r="W76" s="108"/>
      <c r="X76" s="108"/>
      <c r="Y76" s="108"/>
    </row>
    <row r="77" spans="2:26" hidden="1" outlineLevel="1" x14ac:dyDescent="0.3">
      <c r="P77" s="52" t="s">
        <v>298</v>
      </c>
      <c r="Q77" s="190">
        <f>'Non-Life Risk'!N171</f>
        <v>0</v>
      </c>
      <c r="R77" s="190">
        <f>'Non-Life Risk'!O171</f>
        <v>0</v>
      </c>
      <c r="S77" s="190">
        <f>'Non-Life Risk'!P171</f>
        <v>0</v>
      </c>
      <c r="T77" s="190">
        <f>'Non-Life Risk'!Q171</f>
        <v>0</v>
      </c>
    </row>
    <row r="78" spans="2:26" hidden="1" outlineLevel="1" x14ac:dyDescent="0.3">
      <c r="D78" s="774" t="s">
        <v>296</v>
      </c>
      <c r="E78" s="774"/>
      <c r="F78" s="774"/>
      <c r="G78" s="774"/>
      <c r="J78" s="774" t="s">
        <v>346</v>
      </c>
      <c r="K78" s="774"/>
      <c r="L78" s="774"/>
      <c r="M78" s="774"/>
    </row>
    <row r="79" spans="2:26" hidden="1" outlineLevel="1" x14ac:dyDescent="0.3">
      <c r="D79" s="58">
        <v>0.99990000000000001</v>
      </c>
      <c r="E79" s="58">
        <v>0.99950000000000006</v>
      </c>
      <c r="F79" s="58">
        <v>0.998</v>
      </c>
      <c r="G79" s="58">
        <v>0.995</v>
      </c>
      <c r="J79" s="58">
        <v>0.99990000000000001</v>
      </c>
      <c r="K79" s="58">
        <v>0.99950000000000006</v>
      </c>
      <c r="L79" s="58">
        <v>0.998</v>
      </c>
      <c r="M79" s="58">
        <v>0.995</v>
      </c>
      <c r="Q79" s="774" t="s">
        <v>258</v>
      </c>
      <c r="R79" s="774"/>
      <c r="S79" s="774"/>
      <c r="T79" s="774"/>
    </row>
    <row r="80" spans="2:26" hidden="1" outlineLevel="1" x14ac:dyDescent="0.3">
      <c r="C80" s="52" t="s">
        <v>260</v>
      </c>
      <c r="D80" s="190" cm="1">
        <f t="array" ref="D80">SQRT(MMULT(MMULT(TRANSPOSE(Q76:Q77),$Q$70:$R$71),Q76:Q77))</f>
        <v>0</v>
      </c>
      <c r="E80" s="190" cm="1">
        <f t="array" ref="E80">SQRT(MMULT(MMULT(TRANSPOSE(R76:R77),$Q$70:$R$71),R76:R77))</f>
        <v>0</v>
      </c>
      <c r="F80" s="190" cm="1">
        <f t="array" ref="F80">SQRT(MMULT(MMULT(TRANSPOSE(S76:S77),$Q$70:$R$71),S76:S77))</f>
        <v>0</v>
      </c>
      <c r="G80" s="190" cm="1">
        <f t="array" ref="G80">SQRT(MMULT(MMULT(TRANSPOSE(T76:T77),$Q$70:$R$71),T76:T77))</f>
        <v>0</v>
      </c>
      <c r="I80" s="52" t="s">
        <v>260</v>
      </c>
      <c r="J80" s="190">
        <f>Q76+Q77-D80</f>
        <v>0</v>
      </c>
      <c r="K80" s="190">
        <f>R76+R77-E80</f>
        <v>0</v>
      </c>
      <c r="L80" s="190">
        <f>S76+S77-F80</f>
        <v>0</v>
      </c>
      <c r="M80" s="190">
        <f>T76+T77-G80</f>
        <v>0</v>
      </c>
      <c r="P80" s="52" t="s">
        <v>297</v>
      </c>
      <c r="Q80" s="190">
        <f>'Non-Life Risk'!N24</f>
        <v>0</v>
      </c>
      <c r="R80" s="190">
        <f>'Non-Life Risk'!O24</f>
        <v>0</v>
      </c>
      <c r="S80" s="190">
        <f>'Non-Life Risk'!P24</f>
        <v>0</v>
      </c>
      <c r="T80" s="190">
        <f>'Non-Life Risk'!Q24</f>
        <v>0</v>
      </c>
    </row>
    <row r="81" spans="2:25" hidden="1" outlineLevel="1" x14ac:dyDescent="0.3">
      <c r="C81" s="52" t="s">
        <v>258</v>
      </c>
      <c r="D81" s="190" cm="1">
        <f t="array" ref="D81">SQRT(MMULT(MMULT(TRANSPOSE(Q$80:Q$81),$Q$70:$R$71),Q$80:Q$81))</f>
        <v>0</v>
      </c>
      <c r="E81" s="190" cm="1">
        <f t="array" ref="E81">SQRT(MMULT(MMULT(TRANSPOSE(R$80:R$81),$Q$70:$R$71),R$80:R$81))</f>
        <v>0</v>
      </c>
      <c r="F81" s="190" cm="1">
        <f t="array" ref="F81">SQRT(MMULT(MMULT(TRANSPOSE(S$80:S$81),$Q$70:$R$71),S$80:S$81))</f>
        <v>0</v>
      </c>
      <c r="G81" s="190" cm="1">
        <f t="array" ref="G81">SQRT(MMULT(MMULT(TRANSPOSE(T$80:T$81),$Q$70:$R$71),T$80:T$81))</f>
        <v>0</v>
      </c>
      <c r="I81" s="52" t="s">
        <v>258</v>
      </c>
      <c r="J81" s="190">
        <f>Q80+Q81-D81</f>
        <v>0</v>
      </c>
      <c r="K81" s="190">
        <f>R80+R81-E81</f>
        <v>0</v>
      </c>
      <c r="L81" s="190">
        <f>S80+S81-F81</f>
        <v>0</v>
      </c>
      <c r="M81" s="190">
        <f>T80+T81-G81</f>
        <v>0</v>
      </c>
      <c r="P81" s="52" t="s">
        <v>298</v>
      </c>
      <c r="Q81" s="190">
        <f>'Non-Life Risk'!N172</f>
        <v>0</v>
      </c>
      <c r="R81" s="190">
        <f>'Non-Life Risk'!O172</f>
        <v>0</v>
      </c>
      <c r="S81" s="190">
        <f>'Non-Life Risk'!P172</f>
        <v>0</v>
      </c>
      <c r="T81" s="190">
        <f>'Non-Life Risk'!Q172</f>
        <v>0</v>
      </c>
    </row>
    <row r="82" spans="2:25" hidden="1" outlineLevel="1" x14ac:dyDescent="0.3">
      <c r="C82" s="52" t="s">
        <v>259</v>
      </c>
      <c r="D82" s="190" cm="1">
        <f t="array" ref="D82">SQRT(MMULT(MMULT(TRANSPOSE(Q84:Q85),$Q$70:$R$71),Q84:Q85))</f>
        <v>0</v>
      </c>
      <c r="E82" s="190" cm="1">
        <f t="array" ref="E82">SQRT(MMULT(MMULT(TRANSPOSE(R84:R85),$Q$70:$R$71),R84:R85))</f>
        <v>0</v>
      </c>
      <c r="F82" s="190" cm="1">
        <f t="array" ref="F82">SQRT(MMULT(MMULT(TRANSPOSE(S84:S85),$Q$70:$R$71),S84:S85))</f>
        <v>0</v>
      </c>
      <c r="G82" s="190" cm="1">
        <f t="array" ref="G82">SQRT(MMULT(MMULT(TRANSPOSE(T84:T85),$Q$70:$R$71),T84:T85))</f>
        <v>0</v>
      </c>
      <c r="I82" s="52" t="s">
        <v>259</v>
      </c>
      <c r="J82" s="190">
        <f>Q84+Q85-D82</f>
        <v>0</v>
      </c>
      <c r="K82" s="190">
        <f>R84+R85-E82</f>
        <v>0</v>
      </c>
      <c r="L82" s="190">
        <f>S84+S85-F82</f>
        <v>0</v>
      </c>
      <c r="M82" s="190">
        <f>T84+T85-G82</f>
        <v>0</v>
      </c>
    </row>
    <row r="83" spans="2:25" hidden="1" outlineLevel="1" x14ac:dyDescent="0.3">
      <c r="C83" s="52" t="s">
        <v>9</v>
      </c>
      <c r="D83" s="190" cm="1">
        <f t="array" ref="D83">SQRT(MMULT(MMULT(TRANSPOSE(Q88:Q89),$Q$70:$R$71),Q88:Q89))</f>
        <v>0</v>
      </c>
      <c r="E83" s="190" cm="1">
        <f t="array" ref="E83">SQRT(MMULT(MMULT(TRANSPOSE(R88:R89),$Q$70:$R$71),R88:R89))</f>
        <v>0</v>
      </c>
      <c r="F83" s="190" cm="1">
        <f t="array" ref="F83">SQRT(MMULT(MMULT(TRANSPOSE(S88:S89),$Q$70:$R$71),S88:S89))</f>
        <v>0</v>
      </c>
      <c r="G83" s="190" cm="1">
        <f t="array" ref="G83">SQRT(MMULT(MMULT(TRANSPOSE(T88:T89),$Q$70:$R$71),T88:T89))</f>
        <v>0</v>
      </c>
      <c r="I83" s="52" t="s">
        <v>9</v>
      </c>
      <c r="J83" s="190">
        <f>Q88+Q89-D83</f>
        <v>0</v>
      </c>
      <c r="K83" s="190">
        <f>R88+R89-E83</f>
        <v>0</v>
      </c>
      <c r="L83" s="190">
        <f>S88+S89-F83</f>
        <v>0</v>
      </c>
      <c r="M83" s="190">
        <f>T88+T89-G83</f>
        <v>0</v>
      </c>
      <c r="Q83" s="774" t="s">
        <v>259</v>
      </c>
      <c r="R83" s="774"/>
      <c r="S83" s="774"/>
      <c r="T83" s="774"/>
    </row>
    <row r="84" spans="2:25" hidden="1" outlineLevel="1" x14ac:dyDescent="0.3">
      <c r="C84" s="52" t="s">
        <v>261</v>
      </c>
      <c r="D84" s="190" cm="1">
        <f t="array" ref="D84">SQRT(MMULT(MMULT(TRANSPOSE(Q92:Q93),$Q$70:$R$71),Q92:Q93))</f>
        <v>0</v>
      </c>
      <c r="E84" s="190" cm="1">
        <f t="array" ref="E84">SQRT(MMULT(MMULT(TRANSPOSE(R92:R93),$Q$70:$R$71),R92:R93))</f>
        <v>0</v>
      </c>
      <c r="F84" s="190" cm="1">
        <f t="array" ref="F84">SQRT(MMULT(MMULT(TRANSPOSE(S92:S93),$Q$70:$R$71),S92:S93))</f>
        <v>0</v>
      </c>
      <c r="G84" s="190" cm="1">
        <f t="array" ref="G84">SQRT(MMULT(MMULT(TRANSPOSE(T92:T93),$Q$70:$R$71),T92:T93))</f>
        <v>0</v>
      </c>
      <c r="I84" s="52" t="s">
        <v>261</v>
      </c>
      <c r="J84" s="190">
        <f>Q92+Q93-D84</f>
        <v>0</v>
      </c>
      <c r="K84" s="190">
        <f>R92+R93-E84</f>
        <v>0</v>
      </c>
      <c r="L84" s="190">
        <f>S92+S93-F84</f>
        <v>0</v>
      </c>
      <c r="M84" s="190">
        <f>T92+T93-G84</f>
        <v>0</v>
      </c>
      <c r="P84" s="52" t="s">
        <v>297</v>
      </c>
      <c r="Q84" s="190">
        <f>'Non-Life Risk'!N25</f>
        <v>0</v>
      </c>
      <c r="R84" s="190">
        <f>'Non-Life Risk'!O25</f>
        <v>0</v>
      </c>
      <c r="S84" s="190">
        <f>'Non-Life Risk'!P25</f>
        <v>0</v>
      </c>
      <c r="T84" s="190">
        <f>'Non-Life Risk'!Q25</f>
        <v>0</v>
      </c>
    </row>
    <row r="85" spans="2:25" hidden="1" outlineLevel="1" x14ac:dyDescent="0.3">
      <c r="C85" s="52" t="s">
        <v>411</v>
      </c>
      <c r="D85" s="190" cm="1">
        <f t="array" ref="D85">SQRT(MMULT(MMULT(TRANSPOSE(Q96:Q97),$Q$70:$R$71),Q96:Q97))</f>
        <v>0</v>
      </c>
      <c r="E85" s="190" cm="1">
        <f t="array" ref="E85">SQRT(MMULT(MMULT(TRANSPOSE(R96:R97),$Q$70:$R$71),R96:R97))</f>
        <v>0</v>
      </c>
      <c r="F85" s="190" cm="1">
        <f t="array" ref="F85">SQRT(MMULT(MMULT(TRANSPOSE(S96:S97),$Q$70:$R$71),S96:S97))</f>
        <v>0</v>
      </c>
      <c r="G85" s="190" cm="1">
        <f t="array" ref="G85">SQRT(MMULT(MMULT(TRANSPOSE(T96:T97),$Q$70:$R$71),T96:T97))</f>
        <v>0</v>
      </c>
      <c r="I85" s="52" t="s">
        <v>411</v>
      </c>
      <c r="J85" s="190">
        <f>Q96+Q97-D85</f>
        <v>0</v>
      </c>
      <c r="K85" s="190">
        <f>R96+R97-E85</f>
        <v>0</v>
      </c>
      <c r="L85" s="190">
        <f>S96+S97-F85</f>
        <v>0</v>
      </c>
      <c r="M85" s="190">
        <f>T96+T97-G85</f>
        <v>0</v>
      </c>
      <c r="P85" s="52" t="s">
        <v>298</v>
      </c>
      <c r="Q85" s="190">
        <f>'Non-Life Risk'!N173</f>
        <v>0</v>
      </c>
      <c r="R85" s="190">
        <f>'Non-Life Risk'!O173</f>
        <v>0</v>
      </c>
      <c r="S85" s="190">
        <f>'Non-Life Risk'!P173</f>
        <v>0</v>
      </c>
      <c r="T85" s="190">
        <f>'Non-Life Risk'!Q173</f>
        <v>0</v>
      </c>
    </row>
    <row r="86" spans="2:25" hidden="1" outlineLevel="1" x14ac:dyDescent="0.3">
      <c r="C86" s="52" t="s">
        <v>262</v>
      </c>
      <c r="D86" s="190" cm="1">
        <f t="array" ref="D86">SQRT(MMULT(MMULT(TRANSPOSE(Q100:Q101),$Q$70:$R$71),Q100:Q101))</f>
        <v>0</v>
      </c>
      <c r="E86" s="190" cm="1">
        <f t="array" ref="E86">SQRT(MMULT(MMULT(TRANSPOSE(R100:R101),$Q$70:$R$71),R100:R101))</f>
        <v>0</v>
      </c>
      <c r="F86" s="190" cm="1">
        <f t="array" ref="F86">SQRT(MMULT(MMULT(TRANSPOSE(S100:S101),$Q$70:$R$71),S100:S101))</f>
        <v>0</v>
      </c>
      <c r="G86" s="190" cm="1">
        <f t="array" ref="G86">SQRT(MMULT(MMULT(TRANSPOSE(T100:T101),$Q$70:$R$71),T100:T101))</f>
        <v>0</v>
      </c>
      <c r="I86" s="52" t="s">
        <v>262</v>
      </c>
      <c r="J86" s="190">
        <f>Q100+Q101-D86</f>
        <v>0</v>
      </c>
      <c r="K86" s="190">
        <f>R100+R101-E86</f>
        <v>0</v>
      </c>
      <c r="L86" s="190">
        <f>S100+S101-F86</f>
        <v>0</v>
      </c>
      <c r="M86" s="190">
        <f>T100+T101-G86</f>
        <v>0</v>
      </c>
    </row>
    <row r="87" spans="2:25" hidden="1" outlineLevel="1" x14ac:dyDescent="0.3">
      <c r="D87" s="191"/>
      <c r="E87" s="191"/>
      <c r="F87" s="191"/>
      <c r="G87" s="191"/>
      <c r="I87" s="170" t="s">
        <v>6</v>
      </c>
      <c r="J87" s="190">
        <f>SUM(J80:J86)</f>
        <v>0</v>
      </c>
      <c r="K87" s="190">
        <f>SUM(K80:K86)</f>
        <v>0</v>
      </c>
      <c r="L87" s="190">
        <f>SUM(L80:L86)</f>
        <v>0</v>
      </c>
      <c r="M87" s="190">
        <f>SUM(M80:M86)</f>
        <v>0</v>
      </c>
      <c r="Q87" s="774" t="s">
        <v>9</v>
      </c>
      <c r="R87" s="774"/>
      <c r="S87" s="774"/>
      <c r="T87" s="774"/>
      <c r="V87" s="108"/>
      <c r="W87" s="108"/>
      <c r="X87" s="108"/>
      <c r="Y87" s="108"/>
    </row>
    <row r="88" spans="2:25" hidden="1" outlineLevel="1" x14ac:dyDescent="0.3">
      <c r="D88" s="58">
        <v>0.99990000000000001</v>
      </c>
      <c r="E88" s="58">
        <v>0.99950000000000006</v>
      </c>
      <c r="F88" s="58">
        <v>0.998</v>
      </c>
      <c r="G88" s="58">
        <v>0.995</v>
      </c>
      <c r="H88" s="106"/>
      <c r="P88" s="52" t="s">
        <v>297</v>
      </c>
      <c r="Q88" s="190">
        <f>'Non-Life Risk'!N26</f>
        <v>0</v>
      </c>
      <c r="R88" s="190">
        <f>'Non-Life Risk'!O26</f>
        <v>0</v>
      </c>
      <c r="S88" s="190">
        <f>'Non-Life Risk'!P26</f>
        <v>0</v>
      </c>
      <c r="T88" s="190">
        <f>'Non-Life Risk'!Q26</f>
        <v>0</v>
      </c>
      <c r="V88" s="108"/>
      <c r="W88" s="108"/>
      <c r="X88" s="108"/>
      <c r="Y88" s="108"/>
    </row>
    <row r="89" spans="2:25" hidden="1" outlineLevel="1" x14ac:dyDescent="0.3">
      <c r="C89" s="52" t="s">
        <v>4131</v>
      </c>
      <c r="D89" s="190">
        <f>SUM(D80:D86)</f>
        <v>0</v>
      </c>
      <c r="E89" s="190">
        <f t="shared" ref="E89:G89" si="4">SUM(E80:E86)</f>
        <v>0</v>
      </c>
      <c r="F89" s="190">
        <f t="shared" si="4"/>
        <v>0</v>
      </c>
      <c r="G89" s="190">
        <f t="shared" si="4"/>
        <v>0</v>
      </c>
      <c r="H89" s="106"/>
      <c r="P89" s="52" t="s">
        <v>298</v>
      </c>
      <c r="Q89" s="190">
        <f>'Non-Life Risk'!N174</f>
        <v>0</v>
      </c>
      <c r="R89" s="190">
        <f>'Non-Life Risk'!O174</f>
        <v>0</v>
      </c>
      <c r="S89" s="190">
        <f>'Non-Life Risk'!P174</f>
        <v>0</v>
      </c>
      <c r="T89" s="190">
        <f>'Non-Life Risk'!Q174</f>
        <v>0</v>
      </c>
    </row>
    <row r="90" spans="2:25" hidden="1" outlineLevel="1" x14ac:dyDescent="0.3">
      <c r="C90" s="52" t="s">
        <v>324</v>
      </c>
      <c r="D90" s="190">
        <f>D89-D91</f>
        <v>0</v>
      </c>
      <c r="E90" s="190">
        <f>E89-E91</f>
        <v>0</v>
      </c>
      <c r="F90" s="190">
        <f>F89-F91</f>
        <v>0</v>
      </c>
      <c r="G90" s="190">
        <f>G89-G91</f>
        <v>0</v>
      </c>
      <c r="H90" s="106"/>
    </row>
    <row r="91" spans="2:25" hidden="1" outlineLevel="1" x14ac:dyDescent="0.3">
      <c r="C91" s="52" t="s">
        <v>296</v>
      </c>
      <c r="D91" s="190" cm="1">
        <f t="array" ref="D91">SQRT(MMULT(MMULT(TRANSPOSE(D80:D86),$D$70:$J$76),D80:D86))</f>
        <v>0</v>
      </c>
      <c r="E91" s="190" cm="1">
        <f t="array" ref="E91">SQRT(MMULT(MMULT(TRANSPOSE(E80:E86),$D$70:$J$76),E80:E86))</f>
        <v>0</v>
      </c>
      <c r="F91" s="190" cm="1">
        <f t="array" ref="F91">SQRT(MMULT(MMULT(TRANSPOSE(F80:F86),$D$70:$J$76),F80:F86))</f>
        <v>0</v>
      </c>
      <c r="G91" s="190" cm="1">
        <f t="array" ref="G91">SQRT(MMULT(MMULT(TRANSPOSE(G80:G86),$D$70:$J$76),G80:G86))</f>
        <v>0</v>
      </c>
      <c r="H91" s="106"/>
      <c r="P91" s="52" t="s">
        <v>261</v>
      </c>
      <c r="Q91" s="774" t="s">
        <v>261</v>
      </c>
      <c r="R91" s="774"/>
      <c r="S91" s="774"/>
      <c r="T91" s="774"/>
    </row>
    <row r="92" spans="2:25" hidden="1" outlineLevel="1" x14ac:dyDescent="0.3">
      <c r="P92" s="52" t="s">
        <v>297</v>
      </c>
      <c r="Q92" s="190">
        <f>'Non-Life Risk'!N27</f>
        <v>0</v>
      </c>
      <c r="R92" s="190">
        <f>'Non-Life Risk'!O27</f>
        <v>0</v>
      </c>
      <c r="S92" s="190">
        <f>'Non-Life Risk'!P27</f>
        <v>0</v>
      </c>
      <c r="T92" s="190">
        <f>'Non-Life Risk'!Q27</f>
        <v>0</v>
      </c>
    </row>
    <row r="93" spans="2:25" hidden="1" outlineLevel="1" x14ac:dyDescent="0.3">
      <c r="B93" s="50" t="s">
        <v>1428</v>
      </c>
      <c r="P93" s="52" t="s">
        <v>298</v>
      </c>
      <c r="Q93" s="190">
        <f>'Non-Life Risk'!N175</f>
        <v>0</v>
      </c>
      <c r="R93" s="190">
        <f>'Non-Life Risk'!O175</f>
        <v>0</v>
      </c>
      <c r="S93" s="190">
        <f>'Non-Life Risk'!P175</f>
        <v>0</v>
      </c>
      <c r="T93" s="190">
        <f>'Non-Life Risk'!Q175</f>
        <v>0</v>
      </c>
    </row>
    <row r="94" spans="2:25" hidden="1" outlineLevel="1" x14ac:dyDescent="0.3">
      <c r="D94" s="58">
        <v>0.99990000000000001</v>
      </c>
      <c r="E94" s="58">
        <v>0.99950000000000006</v>
      </c>
      <c r="F94" s="58">
        <v>0.998</v>
      </c>
      <c r="G94" s="58">
        <v>0.995</v>
      </c>
    </row>
    <row r="95" spans="2:25" hidden="1" outlineLevel="1" x14ac:dyDescent="0.3">
      <c r="C95" s="52" t="s">
        <v>1450</v>
      </c>
      <c r="D95" s="78">
        <f>IFERROR(J87/('Non-Life Risk'!N31+'Non-Life Risk'!N179),0)</f>
        <v>0</v>
      </c>
      <c r="E95" s="78">
        <f>IFERROR(K87/('Non-Life Risk'!O31+'Non-Life Risk'!O179),0)</f>
        <v>0</v>
      </c>
      <c r="F95" s="78">
        <f>IFERROR(L87/('Non-Life Risk'!P31+'Non-Life Risk'!P179),0)</f>
        <v>0</v>
      </c>
      <c r="G95" s="78">
        <f>IFERROR(M87/('Non-Life Risk'!Q31+'Non-Life Risk'!Q179),0)</f>
        <v>0</v>
      </c>
      <c r="Q95" s="774" t="s">
        <v>411</v>
      </c>
      <c r="R95" s="774"/>
      <c r="S95" s="774"/>
      <c r="T95" s="774"/>
    </row>
    <row r="96" spans="2:25" hidden="1" outlineLevel="1" x14ac:dyDescent="0.3">
      <c r="C96" s="52" t="s">
        <v>1399</v>
      </c>
      <c r="D96" s="192">
        <f>SUMIF(Adjustment!$L$5:$L$24,Lists!$L$20,Adjustment!M$5:M$24)</f>
        <v>0</v>
      </c>
      <c r="E96" s="192">
        <f>SUMIF(Adjustment!$L$5:$L$24,Lists!$L$20,Adjustment!N$5:N$24)</f>
        <v>0</v>
      </c>
      <c r="F96" s="192">
        <f>SUMIF(Adjustment!$L$5:$L$24,Lists!$L$20,Adjustment!O$5:O$24)</f>
        <v>0</v>
      </c>
      <c r="G96" s="192">
        <f>SUMIF(Adjustment!$L$5:$L$24,Lists!$L$20,Adjustment!P$5:P$24)</f>
        <v>0</v>
      </c>
      <c r="P96" s="52" t="s">
        <v>297</v>
      </c>
      <c r="Q96" s="190">
        <f>'Non-Life Risk'!N28</f>
        <v>0</v>
      </c>
      <c r="R96" s="190">
        <f>'Non-Life Risk'!O28</f>
        <v>0</v>
      </c>
      <c r="S96" s="190">
        <f>'Non-Life Risk'!P28</f>
        <v>0</v>
      </c>
      <c r="T96" s="190">
        <f>'Non-Life Risk'!Q28</f>
        <v>0</v>
      </c>
    </row>
    <row r="97" spans="2:26" hidden="1" outlineLevel="1" x14ac:dyDescent="0.3">
      <c r="C97" s="52" t="s">
        <v>1421</v>
      </c>
      <c r="D97" s="192">
        <f>SUMIF(Adjustment!$L$5:$L$24,Lists!$L$28,Adjustment!M$5:M$24)</f>
        <v>0</v>
      </c>
      <c r="E97" s="192">
        <f>SUMIF(Adjustment!$L$5:$L$24,Lists!$L$28,Adjustment!N$5:N$24)</f>
        <v>0</v>
      </c>
      <c r="F97" s="192">
        <f>SUMIF(Adjustment!$L$5:$L$24,Lists!$L$28,Adjustment!O$5:O$24)</f>
        <v>0</v>
      </c>
      <c r="G97" s="192">
        <f>SUMIF(Adjustment!$L$5:$L$24,Lists!$L$28,Adjustment!P$5:P$24)</f>
        <v>0</v>
      </c>
      <c r="P97" s="52" t="s">
        <v>298</v>
      </c>
      <c r="Q97" s="190">
        <f>'Non-Life Risk'!N176</f>
        <v>0</v>
      </c>
      <c r="R97" s="190">
        <f>'Non-Life Risk'!O176</f>
        <v>0</v>
      </c>
      <c r="S97" s="190">
        <f>'Non-Life Risk'!P176</f>
        <v>0</v>
      </c>
      <c r="T97" s="190">
        <f>'Non-Life Risk'!Q176</f>
        <v>0</v>
      </c>
    </row>
    <row r="98" spans="2:26" hidden="1" outlineLevel="1" x14ac:dyDescent="0.3">
      <c r="C98" s="52" t="s">
        <v>1431</v>
      </c>
      <c r="D98" s="192">
        <f>D96+D97</f>
        <v>0</v>
      </c>
      <c r="E98" s="192">
        <f>E96+E97</f>
        <v>0</v>
      </c>
      <c r="F98" s="192">
        <f>F96+F97</f>
        <v>0</v>
      </c>
      <c r="G98" s="192">
        <f>G96+G97</f>
        <v>0</v>
      </c>
    </row>
    <row r="99" spans="2:26" hidden="1" outlineLevel="1" x14ac:dyDescent="0.3">
      <c r="C99" s="52" t="s">
        <v>346</v>
      </c>
      <c r="D99" s="192">
        <f>D95*D98</f>
        <v>0</v>
      </c>
      <c r="E99" s="192">
        <f>E95*E98</f>
        <v>0</v>
      </c>
      <c r="F99" s="192">
        <f>F95*F98</f>
        <v>0</v>
      </c>
      <c r="G99" s="192">
        <f>G95*G98</f>
        <v>0</v>
      </c>
      <c r="Q99" s="774" t="s">
        <v>262</v>
      </c>
      <c r="R99" s="774"/>
      <c r="S99" s="774"/>
      <c r="T99" s="774"/>
    </row>
    <row r="100" spans="2:26" hidden="1" outlineLevel="1" x14ac:dyDescent="0.3">
      <c r="C100" s="52" t="s">
        <v>1429</v>
      </c>
      <c r="D100" s="192">
        <f>D98-D99</f>
        <v>0</v>
      </c>
      <c r="E100" s="192">
        <f>E98-E99</f>
        <v>0</v>
      </c>
      <c r="F100" s="192">
        <f>F98-F99</f>
        <v>0</v>
      </c>
      <c r="G100" s="192">
        <f>G98-G99</f>
        <v>0</v>
      </c>
      <c r="P100" s="52" t="s">
        <v>297</v>
      </c>
      <c r="Q100" s="190">
        <f>'Non-Life Risk'!N29</f>
        <v>0</v>
      </c>
      <c r="R100" s="190">
        <f>'Non-Life Risk'!O29</f>
        <v>0</v>
      </c>
      <c r="S100" s="190">
        <f>'Non-Life Risk'!P29</f>
        <v>0</v>
      </c>
      <c r="T100" s="190">
        <f>'Non-Life Risk'!Q29</f>
        <v>0</v>
      </c>
    </row>
    <row r="101" spans="2:26" hidden="1" outlineLevel="1" x14ac:dyDescent="0.3">
      <c r="C101" s="52" t="s">
        <v>1451</v>
      </c>
      <c r="D101" s="192">
        <f>J87+D99</f>
        <v>0</v>
      </c>
      <c r="E101" s="192">
        <f>K87+E99</f>
        <v>0</v>
      </c>
      <c r="F101" s="192">
        <f>L87+F99</f>
        <v>0</v>
      </c>
      <c r="G101" s="192">
        <f>M87+G99</f>
        <v>0</v>
      </c>
      <c r="P101" s="52" t="s">
        <v>298</v>
      </c>
      <c r="Q101" s="190">
        <f>'Non-Life Risk'!N177</f>
        <v>0</v>
      </c>
      <c r="R101" s="190">
        <f>'Non-Life Risk'!O177</f>
        <v>0</v>
      </c>
      <c r="S101" s="190">
        <f>'Non-Life Risk'!P177</f>
        <v>0</v>
      </c>
      <c r="T101" s="190">
        <f>'Non-Life Risk'!Q177</f>
        <v>0</v>
      </c>
    </row>
    <row r="102" spans="2:26" collapsed="1" x14ac:dyDescent="0.3"/>
    <row r="103" spans="2:26" ht="21" x14ac:dyDescent="0.5">
      <c r="B103" s="266" t="s">
        <v>2190</v>
      </c>
      <c r="C103" s="265"/>
      <c r="D103" s="265"/>
      <c r="E103" s="265"/>
      <c r="F103" s="265"/>
      <c r="G103" s="265"/>
      <c r="H103" s="265"/>
      <c r="I103" s="265"/>
      <c r="J103" s="265"/>
      <c r="K103" s="265"/>
      <c r="L103" s="265"/>
      <c r="M103" s="265"/>
      <c r="N103" s="265"/>
      <c r="O103" s="265"/>
      <c r="P103" s="265"/>
      <c r="Q103" s="265"/>
      <c r="R103" s="265"/>
      <c r="S103" s="265"/>
      <c r="T103" s="265"/>
      <c r="U103" s="265"/>
      <c r="V103" s="265"/>
      <c r="W103" s="265"/>
      <c r="X103" s="265"/>
      <c r="Y103" s="265"/>
      <c r="Z103" s="265"/>
    </row>
    <row r="104" spans="2:26" hidden="1" outlineLevel="1" x14ac:dyDescent="0.3"/>
    <row r="105" spans="2:26" hidden="1" outlineLevel="1" x14ac:dyDescent="0.3">
      <c r="B105" s="46" t="s">
        <v>908</v>
      </c>
      <c r="C105" s="48"/>
      <c r="D105" s="48"/>
      <c r="E105" s="48"/>
      <c r="F105" s="48"/>
      <c r="G105" s="48"/>
      <c r="H105" s="48"/>
      <c r="I105" s="48"/>
      <c r="J105" s="48"/>
      <c r="K105" s="48"/>
      <c r="L105" s="48"/>
      <c r="M105" s="48"/>
      <c r="O105" s="46" t="s">
        <v>921</v>
      </c>
      <c r="P105" s="48"/>
      <c r="Q105" s="48"/>
      <c r="R105" s="48"/>
      <c r="S105" s="48"/>
      <c r="T105" s="48"/>
      <c r="U105" s="48"/>
      <c r="V105" s="48"/>
      <c r="W105" s="48"/>
      <c r="X105" s="48"/>
      <c r="Y105" s="48"/>
      <c r="Z105" s="48"/>
    </row>
    <row r="106" spans="2:26" hidden="1" outlineLevel="1" x14ac:dyDescent="0.3">
      <c r="B106" s="171" t="s">
        <v>4431</v>
      </c>
      <c r="O106" s="171" t="s">
        <v>4432</v>
      </c>
    </row>
    <row r="107" spans="2:26" hidden="1" outlineLevel="1" x14ac:dyDescent="0.3">
      <c r="D107" s="58">
        <v>0.99990000000000001</v>
      </c>
      <c r="E107" s="58">
        <v>0.99950000000000006</v>
      </c>
      <c r="F107" s="58">
        <v>0.998</v>
      </c>
      <c r="G107" s="58">
        <v>0.995</v>
      </c>
      <c r="J107" s="58">
        <v>0.99990000000000001</v>
      </c>
      <c r="K107" s="58">
        <v>0.99950000000000006</v>
      </c>
      <c r="L107" s="58">
        <v>0.998</v>
      </c>
      <c r="M107" s="58">
        <v>0.995</v>
      </c>
      <c r="Q107" s="110">
        <v>0.99990000000000001</v>
      </c>
      <c r="R107" s="110">
        <v>0.99950000000000006</v>
      </c>
      <c r="S107" s="110">
        <v>0.998</v>
      </c>
      <c r="T107" s="110">
        <v>0.995</v>
      </c>
      <c r="W107" s="110">
        <v>0.99990000000000001</v>
      </c>
      <c r="X107" s="110">
        <v>0.99950000000000006</v>
      </c>
      <c r="Y107" s="110">
        <v>0.998</v>
      </c>
      <c r="Z107" s="110">
        <v>0.995</v>
      </c>
    </row>
    <row r="108" spans="2:26" hidden="1" outlineLevel="1" x14ac:dyDescent="0.3">
      <c r="C108" s="112" t="s">
        <v>235</v>
      </c>
      <c r="D108" s="190">
        <f t="shared" ref="D108:G109" si="5">D21</f>
        <v>0</v>
      </c>
      <c r="E108" s="190">
        <f t="shared" si="5"/>
        <v>0</v>
      </c>
      <c r="F108" s="190">
        <f t="shared" si="5"/>
        <v>0</v>
      </c>
      <c r="G108" s="190">
        <f t="shared" si="5"/>
        <v>0</v>
      </c>
      <c r="I108" s="112" t="s">
        <v>320</v>
      </c>
      <c r="J108" s="190">
        <f>D23</f>
        <v>0</v>
      </c>
      <c r="K108" s="190">
        <f>E23</f>
        <v>0</v>
      </c>
      <c r="L108" s="190">
        <f>F23</f>
        <v>0</v>
      </c>
      <c r="M108" s="190">
        <f>G23</f>
        <v>0</v>
      </c>
      <c r="P108" s="112" t="s">
        <v>235</v>
      </c>
      <c r="Q108" s="190">
        <f t="shared" ref="Q108:T109" si="6">D21</f>
        <v>0</v>
      </c>
      <c r="R108" s="190">
        <f t="shared" si="6"/>
        <v>0</v>
      </c>
      <c r="S108" s="190">
        <f t="shared" si="6"/>
        <v>0</v>
      </c>
      <c r="T108" s="190">
        <f t="shared" si="6"/>
        <v>0</v>
      </c>
      <c r="V108" s="112" t="s">
        <v>320</v>
      </c>
      <c r="W108" s="190">
        <f t="shared" ref="W108:Z109" si="7">D23</f>
        <v>0</v>
      </c>
      <c r="X108" s="190">
        <f t="shared" si="7"/>
        <v>0</v>
      </c>
      <c r="Y108" s="190">
        <f t="shared" si="7"/>
        <v>0</v>
      </c>
      <c r="Z108" s="190">
        <f t="shared" si="7"/>
        <v>0</v>
      </c>
    </row>
    <row r="109" spans="2:26" hidden="1" outlineLevel="1" x14ac:dyDescent="0.3">
      <c r="C109" s="112" t="s">
        <v>319</v>
      </c>
      <c r="D109" s="190">
        <f t="shared" si="5"/>
        <v>0</v>
      </c>
      <c r="E109" s="190">
        <f t="shared" si="5"/>
        <v>0</v>
      </c>
      <c r="F109" s="190">
        <f t="shared" si="5"/>
        <v>0</v>
      </c>
      <c r="G109" s="190">
        <f t="shared" si="5"/>
        <v>0</v>
      </c>
      <c r="I109" s="112" t="s">
        <v>322</v>
      </c>
      <c r="J109" s="190">
        <f t="shared" ref="J109:M110" si="8">D25</f>
        <v>0</v>
      </c>
      <c r="K109" s="190">
        <f t="shared" si="8"/>
        <v>0</v>
      </c>
      <c r="L109" s="190">
        <f t="shared" si="8"/>
        <v>0</v>
      </c>
      <c r="M109" s="190">
        <f t="shared" si="8"/>
        <v>0</v>
      </c>
      <c r="P109" s="112" t="s">
        <v>319</v>
      </c>
      <c r="Q109" s="190">
        <f t="shared" si="6"/>
        <v>0</v>
      </c>
      <c r="R109" s="190">
        <f t="shared" si="6"/>
        <v>0</v>
      </c>
      <c r="S109" s="190">
        <f t="shared" si="6"/>
        <v>0</v>
      </c>
      <c r="T109" s="190">
        <f t="shared" si="6"/>
        <v>0</v>
      </c>
      <c r="V109" s="112" t="s">
        <v>321</v>
      </c>
      <c r="W109" s="190">
        <f t="shared" si="7"/>
        <v>0</v>
      </c>
      <c r="X109" s="190">
        <f t="shared" si="7"/>
        <v>0</v>
      </c>
      <c r="Y109" s="190">
        <f t="shared" si="7"/>
        <v>0</v>
      </c>
      <c r="Z109" s="190">
        <f t="shared" si="7"/>
        <v>0</v>
      </c>
    </row>
    <row r="110" spans="2:26" hidden="1" outlineLevel="1" x14ac:dyDescent="0.3">
      <c r="C110" s="112" t="s">
        <v>321</v>
      </c>
      <c r="D110" s="190">
        <f>D24</f>
        <v>0</v>
      </c>
      <c r="E110" s="190">
        <f>E24</f>
        <v>0</v>
      </c>
      <c r="F110" s="190">
        <f>F24</f>
        <v>0</v>
      </c>
      <c r="G110" s="190">
        <f>G24</f>
        <v>0</v>
      </c>
      <c r="I110" s="112" t="s">
        <v>1083</v>
      </c>
      <c r="J110" s="190">
        <f t="shared" si="8"/>
        <v>0</v>
      </c>
      <c r="K110" s="190">
        <f t="shared" si="8"/>
        <v>0</v>
      </c>
      <c r="L110" s="190">
        <f t="shared" si="8"/>
        <v>0</v>
      </c>
      <c r="M110" s="190">
        <f t="shared" si="8"/>
        <v>0</v>
      </c>
      <c r="P110" s="112" t="s">
        <v>322</v>
      </c>
      <c r="Q110" s="190">
        <f>D25</f>
        <v>0</v>
      </c>
      <c r="R110" s="190">
        <f>E25</f>
        <v>0</v>
      </c>
      <c r="S110" s="190">
        <f>F25</f>
        <v>0</v>
      </c>
      <c r="T110" s="190">
        <f>G25</f>
        <v>0</v>
      </c>
      <c r="V110" s="112" t="s">
        <v>1083</v>
      </c>
      <c r="W110" s="190">
        <f>D26</f>
        <v>0</v>
      </c>
      <c r="X110" s="190">
        <f>E26</f>
        <v>0</v>
      </c>
      <c r="Y110" s="190">
        <f>F26</f>
        <v>0</v>
      </c>
      <c r="Z110" s="190">
        <f>G26</f>
        <v>0</v>
      </c>
    </row>
    <row r="111" spans="2:26" hidden="1" outlineLevel="1" x14ac:dyDescent="0.3"/>
    <row r="112" spans="2:26" ht="39" hidden="1" outlineLevel="1" x14ac:dyDescent="0.3">
      <c r="D112" s="167" t="s">
        <v>314</v>
      </c>
      <c r="E112" s="167" t="s">
        <v>2728</v>
      </c>
      <c r="F112" s="167" t="s">
        <v>321</v>
      </c>
      <c r="J112" s="167" t="s">
        <v>316</v>
      </c>
      <c r="K112" s="167" t="s">
        <v>318</v>
      </c>
      <c r="L112" s="167" t="s">
        <v>750</v>
      </c>
      <c r="Q112" s="167" t="s">
        <v>314</v>
      </c>
      <c r="R112" s="167" t="s">
        <v>2728</v>
      </c>
      <c r="S112" s="167" t="s">
        <v>322</v>
      </c>
      <c r="W112" s="167" t="s">
        <v>316</v>
      </c>
      <c r="X112" s="167" t="s">
        <v>321</v>
      </c>
      <c r="Y112" s="167" t="s">
        <v>750</v>
      </c>
    </row>
    <row r="113" spans="3:26" hidden="1" outlineLevel="1" x14ac:dyDescent="0.3">
      <c r="C113" s="112" t="s">
        <v>235</v>
      </c>
      <c r="D113" s="169">
        <v>1</v>
      </c>
      <c r="E113" s="169">
        <f>E12</f>
        <v>0.75</v>
      </c>
      <c r="F113" s="169">
        <f>G12</f>
        <v>0.25</v>
      </c>
      <c r="I113" s="112" t="s">
        <v>320</v>
      </c>
      <c r="J113" s="169">
        <v>1</v>
      </c>
      <c r="K113" s="169">
        <f>H14</f>
        <v>0</v>
      </c>
      <c r="L113" s="169">
        <f>I14</f>
        <v>0</v>
      </c>
      <c r="P113" s="112" t="s">
        <v>235</v>
      </c>
      <c r="Q113" s="169">
        <v>1</v>
      </c>
      <c r="R113" s="169">
        <f>E12</f>
        <v>0.75</v>
      </c>
      <c r="S113" s="169">
        <f>H12</f>
        <v>0.25</v>
      </c>
      <c r="V113" s="112" t="s">
        <v>320</v>
      </c>
      <c r="W113" s="169">
        <v>1</v>
      </c>
      <c r="X113" s="169">
        <f>G14</f>
        <v>0</v>
      </c>
      <c r="Y113" s="169">
        <f>I14</f>
        <v>0</v>
      </c>
    </row>
    <row r="114" spans="3:26" hidden="1" outlineLevel="1" x14ac:dyDescent="0.3">
      <c r="C114" s="112" t="s">
        <v>319</v>
      </c>
      <c r="D114" s="169">
        <f>E113</f>
        <v>0.75</v>
      </c>
      <c r="E114" s="169">
        <v>1</v>
      </c>
      <c r="F114" s="169">
        <f>G13</f>
        <v>0.25</v>
      </c>
      <c r="I114" s="112" t="s">
        <v>322</v>
      </c>
      <c r="J114" s="169">
        <f>K113</f>
        <v>0</v>
      </c>
      <c r="K114" s="169">
        <v>1</v>
      </c>
      <c r="L114" s="78">
        <f>I16</f>
        <v>0.25</v>
      </c>
      <c r="P114" s="112" t="s">
        <v>319</v>
      </c>
      <c r="Q114" s="169">
        <f>R113</f>
        <v>0.75</v>
      </c>
      <c r="R114" s="169">
        <v>1</v>
      </c>
      <c r="S114" s="169">
        <f>H13</f>
        <v>0.25</v>
      </c>
      <c r="V114" s="112" t="s">
        <v>321</v>
      </c>
      <c r="W114" s="169">
        <f>X113</f>
        <v>0</v>
      </c>
      <c r="X114" s="169">
        <v>1</v>
      </c>
      <c r="Y114" s="78">
        <f>I15</f>
        <v>0.25</v>
      </c>
    </row>
    <row r="115" spans="3:26" hidden="1" outlineLevel="1" x14ac:dyDescent="0.3">
      <c r="C115" s="112" t="s">
        <v>321</v>
      </c>
      <c r="D115" s="169">
        <f>F113</f>
        <v>0.25</v>
      </c>
      <c r="E115" s="169">
        <f>F114</f>
        <v>0.25</v>
      </c>
      <c r="F115" s="169">
        <v>1</v>
      </c>
      <c r="I115" s="112" t="s">
        <v>1083</v>
      </c>
      <c r="J115" s="169">
        <f>L113</f>
        <v>0</v>
      </c>
      <c r="K115" s="78">
        <f>L114</f>
        <v>0.25</v>
      </c>
      <c r="L115" s="169">
        <v>1</v>
      </c>
      <c r="P115" s="112" t="s">
        <v>322</v>
      </c>
      <c r="Q115" s="169">
        <f>S113</f>
        <v>0.25</v>
      </c>
      <c r="R115" s="169">
        <f>S114</f>
        <v>0.25</v>
      </c>
      <c r="S115" s="169">
        <v>1</v>
      </c>
      <c r="V115" s="112" t="s">
        <v>1083</v>
      </c>
      <c r="W115" s="169">
        <f>Y113</f>
        <v>0</v>
      </c>
      <c r="X115" s="78">
        <f>Y114</f>
        <v>0.25</v>
      </c>
      <c r="Y115" s="169">
        <v>1</v>
      </c>
    </row>
    <row r="116" spans="3:26" hidden="1" outlineLevel="1" x14ac:dyDescent="0.3"/>
    <row r="117" spans="3:26" hidden="1" outlineLevel="1" x14ac:dyDescent="0.3">
      <c r="D117" s="774" t="s">
        <v>912</v>
      </c>
      <c r="E117" s="774"/>
      <c r="F117" s="774"/>
      <c r="G117" s="774"/>
      <c r="J117" s="774" t="s">
        <v>2172</v>
      </c>
      <c r="K117" s="774"/>
      <c r="L117" s="774"/>
      <c r="M117" s="774"/>
    </row>
    <row r="118" spans="3:26" hidden="1" outlineLevel="1" x14ac:dyDescent="0.3">
      <c r="C118" s="112" t="s">
        <v>296</v>
      </c>
      <c r="D118" s="190" cm="1">
        <f t="array" ref="D118">SQRT(MMULT(MMULT(TRANSPOSE(D108:D110),$D$113:$F$115),D108:D110))</f>
        <v>0</v>
      </c>
      <c r="E118" s="190" cm="1">
        <f t="array" ref="E118">SQRT(MMULT(MMULT(TRANSPOSE(E108:E110),$D$113:$F$115),E108:E110))</f>
        <v>0</v>
      </c>
      <c r="F118" s="190" cm="1">
        <f t="array" ref="F118">SQRT(MMULT(MMULT(TRANSPOSE(F108:F110),$D$113:$F$115),F108:F110))</f>
        <v>0</v>
      </c>
      <c r="G118" s="190" cm="1">
        <f t="array" ref="G118">SQRT(MMULT(MMULT(TRANSPOSE(G108:G110),$D$113:$F$115),G108:G110))</f>
        <v>0</v>
      </c>
      <c r="I118" s="112" t="s">
        <v>296</v>
      </c>
      <c r="J118" s="190" cm="1">
        <f t="array" ref="J118">SQRT(MMULT(MMULT(TRANSPOSE(J108:J110),$J$113:$L$115),J108:J110))</f>
        <v>0</v>
      </c>
      <c r="K118" s="190" cm="1">
        <f t="array" ref="K118">SQRT(MMULT(MMULT(TRANSPOSE(K108:K110),$J$113:$L$115),K108:K110))</f>
        <v>0</v>
      </c>
      <c r="L118" s="190" cm="1">
        <f t="array" ref="L118">SQRT(MMULT(MMULT(TRANSPOSE(L108:L110),$J$113:$L$115),L108:L110))</f>
        <v>0</v>
      </c>
      <c r="M118" s="190" cm="1">
        <f t="array" ref="M118">SQRT(MMULT(MMULT(TRANSPOSE(M108:M110),$J$113:$L$115),M108:M110))</f>
        <v>0</v>
      </c>
    </row>
    <row r="119" spans="3:26" hidden="1" outlineLevel="1" x14ac:dyDescent="0.3">
      <c r="Q119" s="774" t="s">
        <v>2176</v>
      </c>
      <c r="R119" s="774"/>
      <c r="S119" s="774"/>
      <c r="T119" s="774"/>
      <c r="W119" s="774" t="s">
        <v>2175</v>
      </c>
      <c r="X119" s="774"/>
      <c r="Y119" s="774"/>
      <c r="Z119" s="774"/>
    </row>
    <row r="120" spans="3:26" hidden="1" outlineLevel="1" x14ac:dyDescent="0.3">
      <c r="D120" s="110">
        <v>0.99990000000000001</v>
      </c>
      <c r="E120" s="110">
        <v>0.99950000000000006</v>
      </c>
      <c r="F120" s="110">
        <v>0.998</v>
      </c>
      <c r="G120" s="110">
        <v>0.995</v>
      </c>
      <c r="P120" s="112" t="s">
        <v>296</v>
      </c>
      <c r="Q120" s="190" cm="1">
        <f t="array" ref="Q120">SQRT(MMULT(MMULT(TRANSPOSE(Q108:Q110),$Q$113:$S$115),Q108:Q110))</f>
        <v>0</v>
      </c>
      <c r="R120" s="190" cm="1">
        <f t="array" ref="R120">SQRT(MMULT(MMULT(TRANSPOSE(R108:R110),$Q$113:$S$115),R108:R110))</f>
        <v>0</v>
      </c>
      <c r="S120" s="190" cm="1">
        <f t="array" ref="S120">SQRT(MMULT(MMULT(TRANSPOSE(S108:S110),$Q$113:$S$115),S108:S110))</f>
        <v>0</v>
      </c>
      <c r="T120" s="190" cm="1">
        <f t="array" ref="T120">SQRT(MMULT(MMULT(TRANSPOSE(T108:T110),$Q$113:$S$115),T108:T110))</f>
        <v>0</v>
      </c>
      <c r="V120" s="112" t="s">
        <v>296</v>
      </c>
      <c r="W120" s="190" cm="1">
        <f t="array" ref="W120">SQRT(MMULT(MMULT(TRANSPOSE(W108:W110),$W$113:$Y$115),W108:W110))</f>
        <v>0</v>
      </c>
      <c r="X120" s="190" cm="1">
        <f t="array" ref="X120">SQRT(MMULT(MMULT(TRANSPOSE(X108:X110),$W$113:$Y$115),X108:X110))</f>
        <v>0</v>
      </c>
      <c r="Y120" s="190" cm="1">
        <f t="array" ref="Y120">SQRT(MMULT(MMULT(TRANSPOSE(Y108:Y110),$W$113:$Y$115),Y108:Y110))</f>
        <v>0</v>
      </c>
      <c r="Z120" s="190" cm="1">
        <f t="array" ref="Z120">SQRT(MMULT(MMULT(TRANSPOSE(Z108:Z110),$W$113:$Y$115),Z108:Z110))</f>
        <v>0</v>
      </c>
    </row>
    <row r="121" spans="3:26" hidden="1" outlineLevel="1" x14ac:dyDescent="0.3">
      <c r="C121" s="52" t="s">
        <v>260</v>
      </c>
      <c r="D121" s="190">
        <f t="shared" ref="D121:G123" si="9">D80</f>
        <v>0</v>
      </c>
      <c r="E121" s="190">
        <f t="shared" si="9"/>
        <v>0</v>
      </c>
      <c r="F121" s="190">
        <f t="shared" si="9"/>
        <v>0</v>
      </c>
      <c r="G121" s="190">
        <f t="shared" si="9"/>
        <v>0</v>
      </c>
    </row>
    <row r="122" spans="3:26" hidden="1" outlineLevel="1" x14ac:dyDescent="0.3">
      <c r="C122" s="52" t="s">
        <v>258</v>
      </c>
      <c r="D122" s="190">
        <f t="shared" si="9"/>
        <v>0</v>
      </c>
      <c r="E122" s="190">
        <f t="shared" si="9"/>
        <v>0</v>
      </c>
      <c r="F122" s="190">
        <f t="shared" si="9"/>
        <v>0</v>
      </c>
      <c r="G122" s="190">
        <f t="shared" si="9"/>
        <v>0</v>
      </c>
    </row>
    <row r="123" spans="3:26" hidden="1" outlineLevel="1" x14ac:dyDescent="0.3">
      <c r="C123" s="52" t="s">
        <v>259</v>
      </c>
      <c r="D123" s="190">
        <f t="shared" si="9"/>
        <v>0</v>
      </c>
      <c r="E123" s="190">
        <f t="shared" si="9"/>
        <v>0</v>
      </c>
      <c r="F123" s="190">
        <f t="shared" si="9"/>
        <v>0</v>
      </c>
      <c r="G123" s="190">
        <f t="shared" si="9"/>
        <v>0</v>
      </c>
      <c r="Q123" s="58">
        <v>0.99990000000000001</v>
      </c>
      <c r="R123" s="58">
        <v>0.99950000000000006</v>
      </c>
      <c r="S123" s="58">
        <v>0.998</v>
      </c>
      <c r="T123" s="58">
        <v>0.995</v>
      </c>
    </row>
    <row r="124" spans="3:26" hidden="1" outlineLevel="1" x14ac:dyDescent="0.3">
      <c r="C124" s="52" t="s">
        <v>9</v>
      </c>
      <c r="D124" s="190">
        <v>0</v>
      </c>
      <c r="E124" s="190">
        <v>0</v>
      </c>
      <c r="F124" s="190">
        <v>0</v>
      </c>
      <c r="G124" s="190">
        <v>0</v>
      </c>
      <c r="P124" s="112" t="s">
        <v>235</v>
      </c>
      <c r="Q124" s="190">
        <f t="shared" ref="Q124:T125" si="10">Q108</f>
        <v>0</v>
      </c>
      <c r="R124" s="190">
        <f t="shared" si="10"/>
        <v>0</v>
      </c>
      <c r="S124" s="190">
        <f t="shared" si="10"/>
        <v>0</v>
      </c>
      <c r="T124" s="190">
        <f t="shared" si="10"/>
        <v>0</v>
      </c>
    </row>
    <row r="125" spans="3:26" hidden="1" outlineLevel="1" x14ac:dyDescent="0.3">
      <c r="C125" s="52" t="s">
        <v>261</v>
      </c>
      <c r="D125" s="190">
        <f t="shared" ref="D125:G127" si="11">D84</f>
        <v>0</v>
      </c>
      <c r="E125" s="190">
        <f t="shared" si="11"/>
        <v>0</v>
      </c>
      <c r="F125" s="190">
        <f t="shared" si="11"/>
        <v>0</v>
      </c>
      <c r="G125" s="190">
        <f t="shared" si="11"/>
        <v>0</v>
      </c>
      <c r="P125" s="112" t="s">
        <v>319</v>
      </c>
      <c r="Q125" s="190">
        <f t="shared" si="10"/>
        <v>0</v>
      </c>
      <c r="R125" s="190">
        <f t="shared" si="10"/>
        <v>0</v>
      </c>
      <c r="S125" s="190">
        <f t="shared" si="10"/>
        <v>0</v>
      </c>
      <c r="T125" s="190">
        <f t="shared" si="10"/>
        <v>0</v>
      </c>
    </row>
    <row r="126" spans="3:26" hidden="1" outlineLevel="1" x14ac:dyDescent="0.3">
      <c r="C126" s="52" t="s">
        <v>411</v>
      </c>
      <c r="D126" s="190">
        <f t="shared" si="11"/>
        <v>0</v>
      </c>
      <c r="E126" s="190">
        <f t="shared" si="11"/>
        <v>0</v>
      </c>
      <c r="F126" s="190">
        <f t="shared" si="11"/>
        <v>0</v>
      </c>
      <c r="G126" s="190">
        <f t="shared" si="11"/>
        <v>0</v>
      </c>
      <c r="P126" s="112" t="s">
        <v>922</v>
      </c>
      <c r="Q126" s="190">
        <f>Q110-'Life Risk'!D11</f>
        <v>0</v>
      </c>
      <c r="R126" s="190">
        <f>R110-'Life Risk'!E11</f>
        <v>0</v>
      </c>
      <c r="S126" s="190">
        <f>S110-'Life Risk'!F11</f>
        <v>0</v>
      </c>
      <c r="T126" s="190">
        <f>T110-'Life Risk'!G11</f>
        <v>0</v>
      </c>
    </row>
    <row r="127" spans="3:26" hidden="1" outlineLevel="1" x14ac:dyDescent="0.3">
      <c r="C127" s="52" t="s">
        <v>262</v>
      </c>
      <c r="D127" s="190">
        <f t="shared" si="11"/>
        <v>0</v>
      </c>
      <c r="E127" s="190">
        <f t="shared" si="11"/>
        <v>0</v>
      </c>
      <c r="F127" s="190">
        <f t="shared" si="11"/>
        <v>0</v>
      </c>
      <c r="G127" s="190">
        <f t="shared" si="11"/>
        <v>0</v>
      </c>
      <c r="P127" s="52" t="s">
        <v>1108</v>
      </c>
      <c r="Q127" s="190">
        <f>'Life Risk'!D11</f>
        <v>0</v>
      </c>
      <c r="R127" s="190">
        <f>'Life Risk'!E11</f>
        <v>0</v>
      </c>
      <c r="S127" s="190">
        <f>'Life Risk'!F11</f>
        <v>0</v>
      </c>
      <c r="T127" s="190">
        <f>'Life Risk'!G11</f>
        <v>0</v>
      </c>
    </row>
    <row r="128" spans="3:26" hidden="1" outlineLevel="1" x14ac:dyDescent="0.3"/>
    <row r="129" spans="3:20" ht="65" hidden="1" outlineLevel="1" x14ac:dyDescent="0.3">
      <c r="D129" s="110">
        <v>0.99990000000000001</v>
      </c>
      <c r="E129" s="110">
        <v>0.99950000000000006</v>
      </c>
      <c r="F129" s="110">
        <v>0.998</v>
      </c>
      <c r="G129" s="110">
        <v>0.995</v>
      </c>
      <c r="N129" s="108"/>
      <c r="Q129" s="167" t="s">
        <v>235</v>
      </c>
      <c r="R129" s="167" t="s">
        <v>2727</v>
      </c>
      <c r="S129" s="167" t="s">
        <v>922</v>
      </c>
    </row>
    <row r="130" spans="3:20" hidden="1" outlineLevel="1" x14ac:dyDescent="0.3">
      <c r="C130" s="52" t="s">
        <v>4131</v>
      </c>
      <c r="D130" s="190">
        <f>SUM(D121:D127)</f>
        <v>0</v>
      </c>
      <c r="E130" s="190">
        <f t="shared" ref="E130:G130" si="12">SUM(E121:E127)</f>
        <v>0</v>
      </c>
      <c r="F130" s="190">
        <f t="shared" si="12"/>
        <v>0</v>
      </c>
      <c r="G130" s="190">
        <f t="shared" si="12"/>
        <v>0</v>
      </c>
      <c r="P130" s="112" t="s">
        <v>235</v>
      </c>
      <c r="Q130" s="173">
        <v>1</v>
      </c>
      <c r="R130" s="173">
        <f>E12</f>
        <v>0.75</v>
      </c>
      <c r="S130" s="173">
        <f>H12</f>
        <v>0.25</v>
      </c>
    </row>
    <row r="131" spans="3:20" hidden="1" outlineLevel="1" x14ac:dyDescent="0.3">
      <c r="C131" s="52" t="s">
        <v>324</v>
      </c>
      <c r="D131" s="190">
        <f>D130-D132</f>
        <v>0</v>
      </c>
      <c r="E131" s="190">
        <f>E130-E132</f>
        <v>0</v>
      </c>
      <c r="F131" s="190">
        <f>F130-F132</f>
        <v>0</v>
      </c>
      <c r="G131" s="190">
        <f>G130-G132</f>
        <v>0</v>
      </c>
      <c r="P131" s="112" t="s">
        <v>319</v>
      </c>
      <c r="Q131" s="173">
        <f>R130</f>
        <v>0.75</v>
      </c>
      <c r="R131" s="173">
        <v>1</v>
      </c>
      <c r="S131" s="173">
        <f>H13</f>
        <v>0.25</v>
      </c>
    </row>
    <row r="132" spans="3:20" hidden="1" outlineLevel="1" x14ac:dyDescent="0.3">
      <c r="C132" s="52" t="s">
        <v>4132</v>
      </c>
      <c r="D132" s="190" cm="1">
        <f t="array" ref="D132">SQRT(MMULT(MMULT(TRANSPOSE(D121:D127),$D$70:$J$76),D121:D127))</f>
        <v>0</v>
      </c>
      <c r="E132" s="190" cm="1">
        <f t="array" ref="E132">SQRT(MMULT(MMULT(TRANSPOSE(E121:E127),$D$70:$J$76),E121:E127))</f>
        <v>0</v>
      </c>
      <c r="F132" s="190" cm="1">
        <f t="array" ref="F132">SQRT(MMULT(MMULT(TRANSPOSE(F121:F127),$D$70:$J$76),F121:F127))</f>
        <v>0</v>
      </c>
      <c r="G132" s="190" cm="1">
        <f t="array" ref="G132">SQRT(MMULT(MMULT(TRANSPOSE(G121:G127),$D$70:$J$76),G121:G127))</f>
        <v>0</v>
      </c>
      <c r="P132" s="112" t="s">
        <v>922</v>
      </c>
      <c r="Q132" s="173">
        <f>S130</f>
        <v>0.25</v>
      </c>
      <c r="R132" s="173">
        <f>S131</f>
        <v>0.25</v>
      </c>
      <c r="S132" s="173">
        <v>1</v>
      </c>
    </row>
    <row r="133" spans="3:20" hidden="1" outlineLevel="1" x14ac:dyDescent="0.3"/>
    <row r="134" spans="3:20" hidden="1" outlineLevel="1" x14ac:dyDescent="0.3"/>
    <row r="135" spans="3:20" ht="39" hidden="1" outlineLevel="1" x14ac:dyDescent="0.3">
      <c r="D135" s="167" t="s">
        <v>235</v>
      </c>
      <c r="E135" s="167" t="s">
        <v>2727</v>
      </c>
      <c r="F135" s="167" t="s">
        <v>911</v>
      </c>
    </row>
    <row r="136" spans="3:20" hidden="1" outlineLevel="1" x14ac:dyDescent="0.3">
      <c r="C136" s="112" t="s">
        <v>235</v>
      </c>
      <c r="D136" s="172">
        <v>1</v>
      </c>
      <c r="E136" s="172">
        <f>E12</f>
        <v>0.75</v>
      </c>
      <c r="F136" s="172">
        <f>G12</f>
        <v>0.25</v>
      </c>
      <c r="Q136" s="777" t="s">
        <v>924</v>
      </c>
      <c r="R136" s="777"/>
      <c r="S136" s="777"/>
      <c r="T136" s="777"/>
    </row>
    <row r="137" spans="3:20" hidden="1" outlineLevel="1" x14ac:dyDescent="0.3">
      <c r="C137" s="112" t="s">
        <v>319</v>
      </c>
      <c r="D137" s="169">
        <f>E136</f>
        <v>0.75</v>
      </c>
      <c r="E137" s="169">
        <v>1</v>
      </c>
      <c r="F137" s="169">
        <f>G13</f>
        <v>0.25</v>
      </c>
      <c r="I137" s="52"/>
      <c r="P137" s="112" t="s">
        <v>923</v>
      </c>
      <c r="Q137" s="482" cm="1">
        <f t="array" ref="Q137">SQRT(MMULT(MMULT(TRANSPOSE(Q124:Q126),$Q$130:$S$132),Q124:Q126))+Q127</f>
        <v>0</v>
      </c>
      <c r="R137" s="482" cm="1">
        <f t="array" ref="R137">SQRT(MMULT(MMULT(TRANSPOSE(R124:R126),$Q$130:$S$132),R124:R126))+R127</f>
        <v>0</v>
      </c>
      <c r="S137" s="482" cm="1">
        <f t="array" ref="S137">SQRT(MMULT(MMULT(TRANSPOSE(S124:S126),$Q$130:$S$132),S124:S126))+S127</f>
        <v>0</v>
      </c>
      <c r="T137" s="482" cm="1">
        <f t="array" ref="T137">SQRT(MMULT(MMULT(TRANSPOSE(T124:T126),$Q$130:$S$132),T124:T126))+T127</f>
        <v>0</v>
      </c>
    </row>
    <row r="138" spans="3:20" hidden="1" outlineLevel="1" x14ac:dyDescent="0.3">
      <c r="C138" s="112" t="s">
        <v>911</v>
      </c>
      <c r="D138" s="169">
        <f>F136</f>
        <v>0.25</v>
      </c>
      <c r="E138" s="169">
        <f>F137</f>
        <v>0.25</v>
      </c>
      <c r="F138" s="169">
        <v>1</v>
      </c>
    </row>
    <row r="139" spans="3:20" hidden="1" outlineLevel="1" x14ac:dyDescent="0.3">
      <c r="Q139" s="774" t="s">
        <v>2174</v>
      </c>
      <c r="R139" s="774"/>
      <c r="S139" s="774"/>
      <c r="T139" s="774"/>
    </row>
    <row r="140" spans="3:20" hidden="1" outlineLevel="1" x14ac:dyDescent="0.3">
      <c r="I140" s="49"/>
      <c r="P140" s="52" t="s">
        <v>2171</v>
      </c>
      <c r="Q140" s="244">
        <f>IFERROR((D30^2-Q120^2-W120^2)/(2*Q120*W120),0)</f>
        <v>0</v>
      </c>
      <c r="R140" s="244">
        <f>IFERROR((E30^2-R120^2-X120^2)/(2*R120*X120),0)</f>
        <v>0</v>
      </c>
      <c r="S140" s="244">
        <f>IFERROR((F30^2-S120^2-Y120^2)/(2*S120*Y120),0)</f>
        <v>0</v>
      </c>
      <c r="T140" s="244">
        <f>IFERROR((G30^2-T120^2-Z120^2)/(2*T120*Z120),0)</f>
        <v>0</v>
      </c>
    </row>
    <row r="141" spans="3:20" hidden="1" outlineLevel="1" x14ac:dyDescent="0.3">
      <c r="D141" s="110">
        <v>0.99990000000000001</v>
      </c>
      <c r="E141" s="110">
        <v>0.99950000000000006</v>
      </c>
      <c r="F141" s="110">
        <v>0.998</v>
      </c>
      <c r="G141" s="110">
        <v>0.995</v>
      </c>
      <c r="I141" s="49"/>
      <c r="P141" s="112" t="s">
        <v>2173</v>
      </c>
      <c r="Q141" s="190">
        <f>SQRT(Q137^2+W120^2+2*Q137*W120*Q140)</f>
        <v>0</v>
      </c>
      <c r="R141" s="190">
        <f>SQRT(R137^2+X120^2+2*R137*X120*R140)</f>
        <v>0</v>
      </c>
      <c r="S141" s="190">
        <f>SQRT(S137^2+Y120^2+2*S137*Y120*S140)</f>
        <v>0</v>
      </c>
      <c r="T141" s="190">
        <f>SQRT(T137^2+Z120^2+2*T137*Z120*T140)</f>
        <v>0</v>
      </c>
    </row>
    <row r="142" spans="3:20" hidden="1" outlineLevel="1" x14ac:dyDescent="0.3">
      <c r="C142" s="112" t="s">
        <v>235</v>
      </c>
      <c r="D142" s="190">
        <f t="shared" ref="D142:G143" si="13">D108</f>
        <v>0</v>
      </c>
      <c r="E142" s="190">
        <f t="shared" si="13"/>
        <v>0</v>
      </c>
      <c r="F142" s="190">
        <f t="shared" si="13"/>
        <v>0</v>
      </c>
      <c r="G142" s="190">
        <f t="shared" si="13"/>
        <v>0</v>
      </c>
      <c r="I142" s="49"/>
      <c r="P142" s="112" t="s">
        <v>276</v>
      </c>
      <c r="Q142" s="190">
        <f>D30-Q141</f>
        <v>0</v>
      </c>
      <c r="R142" s="190">
        <f>E30-R141</f>
        <v>0</v>
      </c>
      <c r="S142" s="190">
        <f>F30-S141</f>
        <v>0</v>
      </c>
      <c r="T142" s="190">
        <f>G30-T141</f>
        <v>0</v>
      </c>
    </row>
    <row r="143" spans="3:20" hidden="1" outlineLevel="1" x14ac:dyDescent="0.3">
      <c r="C143" s="112" t="s">
        <v>319</v>
      </c>
      <c r="D143" s="190">
        <f t="shared" si="13"/>
        <v>0</v>
      </c>
      <c r="E143" s="190">
        <f t="shared" si="13"/>
        <v>0</v>
      </c>
      <c r="F143" s="190">
        <f t="shared" si="13"/>
        <v>0</v>
      </c>
      <c r="G143" s="190">
        <f t="shared" si="13"/>
        <v>0</v>
      </c>
    </row>
    <row r="144" spans="3:20" hidden="1" outlineLevel="1" x14ac:dyDescent="0.3">
      <c r="C144" s="112" t="s">
        <v>911</v>
      </c>
      <c r="D144" s="190">
        <f>D132+'Non-Life Risk'!E6+D100</f>
        <v>0</v>
      </c>
      <c r="E144" s="190">
        <f>E132+'Non-Life Risk'!F6+E100</f>
        <v>0</v>
      </c>
      <c r="F144" s="190">
        <f>F132+'Non-Life Risk'!G6+F100</f>
        <v>0</v>
      </c>
      <c r="G144" s="190">
        <f>G132+'Non-Life Risk'!H6+G100</f>
        <v>0</v>
      </c>
    </row>
    <row r="145" spans="2:26" hidden="1" outlineLevel="1" x14ac:dyDescent="0.3">
      <c r="C145" s="52" t="s">
        <v>9</v>
      </c>
      <c r="D145" s="190">
        <f>D91-D132</f>
        <v>0</v>
      </c>
      <c r="E145" s="190">
        <f>E91-E132</f>
        <v>0</v>
      </c>
      <c r="F145" s="190">
        <f>F91-F132</f>
        <v>0</v>
      </c>
      <c r="G145" s="190">
        <f>G91-G132</f>
        <v>0</v>
      </c>
      <c r="I145" s="49"/>
    </row>
    <row r="146" spans="2:26" hidden="1" outlineLevel="1" x14ac:dyDescent="0.3">
      <c r="I146" s="49"/>
    </row>
    <row r="147" spans="2:26" hidden="1" outlineLevel="1" x14ac:dyDescent="0.3">
      <c r="D147" s="801" t="s">
        <v>912</v>
      </c>
      <c r="E147" s="801"/>
      <c r="F147" s="801"/>
      <c r="G147" s="801"/>
      <c r="I147" s="49"/>
    </row>
    <row r="148" spans="2:26" hidden="1" outlineLevel="1" x14ac:dyDescent="0.3">
      <c r="C148" s="112" t="s">
        <v>913</v>
      </c>
      <c r="D148" s="190" cm="1">
        <f t="array" ref="D148">SQRT(MMULT(MMULT(TRANSPOSE(D142:D144), $D$136:$F$138),D142:D144))+D145</f>
        <v>0</v>
      </c>
      <c r="E148" s="190" cm="1">
        <f t="array" ref="E148">SQRT(MMULT(MMULT(TRANSPOSE(E142:E144), $D$136:$F$138),E142:E144))+E145</f>
        <v>0</v>
      </c>
      <c r="F148" s="190" cm="1">
        <f t="array" ref="F148">SQRT(MMULT(MMULT(TRANSPOSE(F142:F144), $D$136:$F$138),F142:F144))+F145</f>
        <v>0</v>
      </c>
      <c r="G148" s="190" cm="1">
        <f t="array" ref="G148">SQRT(MMULT(MMULT(TRANSPOSE(G142:G144), $D$136:$F$138),G142:G144))+G145</f>
        <v>0</v>
      </c>
      <c r="H148" s="106"/>
      <c r="I148" s="49"/>
    </row>
    <row r="149" spans="2:26" hidden="1" outlineLevel="1" x14ac:dyDescent="0.3">
      <c r="H149" s="106"/>
    </row>
    <row r="150" spans="2:26" hidden="1" outlineLevel="1" x14ac:dyDescent="0.3">
      <c r="D150" s="774" t="s">
        <v>2174</v>
      </c>
      <c r="E150" s="774"/>
      <c r="F150" s="774"/>
      <c r="G150" s="774"/>
      <c r="H150" s="106"/>
    </row>
    <row r="151" spans="2:26" hidden="1" outlineLevel="1" x14ac:dyDescent="0.3">
      <c r="C151" s="52" t="s">
        <v>2171</v>
      </c>
      <c r="D151" s="244">
        <f>IFERROR((D30^2-D118^2-J118^2)/(2*D118*J118),0)</f>
        <v>0</v>
      </c>
      <c r="E151" s="244">
        <f>IFERROR((E30^2-E118^2-K118^2)/(2*E118*K118),0)</f>
        <v>0</v>
      </c>
      <c r="F151" s="244">
        <f>IFERROR((F30^2-F118^2-L118^2)/(2*F118*L118),0)</f>
        <v>0</v>
      </c>
      <c r="G151" s="244">
        <f>IFERROR((G30^2-G118^2-M118^2)/(2*G118*M118),0)</f>
        <v>0</v>
      </c>
    </row>
    <row r="152" spans="2:26" hidden="1" outlineLevel="1" x14ac:dyDescent="0.3">
      <c r="C152" s="112" t="s">
        <v>2173</v>
      </c>
      <c r="D152" s="190">
        <f>SQRT(D148^2+J118^2+2*D148*J118*D151)</f>
        <v>0</v>
      </c>
      <c r="E152" s="190">
        <f>SQRT(E148^2+K118^2+2*E148*K118*E151)</f>
        <v>0</v>
      </c>
      <c r="F152" s="190">
        <f>SQRT(F148^2+L118^2+2*F148*L118*F151)</f>
        <v>0</v>
      </c>
      <c r="G152" s="190">
        <f>SQRT(G148^2+M118^2+2*G148*M118*G151)</f>
        <v>0</v>
      </c>
    </row>
    <row r="153" spans="2:26" hidden="1" outlineLevel="1" x14ac:dyDescent="0.3">
      <c r="C153" s="112" t="s">
        <v>276</v>
      </c>
      <c r="D153" s="190">
        <f>D30-D152</f>
        <v>0</v>
      </c>
      <c r="E153" s="190">
        <f>E30-E152</f>
        <v>0</v>
      </c>
      <c r="F153" s="190">
        <f>F30-F152</f>
        <v>0</v>
      </c>
      <c r="G153" s="190">
        <f>G30-G152</f>
        <v>0</v>
      </c>
    </row>
    <row r="154" spans="2:26" hidden="1" outlineLevel="1" x14ac:dyDescent="0.3"/>
    <row r="155" spans="2:26" collapsed="1" x14ac:dyDescent="0.3">
      <c r="B155" s="265"/>
      <c r="C155" s="265"/>
      <c r="D155" s="265"/>
      <c r="E155" s="265"/>
      <c r="F155" s="265"/>
      <c r="G155" s="265"/>
      <c r="H155" s="265"/>
      <c r="I155" s="265"/>
      <c r="J155" s="265"/>
      <c r="K155" s="265"/>
      <c r="L155" s="265"/>
      <c r="M155" s="265"/>
      <c r="N155" s="265"/>
      <c r="O155" s="265"/>
      <c r="P155" s="265"/>
      <c r="Q155" s="265"/>
      <c r="R155" s="265"/>
      <c r="S155" s="265"/>
      <c r="T155" s="265"/>
      <c r="U155" s="265"/>
      <c r="V155" s="265"/>
      <c r="W155" s="265"/>
      <c r="X155" s="265"/>
      <c r="Y155" s="265"/>
      <c r="Z155" s="265"/>
    </row>
    <row r="180" spans="15:15" x14ac:dyDescent="0.3">
      <c r="O180" s="191"/>
    </row>
  </sheetData>
  <sheetProtection algorithmName="SHA-512" hashValue="YtcNXUj365owGkypu+Zk9aB1xlv33ikfQRDlqRAOVwgXl7iXo2y2BCqhWZ/Y6+dfNLGLlhmHVNR4TKMU1eYOtw==" saltValue="BdP+Kz+5kxk2nMUYpS+eHw==" spinCount="100000" sheet="1" objects="1" scenarios="1" formatColumns="0" formatRows="0"/>
  <mergeCells count="21">
    <mergeCell ref="D150:G150"/>
    <mergeCell ref="D147:G147"/>
    <mergeCell ref="D117:G117"/>
    <mergeCell ref="Q99:T99"/>
    <mergeCell ref="Q95:T95"/>
    <mergeCell ref="Q136:T136"/>
    <mergeCell ref="Q139:T139"/>
    <mergeCell ref="J117:M117"/>
    <mergeCell ref="D52:G52"/>
    <mergeCell ref="Q91:T91"/>
    <mergeCell ref="Q87:T87"/>
    <mergeCell ref="Q79:T79"/>
    <mergeCell ref="Q75:T75"/>
    <mergeCell ref="Q83:T83"/>
    <mergeCell ref="D78:G78"/>
    <mergeCell ref="J78:M78"/>
    <mergeCell ref="W119:Z119"/>
    <mergeCell ref="Q119:T119"/>
    <mergeCell ref="Q63:T63"/>
    <mergeCell ref="Q55:T55"/>
    <mergeCell ref="Q60:T60"/>
  </mergeCells>
  <conditionalFormatting sqref="N77:AJ101 A77:A101 B78:M101 A1:AJ76 A102:AJ170">
    <cfRule type="expression" dxfId="22" priority="10">
      <formula>_xlfn.ISFORMULA(A1)</formula>
    </cfRule>
  </conditionalFormatting>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968-34B3-4D25-94BC-8C18CB16670E}">
  <sheetPr codeName="Sheet6">
    <tabColor theme="0" tint="-4.9989318521683403E-2"/>
  </sheetPr>
  <dimension ref="A1:AR245"/>
  <sheetViews>
    <sheetView showGridLines="0" zoomScaleNormal="100" workbookViewId="0"/>
  </sheetViews>
  <sheetFormatPr defaultColWidth="8.90625" defaultRowHeight="13" outlineLevelRow="1" x14ac:dyDescent="0.3"/>
  <cols>
    <col min="1" max="1" width="5.453125" style="35" customWidth="1"/>
    <col min="2" max="2" width="6.36328125" style="35" customWidth="1"/>
    <col min="3" max="3" width="23.90625" style="35" customWidth="1"/>
    <col min="4" max="6" width="13.36328125" style="35" bestFit="1" customWidth="1"/>
    <col min="7" max="7" width="10.90625" style="35" customWidth="1"/>
    <col min="8" max="8" width="10.6328125" style="35" customWidth="1"/>
    <col min="9" max="9" width="18.08984375" style="35" customWidth="1"/>
    <col min="10" max="11" width="10.6328125" style="35" customWidth="1"/>
    <col min="12" max="12" width="10.54296875" style="35" customWidth="1"/>
    <col min="13" max="13" width="16" style="35" customWidth="1"/>
    <col min="14" max="14" width="15.08984375" style="35" customWidth="1"/>
    <col min="15" max="15" width="11.36328125" style="35" customWidth="1"/>
    <col min="16" max="17" width="9.54296875" style="35" bestFit="1" customWidth="1"/>
    <col min="18" max="18" width="8.90625" style="35"/>
    <col min="19" max="19" width="12.453125" style="35" customWidth="1"/>
    <col min="20" max="20" width="13.453125" style="35" customWidth="1"/>
    <col min="21" max="21" width="13.08984375" style="35" customWidth="1"/>
    <col min="22" max="22" width="12.90625" style="35" customWidth="1"/>
    <col min="23" max="23" width="10.36328125" style="35" customWidth="1"/>
    <col min="24" max="24" width="8.90625" style="35"/>
    <col min="25" max="25" width="11.6328125" style="35" bestFit="1" customWidth="1"/>
    <col min="26" max="26" width="10.36328125" style="35" customWidth="1"/>
    <col min="27" max="29" width="8.90625" style="35"/>
    <col min="30" max="30" width="9.36328125" style="35" bestFit="1" customWidth="1"/>
    <col min="31" max="32" width="8.90625" style="35"/>
    <col min="33" max="33" width="9.36328125" style="35" bestFit="1" customWidth="1"/>
    <col min="34" max="35" width="8.90625" style="35"/>
    <col min="36" max="36" width="11.6328125" style="35" bestFit="1" customWidth="1"/>
    <col min="37" max="43" width="8.90625" style="35"/>
    <col min="44" max="44" width="9.36328125" style="35" bestFit="1" customWidth="1"/>
    <col min="45" max="16384" width="8.90625" style="35"/>
  </cols>
  <sheetData>
    <row r="1" spans="1:44" ht="39.65" customHeight="1" x14ac:dyDescent="0.3">
      <c r="A1" s="45"/>
    </row>
    <row r="2" spans="1:44" x14ac:dyDescent="0.3">
      <c r="C2" s="106"/>
      <c r="D2" s="58">
        <v>0.99990000000000001</v>
      </c>
      <c r="E2" s="58">
        <v>0.99950000000000006</v>
      </c>
      <c r="F2" s="58">
        <v>0.998</v>
      </c>
      <c r="G2" s="58">
        <v>0.995</v>
      </c>
      <c r="Z2" s="67"/>
    </row>
    <row r="3" spans="1:44" x14ac:dyDescent="0.3">
      <c r="C3" s="16" t="s">
        <v>878</v>
      </c>
      <c r="D3" s="78">
        <v>1.65</v>
      </c>
      <c r="E3" s="78">
        <v>1.4</v>
      </c>
      <c r="F3" s="78">
        <v>1.2</v>
      </c>
      <c r="G3" s="78">
        <v>1</v>
      </c>
    </row>
    <row r="4" spans="1:44" x14ac:dyDescent="0.3">
      <c r="B4" s="50" t="s">
        <v>1058</v>
      </c>
      <c r="L4" s="168"/>
      <c r="M4" s="106"/>
      <c r="N4" s="106"/>
      <c r="O4" s="168"/>
    </row>
    <row r="5" spans="1:44" hidden="1" outlineLevel="1" x14ac:dyDescent="0.3"/>
    <row r="6" spans="1:44" hidden="1" outlineLevel="1" x14ac:dyDescent="0.3">
      <c r="B6" s="11"/>
      <c r="C6" s="777" t="s">
        <v>1048</v>
      </c>
      <c r="D6" s="777"/>
      <c r="E6" s="777"/>
      <c r="F6" s="777"/>
      <c r="G6" s="777"/>
      <c r="H6" s="777"/>
      <c r="I6" s="777"/>
      <c r="J6" s="777"/>
      <c r="K6" s="777"/>
      <c r="M6" s="11"/>
      <c r="N6" s="777" t="s">
        <v>1050</v>
      </c>
      <c r="O6" s="777"/>
      <c r="P6" s="777"/>
      <c r="Q6" s="777"/>
      <c r="R6" s="777"/>
      <c r="S6" s="777"/>
      <c r="T6" s="777"/>
      <c r="U6" s="777"/>
      <c r="V6" s="777"/>
      <c r="X6" s="11"/>
      <c r="Y6" s="777" t="s">
        <v>1051</v>
      </c>
      <c r="Z6" s="777"/>
      <c r="AA6" s="777"/>
      <c r="AB6" s="777"/>
      <c r="AC6" s="777"/>
      <c r="AD6" s="777"/>
      <c r="AE6" s="777"/>
      <c r="AF6" s="777"/>
      <c r="AG6" s="777"/>
      <c r="AH6" s="11"/>
      <c r="AJ6" s="777" t="s">
        <v>1052</v>
      </c>
      <c r="AK6" s="777"/>
      <c r="AL6" s="777"/>
      <c r="AM6" s="777"/>
      <c r="AN6" s="777"/>
      <c r="AO6" s="777"/>
      <c r="AP6" s="777"/>
      <c r="AQ6" s="777"/>
      <c r="AR6" s="777"/>
    </row>
    <row r="7" spans="1:44" ht="14" hidden="1" customHeight="1" outlineLevel="1" x14ac:dyDescent="0.3">
      <c r="B7" s="807" t="s">
        <v>1084</v>
      </c>
      <c r="C7" s="52" t="s">
        <v>1056</v>
      </c>
      <c r="D7" s="58" t="s">
        <v>0</v>
      </c>
      <c r="E7" s="57" t="s">
        <v>1</v>
      </c>
      <c r="F7" s="57" t="s">
        <v>2</v>
      </c>
      <c r="G7" s="57" t="s">
        <v>3</v>
      </c>
      <c r="H7" s="57" t="s">
        <v>4</v>
      </c>
      <c r="I7" s="57" t="s">
        <v>5</v>
      </c>
      <c r="J7" s="57" t="s">
        <v>1457</v>
      </c>
      <c r="K7" s="57" t="s">
        <v>1123</v>
      </c>
      <c r="M7" s="807" t="s">
        <v>1084</v>
      </c>
      <c r="N7" s="52" t="str">
        <f>C7</f>
        <v>Tenor (years)</v>
      </c>
      <c r="O7" s="58" t="str">
        <f>D7</f>
        <v>AAA</v>
      </c>
      <c r="P7" s="58" t="str">
        <f t="shared" ref="P7:V7" si="0">E7</f>
        <v>AA</v>
      </c>
      <c r="Q7" s="58" t="str">
        <f t="shared" si="0"/>
        <v>A</v>
      </c>
      <c r="R7" s="58" t="str">
        <f t="shared" si="0"/>
        <v>BBB</v>
      </c>
      <c r="S7" s="58" t="str">
        <f t="shared" si="0"/>
        <v>BB</v>
      </c>
      <c r="T7" s="58" t="str">
        <f t="shared" si="0"/>
        <v>B</v>
      </c>
      <c r="U7" s="58" t="str">
        <f t="shared" si="0"/>
        <v>CCC-C</v>
      </c>
      <c r="V7" s="58" t="str">
        <f t="shared" si="0"/>
        <v>D</v>
      </c>
      <c r="X7" s="807" t="s">
        <v>1084</v>
      </c>
      <c r="Y7" s="52" t="str">
        <f>C7</f>
        <v>Tenor (years)</v>
      </c>
      <c r="Z7" s="58" t="str">
        <f>D7</f>
        <v>AAA</v>
      </c>
      <c r="AA7" s="58" t="str">
        <f t="shared" ref="AA7:AG7" si="1">E7</f>
        <v>AA</v>
      </c>
      <c r="AB7" s="58" t="str">
        <f t="shared" si="1"/>
        <v>A</v>
      </c>
      <c r="AC7" s="58" t="str">
        <f t="shared" si="1"/>
        <v>BBB</v>
      </c>
      <c r="AD7" s="58" t="str">
        <f t="shared" si="1"/>
        <v>BB</v>
      </c>
      <c r="AE7" s="58" t="str">
        <f t="shared" si="1"/>
        <v>B</v>
      </c>
      <c r="AF7" s="58" t="str">
        <f t="shared" si="1"/>
        <v>CCC-C</v>
      </c>
      <c r="AG7" s="58" t="str">
        <f t="shared" si="1"/>
        <v>D</v>
      </c>
      <c r="AI7" s="807" t="s">
        <v>1084</v>
      </c>
      <c r="AJ7" s="52" t="str">
        <f>C7</f>
        <v>Tenor (years)</v>
      </c>
      <c r="AK7" s="58" t="str">
        <f>D7</f>
        <v>AAA</v>
      </c>
      <c r="AL7" s="58" t="str">
        <f t="shared" ref="AL7:AR7" si="2">E7</f>
        <v>AA</v>
      </c>
      <c r="AM7" s="58" t="str">
        <f t="shared" si="2"/>
        <v>A</v>
      </c>
      <c r="AN7" s="58" t="str">
        <f t="shared" si="2"/>
        <v>BBB</v>
      </c>
      <c r="AO7" s="58" t="str">
        <f t="shared" si="2"/>
        <v>BB</v>
      </c>
      <c r="AP7" s="58" t="str">
        <f t="shared" si="2"/>
        <v>B</v>
      </c>
      <c r="AQ7" s="58" t="str">
        <f t="shared" si="2"/>
        <v>CCC-C</v>
      </c>
      <c r="AR7" s="58" t="str">
        <f t="shared" si="2"/>
        <v>D</v>
      </c>
    </row>
    <row r="8" spans="1:44" hidden="1" outlineLevel="1" x14ac:dyDescent="0.3">
      <c r="B8" s="807"/>
      <c r="C8" s="52" t="s">
        <v>934</v>
      </c>
      <c r="D8" s="54">
        <v>6.9999999999999999E-4</v>
      </c>
      <c r="E8" s="54">
        <v>2E-3</v>
      </c>
      <c r="F8" s="54">
        <v>3.5000000000000001E-3</v>
      </c>
      <c r="G8" s="54">
        <v>4.7999999999999996E-3</v>
      </c>
      <c r="H8" s="54">
        <v>1.26E-2</v>
      </c>
      <c r="I8" s="54">
        <v>3.5000000000000003E-2</v>
      </c>
      <c r="J8" s="54">
        <v>0.2777</v>
      </c>
      <c r="K8" s="54">
        <v>0.44</v>
      </c>
      <c r="M8" s="807"/>
      <c r="N8" s="52" t="str">
        <f t="shared" ref="N8:N12" si="3">C8</f>
        <v>Upto 1</v>
      </c>
      <c r="O8" s="54">
        <v>5.9999999999999995E-4</v>
      </c>
      <c r="P8" s="54">
        <v>1.5E-3</v>
      </c>
      <c r="Q8" s="54">
        <v>2.7000000000000001E-3</v>
      </c>
      <c r="R8" s="54">
        <v>3.8E-3</v>
      </c>
      <c r="S8" s="54">
        <v>0.01</v>
      </c>
      <c r="T8" s="54">
        <v>2.76E-2</v>
      </c>
      <c r="U8" s="54">
        <v>0.21920000000000001</v>
      </c>
      <c r="V8" s="54">
        <v>0.41</v>
      </c>
      <c r="X8" s="807"/>
      <c r="Y8" s="52" t="str">
        <f t="shared" ref="Y8:Y12" si="4">C8</f>
        <v>Upto 1</v>
      </c>
      <c r="Z8" s="54">
        <v>5.0000000000000001E-4</v>
      </c>
      <c r="AA8" s="54">
        <v>1.1999999999999999E-3</v>
      </c>
      <c r="AB8" s="54">
        <v>2.2000000000000001E-3</v>
      </c>
      <c r="AC8" s="54">
        <v>3.0999999999999999E-3</v>
      </c>
      <c r="AD8" s="54">
        <v>8.0000000000000002E-3</v>
      </c>
      <c r="AE8" s="54">
        <v>2.2100000000000002E-2</v>
      </c>
      <c r="AF8" s="54">
        <v>0.1754</v>
      </c>
      <c r="AG8" s="54">
        <v>0.38</v>
      </c>
      <c r="AI8" s="807"/>
      <c r="AJ8" s="52" t="str">
        <f t="shared" ref="AJ8:AJ12" si="5">C8</f>
        <v>Upto 1</v>
      </c>
      <c r="AK8" s="54">
        <v>4.0000000000000002E-4</v>
      </c>
      <c r="AL8" s="54">
        <v>1E-3</v>
      </c>
      <c r="AM8" s="54">
        <v>1.8E-3</v>
      </c>
      <c r="AN8" s="54">
        <v>2.5000000000000001E-3</v>
      </c>
      <c r="AO8" s="54">
        <v>6.6E-3</v>
      </c>
      <c r="AP8" s="54">
        <v>1.84E-2</v>
      </c>
      <c r="AQ8" s="54">
        <v>0.14610000000000001</v>
      </c>
      <c r="AR8" s="54">
        <v>0.35</v>
      </c>
    </row>
    <row r="9" spans="1:44" hidden="1" outlineLevel="1" x14ac:dyDescent="0.3">
      <c r="B9" s="807"/>
      <c r="C9" s="52" t="s">
        <v>935</v>
      </c>
      <c r="D9" s="54">
        <v>1.8E-3</v>
      </c>
      <c r="E9" s="54">
        <v>4.5999999999999999E-3</v>
      </c>
      <c r="F9" s="54">
        <v>8.3000000000000001E-3</v>
      </c>
      <c r="G9" s="54">
        <v>1.7000000000000001E-2</v>
      </c>
      <c r="H9" s="54">
        <v>4.7100000000000003E-2</v>
      </c>
      <c r="I9" s="54">
        <v>9.2499999999999999E-2</v>
      </c>
      <c r="J9" s="54">
        <v>0.44</v>
      </c>
      <c r="K9" s="54">
        <v>0.44</v>
      </c>
      <c r="M9" s="807"/>
      <c r="N9" s="52" t="str">
        <f t="shared" si="3"/>
        <v>1.01 to 5</v>
      </c>
      <c r="O9" s="54">
        <v>1.5E-3</v>
      </c>
      <c r="P9" s="54">
        <v>3.5999999999999999E-3</v>
      </c>
      <c r="Q9" s="54">
        <v>6.6E-3</v>
      </c>
      <c r="R9" s="54">
        <v>1.35E-2</v>
      </c>
      <c r="S9" s="54">
        <v>3.7199999999999997E-2</v>
      </c>
      <c r="T9" s="54">
        <v>7.2999999999999995E-2</v>
      </c>
      <c r="U9" s="54">
        <v>0.36030000000000001</v>
      </c>
      <c r="V9" s="54">
        <v>0.41</v>
      </c>
      <c r="X9" s="807"/>
      <c r="Y9" s="52" t="str">
        <f t="shared" si="4"/>
        <v>1.01 to 5</v>
      </c>
      <c r="Z9" s="54">
        <v>1.1999999999999999E-3</v>
      </c>
      <c r="AA9" s="54">
        <v>2.8999999999999998E-3</v>
      </c>
      <c r="AB9" s="54">
        <v>5.3E-3</v>
      </c>
      <c r="AC9" s="54">
        <v>1.0800000000000001E-2</v>
      </c>
      <c r="AD9" s="54">
        <v>2.9700000000000001E-2</v>
      </c>
      <c r="AE9" s="54">
        <v>5.8400000000000001E-2</v>
      </c>
      <c r="AF9" s="54">
        <v>0.28820000000000001</v>
      </c>
      <c r="AG9" s="54">
        <v>0.38</v>
      </c>
      <c r="AI9" s="807"/>
      <c r="AJ9" s="52" t="str">
        <f t="shared" si="5"/>
        <v>1.01 to 5</v>
      </c>
      <c r="AK9" s="54">
        <v>1E-3</v>
      </c>
      <c r="AL9" s="54">
        <v>2.3999999999999998E-3</v>
      </c>
      <c r="AM9" s="54">
        <v>4.4000000000000003E-3</v>
      </c>
      <c r="AN9" s="54">
        <v>8.9999999999999993E-3</v>
      </c>
      <c r="AO9" s="54">
        <v>2.4799999999999999E-2</v>
      </c>
      <c r="AP9" s="54">
        <v>4.87E-2</v>
      </c>
      <c r="AQ9" s="54">
        <v>0.2402</v>
      </c>
      <c r="AR9" s="54">
        <v>0.35</v>
      </c>
    </row>
    <row r="10" spans="1:44" hidden="1" outlineLevel="1" x14ac:dyDescent="0.3">
      <c r="B10" s="807"/>
      <c r="C10" s="52" t="s">
        <v>936</v>
      </c>
      <c r="D10" s="54">
        <v>3.7000000000000002E-3</v>
      </c>
      <c r="E10" s="54">
        <v>9.7000000000000003E-3</v>
      </c>
      <c r="F10" s="54">
        <v>1.32E-2</v>
      </c>
      <c r="G10" s="54">
        <v>2.7E-2</v>
      </c>
      <c r="H10" s="54">
        <v>6.4299999999999996E-2</v>
      </c>
      <c r="I10" s="54">
        <v>9.9500000000000005E-2</v>
      </c>
      <c r="J10" s="54">
        <v>0.44</v>
      </c>
      <c r="K10" s="54">
        <v>0.44</v>
      </c>
      <c r="M10" s="807"/>
      <c r="N10" s="52" t="str">
        <f t="shared" si="3"/>
        <v>5.01 to 10</v>
      </c>
      <c r="O10" s="54">
        <v>2.8999999999999998E-3</v>
      </c>
      <c r="P10" s="54">
        <v>7.6E-3</v>
      </c>
      <c r="Q10" s="54">
        <v>1.04E-2</v>
      </c>
      <c r="R10" s="54">
        <v>2.1299999999999999E-2</v>
      </c>
      <c r="S10" s="54">
        <v>5.0799999999999998E-2</v>
      </c>
      <c r="T10" s="54">
        <v>7.8600000000000003E-2</v>
      </c>
      <c r="U10" s="54">
        <v>0.36940000000000001</v>
      </c>
      <c r="V10" s="54">
        <v>0.41</v>
      </c>
      <c r="X10" s="807"/>
      <c r="Y10" s="52" t="str">
        <f t="shared" si="4"/>
        <v>5.01 to 10</v>
      </c>
      <c r="Z10" s="54">
        <v>2.3E-3</v>
      </c>
      <c r="AA10" s="54">
        <v>6.1000000000000004E-3</v>
      </c>
      <c r="AB10" s="54">
        <v>8.3000000000000001E-3</v>
      </c>
      <c r="AC10" s="54">
        <v>1.7100000000000001E-2</v>
      </c>
      <c r="AD10" s="54">
        <v>4.0599999999999997E-2</v>
      </c>
      <c r="AE10" s="54">
        <v>6.2799999999999995E-2</v>
      </c>
      <c r="AF10" s="54">
        <v>0.29549999999999998</v>
      </c>
      <c r="AG10" s="54">
        <v>0.38</v>
      </c>
      <c r="AI10" s="807"/>
      <c r="AJ10" s="52" t="str">
        <f t="shared" si="5"/>
        <v>5.01 to 10</v>
      </c>
      <c r="AK10" s="54">
        <v>1.9E-3</v>
      </c>
      <c r="AL10" s="54">
        <v>5.1000000000000004E-3</v>
      </c>
      <c r="AM10" s="54">
        <v>7.0000000000000001E-3</v>
      </c>
      <c r="AN10" s="54">
        <v>1.4200000000000001E-2</v>
      </c>
      <c r="AO10" s="54">
        <v>3.39E-2</v>
      </c>
      <c r="AP10" s="54">
        <v>5.2400000000000002E-2</v>
      </c>
      <c r="AQ10" s="54">
        <v>0.24629999999999999</v>
      </c>
      <c r="AR10" s="54">
        <v>0.35</v>
      </c>
    </row>
    <row r="11" spans="1:44" hidden="1" outlineLevel="1" x14ac:dyDescent="0.3">
      <c r="B11" s="807"/>
      <c r="C11" s="52" t="s">
        <v>937</v>
      </c>
      <c r="D11" s="54">
        <v>5.3E-3</v>
      </c>
      <c r="E11" s="54">
        <v>1.1900000000000001E-2</v>
      </c>
      <c r="F11" s="54">
        <v>1.7600000000000001E-2</v>
      </c>
      <c r="G11" s="54">
        <v>3.1600000000000003E-2</v>
      </c>
      <c r="H11" s="54">
        <v>6.6900000000000001E-2</v>
      </c>
      <c r="I11" s="54">
        <v>9.9500000000000005E-2</v>
      </c>
      <c r="J11" s="54">
        <v>0.44</v>
      </c>
      <c r="K11" s="54">
        <v>0.44</v>
      </c>
      <c r="M11" s="807"/>
      <c r="N11" s="52" t="str">
        <f t="shared" si="3"/>
        <v>10.01 to 20</v>
      </c>
      <c r="O11" s="54">
        <v>4.1999999999999997E-3</v>
      </c>
      <c r="P11" s="54">
        <v>9.4000000000000004E-3</v>
      </c>
      <c r="Q11" s="54">
        <v>1.3899999999999999E-2</v>
      </c>
      <c r="R11" s="54">
        <v>2.4899999999999999E-2</v>
      </c>
      <c r="S11" s="54">
        <v>5.28E-2</v>
      </c>
      <c r="T11" s="54">
        <v>7.8600000000000003E-2</v>
      </c>
      <c r="U11" s="54">
        <v>0.37419999999999998</v>
      </c>
      <c r="V11" s="54">
        <v>0.41</v>
      </c>
      <c r="X11" s="807"/>
      <c r="Y11" s="52" t="str">
        <f t="shared" si="4"/>
        <v>10.01 to 20</v>
      </c>
      <c r="Z11" s="54">
        <v>3.3E-3</v>
      </c>
      <c r="AA11" s="54">
        <v>7.4999999999999997E-3</v>
      </c>
      <c r="AB11" s="54">
        <v>1.11E-2</v>
      </c>
      <c r="AC11" s="54">
        <v>1.9900000000000001E-2</v>
      </c>
      <c r="AD11" s="54">
        <v>4.2299999999999997E-2</v>
      </c>
      <c r="AE11" s="54">
        <v>6.2799999999999995E-2</v>
      </c>
      <c r="AF11" s="54">
        <v>0.2994</v>
      </c>
      <c r="AG11" s="54">
        <v>0.38</v>
      </c>
      <c r="AI11" s="807"/>
      <c r="AJ11" s="52" t="str">
        <f t="shared" si="5"/>
        <v>10.01 to 20</v>
      </c>
      <c r="AK11" s="54">
        <v>2.8E-3</v>
      </c>
      <c r="AL11" s="54">
        <v>6.1999999999999998E-3</v>
      </c>
      <c r="AM11" s="54">
        <v>9.2999999999999992E-3</v>
      </c>
      <c r="AN11" s="54">
        <v>1.66E-2</v>
      </c>
      <c r="AO11" s="54">
        <v>3.5200000000000002E-2</v>
      </c>
      <c r="AP11" s="54">
        <v>5.2400000000000002E-2</v>
      </c>
      <c r="AQ11" s="54">
        <v>0.2495</v>
      </c>
      <c r="AR11" s="54">
        <v>0.35</v>
      </c>
    </row>
    <row r="12" spans="1:44" hidden="1" outlineLevel="1" x14ac:dyDescent="0.3">
      <c r="B12" s="807"/>
      <c r="C12" s="52" t="s">
        <v>938</v>
      </c>
      <c r="D12" s="54">
        <v>8.5000000000000006E-3</v>
      </c>
      <c r="E12" s="54">
        <v>1.37E-2</v>
      </c>
      <c r="F12" s="54">
        <v>1.9199999999999998E-2</v>
      </c>
      <c r="G12" s="54">
        <v>3.1600000000000003E-2</v>
      </c>
      <c r="H12" s="54">
        <v>6.6900000000000001E-2</v>
      </c>
      <c r="I12" s="54">
        <v>9.9500000000000005E-2</v>
      </c>
      <c r="J12" s="54">
        <v>0.44</v>
      </c>
      <c r="K12" s="54">
        <v>0.44</v>
      </c>
      <c r="M12" s="807"/>
      <c r="N12" s="52" t="str">
        <f t="shared" si="3"/>
        <v>More than 20</v>
      </c>
      <c r="O12" s="54">
        <v>6.7000000000000002E-3</v>
      </c>
      <c r="P12" s="54">
        <v>1.09E-2</v>
      </c>
      <c r="Q12" s="54">
        <v>1.52E-2</v>
      </c>
      <c r="R12" s="54">
        <v>2.4899999999999999E-2</v>
      </c>
      <c r="S12" s="54">
        <v>5.28E-2</v>
      </c>
      <c r="T12" s="54">
        <v>7.8600000000000003E-2</v>
      </c>
      <c r="U12" s="54">
        <v>0.37419999999999998</v>
      </c>
      <c r="V12" s="54">
        <v>0.41</v>
      </c>
      <c r="X12" s="807"/>
      <c r="Y12" s="52" t="str">
        <f t="shared" si="4"/>
        <v>More than 20</v>
      </c>
      <c r="Z12" s="54">
        <v>5.4000000000000003E-3</v>
      </c>
      <c r="AA12" s="54">
        <v>8.6999999999999994E-3</v>
      </c>
      <c r="AB12" s="54">
        <v>1.21E-2</v>
      </c>
      <c r="AC12" s="54">
        <v>1.9900000000000001E-2</v>
      </c>
      <c r="AD12" s="54">
        <v>4.2299999999999997E-2</v>
      </c>
      <c r="AE12" s="54">
        <v>6.2799999999999995E-2</v>
      </c>
      <c r="AF12" s="54">
        <v>0.2994</v>
      </c>
      <c r="AG12" s="54">
        <v>0.38</v>
      </c>
      <c r="AI12" s="807"/>
      <c r="AJ12" s="52" t="str">
        <f t="shared" si="5"/>
        <v>More than 20</v>
      </c>
      <c r="AK12" s="54">
        <v>4.4999999999999997E-3</v>
      </c>
      <c r="AL12" s="54">
        <v>7.1999999999999998E-3</v>
      </c>
      <c r="AM12" s="54">
        <v>1.01E-2</v>
      </c>
      <c r="AN12" s="54">
        <v>1.66E-2</v>
      </c>
      <c r="AO12" s="54">
        <v>3.5200000000000002E-2</v>
      </c>
      <c r="AP12" s="54">
        <v>5.2400000000000002E-2</v>
      </c>
      <c r="AQ12" s="54">
        <v>0.2495</v>
      </c>
      <c r="AR12" s="54">
        <v>0.35</v>
      </c>
    </row>
    <row r="13" spans="1:44" hidden="1" outlineLevel="1" x14ac:dyDescent="0.3">
      <c r="B13" s="250"/>
      <c r="C13" s="52"/>
      <c r="D13" s="106"/>
      <c r="M13" s="250"/>
      <c r="N13" s="52"/>
      <c r="O13" s="106"/>
      <c r="X13" s="250"/>
      <c r="Y13" s="52"/>
      <c r="Z13" s="106"/>
      <c r="AI13" s="250"/>
      <c r="AJ13" s="52"/>
      <c r="AK13" s="106"/>
    </row>
    <row r="14" spans="1:44" hidden="1" outlineLevel="1" x14ac:dyDescent="0.3">
      <c r="B14" s="11"/>
      <c r="C14" s="52"/>
      <c r="M14" s="11"/>
      <c r="N14" s="52"/>
      <c r="X14" s="11"/>
      <c r="Y14" s="52"/>
      <c r="AI14" s="11"/>
      <c r="AJ14" s="52"/>
    </row>
    <row r="15" spans="1:44" ht="14" hidden="1" customHeight="1" outlineLevel="1" x14ac:dyDescent="0.3">
      <c r="B15" s="807" t="s">
        <v>1085</v>
      </c>
      <c r="C15" s="52" t="str">
        <f>$C7</f>
        <v>Tenor (years)</v>
      </c>
      <c r="D15" s="58" t="str">
        <f>D$7</f>
        <v>AAA</v>
      </c>
      <c r="E15" s="58" t="str">
        <f t="shared" ref="E15:K15" si="6">E$7</f>
        <v>AA</v>
      </c>
      <c r="F15" s="58" t="str">
        <f t="shared" si="6"/>
        <v>A</v>
      </c>
      <c r="G15" s="58" t="str">
        <f t="shared" si="6"/>
        <v>BBB</v>
      </c>
      <c r="H15" s="58" t="str">
        <f t="shared" si="6"/>
        <v>BB</v>
      </c>
      <c r="I15" s="58" t="str">
        <f t="shared" si="6"/>
        <v>B</v>
      </c>
      <c r="J15" s="58" t="str">
        <f t="shared" si="6"/>
        <v>CCC-C</v>
      </c>
      <c r="K15" s="58" t="str">
        <f t="shared" si="6"/>
        <v>D</v>
      </c>
      <c r="M15" s="807" t="s">
        <v>1085</v>
      </c>
      <c r="N15" s="52" t="str">
        <f>$C7</f>
        <v>Tenor (years)</v>
      </c>
      <c r="O15" s="58" t="str">
        <f>O$7</f>
        <v>AAA</v>
      </c>
      <c r="P15" s="58" t="str">
        <f t="shared" ref="P15:V15" si="7">P$7</f>
        <v>AA</v>
      </c>
      <c r="Q15" s="58" t="str">
        <f t="shared" si="7"/>
        <v>A</v>
      </c>
      <c r="R15" s="58" t="str">
        <f t="shared" si="7"/>
        <v>BBB</v>
      </c>
      <c r="S15" s="58" t="str">
        <f t="shared" si="7"/>
        <v>BB</v>
      </c>
      <c r="T15" s="58" t="str">
        <f t="shared" si="7"/>
        <v>B</v>
      </c>
      <c r="U15" s="58" t="str">
        <f t="shared" si="7"/>
        <v>CCC-C</v>
      </c>
      <c r="V15" s="58" t="str">
        <f t="shared" si="7"/>
        <v>D</v>
      </c>
      <c r="X15" s="807" t="s">
        <v>1085</v>
      </c>
      <c r="Y15" s="52" t="str">
        <f t="shared" ref="Y15:Y20" si="8">$C7</f>
        <v>Tenor (years)</v>
      </c>
      <c r="Z15" s="58" t="str">
        <f>Z$7</f>
        <v>AAA</v>
      </c>
      <c r="AA15" s="58" t="str">
        <f t="shared" ref="AA15:AG15" si="9">AA$7</f>
        <v>AA</v>
      </c>
      <c r="AB15" s="58" t="str">
        <f t="shared" si="9"/>
        <v>A</v>
      </c>
      <c r="AC15" s="58" t="str">
        <f t="shared" si="9"/>
        <v>BBB</v>
      </c>
      <c r="AD15" s="58" t="str">
        <f t="shared" si="9"/>
        <v>BB</v>
      </c>
      <c r="AE15" s="58" t="str">
        <f t="shared" si="9"/>
        <v>B</v>
      </c>
      <c r="AF15" s="58" t="str">
        <f t="shared" si="9"/>
        <v>CCC-C</v>
      </c>
      <c r="AG15" s="58" t="str">
        <f t="shared" si="9"/>
        <v>D</v>
      </c>
      <c r="AI15" s="807" t="s">
        <v>1085</v>
      </c>
      <c r="AJ15" s="52" t="str">
        <f t="shared" ref="AJ15:AJ20" si="10">$C7</f>
        <v>Tenor (years)</v>
      </c>
      <c r="AK15" s="58" t="str">
        <f>AK$7</f>
        <v>AAA</v>
      </c>
      <c r="AL15" s="58" t="str">
        <f t="shared" ref="AL15:AR15" si="11">AL$7</f>
        <v>AA</v>
      </c>
      <c r="AM15" s="58" t="str">
        <f t="shared" si="11"/>
        <v>A</v>
      </c>
      <c r="AN15" s="58" t="str">
        <f t="shared" si="11"/>
        <v>BBB</v>
      </c>
      <c r="AO15" s="58" t="str">
        <f t="shared" si="11"/>
        <v>BB</v>
      </c>
      <c r="AP15" s="58" t="str">
        <f t="shared" si="11"/>
        <v>B</v>
      </c>
      <c r="AQ15" s="58" t="str">
        <f t="shared" si="11"/>
        <v>CCC-C</v>
      </c>
      <c r="AR15" s="58" t="str">
        <f t="shared" si="11"/>
        <v>D</v>
      </c>
    </row>
    <row r="16" spans="1:44" hidden="1" outlineLevel="1" x14ac:dyDescent="0.3">
      <c r="B16" s="807"/>
      <c r="C16" s="52" t="str">
        <f t="shared" ref="C16:C20" si="12">$C8</f>
        <v>Upto 1</v>
      </c>
      <c r="D16" s="54">
        <v>1.4E-3</v>
      </c>
      <c r="E16" s="54">
        <v>3.5999999999999999E-3</v>
      </c>
      <c r="F16" s="54">
        <v>6.4000000000000003E-3</v>
      </c>
      <c r="G16" s="54">
        <v>8.9999999999999993E-3</v>
      </c>
      <c r="H16" s="54">
        <v>2.3400000000000001E-2</v>
      </c>
      <c r="I16" s="54">
        <v>6.4899999999999999E-2</v>
      </c>
      <c r="J16" s="54">
        <v>0.51570000000000005</v>
      </c>
      <c r="K16" s="54">
        <v>0.72</v>
      </c>
      <c r="M16" s="807"/>
      <c r="N16" s="52" t="str">
        <f t="shared" ref="N16:N20" si="13">$C8</f>
        <v>Upto 1</v>
      </c>
      <c r="O16" s="54">
        <v>1.1000000000000001E-3</v>
      </c>
      <c r="P16" s="54">
        <v>2.8999999999999998E-3</v>
      </c>
      <c r="Q16" s="54">
        <v>5.1000000000000004E-3</v>
      </c>
      <c r="R16" s="54">
        <v>7.1000000000000004E-3</v>
      </c>
      <c r="S16" s="54">
        <v>1.8499999999999999E-2</v>
      </c>
      <c r="T16" s="54">
        <v>5.1200000000000002E-2</v>
      </c>
      <c r="U16" s="54">
        <v>0.40710000000000002</v>
      </c>
      <c r="V16" s="54">
        <v>0.7</v>
      </c>
      <c r="X16" s="807"/>
      <c r="Y16" s="52" t="str">
        <f t="shared" si="8"/>
        <v>Upto 1</v>
      </c>
      <c r="Z16" s="54">
        <v>8.9999999999999998E-4</v>
      </c>
      <c r="AA16" s="54">
        <v>2.3E-3</v>
      </c>
      <c r="AB16" s="54">
        <v>4.1000000000000003E-3</v>
      </c>
      <c r="AC16" s="54">
        <v>5.7000000000000002E-3</v>
      </c>
      <c r="AD16" s="54">
        <v>1.4800000000000001E-2</v>
      </c>
      <c r="AE16" s="54">
        <v>4.1000000000000002E-2</v>
      </c>
      <c r="AF16" s="54">
        <v>0.32569999999999999</v>
      </c>
      <c r="AG16" s="54">
        <v>0.67</v>
      </c>
      <c r="AI16" s="807"/>
      <c r="AJ16" s="52" t="str">
        <f t="shared" si="10"/>
        <v>Upto 1</v>
      </c>
      <c r="AK16" s="54">
        <v>6.9999999999999999E-4</v>
      </c>
      <c r="AL16" s="54">
        <v>1.9E-3</v>
      </c>
      <c r="AM16" s="54">
        <v>3.3999999999999998E-3</v>
      </c>
      <c r="AN16" s="54">
        <v>4.7000000000000002E-3</v>
      </c>
      <c r="AO16" s="54">
        <v>1.23E-2</v>
      </c>
      <c r="AP16" s="54">
        <v>3.4200000000000001E-2</v>
      </c>
      <c r="AQ16" s="54">
        <v>0.27139999999999997</v>
      </c>
      <c r="AR16" s="54">
        <v>0.65</v>
      </c>
    </row>
    <row r="17" spans="2:44" hidden="1" outlineLevel="1" x14ac:dyDescent="0.3">
      <c r="B17" s="807"/>
      <c r="C17" s="52" t="str">
        <f t="shared" si="12"/>
        <v>1.01 to 5</v>
      </c>
      <c r="D17" s="54">
        <v>3.3999999999999998E-3</v>
      </c>
      <c r="E17" s="54">
        <v>8.5000000000000006E-3</v>
      </c>
      <c r="F17" s="54">
        <v>1.55E-2</v>
      </c>
      <c r="G17" s="54">
        <v>3.1600000000000003E-2</v>
      </c>
      <c r="H17" s="54">
        <v>8.7400000000000005E-2</v>
      </c>
      <c r="I17" s="54">
        <v>0.17180000000000001</v>
      </c>
      <c r="J17" s="54">
        <v>0.72</v>
      </c>
      <c r="K17" s="54">
        <v>0.72</v>
      </c>
      <c r="M17" s="807"/>
      <c r="N17" s="52" t="str">
        <f t="shared" si="13"/>
        <v>1.01 to 5</v>
      </c>
      <c r="O17" s="54">
        <v>2.7000000000000001E-3</v>
      </c>
      <c r="P17" s="54">
        <v>6.7000000000000002E-3</v>
      </c>
      <c r="Q17" s="54">
        <v>1.2200000000000001E-2</v>
      </c>
      <c r="R17" s="54">
        <v>2.5000000000000001E-2</v>
      </c>
      <c r="S17" s="54">
        <v>6.9000000000000006E-2</v>
      </c>
      <c r="T17" s="54">
        <v>0.1356</v>
      </c>
      <c r="U17" s="54">
        <v>0.66910000000000003</v>
      </c>
      <c r="V17" s="54">
        <v>0.7</v>
      </c>
      <c r="X17" s="807"/>
      <c r="Y17" s="52" t="str">
        <f t="shared" si="8"/>
        <v>1.01 to 5</v>
      </c>
      <c r="Z17" s="54">
        <v>2.2000000000000001E-3</v>
      </c>
      <c r="AA17" s="54">
        <v>5.4000000000000003E-3</v>
      </c>
      <c r="AB17" s="54">
        <v>9.7999999999999997E-3</v>
      </c>
      <c r="AC17" s="54">
        <v>0.02</v>
      </c>
      <c r="AD17" s="54">
        <v>5.5199999999999999E-2</v>
      </c>
      <c r="AE17" s="54">
        <v>0.1085</v>
      </c>
      <c r="AF17" s="54">
        <v>0.5353</v>
      </c>
      <c r="AG17" s="54">
        <v>0.67</v>
      </c>
      <c r="AI17" s="807"/>
      <c r="AJ17" s="52" t="str">
        <f t="shared" si="10"/>
        <v>1.01 to 5</v>
      </c>
      <c r="AK17" s="54">
        <v>1.8E-3</v>
      </c>
      <c r="AL17" s="54">
        <v>4.4999999999999997E-3</v>
      </c>
      <c r="AM17" s="54">
        <v>8.0999999999999996E-3</v>
      </c>
      <c r="AN17" s="54">
        <v>1.67E-2</v>
      </c>
      <c r="AO17" s="54">
        <v>4.5999999999999999E-2</v>
      </c>
      <c r="AP17" s="54">
        <v>9.0399999999999994E-2</v>
      </c>
      <c r="AQ17" s="54">
        <v>0.4461</v>
      </c>
      <c r="AR17" s="54">
        <v>0.65</v>
      </c>
    </row>
    <row r="18" spans="2:44" hidden="1" outlineLevel="1" x14ac:dyDescent="0.3">
      <c r="B18" s="807"/>
      <c r="C18" s="52" t="str">
        <f t="shared" si="12"/>
        <v>5.01 to 10</v>
      </c>
      <c r="D18" s="54">
        <v>6.7999999999999996E-3</v>
      </c>
      <c r="E18" s="54">
        <v>1.7899999999999999E-2</v>
      </c>
      <c r="F18" s="54">
        <v>2.4500000000000001E-2</v>
      </c>
      <c r="G18" s="54">
        <v>5.0200000000000002E-2</v>
      </c>
      <c r="H18" s="54">
        <v>0.1195</v>
      </c>
      <c r="I18" s="54">
        <v>0.18479999999999999</v>
      </c>
      <c r="J18" s="54">
        <v>0.72</v>
      </c>
      <c r="K18" s="54">
        <v>0.72</v>
      </c>
      <c r="M18" s="807"/>
      <c r="N18" s="52" t="str">
        <f t="shared" si="13"/>
        <v>5.01 to 10</v>
      </c>
      <c r="O18" s="54">
        <v>5.4000000000000003E-3</v>
      </c>
      <c r="P18" s="54">
        <v>1.4200000000000001E-2</v>
      </c>
      <c r="Q18" s="54">
        <v>1.9400000000000001E-2</v>
      </c>
      <c r="R18" s="54">
        <v>3.9600000000000003E-2</v>
      </c>
      <c r="S18" s="54">
        <v>9.4299999999999995E-2</v>
      </c>
      <c r="T18" s="54">
        <v>0.1459</v>
      </c>
      <c r="U18" s="54">
        <v>0.68610000000000004</v>
      </c>
      <c r="V18" s="54">
        <v>0.7</v>
      </c>
      <c r="X18" s="807"/>
      <c r="Y18" s="52" t="str">
        <f t="shared" si="8"/>
        <v>5.01 to 10</v>
      </c>
      <c r="Z18" s="54">
        <v>4.3E-3</v>
      </c>
      <c r="AA18" s="54">
        <v>1.1299999999999999E-2</v>
      </c>
      <c r="AB18" s="54">
        <v>1.55E-2</v>
      </c>
      <c r="AC18" s="54">
        <v>3.1699999999999999E-2</v>
      </c>
      <c r="AD18" s="54">
        <v>7.5499999999999998E-2</v>
      </c>
      <c r="AE18" s="54">
        <v>0.1167</v>
      </c>
      <c r="AF18" s="54">
        <v>0.54890000000000005</v>
      </c>
      <c r="AG18" s="54">
        <v>0.67</v>
      </c>
      <c r="AI18" s="807"/>
      <c r="AJ18" s="52" t="str">
        <f t="shared" si="10"/>
        <v>5.01 to 10</v>
      </c>
      <c r="AK18" s="54">
        <v>3.5999999999999999E-3</v>
      </c>
      <c r="AL18" s="54">
        <v>9.4000000000000004E-3</v>
      </c>
      <c r="AM18" s="54">
        <v>1.29E-2</v>
      </c>
      <c r="AN18" s="54">
        <v>2.64E-2</v>
      </c>
      <c r="AO18" s="54">
        <v>6.2899999999999998E-2</v>
      </c>
      <c r="AP18" s="54">
        <v>9.7299999999999998E-2</v>
      </c>
      <c r="AQ18" s="54">
        <v>0.45739999999999997</v>
      </c>
      <c r="AR18" s="54">
        <v>0.65</v>
      </c>
    </row>
    <row r="19" spans="2:44" hidden="1" outlineLevel="1" x14ac:dyDescent="0.3">
      <c r="B19" s="807"/>
      <c r="C19" s="52" t="str">
        <f t="shared" si="12"/>
        <v>10.01 to 20</v>
      </c>
      <c r="D19" s="54">
        <v>9.7999999999999997E-3</v>
      </c>
      <c r="E19" s="54">
        <v>2.1999999999999999E-2</v>
      </c>
      <c r="F19" s="54">
        <v>3.27E-2</v>
      </c>
      <c r="G19" s="54">
        <v>5.8599999999999999E-2</v>
      </c>
      <c r="H19" s="54">
        <v>0.12429999999999999</v>
      </c>
      <c r="I19" s="54">
        <v>0.18479999999999999</v>
      </c>
      <c r="J19" s="54">
        <v>0.72</v>
      </c>
      <c r="K19" s="54">
        <v>0.72</v>
      </c>
      <c r="M19" s="807"/>
      <c r="N19" s="52" t="str">
        <f t="shared" si="13"/>
        <v>10.01 to 20</v>
      </c>
      <c r="O19" s="54">
        <v>7.7999999999999996E-3</v>
      </c>
      <c r="P19" s="54">
        <v>1.7399999999999999E-2</v>
      </c>
      <c r="Q19" s="54">
        <v>2.58E-2</v>
      </c>
      <c r="R19" s="54">
        <v>4.6300000000000001E-2</v>
      </c>
      <c r="S19" s="54">
        <v>9.8100000000000007E-2</v>
      </c>
      <c r="T19" s="54">
        <v>0.1459</v>
      </c>
      <c r="U19" s="54">
        <v>0.69499999999999995</v>
      </c>
      <c r="V19" s="54">
        <v>0.7</v>
      </c>
      <c r="X19" s="807"/>
      <c r="Y19" s="52" t="str">
        <f t="shared" si="8"/>
        <v>10.01 to 20</v>
      </c>
      <c r="Z19" s="54">
        <v>6.1999999999999998E-3</v>
      </c>
      <c r="AA19" s="54">
        <v>1.3899999999999999E-2</v>
      </c>
      <c r="AB19" s="54">
        <v>2.06E-2</v>
      </c>
      <c r="AC19" s="54">
        <v>3.6999999999999998E-2</v>
      </c>
      <c r="AD19" s="54">
        <v>7.85E-2</v>
      </c>
      <c r="AE19" s="54">
        <v>0.1167</v>
      </c>
      <c r="AF19" s="54">
        <v>0.55600000000000005</v>
      </c>
      <c r="AG19" s="54">
        <v>0.67</v>
      </c>
      <c r="AI19" s="807"/>
      <c r="AJ19" s="52" t="str">
        <f t="shared" si="10"/>
        <v>10.01 to 20</v>
      </c>
      <c r="AK19" s="54">
        <v>5.1999999999999998E-3</v>
      </c>
      <c r="AL19" s="54">
        <v>1.1599999999999999E-2</v>
      </c>
      <c r="AM19" s="54">
        <v>1.72E-2</v>
      </c>
      <c r="AN19" s="54">
        <v>3.0800000000000001E-2</v>
      </c>
      <c r="AO19" s="54">
        <v>6.54E-2</v>
      </c>
      <c r="AP19" s="54">
        <v>9.7299999999999998E-2</v>
      </c>
      <c r="AQ19" s="54">
        <v>0.46329999999999999</v>
      </c>
      <c r="AR19" s="54">
        <v>0.65</v>
      </c>
    </row>
    <row r="20" spans="2:44" hidden="1" outlineLevel="1" x14ac:dyDescent="0.3">
      <c r="B20" s="807"/>
      <c r="C20" s="52" t="str">
        <f t="shared" si="12"/>
        <v>More than 20</v>
      </c>
      <c r="D20" s="54">
        <v>1.5800000000000002E-2</v>
      </c>
      <c r="E20" s="54">
        <v>2.5499999999999998E-2</v>
      </c>
      <c r="F20" s="54">
        <v>3.5700000000000003E-2</v>
      </c>
      <c r="G20" s="54">
        <v>5.8599999999999999E-2</v>
      </c>
      <c r="H20" s="54">
        <v>0.12429999999999999</v>
      </c>
      <c r="I20" s="54">
        <v>0.18479999999999999</v>
      </c>
      <c r="J20" s="54">
        <v>0.72</v>
      </c>
      <c r="K20" s="54">
        <v>0.72</v>
      </c>
      <c r="M20" s="807"/>
      <c r="N20" s="52" t="str">
        <f t="shared" si="13"/>
        <v>More than 20</v>
      </c>
      <c r="O20" s="54">
        <v>1.2500000000000001E-2</v>
      </c>
      <c r="P20" s="54">
        <v>2.0199999999999999E-2</v>
      </c>
      <c r="Q20" s="54">
        <v>2.8199999999999999E-2</v>
      </c>
      <c r="R20" s="54">
        <v>4.6300000000000001E-2</v>
      </c>
      <c r="S20" s="54">
        <v>9.8100000000000007E-2</v>
      </c>
      <c r="T20" s="54">
        <v>0.1459</v>
      </c>
      <c r="U20" s="54">
        <v>0.69499999999999995</v>
      </c>
      <c r="V20" s="54">
        <v>0.7</v>
      </c>
      <c r="X20" s="807"/>
      <c r="Y20" s="52" t="str">
        <f t="shared" si="8"/>
        <v>More than 20</v>
      </c>
      <c r="Z20" s="54">
        <v>0.01</v>
      </c>
      <c r="AA20" s="54">
        <v>1.61E-2</v>
      </c>
      <c r="AB20" s="54">
        <v>2.2499999999999999E-2</v>
      </c>
      <c r="AC20" s="54">
        <v>3.6999999999999998E-2</v>
      </c>
      <c r="AD20" s="54">
        <v>7.85E-2</v>
      </c>
      <c r="AE20" s="54">
        <v>0.1167</v>
      </c>
      <c r="AF20" s="54">
        <v>0.55600000000000005</v>
      </c>
      <c r="AG20" s="54">
        <v>0.67</v>
      </c>
      <c r="AI20" s="807"/>
      <c r="AJ20" s="52" t="str">
        <f t="shared" si="10"/>
        <v>More than 20</v>
      </c>
      <c r="AK20" s="54">
        <v>8.3000000000000001E-3</v>
      </c>
      <c r="AL20" s="54">
        <v>1.34E-2</v>
      </c>
      <c r="AM20" s="54">
        <v>1.8800000000000001E-2</v>
      </c>
      <c r="AN20" s="54">
        <v>3.0800000000000001E-2</v>
      </c>
      <c r="AO20" s="54">
        <v>6.54E-2</v>
      </c>
      <c r="AP20" s="54">
        <v>9.7299999999999998E-2</v>
      </c>
      <c r="AQ20" s="54">
        <v>0.46329999999999999</v>
      </c>
      <c r="AR20" s="54">
        <v>0.65</v>
      </c>
    </row>
    <row r="21" spans="2:44" hidden="1" outlineLevel="1" x14ac:dyDescent="0.3">
      <c r="B21" s="250"/>
      <c r="C21" s="52"/>
      <c r="D21" s="106"/>
      <c r="M21" s="250"/>
      <c r="N21" s="52"/>
      <c r="O21" s="106"/>
      <c r="X21" s="250"/>
      <c r="Y21" s="52"/>
      <c r="Z21" s="106"/>
      <c r="AI21" s="250"/>
      <c r="AJ21" s="52"/>
      <c r="AK21" s="106"/>
    </row>
    <row r="22" spans="2:44" hidden="1" outlineLevel="1" x14ac:dyDescent="0.3">
      <c r="B22" s="11"/>
      <c r="C22" s="52"/>
      <c r="M22" s="11"/>
      <c r="N22" s="52"/>
      <c r="X22" s="11"/>
      <c r="Y22" s="52"/>
      <c r="AI22" s="11"/>
      <c r="AJ22" s="52"/>
    </row>
    <row r="23" spans="2:44" ht="14" hidden="1" customHeight="1" outlineLevel="1" x14ac:dyDescent="0.3">
      <c r="B23" s="807" t="s">
        <v>1086</v>
      </c>
      <c r="C23" s="52" t="str">
        <f>$C15</f>
        <v>Tenor (years)</v>
      </c>
      <c r="D23" s="58" t="str">
        <f>D$7</f>
        <v>AAA</v>
      </c>
      <c r="E23" s="58" t="str">
        <f t="shared" ref="E23:K23" si="14">E$7</f>
        <v>AA</v>
      </c>
      <c r="F23" s="58" t="str">
        <f t="shared" si="14"/>
        <v>A</v>
      </c>
      <c r="G23" s="58" t="str">
        <f t="shared" si="14"/>
        <v>BBB</v>
      </c>
      <c r="H23" s="58" t="str">
        <f t="shared" si="14"/>
        <v>BB</v>
      </c>
      <c r="I23" s="58" t="str">
        <f t="shared" si="14"/>
        <v>B</v>
      </c>
      <c r="J23" s="58" t="str">
        <f t="shared" si="14"/>
        <v>CCC-C</v>
      </c>
      <c r="K23" s="58" t="str">
        <f t="shared" si="14"/>
        <v>D</v>
      </c>
      <c r="M23" s="807" t="s">
        <v>1086</v>
      </c>
      <c r="N23" s="52" t="str">
        <f>$C15</f>
        <v>Tenor (years)</v>
      </c>
      <c r="O23" s="58" t="str">
        <f>O$7</f>
        <v>AAA</v>
      </c>
      <c r="P23" s="58" t="str">
        <f t="shared" ref="P23:V23" si="15">P$7</f>
        <v>AA</v>
      </c>
      <c r="Q23" s="58" t="str">
        <f t="shared" si="15"/>
        <v>A</v>
      </c>
      <c r="R23" s="58" t="str">
        <f t="shared" si="15"/>
        <v>BBB</v>
      </c>
      <c r="S23" s="58" t="str">
        <f t="shared" si="15"/>
        <v>BB</v>
      </c>
      <c r="T23" s="58" t="str">
        <f t="shared" si="15"/>
        <v>B</v>
      </c>
      <c r="U23" s="58" t="str">
        <f t="shared" si="15"/>
        <v>CCC-C</v>
      </c>
      <c r="V23" s="58" t="str">
        <f t="shared" si="15"/>
        <v>D</v>
      </c>
      <c r="X23" s="807" t="s">
        <v>1086</v>
      </c>
      <c r="Y23" s="52" t="str">
        <f t="shared" ref="Y23:Y28" si="16">$C15</f>
        <v>Tenor (years)</v>
      </c>
      <c r="Z23" s="58" t="str">
        <f>Z$7</f>
        <v>AAA</v>
      </c>
      <c r="AA23" s="58" t="str">
        <f t="shared" ref="AA23:AG23" si="17">AA$7</f>
        <v>AA</v>
      </c>
      <c r="AB23" s="58" t="str">
        <f t="shared" si="17"/>
        <v>A</v>
      </c>
      <c r="AC23" s="58" t="str">
        <f t="shared" si="17"/>
        <v>BBB</v>
      </c>
      <c r="AD23" s="58" t="str">
        <f t="shared" si="17"/>
        <v>BB</v>
      </c>
      <c r="AE23" s="58" t="str">
        <f t="shared" si="17"/>
        <v>B</v>
      </c>
      <c r="AF23" s="58" t="str">
        <f t="shared" si="17"/>
        <v>CCC-C</v>
      </c>
      <c r="AG23" s="58" t="str">
        <f t="shared" si="17"/>
        <v>D</v>
      </c>
      <c r="AI23" s="807" t="s">
        <v>1086</v>
      </c>
      <c r="AJ23" s="52" t="str">
        <f t="shared" ref="AJ23:AJ28" si="18">$C15</f>
        <v>Tenor (years)</v>
      </c>
      <c r="AK23" s="58" t="str">
        <f>AK$7</f>
        <v>AAA</v>
      </c>
      <c r="AL23" s="58" t="str">
        <f t="shared" ref="AL23:AR23" si="19">AL$7</f>
        <v>AA</v>
      </c>
      <c r="AM23" s="58" t="str">
        <f t="shared" si="19"/>
        <v>A</v>
      </c>
      <c r="AN23" s="58" t="str">
        <f t="shared" si="19"/>
        <v>BBB</v>
      </c>
      <c r="AO23" s="58" t="str">
        <f t="shared" si="19"/>
        <v>BB</v>
      </c>
      <c r="AP23" s="58" t="str">
        <f t="shared" si="19"/>
        <v>B</v>
      </c>
      <c r="AQ23" s="58" t="str">
        <f t="shared" si="19"/>
        <v>CCC-C</v>
      </c>
      <c r="AR23" s="58" t="str">
        <f t="shared" si="19"/>
        <v>D</v>
      </c>
    </row>
    <row r="24" spans="2:44" hidden="1" outlineLevel="1" x14ac:dyDescent="0.3">
      <c r="B24" s="807"/>
      <c r="C24" s="52" t="str">
        <f t="shared" ref="C24:C28" si="20">$C16</f>
        <v>Upto 1</v>
      </c>
      <c r="D24" s="54">
        <v>1.8E-3</v>
      </c>
      <c r="E24" s="54">
        <v>4.7999999999999996E-3</v>
      </c>
      <c r="F24" s="54">
        <v>8.3999999999999995E-3</v>
      </c>
      <c r="G24" s="54">
        <v>1.17E-2</v>
      </c>
      <c r="H24" s="54">
        <v>3.0700000000000002E-2</v>
      </c>
      <c r="I24" s="54">
        <v>8.4900000000000003E-2</v>
      </c>
      <c r="J24" s="54">
        <v>0.6744</v>
      </c>
      <c r="K24" s="54">
        <v>0.88</v>
      </c>
      <c r="M24" s="807"/>
      <c r="N24" s="52" t="str">
        <f t="shared" ref="N24:N28" si="21">$C16</f>
        <v>Upto 1</v>
      </c>
      <c r="O24" s="54">
        <v>1.4E-3</v>
      </c>
      <c r="P24" s="54">
        <v>3.8E-3</v>
      </c>
      <c r="Q24" s="54">
        <v>6.6E-3</v>
      </c>
      <c r="R24" s="54">
        <v>9.2999999999999992E-3</v>
      </c>
      <c r="S24" s="54">
        <v>2.4199999999999999E-2</v>
      </c>
      <c r="T24" s="54">
        <v>6.7000000000000004E-2</v>
      </c>
      <c r="U24" s="54">
        <v>0.53239999999999998</v>
      </c>
      <c r="V24" s="54">
        <v>0.87</v>
      </c>
      <c r="X24" s="807"/>
      <c r="Y24" s="52" t="str">
        <f t="shared" si="16"/>
        <v>Upto 1</v>
      </c>
      <c r="Z24" s="54">
        <v>1.1000000000000001E-3</v>
      </c>
      <c r="AA24" s="54">
        <v>3.0000000000000001E-3</v>
      </c>
      <c r="AB24" s="54">
        <v>5.3E-3</v>
      </c>
      <c r="AC24" s="54">
        <v>7.4000000000000003E-3</v>
      </c>
      <c r="AD24" s="54">
        <v>1.9400000000000001E-2</v>
      </c>
      <c r="AE24" s="54">
        <v>5.3600000000000002E-2</v>
      </c>
      <c r="AF24" s="54">
        <v>0.4259</v>
      </c>
      <c r="AG24" s="54">
        <v>0.86</v>
      </c>
      <c r="AI24" s="807"/>
      <c r="AJ24" s="52" t="str">
        <f t="shared" si="18"/>
        <v>Upto 1</v>
      </c>
      <c r="AK24" s="54">
        <v>8.9999999999999998E-4</v>
      </c>
      <c r="AL24" s="54">
        <v>2.5000000000000001E-3</v>
      </c>
      <c r="AM24" s="54">
        <v>4.4000000000000003E-3</v>
      </c>
      <c r="AN24" s="54">
        <v>6.1999999999999998E-3</v>
      </c>
      <c r="AO24" s="54">
        <v>1.61E-2</v>
      </c>
      <c r="AP24" s="54">
        <v>4.4699999999999997E-2</v>
      </c>
      <c r="AQ24" s="54">
        <v>0.35489999999999999</v>
      </c>
      <c r="AR24" s="54">
        <v>0.85</v>
      </c>
    </row>
    <row r="25" spans="2:44" hidden="1" outlineLevel="1" x14ac:dyDescent="0.3">
      <c r="B25" s="807"/>
      <c r="C25" s="52" t="str">
        <f t="shared" si="20"/>
        <v>1.01 to 5</v>
      </c>
      <c r="D25" s="54">
        <v>4.4999999999999997E-3</v>
      </c>
      <c r="E25" s="54">
        <v>1.12E-2</v>
      </c>
      <c r="F25" s="54">
        <v>2.0199999999999999E-2</v>
      </c>
      <c r="G25" s="54">
        <v>4.1399999999999999E-2</v>
      </c>
      <c r="H25" s="54">
        <v>0.1143</v>
      </c>
      <c r="I25" s="54">
        <v>0.22459999999999999</v>
      </c>
      <c r="J25" s="54">
        <v>0.88</v>
      </c>
      <c r="K25" s="54">
        <v>0.88</v>
      </c>
      <c r="M25" s="807"/>
      <c r="N25" s="52" t="str">
        <f t="shared" si="21"/>
        <v>1.01 to 5</v>
      </c>
      <c r="O25" s="54">
        <v>3.5000000000000001E-3</v>
      </c>
      <c r="P25" s="54">
        <v>8.8000000000000005E-3</v>
      </c>
      <c r="Q25" s="54">
        <v>1.6E-2</v>
      </c>
      <c r="R25" s="54">
        <v>3.27E-2</v>
      </c>
      <c r="S25" s="54">
        <v>9.0300000000000005E-2</v>
      </c>
      <c r="T25" s="54">
        <v>0.17730000000000001</v>
      </c>
      <c r="U25" s="54">
        <v>0.87</v>
      </c>
      <c r="V25" s="54">
        <v>0.87</v>
      </c>
      <c r="X25" s="807"/>
      <c r="Y25" s="52" t="str">
        <f t="shared" si="16"/>
        <v>1.01 to 5</v>
      </c>
      <c r="Z25" s="54">
        <v>2.8E-3</v>
      </c>
      <c r="AA25" s="54">
        <v>7.1000000000000004E-3</v>
      </c>
      <c r="AB25" s="54">
        <v>1.2800000000000001E-2</v>
      </c>
      <c r="AC25" s="54">
        <v>2.6100000000000002E-2</v>
      </c>
      <c r="AD25" s="54">
        <v>7.22E-2</v>
      </c>
      <c r="AE25" s="54">
        <v>0.1419</v>
      </c>
      <c r="AF25" s="54">
        <v>0.7</v>
      </c>
      <c r="AG25" s="54">
        <v>0.86</v>
      </c>
      <c r="AI25" s="807"/>
      <c r="AJ25" s="52" t="str">
        <f t="shared" si="18"/>
        <v>1.01 to 5</v>
      </c>
      <c r="AK25" s="54">
        <v>2.3999999999999998E-3</v>
      </c>
      <c r="AL25" s="54">
        <v>5.8999999999999999E-3</v>
      </c>
      <c r="AM25" s="54">
        <v>1.0699999999999999E-2</v>
      </c>
      <c r="AN25" s="54">
        <v>2.18E-2</v>
      </c>
      <c r="AO25" s="54">
        <v>6.0199999999999997E-2</v>
      </c>
      <c r="AP25" s="54">
        <v>0.1182</v>
      </c>
      <c r="AQ25" s="54">
        <v>0.58330000000000004</v>
      </c>
      <c r="AR25" s="54">
        <v>0.85</v>
      </c>
    </row>
    <row r="26" spans="2:44" hidden="1" outlineLevel="1" x14ac:dyDescent="0.3">
      <c r="B26" s="807"/>
      <c r="C26" s="52" t="str">
        <f t="shared" si="20"/>
        <v>5.01 to 10</v>
      </c>
      <c r="D26" s="54">
        <v>8.8999999999999999E-3</v>
      </c>
      <c r="E26" s="54">
        <v>2.35E-2</v>
      </c>
      <c r="F26" s="54">
        <v>3.2099999999999997E-2</v>
      </c>
      <c r="G26" s="54">
        <v>6.5600000000000006E-2</v>
      </c>
      <c r="H26" s="54">
        <v>0.15620000000000001</v>
      </c>
      <c r="I26" s="54">
        <v>0.2417</v>
      </c>
      <c r="J26" s="54">
        <v>0.88</v>
      </c>
      <c r="K26" s="54">
        <v>0.88</v>
      </c>
      <c r="M26" s="807"/>
      <c r="N26" s="52" t="str">
        <f t="shared" si="21"/>
        <v>5.01 to 10</v>
      </c>
      <c r="O26" s="54">
        <v>7.0000000000000001E-3</v>
      </c>
      <c r="P26" s="54">
        <v>1.8499999999999999E-2</v>
      </c>
      <c r="Q26" s="54">
        <v>2.53E-2</v>
      </c>
      <c r="R26" s="54">
        <v>5.1799999999999999E-2</v>
      </c>
      <c r="S26" s="54">
        <v>0.1234</v>
      </c>
      <c r="T26" s="54">
        <v>0.1908</v>
      </c>
      <c r="U26" s="54">
        <v>0.87</v>
      </c>
      <c r="V26" s="54">
        <v>0.87</v>
      </c>
      <c r="X26" s="807"/>
      <c r="Y26" s="52" t="str">
        <f t="shared" si="16"/>
        <v>5.01 to 10</v>
      </c>
      <c r="Z26" s="54">
        <v>5.5999999999999999E-3</v>
      </c>
      <c r="AA26" s="54">
        <v>1.4800000000000001E-2</v>
      </c>
      <c r="AB26" s="54">
        <v>2.0299999999999999E-2</v>
      </c>
      <c r="AC26" s="54">
        <v>4.1399999999999999E-2</v>
      </c>
      <c r="AD26" s="54">
        <v>9.8699999999999996E-2</v>
      </c>
      <c r="AE26" s="54">
        <v>0.15260000000000001</v>
      </c>
      <c r="AF26" s="54">
        <v>0.7177</v>
      </c>
      <c r="AG26" s="54">
        <v>0.86</v>
      </c>
      <c r="AI26" s="807"/>
      <c r="AJ26" s="52" t="str">
        <f t="shared" si="18"/>
        <v>5.01 to 10</v>
      </c>
      <c r="AK26" s="54">
        <v>4.7000000000000002E-3</v>
      </c>
      <c r="AL26" s="54">
        <v>1.24E-2</v>
      </c>
      <c r="AM26" s="54">
        <v>1.6899999999999998E-2</v>
      </c>
      <c r="AN26" s="54">
        <v>3.4500000000000003E-2</v>
      </c>
      <c r="AO26" s="54">
        <v>8.2199999999999995E-2</v>
      </c>
      <c r="AP26" s="54">
        <v>0.12720000000000001</v>
      </c>
      <c r="AQ26" s="54">
        <v>0.59809999999999997</v>
      </c>
      <c r="AR26" s="54">
        <v>0.85</v>
      </c>
    </row>
    <row r="27" spans="2:44" hidden="1" outlineLevel="1" x14ac:dyDescent="0.3">
      <c r="B27" s="807"/>
      <c r="C27" s="52" t="str">
        <f t="shared" si="20"/>
        <v>10.01 to 20</v>
      </c>
      <c r="D27" s="54">
        <v>1.29E-2</v>
      </c>
      <c r="E27" s="54">
        <v>2.8799999999999999E-2</v>
      </c>
      <c r="F27" s="54">
        <v>4.2700000000000002E-2</v>
      </c>
      <c r="G27" s="54">
        <v>7.6600000000000001E-2</v>
      </c>
      <c r="H27" s="54">
        <v>0.16250000000000001</v>
      </c>
      <c r="I27" s="54">
        <v>0.2417</v>
      </c>
      <c r="J27" s="54">
        <v>0.88</v>
      </c>
      <c r="K27" s="54">
        <v>0.88</v>
      </c>
      <c r="M27" s="807"/>
      <c r="N27" s="52" t="str">
        <f t="shared" si="21"/>
        <v>10.01 to 20</v>
      </c>
      <c r="O27" s="54">
        <v>1.0200000000000001E-2</v>
      </c>
      <c r="P27" s="54">
        <v>2.2700000000000001E-2</v>
      </c>
      <c r="Q27" s="54">
        <v>3.3700000000000001E-2</v>
      </c>
      <c r="R27" s="54">
        <v>6.0499999999999998E-2</v>
      </c>
      <c r="S27" s="54">
        <v>0.1283</v>
      </c>
      <c r="T27" s="54">
        <v>0.1908</v>
      </c>
      <c r="U27" s="54">
        <v>0.87</v>
      </c>
      <c r="V27" s="54">
        <v>0.87</v>
      </c>
      <c r="X27" s="807"/>
      <c r="Y27" s="52" t="str">
        <f t="shared" si="16"/>
        <v>10.01 to 20</v>
      </c>
      <c r="Z27" s="54">
        <v>8.0999999999999996E-3</v>
      </c>
      <c r="AA27" s="54">
        <v>1.8200000000000001E-2</v>
      </c>
      <c r="AB27" s="54">
        <v>2.7E-2</v>
      </c>
      <c r="AC27" s="54">
        <v>4.8399999999999999E-2</v>
      </c>
      <c r="AD27" s="54">
        <v>0.1027</v>
      </c>
      <c r="AE27" s="54">
        <v>0.15260000000000001</v>
      </c>
      <c r="AF27" s="54">
        <v>0.72709999999999997</v>
      </c>
      <c r="AG27" s="54">
        <v>0.86</v>
      </c>
      <c r="AI27" s="807"/>
      <c r="AJ27" s="52" t="str">
        <f t="shared" si="18"/>
        <v>10.01 to 20</v>
      </c>
      <c r="AK27" s="54">
        <v>6.7999999999999996E-3</v>
      </c>
      <c r="AL27" s="54">
        <v>1.52E-2</v>
      </c>
      <c r="AM27" s="54">
        <v>2.2499999999999999E-2</v>
      </c>
      <c r="AN27" s="54">
        <v>4.0300000000000002E-2</v>
      </c>
      <c r="AO27" s="54">
        <v>8.5500000000000007E-2</v>
      </c>
      <c r="AP27" s="54">
        <v>0.12720000000000001</v>
      </c>
      <c r="AQ27" s="54">
        <v>0.60589999999999999</v>
      </c>
      <c r="AR27" s="54">
        <v>0.85</v>
      </c>
    </row>
    <row r="28" spans="2:44" hidden="1" outlineLevel="1" x14ac:dyDescent="0.3">
      <c r="B28" s="807"/>
      <c r="C28" s="52" t="str">
        <f t="shared" si="20"/>
        <v>More than 20</v>
      </c>
      <c r="D28" s="54">
        <v>2.06E-2</v>
      </c>
      <c r="E28" s="54">
        <v>3.3399999999999999E-2</v>
      </c>
      <c r="F28" s="54">
        <v>4.6600000000000003E-2</v>
      </c>
      <c r="G28" s="54">
        <v>7.6600000000000001E-2</v>
      </c>
      <c r="H28" s="54">
        <v>0.16250000000000001</v>
      </c>
      <c r="I28" s="54">
        <v>0.2417</v>
      </c>
      <c r="J28" s="54">
        <v>0.88</v>
      </c>
      <c r="K28" s="54">
        <v>0.88</v>
      </c>
      <c r="M28" s="807"/>
      <c r="N28" s="52" t="str">
        <f t="shared" si="21"/>
        <v>More than 20</v>
      </c>
      <c r="O28" s="54">
        <v>1.6299999999999999E-2</v>
      </c>
      <c r="P28" s="54">
        <v>2.64E-2</v>
      </c>
      <c r="Q28" s="54">
        <v>3.6799999999999999E-2</v>
      </c>
      <c r="R28" s="54">
        <v>6.0499999999999998E-2</v>
      </c>
      <c r="S28" s="54">
        <v>0.1283</v>
      </c>
      <c r="T28" s="54">
        <v>0.1908</v>
      </c>
      <c r="U28" s="54">
        <v>0.87</v>
      </c>
      <c r="V28" s="54">
        <v>0.87</v>
      </c>
      <c r="X28" s="807"/>
      <c r="Y28" s="52" t="str">
        <f t="shared" si="16"/>
        <v>More than 20</v>
      </c>
      <c r="Z28" s="54">
        <v>1.2999999999999999E-2</v>
      </c>
      <c r="AA28" s="54">
        <v>2.1100000000000001E-2</v>
      </c>
      <c r="AB28" s="54">
        <v>2.9499999999999998E-2</v>
      </c>
      <c r="AC28" s="54">
        <v>4.8399999999999999E-2</v>
      </c>
      <c r="AD28" s="54">
        <v>0.1027</v>
      </c>
      <c r="AE28" s="54">
        <v>0.15260000000000001</v>
      </c>
      <c r="AF28" s="54">
        <v>0.72709999999999997</v>
      </c>
      <c r="AG28" s="54">
        <v>0.86</v>
      </c>
      <c r="AI28" s="807"/>
      <c r="AJ28" s="52" t="str">
        <f t="shared" si="18"/>
        <v>More than 20</v>
      </c>
      <c r="AK28" s="54">
        <v>1.09E-2</v>
      </c>
      <c r="AL28" s="54">
        <v>1.7600000000000001E-2</v>
      </c>
      <c r="AM28" s="54">
        <v>2.46E-2</v>
      </c>
      <c r="AN28" s="54">
        <v>4.0300000000000002E-2</v>
      </c>
      <c r="AO28" s="54">
        <v>8.5500000000000007E-2</v>
      </c>
      <c r="AP28" s="54">
        <v>0.12720000000000001</v>
      </c>
      <c r="AQ28" s="54">
        <v>0.60589999999999999</v>
      </c>
      <c r="AR28" s="54">
        <v>0.85</v>
      </c>
    </row>
    <row r="29" spans="2:44" hidden="1" outlineLevel="1" x14ac:dyDescent="0.3">
      <c r="B29" s="250"/>
      <c r="C29" s="50"/>
      <c r="M29" s="250"/>
      <c r="N29" s="50"/>
      <c r="X29" s="250"/>
      <c r="Y29" s="50"/>
      <c r="AI29" s="250"/>
      <c r="AJ29" s="50"/>
    </row>
    <row r="30" spans="2:44" hidden="1" outlineLevel="1" x14ac:dyDescent="0.3">
      <c r="B30" s="11"/>
      <c r="C30" s="52"/>
      <c r="M30" s="11"/>
      <c r="N30" s="52"/>
      <c r="X30" s="11"/>
      <c r="Y30" s="52"/>
      <c r="AI30" s="11"/>
      <c r="AJ30" s="52"/>
    </row>
    <row r="31" spans="2:44" ht="14" hidden="1" customHeight="1" outlineLevel="1" x14ac:dyDescent="0.3">
      <c r="B31" s="807" t="s">
        <v>1087</v>
      </c>
      <c r="C31" s="52" t="str">
        <f>$C23</f>
        <v>Tenor (years)</v>
      </c>
      <c r="D31" s="58" t="str">
        <f>D$7</f>
        <v>AAA</v>
      </c>
      <c r="E31" s="58" t="str">
        <f t="shared" ref="E31:K31" si="22">E$7</f>
        <v>AA</v>
      </c>
      <c r="F31" s="58" t="str">
        <f t="shared" si="22"/>
        <v>A</v>
      </c>
      <c r="G31" s="58" t="str">
        <f t="shared" si="22"/>
        <v>BBB</v>
      </c>
      <c r="H31" s="58" t="str">
        <f t="shared" si="22"/>
        <v>BB</v>
      </c>
      <c r="I31" s="58" t="str">
        <f t="shared" si="22"/>
        <v>B</v>
      </c>
      <c r="J31" s="58" t="str">
        <f t="shared" si="22"/>
        <v>CCC-C</v>
      </c>
      <c r="K31" s="58" t="str">
        <f t="shared" si="22"/>
        <v>D</v>
      </c>
      <c r="M31" s="807" t="s">
        <v>1087</v>
      </c>
      <c r="N31" s="52" t="str">
        <f>$C23</f>
        <v>Tenor (years)</v>
      </c>
      <c r="O31" s="58" t="str">
        <f>O$7</f>
        <v>AAA</v>
      </c>
      <c r="P31" s="58" t="str">
        <f t="shared" ref="P31:V31" si="23">P$7</f>
        <v>AA</v>
      </c>
      <c r="Q31" s="58" t="str">
        <f t="shared" si="23"/>
        <v>A</v>
      </c>
      <c r="R31" s="58" t="str">
        <f t="shared" si="23"/>
        <v>BBB</v>
      </c>
      <c r="S31" s="58" t="str">
        <f t="shared" si="23"/>
        <v>BB</v>
      </c>
      <c r="T31" s="58" t="str">
        <f t="shared" si="23"/>
        <v>B</v>
      </c>
      <c r="U31" s="58" t="str">
        <f t="shared" si="23"/>
        <v>CCC-C</v>
      </c>
      <c r="V31" s="58" t="str">
        <f t="shared" si="23"/>
        <v>D</v>
      </c>
      <c r="X31" s="807" t="s">
        <v>1087</v>
      </c>
      <c r="Y31" s="52" t="str">
        <f t="shared" ref="Y31:Y36" si="24">$C23</f>
        <v>Tenor (years)</v>
      </c>
      <c r="Z31" s="58" t="str">
        <f>Z$7</f>
        <v>AAA</v>
      </c>
      <c r="AA31" s="58" t="str">
        <f t="shared" ref="AA31:AG31" si="25">AA$7</f>
        <v>AA</v>
      </c>
      <c r="AB31" s="58" t="str">
        <f t="shared" si="25"/>
        <v>A</v>
      </c>
      <c r="AC31" s="58" t="str">
        <f t="shared" si="25"/>
        <v>BBB</v>
      </c>
      <c r="AD31" s="58" t="str">
        <f t="shared" si="25"/>
        <v>BB</v>
      </c>
      <c r="AE31" s="58" t="str">
        <f t="shared" si="25"/>
        <v>B</v>
      </c>
      <c r="AF31" s="58" t="str">
        <f t="shared" si="25"/>
        <v>CCC-C</v>
      </c>
      <c r="AG31" s="58" t="str">
        <f t="shared" si="25"/>
        <v>D</v>
      </c>
      <c r="AI31" s="807" t="s">
        <v>1087</v>
      </c>
      <c r="AJ31" s="52" t="str">
        <f t="shared" ref="AJ31:AJ36" si="26">$C23</f>
        <v>Tenor (years)</v>
      </c>
      <c r="AK31" s="58" t="str">
        <f>AK$7</f>
        <v>AAA</v>
      </c>
      <c r="AL31" s="58" t="str">
        <f t="shared" ref="AL31:AR31" si="27">AL$7</f>
        <v>AA</v>
      </c>
      <c r="AM31" s="58" t="str">
        <f t="shared" si="27"/>
        <v>A</v>
      </c>
      <c r="AN31" s="58" t="str">
        <f t="shared" si="27"/>
        <v>BBB</v>
      </c>
      <c r="AO31" s="58" t="str">
        <f t="shared" si="27"/>
        <v>BB</v>
      </c>
      <c r="AP31" s="58" t="str">
        <f t="shared" si="27"/>
        <v>B</v>
      </c>
      <c r="AQ31" s="58" t="str">
        <f t="shared" si="27"/>
        <v>CCC-C</v>
      </c>
      <c r="AR31" s="58" t="str">
        <f t="shared" si="27"/>
        <v>D</v>
      </c>
    </row>
    <row r="32" spans="2:44" hidden="1" outlineLevel="1" x14ac:dyDescent="0.3">
      <c r="B32" s="807"/>
      <c r="C32" s="52" t="str">
        <f t="shared" ref="C32:C36" si="28">$C24</f>
        <v>Upto 1</v>
      </c>
      <c r="D32" s="54">
        <v>8.0000000000000004E-4</v>
      </c>
      <c r="E32" s="54">
        <v>2.5000000000000001E-3</v>
      </c>
      <c r="F32" s="54">
        <v>9.2999999999999992E-3</v>
      </c>
      <c r="G32" s="54">
        <v>1.2E-2</v>
      </c>
      <c r="H32" s="54">
        <v>4.1500000000000002E-2</v>
      </c>
      <c r="I32" s="54">
        <v>0.1225</v>
      </c>
      <c r="J32" s="54">
        <v>0.83299999999999996</v>
      </c>
      <c r="K32" s="54">
        <v>1</v>
      </c>
      <c r="M32" s="807"/>
      <c r="N32" s="52" t="str">
        <f t="shared" ref="N32:N36" si="29">$C24</f>
        <v>Upto 1</v>
      </c>
      <c r="O32" s="54">
        <v>5.9999999999999995E-4</v>
      </c>
      <c r="P32" s="54">
        <v>2E-3</v>
      </c>
      <c r="Q32" s="54">
        <v>7.4000000000000003E-3</v>
      </c>
      <c r="R32" s="54">
        <v>9.4999999999999998E-3</v>
      </c>
      <c r="S32" s="54">
        <v>3.2800000000000003E-2</v>
      </c>
      <c r="T32" s="54">
        <v>9.6699999999999994E-2</v>
      </c>
      <c r="U32" s="54">
        <v>0.65769999999999995</v>
      </c>
      <c r="V32" s="54">
        <v>1</v>
      </c>
      <c r="X32" s="807"/>
      <c r="Y32" s="52" t="str">
        <f t="shared" si="24"/>
        <v>Upto 1</v>
      </c>
      <c r="Z32" s="54">
        <v>5.0000000000000001E-4</v>
      </c>
      <c r="AA32" s="54">
        <v>1.6000000000000001E-3</v>
      </c>
      <c r="AB32" s="54">
        <v>5.8999999999999999E-3</v>
      </c>
      <c r="AC32" s="54">
        <v>7.6E-3</v>
      </c>
      <c r="AD32" s="54">
        <v>2.6200000000000001E-2</v>
      </c>
      <c r="AE32" s="54">
        <v>7.7399999999999997E-2</v>
      </c>
      <c r="AF32" s="54">
        <v>0.52610000000000001</v>
      </c>
      <c r="AG32" s="54">
        <v>1</v>
      </c>
      <c r="AI32" s="807"/>
      <c r="AJ32" s="52" t="str">
        <f t="shared" si="26"/>
        <v>Upto 1</v>
      </c>
      <c r="AK32" s="54">
        <v>4.0000000000000002E-4</v>
      </c>
      <c r="AL32" s="54">
        <v>1.2999999999999999E-3</v>
      </c>
      <c r="AM32" s="54">
        <v>4.8999999999999998E-3</v>
      </c>
      <c r="AN32" s="54">
        <v>6.3E-3</v>
      </c>
      <c r="AO32" s="54">
        <v>2.1899999999999999E-2</v>
      </c>
      <c r="AP32" s="54">
        <v>6.4500000000000002E-2</v>
      </c>
      <c r="AQ32" s="54">
        <v>0.43840000000000001</v>
      </c>
      <c r="AR32" s="54">
        <v>1</v>
      </c>
    </row>
    <row r="33" spans="2:44" hidden="1" outlineLevel="1" x14ac:dyDescent="0.3">
      <c r="B33" s="807"/>
      <c r="C33" s="52" t="str">
        <f t="shared" si="28"/>
        <v>1.01 to 5</v>
      </c>
      <c r="D33" s="54">
        <v>1.9E-3</v>
      </c>
      <c r="E33" s="54">
        <v>5.7999999999999996E-3</v>
      </c>
      <c r="F33" s="54">
        <v>2.18E-2</v>
      </c>
      <c r="G33" s="54">
        <v>4.1300000000000003E-2</v>
      </c>
      <c r="H33" s="54">
        <v>0.15579999999999999</v>
      </c>
      <c r="I33" s="54">
        <v>0.32850000000000001</v>
      </c>
      <c r="J33" s="54">
        <v>1</v>
      </c>
      <c r="K33" s="54">
        <v>1</v>
      </c>
      <c r="M33" s="807"/>
      <c r="N33" s="52" t="str">
        <f t="shared" si="29"/>
        <v>1.01 to 5</v>
      </c>
      <c r="O33" s="54">
        <v>1.5E-3</v>
      </c>
      <c r="P33" s="54">
        <v>4.5999999999999999E-3</v>
      </c>
      <c r="Q33" s="54">
        <v>1.72E-2</v>
      </c>
      <c r="R33" s="54">
        <v>3.2599999999999997E-2</v>
      </c>
      <c r="S33" s="54">
        <v>0.123</v>
      </c>
      <c r="T33" s="54">
        <v>0.25940000000000002</v>
      </c>
      <c r="U33" s="54">
        <v>1</v>
      </c>
      <c r="V33" s="54">
        <v>1</v>
      </c>
      <c r="X33" s="807"/>
      <c r="Y33" s="52" t="str">
        <f t="shared" si="24"/>
        <v>1.01 to 5</v>
      </c>
      <c r="Z33" s="54">
        <v>1.1999999999999999E-3</v>
      </c>
      <c r="AA33" s="54">
        <v>3.7000000000000002E-3</v>
      </c>
      <c r="AB33" s="54">
        <v>1.38E-2</v>
      </c>
      <c r="AC33" s="54">
        <v>2.6100000000000002E-2</v>
      </c>
      <c r="AD33" s="54">
        <v>9.8400000000000001E-2</v>
      </c>
      <c r="AE33" s="54">
        <v>0.20749999999999999</v>
      </c>
      <c r="AF33" s="54">
        <v>0.86470000000000002</v>
      </c>
      <c r="AG33" s="54">
        <v>1</v>
      </c>
      <c r="AI33" s="807"/>
      <c r="AJ33" s="52" t="str">
        <f t="shared" si="26"/>
        <v>1.01 to 5</v>
      </c>
      <c r="AK33" s="54">
        <v>1E-3</v>
      </c>
      <c r="AL33" s="54">
        <v>3.0999999999999999E-3</v>
      </c>
      <c r="AM33" s="54">
        <v>1.15E-2</v>
      </c>
      <c r="AN33" s="54">
        <v>2.1700000000000001E-2</v>
      </c>
      <c r="AO33" s="54">
        <v>8.2000000000000003E-2</v>
      </c>
      <c r="AP33" s="54">
        <v>0.1729</v>
      </c>
      <c r="AQ33" s="54">
        <v>0.72060000000000002</v>
      </c>
      <c r="AR33" s="54">
        <v>1</v>
      </c>
    </row>
    <row r="34" spans="2:44" hidden="1" outlineLevel="1" x14ac:dyDescent="0.3">
      <c r="B34" s="807"/>
      <c r="C34" s="52" t="str">
        <f t="shared" si="28"/>
        <v>5.01 to 10</v>
      </c>
      <c r="D34" s="54">
        <v>3.8999999999999998E-3</v>
      </c>
      <c r="E34" s="54">
        <v>1.2500000000000001E-2</v>
      </c>
      <c r="F34" s="54">
        <v>3.5700000000000003E-2</v>
      </c>
      <c r="G34" s="54">
        <v>6.7100000000000007E-2</v>
      </c>
      <c r="H34" s="54">
        <v>0.22289999999999999</v>
      </c>
      <c r="I34" s="54">
        <v>0.36609999999999998</v>
      </c>
      <c r="J34" s="54">
        <v>1</v>
      </c>
      <c r="K34" s="54">
        <v>1</v>
      </c>
      <c r="M34" s="807"/>
      <c r="N34" s="52" t="str">
        <f t="shared" si="29"/>
        <v>5.01 to 10</v>
      </c>
      <c r="O34" s="54">
        <v>3.0999999999999999E-3</v>
      </c>
      <c r="P34" s="54">
        <v>9.9000000000000008E-3</v>
      </c>
      <c r="Q34" s="54">
        <v>2.81E-2</v>
      </c>
      <c r="R34" s="54">
        <v>5.2999999999999999E-2</v>
      </c>
      <c r="S34" s="54">
        <v>0.17599999999999999</v>
      </c>
      <c r="T34" s="54">
        <v>0.28899999999999998</v>
      </c>
      <c r="U34" s="54">
        <v>1</v>
      </c>
      <c r="V34" s="54">
        <v>1</v>
      </c>
      <c r="X34" s="807"/>
      <c r="Y34" s="52" t="str">
        <f t="shared" si="24"/>
        <v>5.01 to 10</v>
      </c>
      <c r="Z34" s="54">
        <v>2.5000000000000001E-3</v>
      </c>
      <c r="AA34" s="54">
        <v>7.9000000000000008E-3</v>
      </c>
      <c r="AB34" s="54">
        <v>2.2499999999999999E-2</v>
      </c>
      <c r="AC34" s="54">
        <v>4.24E-2</v>
      </c>
      <c r="AD34" s="54">
        <v>0.14080000000000001</v>
      </c>
      <c r="AE34" s="54">
        <v>0.23119999999999999</v>
      </c>
      <c r="AF34" s="54">
        <v>0.88660000000000005</v>
      </c>
      <c r="AG34" s="54">
        <v>1</v>
      </c>
      <c r="AI34" s="807"/>
      <c r="AJ34" s="52" t="str">
        <f t="shared" si="26"/>
        <v>5.01 to 10</v>
      </c>
      <c r="AK34" s="54">
        <v>2.0999999999999999E-3</v>
      </c>
      <c r="AL34" s="54">
        <v>6.6E-3</v>
      </c>
      <c r="AM34" s="54">
        <v>1.8800000000000001E-2</v>
      </c>
      <c r="AN34" s="54">
        <v>3.5299999999999998E-2</v>
      </c>
      <c r="AO34" s="54">
        <v>0.1173</v>
      </c>
      <c r="AP34" s="54">
        <v>0.19270000000000001</v>
      </c>
      <c r="AQ34" s="54">
        <v>0.73880000000000001</v>
      </c>
      <c r="AR34" s="54">
        <v>1</v>
      </c>
    </row>
    <row r="35" spans="2:44" hidden="1" outlineLevel="1" x14ac:dyDescent="0.3">
      <c r="B35" s="807"/>
      <c r="C35" s="52" t="str">
        <f t="shared" si="28"/>
        <v>10.01 to 20</v>
      </c>
      <c r="D35" s="54">
        <v>5.7000000000000002E-3</v>
      </c>
      <c r="E35" s="54">
        <v>1.5599999999999999E-2</v>
      </c>
      <c r="F35" s="54">
        <v>4.9099999999999998E-2</v>
      </c>
      <c r="G35" s="54">
        <v>8.0299999999999996E-2</v>
      </c>
      <c r="H35" s="54">
        <v>0.24030000000000001</v>
      </c>
      <c r="I35" s="54">
        <v>0.36609999999999998</v>
      </c>
      <c r="J35" s="54">
        <v>1</v>
      </c>
      <c r="K35" s="54">
        <v>1</v>
      </c>
      <c r="M35" s="807"/>
      <c r="N35" s="52" t="str">
        <f t="shared" si="29"/>
        <v>10.01 to 20</v>
      </c>
      <c r="O35" s="54">
        <v>4.4999999999999997E-3</v>
      </c>
      <c r="P35" s="54">
        <v>1.23E-2</v>
      </c>
      <c r="Q35" s="54">
        <v>3.8699999999999998E-2</v>
      </c>
      <c r="R35" s="54">
        <v>6.3399999999999998E-2</v>
      </c>
      <c r="S35" s="54">
        <v>0.18970000000000001</v>
      </c>
      <c r="T35" s="54">
        <v>0.28899999999999998</v>
      </c>
      <c r="U35" s="54">
        <v>1</v>
      </c>
      <c r="V35" s="54">
        <v>1</v>
      </c>
      <c r="X35" s="807"/>
      <c r="Y35" s="52" t="str">
        <f t="shared" si="24"/>
        <v>10.01 to 20</v>
      </c>
      <c r="Z35" s="54">
        <v>3.5999999999999999E-3</v>
      </c>
      <c r="AA35" s="54">
        <v>9.9000000000000008E-3</v>
      </c>
      <c r="AB35" s="54">
        <v>3.1E-2</v>
      </c>
      <c r="AC35" s="54">
        <v>5.0700000000000002E-2</v>
      </c>
      <c r="AD35" s="54">
        <v>0.1517</v>
      </c>
      <c r="AE35" s="54">
        <v>0.23119999999999999</v>
      </c>
      <c r="AF35" s="54">
        <v>0.89810000000000001</v>
      </c>
      <c r="AG35" s="54">
        <v>1</v>
      </c>
      <c r="AI35" s="807"/>
      <c r="AJ35" s="52" t="str">
        <f t="shared" si="26"/>
        <v>10.01 to 20</v>
      </c>
      <c r="AK35" s="54">
        <v>3.0000000000000001E-3</v>
      </c>
      <c r="AL35" s="54">
        <v>8.2000000000000007E-3</v>
      </c>
      <c r="AM35" s="54">
        <v>2.58E-2</v>
      </c>
      <c r="AN35" s="54">
        <v>4.2299999999999997E-2</v>
      </c>
      <c r="AO35" s="54">
        <v>0.1265</v>
      </c>
      <c r="AP35" s="54">
        <v>0.19270000000000001</v>
      </c>
      <c r="AQ35" s="54">
        <v>0.74850000000000005</v>
      </c>
      <c r="AR35" s="54">
        <v>1</v>
      </c>
    </row>
    <row r="36" spans="2:44" hidden="1" outlineLevel="1" x14ac:dyDescent="0.3">
      <c r="B36" s="807"/>
      <c r="C36" s="52" t="str">
        <f t="shared" si="28"/>
        <v>More than 20</v>
      </c>
      <c r="D36" s="54">
        <v>9.1999999999999998E-3</v>
      </c>
      <c r="E36" s="54">
        <v>1.8599999999999998E-2</v>
      </c>
      <c r="F36" s="54">
        <v>5.5599999999999997E-2</v>
      </c>
      <c r="G36" s="54">
        <v>8.1799999999999998E-2</v>
      </c>
      <c r="H36" s="54">
        <v>0.24030000000000001</v>
      </c>
      <c r="I36" s="54">
        <v>0.36609999999999998</v>
      </c>
      <c r="J36" s="54">
        <v>1</v>
      </c>
      <c r="K36" s="54">
        <v>1</v>
      </c>
      <c r="M36" s="807"/>
      <c r="N36" s="52" t="str">
        <f t="shared" si="29"/>
        <v>More than 20</v>
      </c>
      <c r="O36" s="54">
        <v>7.3000000000000001E-3</v>
      </c>
      <c r="P36" s="54">
        <v>1.47E-2</v>
      </c>
      <c r="Q36" s="54">
        <v>4.3900000000000002E-2</v>
      </c>
      <c r="R36" s="54">
        <v>6.4600000000000005E-2</v>
      </c>
      <c r="S36" s="54">
        <v>0.18970000000000001</v>
      </c>
      <c r="T36" s="54">
        <v>0.28899999999999998</v>
      </c>
      <c r="U36" s="54">
        <v>1</v>
      </c>
      <c r="V36" s="54">
        <v>1</v>
      </c>
      <c r="X36" s="807"/>
      <c r="Y36" s="52" t="str">
        <f t="shared" si="24"/>
        <v>More than 20</v>
      </c>
      <c r="Z36" s="54">
        <v>5.7999999999999996E-3</v>
      </c>
      <c r="AA36" s="54">
        <v>1.18E-2</v>
      </c>
      <c r="AB36" s="54">
        <v>3.5099999999999999E-2</v>
      </c>
      <c r="AC36" s="54">
        <v>5.16E-2</v>
      </c>
      <c r="AD36" s="54">
        <v>0.1517</v>
      </c>
      <c r="AE36" s="54">
        <v>0.23119999999999999</v>
      </c>
      <c r="AF36" s="54">
        <v>0.89810000000000001</v>
      </c>
      <c r="AG36" s="54">
        <v>1</v>
      </c>
      <c r="AI36" s="807"/>
      <c r="AJ36" s="52" t="str">
        <f t="shared" si="26"/>
        <v>More than 20</v>
      </c>
      <c r="AK36" s="54">
        <v>4.8999999999999998E-3</v>
      </c>
      <c r="AL36" s="54">
        <v>9.7999999999999997E-3</v>
      </c>
      <c r="AM36" s="54">
        <v>2.92E-2</v>
      </c>
      <c r="AN36" s="54">
        <v>4.2999999999999997E-2</v>
      </c>
      <c r="AO36" s="54">
        <v>0.1265</v>
      </c>
      <c r="AP36" s="54">
        <v>0.19270000000000001</v>
      </c>
      <c r="AQ36" s="54">
        <v>0.74850000000000005</v>
      </c>
      <c r="AR36" s="54">
        <v>1</v>
      </c>
    </row>
    <row r="37" spans="2:44" hidden="1" outlineLevel="1" x14ac:dyDescent="0.3">
      <c r="B37" s="250"/>
      <c r="M37" s="250"/>
      <c r="X37" s="250"/>
      <c r="AI37" s="250"/>
    </row>
    <row r="38" spans="2:44" collapsed="1" x14ac:dyDescent="0.3"/>
    <row r="39" spans="2:44" x14ac:dyDescent="0.3">
      <c r="B39" s="50" t="s">
        <v>4423</v>
      </c>
      <c r="H39" s="50" t="s">
        <v>4409</v>
      </c>
      <c r="N39" s="50" t="s">
        <v>1042</v>
      </c>
    </row>
    <row r="40" spans="2:44" hidden="1" outlineLevel="1" x14ac:dyDescent="0.3">
      <c r="O40" s="774" t="s">
        <v>1049</v>
      </c>
      <c r="P40" s="774"/>
      <c r="Q40" s="774"/>
      <c r="R40" s="774"/>
      <c r="S40" s="774"/>
    </row>
    <row r="41" spans="2:44" hidden="1" outlineLevel="1" x14ac:dyDescent="0.3">
      <c r="C41" s="57" t="s">
        <v>940</v>
      </c>
      <c r="D41" s="58">
        <v>0.99990000000000001</v>
      </c>
      <c r="E41" s="58">
        <v>0.99950000000000006</v>
      </c>
      <c r="F41" s="58">
        <v>0.998</v>
      </c>
      <c r="G41" s="58">
        <v>0.995</v>
      </c>
      <c r="H41" s="57"/>
      <c r="I41" s="58">
        <v>0.99990000000000001</v>
      </c>
      <c r="J41" s="58">
        <v>0.99950000000000006</v>
      </c>
      <c r="K41" s="58">
        <v>0.998</v>
      </c>
      <c r="L41" s="58">
        <v>0.995</v>
      </c>
      <c r="O41" s="52" t="s">
        <v>1055</v>
      </c>
      <c r="P41" s="58">
        <v>0.99990000000000001</v>
      </c>
      <c r="Q41" s="58">
        <v>0.99950000000000006</v>
      </c>
      <c r="R41" s="58">
        <v>0.998</v>
      </c>
      <c r="S41" s="58">
        <v>0.995</v>
      </c>
    </row>
    <row r="42" spans="2:44" hidden="1" outlineLevel="1" x14ac:dyDescent="0.3">
      <c r="C42" s="18" t="s">
        <v>1074</v>
      </c>
      <c r="D42" s="78">
        <v>0.55000000000000004</v>
      </c>
      <c r="E42" s="78">
        <v>0.5</v>
      </c>
      <c r="F42" s="78">
        <v>0.45</v>
      </c>
      <c r="G42" s="78">
        <v>0.4</v>
      </c>
      <c r="H42" s="18" t="s">
        <v>1092</v>
      </c>
      <c r="I42" s="78">
        <v>0.48</v>
      </c>
      <c r="J42" s="78">
        <v>0.44</v>
      </c>
      <c r="K42" s="78">
        <v>0.39</v>
      </c>
      <c r="L42" s="78">
        <v>0.35</v>
      </c>
      <c r="O42" s="52" t="s">
        <v>1066</v>
      </c>
      <c r="P42" s="54">
        <v>3.0000000000000001E-3</v>
      </c>
      <c r="Q42" s="54">
        <v>2.3999999999999998E-3</v>
      </c>
      <c r="R42" s="54">
        <v>1.9E-3</v>
      </c>
      <c r="S42" s="54">
        <v>1.6000000000000001E-3</v>
      </c>
    </row>
    <row r="43" spans="2:44" hidden="1" outlineLevel="1" x14ac:dyDescent="0.3">
      <c r="C43" s="18" t="s">
        <v>1075</v>
      </c>
      <c r="D43" s="78">
        <v>0.66</v>
      </c>
      <c r="E43" s="78">
        <v>0.6</v>
      </c>
      <c r="F43" s="78">
        <v>0.54</v>
      </c>
      <c r="G43" s="78">
        <v>0.48</v>
      </c>
      <c r="H43" s="18" t="s">
        <v>1093</v>
      </c>
      <c r="I43" s="78">
        <v>0.69</v>
      </c>
      <c r="J43" s="78">
        <v>0.63</v>
      </c>
      <c r="K43" s="78">
        <v>0.56000000000000005</v>
      </c>
      <c r="L43" s="78">
        <v>0.5</v>
      </c>
      <c r="O43" s="52" t="s">
        <v>925</v>
      </c>
      <c r="P43" s="54">
        <v>7.7999999999999996E-3</v>
      </c>
      <c r="Q43" s="54">
        <v>6.1999999999999998E-3</v>
      </c>
      <c r="R43" s="54">
        <v>4.8999999999999998E-3</v>
      </c>
      <c r="S43" s="54">
        <v>4.1000000000000003E-3</v>
      </c>
    </row>
    <row r="44" spans="2:44" hidden="1" outlineLevel="1" x14ac:dyDescent="0.3">
      <c r="C44" s="18" t="s">
        <v>1076</v>
      </c>
      <c r="D44" s="78">
        <v>0.77</v>
      </c>
      <c r="E44" s="78">
        <v>0.7</v>
      </c>
      <c r="F44" s="78">
        <v>0.63</v>
      </c>
      <c r="G44" s="78">
        <v>0.56000000000000005</v>
      </c>
      <c r="O44" s="52" t="s">
        <v>898</v>
      </c>
      <c r="P44" s="54">
        <v>2.1600000000000001E-2</v>
      </c>
      <c r="Q44" s="54">
        <v>1.7100000000000001E-2</v>
      </c>
      <c r="R44" s="54">
        <v>1.37E-2</v>
      </c>
      <c r="S44" s="54">
        <v>1.14E-2</v>
      </c>
    </row>
    <row r="45" spans="2:44" hidden="1" outlineLevel="1" x14ac:dyDescent="0.3">
      <c r="C45" s="18" t="s">
        <v>1077</v>
      </c>
      <c r="D45" s="78">
        <v>0.88</v>
      </c>
      <c r="E45" s="78">
        <v>0.8</v>
      </c>
      <c r="F45" s="78">
        <v>0.72</v>
      </c>
      <c r="G45" s="78">
        <v>0.64</v>
      </c>
      <c r="O45" s="52" t="s">
        <v>926</v>
      </c>
      <c r="P45" s="54">
        <v>0.1719</v>
      </c>
      <c r="Q45" s="54">
        <v>0.13569999999999999</v>
      </c>
      <c r="R45" s="54">
        <v>0.1086</v>
      </c>
      <c r="S45" s="54">
        <v>9.0499999999999997E-2</v>
      </c>
    </row>
    <row r="46" spans="2:44" hidden="1" outlineLevel="1" x14ac:dyDescent="0.3">
      <c r="C46" s="50"/>
    </row>
    <row r="47" spans="2:44" hidden="1" outlineLevel="1" x14ac:dyDescent="0.3">
      <c r="C47" s="57" t="s">
        <v>944</v>
      </c>
      <c r="D47" s="55">
        <v>0.99990000000000001</v>
      </c>
      <c r="E47" s="55">
        <v>0.99950000000000006</v>
      </c>
      <c r="F47" s="55">
        <v>0.998</v>
      </c>
      <c r="G47" s="55">
        <v>0.995</v>
      </c>
      <c r="O47" s="52" t="s">
        <v>947</v>
      </c>
      <c r="P47" s="54">
        <v>1</v>
      </c>
      <c r="Q47" s="54">
        <v>1</v>
      </c>
      <c r="R47" s="54">
        <v>1</v>
      </c>
      <c r="S47" s="54">
        <v>1</v>
      </c>
    </row>
    <row r="48" spans="2:44" hidden="1" outlineLevel="1" x14ac:dyDescent="0.3">
      <c r="C48" s="18" t="s">
        <v>1074</v>
      </c>
      <c r="D48" s="78">
        <v>0.66</v>
      </c>
      <c r="E48" s="78">
        <v>0.6</v>
      </c>
      <c r="F48" s="78">
        <v>0.54</v>
      </c>
      <c r="G48" s="78">
        <v>0.48</v>
      </c>
      <c r="H48" s="79"/>
      <c r="O48" s="52" t="s">
        <v>396</v>
      </c>
      <c r="P48" s="54">
        <v>0</v>
      </c>
      <c r="Q48" s="54">
        <v>0</v>
      </c>
      <c r="R48" s="54">
        <v>0</v>
      </c>
      <c r="S48" s="54">
        <v>0</v>
      </c>
    </row>
    <row r="49" spans="2:27" hidden="1" outlineLevel="1" x14ac:dyDescent="0.3">
      <c r="C49" s="18" t="s">
        <v>1075</v>
      </c>
      <c r="D49" s="78">
        <v>0.77</v>
      </c>
      <c r="E49" s="78">
        <v>0.7</v>
      </c>
      <c r="F49" s="78">
        <v>0.63</v>
      </c>
      <c r="G49" s="78">
        <v>0.56000000000000005</v>
      </c>
      <c r="O49" s="52" t="s">
        <v>1064</v>
      </c>
      <c r="P49" s="54">
        <f>F18</f>
        <v>2.4500000000000001E-2</v>
      </c>
      <c r="Q49" s="54">
        <f>Q18</f>
        <v>1.9400000000000001E-2</v>
      </c>
      <c r="R49" s="54">
        <f>AB18</f>
        <v>1.55E-2</v>
      </c>
      <c r="S49" s="54">
        <f>AM18</f>
        <v>1.29E-2</v>
      </c>
    </row>
    <row r="50" spans="2:27" hidden="1" outlineLevel="1" x14ac:dyDescent="0.3">
      <c r="C50" s="18" t="s">
        <v>1076</v>
      </c>
      <c r="D50" s="78">
        <v>0.88</v>
      </c>
      <c r="E50" s="78">
        <v>0.8</v>
      </c>
      <c r="F50" s="78">
        <v>0.72</v>
      </c>
      <c r="G50" s="78">
        <v>0.64</v>
      </c>
      <c r="O50" s="52" t="s">
        <v>1041</v>
      </c>
      <c r="P50" s="54">
        <v>9.5000000000000001E-2</v>
      </c>
      <c r="Q50" s="54">
        <v>7.4999999999999997E-2</v>
      </c>
      <c r="R50" s="54">
        <v>0.06</v>
      </c>
      <c r="S50" s="54">
        <v>0.05</v>
      </c>
    </row>
    <row r="51" spans="2:27" hidden="1" outlineLevel="1" x14ac:dyDescent="0.3">
      <c r="C51" s="18" t="s">
        <v>1077</v>
      </c>
      <c r="D51" s="78">
        <v>0.99</v>
      </c>
      <c r="E51" s="78">
        <v>0.9</v>
      </c>
      <c r="F51" s="78">
        <v>0.81</v>
      </c>
      <c r="G51" s="78">
        <v>0.72</v>
      </c>
      <c r="O51" s="52" t="s">
        <v>877</v>
      </c>
      <c r="P51" s="54">
        <v>6.8999999999999999E-3</v>
      </c>
      <c r="Q51" s="54">
        <v>5.4000000000000003E-3</v>
      </c>
      <c r="R51" s="54">
        <v>4.4000000000000003E-3</v>
      </c>
      <c r="S51" s="54">
        <v>3.5999999999999999E-3</v>
      </c>
    </row>
    <row r="52" spans="2:27" hidden="1" outlineLevel="1" x14ac:dyDescent="0.3">
      <c r="X52" s="80"/>
      <c r="Y52" s="80"/>
      <c r="Z52" s="80"/>
      <c r="AA52" s="80"/>
    </row>
    <row r="53" spans="2:27" hidden="1" outlineLevel="1" x14ac:dyDescent="0.3">
      <c r="C53" s="159"/>
    </row>
    <row r="54" spans="2:27" collapsed="1" x14ac:dyDescent="0.3"/>
    <row r="55" spans="2:27" x14ac:dyDescent="0.3">
      <c r="B55" s="50" t="s">
        <v>4422</v>
      </c>
    </row>
    <row r="56" spans="2:27" hidden="1" outlineLevel="1" x14ac:dyDescent="0.3"/>
    <row r="57" spans="2:27" hidden="1" outlineLevel="1" x14ac:dyDescent="0.3">
      <c r="D57" s="160">
        <v>0.99990000000000001</v>
      </c>
      <c r="E57" s="160">
        <v>0.99950000000000006</v>
      </c>
      <c r="F57" s="160">
        <v>0.998</v>
      </c>
      <c r="G57" s="160">
        <v>0.995</v>
      </c>
      <c r="O57" s="774" t="s">
        <v>3094</v>
      </c>
      <c r="P57" s="774"/>
      <c r="Q57" s="774"/>
      <c r="R57" s="774"/>
      <c r="S57" s="774"/>
    </row>
    <row r="58" spans="2:27" hidden="1" outlineLevel="1" x14ac:dyDescent="0.3">
      <c r="D58" s="774" t="s">
        <v>1053</v>
      </c>
      <c r="E58" s="774"/>
      <c r="F58" s="774"/>
      <c r="G58" s="774"/>
      <c r="O58" s="52"/>
      <c r="P58" s="58">
        <v>0.99990000000000001</v>
      </c>
      <c r="Q58" s="58">
        <v>0.99950000000000006</v>
      </c>
      <c r="R58" s="58">
        <v>0.998</v>
      </c>
      <c r="S58" s="58">
        <v>0.995</v>
      </c>
    </row>
    <row r="59" spans="2:27" hidden="1" outlineLevel="1" x14ac:dyDescent="0.3">
      <c r="C59" s="16" t="s">
        <v>1074</v>
      </c>
      <c r="D59" s="78">
        <v>0.15</v>
      </c>
      <c r="E59" s="78">
        <v>0.13</v>
      </c>
      <c r="F59" s="78">
        <v>0.11</v>
      </c>
      <c r="G59" s="78">
        <v>0.09</v>
      </c>
      <c r="P59" s="56">
        <v>1.1900000000000001E-2</v>
      </c>
      <c r="Q59" s="56">
        <v>9.4000000000000004E-3</v>
      </c>
      <c r="R59" s="56">
        <v>7.4999999999999997E-3</v>
      </c>
      <c r="S59" s="56">
        <v>6.3E-3</v>
      </c>
    </row>
    <row r="60" spans="2:27" hidden="1" outlineLevel="1" x14ac:dyDescent="0.3">
      <c r="C60" s="16" t="s">
        <v>1075</v>
      </c>
      <c r="D60" s="78">
        <v>0.2</v>
      </c>
      <c r="E60" s="78">
        <v>0.18</v>
      </c>
      <c r="F60" s="78">
        <v>0.15</v>
      </c>
      <c r="G60" s="78">
        <v>0.12</v>
      </c>
    </row>
    <row r="61" spans="2:27" hidden="1" outlineLevel="1" x14ac:dyDescent="0.3">
      <c r="C61" s="16" t="s">
        <v>1076</v>
      </c>
      <c r="D61" s="78">
        <v>0.3</v>
      </c>
      <c r="E61" s="78">
        <v>0.27</v>
      </c>
      <c r="F61" s="78">
        <v>0.24</v>
      </c>
      <c r="G61" s="78">
        <v>0.2</v>
      </c>
    </row>
    <row r="62" spans="2:27" hidden="1" outlineLevel="1" x14ac:dyDescent="0.3">
      <c r="C62" s="16" t="s">
        <v>1077</v>
      </c>
      <c r="D62" s="78">
        <v>0.35</v>
      </c>
      <c r="E62" s="78">
        <v>0.31</v>
      </c>
      <c r="F62" s="78">
        <v>0.27</v>
      </c>
      <c r="G62" s="78">
        <v>0.24</v>
      </c>
    </row>
    <row r="63" spans="2:27" hidden="1" outlineLevel="1" x14ac:dyDescent="0.3">
      <c r="C63" s="16"/>
      <c r="D63" s="774" t="s">
        <v>230</v>
      </c>
      <c r="E63" s="774"/>
      <c r="F63" s="774"/>
      <c r="G63" s="774"/>
    </row>
    <row r="64" spans="2:27" hidden="1" outlineLevel="1" x14ac:dyDescent="0.3">
      <c r="C64" s="16" t="s">
        <v>1074</v>
      </c>
      <c r="D64" s="78">
        <v>0.23</v>
      </c>
      <c r="E64" s="78">
        <v>0.2</v>
      </c>
      <c r="F64" s="78">
        <v>0.17</v>
      </c>
      <c r="G64" s="78">
        <v>0.14000000000000001</v>
      </c>
    </row>
    <row r="65" spans="2:13" hidden="1" outlineLevel="1" x14ac:dyDescent="0.3">
      <c r="C65" s="16" t="s">
        <v>1075</v>
      </c>
      <c r="D65" s="78">
        <v>0.28000000000000003</v>
      </c>
      <c r="E65" s="78">
        <v>0.25</v>
      </c>
      <c r="F65" s="78">
        <v>0.21</v>
      </c>
      <c r="G65" s="78">
        <v>0.17</v>
      </c>
    </row>
    <row r="66" spans="2:13" hidden="1" outlineLevel="1" x14ac:dyDescent="0.3">
      <c r="C66" s="16" t="s">
        <v>1076</v>
      </c>
      <c r="D66" s="78">
        <v>0.38</v>
      </c>
      <c r="E66" s="78">
        <v>0.34</v>
      </c>
      <c r="F66" s="78">
        <v>0.3</v>
      </c>
      <c r="G66" s="78">
        <v>0.25</v>
      </c>
    </row>
    <row r="67" spans="2:13" hidden="1" outlineLevel="1" x14ac:dyDescent="0.3">
      <c r="C67" s="16" t="s">
        <v>1077</v>
      </c>
      <c r="D67" s="78">
        <v>0.43</v>
      </c>
      <c r="E67" s="78">
        <v>0.38</v>
      </c>
      <c r="F67" s="78">
        <v>0.33</v>
      </c>
      <c r="G67" s="78">
        <v>0.28999999999999998</v>
      </c>
    </row>
    <row r="68" spans="2:13" hidden="1" outlineLevel="1" x14ac:dyDescent="0.3"/>
    <row r="69" spans="2:13" collapsed="1" x14ac:dyDescent="0.3">
      <c r="C69" s="49"/>
      <c r="H69" s="158"/>
      <c r="M69" s="81"/>
    </row>
    <row r="70" spans="2:13" x14ac:dyDescent="0.3">
      <c r="B70" s="50" t="s">
        <v>392</v>
      </c>
    </row>
    <row r="71" spans="2:13" hidden="1" outlineLevel="1" x14ac:dyDescent="0.3">
      <c r="C71" s="49"/>
      <c r="H71" s="158"/>
    </row>
    <row r="72" spans="2:13" hidden="1" outlineLevel="1" x14ac:dyDescent="0.3">
      <c r="C72" s="49"/>
      <c r="D72" s="774" t="s">
        <v>390</v>
      </c>
      <c r="E72" s="774"/>
      <c r="F72" s="774"/>
      <c r="G72" s="774"/>
      <c r="H72" s="774"/>
      <c r="I72" s="774"/>
      <c r="J72" s="774"/>
      <c r="K72" s="50"/>
    </row>
    <row r="73" spans="2:13" hidden="1" outlineLevel="1" x14ac:dyDescent="0.3">
      <c r="C73" s="49"/>
      <c r="D73" s="58" t="s">
        <v>0</v>
      </c>
      <c r="E73" s="57" t="s">
        <v>1</v>
      </c>
      <c r="F73" s="57" t="s">
        <v>2</v>
      </c>
      <c r="G73" s="57" t="s">
        <v>3</v>
      </c>
      <c r="H73" s="166" t="s">
        <v>4</v>
      </c>
      <c r="I73" s="166" t="s">
        <v>5</v>
      </c>
      <c r="J73" s="166" t="s">
        <v>12</v>
      </c>
      <c r="K73" s="166" t="s">
        <v>1123</v>
      </c>
    </row>
    <row r="74" spans="2:13" hidden="1" outlineLevel="1" x14ac:dyDescent="0.3">
      <c r="B74" s="802" t="s">
        <v>391</v>
      </c>
      <c r="C74" s="58">
        <v>0.99990000000000001</v>
      </c>
      <c r="D74" s="54">
        <v>5.1999999999999998E-3</v>
      </c>
      <c r="E74" s="54">
        <v>1.38E-2</v>
      </c>
      <c r="F74" s="54">
        <v>1.89E-2</v>
      </c>
      <c r="G74" s="54">
        <v>3.8600000000000002E-2</v>
      </c>
      <c r="H74" s="54">
        <v>9.1899999999999996E-2</v>
      </c>
      <c r="I74" s="54">
        <v>0.1421</v>
      </c>
      <c r="J74" s="54">
        <v>0.57999999999999996</v>
      </c>
      <c r="K74" s="54">
        <v>0.57999999999999996</v>
      </c>
    </row>
    <row r="75" spans="2:13" hidden="1" outlineLevel="1" x14ac:dyDescent="0.3">
      <c r="B75" s="802"/>
      <c r="C75" s="58">
        <v>0.99950000000000006</v>
      </c>
      <c r="D75" s="54">
        <v>4.1000000000000003E-3</v>
      </c>
      <c r="E75" s="54">
        <v>1.09E-2</v>
      </c>
      <c r="F75" s="54">
        <v>1.49E-2</v>
      </c>
      <c r="G75" s="54">
        <v>3.0499999999999999E-2</v>
      </c>
      <c r="H75" s="54">
        <v>7.2599999999999998E-2</v>
      </c>
      <c r="I75" s="54">
        <v>0.11219999999999999</v>
      </c>
      <c r="J75" s="54">
        <v>0.52769999999999995</v>
      </c>
      <c r="K75" s="54">
        <v>0.55000000000000004</v>
      </c>
    </row>
    <row r="76" spans="2:13" hidden="1" outlineLevel="1" x14ac:dyDescent="0.3">
      <c r="B76" s="802"/>
      <c r="C76" s="58">
        <v>0.998</v>
      </c>
      <c r="D76" s="54">
        <v>3.3E-3</v>
      </c>
      <c r="E76" s="54">
        <v>8.6999999999999994E-3</v>
      </c>
      <c r="F76" s="54">
        <v>1.1900000000000001E-2</v>
      </c>
      <c r="G76" s="54">
        <v>2.4400000000000002E-2</v>
      </c>
      <c r="H76" s="54">
        <v>5.8000000000000003E-2</v>
      </c>
      <c r="I76" s="54">
        <v>8.9800000000000005E-2</v>
      </c>
      <c r="J76" s="54">
        <v>0.42220000000000002</v>
      </c>
      <c r="K76" s="54">
        <v>0.53</v>
      </c>
    </row>
    <row r="77" spans="2:13" hidden="1" outlineLevel="1" x14ac:dyDescent="0.3">
      <c r="B77" s="802"/>
      <c r="C77" s="58">
        <v>0.995</v>
      </c>
      <c r="D77" s="54">
        <v>2.8E-3</v>
      </c>
      <c r="E77" s="54">
        <v>7.3000000000000001E-3</v>
      </c>
      <c r="F77" s="54">
        <v>9.9000000000000008E-3</v>
      </c>
      <c r="G77" s="54">
        <v>2.0299999999999999E-2</v>
      </c>
      <c r="H77" s="54">
        <v>4.8399999999999999E-2</v>
      </c>
      <c r="I77" s="54">
        <v>7.4800000000000005E-2</v>
      </c>
      <c r="J77" s="54">
        <v>0.3518</v>
      </c>
      <c r="K77" s="54">
        <v>0.5</v>
      </c>
    </row>
    <row r="78" spans="2:13" hidden="1" outlineLevel="1" x14ac:dyDescent="0.3">
      <c r="B78" s="86"/>
    </row>
    <row r="79" spans="2:13" hidden="1" outlineLevel="1" x14ac:dyDescent="0.3">
      <c r="B79" s="86"/>
    </row>
    <row r="80" spans="2:13" hidden="1" outlineLevel="1" x14ac:dyDescent="0.3">
      <c r="B80" s="774" t="s">
        <v>1119</v>
      </c>
      <c r="C80" s="774"/>
      <c r="D80" s="774"/>
      <c r="E80" s="774"/>
      <c r="F80" s="774"/>
      <c r="G80" s="774"/>
    </row>
    <row r="81" spans="2:33" hidden="1" outlineLevel="1" x14ac:dyDescent="0.3">
      <c r="B81" s="106">
        <f t="array" ref="B81:G90">TRANSPOSE(B72:K77)</f>
        <v>0</v>
      </c>
      <c r="C81" s="106">
        <v>0</v>
      </c>
      <c r="D81" s="106" t="str">
        <v>Stress Level</v>
      </c>
      <c r="E81" s="106">
        <v>0</v>
      </c>
      <c r="F81" s="106">
        <v>0</v>
      </c>
      <c r="G81" s="106">
        <v>0</v>
      </c>
      <c r="H81" s="158"/>
    </row>
    <row r="82" spans="2:33" hidden="1" outlineLevel="1" x14ac:dyDescent="0.3">
      <c r="B82" s="106">
        <v>0</v>
      </c>
      <c r="C82" s="106">
        <v>0</v>
      </c>
      <c r="D82" s="56">
        <v>0.99990000000000001</v>
      </c>
      <c r="E82" s="56">
        <v>0.99950000000000006</v>
      </c>
      <c r="F82" s="56">
        <v>0.998</v>
      </c>
      <c r="G82" s="56">
        <v>0.995</v>
      </c>
      <c r="H82" s="158"/>
    </row>
    <row r="83" spans="2:33" hidden="1" outlineLevel="1" x14ac:dyDescent="0.3">
      <c r="B83" s="106" t="str">
        <v>Reinsurer Rating</v>
      </c>
      <c r="C83" s="106" t="str">
        <v>AAA</v>
      </c>
      <c r="D83" s="56">
        <v>5.1999999999999998E-3</v>
      </c>
      <c r="E83" s="56">
        <v>4.1000000000000003E-3</v>
      </c>
      <c r="F83" s="56">
        <v>3.3E-3</v>
      </c>
      <c r="G83" s="56">
        <v>2.8E-3</v>
      </c>
      <c r="H83" s="158"/>
    </row>
    <row r="84" spans="2:33" hidden="1" outlineLevel="1" x14ac:dyDescent="0.3">
      <c r="B84" s="106">
        <v>0</v>
      </c>
      <c r="C84" s="106" t="str">
        <v>AA</v>
      </c>
      <c r="D84" s="56">
        <v>1.38E-2</v>
      </c>
      <c r="E84" s="56">
        <v>1.09E-2</v>
      </c>
      <c r="F84" s="56">
        <v>8.6999999999999994E-3</v>
      </c>
      <c r="G84" s="56">
        <v>7.3000000000000001E-3</v>
      </c>
      <c r="H84" s="158"/>
    </row>
    <row r="85" spans="2:33" hidden="1" outlineLevel="1" x14ac:dyDescent="0.3">
      <c r="B85" s="106">
        <v>0</v>
      </c>
      <c r="C85" s="106" t="str">
        <v>A</v>
      </c>
      <c r="D85" s="56">
        <v>1.89E-2</v>
      </c>
      <c r="E85" s="56">
        <v>1.49E-2</v>
      </c>
      <c r="F85" s="56">
        <v>1.1900000000000001E-2</v>
      </c>
      <c r="G85" s="56">
        <v>9.9000000000000008E-3</v>
      </c>
      <c r="H85" s="158"/>
    </row>
    <row r="86" spans="2:33" hidden="1" outlineLevel="1" x14ac:dyDescent="0.3">
      <c r="B86" s="106">
        <v>0</v>
      </c>
      <c r="C86" s="106" t="str">
        <v>BBB</v>
      </c>
      <c r="D86" s="56">
        <v>3.8600000000000002E-2</v>
      </c>
      <c r="E86" s="56">
        <v>3.0499999999999999E-2</v>
      </c>
      <c r="F86" s="56">
        <v>2.4400000000000002E-2</v>
      </c>
      <c r="G86" s="56">
        <v>2.0299999999999999E-2</v>
      </c>
      <c r="H86" s="158"/>
    </row>
    <row r="87" spans="2:33" ht="15.75" hidden="1" customHeight="1" outlineLevel="1" x14ac:dyDescent="0.3">
      <c r="B87" s="106">
        <v>0</v>
      </c>
      <c r="C87" s="106" t="str">
        <v>BB</v>
      </c>
      <c r="D87" s="56">
        <v>9.1899999999999996E-2</v>
      </c>
      <c r="E87" s="56">
        <v>7.2599999999999998E-2</v>
      </c>
      <c r="F87" s="56">
        <v>5.8000000000000003E-2</v>
      </c>
      <c r="G87" s="56">
        <v>4.8399999999999999E-2</v>
      </c>
      <c r="H87" s="158"/>
    </row>
    <row r="88" spans="2:33" ht="15.75" hidden="1" customHeight="1" outlineLevel="1" x14ac:dyDescent="0.3">
      <c r="B88" s="106">
        <v>0</v>
      </c>
      <c r="C88" s="106" t="str">
        <v>B</v>
      </c>
      <c r="D88" s="56">
        <v>0.1421</v>
      </c>
      <c r="E88" s="56">
        <v>0.11219999999999999</v>
      </c>
      <c r="F88" s="56">
        <v>8.9800000000000005E-2</v>
      </c>
      <c r="G88" s="56">
        <v>7.4800000000000005E-2</v>
      </c>
      <c r="H88" s="158"/>
    </row>
    <row r="89" spans="2:33" hidden="1" outlineLevel="1" x14ac:dyDescent="0.3">
      <c r="B89" s="106">
        <v>0</v>
      </c>
      <c r="C89" s="106" t="str">
        <v>CCC</v>
      </c>
      <c r="D89" s="56">
        <v>0.57999999999999996</v>
      </c>
      <c r="E89" s="56">
        <v>0.52769999999999995</v>
      </c>
      <c r="F89" s="56">
        <v>0.42220000000000002</v>
      </c>
      <c r="G89" s="56">
        <v>0.3518</v>
      </c>
      <c r="H89" s="158"/>
    </row>
    <row r="90" spans="2:33" hidden="1" outlineLevel="1" x14ac:dyDescent="0.3">
      <c r="B90" s="106">
        <v>0</v>
      </c>
      <c r="C90" s="106" t="str">
        <v>D</v>
      </c>
      <c r="D90" s="56">
        <v>0.57999999999999996</v>
      </c>
      <c r="E90" s="56">
        <v>0.55000000000000004</v>
      </c>
      <c r="F90" s="56">
        <v>0.53</v>
      </c>
      <c r="G90" s="56">
        <v>0.5</v>
      </c>
      <c r="H90" s="158"/>
    </row>
    <row r="91" spans="2:33" collapsed="1" x14ac:dyDescent="0.3">
      <c r="C91" s="49"/>
      <c r="H91" s="158"/>
      <c r="AE91" s="158"/>
      <c r="AG91" s="158"/>
    </row>
    <row r="92" spans="2:33" x14ac:dyDescent="0.3">
      <c r="B92" s="50" t="s">
        <v>4424</v>
      </c>
      <c r="AE92" s="158"/>
    </row>
    <row r="93" spans="2:33" ht="15" hidden="1" customHeight="1" outlineLevel="1" x14ac:dyDescent="0.3"/>
    <row r="94" spans="2:33" hidden="1" outlineLevel="1" x14ac:dyDescent="0.3">
      <c r="D94" s="804" t="s">
        <v>1033</v>
      </c>
      <c r="E94" s="804"/>
      <c r="F94" s="804"/>
      <c r="G94" s="804"/>
      <c r="H94" s="804"/>
      <c r="I94" s="805"/>
      <c r="J94" s="804" t="s">
        <v>1034</v>
      </c>
      <c r="K94" s="804"/>
    </row>
    <row r="95" spans="2:33" hidden="1" outlineLevel="1" x14ac:dyDescent="0.3">
      <c r="D95" s="777" t="s">
        <v>797</v>
      </c>
      <c r="E95" s="777"/>
      <c r="F95" s="777"/>
      <c r="G95" s="776" t="s">
        <v>1036</v>
      </c>
      <c r="H95" s="776" t="s">
        <v>798</v>
      </c>
      <c r="I95" s="806" t="s">
        <v>874</v>
      </c>
      <c r="J95" s="777" t="s">
        <v>1030</v>
      </c>
      <c r="K95" s="776" t="s">
        <v>1035</v>
      </c>
    </row>
    <row r="96" spans="2:33" ht="15" hidden="1" customHeight="1" outlineLevel="1" x14ac:dyDescent="0.3">
      <c r="D96" s="777" t="s">
        <v>1032</v>
      </c>
      <c r="E96" s="777"/>
      <c r="F96" s="777"/>
      <c r="G96" s="776"/>
      <c r="H96" s="776"/>
      <c r="I96" s="806"/>
      <c r="J96" s="777"/>
      <c r="K96" s="776"/>
    </row>
    <row r="97" spans="2:17" hidden="1" outlineLevel="1" x14ac:dyDescent="0.3">
      <c r="D97" s="31" t="s">
        <v>1070</v>
      </c>
      <c r="E97" s="166" t="s">
        <v>1054</v>
      </c>
      <c r="F97" s="166" t="s">
        <v>1071</v>
      </c>
      <c r="G97" s="776"/>
      <c r="H97" s="776"/>
      <c r="I97" s="806"/>
      <c r="J97" s="777"/>
      <c r="K97" s="776"/>
    </row>
    <row r="98" spans="2:17" hidden="1" outlineLevel="1" x14ac:dyDescent="0.3">
      <c r="B98" s="778" t="s">
        <v>1067</v>
      </c>
      <c r="C98" s="18" t="s">
        <v>1068</v>
      </c>
      <c r="D98" s="56">
        <v>4.8000000000000001E-2</v>
      </c>
      <c r="E98" s="56">
        <v>6.7000000000000004E-2</v>
      </c>
      <c r="F98" s="56">
        <v>9.5000000000000001E-2</v>
      </c>
      <c r="G98" s="56">
        <v>0.34899999999999998</v>
      </c>
      <c r="H98" s="56">
        <v>0.69899999999999995</v>
      </c>
      <c r="I98" s="165">
        <v>0.28599999999999998</v>
      </c>
      <c r="J98" s="56">
        <v>3.3000000000000002E-2</v>
      </c>
      <c r="K98" s="809">
        <v>0.35</v>
      </c>
      <c r="L98" s="803">
        <v>0.99990000000000001</v>
      </c>
    </row>
    <row r="99" spans="2:17" hidden="1" outlineLevel="1" x14ac:dyDescent="0.3">
      <c r="B99" s="778"/>
      <c r="C99" s="18" t="s">
        <v>1073</v>
      </c>
      <c r="D99" s="56">
        <v>5.5E-2</v>
      </c>
      <c r="E99" s="56">
        <v>7.6999999999999999E-2</v>
      </c>
      <c r="F99" s="56">
        <v>0.11</v>
      </c>
      <c r="G99" s="56">
        <v>0.40300000000000002</v>
      </c>
      <c r="H99" s="56">
        <v>0.80600000000000005</v>
      </c>
      <c r="I99" s="165">
        <v>0.33</v>
      </c>
      <c r="J99" s="56">
        <v>3.7999999999999999E-2</v>
      </c>
      <c r="K99" s="809"/>
      <c r="L99" s="778"/>
    </row>
    <row r="100" spans="2:17" hidden="1" outlineLevel="1" x14ac:dyDescent="0.3">
      <c r="B100" s="778"/>
      <c r="C100" s="18" t="s">
        <v>1069</v>
      </c>
      <c r="D100" s="56">
        <v>0.06</v>
      </c>
      <c r="E100" s="56">
        <v>8.4000000000000005E-2</v>
      </c>
      <c r="F100" s="56">
        <v>0.11899999999999999</v>
      </c>
      <c r="G100" s="56">
        <v>0.438</v>
      </c>
      <c r="H100" s="56">
        <v>0.876</v>
      </c>
      <c r="I100" s="165">
        <v>0.35799999999999998</v>
      </c>
      <c r="J100" s="56">
        <v>4.2000000000000003E-2</v>
      </c>
      <c r="K100" s="809"/>
      <c r="L100" s="778"/>
    </row>
    <row r="101" spans="2:17" hidden="1" outlineLevel="1" x14ac:dyDescent="0.3">
      <c r="B101" s="778"/>
      <c r="C101" s="18" t="s">
        <v>1068</v>
      </c>
      <c r="D101" s="56">
        <v>3.6999999999999998E-2</v>
      </c>
      <c r="E101" s="56">
        <v>5.0999999999999997E-2</v>
      </c>
      <c r="F101" s="56">
        <v>7.2999999999999995E-2</v>
      </c>
      <c r="G101" s="56">
        <v>0.30099999999999999</v>
      </c>
      <c r="H101" s="56">
        <v>0.60199999999999998</v>
      </c>
      <c r="I101" s="165">
        <v>0.22</v>
      </c>
      <c r="J101" s="56">
        <v>2.5999999999999999E-2</v>
      </c>
      <c r="K101" s="809">
        <v>0.3</v>
      </c>
      <c r="L101" s="803">
        <v>0.99950000000000006</v>
      </c>
    </row>
    <row r="102" spans="2:17" ht="15" hidden="1" customHeight="1" outlineLevel="1" x14ac:dyDescent="0.3">
      <c r="B102" s="778"/>
      <c r="C102" s="18" t="s">
        <v>1073</v>
      </c>
      <c r="D102" s="56">
        <v>4.3999999999999997E-2</v>
      </c>
      <c r="E102" s="56">
        <v>6.2E-2</v>
      </c>
      <c r="F102" s="56">
        <v>8.8999999999999996E-2</v>
      </c>
      <c r="G102" s="56">
        <v>0.36499999999999999</v>
      </c>
      <c r="H102" s="56">
        <v>0.73</v>
      </c>
      <c r="I102" s="165">
        <v>0.26700000000000002</v>
      </c>
      <c r="J102" s="56">
        <v>3.1E-2</v>
      </c>
      <c r="K102" s="809"/>
      <c r="L102" s="778"/>
    </row>
    <row r="103" spans="2:17" hidden="1" outlineLevel="1" x14ac:dyDescent="0.3">
      <c r="B103" s="778"/>
      <c r="C103" s="18" t="s">
        <v>1069</v>
      </c>
      <c r="D103" s="56">
        <v>0.05</v>
      </c>
      <c r="E103" s="56">
        <v>6.9000000000000006E-2</v>
      </c>
      <c r="F103" s="56">
        <v>9.9000000000000005E-2</v>
      </c>
      <c r="G103" s="56">
        <v>0.40600000000000003</v>
      </c>
      <c r="H103" s="56">
        <v>0.81299999999999994</v>
      </c>
      <c r="I103" s="165">
        <v>0.29699999999999999</v>
      </c>
      <c r="J103" s="56">
        <v>3.4000000000000002E-2</v>
      </c>
      <c r="K103" s="809"/>
      <c r="L103" s="778"/>
    </row>
    <row r="104" spans="2:17" hidden="1" outlineLevel="1" x14ac:dyDescent="0.3">
      <c r="B104" s="778"/>
      <c r="C104" s="18" t="s">
        <v>1068</v>
      </c>
      <c r="D104" s="56">
        <v>2.7E-2</v>
      </c>
      <c r="E104" s="56">
        <v>3.7999999999999999E-2</v>
      </c>
      <c r="F104" s="56">
        <v>5.5E-2</v>
      </c>
      <c r="G104" s="56">
        <v>0.254</v>
      </c>
      <c r="H104" s="56">
        <v>0.50800000000000001</v>
      </c>
      <c r="I104" s="165">
        <v>0.16400000000000001</v>
      </c>
      <c r="J104" s="56">
        <v>1.9E-2</v>
      </c>
      <c r="K104" s="809">
        <v>0.25</v>
      </c>
      <c r="L104" s="803">
        <v>0.998</v>
      </c>
    </row>
    <row r="105" spans="2:17" hidden="1" outlineLevel="1" x14ac:dyDescent="0.3">
      <c r="B105" s="778"/>
      <c r="C105" s="18" t="s">
        <v>1073</v>
      </c>
      <c r="D105" s="56">
        <v>3.5000000000000003E-2</v>
      </c>
      <c r="E105" s="56">
        <v>0.05</v>
      </c>
      <c r="F105" s="56">
        <v>7.0999999999999994E-2</v>
      </c>
      <c r="G105" s="56">
        <v>0.32800000000000001</v>
      </c>
      <c r="H105" s="56">
        <v>0.65600000000000003</v>
      </c>
      <c r="I105" s="165">
        <v>0.21199999999999999</v>
      </c>
      <c r="J105" s="56">
        <v>2.5000000000000001E-2</v>
      </c>
      <c r="K105" s="809"/>
      <c r="L105" s="778"/>
    </row>
    <row r="106" spans="2:17" hidden="1" outlineLevel="1" x14ac:dyDescent="0.3">
      <c r="B106" s="778"/>
      <c r="C106" s="18" t="s">
        <v>1069</v>
      </c>
      <c r="D106" s="56">
        <v>4.1000000000000002E-2</v>
      </c>
      <c r="E106" s="56">
        <v>5.7000000000000002E-2</v>
      </c>
      <c r="F106" s="56">
        <v>8.1000000000000003E-2</v>
      </c>
      <c r="G106" s="56">
        <v>0.376</v>
      </c>
      <c r="H106" s="56">
        <v>0.752</v>
      </c>
      <c r="I106" s="165">
        <v>0.24299999999999999</v>
      </c>
      <c r="J106" s="56">
        <v>2.8000000000000001E-2</v>
      </c>
      <c r="K106" s="809"/>
      <c r="L106" s="778"/>
    </row>
    <row r="107" spans="2:17" hidden="1" outlineLevel="1" x14ac:dyDescent="0.3">
      <c r="B107" s="778"/>
      <c r="C107" s="18" t="s">
        <v>1068</v>
      </c>
      <c r="D107" s="56">
        <v>2.1000000000000001E-2</v>
      </c>
      <c r="E107" s="56">
        <v>0.03</v>
      </c>
      <c r="F107" s="56">
        <v>4.2999999999999997E-2</v>
      </c>
      <c r="G107" s="56">
        <v>0.22</v>
      </c>
      <c r="H107" s="56">
        <v>0.439</v>
      </c>
      <c r="I107" s="165">
        <v>0.129</v>
      </c>
      <c r="J107" s="56">
        <v>1.4999999999999999E-2</v>
      </c>
      <c r="K107" s="809">
        <v>0.2</v>
      </c>
      <c r="L107" s="803">
        <v>0.995</v>
      </c>
    </row>
    <row r="108" spans="2:17" hidden="1" outlineLevel="1" x14ac:dyDescent="0.3">
      <c r="B108" s="778"/>
      <c r="C108" s="18" t="s">
        <v>1073</v>
      </c>
      <c r="D108" s="56">
        <v>2.9000000000000001E-2</v>
      </c>
      <c r="E108" s="56">
        <v>4.1000000000000002E-2</v>
      </c>
      <c r="F108" s="56">
        <v>5.8999999999999997E-2</v>
      </c>
      <c r="G108" s="56">
        <v>0.30099999999999999</v>
      </c>
      <c r="H108" s="56">
        <v>0.60199999999999998</v>
      </c>
      <c r="I108" s="165">
        <v>0.17599999999999999</v>
      </c>
      <c r="J108" s="56">
        <v>0.02</v>
      </c>
      <c r="K108" s="809"/>
      <c r="L108" s="778"/>
    </row>
    <row r="109" spans="2:17" hidden="1" outlineLevel="1" x14ac:dyDescent="0.3">
      <c r="B109" s="778"/>
      <c r="C109" s="18" t="s">
        <v>1069</v>
      </c>
      <c r="D109" s="56">
        <v>3.5000000000000003E-2</v>
      </c>
      <c r="E109" s="56">
        <v>4.8000000000000001E-2</v>
      </c>
      <c r="F109" s="56">
        <v>6.9000000000000006E-2</v>
      </c>
      <c r="G109" s="56">
        <v>0.35399999999999998</v>
      </c>
      <c r="H109" s="56">
        <v>0.70799999999999996</v>
      </c>
      <c r="I109" s="165">
        <v>0.20699999999999999</v>
      </c>
      <c r="J109" s="56">
        <v>2.4E-2</v>
      </c>
      <c r="K109" s="809"/>
      <c r="L109" s="778"/>
    </row>
    <row r="110" spans="2:17" hidden="1" outlineLevel="1" x14ac:dyDescent="0.3"/>
    <row r="111" spans="2:17" hidden="1" outlineLevel="1" x14ac:dyDescent="0.3"/>
    <row r="112" spans="2:17" collapsed="1" x14ac:dyDescent="0.3">
      <c r="N112" s="82"/>
      <c r="O112" s="82"/>
      <c r="P112" s="82"/>
      <c r="Q112" s="82"/>
    </row>
    <row r="113" spans="2:17" x14ac:dyDescent="0.3">
      <c r="B113" s="50" t="s">
        <v>4425</v>
      </c>
      <c r="N113" s="82"/>
      <c r="O113" s="82"/>
      <c r="P113" s="82"/>
      <c r="Q113" s="82"/>
    </row>
    <row r="114" spans="2:17" hidden="1" outlineLevel="1" x14ac:dyDescent="0.3">
      <c r="N114" s="82"/>
      <c r="O114" s="82"/>
      <c r="P114" s="82"/>
      <c r="Q114" s="82"/>
    </row>
    <row r="115" spans="2:17" hidden="1" outlineLevel="1" x14ac:dyDescent="0.3">
      <c r="C115" s="774" t="s">
        <v>282</v>
      </c>
      <c r="D115" s="774"/>
      <c r="E115" s="774"/>
      <c r="F115" s="774"/>
      <c r="G115" s="774"/>
      <c r="N115" s="82"/>
      <c r="O115" s="82"/>
      <c r="P115" s="82"/>
      <c r="Q115" s="82"/>
    </row>
    <row r="116" spans="2:17" hidden="1" outlineLevel="1" x14ac:dyDescent="0.3">
      <c r="C116" s="166" t="s">
        <v>2184</v>
      </c>
      <c r="D116" s="110">
        <v>0.99990000000000001</v>
      </c>
      <c r="E116" s="110">
        <v>0.99950000000000006</v>
      </c>
      <c r="F116" s="110">
        <v>0.998</v>
      </c>
      <c r="G116" s="110">
        <v>0.995</v>
      </c>
      <c r="N116" s="82"/>
      <c r="O116" s="82"/>
      <c r="P116" s="82"/>
      <c r="Q116" s="82"/>
    </row>
    <row r="117" spans="2:17" hidden="1" outlineLevel="1" x14ac:dyDescent="0.3">
      <c r="C117" s="158">
        <v>1</v>
      </c>
      <c r="D117" s="56">
        <f t="shared" ref="D117:F128" si="30">ROUND($G117*D$3,3)</f>
        <v>4.1000000000000002E-2</v>
      </c>
      <c r="E117" s="56">
        <f t="shared" si="30"/>
        <v>3.5000000000000003E-2</v>
      </c>
      <c r="F117" s="56">
        <f t="shared" si="30"/>
        <v>0.03</v>
      </c>
      <c r="G117" s="56">
        <v>2.5000000000000001E-2</v>
      </c>
      <c r="N117" s="82"/>
      <c r="O117" s="82"/>
      <c r="P117" s="82"/>
      <c r="Q117" s="82"/>
    </row>
    <row r="118" spans="2:17" hidden="1" outlineLevel="1" x14ac:dyDescent="0.3">
      <c r="C118" s="158">
        <v>2</v>
      </c>
      <c r="D118" s="56">
        <f t="shared" si="30"/>
        <v>8.3000000000000004E-2</v>
      </c>
      <c r="E118" s="56">
        <f t="shared" si="30"/>
        <v>7.0000000000000007E-2</v>
      </c>
      <c r="F118" s="56">
        <f t="shared" si="30"/>
        <v>0.06</v>
      </c>
      <c r="G118" s="56">
        <v>0.05</v>
      </c>
      <c r="N118" s="82"/>
      <c r="O118" s="82"/>
      <c r="P118" s="82"/>
      <c r="Q118" s="82"/>
    </row>
    <row r="119" spans="2:17" hidden="1" outlineLevel="1" x14ac:dyDescent="0.3">
      <c r="C119" s="158">
        <v>3</v>
      </c>
      <c r="D119" s="56">
        <f t="shared" si="30"/>
        <v>0.124</v>
      </c>
      <c r="E119" s="56">
        <f t="shared" si="30"/>
        <v>0.105</v>
      </c>
      <c r="F119" s="56">
        <f t="shared" si="30"/>
        <v>0.09</v>
      </c>
      <c r="G119" s="56">
        <v>7.4999999999999997E-2</v>
      </c>
      <c r="N119" s="82"/>
      <c r="O119" s="82"/>
      <c r="P119" s="82"/>
      <c r="Q119" s="82"/>
    </row>
    <row r="120" spans="2:17" hidden="1" outlineLevel="1" x14ac:dyDescent="0.3">
      <c r="C120" s="158">
        <v>4</v>
      </c>
      <c r="D120" s="56">
        <f t="shared" si="30"/>
        <v>0.16500000000000001</v>
      </c>
      <c r="E120" s="56">
        <f t="shared" si="30"/>
        <v>0.14000000000000001</v>
      </c>
      <c r="F120" s="56">
        <f t="shared" si="30"/>
        <v>0.12</v>
      </c>
      <c r="G120" s="56">
        <v>0.1</v>
      </c>
      <c r="N120" s="82"/>
      <c r="O120" s="82"/>
      <c r="P120" s="82"/>
      <c r="Q120" s="82"/>
    </row>
    <row r="121" spans="2:17" hidden="1" outlineLevel="1" x14ac:dyDescent="0.3">
      <c r="C121" s="158">
        <v>5</v>
      </c>
      <c r="D121" s="56">
        <f t="shared" si="30"/>
        <v>0.248</v>
      </c>
      <c r="E121" s="56">
        <f t="shared" si="30"/>
        <v>0.21</v>
      </c>
      <c r="F121" s="56">
        <f t="shared" si="30"/>
        <v>0.18</v>
      </c>
      <c r="G121" s="56">
        <v>0.15</v>
      </c>
      <c r="N121" s="82"/>
      <c r="O121" s="82"/>
      <c r="P121" s="82"/>
      <c r="Q121" s="82"/>
    </row>
    <row r="122" spans="2:17" hidden="1" outlineLevel="1" x14ac:dyDescent="0.3">
      <c r="C122" s="158">
        <v>6</v>
      </c>
      <c r="D122" s="56">
        <f t="shared" si="30"/>
        <v>0.33</v>
      </c>
      <c r="E122" s="56">
        <f t="shared" si="30"/>
        <v>0.28000000000000003</v>
      </c>
      <c r="F122" s="56">
        <f t="shared" si="30"/>
        <v>0.24</v>
      </c>
      <c r="G122" s="56">
        <v>0.2</v>
      </c>
      <c r="N122" s="82"/>
      <c r="O122" s="82"/>
      <c r="P122" s="82"/>
      <c r="Q122" s="82"/>
    </row>
    <row r="123" spans="2:17" hidden="1" outlineLevel="1" x14ac:dyDescent="0.3">
      <c r="C123" s="158">
        <v>7</v>
      </c>
      <c r="D123" s="56">
        <f t="shared" si="30"/>
        <v>0.41299999999999998</v>
      </c>
      <c r="E123" s="56">
        <f t="shared" si="30"/>
        <v>0.35</v>
      </c>
      <c r="F123" s="56">
        <f t="shared" si="30"/>
        <v>0.3</v>
      </c>
      <c r="G123" s="56">
        <v>0.25</v>
      </c>
      <c r="N123" s="82"/>
      <c r="O123" s="82"/>
      <c r="P123" s="82"/>
      <c r="Q123" s="82"/>
    </row>
    <row r="124" spans="2:17" hidden="1" outlineLevel="1" x14ac:dyDescent="0.3">
      <c r="C124" s="158">
        <v>8</v>
      </c>
      <c r="D124" s="56">
        <f t="shared" si="30"/>
        <v>0.495</v>
      </c>
      <c r="E124" s="56">
        <f t="shared" si="30"/>
        <v>0.42</v>
      </c>
      <c r="F124" s="56">
        <f t="shared" si="30"/>
        <v>0.36</v>
      </c>
      <c r="G124" s="56">
        <v>0.3</v>
      </c>
    </row>
    <row r="125" spans="2:17" hidden="1" outlineLevel="1" x14ac:dyDescent="0.3">
      <c r="C125" s="158">
        <v>9</v>
      </c>
      <c r="D125" s="56">
        <f t="shared" si="30"/>
        <v>0.57799999999999996</v>
      </c>
      <c r="E125" s="56">
        <f t="shared" si="30"/>
        <v>0.49</v>
      </c>
      <c r="F125" s="56">
        <f t="shared" si="30"/>
        <v>0.42</v>
      </c>
      <c r="G125" s="56">
        <v>0.35</v>
      </c>
    </row>
    <row r="126" spans="2:17" hidden="1" outlineLevel="1" x14ac:dyDescent="0.3">
      <c r="C126" s="158">
        <v>10</v>
      </c>
      <c r="D126" s="56">
        <f t="shared" si="30"/>
        <v>0.66</v>
      </c>
      <c r="E126" s="56">
        <f t="shared" si="30"/>
        <v>0.56000000000000005</v>
      </c>
      <c r="F126" s="56">
        <f t="shared" si="30"/>
        <v>0.48</v>
      </c>
      <c r="G126" s="56">
        <v>0.4</v>
      </c>
    </row>
    <row r="127" spans="2:17" hidden="1" outlineLevel="1" x14ac:dyDescent="0.3">
      <c r="C127" s="158">
        <v>11</v>
      </c>
      <c r="D127" s="56">
        <f t="shared" si="30"/>
        <v>0.82499999999999996</v>
      </c>
      <c r="E127" s="56">
        <f t="shared" si="30"/>
        <v>0.7</v>
      </c>
      <c r="F127" s="56">
        <f t="shared" si="30"/>
        <v>0.6</v>
      </c>
      <c r="G127" s="56">
        <v>0.5</v>
      </c>
    </row>
    <row r="128" spans="2:17" hidden="1" outlineLevel="1" x14ac:dyDescent="0.3">
      <c r="C128" s="158">
        <v>12</v>
      </c>
      <c r="D128" s="56">
        <f t="shared" si="30"/>
        <v>0.99</v>
      </c>
      <c r="E128" s="56">
        <f t="shared" si="30"/>
        <v>0.84</v>
      </c>
      <c r="F128" s="56">
        <f t="shared" si="30"/>
        <v>0.72</v>
      </c>
      <c r="G128" s="56">
        <v>0.6</v>
      </c>
    </row>
    <row r="129" spans="3:11" hidden="1" outlineLevel="1" x14ac:dyDescent="0.3">
      <c r="C129" s="161"/>
      <c r="D129" s="161"/>
      <c r="E129" s="161"/>
      <c r="F129" s="161"/>
      <c r="G129" s="161"/>
      <c r="H129" s="161"/>
      <c r="I129" s="161"/>
      <c r="J129" s="161"/>
      <c r="K129" s="161"/>
    </row>
    <row r="130" spans="3:11" hidden="1" outlineLevel="1" x14ac:dyDescent="0.3">
      <c r="C130" s="750" t="s">
        <v>283</v>
      </c>
      <c r="D130" s="750"/>
      <c r="E130" s="750"/>
      <c r="F130" s="750"/>
      <c r="G130" s="750"/>
    </row>
    <row r="131" spans="3:11" hidden="1" outlineLevel="1" x14ac:dyDescent="0.3">
      <c r="C131" s="166" t="s">
        <v>2184</v>
      </c>
      <c r="D131" s="110">
        <v>0.99990000000000001</v>
      </c>
      <c r="E131" s="110">
        <v>0.99950000000000006</v>
      </c>
      <c r="F131" s="110">
        <v>0.998</v>
      </c>
      <c r="G131" s="110">
        <v>0.995</v>
      </c>
    </row>
    <row r="132" spans="3:11" hidden="1" outlineLevel="1" x14ac:dyDescent="0.3">
      <c r="C132" s="158">
        <v>1</v>
      </c>
      <c r="D132" s="56">
        <f>ROUND(D117*1.25,3)</f>
        <v>5.0999999999999997E-2</v>
      </c>
      <c r="E132" s="56">
        <f t="shared" ref="E132:G132" si="31">ROUND(E117*1.25,3)</f>
        <v>4.3999999999999997E-2</v>
      </c>
      <c r="F132" s="56">
        <f t="shared" si="31"/>
        <v>3.7999999999999999E-2</v>
      </c>
      <c r="G132" s="56">
        <f t="shared" si="31"/>
        <v>3.1E-2</v>
      </c>
    </row>
    <row r="133" spans="3:11" hidden="1" outlineLevel="1" x14ac:dyDescent="0.3">
      <c r="C133" s="158">
        <v>2</v>
      </c>
      <c r="D133" s="56">
        <f t="shared" ref="D133:G133" si="32">ROUND(D118*1.25,3)</f>
        <v>0.104</v>
      </c>
      <c r="E133" s="56">
        <f t="shared" si="32"/>
        <v>8.7999999999999995E-2</v>
      </c>
      <c r="F133" s="56">
        <f t="shared" si="32"/>
        <v>7.4999999999999997E-2</v>
      </c>
      <c r="G133" s="56">
        <f t="shared" si="32"/>
        <v>6.3E-2</v>
      </c>
    </row>
    <row r="134" spans="3:11" hidden="1" outlineLevel="1" x14ac:dyDescent="0.3">
      <c r="C134" s="158">
        <v>3</v>
      </c>
      <c r="D134" s="56">
        <f t="shared" ref="D134:G134" si="33">ROUND(D119*1.25,3)</f>
        <v>0.155</v>
      </c>
      <c r="E134" s="56">
        <f t="shared" si="33"/>
        <v>0.13100000000000001</v>
      </c>
      <c r="F134" s="56">
        <f t="shared" si="33"/>
        <v>0.113</v>
      </c>
      <c r="G134" s="56">
        <f t="shared" si="33"/>
        <v>9.4E-2</v>
      </c>
    </row>
    <row r="135" spans="3:11" hidden="1" outlineLevel="1" x14ac:dyDescent="0.3">
      <c r="C135" s="158">
        <v>4</v>
      </c>
      <c r="D135" s="56">
        <f t="shared" ref="D135:G135" si="34">ROUND(D120*1.25,3)</f>
        <v>0.20599999999999999</v>
      </c>
      <c r="E135" s="56">
        <f t="shared" si="34"/>
        <v>0.17499999999999999</v>
      </c>
      <c r="F135" s="56">
        <f t="shared" si="34"/>
        <v>0.15</v>
      </c>
      <c r="G135" s="56">
        <f t="shared" si="34"/>
        <v>0.125</v>
      </c>
    </row>
    <row r="136" spans="3:11" hidden="1" outlineLevel="1" x14ac:dyDescent="0.3">
      <c r="C136" s="158">
        <v>5</v>
      </c>
      <c r="D136" s="56">
        <f t="shared" ref="D136:G136" si="35">ROUND(D121*1.25,3)</f>
        <v>0.31</v>
      </c>
      <c r="E136" s="56">
        <f t="shared" si="35"/>
        <v>0.26300000000000001</v>
      </c>
      <c r="F136" s="56">
        <f t="shared" si="35"/>
        <v>0.22500000000000001</v>
      </c>
      <c r="G136" s="56">
        <f t="shared" si="35"/>
        <v>0.188</v>
      </c>
    </row>
    <row r="137" spans="3:11" hidden="1" outlineLevel="1" x14ac:dyDescent="0.3">
      <c r="C137" s="158">
        <v>6</v>
      </c>
      <c r="D137" s="56">
        <f t="shared" ref="D137:G137" si="36">ROUND(D122*1.25,3)</f>
        <v>0.41299999999999998</v>
      </c>
      <c r="E137" s="56">
        <f t="shared" si="36"/>
        <v>0.35</v>
      </c>
      <c r="F137" s="56">
        <f t="shared" si="36"/>
        <v>0.3</v>
      </c>
      <c r="G137" s="56">
        <f t="shared" si="36"/>
        <v>0.25</v>
      </c>
    </row>
    <row r="138" spans="3:11" hidden="1" outlineLevel="1" x14ac:dyDescent="0.3">
      <c r="C138" s="158">
        <v>7</v>
      </c>
      <c r="D138" s="56">
        <f t="shared" ref="D138:G138" si="37">ROUND(D123*1.25,3)</f>
        <v>0.51600000000000001</v>
      </c>
      <c r="E138" s="56">
        <f t="shared" si="37"/>
        <v>0.438</v>
      </c>
      <c r="F138" s="56">
        <f t="shared" si="37"/>
        <v>0.375</v>
      </c>
      <c r="G138" s="56">
        <f t="shared" si="37"/>
        <v>0.313</v>
      </c>
    </row>
    <row r="139" spans="3:11" hidden="1" outlineLevel="1" x14ac:dyDescent="0.3">
      <c r="C139" s="158">
        <v>8</v>
      </c>
      <c r="D139" s="56">
        <f t="shared" ref="D139:G139" si="38">ROUND(D124*1.25,3)</f>
        <v>0.61899999999999999</v>
      </c>
      <c r="E139" s="56">
        <f t="shared" si="38"/>
        <v>0.52500000000000002</v>
      </c>
      <c r="F139" s="56">
        <f t="shared" si="38"/>
        <v>0.45</v>
      </c>
      <c r="G139" s="56">
        <f t="shared" si="38"/>
        <v>0.375</v>
      </c>
    </row>
    <row r="140" spans="3:11" hidden="1" outlineLevel="1" x14ac:dyDescent="0.3">
      <c r="C140" s="158">
        <v>9</v>
      </c>
      <c r="D140" s="56">
        <f t="shared" ref="D140:G140" si="39">ROUND(D125*1.25,3)</f>
        <v>0.72299999999999998</v>
      </c>
      <c r="E140" s="56">
        <f t="shared" si="39"/>
        <v>0.61299999999999999</v>
      </c>
      <c r="F140" s="56">
        <f t="shared" si="39"/>
        <v>0.52500000000000002</v>
      </c>
      <c r="G140" s="56">
        <f t="shared" si="39"/>
        <v>0.438</v>
      </c>
    </row>
    <row r="141" spans="3:11" hidden="1" outlineLevel="1" x14ac:dyDescent="0.3">
      <c r="C141" s="158">
        <v>10</v>
      </c>
      <c r="D141" s="56">
        <f t="shared" ref="D141:G141" si="40">ROUND(D126*1.25,3)</f>
        <v>0.82499999999999996</v>
      </c>
      <c r="E141" s="56">
        <f t="shared" si="40"/>
        <v>0.7</v>
      </c>
      <c r="F141" s="56">
        <f t="shared" si="40"/>
        <v>0.6</v>
      </c>
      <c r="G141" s="56">
        <f t="shared" si="40"/>
        <v>0.5</v>
      </c>
    </row>
    <row r="142" spans="3:11" hidden="1" outlineLevel="1" x14ac:dyDescent="0.3">
      <c r="C142" s="158">
        <v>11</v>
      </c>
      <c r="D142" s="56">
        <f t="shared" ref="D142:G142" si="41">ROUND(D127*1.25,3)</f>
        <v>1.0309999999999999</v>
      </c>
      <c r="E142" s="56">
        <f t="shared" si="41"/>
        <v>0.875</v>
      </c>
      <c r="F142" s="56">
        <f t="shared" si="41"/>
        <v>0.75</v>
      </c>
      <c r="G142" s="56">
        <f t="shared" si="41"/>
        <v>0.625</v>
      </c>
    </row>
    <row r="143" spans="3:11" hidden="1" outlineLevel="1" x14ac:dyDescent="0.3">
      <c r="C143" s="158">
        <v>12</v>
      </c>
      <c r="D143" s="56">
        <f t="shared" ref="D143:G143" si="42">ROUND(D128*1.25,3)</f>
        <v>1.238</v>
      </c>
      <c r="E143" s="56">
        <f t="shared" si="42"/>
        <v>1.05</v>
      </c>
      <c r="F143" s="56">
        <f t="shared" si="42"/>
        <v>0.9</v>
      </c>
      <c r="G143" s="56">
        <f t="shared" si="42"/>
        <v>0.75</v>
      </c>
    </row>
    <row r="144" spans="3:11" collapsed="1" x14ac:dyDescent="0.3"/>
    <row r="145" spans="2:16" x14ac:dyDescent="0.3">
      <c r="B145" s="50" t="s">
        <v>822</v>
      </c>
    </row>
    <row r="146" spans="2:16" hidden="1" outlineLevel="1" x14ac:dyDescent="0.3"/>
    <row r="147" spans="2:16" hidden="1" outlineLevel="1" x14ac:dyDescent="0.3"/>
    <row r="148" spans="2:16" hidden="1" outlineLevel="1" x14ac:dyDescent="0.3"/>
    <row r="149" spans="2:16" hidden="1" outlineLevel="1" x14ac:dyDescent="0.3">
      <c r="D149" s="58">
        <v>0.99990000000000001</v>
      </c>
      <c r="E149" s="58">
        <v>0.99950000000000006</v>
      </c>
      <c r="F149" s="58">
        <v>0.998</v>
      </c>
      <c r="G149" s="58">
        <v>0.995</v>
      </c>
    </row>
    <row r="150" spans="2:16" hidden="1" outlineLevel="1" x14ac:dyDescent="0.3">
      <c r="C150" s="112" t="s">
        <v>951</v>
      </c>
      <c r="D150" s="684">
        <v>4.25</v>
      </c>
      <c r="E150" s="684">
        <v>3.1</v>
      </c>
      <c r="F150" s="684">
        <v>2.17</v>
      </c>
      <c r="G150" s="684">
        <v>1.25</v>
      </c>
    </row>
    <row r="151" spans="2:16" hidden="1" outlineLevel="1" x14ac:dyDescent="0.3">
      <c r="C151" s="112" t="s">
        <v>952</v>
      </c>
      <c r="D151" s="684">
        <f>ROUND(D150*1.25,3)</f>
        <v>5.3129999999999997</v>
      </c>
      <c r="E151" s="684">
        <f t="shared" ref="E151:G151" si="43">ROUND(E150*1.25,3)</f>
        <v>3.875</v>
      </c>
      <c r="F151" s="684">
        <f t="shared" si="43"/>
        <v>2.7130000000000001</v>
      </c>
      <c r="G151" s="684">
        <f t="shared" si="43"/>
        <v>1.5629999999999999</v>
      </c>
    </row>
    <row r="152" spans="2:16" hidden="1" outlineLevel="1" x14ac:dyDescent="0.3"/>
    <row r="153" spans="2:16" hidden="1" outlineLevel="1" x14ac:dyDescent="0.3">
      <c r="C153" s="52"/>
      <c r="D153" s="58">
        <v>0.99990000000000001</v>
      </c>
      <c r="E153" s="58">
        <v>0.99950000000000006</v>
      </c>
      <c r="F153" s="58">
        <v>0.998</v>
      </c>
      <c r="G153" s="58">
        <v>0.995</v>
      </c>
      <c r="M153" s="80"/>
      <c r="N153" s="80"/>
      <c r="O153" s="80"/>
      <c r="P153" s="80"/>
    </row>
    <row r="154" spans="2:16" hidden="1" outlineLevel="1" x14ac:dyDescent="0.3">
      <c r="C154" s="52" t="s">
        <v>949</v>
      </c>
      <c r="D154" s="83">
        <v>0.41299999999999998</v>
      </c>
      <c r="E154" s="83">
        <v>0.35</v>
      </c>
      <c r="F154" s="83">
        <v>0.3</v>
      </c>
      <c r="G154" s="83">
        <v>0.25</v>
      </c>
      <c r="M154" s="80"/>
      <c r="N154" s="80"/>
      <c r="O154" s="80"/>
      <c r="P154" s="80"/>
    </row>
    <row r="155" spans="2:16" hidden="1" outlineLevel="1" x14ac:dyDescent="0.3">
      <c r="C155" s="52" t="s">
        <v>950</v>
      </c>
      <c r="D155" s="684">
        <f>ROUND(D154*1.25,3)</f>
        <v>0.51600000000000001</v>
      </c>
      <c r="E155" s="684">
        <f>ROUND(E154*1.25,3)</f>
        <v>0.438</v>
      </c>
      <c r="F155" s="684">
        <f>ROUND(F154*1.25,3)</f>
        <v>0.375</v>
      </c>
      <c r="G155" s="684">
        <f>ROUND(G154*1.25,3)</f>
        <v>0.313</v>
      </c>
    </row>
    <row r="156" spans="2:16" hidden="1" outlineLevel="1" x14ac:dyDescent="0.3">
      <c r="M156" s="80"/>
      <c r="N156" s="80"/>
      <c r="O156" s="80"/>
      <c r="P156" s="80"/>
    </row>
    <row r="157" spans="2:16" collapsed="1" x14ac:dyDescent="0.3">
      <c r="C157" s="49"/>
    </row>
    <row r="158" spans="2:16" x14ac:dyDescent="0.3">
      <c r="B158" s="50" t="s">
        <v>754</v>
      </c>
    </row>
    <row r="159" spans="2:16" hidden="1" outlineLevel="1" x14ac:dyDescent="0.3"/>
    <row r="160" spans="2:16" hidden="1" outlineLevel="1" x14ac:dyDescent="0.3">
      <c r="C160" s="166" t="s">
        <v>352</v>
      </c>
      <c r="D160" s="58">
        <v>0.99990000000000001</v>
      </c>
      <c r="E160" s="58">
        <v>0.99950000000000006</v>
      </c>
      <c r="F160" s="58">
        <v>0.998</v>
      </c>
      <c r="G160" s="58">
        <v>0.995</v>
      </c>
    </row>
    <row r="161" spans="2:19" hidden="1" outlineLevel="1" x14ac:dyDescent="0.3">
      <c r="C161" s="15">
        <v>1</v>
      </c>
      <c r="D161" s="54">
        <v>2.3E-2</v>
      </c>
      <c r="E161" s="54">
        <v>0.02</v>
      </c>
      <c r="F161" s="54">
        <v>1.7000000000000001E-2</v>
      </c>
      <c r="G161" s="84">
        <v>1.4E-2</v>
      </c>
    </row>
    <row r="162" spans="2:19" hidden="1" outlineLevel="1" x14ac:dyDescent="0.3">
      <c r="C162" s="15">
        <v>2</v>
      </c>
      <c r="D162" s="54">
        <v>1.2E-2</v>
      </c>
      <c r="E162" s="54">
        <v>0.01</v>
      </c>
      <c r="F162" s="54">
        <v>8.9999999999999993E-3</v>
      </c>
      <c r="G162" s="84">
        <v>7.0000000000000001E-3</v>
      </c>
    </row>
    <row r="163" spans="2:19" hidden="1" outlineLevel="1" x14ac:dyDescent="0.3">
      <c r="C163" s="15">
        <v>3</v>
      </c>
      <c r="D163" s="54">
        <v>7.0000000000000001E-3</v>
      </c>
      <c r="E163" s="54">
        <v>6.0000000000000001E-3</v>
      </c>
      <c r="F163" s="54">
        <v>5.0000000000000001E-3</v>
      </c>
      <c r="G163" s="84">
        <v>4.0000000000000001E-3</v>
      </c>
    </row>
    <row r="164" spans="2:19" hidden="1" outlineLevel="1" x14ac:dyDescent="0.3"/>
    <row r="165" spans="2:19" collapsed="1" x14ac:dyDescent="0.3"/>
    <row r="166" spans="2:19" x14ac:dyDescent="0.3">
      <c r="B166" s="50" t="s">
        <v>303</v>
      </c>
      <c r="I166" s="50" t="s">
        <v>4108</v>
      </c>
    </row>
    <row r="167" spans="2:19" ht="26" hidden="1" outlineLevel="1" x14ac:dyDescent="0.3">
      <c r="D167" s="777" t="s">
        <v>4100</v>
      </c>
      <c r="E167" s="777"/>
      <c r="F167" s="777"/>
      <c r="G167" s="777"/>
      <c r="I167" s="167" t="s">
        <v>4111</v>
      </c>
      <c r="J167" s="167" t="s">
        <v>4109</v>
      </c>
    </row>
    <row r="168" spans="2:19" hidden="1" outlineLevel="1" x14ac:dyDescent="0.3">
      <c r="D168" s="58">
        <v>0.99990000000000001</v>
      </c>
      <c r="E168" s="58">
        <v>0.99950000000000006</v>
      </c>
      <c r="F168" s="58">
        <v>0.998</v>
      </c>
      <c r="G168" s="58">
        <v>0.995</v>
      </c>
      <c r="I168" s="158" t="str">
        <f>Lists!Z3</f>
        <v>Default</v>
      </c>
      <c r="J168" s="173">
        <v>0</v>
      </c>
    </row>
    <row r="169" spans="2:19" hidden="1" outlineLevel="1" x14ac:dyDescent="0.3">
      <c r="C169" s="18" t="s">
        <v>1092</v>
      </c>
      <c r="D169" s="56">
        <v>7.9000000000000001E-2</v>
      </c>
      <c r="E169" s="56">
        <v>7.0000000000000007E-2</v>
      </c>
      <c r="F169" s="56">
        <v>6.0999999999999999E-2</v>
      </c>
      <c r="G169" s="56">
        <v>5.5E-2</v>
      </c>
      <c r="I169" s="158" t="str">
        <f>Lists!Z4</f>
        <v>70% to less than 80%</v>
      </c>
      <c r="J169" s="173">
        <v>0.25</v>
      </c>
    </row>
    <row r="170" spans="2:19" hidden="1" outlineLevel="1" x14ac:dyDescent="0.3">
      <c r="C170" s="18" t="s">
        <v>1093</v>
      </c>
      <c r="D170" s="56">
        <v>2.4E-2</v>
      </c>
      <c r="E170" s="56">
        <v>2.1000000000000001E-2</v>
      </c>
      <c r="F170" s="56">
        <v>1.7999999999999999E-2</v>
      </c>
      <c r="G170" s="56">
        <v>1.7000000000000001E-2</v>
      </c>
      <c r="H170" s="49"/>
      <c r="I170" s="158" t="str">
        <f>Lists!Z5</f>
        <v>80% to less than 90%</v>
      </c>
      <c r="J170" s="173">
        <v>0.35</v>
      </c>
    </row>
    <row r="171" spans="2:19" hidden="1" outlineLevel="1" x14ac:dyDescent="0.3">
      <c r="C171" s="18" t="s">
        <v>1094</v>
      </c>
      <c r="D171" s="56">
        <v>0</v>
      </c>
      <c r="E171" s="56">
        <v>0</v>
      </c>
      <c r="F171" s="56">
        <v>0</v>
      </c>
      <c r="G171" s="56">
        <v>0</v>
      </c>
      <c r="H171" s="85"/>
      <c r="I171" s="158" t="str">
        <f>Lists!Z6</f>
        <v>90% or above</v>
      </c>
      <c r="J171" s="172">
        <v>0.45</v>
      </c>
    </row>
    <row r="172" spans="2:19" hidden="1" outlineLevel="1" x14ac:dyDescent="0.3">
      <c r="H172" s="85"/>
    </row>
    <row r="173" spans="2:19" collapsed="1" x14ac:dyDescent="0.3"/>
    <row r="174" spans="2:19" x14ac:dyDescent="0.3">
      <c r="B174" s="50" t="s">
        <v>412</v>
      </c>
      <c r="N174" s="50" t="s">
        <v>408</v>
      </c>
    </row>
    <row r="175" spans="2:19" hidden="1" outlineLevel="1" x14ac:dyDescent="0.3">
      <c r="D175" s="106"/>
      <c r="E175" s="106"/>
      <c r="F175" s="106"/>
      <c r="G175" s="106"/>
      <c r="P175" s="106"/>
      <c r="Q175" s="106"/>
      <c r="R175" s="106"/>
      <c r="S175" s="106"/>
    </row>
    <row r="176" spans="2:19" hidden="1" outlineLevel="1" x14ac:dyDescent="0.3"/>
    <row r="177" spans="3:22" hidden="1" outlineLevel="1" x14ac:dyDescent="0.3">
      <c r="D177" s="106" t="s">
        <v>310</v>
      </c>
      <c r="E177" s="106"/>
      <c r="F177" s="106"/>
      <c r="G177" s="106"/>
      <c r="P177" s="808" t="s">
        <v>310</v>
      </c>
      <c r="Q177" s="808"/>
      <c r="R177" s="808"/>
      <c r="S177" s="808"/>
    </row>
    <row r="178" spans="3:22" hidden="1" outlineLevel="1" x14ac:dyDescent="0.3">
      <c r="D178" s="58">
        <v>0.99990000000000001</v>
      </c>
      <c r="E178" s="58">
        <v>0.99950000000000006</v>
      </c>
      <c r="F178" s="58">
        <v>0.998</v>
      </c>
      <c r="G178" s="58">
        <v>0.995</v>
      </c>
      <c r="P178" s="58">
        <v>0.99990000000000001</v>
      </c>
      <c r="Q178" s="58">
        <v>0.99950000000000006</v>
      </c>
      <c r="R178" s="58">
        <v>0.998</v>
      </c>
      <c r="S178" s="58">
        <v>0.995</v>
      </c>
      <c r="T178" s="106"/>
    </row>
    <row r="179" spans="3:22" hidden="1" outlineLevel="1" x14ac:dyDescent="0.3">
      <c r="C179" s="49" t="s">
        <v>2185</v>
      </c>
      <c r="D179" s="54">
        <v>2.5100000000000001E-3</v>
      </c>
      <c r="E179" s="54">
        <v>2.2200000000000002E-3</v>
      </c>
      <c r="F179" s="54">
        <v>1.9400000000000001E-3</v>
      </c>
      <c r="G179" s="54">
        <v>1.74E-3</v>
      </c>
      <c r="O179" s="49" t="s">
        <v>2185</v>
      </c>
      <c r="P179" s="54">
        <v>5.4000000000000003E-3</v>
      </c>
      <c r="Q179" s="54">
        <v>4.7000000000000002E-3</v>
      </c>
      <c r="R179" s="54">
        <v>4.1999999999999997E-3</v>
      </c>
      <c r="S179" s="54">
        <v>3.7000000000000002E-3</v>
      </c>
      <c r="T179" s="106"/>
    </row>
    <row r="180" spans="3:22" hidden="1" outlineLevel="1" x14ac:dyDescent="0.3">
      <c r="C180" s="49" t="s">
        <v>2186</v>
      </c>
      <c r="D180" s="54">
        <v>1.5399999999999999E-3</v>
      </c>
      <c r="E180" s="54">
        <v>1.3600000000000001E-3</v>
      </c>
      <c r="F180" s="54">
        <v>1.1900000000000001E-3</v>
      </c>
      <c r="G180" s="54">
        <v>1.07E-3</v>
      </c>
      <c r="O180" s="49" t="s">
        <v>2186</v>
      </c>
      <c r="P180" s="54">
        <v>3.3E-3</v>
      </c>
      <c r="Q180" s="54">
        <v>2.8999999999999998E-3</v>
      </c>
      <c r="R180" s="54">
        <v>2.5999999999999999E-3</v>
      </c>
      <c r="S180" s="54">
        <v>2.3E-3</v>
      </c>
      <c r="T180" s="106"/>
    </row>
    <row r="181" spans="3:22" hidden="1" outlineLevel="1" x14ac:dyDescent="0.3">
      <c r="C181" s="49" t="s">
        <v>2187</v>
      </c>
      <c r="D181" s="54">
        <v>5.6999999999999998E-4</v>
      </c>
      <c r="E181" s="54">
        <v>5.0000000000000001E-4</v>
      </c>
      <c r="F181" s="54">
        <v>4.4000000000000002E-4</v>
      </c>
      <c r="G181" s="54">
        <v>3.8999999999999999E-4</v>
      </c>
      <c r="O181" s="49" t="s">
        <v>2187</v>
      </c>
      <c r="P181" s="54">
        <v>1.1999999999999999E-3</v>
      </c>
      <c r="Q181" s="54">
        <v>1.1000000000000001E-3</v>
      </c>
      <c r="R181" s="54">
        <v>8.9999999999999998E-4</v>
      </c>
      <c r="S181" s="54">
        <v>8.0000000000000004E-4</v>
      </c>
      <c r="T181" s="106"/>
    </row>
    <row r="182" spans="3:22" hidden="1" outlineLevel="1" x14ac:dyDescent="0.3">
      <c r="D182" s="84"/>
      <c r="E182" s="84"/>
      <c r="F182" s="84"/>
      <c r="G182" s="84"/>
      <c r="P182" s="106"/>
      <c r="Q182" s="106"/>
      <c r="R182" s="106"/>
      <c r="S182" s="106"/>
      <c r="T182" s="106"/>
    </row>
    <row r="183" spans="3:22" hidden="1" outlineLevel="1" x14ac:dyDescent="0.3">
      <c r="D183" s="84" t="s">
        <v>311</v>
      </c>
      <c r="E183" s="84"/>
      <c r="F183" s="84"/>
      <c r="G183" s="84"/>
      <c r="P183" s="808" t="s">
        <v>311</v>
      </c>
      <c r="Q183" s="808"/>
      <c r="R183" s="808"/>
      <c r="S183" s="808"/>
      <c r="T183" s="77"/>
    </row>
    <row r="184" spans="3:22" hidden="1" outlineLevel="1" x14ac:dyDescent="0.3">
      <c r="D184" s="162">
        <v>0.99990000000000001</v>
      </c>
      <c r="E184" s="162">
        <v>0.99950000000000006</v>
      </c>
      <c r="F184" s="162">
        <v>0.998</v>
      </c>
      <c r="G184" s="162">
        <v>0.995</v>
      </c>
      <c r="P184" s="58">
        <v>0.99990000000000001</v>
      </c>
      <c r="Q184" s="58">
        <v>0.99950000000000006</v>
      </c>
      <c r="R184" s="58">
        <v>0.998</v>
      </c>
      <c r="S184" s="58">
        <v>0.995</v>
      </c>
      <c r="V184" s="77"/>
    </row>
    <row r="185" spans="3:22" hidden="1" outlineLevel="1" x14ac:dyDescent="0.3">
      <c r="C185" s="49" t="s">
        <v>2185</v>
      </c>
      <c r="D185" s="54">
        <v>3.13E-3</v>
      </c>
      <c r="E185" s="54">
        <v>2.7699999999999999E-3</v>
      </c>
      <c r="F185" s="54">
        <v>2.4199999999999998E-3</v>
      </c>
      <c r="G185" s="54">
        <v>2.1700000000000001E-3</v>
      </c>
      <c r="O185" s="49" t="s">
        <v>2185</v>
      </c>
      <c r="P185" s="54">
        <v>6.7000000000000002E-3</v>
      </c>
      <c r="Q185" s="54">
        <v>5.8999999999999999E-3</v>
      </c>
      <c r="R185" s="54">
        <v>5.1999999999999998E-3</v>
      </c>
      <c r="S185" s="54">
        <v>4.5999999999999999E-3</v>
      </c>
      <c r="V185" s="77"/>
    </row>
    <row r="186" spans="3:22" hidden="1" outlineLevel="1" x14ac:dyDescent="0.3">
      <c r="C186" s="49" t="s">
        <v>2186</v>
      </c>
      <c r="D186" s="54">
        <v>1.9300000000000001E-3</v>
      </c>
      <c r="E186" s="54">
        <v>1.7099999999999999E-3</v>
      </c>
      <c r="F186" s="54">
        <v>1.49E-3</v>
      </c>
      <c r="G186" s="54">
        <v>1.33E-3</v>
      </c>
      <c r="O186" s="49" t="s">
        <v>2186</v>
      </c>
      <c r="P186" s="54">
        <v>4.1000000000000003E-3</v>
      </c>
      <c r="Q186" s="54">
        <v>3.7000000000000002E-3</v>
      </c>
      <c r="R186" s="54">
        <v>3.2000000000000002E-3</v>
      </c>
      <c r="S186" s="54">
        <v>2.8999999999999998E-3</v>
      </c>
    </row>
    <row r="187" spans="3:22" hidden="1" outlineLevel="1" x14ac:dyDescent="0.3">
      <c r="C187" s="49" t="s">
        <v>2187</v>
      </c>
      <c r="D187" s="54">
        <v>7.1000000000000002E-4</v>
      </c>
      <c r="E187" s="54">
        <v>6.3000000000000003E-4</v>
      </c>
      <c r="F187" s="54">
        <v>5.5000000000000003E-4</v>
      </c>
      <c r="G187" s="54">
        <v>4.8999999999999998E-4</v>
      </c>
      <c r="O187" s="49" t="s">
        <v>2187</v>
      </c>
      <c r="P187" s="54">
        <v>1.5E-3</v>
      </c>
      <c r="Q187" s="54">
        <v>1.2999999999999999E-3</v>
      </c>
      <c r="R187" s="54">
        <v>1.1999999999999999E-3</v>
      </c>
      <c r="S187" s="54">
        <v>1.1000000000000001E-3</v>
      </c>
    </row>
    <row r="188" spans="3:22" hidden="1" outlineLevel="1" x14ac:dyDescent="0.3"/>
    <row r="189" spans="3:22" hidden="1" outlineLevel="1" x14ac:dyDescent="0.3">
      <c r="D189" s="162">
        <v>0.99990000000000001</v>
      </c>
      <c r="E189" s="162">
        <v>0.99950000000000006</v>
      </c>
      <c r="F189" s="162">
        <v>0.998</v>
      </c>
      <c r="G189" s="162">
        <v>0.995</v>
      </c>
    </row>
    <row r="190" spans="3:22" hidden="1" outlineLevel="1" x14ac:dyDescent="0.3">
      <c r="C190" s="49" t="s">
        <v>349</v>
      </c>
      <c r="D190" s="54">
        <v>8.4000000000000003E-4</v>
      </c>
      <c r="E190" s="54">
        <v>7.3999999999999999E-4</v>
      </c>
      <c r="F190" s="54">
        <v>6.4999999999999997E-4</v>
      </c>
      <c r="G190" s="54">
        <v>5.8E-4</v>
      </c>
    </row>
    <row r="191" spans="3:22" hidden="1" outlineLevel="1" x14ac:dyDescent="0.3"/>
    <row r="192" spans="3:22" collapsed="1" x14ac:dyDescent="0.3"/>
    <row r="193" spans="2:21" x14ac:dyDescent="0.3">
      <c r="B193" s="50" t="s">
        <v>889</v>
      </c>
    </row>
    <row r="194" spans="2:21" hidden="1" outlineLevel="1" x14ac:dyDescent="0.3"/>
    <row r="195" spans="2:21" hidden="1" outlineLevel="1" x14ac:dyDescent="0.3">
      <c r="C195" s="52" t="s">
        <v>890</v>
      </c>
      <c r="D195" s="54">
        <v>0.2</v>
      </c>
    </row>
    <row r="196" spans="2:21" hidden="1" outlineLevel="1" x14ac:dyDescent="0.3"/>
    <row r="197" spans="2:21" hidden="1" outlineLevel="1" x14ac:dyDescent="0.3"/>
    <row r="198" spans="2:21" collapsed="1" x14ac:dyDescent="0.3"/>
    <row r="199" spans="2:21" x14ac:dyDescent="0.3">
      <c r="B199" s="50" t="s">
        <v>781</v>
      </c>
      <c r="L199" s="80"/>
      <c r="M199" s="80"/>
      <c r="N199" s="80"/>
      <c r="O199" s="80"/>
    </row>
    <row r="200" spans="2:21" hidden="1" outlineLevel="1" x14ac:dyDescent="0.3">
      <c r="D200" s="774" t="s">
        <v>779</v>
      </c>
      <c r="E200" s="774"/>
      <c r="F200" s="774"/>
      <c r="G200" s="774"/>
      <c r="L200" s="80"/>
      <c r="M200" s="80"/>
      <c r="N200" s="80"/>
      <c r="O200" s="80"/>
    </row>
    <row r="201" spans="2:21" hidden="1" outlineLevel="1" x14ac:dyDescent="0.3">
      <c r="D201" s="58">
        <v>0.99990000000000001</v>
      </c>
      <c r="E201" s="58">
        <v>0.99950000000000006</v>
      </c>
      <c r="F201" s="58">
        <v>0.998</v>
      </c>
      <c r="G201" s="58">
        <v>0.995</v>
      </c>
      <c r="L201" s="80"/>
      <c r="M201" s="80"/>
      <c r="N201" s="80"/>
      <c r="O201" s="80"/>
    </row>
    <row r="202" spans="2:21" ht="26" hidden="1" outlineLevel="1" x14ac:dyDescent="0.3">
      <c r="C202" s="164" t="s">
        <v>811</v>
      </c>
      <c r="D202" s="56">
        <v>0.72</v>
      </c>
      <c r="E202" s="56">
        <v>0.64</v>
      </c>
      <c r="F202" s="56">
        <v>0.56000000000000005</v>
      </c>
      <c r="G202" s="56">
        <v>0.5</v>
      </c>
      <c r="I202" s="80"/>
      <c r="J202" s="80"/>
    </row>
    <row r="203" spans="2:21" hidden="1" outlineLevel="1" x14ac:dyDescent="0.3">
      <c r="C203" s="18" t="s">
        <v>772</v>
      </c>
      <c r="D203" s="56">
        <v>0.504</v>
      </c>
      <c r="E203" s="56">
        <v>0.44800000000000001</v>
      </c>
      <c r="F203" s="56">
        <v>0.39200000000000002</v>
      </c>
      <c r="G203" s="56">
        <v>0.35</v>
      </c>
      <c r="I203" s="80"/>
      <c r="J203" s="80"/>
      <c r="N203" s="106"/>
      <c r="O203" s="106"/>
      <c r="P203" s="106"/>
      <c r="Q203" s="106"/>
    </row>
    <row r="204" spans="2:21" hidden="1" outlineLevel="1" x14ac:dyDescent="0.3">
      <c r="C204" s="18" t="s">
        <v>773</v>
      </c>
      <c r="D204" s="56">
        <v>0.30199999999999999</v>
      </c>
      <c r="E204" s="56">
        <v>0.26900000000000002</v>
      </c>
      <c r="F204" s="56">
        <v>0.23499999999999999</v>
      </c>
      <c r="G204" s="56">
        <v>0.21</v>
      </c>
      <c r="I204" s="80"/>
      <c r="J204" s="80"/>
    </row>
    <row r="205" spans="2:21" hidden="1" outlineLevel="1" x14ac:dyDescent="0.3">
      <c r="C205" s="18" t="s">
        <v>774</v>
      </c>
      <c r="D205" s="56">
        <v>0.10100000000000001</v>
      </c>
      <c r="E205" s="56">
        <v>0.09</v>
      </c>
      <c r="F205" s="56">
        <v>7.8E-2</v>
      </c>
      <c r="G205" s="56">
        <v>7.0000000000000007E-2</v>
      </c>
      <c r="I205" s="80"/>
      <c r="J205" s="80"/>
    </row>
    <row r="206" spans="2:21" hidden="1" outlineLevel="1" x14ac:dyDescent="0.3">
      <c r="C206" s="18" t="s">
        <v>775</v>
      </c>
      <c r="D206" s="56">
        <v>0.40300000000000002</v>
      </c>
      <c r="E206" s="56">
        <v>0.35799999999999998</v>
      </c>
      <c r="F206" s="56">
        <v>0.314</v>
      </c>
      <c r="G206" s="56">
        <v>0.28000000000000003</v>
      </c>
      <c r="I206" s="80"/>
      <c r="J206" s="80"/>
    </row>
    <row r="207" spans="2:21" hidden="1" outlineLevel="1" x14ac:dyDescent="0.3">
      <c r="C207" s="18" t="s">
        <v>776</v>
      </c>
      <c r="D207" s="56">
        <v>0.25900000000000001</v>
      </c>
      <c r="E207" s="56">
        <v>0.23</v>
      </c>
      <c r="F207" s="56">
        <v>0.20200000000000001</v>
      </c>
      <c r="G207" s="56">
        <v>0.18</v>
      </c>
      <c r="I207" s="80"/>
      <c r="J207" s="80"/>
      <c r="U207" s="80"/>
    </row>
    <row r="208" spans="2:21" hidden="1" outlineLevel="1" x14ac:dyDescent="0.3">
      <c r="C208" s="18" t="s">
        <v>777</v>
      </c>
      <c r="D208" s="56">
        <v>0.25900000000000001</v>
      </c>
      <c r="E208" s="56">
        <v>0.23</v>
      </c>
      <c r="F208" s="56">
        <v>0.20200000000000001</v>
      </c>
      <c r="G208" s="56">
        <v>0.18</v>
      </c>
      <c r="I208" s="80"/>
      <c r="J208" s="80"/>
      <c r="U208" s="80"/>
    </row>
    <row r="209" spans="3:21" hidden="1" outlineLevel="1" x14ac:dyDescent="0.3">
      <c r="C209" s="18" t="s">
        <v>778</v>
      </c>
      <c r="D209" s="56">
        <v>0.504</v>
      </c>
      <c r="E209" s="56">
        <v>0.44800000000000001</v>
      </c>
      <c r="F209" s="56">
        <v>0.39200000000000002</v>
      </c>
      <c r="G209" s="56">
        <v>0.35</v>
      </c>
      <c r="I209" s="80"/>
      <c r="J209" s="80"/>
      <c r="U209" s="80"/>
    </row>
    <row r="210" spans="3:21" hidden="1" outlineLevel="1" x14ac:dyDescent="0.3">
      <c r="U210" s="80"/>
    </row>
    <row r="211" spans="3:21" hidden="1" outlineLevel="1" x14ac:dyDescent="0.3">
      <c r="D211" s="774" t="s">
        <v>780</v>
      </c>
      <c r="E211" s="774"/>
      <c r="F211" s="774"/>
      <c r="G211" s="774"/>
      <c r="U211" s="80"/>
    </row>
    <row r="212" spans="3:21" hidden="1" outlineLevel="1" x14ac:dyDescent="0.3">
      <c r="D212" s="58">
        <v>0.99990000000000001</v>
      </c>
      <c r="E212" s="58">
        <v>0.99950000000000006</v>
      </c>
      <c r="F212" s="58">
        <v>0.998</v>
      </c>
      <c r="G212" s="58">
        <v>0.995</v>
      </c>
      <c r="U212" s="80"/>
    </row>
    <row r="213" spans="3:21" ht="26" hidden="1" outlineLevel="1" x14ac:dyDescent="0.3">
      <c r="C213" s="164" t="s">
        <v>811</v>
      </c>
      <c r="D213" s="56">
        <v>0.30199999999999999</v>
      </c>
      <c r="E213" s="56">
        <v>0.26900000000000002</v>
      </c>
      <c r="F213" s="56">
        <v>0.23499999999999999</v>
      </c>
      <c r="G213" s="56">
        <v>0.21</v>
      </c>
      <c r="U213" s="80"/>
    </row>
    <row r="214" spans="3:21" hidden="1" outlineLevel="1" x14ac:dyDescent="0.3">
      <c r="C214" s="18" t="s">
        <v>772</v>
      </c>
      <c r="D214" s="56">
        <v>0.14399999999999999</v>
      </c>
      <c r="E214" s="56">
        <v>0.128</v>
      </c>
      <c r="F214" s="56">
        <v>0.112</v>
      </c>
      <c r="G214" s="56">
        <v>0.1</v>
      </c>
      <c r="U214" s="80"/>
    </row>
    <row r="215" spans="3:21" hidden="1" outlineLevel="1" x14ac:dyDescent="0.3">
      <c r="C215" s="18" t="s">
        <v>773</v>
      </c>
      <c r="D215" s="56">
        <v>7.1999999999999995E-2</v>
      </c>
      <c r="E215" s="56">
        <v>6.4000000000000001E-2</v>
      </c>
      <c r="F215" s="56">
        <v>5.6000000000000001E-2</v>
      </c>
      <c r="G215" s="56">
        <v>0.05</v>
      </c>
    </row>
    <row r="216" spans="3:21" hidden="1" outlineLevel="1" x14ac:dyDescent="0.3">
      <c r="C216" s="18" t="s">
        <v>774</v>
      </c>
      <c r="D216" s="56">
        <v>7.1999999999999995E-2</v>
      </c>
      <c r="E216" s="56">
        <v>6.4000000000000001E-2</v>
      </c>
      <c r="F216" s="56">
        <v>5.6000000000000001E-2</v>
      </c>
      <c r="G216" s="56">
        <v>0.05</v>
      </c>
    </row>
    <row r="217" spans="3:21" hidden="1" outlineLevel="1" x14ac:dyDescent="0.3">
      <c r="C217" s="18" t="s">
        <v>775</v>
      </c>
      <c r="D217" s="56">
        <v>7.1999999999999995E-2</v>
      </c>
      <c r="E217" s="56">
        <v>6.4000000000000001E-2</v>
      </c>
      <c r="F217" s="56">
        <v>5.6000000000000001E-2</v>
      </c>
      <c r="G217" s="56">
        <v>0.05</v>
      </c>
    </row>
    <row r="218" spans="3:21" hidden="1" outlineLevel="1" x14ac:dyDescent="0.3">
      <c r="C218" s="18" t="s">
        <v>776</v>
      </c>
      <c r="D218" s="56">
        <v>7.1999999999999995E-2</v>
      </c>
      <c r="E218" s="56">
        <v>6.4000000000000001E-2</v>
      </c>
      <c r="F218" s="56">
        <v>5.6000000000000001E-2</v>
      </c>
      <c r="G218" s="56">
        <v>0.05</v>
      </c>
    </row>
    <row r="219" spans="3:21" hidden="1" outlineLevel="1" x14ac:dyDescent="0.3">
      <c r="C219" s="18" t="s">
        <v>777</v>
      </c>
      <c r="D219" s="56">
        <v>7.1999999999999995E-2</v>
      </c>
      <c r="E219" s="56">
        <v>6.4000000000000001E-2</v>
      </c>
      <c r="F219" s="56">
        <v>5.6000000000000001E-2</v>
      </c>
      <c r="G219" s="56">
        <v>0.05</v>
      </c>
    </row>
    <row r="220" spans="3:21" hidden="1" outlineLevel="1" x14ac:dyDescent="0.3">
      <c r="C220" s="18" t="s">
        <v>778</v>
      </c>
      <c r="D220" s="56">
        <v>0.14399999999999999</v>
      </c>
      <c r="E220" s="56">
        <v>0.128</v>
      </c>
      <c r="F220" s="56">
        <v>0.112</v>
      </c>
      <c r="G220" s="56">
        <v>0.1</v>
      </c>
    </row>
    <row r="221" spans="3:21" hidden="1" outlineLevel="1" x14ac:dyDescent="0.3"/>
    <row r="222" spans="3:21" hidden="1" outlineLevel="1" x14ac:dyDescent="0.3">
      <c r="D222" s="774" t="s">
        <v>786</v>
      </c>
      <c r="E222" s="774"/>
      <c r="F222" s="774"/>
      <c r="G222" s="774"/>
    </row>
    <row r="223" spans="3:21" hidden="1" outlineLevel="1" x14ac:dyDescent="0.3">
      <c r="D223" s="58">
        <v>0.99990000000000001</v>
      </c>
      <c r="E223" s="58">
        <v>0.99950000000000006</v>
      </c>
      <c r="F223" s="58">
        <v>0.998</v>
      </c>
      <c r="G223" s="58">
        <v>0.995</v>
      </c>
    </row>
    <row r="224" spans="3:21" hidden="1" outlineLevel="1" x14ac:dyDescent="0.3">
      <c r="C224" s="52" t="s">
        <v>247</v>
      </c>
      <c r="D224" s="56">
        <v>0.13700000000000001</v>
      </c>
      <c r="E224" s="56">
        <v>0.122</v>
      </c>
      <c r="F224" s="56">
        <v>0.107</v>
      </c>
      <c r="G224" s="56">
        <v>9.6000000000000002E-2</v>
      </c>
    </row>
    <row r="225" spans="2:7" collapsed="1" x14ac:dyDescent="0.3"/>
    <row r="226" spans="2:7" x14ac:dyDescent="0.3">
      <c r="B226" s="50" t="s">
        <v>820</v>
      </c>
    </row>
    <row r="227" spans="2:7" hidden="1" outlineLevel="1" x14ac:dyDescent="0.3"/>
    <row r="228" spans="2:7" hidden="1" outlineLevel="1" x14ac:dyDescent="0.3">
      <c r="D228" s="58">
        <v>0.99990000000000001</v>
      </c>
      <c r="E228" s="58">
        <v>0.99950000000000006</v>
      </c>
      <c r="F228" s="58">
        <v>0.998</v>
      </c>
      <c r="G228" s="58">
        <v>0.995</v>
      </c>
    </row>
    <row r="229" spans="2:7" hidden="1" outlineLevel="1" x14ac:dyDescent="0.3">
      <c r="B229" s="163" t="s">
        <v>813</v>
      </c>
      <c r="C229" s="52" t="s">
        <v>914</v>
      </c>
      <c r="D229" s="56">
        <v>0.25</v>
      </c>
      <c r="E229" s="56">
        <v>0.22</v>
      </c>
      <c r="F229" s="56">
        <v>0.19</v>
      </c>
      <c r="G229" s="56">
        <v>0.17</v>
      </c>
    </row>
    <row r="230" spans="2:7" hidden="1" outlineLevel="1" x14ac:dyDescent="0.3">
      <c r="B230" s="777" t="s">
        <v>812</v>
      </c>
      <c r="C230" s="52" t="s">
        <v>818</v>
      </c>
      <c r="D230" s="56">
        <v>1.18</v>
      </c>
      <c r="E230" s="56">
        <v>1.05</v>
      </c>
      <c r="F230" s="56">
        <v>0.91</v>
      </c>
      <c r="G230" s="56">
        <v>0.82</v>
      </c>
    </row>
    <row r="231" spans="2:7" hidden="1" outlineLevel="1" x14ac:dyDescent="0.3">
      <c r="B231" s="777"/>
      <c r="C231" s="52" t="s">
        <v>819</v>
      </c>
      <c r="D231" s="56">
        <v>0.46</v>
      </c>
      <c r="E231" s="56">
        <v>0.41</v>
      </c>
      <c r="F231" s="56">
        <v>0.36</v>
      </c>
      <c r="G231" s="56">
        <v>0.32</v>
      </c>
    </row>
    <row r="232" spans="2:7" hidden="1" outlineLevel="1" x14ac:dyDescent="0.3">
      <c r="B232" s="777"/>
      <c r="C232" s="52" t="s">
        <v>817</v>
      </c>
      <c r="D232" s="56">
        <v>0.14000000000000001</v>
      </c>
      <c r="E232" s="56">
        <v>0.13</v>
      </c>
      <c r="F232" s="56">
        <v>0.11</v>
      </c>
      <c r="G232" s="56">
        <v>0.1</v>
      </c>
    </row>
    <row r="233" spans="2:7" hidden="1" outlineLevel="1" x14ac:dyDescent="0.3">
      <c r="B233" s="65"/>
    </row>
    <row r="234" spans="2:7" collapsed="1" x14ac:dyDescent="0.3"/>
    <row r="235" spans="2:7" x14ac:dyDescent="0.3">
      <c r="B235" s="50" t="s">
        <v>823</v>
      </c>
    </row>
    <row r="236" spans="2:7" hidden="1" outlineLevel="1" x14ac:dyDescent="0.3"/>
    <row r="237" spans="2:7" hidden="1" outlineLevel="1" x14ac:dyDescent="0.3">
      <c r="D237" s="58">
        <v>0.99990000000000001</v>
      </c>
      <c r="E237" s="58">
        <v>0.99950000000000006</v>
      </c>
      <c r="F237" s="58">
        <v>0.998</v>
      </c>
      <c r="G237" s="58">
        <v>0.995</v>
      </c>
    </row>
    <row r="238" spans="2:7" hidden="1" outlineLevel="1" x14ac:dyDescent="0.3">
      <c r="C238" s="52" t="s">
        <v>824</v>
      </c>
      <c r="D238" s="56">
        <v>0.65</v>
      </c>
      <c r="E238" s="56">
        <v>0.55000000000000004</v>
      </c>
      <c r="F238" s="56">
        <v>0.45</v>
      </c>
      <c r="G238" s="56">
        <v>0.35</v>
      </c>
    </row>
    <row r="239" spans="2:7" hidden="1" outlineLevel="1" x14ac:dyDescent="0.3"/>
    <row r="240" spans="2:7" ht="14.4" customHeight="1" collapsed="1" x14ac:dyDescent="0.3"/>
    <row r="241" spans="2:7" x14ac:dyDescent="0.3">
      <c r="B241" s="50" t="s">
        <v>4160</v>
      </c>
    </row>
    <row r="242" spans="2:7" hidden="1" outlineLevel="1" x14ac:dyDescent="0.3"/>
    <row r="243" spans="2:7" hidden="1" outlineLevel="1" x14ac:dyDescent="0.3">
      <c r="D243" s="58">
        <v>0.99990000000000001</v>
      </c>
      <c r="E243" s="58">
        <v>0.99950000000000006</v>
      </c>
      <c r="F243" s="58">
        <v>0.998</v>
      </c>
      <c r="G243" s="58">
        <v>0.995</v>
      </c>
    </row>
    <row r="244" spans="2:7" hidden="1" outlineLevel="1" x14ac:dyDescent="0.3">
      <c r="C244" s="52" t="s">
        <v>4140</v>
      </c>
      <c r="D244" s="56">
        <v>4.1000000000000002E-2</v>
      </c>
      <c r="E244" s="56">
        <v>3.5000000000000003E-2</v>
      </c>
      <c r="F244" s="56">
        <v>0.03</v>
      </c>
      <c r="G244" s="56">
        <v>2.5000000000000001E-2</v>
      </c>
    </row>
    <row r="245" spans="2:7" collapsed="1" x14ac:dyDescent="0.3"/>
  </sheetData>
  <sheetProtection algorithmName="SHA-512" hashValue="JKQPZQzjWxqntYnYY9NaRtHVr+hGg7YIp+goOc/F0CDwKRK1Zlqf4aN6DR+dVb7FgzXx4sURPaTnSC+jvBIpNg==" saltValue="cK7ohbw1ZA3kxvkGVgdt5A==" spinCount="100000" sheet="1" objects="1" scenarios="1" formatColumns="0" formatRows="0"/>
  <mergeCells count="54">
    <mergeCell ref="P177:S177"/>
    <mergeCell ref="P183:S183"/>
    <mergeCell ref="K98:K100"/>
    <mergeCell ref="K101:K103"/>
    <mergeCell ref="K104:K106"/>
    <mergeCell ref="K107:K109"/>
    <mergeCell ref="L104:L106"/>
    <mergeCell ref="L107:L109"/>
    <mergeCell ref="D211:G211"/>
    <mergeCell ref="D222:G222"/>
    <mergeCell ref="B230:B232"/>
    <mergeCell ref="C130:G130"/>
    <mergeCell ref="B80:G80"/>
    <mergeCell ref="B98:B109"/>
    <mergeCell ref="C115:G115"/>
    <mergeCell ref="D200:G200"/>
    <mergeCell ref="D167:G167"/>
    <mergeCell ref="C6:K6"/>
    <mergeCell ref="AJ6:AR6"/>
    <mergeCell ref="Y6:AG6"/>
    <mergeCell ref="N6:V6"/>
    <mergeCell ref="O40:S40"/>
    <mergeCell ref="AI31:AI36"/>
    <mergeCell ref="AI23:AI28"/>
    <mergeCell ref="X31:X36"/>
    <mergeCell ref="X23:X28"/>
    <mergeCell ref="M31:M36"/>
    <mergeCell ref="M23:M28"/>
    <mergeCell ref="AI15:AI20"/>
    <mergeCell ref="AI7:AI12"/>
    <mergeCell ref="X15:X20"/>
    <mergeCell ref="X7:X12"/>
    <mergeCell ref="B7:B12"/>
    <mergeCell ref="M15:M20"/>
    <mergeCell ref="M7:M12"/>
    <mergeCell ref="D63:G63"/>
    <mergeCell ref="O57:S57"/>
    <mergeCell ref="D72:J72"/>
    <mergeCell ref="B15:B20"/>
    <mergeCell ref="B31:B36"/>
    <mergeCell ref="B23:B28"/>
    <mergeCell ref="D58:G58"/>
    <mergeCell ref="B74:B77"/>
    <mergeCell ref="L98:L100"/>
    <mergeCell ref="L101:L103"/>
    <mergeCell ref="D94:I94"/>
    <mergeCell ref="J94:K94"/>
    <mergeCell ref="D95:F95"/>
    <mergeCell ref="D96:F96"/>
    <mergeCell ref="G95:G97"/>
    <mergeCell ref="H95:H97"/>
    <mergeCell ref="I95:I97"/>
    <mergeCell ref="J95:J97"/>
    <mergeCell ref="K95:K97"/>
  </mergeCells>
  <phoneticPr fontId="14" type="noConversion"/>
  <conditionalFormatting sqref="A1:AU38 N39:AU43 A39:L43 A44:AU250">
    <cfRule type="expression" dxfId="21" priority="5">
      <formula>_xlfn.ISFORMULA(A1)</formula>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4CD4-4341-4577-BDB9-2177C3C9EF70}">
  <sheetPr codeName="Sheet9">
    <tabColor theme="2" tint="-0.249977111117893"/>
  </sheetPr>
  <dimension ref="B2:AA37"/>
  <sheetViews>
    <sheetView zoomScaleNormal="100" workbookViewId="0"/>
  </sheetViews>
  <sheetFormatPr defaultColWidth="8.90625" defaultRowHeight="14.5" x14ac:dyDescent="0.35"/>
  <cols>
    <col min="1" max="1" width="5.36328125" style="9" customWidth="1"/>
    <col min="2" max="2" width="22.08984375" style="9" bestFit="1" customWidth="1"/>
    <col min="3" max="3" width="17.36328125" style="9" bestFit="1" customWidth="1"/>
    <col min="4" max="4" width="19" style="9" bestFit="1" customWidth="1"/>
    <col min="5" max="5" width="18.36328125" style="9" bestFit="1" customWidth="1"/>
    <col min="6" max="6" width="18.36328125" style="9" customWidth="1"/>
    <col min="7" max="7" width="11.36328125" style="9" bestFit="1" customWidth="1"/>
    <col min="8" max="8" width="15.6328125" style="9" bestFit="1" customWidth="1"/>
    <col min="9" max="9" width="12.453125" style="9" bestFit="1" customWidth="1"/>
    <col min="10" max="10" width="12" style="9" bestFit="1" customWidth="1"/>
    <col min="11" max="11" width="11.54296875" style="9" customWidth="1"/>
    <col min="12" max="12" width="27.6328125" style="9" bestFit="1" customWidth="1"/>
    <col min="13" max="13" width="12.36328125" style="9" bestFit="1" customWidth="1"/>
    <col min="14" max="14" width="7.90625" style="9" bestFit="1" customWidth="1"/>
    <col min="15" max="15" width="16.36328125" style="9" bestFit="1" customWidth="1"/>
    <col min="16" max="16" width="19.6328125" style="9" bestFit="1" customWidth="1"/>
    <col min="17" max="17" width="7.453125" style="9" bestFit="1" customWidth="1"/>
    <col min="18" max="18" width="34.36328125" style="9" bestFit="1" customWidth="1"/>
    <col min="19" max="19" width="34.36328125" style="9" customWidth="1"/>
    <col min="20" max="20" width="18.36328125" style="9" bestFit="1" customWidth="1"/>
    <col min="21" max="21" width="16.54296875" style="9" bestFit="1" customWidth="1"/>
    <col min="22" max="22" width="24.6328125" style="9" bestFit="1" customWidth="1"/>
    <col min="23" max="23" width="14.90625" style="9" bestFit="1" customWidth="1"/>
    <col min="24" max="24" width="8.90625" style="9"/>
    <col min="25" max="25" width="15.453125" style="9" bestFit="1" customWidth="1"/>
    <col min="26" max="26" width="28.453125" style="9" bestFit="1" customWidth="1"/>
    <col min="27" max="27" width="34.08984375" style="9" bestFit="1" customWidth="1"/>
    <col min="28" max="16384" width="8.90625" style="9"/>
  </cols>
  <sheetData>
    <row r="2" spans="2:27" s="37" customFormat="1" ht="29" x14ac:dyDescent="0.35">
      <c r="B2" s="37" t="s">
        <v>8</v>
      </c>
      <c r="C2" s="37" t="s">
        <v>1059</v>
      </c>
      <c r="D2" s="37" t="s">
        <v>1163</v>
      </c>
      <c r="E2" s="37" t="s">
        <v>1162</v>
      </c>
      <c r="F2" s="37" t="s">
        <v>390</v>
      </c>
      <c r="G2" s="37" t="s">
        <v>276</v>
      </c>
      <c r="H2" s="37" t="s">
        <v>277</v>
      </c>
      <c r="I2" s="37" t="s">
        <v>939</v>
      </c>
      <c r="J2" s="37" t="s">
        <v>1063</v>
      </c>
      <c r="K2" s="37" t="s">
        <v>285</v>
      </c>
      <c r="L2" s="37" t="s">
        <v>354</v>
      </c>
      <c r="M2" s="37" t="s">
        <v>1113</v>
      </c>
      <c r="N2" s="37" t="s">
        <v>740</v>
      </c>
      <c r="O2" s="37" t="s">
        <v>748</v>
      </c>
      <c r="P2" s="37" t="s">
        <v>964</v>
      </c>
      <c r="Q2" s="37" t="s">
        <v>33</v>
      </c>
      <c r="R2" s="37" t="s">
        <v>1079</v>
      </c>
      <c r="S2" s="37" t="s">
        <v>1472</v>
      </c>
      <c r="T2" s="37" t="s">
        <v>34</v>
      </c>
      <c r="U2" s="37" t="s">
        <v>1114</v>
      </c>
      <c r="V2" s="37" t="s">
        <v>1072</v>
      </c>
      <c r="W2" s="37" t="s">
        <v>2750</v>
      </c>
      <c r="X2" s="116" t="s">
        <v>1104</v>
      </c>
      <c r="Y2" s="37" t="s">
        <v>3106</v>
      </c>
      <c r="Z2" s="122" t="s">
        <v>4107</v>
      </c>
      <c r="AA2" s="37" t="s">
        <v>4102</v>
      </c>
    </row>
    <row r="3" spans="2:27" x14ac:dyDescent="0.35">
      <c r="B3" s="113" t="s">
        <v>1061</v>
      </c>
      <c r="C3" s="9">
        <v>1</v>
      </c>
      <c r="D3" s="9" t="s">
        <v>0</v>
      </c>
      <c r="E3" s="9" t="str">
        <f>D3</f>
        <v>AAA</v>
      </c>
      <c r="F3" s="9" t="s">
        <v>0</v>
      </c>
      <c r="G3" s="9">
        <v>1</v>
      </c>
      <c r="H3" s="9" t="s">
        <v>278</v>
      </c>
      <c r="I3" s="9" t="s">
        <v>934</v>
      </c>
      <c r="J3" s="9" t="s">
        <v>286</v>
      </c>
      <c r="K3" s="9" t="s">
        <v>290</v>
      </c>
      <c r="L3" s="9" t="s">
        <v>235</v>
      </c>
      <c r="M3" s="9" t="s">
        <v>238</v>
      </c>
      <c r="N3" s="9" t="s">
        <v>741</v>
      </c>
      <c r="O3" s="9" t="s">
        <v>261</v>
      </c>
      <c r="P3" s="9" t="s">
        <v>965</v>
      </c>
      <c r="Q3" s="9" t="s">
        <v>36</v>
      </c>
      <c r="R3" s="9" t="s">
        <v>24</v>
      </c>
      <c r="S3" s="9" t="s">
        <v>24</v>
      </c>
      <c r="T3" s="9" t="s">
        <v>22</v>
      </c>
      <c r="U3" s="9">
        <v>1</v>
      </c>
      <c r="V3" s="9" t="s">
        <v>2</v>
      </c>
      <c r="W3" s="9">
        <v>2018</v>
      </c>
      <c r="X3" s="115">
        <v>5.0000000000000001E-3</v>
      </c>
      <c r="Y3" s="9" t="s">
        <v>3107</v>
      </c>
      <c r="Z3" s="9" t="s">
        <v>4100</v>
      </c>
      <c r="AA3" s="9" t="s">
        <v>4103</v>
      </c>
    </row>
    <row r="4" spans="2:27" x14ac:dyDescent="0.35">
      <c r="B4" s="113" t="s">
        <v>1060</v>
      </c>
      <c r="C4" s="9">
        <v>2</v>
      </c>
      <c r="D4" s="9" t="s">
        <v>1</v>
      </c>
      <c r="E4" s="9" t="str">
        <f t="shared" ref="E4:E8" si="0">D4</f>
        <v>AA</v>
      </c>
      <c r="F4" s="9" t="s">
        <v>1</v>
      </c>
      <c r="G4" s="9">
        <v>0</v>
      </c>
      <c r="H4" s="9" t="s">
        <v>279</v>
      </c>
      <c r="I4" s="9" t="s">
        <v>935</v>
      </c>
      <c r="J4" s="9" t="s">
        <v>284</v>
      </c>
      <c r="K4" s="9" t="s">
        <v>288</v>
      </c>
      <c r="L4" s="9" t="s">
        <v>320</v>
      </c>
      <c r="M4" s="9" t="s">
        <v>389</v>
      </c>
      <c r="N4" s="9" t="s">
        <v>742</v>
      </c>
      <c r="O4" s="9" t="s">
        <v>24</v>
      </c>
      <c r="Q4" s="9" t="s">
        <v>27</v>
      </c>
      <c r="R4" s="9" t="s">
        <v>25</v>
      </c>
      <c r="S4" s="9" t="s">
        <v>1080</v>
      </c>
      <c r="T4" s="9" t="s">
        <v>23</v>
      </c>
      <c r="U4" s="9">
        <v>2</v>
      </c>
      <c r="V4" s="9" t="s">
        <v>5</v>
      </c>
      <c r="W4" s="9">
        <f>W3+1</f>
        <v>2019</v>
      </c>
      <c r="Y4" s="9" t="s">
        <v>3108</v>
      </c>
      <c r="Z4" s="9" t="s">
        <v>4110</v>
      </c>
      <c r="AA4" s="9" t="s">
        <v>4104</v>
      </c>
    </row>
    <row r="5" spans="2:27" x14ac:dyDescent="0.35">
      <c r="B5" s="113" t="s">
        <v>4093</v>
      </c>
      <c r="C5" s="9">
        <v>3</v>
      </c>
      <c r="D5" s="9" t="s">
        <v>2</v>
      </c>
      <c r="E5" s="9" t="str">
        <f t="shared" si="0"/>
        <v>A</v>
      </c>
      <c r="F5" s="9" t="s">
        <v>2</v>
      </c>
      <c r="G5" s="9">
        <v>-1</v>
      </c>
      <c r="H5" s="9" t="s">
        <v>280</v>
      </c>
      <c r="I5" s="9" t="s">
        <v>936</v>
      </c>
      <c r="J5" s="9" t="s">
        <v>287</v>
      </c>
      <c r="K5" s="9" t="s">
        <v>289</v>
      </c>
      <c r="L5" s="9" t="s">
        <v>4123</v>
      </c>
      <c r="N5" s="9" t="s">
        <v>743</v>
      </c>
      <c r="O5" s="9" t="s">
        <v>373</v>
      </c>
      <c r="R5" s="9" t="s">
        <v>1080</v>
      </c>
      <c r="S5" s="158" t="s">
        <v>4139</v>
      </c>
      <c r="T5" s="9" t="s">
        <v>26</v>
      </c>
      <c r="U5" s="9">
        <v>3</v>
      </c>
      <c r="V5" s="9" t="s">
        <v>1121</v>
      </c>
      <c r="W5" s="9">
        <f t="shared" ref="W5:W25" si="1">W4+1</f>
        <v>2020</v>
      </c>
      <c r="Y5" s="9" t="s">
        <v>27</v>
      </c>
      <c r="Z5" s="9" t="s">
        <v>4136</v>
      </c>
      <c r="AA5" s="9" t="s">
        <v>27</v>
      </c>
    </row>
    <row r="6" spans="2:27" x14ac:dyDescent="0.35">
      <c r="B6" s="9" t="s">
        <v>4090</v>
      </c>
      <c r="C6" s="9">
        <v>4</v>
      </c>
      <c r="D6" s="9" t="s">
        <v>3</v>
      </c>
      <c r="E6" s="9" t="str">
        <f t="shared" si="0"/>
        <v>BBB</v>
      </c>
      <c r="F6" s="9" t="s">
        <v>3</v>
      </c>
      <c r="I6" s="9" t="s">
        <v>937</v>
      </c>
      <c r="K6" s="9" t="s">
        <v>3132</v>
      </c>
      <c r="L6" s="9" t="s">
        <v>321</v>
      </c>
      <c r="N6" s="9" t="s">
        <v>11</v>
      </c>
      <c r="O6" s="9" t="s">
        <v>746</v>
      </c>
      <c r="R6" s="9" t="s">
        <v>4139</v>
      </c>
      <c r="S6" s="158" t="s">
        <v>916</v>
      </c>
      <c r="U6" s="9">
        <v>4</v>
      </c>
      <c r="V6" s="9" t="s">
        <v>1123</v>
      </c>
      <c r="W6" s="9">
        <f t="shared" si="1"/>
        <v>2021</v>
      </c>
      <c r="Z6" s="9" t="s">
        <v>4135</v>
      </c>
    </row>
    <row r="7" spans="2:27" x14ac:dyDescent="0.35">
      <c r="B7" s="9" t="s">
        <v>4091</v>
      </c>
      <c r="D7" s="9" t="s">
        <v>4</v>
      </c>
      <c r="E7" s="9" t="str">
        <f t="shared" si="0"/>
        <v>BB</v>
      </c>
      <c r="F7" s="9" t="s">
        <v>4</v>
      </c>
      <c r="I7" s="9" t="s">
        <v>938</v>
      </c>
      <c r="L7" s="8" t="s">
        <v>322</v>
      </c>
      <c r="O7" s="9" t="s">
        <v>744</v>
      </c>
      <c r="R7" s="9" t="s">
        <v>2141</v>
      </c>
      <c r="U7" s="9">
        <v>5</v>
      </c>
      <c r="V7" s="9" t="s">
        <v>1122</v>
      </c>
      <c r="W7" s="9">
        <f t="shared" si="1"/>
        <v>2022</v>
      </c>
    </row>
    <row r="8" spans="2:27" x14ac:dyDescent="0.35">
      <c r="B8" s="9" t="s">
        <v>4092</v>
      </c>
      <c r="D8" s="9" t="s">
        <v>5</v>
      </c>
      <c r="E8" s="9" t="str">
        <f t="shared" si="0"/>
        <v>B</v>
      </c>
      <c r="F8" s="9" t="s">
        <v>5</v>
      </c>
      <c r="L8" s="8" t="s">
        <v>1397</v>
      </c>
      <c r="O8" s="9" t="s">
        <v>745</v>
      </c>
      <c r="V8" s="9" t="s">
        <v>1124</v>
      </c>
      <c r="W8" s="9">
        <f t="shared" si="1"/>
        <v>2023</v>
      </c>
    </row>
    <row r="9" spans="2:27" x14ac:dyDescent="0.35">
      <c r="D9" s="8" t="s">
        <v>1457</v>
      </c>
      <c r="E9" s="9" t="s">
        <v>12</v>
      </c>
      <c r="F9" s="8" t="s">
        <v>12</v>
      </c>
      <c r="L9" s="8" t="s">
        <v>337</v>
      </c>
      <c r="O9" s="9" t="s">
        <v>747</v>
      </c>
      <c r="W9" s="9">
        <f t="shared" si="1"/>
        <v>2024</v>
      </c>
    </row>
    <row r="10" spans="2:27" x14ac:dyDescent="0.35">
      <c r="L10" s="8" t="s">
        <v>338</v>
      </c>
      <c r="O10" s="9" t="s">
        <v>385</v>
      </c>
      <c r="W10" s="9">
        <f t="shared" si="1"/>
        <v>2025</v>
      </c>
    </row>
    <row r="11" spans="2:27" x14ac:dyDescent="0.35">
      <c r="L11" s="8" t="s">
        <v>339</v>
      </c>
      <c r="W11" s="9">
        <f t="shared" si="1"/>
        <v>2026</v>
      </c>
    </row>
    <row r="12" spans="2:27" x14ac:dyDescent="0.35">
      <c r="L12" s="8" t="s">
        <v>233</v>
      </c>
      <c r="W12" s="9">
        <f t="shared" si="1"/>
        <v>2027</v>
      </c>
    </row>
    <row r="13" spans="2:27" x14ac:dyDescent="0.35">
      <c r="L13" s="8" t="s">
        <v>1398</v>
      </c>
      <c r="W13" s="9">
        <f t="shared" si="1"/>
        <v>2028</v>
      </c>
    </row>
    <row r="14" spans="2:27" x14ac:dyDescent="0.35">
      <c r="L14" s="8" t="s">
        <v>348</v>
      </c>
      <c r="W14" s="9">
        <f t="shared" si="1"/>
        <v>2029</v>
      </c>
    </row>
    <row r="15" spans="2:27" x14ac:dyDescent="0.35">
      <c r="L15" s="8" t="s">
        <v>349</v>
      </c>
      <c r="W15" s="9">
        <f t="shared" si="1"/>
        <v>2030</v>
      </c>
    </row>
    <row r="16" spans="2:27" x14ac:dyDescent="0.35">
      <c r="L16" s="8" t="s">
        <v>295</v>
      </c>
      <c r="W16" s="9">
        <f t="shared" si="1"/>
        <v>2031</v>
      </c>
    </row>
    <row r="17" spans="12:23" x14ac:dyDescent="0.35">
      <c r="L17" s="8" t="s">
        <v>347</v>
      </c>
      <c r="W17" s="9">
        <f t="shared" si="1"/>
        <v>2032</v>
      </c>
    </row>
    <row r="18" spans="12:23" x14ac:dyDescent="0.35">
      <c r="L18" s="8" t="s">
        <v>4124</v>
      </c>
      <c r="W18" s="9">
        <f t="shared" si="1"/>
        <v>2033</v>
      </c>
    </row>
    <row r="19" spans="12:23" x14ac:dyDescent="0.35">
      <c r="L19" s="8" t="s">
        <v>755</v>
      </c>
      <c r="W19" s="9">
        <f t="shared" si="1"/>
        <v>2034</v>
      </c>
    </row>
    <row r="20" spans="12:23" x14ac:dyDescent="0.35">
      <c r="L20" s="8" t="s">
        <v>1395</v>
      </c>
      <c r="W20" s="9">
        <f t="shared" si="1"/>
        <v>2035</v>
      </c>
    </row>
    <row r="21" spans="12:23" x14ac:dyDescent="0.35">
      <c r="L21" s="8" t="s">
        <v>1432</v>
      </c>
      <c r="M21" s="114"/>
      <c r="W21" s="9">
        <f t="shared" si="1"/>
        <v>2036</v>
      </c>
    </row>
    <row r="22" spans="12:23" x14ac:dyDescent="0.35">
      <c r="L22" s="8" t="s">
        <v>828</v>
      </c>
      <c r="W22" s="9">
        <f t="shared" si="1"/>
        <v>2037</v>
      </c>
    </row>
    <row r="23" spans="12:23" x14ac:dyDescent="0.35">
      <c r="L23" s="8" t="s">
        <v>829</v>
      </c>
      <c r="W23" s="9">
        <f t="shared" si="1"/>
        <v>2038</v>
      </c>
    </row>
    <row r="24" spans="12:23" x14ac:dyDescent="0.35">
      <c r="L24" s="8" t="s">
        <v>830</v>
      </c>
      <c r="W24" s="9">
        <f t="shared" si="1"/>
        <v>2039</v>
      </c>
    </row>
    <row r="25" spans="12:23" x14ac:dyDescent="0.35">
      <c r="L25" s="8" t="s">
        <v>831</v>
      </c>
      <c r="W25" s="9">
        <f t="shared" si="1"/>
        <v>2040</v>
      </c>
    </row>
    <row r="26" spans="12:23" x14ac:dyDescent="0.35">
      <c r="L26" s="8" t="s">
        <v>972</v>
      </c>
    </row>
    <row r="27" spans="12:23" x14ac:dyDescent="0.35">
      <c r="L27" s="8" t="s">
        <v>848</v>
      </c>
    </row>
    <row r="28" spans="12:23" x14ac:dyDescent="0.35">
      <c r="L28" s="8" t="s">
        <v>1396</v>
      </c>
    </row>
    <row r="29" spans="12:23" x14ac:dyDescent="0.35">
      <c r="L29" s="8" t="s">
        <v>1433</v>
      </c>
    </row>
    <row r="30" spans="12:23" x14ac:dyDescent="0.35">
      <c r="L30" s="8" t="s">
        <v>832</v>
      </c>
    </row>
    <row r="31" spans="12:23" x14ac:dyDescent="0.35">
      <c r="L31" s="8" t="s">
        <v>833</v>
      </c>
    </row>
    <row r="32" spans="12:23" x14ac:dyDescent="0.35">
      <c r="L32" s="8" t="s">
        <v>834</v>
      </c>
    </row>
    <row r="33" spans="12:12" x14ac:dyDescent="0.35">
      <c r="L33" s="8" t="s">
        <v>835</v>
      </c>
    </row>
    <row r="34" spans="12:12" x14ac:dyDescent="0.35">
      <c r="L34" s="8" t="s">
        <v>973</v>
      </c>
    </row>
    <row r="35" spans="12:12" x14ac:dyDescent="0.35">
      <c r="L35" s="8" t="s">
        <v>849</v>
      </c>
    </row>
    <row r="36" spans="12:12" x14ac:dyDescent="0.35">
      <c r="L36" s="8" t="s">
        <v>919</v>
      </c>
    </row>
    <row r="37" spans="12:12" x14ac:dyDescent="0.35">
      <c r="L37" s="8" t="s">
        <v>262</v>
      </c>
    </row>
  </sheetData>
  <sheetProtection algorithmName="SHA-512" hashValue="aTNGEOFHgFPayEGhAR8Y7mxdu3RlCRd7pM8/2dBKAbw9I4yB6vvPJ1dk4lVSVeuYXpclvI+pEdjT89RofGcybg==" saltValue="zlYM2agluHugXBZoIVufyw==" spinCount="100000" sheet="1" objects="1" scenarios="1" formatColumns="0" formatRows="0"/>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8F887-03F9-4681-8D4D-D6BC2D36B134}">
  <sheetPr codeName="Sheet2">
    <tabColor theme="2" tint="-0.249977111117893"/>
  </sheetPr>
  <dimension ref="B2:J200"/>
  <sheetViews>
    <sheetView zoomScaleNormal="100" workbookViewId="0"/>
  </sheetViews>
  <sheetFormatPr defaultColWidth="8.90625" defaultRowHeight="14.5" x14ac:dyDescent="0.35"/>
  <cols>
    <col min="1" max="1" width="5.54296875" style="9" customWidth="1"/>
    <col min="2" max="2" width="14.6328125" style="9" bestFit="1" customWidth="1"/>
    <col min="3" max="3" width="14.36328125" style="9" bestFit="1" customWidth="1"/>
    <col min="4" max="4" width="12.90625" style="9" bestFit="1" customWidth="1"/>
    <col min="5" max="5" width="30.36328125" style="9" bestFit="1" customWidth="1"/>
    <col min="6" max="6" width="20.36328125" style="9" bestFit="1" customWidth="1"/>
    <col min="7" max="7" width="29" style="9" bestFit="1" customWidth="1"/>
    <col min="8" max="8" width="10.6328125" style="9" customWidth="1"/>
    <col min="9" max="9" width="12.6328125" style="9" bestFit="1" customWidth="1"/>
    <col min="10" max="10" width="34.36328125" style="9" bestFit="1" customWidth="1"/>
    <col min="11" max="11" width="23.453125" style="9" bestFit="1" customWidth="1"/>
    <col min="12" max="12" width="8.90625" style="9"/>
    <col min="13" max="13" width="20.36328125" style="9" bestFit="1" customWidth="1"/>
    <col min="14" max="14" width="29.90625" style="9" bestFit="1" customWidth="1"/>
    <col min="15" max="15" width="8.90625" style="9"/>
    <col min="16" max="16" width="29.90625" style="9" bestFit="1" customWidth="1"/>
    <col min="17" max="16384" width="8.90625" style="9"/>
  </cols>
  <sheetData>
    <row r="2" spans="2:10" x14ac:dyDescent="0.35">
      <c r="B2" s="37" t="s">
        <v>941</v>
      </c>
      <c r="C2" s="37" t="s">
        <v>942</v>
      </c>
      <c r="D2" s="37" t="s">
        <v>943</v>
      </c>
      <c r="E2" s="37" t="s">
        <v>1392</v>
      </c>
      <c r="F2" s="37" t="s">
        <v>1112</v>
      </c>
      <c r="G2" s="37" t="s">
        <v>945</v>
      </c>
      <c r="H2" s="37"/>
      <c r="J2" s="37" t="s">
        <v>1393</v>
      </c>
    </row>
    <row r="3" spans="2:10" x14ac:dyDescent="0.35">
      <c r="B3" s="9" t="s">
        <v>27</v>
      </c>
      <c r="C3" s="9" t="s">
        <v>27</v>
      </c>
      <c r="D3" s="9" t="s">
        <v>27</v>
      </c>
      <c r="E3" s="9" t="s">
        <v>44</v>
      </c>
      <c r="F3" s="9">
        <v>4</v>
      </c>
      <c r="G3" s="9" t="s">
        <v>2</v>
      </c>
      <c r="J3" s="9" t="s">
        <v>44</v>
      </c>
    </row>
    <row r="4" spans="2:10" x14ac:dyDescent="0.35">
      <c r="B4" s="9" t="s">
        <v>27</v>
      </c>
      <c r="C4" s="9" t="s">
        <v>36</v>
      </c>
      <c r="D4" s="9" t="s">
        <v>27</v>
      </c>
      <c r="E4" s="9" t="s">
        <v>45</v>
      </c>
      <c r="F4" s="9">
        <v>4</v>
      </c>
      <c r="G4" s="9" t="s">
        <v>1123</v>
      </c>
      <c r="J4" s="9" t="s">
        <v>45</v>
      </c>
    </row>
    <row r="5" spans="2:10" x14ac:dyDescent="0.35">
      <c r="B5" s="9" t="s">
        <v>36</v>
      </c>
      <c r="C5" s="9" t="s">
        <v>27</v>
      </c>
      <c r="D5" s="9" t="s">
        <v>27</v>
      </c>
      <c r="E5" s="9" t="s">
        <v>48</v>
      </c>
      <c r="F5" s="9">
        <v>4</v>
      </c>
      <c r="G5" s="9" t="s">
        <v>1121</v>
      </c>
      <c r="J5" s="9" t="s">
        <v>48</v>
      </c>
    </row>
    <row r="6" spans="2:10" x14ac:dyDescent="0.35">
      <c r="B6" s="9" t="s">
        <v>27</v>
      </c>
      <c r="C6" s="9" t="s">
        <v>36</v>
      </c>
      <c r="D6" s="9" t="s">
        <v>27</v>
      </c>
      <c r="E6" s="9" t="s">
        <v>52</v>
      </c>
      <c r="F6" s="9">
        <v>4</v>
      </c>
      <c r="G6" s="9" t="s">
        <v>5</v>
      </c>
      <c r="J6" s="9" t="s">
        <v>52</v>
      </c>
    </row>
    <row r="7" spans="2:10" x14ac:dyDescent="0.35">
      <c r="B7" s="9" t="s">
        <v>27</v>
      </c>
      <c r="C7" s="9" t="s">
        <v>27</v>
      </c>
      <c r="D7" s="9" t="s">
        <v>27</v>
      </c>
      <c r="E7" s="9" t="s">
        <v>59</v>
      </c>
      <c r="F7" s="9">
        <v>5</v>
      </c>
      <c r="G7" s="9" t="s">
        <v>1123</v>
      </c>
      <c r="J7" s="9" t="s">
        <v>1394</v>
      </c>
    </row>
    <row r="8" spans="2:10" x14ac:dyDescent="0.35">
      <c r="B8" s="9" t="s">
        <v>27</v>
      </c>
      <c r="C8" s="9" t="s">
        <v>27</v>
      </c>
      <c r="D8" s="9" t="s">
        <v>27</v>
      </c>
      <c r="E8" s="9" t="s">
        <v>30</v>
      </c>
      <c r="F8" s="9">
        <v>3</v>
      </c>
      <c r="G8" s="9" t="s">
        <v>2</v>
      </c>
      <c r="J8" s="9" t="s">
        <v>59</v>
      </c>
    </row>
    <row r="9" spans="2:10" x14ac:dyDescent="0.35">
      <c r="B9" s="9" t="s">
        <v>27</v>
      </c>
      <c r="C9" s="9" t="s">
        <v>27</v>
      </c>
      <c r="D9" s="9" t="s">
        <v>27</v>
      </c>
      <c r="E9" s="9" t="s">
        <v>69</v>
      </c>
      <c r="F9" s="9">
        <v>4</v>
      </c>
      <c r="G9" s="9" t="s">
        <v>1123</v>
      </c>
      <c r="J9" s="9" t="s">
        <v>30</v>
      </c>
    </row>
    <row r="10" spans="2:10" x14ac:dyDescent="0.35">
      <c r="B10" s="9" t="s">
        <v>27</v>
      </c>
      <c r="C10" s="9" t="s">
        <v>27</v>
      </c>
      <c r="D10" s="9" t="s">
        <v>27</v>
      </c>
      <c r="E10" s="9" t="s">
        <v>70</v>
      </c>
      <c r="F10" s="9">
        <v>3</v>
      </c>
      <c r="G10" s="9" t="s">
        <v>1124</v>
      </c>
      <c r="J10" s="9" t="s">
        <v>69</v>
      </c>
    </row>
    <row r="11" spans="2:10" x14ac:dyDescent="0.35">
      <c r="B11" s="9" t="s">
        <v>27</v>
      </c>
      <c r="C11" s="9" t="s">
        <v>27</v>
      </c>
      <c r="D11" s="9" t="s">
        <v>27</v>
      </c>
      <c r="E11" s="9" t="s">
        <v>71</v>
      </c>
      <c r="F11" s="9">
        <v>5</v>
      </c>
      <c r="G11" s="9" t="s">
        <v>1123</v>
      </c>
      <c r="J11" s="9" t="s">
        <v>70</v>
      </c>
    </row>
    <row r="12" spans="2:10" x14ac:dyDescent="0.35">
      <c r="B12" s="9" t="s">
        <v>27</v>
      </c>
      <c r="C12" s="9" t="s">
        <v>36</v>
      </c>
      <c r="D12" s="9" t="s">
        <v>27</v>
      </c>
      <c r="E12" s="9" t="s">
        <v>79</v>
      </c>
      <c r="F12" s="9">
        <v>4</v>
      </c>
      <c r="G12" s="9" t="s">
        <v>245</v>
      </c>
      <c r="J12" s="9" t="s">
        <v>71</v>
      </c>
    </row>
    <row r="13" spans="2:10" x14ac:dyDescent="0.35">
      <c r="B13" s="9" t="s">
        <v>27</v>
      </c>
      <c r="C13" s="9" t="s">
        <v>27</v>
      </c>
      <c r="D13" s="9" t="s">
        <v>27</v>
      </c>
      <c r="E13" s="9" t="s">
        <v>80</v>
      </c>
      <c r="F13" s="9">
        <v>4</v>
      </c>
      <c r="G13" s="9" t="s">
        <v>1121</v>
      </c>
      <c r="J13" s="9" t="s">
        <v>79</v>
      </c>
    </row>
    <row r="14" spans="2:10" x14ac:dyDescent="0.35">
      <c r="B14" s="9" t="s">
        <v>27</v>
      </c>
      <c r="C14" s="9" t="s">
        <v>27</v>
      </c>
      <c r="D14" s="9" t="s">
        <v>36</v>
      </c>
      <c r="E14" s="9" t="s">
        <v>81</v>
      </c>
      <c r="F14" s="9">
        <v>4</v>
      </c>
      <c r="G14" s="9" t="s">
        <v>1123</v>
      </c>
      <c r="J14" s="9" t="s">
        <v>80</v>
      </c>
    </row>
    <row r="15" spans="2:10" x14ac:dyDescent="0.35">
      <c r="B15" s="9" t="s">
        <v>27</v>
      </c>
      <c r="C15" s="9" t="s">
        <v>36</v>
      </c>
      <c r="D15" s="9" t="s">
        <v>27</v>
      </c>
      <c r="E15" s="9" t="s">
        <v>91</v>
      </c>
      <c r="F15" s="9">
        <v>4</v>
      </c>
      <c r="G15" s="9" t="s">
        <v>245</v>
      </c>
      <c r="J15" s="9" t="s">
        <v>81</v>
      </c>
    </row>
    <row r="16" spans="2:10" x14ac:dyDescent="0.35">
      <c r="B16" s="9" t="s">
        <v>27</v>
      </c>
      <c r="C16" s="9" t="s">
        <v>36</v>
      </c>
      <c r="D16" s="9" t="s">
        <v>36</v>
      </c>
      <c r="E16" s="9" t="s">
        <v>94</v>
      </c>
      <c r="F16" s="9">
        <v>4</v>
      </c>
      <c r="G16" s="9" t="s">
        <v>1123</v>
      </c>
      <c r="J16" s="9" t="s">
        <v>91</v>
      </c>
    </row>
    <row r="17" spans="2:10" x14ac:dyDescent="0.35">
      <c r="B17" s="9" t="s">
        <v>27</v>
      </c>
      <c r="C17" s="9" t="s">
        <v>36</v>
      </c>
      <c r="D17" s="9" t="s">
        <v>27</v>
      </c>
      <c r="E17" s="9" t="s">
        <v>95</v>
      </c>
      <c r="F17" s="9">
        <v>4</v>
      </c>
      <c r="G17" s="9" t="s">
        <v>5</v>
      </c>
      <c r="J17" s="9" t="s">
        <v>94</v>
      </c>
    </row>
    <row r="18" spans="2:10" x14ac:dyDescent="0.35">
      <c r="B18" s="9" t="s">
        <v>27</v>
      </c>
      <c r="C18" s="9" t="s">
        <v>36</v>
      </c>
      <c r="D18" s="9" t="s">
        <v>27</v>
      </c>
      <c r="E18" s="9" t="s">
        <v>99</v>
      </c>
      <c r="F18" s="9">
        <v>4</v>
      </c>
      <c r="G18" s="9" t="s">
        <v>1123</v>
      </c>
      <c r="J18" s="9" t="s">
        <v>95</v>
      </c>
    </row>
    <row r="19" spans="2:10" x14ac:dyDescent="0.35">
      <c r="B19" s="9" t="s">
        <v>27</v>
      </c>
      <c r="C19" s="9" t="s">
        <v>36</v>
      </c>
      <c r="D19" s="9" t="s">
        <v>27</v>
      </c>
      <c r="E19" s="9" t="s">
        <v>101</v>
      </c>
      <c r="F19" s="9">
        <v>4</v>
      </c>
      <c r="G19" s="9" t="s">
        <v>245</v>
      </c>
      <c r="J19" s="9" t="s">
        <v>99</v>
      </c>
    </row>
    <row r="20" spans="2:10" x14ac:dyDescent="0.35">
      <c r="B20" s="9" t="s">
        <v>27</v>
      </c>
      <c r="C20" s="9" t="s">
        <v>27</v>
      </c>
      <c r="D20" s="9" t="s">
        <v>27</v>
      </c>
      <c r="E20" s="9" t="s">
        <v>410</v>
      </c>
      <c r="F20" s="9">
        <v>3</v>
      </c>
      <c r="G20" s="9" t="s">
        <v>1121</v>
      </c>
      <c r="J20" s="9" t="s">
        <v>101</v>
      </c>
    </row>
    <row r="21" spans="2:10" x14ac:dyDescent="0.35">
      <c r="B21" s="9" t="s">
        <v>27</v>
      </c>
      <c r="C21" s="9" t="s">
        <v>27</v>
      </c>
      <c r="D21" s="9" t="s">
        <v>36</v>
      </c>
      <c r="E21" s="9" t="s">
        <v>110</v>
      </c>
      <c r="F21" s="9" t="s">
        <v>245</v>
      </c>
      <c r="G21" s="9" t="s">
        <v>1123</v>
      </c>
      <c r="J21" s="9" t="s">
        <v>410</v>
      </c>
    </row>
    <row r="22" spans="2:10" x14ac:dyDescent="0.35">
      <c r="B22" s="9" t="s">
        <v>27</v>
      </c>
      <c r="C22" s="9" t="s">
        <v>27</v>
      </c>
      <c r="D22" s="9" t="s">
        <v>27</v>
      </c>
      <c r="E22" s="9" t="s">
        <v>111</v>
      </c>
      <c r="F22" s="9">
        <v>4</v>
      </c>
      <c r="G22" s="9" t="s">
        <v>1124</v>
      </c>
      <c r="J22" s="9" t="s">
        <v>110</v>
      </c>
    </row>
    <row r="23" spans="2:10" x14ac:dyDescent="0.35">
      <c r="B23" s="9" t="s">
        <v>27</v>
      </c>
      <c r="C23" s="9" t="s">
        <v>36</v>
      </c>
      <c r="D23" s="9" t="s">
        <v>27</v>
      </c>
      <c r="E23" s="9" t="s">
        <v>115</v>
      </c>
      <c r="F23" s="9">
        <v>4</v>
      </c>
      <c r="G23" s="9" t="s">
        <v>245</v>
      </c>
      <c r="J23" s="9" t="s">
        <v>111</v>
      </c>
    </row>
    <row r="24" spans="2:10" x14ac:dyDescent="0.35">
      <c r="B24" s="9" t="s">
        <v>27</v>
      </c>
      <c r="C24" s="9" t="s">
        <v>27</v>
      </c>
      <c r="D24" s="9" t="s">
        <v>27</v>
      </c>
      <c r="E24" s="9" t="s">
        <v>116</v>
      </c>
      <c r="F24" s="9">
        <v>4</v>
      </c>
      <c r="G24" s="9" t="s">
        <v>1123</v>
      </c>
      <c r="J24" s="9" t="s">
        <v>115</v>
      </c>
    </row>
    <row r="25" spans="2:10" x14ac:dyDescent="0.35">
      <c r="B25" s="9" t="s">
        <v>27</v>
      </c>
      <c r="C25" s="9" t="s">
        <v>36</v>
      </c>
      <c r="D25" s="9" t="s">
        <v>27</v>
      </c>
      <c r="E25" s="9" t="s">
        <v>117</v>
      </c>
      <c r="F25" s="9">
        <v>4</v>
      </c>
      <c r="G25" s="9" t="s">
        <v>5</v>
      </c>
      <c r="J25" s="9" t="s">
        <v>116</v>
      </c>
    </row>
    <row r="26" spans="2:10" x14ac:dyDescent="0.35">
      <c r="B26" s="9" t="s">
        <v>27</v>
      </c>
      <c r="C26" s="9" t="s">
        <v>27</v>
      </c>
      <c r="D26" s="9" t="s">
        <v>27</v>
      </c>
      <c r="E26" s="9" t="s">
        <v>32</v>
      </c>
      <c r="F26" s="9">
        <v>1</v>
      </c>
      <c r="G26" s="9" t="s">
        <v>1122</v>
      </c>
      <c r="J26" s="9" t="s">
        <v>117</v>
      </c>
    </row>
    <row r="27" spans="2:10" x14ac:dyDescent="0.35">
      <c r="B27" s="9" t="s">
        <v>27</v>
      </c>
      <c r="C27" s="9" t="s">
        <v>27</v>
      </c>
      <c r="D27" s="9" t="s">
        <v>27</v>
      </c>
      <c r="E27" s="9" t="s">
        <v>120</v>
      </c>
      <c r="F27" s="9">
        <v>5</v>
      </c>
      <c r="G27" s="9" t="s">
        <v>5</v>
      </c>
      <c r="J27" s="9" t="s">
        <v>32</v>
      </c>
    </row>
    <row r="28" spans="2:10" x14ac:dyDescent="0.35">
      <c r="B28" s="9" t="s">
        <v>27</v>
      </c>
      <c r="C28" s="9" t="s">
        <v>27</v>
      </c>
      <c r="D28" s="9" t="s">
        <v>27</v>
      </c>
      <c r="E28" s="9" t="s">
        <v>124</v>
      </c>
      <c r="F28" s="9">
        <v>4</v>
      </c>
      <c r="G28" s="9" t="s">
        <v>1122</v>
      </c>
      <c r="J28" s="9" t="s">
        <v>120</v>
      </c>
    </row>
    <row r="29" spans="2:10" x14ac:dyDescent="0.35">
      <c r="B29" s="9" t="s">
        <v>36</v>
      </c>
      <c r="C29" s="9" t="s">
        <v>27</v>
      </c>
      <c r="D29" s="9" t="s">
        <v>27</v>
      </c>
      <c r="E29" s="9" t="s">
        <v>126</v>
      </c>
      <c r="F29" s="9">
        <v>4</v>
      </c>
      <c r="G29" s="9" t="s">
        <v>1121</v>
      </c>
      <c r="J29" s="9" t="s">
        <v>124</v>
      </c>
    </row>
    <row r="30" spans="2:10" x14ac:dyDescent="0.35">
      <c r="B30" s="9" t="s">
        <v>27</v>
      </c>
      <c r="C30" s="9" t="s">
        <v>36</v>
      </c>
      <c r="D30" s="9" t="s">
        <v>27</v>
      </c>
      <c r="E30" s="9" t="s">
        <v>129</v>
      </c>
      <c r="F30" s="9">
        <v>4</v>
      </c>
      <c r="G30" s="9" t="s">
        <v>245</v>
      </c>
      <c r="J30" s="9" t="s">
        <v>126</v>
      </c>
    </row>
    <row r="31" spans="2:10" x14ac:dyDescent="0.35">
      <c r="B31" s="9" t="s">
        <v>27</v>
      </c>
      <c r="C31" s="9" t="s">
        <v>36</v>
      </c>
      <c r="D31" s="9" t="s">
        <v>27</v>
      </c>
      <c r="E31" s="9" t="s">
        <v>135</v>
      </c>
      <c r="F31" s="9">
        <v>4</v>
      </c>
      <c r="G31" s="9" t="s">
        <v>245</v>
      </c>
      <c r="J31" s="9" t="s">
        <v>129</v>
      </c>
    </row>
    <row r="32" spans="2:10" x14ac:dyDescent="0.35">
      <c r="B32" s="9" t="s">
        <v>27</v>
      </c>
      <c r="C32" s="9" t="s">
        <v>36</v>
      </c>
      <c r="D32" s="9" t="s">
        <v>27</v>
      </c>
      <c r="E32" s="9" t="s">
        <v>136</v>
      </c>
      <c r="F32" s="9">
        <v>4</v>
      </c>
      <c r="G32" s="9" t="s">
        <v>245</v>
      </c>
      <c r="J32" s="9" t="s">
        <v>135</v>
      </c>
    </row>
    <row r="33" spans="2:10" x14ac:dyDescent="0.35">
      <c r="B33" s="9" t="s">
        <v>27</v>
      </c>
      <c r="C33" s="9" t="s">
        <v>27</v>
      </c>
      <c r="D33" s="9" t="s">
        <v>27</v>
      </c>
      <c r="E33" s="9" t="s">
        <v>140</v>
      </c>
      <c r="F33" s="9">
        <v>4</v>
      </c>
      <c r="G33" s="9" t="s">
        <v>1123</v>
      </c>
      <c r="J33" s="9" t="s">
        <v>136</v>
      </c>
    </row>
    <row r="34" spans="2:10" x14ac:dyDescent="0.35">
      <c r="B34" s="9" t="s">
        <v>27</v>
      </c>
      <c r="C34" s="9" t="s">
        <v>36</v>
      </c>
      <c r="D34" s="9" t="s">
        <v>27</v>
      </c>
      <c r="E34" s="9" t="s">
        <v>143</v>
      </c>
      <c r="F34" s="9">
        <v>4</v>
      </c>
      <c r="G34" s="9" t="s">
        <v>245</v>
      </c>
      <c r="J34" s="9" t="s">
        <v>140</v>
      </c>
    </row>
    <row r="35" spans="2:10" x14ac:dyDescent="0.35">
      <c r="B35" s="9" t="s">
        <v>27</v>
      </c>
      <c r="C35" s="9" t="s">
        <v>27</v>
      </c>
      <c r="D35" s="9" t="s">
        <v>27</v>
      </c>
      <c r="E35" s="9" t="s">
        <v>147</v>
      </c>
      <c r="F35" s="9">
        <v>4</v>
      </c>
      <c r="G35" s="9" t="s">
        <v>1121</v>
      </c>
      <c r="J35" s="9" t="s">
        <v>143</v>
      </c>
    </row>
    <row r="36" spans="2:10" x14ac:dyDescent="0.35">
      <c r="B36" s="9" t="s">
        <v>27</v>
      </c>
      <c r="C36" s="9" t="s">
        <v>36</v>
      </c>
      <c r="D36" s="9" t="s">
        <v>27</v>
      </c>
      <c r="E36" s="9" t="s">
        <v>159</v>
      </c>
      <c r="F36" s="9">
        <v>4</v>
      </c>
      <c r="G36" s="9" t="s">
        <v>1121</v>
      </c>
      <c r="J36" s="9" t="s">
        <v>147</v>
      </c>
    </row>
    <row r="37" spans="2:10" x14ac:dyDescent="0.35">
      <c r="B37" s="9" t="s">
        <v>27</v>
      </c>
      <c r="C37" s="9" t="s">
        <v>27</v>
      </c>
      <c r="D37" s="9" t="s">
        <v>27</v>
      </c>
      <c r="E37" s="9" t="s">
        <v>160</v>
      </c>
      <c r="F37" s="9">
        <v>4</v>
      </c>
      <c r="G37" s="9" t="s">
        <v>2</v>
      </c>
      <c r="J37" s="9" t="s">
        <v>159</v>
      </c>
    </row>
    <row r="38" spans="2:10" x14ac:dyDescent="0.35">
      <c r="B38" s="9" t="s">
        <v>27</v>
      </c>
      <c r="C38" s="9" t="s">
        <v>27</v>
      </c>
      <c r="D38" s="9" t="s">
        <v>36</v>
      </c>
      <c r="E38" s="9" t="s">
        <v>31</v>
      </c>
      <c r="F38" s="9">
        <v>3</v>
      </c>
      <c r="G38" s="9" t="s">
        <v>1123</v>
      </c>
      <c r="J38" s="9" t="s">
        <v>160</v>
      </c>
    </row>
    <row r="39" spans="2:10" x14ac:dyDescent="0.35">
      <c r="B39" s="9" t="s">
        <v>36</v>
      </c>
      <c r="C39" s="9" t="s">
        <v>27</v>
      </c>
      <c r="D39" s="9" t="s">
        <v>27</v>
      </c>
      <c r="E39" s="9" t="s">
        <v>164</v>
      </c>
      <c r="F39" s="9">
        <v>4</v>
      </c>
      <c r="G39" s="9" t="s">
        <v>1121</v>
      </c>
      <c r="J39" s="9" t="s">
        <v>31</v>
      </c>
    </row>
    <row r="40" spans="2:10" x14ac:dyDescent="0.35">
      <c r="B40" s="9" t="s">
        <v>27</v>
      </c>
      <c r="C40" s="9" t="s">
        <v>27</v>
      </c>
      <c r="D40" s="9" t="s">
        <v>27</v>
      </c>
      <c r="E40" s="9" t="s">
        <v>172</v>
      </c>
      <c r="F40" s="9">
        <v>5</v>
      </c>
      <c r="G40" s="9" t="s">
        <v>1123</v>
      </c>
      <c r="J40" s="9" t="s">
        <v>164</v>
      </c>
    </row>
    <row r="41" spans="2:10" x14ac:dyDescent="0.35">
      <c r="B41" s="9" t="s">
        <v>27</v>
      </c>
      <c r="C41" s="9" t="s">
        <v>36</v>
      </c>
      <c r="D41" s="9" t="s">
        <v>27</v>
      </c>
      <c r="E41" s="9" t="s">
        <v>173</v>
      </c>
      <c r="F41" s="9">
        <v>4</v>
      </c>
      <c r="G41" s="9" t="s">
        <v>2</v>
      </c>
      <c r="J41" s="9" t="s">
        <v>172</v>
      </c>
    </row>
    <row r="42" spans="2:10" x14ac:dyDescent="0.35">
      <c r="B42" s="9" t="s">
        <v>36</v>
      </c>
      <c r="C42" s="9" t="s">
        <v>27</v>
      </c>
      <c r="D42" s="9" t="s">
        <v>27</v>
      </c>
      <c r="E42" s="9" t="s">
        <v>174</v>
      </c>
      <c r="F42" s="9">
        <v>4</v>
      </c>
      <c r="G42" s="9" t="s">
        <v>1121</v>
      </c>
      <c r="J42" s="9" t="s">
        <v>173</v>
      </c>
    </row>
    <row r="43" spans="2:10" x14ac:dyDescent="0.35">
      <c r="B43" s="9" t="s">
        <v>27</v>
      </c>
      <c r="C43" s="9" t="s">
        <v>27</v>
      </c>
      <c r="D43" s="9" t="s">
        <v>27</v>
      </c>
      <c r="E43" s="9" t="s">
        <v>176</v>
      </c>
      <c r="F43" s="9">
        <v>5</v>
      </c>
      <c r="G43" s="9" t="s">
        <v>245</v>
      </c>
      <c r="J43" s="9" t="s">
        <v>174</v>
      </c>
    </row>
    <row r="44" spans="2:10" x14ac:dyDescent="0.35">
      <c r="B44" s="9" t="s">
        <v>36</v>
      </c>
      <c r="C44" s="9" t="s">
        <v>27</v>
      </c>
      <c r="D44" s="9" t="s">
        <v>27</v>
      </c>
      <c r="E44" s="9" t="s">
        <v>184</v>
      </c>
      <c r="F44" s="9">
        <v>4</v>
      </c>
      <c r="G44" s="9" t="s">
        <v>1121</v>
      </c>
      <c r="J44" s="9" t="s">
        <v>176</v>
      </c>
    </row>
    <row r="45" spans="2:10" x14ac:dyDescent="0.35">
      <c r="B45" s="9" t="s">
        <v>27</v>
      </c>
      <c r="C45" s="9" t="s">
        <v>27</v>
      </c>
      <c r="D45" s="9" t="s">
        <v>27</v>
      </c>
      <c r="E45" s="9" t="s">
        <v>189</v>
      </c>
      <c r="F45" s="9">
        <v>3</v>
      </c>
      <c r="G45" s="9" t="s">
        <v>1121</v>
      </c>
      <c r="J45" s="9" t="s">
        <v>184</v>
      </c>
    </row>
    <row r="46" spans="2:10" x14ac:dyDescent="0.35">
      <c r="B46" s="9" t="s">
        <v>27</v>
      </c>
      <c r="C46" s="9" t="s">
        <v>36</v>
      </c>
      <c r="D46" s="9" t="s">
        <v>27</v>
      </c>
      <c r="E46" s="9" t="s">
        <v>190</v>
      </c>
      <c r="F46" s="9">
        <v>4</v>
      </c>
      <c r="G46" s="9" t="s">
        <v>245</v>
      </c>
      <c r="J46" s="9" t="s">
        <v>189</v>
      </c>
    </row>
    <row r="47" spans="2:10" x14ac:dyDescent="0.35">
      <c r="B47" s="9" t="s">
        <v>27</v>
      </c>
      <c r="C47" s="9" t="s">
        <v>36</v>
      </c>
      <c r="D47" s="9" t="s">
        <v>27</v>
      </c>
      <c r="E47" s="9" t="s">
        <v>191</v>
      </c>
      <c r="F47" s="9">
        <v>4</v>
      </c>
      <c r="G47" s="9" t="s">
        <v>1123</v>
      </c>
      <c r="J47" s="9" t="s">
        <v>190</v>
      </c>
    </row>
    <row r="48" spans="2:10" x14ac:dyDescent="0.35">
      <c r="B48" s="9" t="s">
        <v>27</v>
      </c>
      <c r="C48" s="9" t="s">
        <v>27</v>
      </c>
      <c r="D48" s="9" t="s">
        <v>27</v>
      </c>
      <c r="E48" s="9" t="s">
        <v>194</v>
      </c>
      <c r="F48" s="9">
        <v>4</v>
      </c>
      <c r="G48" s="9" t="s">
        <v>5</v>
      </c>
      <c r="J48" s="9" t="s">
        <v>191</v>
      </c>
    </row>
    <row r="49" spans="2:10" x14ac:dyDescent="0.35">
      <c r="B49" s="9" t="s">
        <v>27</v>
      </c>
      <c r="C49" s="9" t="s">
        <v>36</v>
      </c>
      <c r="D49" s="9" t="s">
        <v>27</v>
      </c>
      <c r="E49" s="9" t="s">
        <v>196</v>
      </c>
      <c r="F49" s="9">
        <v>4</v>
      </c>
      <c r="G49" s="9" t="s">
        <v>2</v>
      </c>
      <c r="J49" s="9" t="s">
        <v>194</v>
      </c>
    </row>
    <row r="50" spans="2:10" x14ac:dyDescent="0.35">
      <c r="B50" s="9" t="s">
        <v>27</v>
      </c>
      <c r="C50" s="9" t="s">
        <v>27</v>
      </c>
      <c r="D50" s="9" t="s">
        <v>36</v>
      </c>
      <c r="E50" s="9" t="s">
        <v>201</v>
      </c>
      <c r="F50" s="9">
        <v>3</v>
      </c>
      <c r="G50" s="9" t="s">
        <v>1123</v>
      </c>
      <c r="J50" s="9" t="s">
        <v>196</v>
      </c>
    </row>
    <row r="51" spans="2:10" x14ac:dyDescent="0.35">
      <c r="B51" s="9" t="s">
        <v>27</v>
      </c>
      <c r="C51" s="9" t="s">
        <v>27</v>
      </c>
      <c r="D51" s="9" t="s">
        <v>27</v>
      </c>
      <c r="E51" s="9" t="s">
        <v>202</v>
      </c>
      <c r="F51" s="9">
        <v>3</v>
      </c>
      <c r="G51" s="9" t="s">
        <v>5</v>
      </c>
      <c r="J51" s="9" t="s">
        <v>201</v>
      </c>
    </row>
    <row r="52" spans="2:10" x14ac:dyDescent="0.35">
      <c r="B52" s="9" t="s">
        <v>27</v>
      </c>
      <c r="C52" s="9" t="s">
        <v>27</v>
      </c>
      <c r="D52" s="9" t="s">
        <v>27</v>
      </c>
      <c r="E52" s="9" t="s">
        <v>204</v>
      </c>
      <c r="F52" s="9">
        <v>3</v>
      </c>
      <c r="G52" s="9" t="s">
        <v>1122</v>
      </c>
      <c r="J52" s="9" t="s">
        <v>202</v>
      </c>
    </row>
    <row r="53" spans="2:10" x14ac:dyDescent="0.35">
      <c r="B53" s="9" t="s">
        <v>27</v>
      </c>
      <c r="C53" s="9" t="s">
        <v>27</v>
      </c>
      <c r="D53" s="9" t="s">
        <v>27</v>
      </c>
      <c r="E53" s="9" t="s">
        <v>207</v>
      </c>
      <c r="F53" s="9">
        <v>4</v>
      </c>
      <c r="G53" s="9" t="s">
        <v>1124</v>
      </c>
      <c r="J53" s="9" t="s">
        <v>204</v>
      </c>
    </row>
    <row r="54" spans="2:10" x14ac:dyDescent="0.35">
      <c r="B54" s="9" t="s">
        <v>36</v>
      </c>
      <c r="C54" s="9" t="s">
        <v>27</v>
      </c>
      <c r="D54" s="9" t="s">
        <v>27</v>
      </c>
      <c r="E54" s="9" t="s">
        <v>217</v>
      </c>
      <c r="F54" s="9">
        <v>4</v>
      </c>
      <c r="G54" s="9" t="s">
        <v>1121</v>
      </c>
      <c r="J54" s="9" t="s">
        <v>207</v>
      </c>
    </row>
    <row r="55" spans="2:10" x14ac:dyDescent="0.35">
      <c r="B55" s="9" t="s">
        <v>27</v>
      </c>
      <c r="C55" s="9" t="s">
        <v>27</v>
      </c>
      <c r="D55" s="9" t="s">
        <v>27</v>
      </c>
      <c r="E55" s="9" t="s">
        <v>218</v>
      </c>
      <c r="F55" s="9">
        <v>4</v>
      </c>
      <c r="G55" s="9" t="s">
        <v>2</v>
      </c>
      <c r="J55" s="9" t="s">
        <v>217</v>
      </c>
    </row>
    <row r="56" spans="2:10" x14ac:dyDescent="0.35">
      <c r="B56" s="9" t="s">
        <v>27</v>
      </c>
      <c r="C56" s="9" t="s">
        <v>27</v>
      </c>
      <c r="D56" s="9" t="s">
        <v>27</v>
      </c>
      <c r="E56" s="9" t="s">
        <v>219</v>
      </c>
      <c r="F56" s="9">
        <v>4</v>
      </c>
      <c r="G56" s="9" t="s">
        <v>2</v>
      </c>
      <c r="J56" s="9" t="s">
        <v>218</v>
      </c>
    </row>
    <row r="57" spans="2:10" x14ac:dyDescent="0.35">
      <c r="B57" s="9" t="s">
        <v>27</v>
      </c>
      <c r="C57" s="9" t="s">
        <v>27</v>
      </c>
      <c r="D57" s="9" t="s">
        <v>27</v>
      </c>
      <c r="E57" s="9" t="s">
        <v>35</v>
      </c>
      <c r="F57" s="9" t="s">
        <v>245</v>
      </c>
      <c r="G57" s="9" t="s">
        <v>245</v>
      </c>
      <c r="J57" s="9" t="s">
        <v>219</v>
      </c>
    </row>
    <row r="58" spans="2:10" x14ac:dyDescent="0.35">
      <c r="B58" s="9" t="s">
        <v>27</v>
      </c>
      <c r="C58" s="9" t="s">
        <v>27</v>
      </c>
      <c r="D58" s="9" t="s">
        <v>27</v>
      </c>
      <c r="E58" s="9" t="s">
        <v>37</v>
      </c>
      <c r="F58" s="9" t="s">
        <v>245</v>
      </c>
      <c r="G58" s="9" t="s">
        <v>245</v>
      </c>
      <c r="J58" s="9" t="s">
        <v>35</v>
      </c>
    </row>
    <row r="59" spans="2:10" x14ac:dyDescent="0.35">
      <c r="B59" s="9" t="s">
        <v>27</v>
      </c>
      <c r="C59" s="9" t="s">
        <v>27</v>
      </c>
      <c r="D59" s="9" t="s">
        <v>27</v>
      </c>
      <c r="E59" s="9" t="s">
        <v>38</v>
      </c>
      <c r="F59" s="9" t="s">
        <v>245</v>
      </c>
      <c r="G59" s="9" t="s">
        <v>245</v>
      </c>
      <c r="J59" s="9" t="s">
        <v>37</v>
      </c>
    </row>
    <row r="60" spans="2:10" x14ac:dyDescent="0.35">
      <c r="B60" s="9" t="s">
        <v>27</v>
      </c>
      <c r="C60" s="9" t="s">
        <v>27</v>
      </c>
      <c r="D60" s="9" t="s">
        <v>27</v>
      </c>
      <c r="E60" s="9" t="s">
        <v>39</v>
      </c>
      <c r="F60" s="9" t="s">
        <v>245</v>
      </c>
      <c r="G60" s="9" t="s">
        <v>245</v>
      </c>
      <c r="J60" s="9" t="s">
        <v>38</v>
      </c>
    </row>
    <row r="61" spans="2:10" x14ac:dyDescent="0.35">
      <c r="B61" s="9" t="s">
        <v>27</v>
      </c>
      <c r="C61" s="9" t="s">
        <v>27</v>
      </c>
      <c r="D61" s="9" t="s">
        <v>27</v>
      </c>
      <c r="E61" s="9" t="s">
        <v>40</v>
      </c>
      <c r="F61" s="9" t="s">
        <v>245</v>
      </c>
      <c r="G61" s="9" t="s">
        <v>245</v>
      </c>
      <c r="J61" s="9" t="s">
        <v>39</v>
      </c>
    </row>
    <row r="62" spans="2:10" x14ac:dyDescent="0.35">
      <c r="B62" s="9" t="s">
        <v>27</v>
      </c>
      <c r="C62" s="9" t="s">
        <v>27</v>
      </c>
      <c r="D62" s="9" t="s">
        <v>27</v>
      </c>
      <c r="E62" s="9" t="s">
        <v>41</v>
      </c>
      <c r="F62" s="9" t="s">
        <v>245</v>
      </c>
      <c r="G62" s="9" t="s">
        <v>245</v>
      </c>
      <c r="J62" s="9" t="s">
        <v>40</v>
      </c>
    </row>
    <row r="63" spans="2:10" x14ac:dyDescent="0.35">
      <c r="B63" s="9" t="s">
        <v>27</v>
      </c>
      <c r="C63" s="9" t="s">
        <v>27</v>
      </c>
      <c r="D63" s="9" t="s">
        <v>27</v>
      </c>
      <c r="E63" s="9" t="s">
        <v>42</v>
      </c>
      <c r="F63" s="9" t="s">
        <v>245</v>
      </c>
      <c r="G63" s="9" t="s">
        <v>245</v>
      </c>
      <c r="J63" s="9" t="s">
        <v>41</v>
      </c>
    </row>
    <row r="64" spans="2:10" x14ac:dyDescent="0.35">
      <c r="B64" s="9" t="s">
        <v>27</v>
      </c>
      <c r="C64" s="9" t="s">
        <v>27</v>
      </c>
      <c r="D64" s="9" t="s">
        <v>27</v>
      </c>
      <c r="E64" s="9" t="s">
        <v>43</v>
      </c>
      <c r="F64" s="9" t="s">
        <v>245</v>
      </c>
      <c r="G64" s="9" t="s">
        <v>245</v>
      </c>
      <c r="J64" s="9" t="s">
        <v>42</v>
      </c>
    </row>
    <row r="65" spans="2:10" x14ac:dyDescent="0.35">
      <c r="B65" s="9" t="s">
        <v>27</v>
      </c>
      <c r="C65" s="9" t="s">
        <v>27</v>
      </c>
      <c r="D65" s="9" t="s">
        <v>27</v>
      </c>
      <c r="E65" s="9" t="s">
        <v>46</v>
      </c>
      <c r="F65" s="9" t="s">
        <v>245</v>
      </c>
      <c r="G65" s="9" t="s">
        <v>245</v>
      </c>
      <c r="J65" s="9" t="s">
        <v>43</v>
      </c>
    </row>
    <row r="66" spans="2:10" x14ac:dyDescent="0.35">
      <c r="B66" s="9" t="s">
        <v>27</v>
      </c>
      <c r="C66" s="9" t="s">
        <v>27</v>
      </c>
      <c r="D66" s="9" t="s">
        <v>27</v>
      </c>
      <c r="E66" s="9" t="s">
        <v>47</v>
      </c>
      <c r="F66" s="9" t="s">
        <v>245</v>
      </c>
      <c r="G66" s="9" t="s">
        <v>245</v>
      </c>
      <c r="J66" s="9" t="s">
        <v>46</v>
      </c>
    </row>
    <row r="67" spans="2:10" x14ac:dyDescent="0.35">
      <c r="B67" s="9" t="s">
        <v>27</v>
      </c>
      <c r="C67" s="9" t="s">
        <v>27</v>
      </c>
      <c r="D67" s="9" t="s">
        <v>27</v>
      </c>
      <c r="E67" s="9" t="s">
        <v>49</v>
      </c>
      <c r="F67" s="9" t="s">
        <v>245</v>
      </c>
      <c r="G67" s="9" t="s">
        <v>245</v>
      </c>
      <c r="J67" s="9" t="s">
        <v>47</v>
      </c>
    </row>
    <row r="68" spans="2:10" x14ac:dyDescent="0.35">
      <c r="B68" s="9" t="s">
        <v>27</v>
      </c>
      <c r="C68" s="9" t="s">
        <v>27</v>
      </c>
      <c r="D68" s="9" t="s">
        <v>27</v>
      </c>
      <c r="E68" s="9" t="s">
        <v>50</v>
      </c>
      <c r="F68" s="9" t="s">
        <v>245</v>
      </c>
      <c r="G68" s="9" t="s">
        <v>245</v>
      </c>
      <c r="J68" s="9" t="s">
        <v>49</v>
      </c>
    </row>
    <row r="69" spans="2:10" x14ac:dyDescent="0.35">
      <c r="B69" s="9" t="s">
        <v>27</v>
      </c>
      <c r="C69" s="9" t="s">
        <v>27</v>
      </c>
      <c r="D69" s="9" t="s">
        <v>27</v>
      </c>
      <c r="E69" s="9" t="s">
        <v>51</v>
      </c>
      <c r="F69" s="9" t="s">
        <v>245</v>
      </c>
      <c r="G69" s="9" t="s">
        <v>245</v>
      </c>
      <c r="J69" s="9" t="s">
        <v>50</v>
      </c>
    </row>
    <row r="70" spans="2:10" x14ac:dyDescent="0.35">
      <c r="B70" s="9" t="s">
        <v>27</v>
      </c>
      <c r="C70" s="9" t="s">
        <v>27</v>
      </c>
      <c r="D70" s="9" t="s">
        <v>27</v>
      </c>
      <c r="E70" s="9" t="s">
        <v>53</v>
      </c>
      <c r="F70" s="9" t="s">
        <v>245</v>
      </c>
      <c r="G70" s="9" t="s">
        <v>245</v>
      </c>
      <c r="J70" s="9" t="s">
        <v>51</v>
      </c>
    </row>
    <row r="71" spans="2:10" x14ac:dyDescent="0.35">
      <c r="B71" s="9" t="s">
        <v>27</v>
      </c>
      <c r="C71" s="9" t="s">
        <v>27</v>
      </c>
      <c r="D71" s="9" t="s">
        <v>27</v>
      </c>
      <c r="E71" s="9" t="s">
        <v>54</v>
      </c>
      <c r="F71" s="9" t="s">
        <v>245</v>
      </c>
      <c r="G71" s="9" t="s">
        <v>245</v>
      </c>
      <c r="J71" s="9" t="s">
        <v>53</v>
      </c>
    </row>
    <row r="72" spans="2:10" x14ac:dyDescent="0.35">
      <c r="B72" s="9" t="s">
        <v>27</v>
      </c>
      <c r="C72" s="9" t="s">
        <v>27</v>
      </c>
      <c r="D72" s="9" t="s">
        <v>27</v>
      </c>
      <c r="E72" s="9" t="s">
        <v>55</v>
      </c>
      <c r="F72" s="9" t="s">
        <v>245</v>
      </c>
      <c r="G72" s="9" t="s">
        <v>245</v>
      </c>
      <c r="J72" s="9" t="s">
        <v>54</v>
      </c>
    </row>
    <row r="73" spans="2:10" x14ac:dyDescent="0.35">
      <c r="B73" s="9" t="s">
        <v>27</v>
      </c>
      <c r="C73" s="9" t="s">
        <v>27</v>
      </c>
      <c r="D73" s="9" t="s">
        <v>27</v>
      </c>
      <c r="E73" s="9" t="s">
        <v>56</v>
      </c>
      <c r="F73" s="9" t="s">
        <v>245</v>
      </c>
      <c r="G73" s="9" t="s">
        <v>245</v>
      </c>
      <c r="J73" s="9" t="s">
        <v>55</v>
      </c>
    </row>
    <row r="74" spans="2:10" x14ac:dyDescent="0.35">
      <c r="B74" s="9" t="s">
        <v>27</v>
      </c>
      <c r="C74" s="9" t="s">
        <v>27</v>
      </c>
      <c r="D74" s="9" t="s">
        <v>27</v>
      </c>
      <c r="E74" s="9" t="s">
        <v>57</v>
      </c>
      <c r="F74" s="9" t="s">
        <v>245</v>
      </c>
      <c r="G74" s="9" t="s">
        <v>245</v>
      </c>
      <c r="J74" s="9" t="s">
        <v>56</v>
      </c>
    </row>
    <row r="75" spans="2:10" x14ac:dyDescent="0.35">
      <c r="B75" s="9" t="s">
        <v>27</v>
      </c>
      <c r="C75" s="9" t="s">
        <v>27</v>
      </c>
      <c r="D75" s="9" t="s">
        <v>27</v>
      </c>
      <c r="E75" s="9" t="s">
        <v>58</v>
      </c>
      <c r="F75" s="9" t="s">
        <v>245</v>
      </c>
      <c r="G75" s="9" t="s">
        <v>245</v>
      </c>
      <c r="J75" s="9" t="s">
        <v>57</v>
      </c>
    </row>
    <row r="76" spans="2:10" x14ac:dyDescent="0.35">
      <c r="B76" s="9" t="s">
        <v>27</v>
      </c>
      <c r="C76" s="9" t="s">
        <v>27</v>
      </c>
      <c r="D76" s="9" t="s">
        <v>27</v>
      </c>
      <c r="E76" s="9" t="s">
        <v>60</v>
      </c>
      <c r="F76" s="9" t="s">
        <v>245</v>
      </c>
      <c r="G76" s="9" t="s">
        <v>245</v>
      </c>
      <c r="J76" s="9" t="s">
        <v>58</v>
      </c>
    </row>
    <row r="77" spans="2:10" x14ac:dyDescent="0.35">
      <c r="B77" s="9" t="s">
        <v>27</v>
      </c>
      <c r="C77" s="9" t="s">
        <v>27</v>
      </c>
      <c r="D77" s="9" t="s">
        <v>27</v>
      </c>
      <c r="E77" s="9" t="s">
        <v>61</v>
      </c>
      <c r="F77" s="9" t="s">
        <v>245</v>
      </c>
      <c r="G77" s="9" t="s">
        <v>245</v>
      </c>
      <c r="J77" s="9" t="s">
        <v>60</v>
      </c>
    </row>
    <row r="78" spans="2:10" x14ac:dyDescent="0.35">
      <c r="B78" s="9" t="s">
        <v>27</v>
      </c>
      <c r="C78" s="9" t="s">
        <v>27</v>
      </c>
      <c r="D78" s="9" t="s">
        <v>27</v>
      </c>
      <c r="E78" s="9" t="s">
        <v>62</v>
      </c>
      <c r="F78" s="9" t="s">
        <v>245</v>
      </c>
      <c r="G78" s="9" t="s">
        <v>245</v>
      </c>
      <c r="J78" s="9" t="s">
        <v>61</v>
      </c>
    </row>
    <row r="79" spans="2:10" x14ac:dyDescent="0.35">
      <c r="B79" s="9" t="s">
        <v>27</v>
      </c>
      <c r="C79" s="9" t="s">
        <v>27</v>
      </c>
      <c r="D79" s="9" t="s">
        <v>27</v>
      </c>
      <c r="E79" s="9" t="s">
        <v>63</v>
      </c>
      <c r="F79" s="9" t="s">
        <v>245</v>
      </c>
      <c r="G79" s="9" t="s">
        <v>245</v>
      </c>
      <c r="J79" s="9" t="s">
        <v>62</v>
      </c>
    </row>
    <row r="80" spans="2:10" x14ac:dyDescent="0.35">
      <c r="B80" s="9" t="s">
        <v>27</v>
      </c>
      <c r="C80" s="9" t="s">
        <v>27</v>
      </c>
      <c r="D80" s="9" t="s">
        <v>27</v>
      </c>
      <c r="E80" s="9" t="s">
        <v>64</v>
      </c>
      <c r="F80" s="8" t="s">
        <v>245</v>
      </c>
      <c r="G80" s="9" t="s">
        <v>245</v>
      </c>
      <c r="J80" s="9" t="s">
        <v>63</v>
      </c>
    </row>
    <row r="81" spans="2:10" x14ac:dyDescent="0.35">
      <c r="B81" s="9" t="s">
        <v>27</v>
      </c>
      <c r="C81" s="9" t="s">
        <v>27</v>
      </c>
      <c r="D81" s="9" t="s">
        <v>27</v>
      </c>
      <c r="E81" s="9" t="s">
        <v>65</v>
      </c>
      <c r="F81" s="9" t="s">
        <v>245</v>
      </c>
      <c r="G81" s="9" t="s">
        <v>245</v>
      </c>
      <c r="J81" s="9" t="s">
        <v>64</v>
      </c>
    </row>
    <row r="82" spans="2:10" x14ac:dyDescent="0.35">
      <c r="B82" s="9" t="s">
        <v>27</v>
      </c>
      <c r="C82" s="9" t="s">
        <v>27</v>
      </c>
      <c r="D82" s="9" t="s">
        <v>27</v>
      </c>
      <c r="E82" s="9" t="s">
        <v>66</v>
      </c>
      <c r="F82" s="9" t="s">
        <v>245</v>
      </c>
      <c r="G82" s="9" t="s">
        <v>245</v>
      </c>
      <c r="J82" s="9" t="s">
        <v>65</v>
      </c>
    </row>
    <row r="83" spans="2:10" x14ac:dyDescent="0.35">
      <c r="B83" s="9" t="s">
        <v>27</v>
      </c>
      <c r="C83" s="9" t="s">
        <v>27</v>
      </c>
      <c r="D83" s="9" t="s">
        <v>27</v>
      </c>
      <c r="E83" s="9" t="s">
        <v>67</v>
      </c>
      <c r="F83" s="9" t="s">
        <v>245</v>
      </c>
      <c r="G83" s="9" t="s">
        <v>245</v>
      </c>
      <c r="J83" s="9" t="s">
        <v>66</v>
      </c>
    </row>
    <row r="84" spans="2:10" x14ac:dyDescent="0.35">
      <c r="B84" s="9" t="s">
        <v>27</v>
      </c>
      <c r="C84" s="9" t="s">
        <v>27</v>
      </c>
      <c r="D84" s="9" t="s">
        <v>27</v>
      </c>
      <c r="E84" s="9" t="s">
        <v>68</v>
      </c>
      <c r="F84" s="9" t="s">
        <v>245</v>
      </c>
      <c r="G84" s="9" t="s">
        <v>245</v>
      </c>
      <c r="J84" s="9" t="s">
        <v>67</v>
      </c>
    </row>
    <row r="85" spans="2:10" x14ac:dyDescent="0.35">
      <c r="B85" s="9" t="s">
        <v>27</v>
      </c>
      <c r="C85" s="9" t="s">
        <v>27</v>
      </c>
      <c r="D85" s="9" t="s">
        <v>27</v>
      </c>
      <c r="E85" s="9" t="s">
        <v>72</v>
      </c>
      <c r="F85" s="9" t="s">
        <v>245</v>
      </c>
      <c r="G85" s="9" t="s">
        <v>245</v>
      </c>
      <c r="J85" s="9" t="s">
        <v>68</v>
      </c>
    </row>
    <row r="86" spans="2:10" x14ac:dyDescent="0.35">
      <c r="B86" s="9" t="s">
        <v>27</v>
      </c>
      <c r="C86" s="9" t="s">
        <v>27</v>
      </c>
      <c r="D86" s="9" t="s">
        <v>27</v>
      </c>
      <c r="E86" s="9" t="s">
        <v>73</v>
      </c>
      <c r="F86" s="9" t="s">
        <v>245</v>
      </c>
      <c r="G86" s="9" t="s">
        <v>245</v>
      </c>
      <c r="J86" s="9" t="s">
        <v>72</v>
      </c>
    </row>
    <row r="87" spans="2:10" x14ac:dyDescent="0.35">
      <c r="B87" s="9" t="s">
        <v>27</v>
      </c>
      <c r="C87" s="9" t="s">
        <v>27</v>
      </c>
      <c r="D87" s="9" t="s">
        <v>27</v>
      </c>
      <c r="E87" s="9" t="s">
        <v>74</v>
      </c>
      <c r="F87" s="9" t="s">
        <v>245</v>
      </c>
      <c r="G87" s="9" t="s">
        <v>245</v>
      </c>
      <c r="J87" s="9" t="s">
        <v>73</v>
      </c>
    </row>
    <row r="88" spans="2:10" x14ac:dyDescent="0.35">
      <c r="B88" s="9" t="s">
        <v>27</v>
      </c>
      <c r="C88" s="9" t="s">
        <v>27</v>
      </c>
      <c r="D88" s="9" t="s">
        <v>27</v>
      </c>
      <c r="E88" s="9" t="s">
        <v>75</v>
      </c>
      <c r="F88" s="9" t="s">
        <v>245</v>
      </c>
      <c r="G88" s="9" t="s">
        <v>245</v>
      </c>
      <c r="J88" s="9" t="s">
        <v>74</v>
      </c>
    </row>
    <row r="89" spans="2:10" x14ac:dyDescent="0.35">
      <c r="B89" s="9" t="s">
        <v>27</v>
      </c>
      <c r="C89" s="9" t="s">
        <v>27</v>
      </c>
      <c r="D89" s="9" t="s">
        <v>27</v>
      </c>
      <c r="E89" s="9" t="s">
        <v>76</v>
      </c>
      <c r="F89" s="9" t="s">
        <v>245</v>
      </c>
      <c r="G89" s="9" t="s">
        <v>245</v>
      </c>
      <c r="J89" s="9" t="s">
        <v>75</v>
      </c>
    </row>
    <row r="90" spans="2:10" x14ac:dyDescent="0.35">
      <c r="B90" s="9" t="s">
        <v>27</v>
      </c>
      <c r="C90" s="9" t="s">
        <v>27</v>
      </c>
      <c r="D90" s="9" t="s">
        <v>27</v>
      </c>
      <c r="E90" s="9" t="s">
        <v>77</v>
      </c>
      <c r="F90" s="9" t="s">
        <v>245</v>
      </c>
      <c r="G90" s="9" t="s">
        <v>245</v>
      </c>
      <c r="J90" s="9" t="s">
        <v>76</v>
      </c>
    </row>
    <row r="91" spans="2:10" x14ac:dyDescent="0.35">
      <c r="B91" s="9" t="s">
        <v>27</v>
      </c>
      <c r="C91" s="9" t="s">
        <v>27</v>
      </c>
      <c r="D91" s="9" t="s">
        <v>27</v>
      </c>
      <c r="E91" s="9" t="s">
        <v>78</v>
      </c>
      <c r="F91" s="9" t="s">
        <v>245</v>
      </c>
      <c r="G91" s="9" t="s">
        <v>245</v>
      </c>
      <c r="J91" s="9" t="s">
        <v>77</v>
      </c>
    </row>
    <row r="92" spans="2:10" x14ac:dyDescent="0.35">
      <c r="B92" s="9" t="s">
        <v>27</v>
      </c>
      <c r="C92" s="9" t="s">
        <v>27</v>
      </c>
      <c r="D92" s="9" t="s">
        <v>27</v>
      </c>
      <c r="E92" s="9" t="s">
        <v>82</v>
      </c>
      <c r="F92" s="9" t="s">
        <v>245</v>
      </c>
      <c r="G92" s="9" t="s">
        <v>245</v>
      </c>
      <c r="J92" s="9" t="s">
        <v>78</v>
      </c>
    </row>
    <row r="93" spans="2:10" x14ac:dyDescent="0.35">
      <c r="B93" s="9" t="s">
        <v>27</v>
      </c>
      <c r="C93" s="9" t="s">
        <v>27</v>
      </c>
      <c r="D93" s="9" t="s">
        <v>27</v>
      </c>
      <c r="E93" s="9" t="s">
        <v>83</v>
      </c>
      <c r="F93" s="9" t="s">
        <v>245</v>
      </c>
      <c r="G93" s="9" t="s">
        <v>245</v>
      </c>
      <c r="J93" s="9" t="s">
        <v>82</v>
      </c>
    </row>
    <row r="94" spans="2:10" x14ac:dyDescent="0.35">
      <c r="B94" s="9" t="s">
        <v>27</v>
      </c>
      <c r="C94" s="9" t="s">
        <v>27</v>
      </c>
      <c r="D94" s="9" t="s">
        <v>27</v>
      </c>
      <c r="E94" s="9" t="s">
        <v>84</v>
      </c>
      <c r="F94" s="9" t="s">
        <v>245</v>
      </c>
      <c r="G94" s="9" t="s">
        <v>245</v>
      </c>
      <c r="J94" s="9" t="s">
        <v>83</v>
      </c>
    </row>
    <row r="95" spans="2:10" x14ac:dyDescent="0.35">
      <c r="B95" s="9" t="s">
        <v>27</v>
      </c>
      <c r="C95" s="9" t="s">
        <v>27</v>
      </c>
      <c r="D95" s="9" t="s">
        <v>27</v>
      </c>
      <c r="E95" s="9" t="s">
        <v>85</v>
      </c>
      <c r="F95" s="9" t="s">
        <v>245</v>
      </c>
      <c r="G95" s="9" t="s">
        <v>245</v>
      </c>
      <c r="J95" s="9" t="s">
        <v>84</v>
      </c>
    </row>
    <row r="96" spans="2:10" x14ac:dyDescent="0.35">
      <c r="B96" s="9" t="s">
        <v>27</v>
      </c>
      <c r="C96" s="9" t="s">
        <v>27</v>
      </c>
      <c r="D96" s="9" t="s">
        <v>27</v>
      </c>
      <c r="E96" s="9" t="s">
        <v>86</v>
      </c>
      <c r="F96" s="9" t="s">
        <v>245</v>
      </c>
      <c r="G96" s="9" t="s">
        <v>245</v>
      </c>
      <c r="J96" s="9" t="s">
        <v>85</v>
      </c>
    </row>
    <row r="97" spans="2:10" x14ac:dyDescent="0.35">
      <c r="B97" s="9" t="s">
        <v>27</v>
      </c>
      <c r="C97" s="9" t="s">
        <v>27</v>
      </c>
      <c r="D97" s="9" t="s">
        <v>27</v>
      </c>
      <c r="E97" s="9" t="s">
        <v>87</v>
      </c>
      <c r="F97" s="9" t="s">
        <v>245</v>
      </c>
      <c r="G97" s="9" t="s">
        <v>245</v>
      </c>
      <c r="J97" s="9" t="s">
        <v>86</v>
      </c>
    </row>
    <row r="98" spans="2:10" x14ac:dyDescent="0.35">
      <c r="B98" s="9" t="s">
        <v>27</v>
      </c>
      <c r="C98" s="9" t="s">
        <v>27</v>
      </c>
      <c r="D98" s="9" t="s">
        <v>27</v>
      </c>
      <c r="E98" s="9" t="s">
        <v>88</v>
      </c>
      <c r="F98" s="9" t="s">
        <v>245</v>
      </c>
      <c r="G98" s="9" t="s">
        <v>245</v>
      </c>
      <c r="J98" s="9" t="s">
        <v>87</v>
      </c>
    </row>
    <row r="99" spans="2:10" x14ac:dyDescent="0.35">
      <c r="B99" s="9" t="s">
        <v>27</v>
      </c>
      <c r="C99" s="9" t="s">
        <v>27</v>
      </c>
      <c r="D99" s="9" t="s">
        <v>27</v>
      </c>
      <c r="E99" s="9" t="s">
        <v>89</v>
      </c>
      <c r="F99" s="9" t="s">
        <v>245</v>
      </c>
      <c r="G99" s="9" t="s">
        <v>245</v>
      </c>
      <c r="J99" s="9" t="s">
        <v>88</v>
      </c>
    </row>
    <row r="100" spans="2:10" x14ac:dyDescent="0.35">
      <c r="B100" s="9" t="s">
        <v>27</v>
      </c>
      <c r="C100" s="9" t="s">
        <v>27</v>
      </c>
      <c r="D100" s="9" t="s">
        <v>27</v>
      </c>
      <c r="E100" s="9" t="s">
        <v>90</v>
      </c>
      <c r="F100" s="9" t="s">
        <v>245</v>
      </c>
      <c r="G100" s="9" t="s">
        <v>245</v>
      </c>
      <c r="J100" s="9" t="s">
        <v>89</v>
      </c>
    </row>
    <row r="101" spans="2:10" x14ac:dyDescent="0.35">
      <c r="B101" s="9" t="s">
        <v>27</v>
      </c>
      <c r="C101" s="9" t="s">
        <v>27</v>
      </c>
      <c r="D101" s="9" t="s">
        <v>27</v>
      </c>
      <c r="E101" s="9" t="s">
        <v>92</v>
      </c>
      <c r="F101" s="9" t="s">
        <v>245</v>
      </c>
      <c r="G101" s="9" t="s">
        <v>245</v>
      </c>
      <c r="J101" s="9" t="s">
        <v>90</v>
      </c>
    </row>
    <row r="102" spans="2:10" x14ac:dyDescent="0.35">
      <c r="B102" s="9" t="s">
        <v>27</v>
      </c>
      <c r="C102" s="9" t="s">
        <v>27</v>
      </c>
      <c r="D102" s="9" t="s">
        <v>27</v>
      </c>
      <c r="E102" s="9" t="s">
        <v>93</v>
      </c>
      <c r="F102" s="9" t="s">
        <v>245</v>
      </c>
      <c r="G102" s="9" t="s">
        <v>245</v>
      </c>
      <c r="J102" s="9" t="s">
        <v>92</v>
      </c>
    </row>
    <row r="103" spans="2:10" x14ac:dyDescent="0.35">
      <c r="B103" s="9" t="s">
        <v>27</v>
      </c>
      <c r="C103" s="9" t="s">
        <v>27</v>
      </c>
      <c r="D103" s="9" t="s">
        <v>27</v>
      </c>
      <c r="E103" s="9" t="s">
        <v>96</v>
      </c>
      <c r="F103" s="9" t="s">
        <v>245</v>
      </c>
      <c r="G103" s="9" t="s">
        <v>245</v>
      </c>
      <c r="J103" s="9" t="s">
        <v>93</v>
      </c>
    </row>
    <row r="104" spans="2:10" x14ac:dyDescent="0.35">
      <c r="B104" s="9" t="s">
        <v>27</v>
      </c>
      <c r="C104" s="9" t="s">
        <v>27</v>
      </c>
      <c r="D104" s="9" t="s">
        <v>27</v>
      </c>
      <c r="E104" s="9" t="s">
        <v>97</v>
      </c>
      <c r="F104" s="9" t="s">
        <v>245</v>
      </c>
      <c r="G104" s="9" t="s">
        <v>245</v>
      </c>
      <c r="J104" s="9" t="s">
        <v>96</v>
      </c>
    </row>
    <row r="105" spans="2:10" x14ac:dyDescent="0.35">
      <c r="B105" s="9" t="s">
        <v>27</v>
      </c>
      <c r="C105" s="9" t="s">
        <v>27</v>
      </c>
      <c r="D105" s="9" t="s">
        <v>27</v>
      </c>
      <c r="E105" s="9" t="s">
        <v>98</v>
      </c>
      <c r="F105" s="9" t="s">
        <v>245</v>
      </c>
      <c r="G105" s="9" t="s">
        <v>245</v>
      </c>
      <c r="J105" s="9" t="s">
        <v>97</v>
      </c>
    </row>
    <row r="106" spans="2:10" x14ac:dyDescent="0.35">
      <c r="B106" s="9" t="s">
        <v>27</v>
      </c>
      <c r="C106" s="9" t="s">
        <v>27</v>
      </c>
      <c r="D106" s="9" t="s">
        <v>27</v>
      </c>
      <c r="E106" s="9" t="s">
        <v>100</v>
      </c>
      <c r="F106" s="9" t="s">
        <v>245</v>
      </c>
      <c r="G106" s="9" t="s">
        <v>245</v>
      </c>
      <c r="J106" s="9" t="s">
        <v>98</v>
      </c>
    </row>
    <row r="107" spans="2:10" x14ac:dyDescent="0.35">
      <c r="B107" s="9" t="s">
        <v>27</v>
      </c>
      <c r="C107" s="9" t="s">
        <v>27</v>
      </c>
      <c r="D107" s="9" t="s">
        <v>27</v>
      </c>
      <c r="E107" s="9" t="s">
        <v>102</v>
      </c>
      <c r="F107" s="9" t="s">
        <v>245</v>
      </c>
      <c r="G107" s="9" t="s">
        <v>245</v>
      </c>
      <c r="J107" s="9" t="s">
        <v>100</v>
      </c>
    </row>
    <row r="108" spans="2:10" x14ac:dyDescent="0.35">
      <c r="B108" s="9" t="s">
        <v>27</v>
      </c>
      <c r="C108" s="9" t="s">
        <v>27</v>
      </c>
      <c r="D108" s="9" t="s">
        <v>27</v>
      </c>
      <c r="E108" s="9" t="s">
        <v>103</v>
      </c>
      <c r="F108" s="9" t="s">
        <v>245</v>
      </c>
      <c r="G108" s="9" t="s">
        <v>245</v>
      </c>
      <c r="J108" s="9" t="s">
        <v>102</v>
      </c>
    </row>
    <row r="109" spans="2:10" x14ac:dyDescent="0.35">
      <c r="B109" s="9" t="s">
        <v>27</v>
      </c>
      <c r="C109" s="9" t="s">
        <v>27</v>
      </c>
      <c r="D109" s="9" t="s">
        <v>27</v>
      </c>
      <c r="E109" s="9" t="s">
        <v>104</v>
      </c>
      <c r="F109" s="9" t="s">
        <v>245</v>
      </c>
      <c r="G109" s="9" t="s">
        <v>245</v>
      </c>
      <c r="J109" s="9" t="s">
        <v>103</v>
      </c>
    </row>
    <row r="110" spans="2:10" x14ac:dyDescent="0.35">
      <c r="B110" s="9" t="s">
        <v>27</v>
      </c>
      <c r="C110" s="9" t="s">
        <v>27</v>
      </c>
      <c r="D110" s="9" t="s">
        <v>27</v>
      </c>
      <c r="E110" s="9" t="s">
        <v>105</v>
      </c>
      <c r="F110" s="8" t="s">
        <v>245</v>
      </c>
      <c r="G110" s="9" t="s">
        <v>245</v>
      </c>
      <c r="J110" s="9" t="s">
        <v>104</v>
      </c>
    </row>
    <row r="111" spans="2:10" x14ac:dyDescent="0.35">
      <c r="B111" s="9" t="s">
        <v>27</v>
      </c>
      <c r="C111" s="9" t="s">
        <v>27</v>
      </c>
      <c r="D111" s="9" t="s">
        <v>27</v>
      </c>
      <c r="E111" s="9" t="s">
        <v>106</v>
      </c>
      <c r="F111" s="9" t="s">
        <v>245</v>
      </c>
      <c r="G111" s="9" t="s">
        <v>245</v>
      </c>
      <c r="J111" s="9" t="s">
        <v>105</v>
      </c>
    </row>
    <row r="112" spans="2:10" x14ac:dyDescent="0.35">
      <c r="B112" s="9" t="s">
        <v>27</v>
      </c>
      <c r="C112" s="9" t="s">
        <v>27</v>
      </c>
      <c r="D112" s="9" t="s">
        <v>27</v>
      </c>
      <c r="E112" s="9" t="s">
        <v>107</v>
      </c>
      <c r="F112" s="9" t="s">
        <v>245</v>
      </c>
      <c r="G112" s="9" t="s">
        <v>245</v>
      </c>
      <c r="J112" s="9" t="s">
        <v>106</v>
      </c>
    </row>
    <row r="113" spans="2:10" x14ac:dyDescent="0.35">
      <c r="B113" s="9" t="s">
        <v>27</v>
      </c>
      <c r="C113" s="9" t="s">
        <v>27</v>
      </c>
      <c r="D113" s="9" t="s">
        <v>27</v>
      </c>
      <c r="E113" s="9" t="s">
        <v>108</v>
      </c>
      <c r="F113" s="9" t="s">
        <v>245</v>
      </c>
      <c r="G113" s="9" t="s">
        <v>245</v>
      </c>
      <c r="J113" s="9" t="s">
        <v>107</v>
      </c>
    </row>
    <row r="114" spans="2:10" x14ac:dyDescent="0.35">
      <c r="B114" s="9" t="s">
        <v>27</v>
      </c>
      <c r="C114" s="9" t="s">
        <v>27</v>
      </c>
      <c r="D114" s="9" t="s">
        <v>27</v>
      </c>
      <c r="E114" s="9" t="s">
        <v>109</v>
      </c>
      <c r="F114" s="9" t="s">
        <v>245</v>
      </c>
      <c r="G114" s="9" t="s">
        <v>245</v>
      </c>
      <c r="J114" s="9" t="s">
        <v>108</v>
      </c>
    </row>
    <row r="115" spans="2:10" x14ac:dyDescent="0.35">
      <c r="B115" s="9" t="s">
        <v>27</v>
      </c>
      <c r="C115" s="9" t="s">
        <v>27</v>
      </c>
      <c r="D115" s="9" t="s">
        <v>27</v>
      </c>
      <c r="E115" s="9" t="s">
        <v>112</v>
      </c>
      <c r="F115" s="9" t="s">
        <v>245</v>
      </c>
      <c r="G115" s="9" t="s">
        <v>245</v>
      </c>
      <c r="J115" s="9" t="s">
        <v>109</v>
      </c>
    </row>
    <row r="116" spans="2:10" x14ac:dyDescent="0.35">
      <c r="B116" s="9" t="s">
        <v>27</v>
      </c>
      <c r="C116" s="9" t="s">
        <v>27</v>
      </c>
      <c r="D116" s="9" t="s">
        <v>27</v>
      </c>
      <c r="E116" s="9" t="s">
        <v>113</v>
      </c>
      <c r="F116" s="9" t="s">
        <v>245</v>
      </c>
      <c r="G116" s="9" t="s">
        <v>245</v>
      </c>
      <c r="J116" s="9" t="s">
        <v>112</v>
      </c>
    </row>
    <row r="117" spans="2:10" x14ac:dyDescent="0.35">
      <c r="B117" s="9" t="s">
        <v>27</v>
      </c>
      <c r="C117" s="9" t="s">
        <v>27</v>
      </c>
      <c r="D117" s="9" t="s">
        <v>27</v>
      </c>
      <c r="E117" s="9" t="s">
        <v>114</v>
      </c>
      <c r="F117" s="9" t="s">
        <v>245</v>
      </c>
      <c r="G117" s="9" t="s">
        <v>245</v>
      </c>
      <c r="J117" s="9" t="s">
        <v>113</v>
      </c>
    </row>
    <row r="118" spans="2:10" x14ac:dyDescent="0.35">
      <c r="B118" s="9" t="s">
        <v>27</v>
      </c>
      <c r="C118" s="9" t="s">
        <v>27</v>
      </c>
      <c r="D118" s="9" t="s">
        <v>27</v>
      </c>
      <c r="E118" s="9" t="s">
        <v>118</v>
      </c>
      <c r="F118" s="9" t="s">
        <v>245</v>
      </c>
      <c r="G118" s="9" t="s">
        <v>245</v>
      </c>
      <c r="J118" s="9" t="s">
        <v>114</v>
      </c>
    </row>
    <row r="119" spans="2:10" x14ac:dyDescent="0.35">
      <c r="B119" s="9" t="s">
        <v>27</v>
      </c>
      <c r="C119" s="9" t="s">
        <v>27</v>
      </c>
      <c r="D119" s="9" t="s">
        <v>27</v>
      </c>
      <c r="E119" s="9" t="s">
        <v>119</v>
      </c>
      <c r="F119" s="9" t="s">
        <v>245</v>
      </c>
      <c r="G119" s="9" t="s">
        <v>245</v>
      </c>
      <c r="J119" s="9" t="s">
        <v>118</v>
      </c>
    </row>
    <row r="120" spans="2:10" x14ac:dyDescent="0.35">
      <c r="B120" s="9" t="s">
        <v>27</v>
      </c>
      <c r="C120" s="9" t="s">
        <v>27</v>
      </c>
      <c r="D120" s="9" t="s">
        <v>27</v>
      </c>
      <c r="E120" s="9" t="s">
        <v>121</v>
      </c>
      <c r="F120" s="9" t="s">
        <v>245</v>
      </c>
      <c r="G120" s="9" t="s">
        <v>245</v>
      </c>
      <c r="J120" s="9" t="s">
        <v>119</v>
      </c>
    </row>
    <row r="121" spans="2:10" x14ac:dyDescent="0.35">
      <c r="B121" s="9" t="s">
        <v>27</v>
      </c>
      <c r="C121" s="9" t="s">
        <v>27</v>
      </c>
      <c r="D121" s="9" t="s">
        <v>27</v>
      </c>
      <c r="E121" s="9" t="s">
        <v>122</v>
      </c>
      <c r="F121" s="9" t="s">
        <v>245</v>
      </c>
      <c r="G121" s="9" t="s">
        <v>245</v>
      </c>
      <c r="J121" s="9" t="s">
        <v>121</v>
      </c>
    </row>
    <row r="122" spans="2:10" x14ac:dyDescent="0.35">
      <c r="B122" s="9" t="s">
        <v>27</v>
      </c>
      <c r="C122" s="9" t="s">
        <v>27</v>
      </c>
      <c r="D122" s="9" t="s">
        <v>27</v>
      </c>
      <c r="E122" s="9" t="s">
        <v>123</v>
      </c>
      <c r="F122" s="9" t="s">
        <v>245</v>
      </c>
      <c r="G122" s="9" t="s">
        <v>245</v>
      </c>
      <c r="J122" s="9" t="s">
        <v>122</v>
      </c>
    </row>
    <row r="123" spans="2:10" x14ac:dyDescent="0.35">
      <c r="B123" s="9" t="s">
        <v>27</v>
      </c>
      <c r="C123" s="9" t="s">
        <v>27</v>
      </c>
      <c r="D123" s="9" t="s">
        <v>27</v>
      </c>
      <c r="E123" s="9" t="s">
        <v>125</v>
      </c>
      <c r="F123" s="9" t="s">
        <v>245</v>
      </c>
      <c r="G123" s="9" t="s">
        <v>245</v>
      </c>
      <c r="J123" s="9" t="s">
        <v>123</v>
      </c>
    </row>
    <row r="124" spans="2:10" x14ac:dyDescent="0.35">
      <c r="B124" s="9" t="s">
        <v>27</v>
      </c>
      <c r="C124" s="9" t="s">
        <v>27</v>
      </c>
      <c r="D124" s="9" t="s">
        <v>27</v>
      </c>
      <c r="E124" s="9" t="s">
        <v>127</v>
      </c>
      <c r="F124" s="9" t="s">
        <v>245</v>
      </c>
      <c r="G124" s="9" t="s">
        <v>245</v>
      </c>
      <c r="J124" s="9" t="s">
        <v>125</v>
      </c>
    </row>
    <row r="125" spans="2:10" x14ac:dyDescent="0.35">
      <c r="B125" s="9" t="s">
        <v>27</v>
      </c>
      <c r="C125" s="9" t="s">
        <v>27</v>
      </c>
      <c r="D125" s="9" t="s">
        <v>27</v>
      </c>
      <c r="E125" s="9" t="s">
        <v>128</v>
      </c>
      <c r="F125" s="9" t="s">
        <v>245</v>
      </c>
      <c r="G125" s="9" t="s">
        <v>245</v>
      </c>
      <c r="J125" s="9" t="s">
        <v>127</v>
      </c>
    </row>
    <row r="126" spans="2:10" x14ac:dyDescent="0.35">
      <c r="B126" s="9" t="s">
        <v>27</v>
      </c>
      <c r="C126" s="9" t="s">
        <v>27</v>
      </c>
      <c r="D126" s="9" t="s">
        <v>27</v>
      </c>
      <c r="E126" s="9" t="s">
        <v>130</v>
      </c>
      <c r="F126" s="9" t="s">
        <v>245</v>
      </c>
      <c r="G126" s="9" t="s">
        <v>245</v>
      </c>
      <c r="J126" s="9" t="s">
        <v>128</v>
      </c>
    </row>
    <row r="127" spans="2:10" x14ac:dyDescent="0.35">
      <c r="B127" s="9" t="s">
        <v>27</v>
      </c>
      <c r="C127" s="9" t="s">
        <v>27</v>
      </c>
      <c r="D127" s="9" t="s">
        <v>27</v>
      </c>
      <c r="E127" s="9" t="s">
        <v>131</v>
      </c>
      <c r="F127" s="9" t="s">
        <v>245</v>
      </c>
      <c r="G127" s="9" t="s">
        <v>245</v>
      </c>
      <c r="J127" s="9" t="s">
        <v>130</v>
      </c>
    </row>
    <row r="128" spans="2:10" x14ac:dyDescent="0.35">
      <c r="B128" s="9" t="s">
        <v>27</v>
      </c>
      <c r="C128" s="9" t="s">
        <v>27</v>
      </c>
      <c r="D128" s="9" t="s">
        <v>27</v>
      </c>
      <c r="E128" s="9" t="s">
        <v>132</v>
      </c>
      <c r="F128" s="9" t="s">
        <v>245</v>
      </c>
      <c r="G128" s="9" t="s">
        <v>245</v>
      </c>
      <c r="J128" s="9" t="s">
        <v>131</v>
      </c>
    </row>
    <row r="129" spans="2:10" x14ac:dyDescent="0.35">
      <c r="B129" s="9" t="s">
        <v>27</v>
      </c>
      <c r="C129" s="9" t="s">
        <v>27</v>
      </c>
      <c r="D129" s="9" t="s">
        <v>27</v>
      </c>
      <c r="E129" s="9" t="s">
        <v>133</v>
      </c>
      <c r="F129" s="9" t="s">
        <v>245</v>
      </c>
      <c r="G129" s="9" t="s">
        <v>245</v>
      </c>
      <c r="J129" s="9" t="s">
        <v>132</v>
      </c>
    </row>
    <row r="130" spans="2:10" x14ac:dyDescent="0.35">
      <c r="B130" s="9" t="s">
        <v>27</v>
      </c>
      <c r="C130" s="9" t="s">
        <v>27</v>
      </c>
      <c r="D130" s="9" t="s">
        <v>27</v>
      </c>
      <c r="E130" s="9" t="s">
        <v>134</v>
      </c>
      <c r="F130" s="9" t="s">
        <v>245</v>
      </c>
      <c r="G130" s="9" t="s">
        <v>245</v>
      </c>
      <c r="J130" s="9" t="s">
        <v>133</v>
      </c>
    </row>
    <row r="131" spans="2:10" x14ac:dyDescent="0.35">
      <c r="B131" s="9" t="s">
        <v>27</v>
      </c>
      <c r="C131" s="9" t="s">
        <v>27</v>
      </c>
      <c r="D131" s="9" t="s">
        <v>27</v>
      </c>
      <c r="E131" s="9" t="s">
        <v>137</v>
      </c>
      <c r="F131" s="9" t="s">
        <v>245</v>
      </c>
      <c r="G131" s="9" t="s">
        <v>245</v>
      </c>
      <c r="J131" s="9" t="s">
        <v>134</v>
      </c>
    </row>
    <row r="132" spans="2:10" x14ac:dyDescent="0.35">
      <c r="B132" s="9" t="s">
        <v>27</v>
      </c>
      <c r="C132" s="9" t="s">
        <v>27</v>
      </c>
      <c r="D132" s="9" t="s">
        <v>27</v>
      </c>
      <c r="E132" s="9" t="s">
        <v>138</v>
      </c>
      <c r="F132" s="9" t="s">
        <v>245</v>
      </c>
      <c r="G132" s="9" t="s">
        <v>245</v>
      </c>
      <c r="J132" s="9" t="s">
        <v>137</v>
      </c>
    </row>
    <row r="133" spans="2:10" x14ac:dyDescent="0.35">
      <c r="B133" s="9" t="s">
        <v>27</v>
      </c>
      <c r="C133" s="9" t="s">
        <v>27</v>
      </c>
      <c r="D133" s="9" t="s">
        <v>27</v>
      </c>
      <c r="E133" s="9" t="s">
        <v>139</v>
      </c>
      <c r="F133" s="9" t="s">
        <v>245</v>
      </c>
      <c r="G133" s="9" t="s">
        <v>245</v>
      </c>
      <c r="J133" s="9" t="s">
        <v>138</v>
      </c>
    </row>
    <row r="134" spans="2:10" x14ac:dyDescent="0.35">
      <c r="B134" s="9" t="s">
        <v>27</v>
      </c>
      <c r="C134" s="9" t="s">
        <v>27</v>
      </c>
      <c r="D134" s="9" t="s">
        <v>27</v>
      </c>
      <c r="E134" s="9" t="s">
        <v>141</v>
      </c>
      <c r="F134" s="9" t="s">
        <v>245</v>
      </c>
      <c r="G134" s="9" t="s">
        <v>245</v>
      </c>
      <c r="J134" s="9" t="s">
        <v>139</v>
      </c>
    </row>
    <row r="135" spans="2:10" x14ac:dyDescent="0.35">
      <c r="B135" s="9" t="s">
        <v>27</v>
      </c>
      <c r="C135" s="9" t="s">
        <v>27</v>
      </c>
      <c r="D135" s="9" t="s">
        <v>27</v>
      </c>
      <c r="E135" s="9" t="s">
        <v>142</v>
      </c>
      <c r="F135" s="9" t="s">
        <v>245</v>
      </c>
      <c r="G135" s="9" t="s">
        <v>245</v>
      </c>
      <c r="J135" s="9" t="s">
        <v>141</v>
      </c>
    </row>
    <row r="136" spans="2:10" x14ac:dyDescent="0.35">
      <c r="B136" s="9" t="s">
        <v>27</v>
      </c>
      <c r="C136" s="9" t="s">
        <v>27</v>
      </c>
      <c r="D136" s="9" t="s">
        <v>27</v>
      </c>
      <c r="E136" s="9" t="s">
        <v>144</v>
      </c>
      <c r="F136" s="9" t="s">
        <v>245</v>
      </c>
      <c r="G136" s="9" t="s">
        <v>245</v>
      </c>
      <c r="J136" s="9" t="s">
        <v>142</v>
      </c>
    </row>
    <row r="137" spans="2:10" x14ac:dyDescent="0.35">
      <c r="B137" s="9" t="s">
        <v>27</v>
      </c>
      <c r="C137" s="9" t="s">
        <v>27</v>
      </c>
      <c r="D137" s="9" t="s">
        <v>27</v>
      </c>
      <c r="E137" s="9" t="s">
        <v>145</v>
      </c>
      <c r="F137" s="9" t="s">
        <v>245</v>
      </c>
      <c r="G137" s="9" t="s">
        <v>245</v>
      </c>
      <c r="J137" s="9" t="s">
        <v>144</v>
      </c>
    </row>
    <row r="138" spans="2:10" x14ac:dyDescent="0.35">
      <c r="B138" s="9" t="s">
        <v>27</v>
      </c>
      <c r="C138" s="9" t="s">
        <v>27</v>
      </c>
      <c r="D138" s="9" t="s">
        <v>27</v>
      </c>
      <c r="E138" s="9" t="s">
        <v>146</v>
      </c>
      <c r="F138" s="9" t="s">
        <v>245</v>
      </c>
      <c r="G138" s="9" t="s">
        <v>245</v>
      </c>
      <c r="J138" s="9" t="s">
        <v>145</v>
      </c>
    </row>
    <row r="139" spans="2:10" x14ac:dyDescent="0.35">
      <c r="B139" s="9" t="s">
        <v>27</v>
      </c>
      <c r="C139" s="9" t="s">
        <v>27</v>
      </c>
      <c r="D139" s="9" t="s">
        <v>27</v>
      </c>
      <c r="E139" s="9" t="s">
        <v>148</v>
      </c>
      <c r="F139" s="9" t="s">
        <v>245</v>
      </c>
      <c r="G139" s="9" t="s">
        <v>245</v>
      </c>
      <c r="J139" s="9" t="s">
        <v>146</v>
      </c>
    </row>
    <row r="140" spans="2:10" x14ac:dyDescent="0.35">
      <c r="B140" s="9" t="s">
        <v>27</v>
      </c>
      <c r="C140" s="9" t="s">
        <v>27</v>
      </c>
      <c r="D140" s="9" t="s">
        <v>27</v>
      </c>
      <c r="E140" s="9" t="s">
        <v>149</v>
      </c>
      <c r="F140" s="9" t="s">
        <v>245</v>
      </c>
      <c r="G140" s="9" t="s">
        <v>245</v>
      </c>
      <c r="J140" s="9" t="s">
        <v>148</v>
      </c>
    </row>
    <row r="141" spans="2:10" x14ac:dyDescent="0.35">
      <c r="B141" s="9" t="s">
        <v>27</v>
      </c>
      <c r="C141" s="9" t="s">
        <v>27</v>
      </c>
      <c r="D141" s="9" t="s">
        <v>27</v>
      </c>
      <c r="E141" s="9" t="s">
        <v>150</v>
      </c>
      <c r="F141" s="9" t="s">
        <v>245</v>
      </c>
      <c r="G141" s="9" t="s">
        <v>245</v>
      </c>
      <c r="J141" s="9" t="s">
        <v>149</v>
      </c>
    </row>
    <row r="142" spans="2:10" x14ac:dyDescent="0.35">
      <c r="B142" s="9" t="s">
        <v>27</v>
      </c>
      <c r="C142" s="9" t="s">
        <v>27</v>
      </c>
      <c r="D142" s="9" t="s">
        <v>27</v>
      </c>
      <c r="E142" s="9" t="s">
        <v>151</v>
      </c>
      <c r="F142" s="9" t="s">
        <v>245</v>
      </c>
      <c r="G142" s="9" t="s">
        <v>245</v>
      </c>
      <c r="J142" s="9" t="s">
        <v>150</v>
      </c>
    </row>
    <row r="143" spans="2:10" x14ac:dyDescent="0.35">
      <c r="B143" s="9" t="s">
        <v>27</v>
      </c>
      <c r="C143" s="9" t="s">
        <v>27</v>
      </c>
      <c r="D143" s="9" t="s">
        <v>27</v>
      </c>
      <c r="E143" s="9" t="s">
        <v>152</v>
      </c>
      <c r="F143" s="9" t="s">
        <v>245</v>
      </c>
      <c r="G143" s="9" t="s">
        <v>245</v>
      </c>
      <c r="J143" s="9" t="s">
        <v>151</v>
      </c>
    </row>
    <row r="144" spans="2:10" x14ac:dyDescent="0.35">
      <c r="B144" s="9" t="s">
        <v>27</v>
      </c>
      <c r="C144" s="9" t="s">
        <v>27</v>
      </c>
      <c r="D144" s="9" t="s">
        <v>27</v>
      </c>
      <c r="E144" s="9" t="s">
        <v>153</v>
      </c>
      <c r="F144" s="9" t="s">
        <v>245</v>
      </c>
      <c r="G144" s="9" t="s">
        <v>245</v>
      </c>
      <c r="J144" s="9" t="s">
        <v>152</v>
      </c>
    </row>
    <row r="145" spans="2:10" x14ac:dyDescent="0.35">
      <c r="B145" s="9" t="s">
        <v>27</v>
      </c>
      <c r="C145" s="9" t="s">
        <v>27</v>
      </c>
      <c r="D145" s="9" t="s">
        <v>27</v>
      </c>
      <c r="E145" s="9" t="s">
        <v>154</v>
      </c>
      <c r="F145" s="9" t="s">
        <v>245</v>
      </c>
      <c r="G145" s="9" t="s">
        <v>245</v>
      </c>
      <c r="J145" s="9" t="s">
        <v>153</v>
      </c>
    </row>
    <row r="146" spans="2:10" x14ac:dyDescent="0.35">
      <c r="B146" s="9" t="s">
        <v>27</v>
      </c>
      <c r="C146" s="9" t="s">
        <v>27</v>
      </c>
      <c r="D146" s="9" t="s">
        <v>27</v>
      </c>
      <c r="E146" s="9" t="s">
        <v>155</v>
      </c>
      <c r="F146" s="9" t="s">
        <v>245</v>
      </c>
      <c r="G146" s="9" t="s">
        <v>245</v>
      </c>
      <c r="J146" s="9" t="s">
        <v>154</v>
      </c>
    </row>
    <row r="147" spans="2:10" x14ac:dyDescent="0.35">
      <c r="B147" s="9" t="s">
        <v>27</v>
      </c>
      <c r="C147" s="9" t="s">
        <v>27</v>
      </c>
      <c r="D147" s="9" t="s">
        <v>27</v>
      </c>
      <c r="E147" s="9" t="s">
        <v>156</v>
      </c>
      <c r="F147" s="9" t="s">
        <v>245</v>
      </c>
      <c r="G147" s="9" t="s">
        <v>245</v>
      </c>
      <c r="J147" s="9" t="s">
        <v>155</v>
      </c>
    </row>
    <row r="148" spans="2:10" x14ac:dyDescent="0.35">
      <c r="B148" s="9" t="s">
        <v>27</v>
      </c>
      <c r="C148" s="9" t="s">
        <v>27</v>
      </c>
      <c r="D148" s="9" t="s">
        <v>27</v>
      </c>
      <c r="E148" s="9" t="s">
        <v>157</v>
      </c>
      <c r="F148" s="9" t="s">
        <v>245</v>
      </c>
      <c r="G148" s="9" t="s">
        <v>245</v>
      </c>
      <c r="J148" s="9" t="s">
        <v>156</v>
      </c>
    </row>
    <row r="149" spans="2:10" x14ac:dyDescent="0.35">
      <c r="B149" s="9" t="s">
        <v>27</v>
      </c>
      <c r="C149" s="9" t="s">
        <v>27</v>
      </c>
      <c r="D149" s="9" t="s">
        <v>27</v>
      </c>
      <c r="E149" s="9" t="s">
        <v>158</v>
      </c>
      <c r="F149" s="9" t="s">
        <v>245</v>
      </c>
      <c r="G149" s="9" t="s">
        <v>245</v>
      </c>
      <c r="J149" s="9" t="s">
        <v>157</v>
      </c>
    </row>
    <row r="150" spans="2:10" x14ac:dyDescent="0.35">
      <c r="B150" s="9" t="s">
        <v>27</v>
      </c>
      <c r="C150" s="9" t="s">
        <v>27</v>
      </c>
      <c r="D150" s="9" t="s">
        <v>27</v>
      </c>
      <c r="E150" s="9" t="s">
        <v>161</v>
      </c>
      <c r="F150" s="9" t="s">
        <v>245</v>
      </c>
      <c r="G150" s="9" t="s">
        <v>245</v>
      </c>
      <c r="J150" s="9" t="s">
        <v>158</v>
      </c>
    </row>
    <row r="151" spans="2:10" x14ac:dyDescent="0.35">
      <c r="B151" s="9" t="s">
        <v>27</v>
      </c>
      <c r="C151" s="9" t="s">
        <v>27</v>
      </c>
      <c r="D151" s="9" t="s">
        <v>27</v>
      </c>
      <c r="E151" s="9" t="s">
        <v>162</v>
      </c>
      <c r="F151" s="9" t="s">
        <v>245</v>
      </c>
      <c r="G151" s="9" t="s">
        <v>245</v>
      </c>
      <c r="J151" s="9" t="s">
        <v>161</v>
      </c>
    </row>
    <row r="152" spans="2:10" x14ac:dyDescent="0.35">
      <c r="B152" s="9" t="s">
        <v>27</v>
      </c>
      <c r="C152" s="9" t="s">
        <v>27</v>
      </c>
      <c r="D152" s="9" t="s">
        <v>27</v>
      </c>
      <c r="E152" s="9" t="s">
        <v>163</v>
      </c>
      <c r="F152" s="9" t="s">
        <v>245</v>
      </c>
      <c r="G152" s="9" t="s">
        <v>245</v>
      </c>
      <c r="J152" s="9" t="s">
        <v>162</v>
      </c>
    </row>
    <row r="153" spans="2:10" x14ac:dyDescent="0.35">
      <c r="B153" s="9" t="s">
        <v>27</v>
      </c>
      <c r="C153" s="9" t="s">
        <v>27</v>
      </c>
      <c r="D153" s="9" t="s">
        <v>27</v>
      </c>
      <c r="E153" s="9" t="s">
        <v>165</v>
      </c>
      <c r="F153" s="9" t="s">
        <v>245</v>
      </c>
      <c r="G153" s="9" t="s">
        <v>245</v>
      </c>
      <c r="J153" s="9" t="s">
        <v>163</v>
      </c>
    </row>
    <row r="154" spans="2:10" x14ac:dyDescent="0.35">
      <c r="B154" s="9" t="s">
        <v>27</v>
      </c>
      <c r="C154" s="9" t="s">
        <v>27</v>
      </c>
      <c r="D154" s="9" t="s">
        <v>27</v>
      </c>
      <c r="E154" s="9" t="s">
        <v>166</v>
      </c>
      <c r="F154" s="9" t="s">
        <v>245</v>
      </c>
      <c r="G154" s="9" t="s">
        <v>245</v>
      </c>
      <c r="J154" s="9" t="s">
        <v>165</v>
      </c>
    </row>
    <row r="155" spans="2:10" x14ac:dyDescent="0.35">
      <c r="B155" s="9" t="s">
        <v>27</v>
      </c>
      <c r="C155" s="9" t="s">
        <v>27</v>
      </c>
      <c r="D155" s="9" t="s">
        <v>27</v>
      </c>
      <c r="E155" s="9" t="s">
        <v>167</v>
      </c>
      <c r="F155" s="9" t="s">
        <v>245</v>
      </c>
      <c r="G155" s="9" t="s">
        <v>245</v>
      </c>
      <c r="J155" s="9" t="s">
        <v>166</v>
      </c>
    </row>
    <row r="156" spans="2:10" x14ac:dyDescent="0.35">
      <c r="B156" s="9" t="s">
        <v>27</v>
      </c>
      <c r="C156" s="9" t="s">
        <v>27</v>
      </c>
      <c r="D156" s="9" t="s">
        <v>27</v>
      </c>
      <c r="E156" s="9" t="s">
        <v>168</v>
      </c>
      <c r="F156" s="9" t="s">
        <v>245</v>
      </c>
      <c r="G156" s="9" t="s">
        <v>245</v>
      </c>
      <c r="J156" s="9" t="s">
        <v>167</v>
      </c>
    </row>
    <row r="157" spans="2:10" x14ac:dyDescent="0.35">
      <c r="B157" s="9" t="s">
        <v>27</v>
      </c>
      <c r="C157" s="9" t="s">
        <v>27</v>
      </c>
      <c r="D157" s="9" t="s">
        <v>27</v>
      </c>
      <c r="E157" s="9" t="s">
        <v>169</v>
      </c>
      <c r="F157" s="9" t="s">
        <v>245</v>
      </c>
      <c r="G157" s="9" t="s">
        <v>245</v>
      </c>
      <c r="J157" s="9" t="s">
        <v>168</v>
      </c>
    </row>
    <row r="158" spans="2:10" x14ac:dyDescent="0.35">
      <c r="B158" s="9" t="s">
        <v>27</v>
      </c>
      <c r="C158" s="9" t="s">
        <v>27</v>
      </c>
      <c r="D158" s="9" t="s">
        <v>27</v>
      </c>
      <c r="E158" s="9" t="s">
        <v>170</v>
      </c>
      <c r="F158" s="9" t="s">
        <v>245</v>
      </c>
      <c r="G158" s="9" t="s">
        <v>245</v>
      </c>
      <c r="J158" s="9" t="s">
        <v>169</v>
      </c>
    </row>
    <row r="159" spans="2:10" x14ac:dyDescent="0.35">
      <c r="B159" s="9" t="s">
        <v>27</v>
      </c>
      <c r="C159" s="9" t="s">
        <v>27</v>
      </c>
      <c r="D159" s="9" t="s">
        <v>27</v>
      </c>
      <c r="E159" s="9" t="s">
        <v>171</v>
      </c>
      <c r="F159" s="9" t="s">
        <v>245</v>
      </c>
      <c r="G159" s="9" t="s">
        <v>245</v>
      </c>
      <c r="J159" s="9" t="s">
        <v>170</v>
      </c>
    </row>
    <row r="160" spans="2:10" x14ac:dyDescent="0.35">
      <c r="B160" s="9" t="s">
        <v>27</v>
      </c>
      <c r="C160" s="9" t="s">
        <v>27</v>
      </c>
      <c r="D160" s="9" t="s">
        <v>27</v>
      </c>
      <c r="E160" s="9" t="s">
        <v>175</v>
      </c>
      <c r="F160" s="9" t="s">
        <v>245</v>
      </c>
      <c r="G160" s="9" t="s">
        <v>245</v>
      </c>
      <c r="J160" s="9" t="s">
        <v>171</v>
      </c>
    </row>
    <row r="161" spans="2:10" x14ac:dyDescent="0.35">
      <c r="B161" s="9" t="s">
        <v>27</v>
      </c>
      <c r="C161" s="9" t="s">
        <v>27</v>
      </c>
      <c r="D161" s="9" t="s">
        <v>27</v>
      </c>
      <c r="E161" s="9" t="s">
        <v>177</v>
      </c>
      <c r="F161" s="9" t="s">
        <v>245</v>
      </c>
      <c r="G161" s="9" t="s">
        <v>245</v>
      </c>
      <c r="J161" s="9" t="s">
        <v>175</v>
      </c>
    </row>
    <row r="162" spans="2:10" x14ac:dyDescent="0.35">
      <c r="B162" s="9" t="s">
        <v>27</v>
      </c>
      <c r="C162" s="9" t="s">
        <v>27</v>
      </c>
      <c r="D162" s="9" t="s">
        <v>27</v>
      </c>
      <c r="E162" s="9" t="s">
        <v>178</v>
      </c>
      <c r="F162" s="9" t="s">
        <v>245</v>
      </c>
      <c r="G162" s="9" t="s">
        <v>245</v>
      </c>
      <c r="J162" s="9" t="s">
        <v>177</v>
      </c>
    </row>
    <row r="163" spans="2:10" x14ac:dyDescent="0.35">
      <c r="B163" s="9" t="s">
        <v>27</v>
      </c>
      <c r="C163" s="9" t="s">
        <v>27</v>
      </c>
      <c r="D163" s="9" t="s">
        <v>27</v>
      </c>
      <c r="E163" s="9" t="s">
        <v>179</v>
      </c>
      <c r="F163" s="9" t="s">
        <v>245</v>
      </c>
      <c r="G163" s="9" t="s">
        <v>245</v>
      </c>
      <c r="J163" s="9" t="s">
        <v>178</v>
      </c>
    </row>
    <row r="164" spans="2:10" x14ac:dyDescent="0.35">
      <c r="B164" s="9" t="s">
        <v>27</v>
      </c>
      <c r="C164" s="9" t="s">
        <v>27</v>
      </c>
      <c r="D164" s="9" t="s">
        <v>27</v>
      </c>
      <c r="E164" s="9" t="s">
        <v>180</v>
      </c>
      <c r="F164" s="9" t="s">
        <v>245</v>
      </c>
      <c r="G164" s="9" t="s">
        <v>245</v>
      </c>
      <c r="J164" s="9" t="s">
        <v>179</v>
      </c>
    </row>
    <row r="165" spans="2:10" x14ac:dyDescent="0.35">
      <c r="B165" s="9" t="s">
        <v>27</v>
      </c>
      <c r="C165" s="9" t="s">
        <v>27</v>
      </c>
      <c r="D165" s="9" t="s">
        <v>27</v>
      </c>
      <c r="E165" s="9" t="s">
        <v>181</v>
      </c>
      <c r="F165" s="9" t="s">
        <v>245</v>
      </c>
      <c r="G165" s="9" t="s">
        <v>245</v>
      </c>
      <c r="J165" s="9" t="s">
        <v>180</v>
      </c>
    </row>
    <row r="166" spans="2:10" x14ac:dyDescent="0.35">
      <c r="B166" s="9" t="s">
        <v>27</v>
      </c>
      <c r="C166" s="9" t="s">
        <v>27</v>
      </c>
      <c r="D166" s="9" t="s">
        <v>27</v>
      </c>
      <c r="E166" s="9" t="s">
        <v>182</v>
      </c>
      <c r="F166" s="9" t="s">
        <v>245</v>
      </c>
      <c r="G166" s="9" t="s">
        <v>245</v>
      </c>
      <c r="J166" s="9" t="s">
        <v>181</v>
      </c>
    </row>
    <row r="167" spans="2:10" x14ac:dyDescent="0.35">
      <c r="B167" s="9" t="s">
        <v>27</v>
      </c>
      <c r="C167" s="9" t="s">
        <v>27</v>
      </c>
      <c r="D167" s="9" t="s">
        <v>27</v>
      </c>
      <c r="E167" s="9" t="s">
        <v>183</v>
      </c>
      <c r="F167" s="9" t="s">
        <v>245</v>
      </c>
      <c r="G167" s="9" t="s">
        <v>245</v>
      </c>
      <c r="J167" s="9" t="s">
        <v>182</v>
      </c>
    </row>
    <row r="168" spans="2:10" x14ac:dyDescent="0.35">
      <c r="B168" s="9" t="s">
        <v>27</v>
      </c>
      <c r="C168" s="9" t="s">
        <v>27</v>
      </c>
      <c r="D168" s="9" t="s">
        <v>27</v>
      </c>
      <c r="E168" s="9" t="s">
        <v>185</v>
      </c>
      <c r="F168" s="9" t="s">
        <v>245</v>
      </c>
      <c r="G168" s="9" t="s">
        <v>245</v>
      </c>
      <c r="J168" s="9" t="s">
        <v>183</v>
      </c>
    </row>
    <row r="169" spans="2:10" x14ac:dyDescent="0.35">
      <c r="B169" s="9" t="s">
        <v>27</v>
      </c>
      <c r="C169" s="9" t="s">
        <v>27</v>
      </c>
      <c r="D169" s="9" t="s">
        <v>27</v>
      </c>
      <c r="E169" s="9" t="s">
        <v>186</v>
      </c>
      <c r="F169" s="9" t="s">
        <v>245</v>
      </c>
      <c r="G169" s="9" t="s">
        <v>245</v>
      </c>
      <c r="J169" s="9" t="s">
        <v>185</v>
      </c>
    </row>
    <row r="170" spans="2:10" x14ac:dyDescent="0.35">
      <c r="B170" s="9" t="s">
        <v>27</v>
      </c>
      <c r="C170" s="9" t="s">
        <v>27</v>
      </c>
      <c r="D170" s="9" t="s">
        <v>27</v>
      </c>
      <c r="E170" s="9" t="s">
        <v>187</v>
      </c>
      <c r="F170" s="9" t="s">
        <v>245</v>
      </c>
      <c r="G170" s="9" t="s">
        <v>245</v>
      </c>
      <c r="J170" s="9" t="s">
        <v>186</v>
      </c>
    </row>
    <row r="171" spans="2:10" x14ac:dyDescent="0.35">
      <c r="B171" s="9" t="s">
        <v>27</v>
      </c>
      <c r="C171" s="9" t="s">
        <v>27</v>
      </c>
      <c r="D171" s="9" t="s">
        <v>27</v>
      </c>
      <c r="E171" s="9" t="s">
        <v>188</v>
      </c>
      <c r="F171" s="9" t="s">
        <v>245</v>
      </c>
      <c r="G171" s="9" t="s">
        <v>245</v>
      </c>
      <c r="J171" s="9" t="s">
        <v>187</v>
      </c>
    </row>
    <row r="172" spans="2:10" x14ac:dyDescent="0.35">
      <c r="B172" s="9" t="s">
        <v>27</v>
      </c>
      <c r="C172" s="9" t="s">
        <v>27</v>
      </c>
      <c r="D172" s="9" t="s">
        <v>27</v>
      </c>
      <c r="E172" s="9" t="s">
        <v>192</v>
      </c>
      <c r="F172" s="9" t="s">
        <v>245</v>
      </c>
      <c r="G172" s="9" t="s">
        <v>245</v>
      </c>
      <c r="J172" s="9" t="s">
        <v>188</v>
      </c>
    </row>
    <row r="173" spans="2:10" x14ac:dyDescent="0.35">
      <c r="B173" s="9" t="s">
        <v>27</v>
      </c>
      <c r="C173" s="9" t="s">
        <v>27</v>
      </c>
      <c r="D173" s="9" t="s">
        <v>27</v>
      </c>
      <c r="E173" s="9" t="s">
        <v>193</v>
      </c>
      <c r="F173" s="9" t="s">
        <v>245</v>
      </c>
      <c r="G173" s="9" t="s">
        <v>245</v>
      </c>
      <c r="J173" s="9" t="s">
        <v>192</v>
      </c>
    </row>
    <row r="174" spans="2:10" x14ac:dyDescent="0.35">
      <c r="B174" s="9" t="s">
        <v>27</v>
      </c>
      <c r="C174" s="9" t="s">
        <v>27</v>
      </c>
      <c r="D174" s="9" t="s">
        <v>27</v>
      </c>
      <c r="E174" s="9" t="s">
        <v>195</v>
      </c>
      <c r="F174" s="9" t="s">
        <v>245</v>
      </c>
      <c r="G174" s="9" t="s">
        <v>245</v>
      </c>
      <c r="J174" s="9" t="s">
        <v>193</v>
      </c>
    </row>
    <row r="175" spans="2:10" x14ac:dyDescent="0.35">
      <c r="B175" s="9" t="s">
        <v>27</v>
      </c>
      <c r="C175" s="9" t="s">
        <v>27</v>
      </c>
      <c r="D175" s="9" t="s">
        <v>27</v>
      </c>
      <c r="E175" s="9" t="s">
        <v>197</v>
      </c>
      <c r="F175" s="9" t="s">
        <v>245</v>
      </c>
      <c r="G175" s="9" t="s">
        <v>245</v>
      </c>
      <c r="J175" s="9" t="s">
        <v>195</v>
      </c>
    </row>
    <row r="176" spans="2:10" x14ac:dyDescent="0.35">
      <c r="B176" s="9" t="s">
        <v>27</v>
      </c>
      <c r="C176" s="9" t="s">
        <v>27</v>
      </c>
      <c r="D176" s="9" t="s">
        <v>27</v>
      </c>
      <c r="E176" s="9" t="s">
        <v>198</v>
      </c>
      <c r="F176" s="9" t="s">
        <v>245</v>
      </c>
      <c r="G176" s="9" t="s">
        <v>245</v>
      </c>
      <c r="J176" s="9" t="s">
        <v>197</v>
      </c>
    </row>
    <row r="177" spans="2:10" x14ac:dyDescent="0.35">
      <c r="B177" s="9" t="s">
        <v>27</v>
      </c>
      <c r="C177" s="9" t="s">
        <v>27</v>
      </c>
      <c r="D177" s="9" t="s">
        <v>27</v>
      </c>
      <c r="E177" s="9" t="s">
        <v>199</v>
      </c>
      <c r="F177" s="9" t="s">
        <v>245</v>
      </c>
      <c r="G177" s="9" t="s">
        <v>245</v>
      </c>
      <c r="J177" s="9" t="s">
        <v>198</v>
      </c>
    </row>
    <row r="178" spans="2:10" x14ac:dyDescent="0.35">
      <c r="B178" s="9" t="s">
        <v>27</v>
      </c>
      <c r="C178" s="9" t="s">
        <v>27</v>
      </c>
      <c r="D178" s="9" t="s">
        <v>27</v>
      </c>
      <c r="E178" s="9" t="s">
        <v>200</v>
      </c>
      <c r="F178" s="9" t="s">
        <v>245</v>
      </c>
      <c r="G178" s="9" t="s">
        <v>245</v>
      </c>
      <c r="J178" s="9" t="s">
        <v>199</v>
      </c>
    </row>
    <row r="179" spans="2:10" x14ac:dyDescent="0.35">
      <c r="B179" s="9" t="s">
        <v>27</v>
      </c>
      <c r="C179" s="9" t="s">
        <v>27</v>
      </c>
      <c r="D179" s="9" t="s">
        <v>27</v>
      </c>
      <c r="E179" s="9" t="s">
        <v>203</v>
      </c>
      <c r="F179" s="9" t="s">
        <v>245</v>
      </c>
      <c r="G179" s="9" t="s">
        <v>245</v>
      </c>
      <c r="J179" s="9" t="s">
        <v>200</v>
      </c>
    </row>
    <row r="180" spans="2:10" x14ac:dyDescent="0.35">
      <c r="B180" s="9" t="s">
        <v>27</v>
      </c>
      <c r="C180" s="9" t="s">
        <v>27</v>
      </c>
      <c r="D180" s="9" t="s">
        <v>27</v>
      </c>
      <c r="E180" s="9" t="s">
        <v>205</v>
      </c>
      <c r="F180" s="9" t="s">
        <v>245</v>
      </c>
      <c r="G180" s="9" t="s">
        <v>245</v>
      </c>
      <c r="J180" s="9" t="s">
        <v>203</v>
      </c>
    </row>
    <row r="181" spans="2:10" x14ac:dyDescent="0.35">
      <c r="B181" s="9" t="s">
        <v>27</v>
      </c>
      <c r="C181" s="9" t="s">
        <v>27</v>
      </c>
      <c r="D181" s="9" t="s">
        <v>27</v>
      </c>
      <c r="E181" s="9" t="s">
        <v>206</v>
      </c>
      <c r="F181" s="9" t="s">
        <v>245</v>
      </c>
      <c r="G181" s="9" t="s">
        <v>245</v>
      </c>
      <c r="J181" s="9" t="s">
        <v>205</v>
      </c>
    </row>
    <row r="182" spans="2:10" x14ac:dyDescent="0.35">
      <c r="B182" s="9" t="s">
        <v>27</v>
      </c>
      <c r="C182" s="9" t="s">
        <v>27</v>
      </c>
      <c r="D182" s="9" t="s">
        <v>27</v>
      </c>
      <c r="E182" s="9" t="s">
        <v>208</v>
      </c>
      <c r="F182" s="9" t="s">
        <v>245</v>
      </c>
      <c r="G182" s="9" t="s">
        <v>245</v>
      </c>
      <c r="J182" s="9" t="s">
        <v>206</v>
      </c>
    </row>
    <row r="183" spans="2:10" x14ac:dyDescent="0.35">
      <c r="B183" s="9" t="s">
        <v>27</v>
      </c>
      <c r="C183" s="9" t="s">
        <v>27</v>
      </c>
      <c r="D183" s="9" t="s">
        <v>27</v>
      </c>
      <c r="E183" s="9" t="s">
        <v>209</v>
      </c>
      <c r="F183" s="9" t="s">
        <v>245</v>
      </c>
      <c r="G183" s="9" t="s">
        <v>245</v>
      </c>
      <c r="J183" s="9" t="s">
        <v>208</v>
      </c>
    </row>
    <row r="184" spans="2:10" x14ac:dyDescent="0.35">
      <c r="B184" s="9" t="s">
        <v>27</v>
      </c>
      <c r="C184" s="9" t="s">
        <v>27</v>
      </c>
      <c r="D184" s="9" t="s">
        <v>27</v>
      </c>
      <c r="E184" s="9" t="s">
        <v>210</v>
      </c>
      <c r="F184" s="9" t="s">
        <v>245</v>
      </c>
      <c r="G184" s="9" t="s">
        <v>245</v>
      </c>
      <c r="J184" s="9" t="s">
        <v>209</v>
      </c>
    </row>
    <row r="185" spans="2:10" x14ac:dyDescent="0.35">
      <c r="B185" s="9" t="s">
        <v>27</v>
      </c>
      <c r="C185" s="9" t="s">
        <v>27</v>
      </c>
      <c r="D185" s="9" t="s">
        <v>27</v>
      </c>
      <c r="E185" s="9" t="s">
        <v>211</v>
      </c>
      <c r="F185" s="9" t="s">
        <v>245</v>
      </c>
      <c r="G185" s="9" t="s">
        <v>245</v>
      </c>
      <c r="J185" s="9" t="s">
        <v>210</v>
      </c>
    </row>
    <row r="186" spans="2:10" x14ac:dyDescent="0.35">
      <c r="B186" s="9" t="s">
        <v>27</v>
      </c>
      <c r="C186" s="9" t="s">
        <v>27</v>
      </c>
      <c r="D186" s="9" t="s">
        <v>27</v>
      </c>
      <c r="E186" s="9" t="s">
        <v>212</v>
      </c>
      <c r="F186" s="9" t="s">
        <v>245</v>
      </c>
      <c r="G186" s="9" t="s">
        <v>245</v>
      </c>
      <c r="J186" s="9" t="s">
        <v>211</v>
      </c>
    </row>
    <row r="187" spans="2:10" x14ac:dyDescent="0.35">
      <c r="B187" s="9" t="s">
        <v>27</v>
      </c>
      <c r="C187" s="9" t="s">
        <v>27</v>
      </c>
      <c r="D187" s="9" t="s">
        <v>27</v>
      </c>
      <c r="E187" s="9" t="s">
        <v>213</v>
      </c>
      <c r="F187" s="9" t="s">
        <v>245</v>
      </c>
      <c r="G187" s="9" t="s">
        <v>245</v>
      </c>
      <c r="J187" s="9" t="s">
        <v>212</v>
      </c>
    </row>
    <row r="188" spans="2:10" x14ac:dyDescent="0.35">
      <c r="B188" s="9" t="s">
        <v>27</v>
      </c>
      <c r="C188" s="9" t="s">
        <v>27</v>
      </c>
      <c r="D188" s="9" t="s">
        <v>27</v>
      </c>
      <c r="E188" s="9" t="s">
        <v>214</v>
      </c>
      <c r="F188" s="9" t="s">
        <v>245</v>
      </c>
      <c r="G188" s="9" t="s">
        <v>245</v>
      </c>
      <c r="J188" s="9" t="s">
        <v>213</v>
      </c>
    </row>
    <row r="189" spans="2:10" x14ac:dyDescent="0.35">
      <c r="B189" s="9" t="s">
        <v>27</v>
      </c>
      <c r="C189" s="9" t="s">
        <v>27</v>
      </c>
      <c r="D189" s="9" t="s">
        <v>27</v>
      </c>
      <c r="E189" s="9" t="s">
        <v>215</v>
      </c>
      <c r="F189" s="9" t="s">
        <v>245</v>
      </c>
      <c r="G189" s="9" t="s">
        <v>245</v>
      </c>
      <c r="J189" s="9" t="s">
        <v>214</v>
      </c>
    </row>
    <row r="190" spans="2:10" x14ac:dyDescent="0.35">
      <c r="B190" s="9" t="s">
        <v>27</v>
      </c>
      <c r="C190" s="9" t="s">
        <v>27</v>
      </c>
      <c r="D190" s="9" t="s">
        <v>27</v>
      </c>
      <c r="E190" s="9" t="s">
        <v>216</v>
      </c>
      <c r="F190" s="9" t="s">
        <v>245</v>
      </c>
      <c r="G190" s="9" t="s">
        <v>245</v>
      </c>
      <c r="J190" s="9" t="s">
        <v>215</v>
      </c>
    </row>
    <row r="191" spans="2:10" x14ac:dyDescent="0.35">
      <c r="B191" s="9" t="s">
        <v>27</v>
      </c>
      <c r="C191" s="9" t="s">
        <v>27</v>
      </c>
      <c r="D191" s="9" t="s">
        <v>27</v>
      </c>
      <c r="E191" s="9" t="s">
        <v>220</v>
      </c>
      <c r="F191" s="9" t="s">
        <v>245</v>
      </c>
      <c r="G191" s="9" t="s">
        <v>245</v>
      </c>
      <c r="J191" s="9" t="s">
        <v>216</v>
      </c>
    </row>
    <row r="192" spans="2:10" x14ac:dyDescent="0.35">
      <c r="B192" s="9" t="s">
        <v>27</v>
      </c>
      <c r="C192" s="9" t="s">
        <v>27</v>
      </c>
      <c r="D192" s="9" t="s">
        <v>27</v>
      </c>
      <c r="E192" s="9" t="s">
        <v>221</v>
      </c>
      <c r="F192" s="9" t="s">
        <v>245</v>
      </c>
      <c r="G192" s="9" t="s">
        <v>245</v>
      </c>
      <c r="J192" s="9" t="s">
        <v>220</v>
      </c>
    </row>
    <row r="193" spans="2:10" x14ac:dyDescent="0.35">
      <c r="B193" s="9" t="s">
        <v>27</v>
      </c>
      <c r="C193" s="9" t="s">
        <v>27</v>
      </c>
      <c r="D193" s="9" t="s">
        <v>27</v>
      </c>
      <c r="E193" s="9" t="s">
        <v>222</v>
      </c>
      <c r="F193" s="9" t="s">
        <v>245</v>
      </c>
      <c r="G193" s="9" t="s">
        <v>245</v>
      </c>
      <c r="J193" s="9" t="s">
        <v>221</v>
      </c>
    </row>
    <row r="194" spans="2:10" x14ac:dyDescent="0.35">
      <c r="B194" s="9" t="s">
        <v>27</v>
      </c>
      <c r="C194" s="9" t="s">
        <v>27</v>
      </c>
      <c r="D194" s="9" t="s">
        <v>27</v>
      </c>
      <c r="E194" s="9" t="s">
        <v>223</v>
      </c>
      <c r="F194" s="9" t="s">
        <v>245</v>
      </c>
      <c r="G194" s="9" t="s">
        <v>245</v>
      </c>
      <c r="J194" s="9" t="s">
        <v>222</v>
      </c>
    </row>
    <row r="195" spans="2:10" x14ac:dyDescent="0.35">
      <c r="B195" s="9" t="s">
        <v>27</v>
      </c>
      <c r="C195" s="9" t="s">
        <v>27</v>
      </c>
      <c r="D195" s="9" t="s">
        <v>27</v>
      </c>
      <c r="E195" s="9" t="s">
        <v>224</v>
      </c>
      <c r="F195" s="9" t="s">
        <v>245</v>
      </c>
      <c r="G195" s="9" t="s">
        <v>245</v>
      </c>
      <c r="J195" s="9" t="s">
        <v>223</v>
      </c>
    </row>
    <row r="196" spans="2:10" x14ac:dyDescent="0.35">
      <c r="B196" s="9" t="s">
        <v>27</v>
      </c>
      <c r="C196" s="9" t="s">
        <v>27</v>
      </c>
      <c r="D196" s="9" t="s">
        <v>27</v>
      </c>
      <c r="E196" s="9" t="s">
        <v>225</v>
      </c>
      <c r="F196" s="9" t="s">
        <v>245</v>
      </c>
      <c r="G196" s="9" t="s">
        <v>245</v>
      </c>
      <c r="J196" s="9" t="s">
        <v>224</v>
      </c>
    </row>
    <row r="197" spans="2:10" x14ac:dyDescent="0.35">
      <c r="B197" s="9" t="s">
        <v>27</v>
      </c>
      <c r="C197" s="9" t="s">
        <v>27</v>
      </c>
      <c r="D197" s="9" t="s">
        <v>27</v>
      </c>
      <c r="E197" s="9" t="s">
        <v>226</v>
      </c>
      <c r="F197" s="9" t="s">
        <v>245</v>
      </c>
      <c r="G197" s="9" t="s">
        <v>245</v>
      </c>
      <c r="J197" s="9" t="s">
        <v>225</v>
      </c>
    </row>
    <row r="198" spans="2:10" x14ac:dyDescent="0.35">
      <c r="B198" s="9" t="s">
        <v>27</v>
      </c>
      <c r="C198" s="9" t="s">
        <v>27</v>
      </c>
      <c r="D198" s="9" t="s">
        <v>27</v>
      </c>
      <c r="E198" s="9" t="s">
        <v>227</v>
      </c>
      <c r="F198" s="9" t="s">
        <v>245</v>
      </c>
      <c r="G198" s="9" t="s">
        <v>245</v>
      </c>
      <c r="J198" s="9" t="s">
        <v>226</v>
      </c>
    </row>
    <row r="199" spans="2:10" x14ac:dyDescent="0.35">
      <c r="B199" s="9" t="s">
        <v>27</v>
      </c>
      <c r="C199" s="9" t="s">
        <v>27</v>
      </c>
      <c r="D199" s="9" t="s">
        <v>27</v>
      </c>
      <c r="E199" s="9" t="s">
        <v>228</v>
      </c>
      <c r="F199" s="9" t="s">
        <v>245</v>
      </c>
      <c r="G199" s="9" t="s">
        <v>245</v>
      </c>
      <c r="J199" s="9" t="s">
        <v>227</v>
      </c>
    </row>
    <row r="200" spans="2:10" x14ac:dyDescent="0.35">
      <c r="J200" s="9" t="s">
        <v>228</v>
      </c>
    </row>
  </sheetData>
  <sheetProtection algorithmName="SHA-512" hashValue="kk8x+1GsprPMuCaxP4fr7rL7LK32zum0IfwXsV6o08o3jHlr0XE7o8YURogus7hN8mAozsXd9wLtVUlsms8ESA==" saltValue="gl9Y9Z9xDyCHAe+du+7wQA==" spinCount="100000" sheet="1" objects="1" scenarios="1" formatColumns="0" formatRows="0"/>
  <autoFilter ref="B2:G199" xr:uid="{65623198-587D-49D2-BCFE-AA3F7368130D}"/>
  <conditionalFormatting sqref="J1:J1048576">
    <cfRule type="duplicateValues" dxfId="20" priority="4"/>
  </conditionalFormatting>
  <conditionalFormatting sqref="E1:E1048576">
    <cfRule type="duplicateValues" dxfId="19" priority="587"/>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E5DAA-F063-4F7D-8F00-84B1DC91B265}">
  <sheetPr codeName="Sheet13">
    <tabColor theme="2" tint="-0.249977111117893"/>
  </sheetPr>
  <dimension ref="B2:C164"/>
  <sheetViews>
    <sheetView zoomScaleNormal="100" workbookViewId="0"/>
  </sheetViews>
  <sheetFormatPr defaultColWidth="8.90625" defaultRowHeight="14.5" x14ac:dyDescent="0.35"/>
  <cols>
    <col min="1" max="1" width="4.6328125" style="9" customWidth="1"/>
    <col min="2" max="2" width="13.90625" style="9" bestFit="1" customWidth="1"/>
    <col min="3" max="3" width="35.36328125" style="9" bestFit="1" customWidth="1"/>
    <col min="4" max="16384" width="8.90625" style="9"/>
  </cols>
  <sheetData>
    <row r="2" spans="2:3" x14ac:dyDescent="0.35">
      <c r="B2" s="37" t="s">
        <v>738</v>
      </c>
      <c r="C2" s="37" t="s">
        <v>739</v>
      </c>
    </row>
    <row r="3" spans="2:3" x14ac:dyDescent="0.35">
      <c r="B3" s="9" t="s">
        <v>717</v>
      </c>
      <c r="C3" s="9" t="s">
        <v>716</v>
      </c>
    </row>
    <row r="4" spans="2:3" x14ac:dyDescent="0.35">
      <c r="B4" s="9" t="s">
        <v>415</v>
      </c>
      <c r="C4" s="9" t="s">
        <v>414</v>
      </c>
    </row>
    <row r="5" spans="2:3" x14ac:dyDescent="0.35">
      <c r="B5" s="9" t="s">
        <v>419</v>
      </c>
      <c r="C5" s="9" t="s">
        <v>418</v>
      </c>
    </row>
    <row r="6" spans="2:3" x14ac:dyDescent="0.35">
      <c r="B6" s="9" t="s">
        <v>429</v>
      </c>
      <c r="C6" s="9" t="s">
        <v>428</v>
      </c>
    </row>
    <row r="7" spans="2:3" x14ac:dyDescent="0.35">
      <c r="B7" s="9" t="s">
        <v>505</v>
      </c>
      <c r="C7" s="9" t="s">
        <v>504</v>
      </c>
    </row>
    <row r="8" spans="2:3" x14ac:dyDescent="0.35">
      <c r="B8" s="9" t="s">
        <v>425</v>
      </c>
      <c r="C8" s="9" t="s">
        <v>424</v>
      </c>
    </row>
    <row r="9" spans="2:3" x14ac:dyDescent="0.35">
      <c r="B9" s="9" t="s">
        <v>427</v>
      </c>
      <c r="C9" s="9" t="s">
        <v>426</v>
      </c>
    </row>
    <row r="10" spans="2:3" x14ac:dyDescent="0.35">
      <c r="B10" s="9" t="s">
        <v>433</v>
      </c>
      <c r="C10" s="9" t="s">
        <v>432</v>
      </c>
    </row>
    <row r="11" spans="2:3" x14ac:dyDescent="0.35">
      <c r="B11" s="9" t="s">
        <v>431</v>
      </c>
      <c r="C11" s="9" t="s">
        <v>430</v>
      </c>
    </row>
    <row r="12" spans="2:3" x14ac:dyDescent="0.35">
      <c r="B12" s="9" t="s">
        <v>435</v>
      </c>
      <c r="C12" s="9" t="s">
        <v>434</v>
      </c>
    </row>
    <row r="13" spans="2:3" x14ac:dyDescent="0.35">
      <c r="B13" s="9" t="s">
        <v>459</v>
      </c>
      <c r="C13" s="9" t="s">
        <v>458</v>
      </c>
    </row>
    <row r="14" spans="2:3" x14ac:dyDescent="0.35">
      <c r="B14" s="9" t="s">
        <v>443</v>
      </c>
      <c r="C14" s="9" t="s">
        <v>442</v>
      </c>
    </row>
    <row r="15" spans="2:3" x14ac:dyDescent="0.35">
      <c r="B15" s="9" t="s">
        <v>441</v>
      </c>
      <c r="C15" s="9" t="s">
        <v>440</v>
      </c>
    </row>
    <row r="16" spans="2:3" x14ac:dyDescent="0.35">
      <c r="B16" s="9" t="s">
        <v>469</v>
      </c>
      <c r="C16" s="9" t="s">
        <v>468</v>
      </c>
    </row>
    <row r="17" spans="2:3" x14ac:dyDescent="0.35">
      <c r="B17" s="9" t="s">
        <v>439</v>
      </c>
      <c r="C17" s="9" t="s">
        <v>438</v>
      </c>
    </row>
    <row r="18" spans="2:3" x14ac:dyDescent="0.35">
      <c r="B18" s="9" t="s">
        <v>471</v>
      </c>
      <c r="C18" s="9" t="s">
        <v>470</v>
      </c>
    </row>
    <row r="19" spans="2:3" x14ac:dyDescent="0.35">
      <c r="B19" s="9" t="s">
        <v>449</v>
      </c>
      <c r="C19" s="9" t="s">
        <v>448</v>
      </c>
    </row>
    <row r="20" spans="2:3" x14ac:dyDescent="0.35">
      <c r="B20" s="9" t="s">
        <v>467</v>
      </c>
      <c r="C20" s="9" t="s">
        <v>466</v>
      </c>
    </row>
    <row r="21" spans="2:3" x14ac:dyDescent="0.35">
      <c r="B21" s="9" t="s">
        <v>455</v>
      </c>
      <c r="C21" s="9" t="s">
        <v>454</v>
      </c>
    </row>
    <row r="22" spans="2:3" x14ac:dyDescent="0.35">
      <c r="B22" s="9" t="s">
        <v>457</v>
      </c>
      <c r="C22" s="9" t="s">
        <v>456</v>
      </c>
    </row>
    <row r="23" spans="2:3" x14ac:dyDescent="0.35">
      <c r="B23" s="9" t="s">
        <v>465</v>
      </c>
      <c r="C23" s="9" t="s">
        <v>464</v>
      </c>
    </row>
    <row r="24" spans="2:3" x14ac:dyDescent="0.35">
      <c r="B24" s="9" t="s">
        <v>437</v>
      </c>
      <c r="C24" s="9" t="s">
        <v>436</v>
      </c>
    </row>
    <row r="25" spans="2:3" x14ac:dyDescent="0.35">
      <c r="B25" s="9" t="s">
        <v>453</v>
      </c>
      <c r="C25" s="9" t="s">
        <v>452</v>
      </c>
    </row>
    <row r="26" spans="2:3" x14ac:dyDescent="0.35">
      <c r="B26" s="9" t="s">
        <v>461</v>
      </c>
      <c r="C26" s="9" t="s">
        <v>460</v>
      </c>
    </row>
    <row r="27" spans="2:3" x14ac:dyDescent="0.35">
      <c r="B27" s="9" t="s">
        <v>445</v>
      </c>
      <c r="C27" s="9" t="s">
        <v>444</v>
      </c>
    </row>
    <row r="28" spans="2:3" x14ac:dyDescent="0.35">
      <c r="B28" s="9" t="s">
        <v>447</v>
      </c>
      <c r="C28" s="9" t="s">
        <v>446</v>
      </c>
    </row>
    <row r="29" spans="2:3" x14ac:dyDescent="0.35">
      <c r="B29" s="9" t="s">
        <v>477</v>
      </c>
      <c r="C29" s="9" t="s">
        <v>476</v>
      </c>
    </row>
    <row r="30" spans="2:3" x14ac:dyDescent="0.35">
      <c r="B30" s="9" t="s">
        <v>493</v>
      </c>
      <c r="C30" s="9" t="s">
        <v>492</v>
      </c>
    </row>
    <row r="31" spans="2:3" x14ac:dyDescent="0.35">
      <c r="B31" s="9" t="s">
        <v>689</v>
      </c>
      <c r="C31" s="9" t="s">
        <v>688</v>
      </c>
    </row>
    <row r="32" spans="2:3" x14ac:dyDescent="0.35">
      <c r="B32" s="9" t="s">
        <v>593</v>
      </c>
      <c r="C32" s="9" t="s">
        <v>592</v>
      </c>
    </row>
    <row r="33" spans="2:3" x14ac:dyDescent="0.35">
      <c r="B33" s="9" t="s">
        <v>691</v>
      </c>
      <c r="C33" s="9" t="s">
        <v>690</v>
      </c>
    </row>
    <row r="34" spans="2:3" x14ac:dyDescent="0.35">
      <c r="B34" s="9" t="s">
        <v>483</v>
      </c>
      <c r="C34" s="9" t="s">
        <v>482</v>
      </c>
    </row>
    <row r="35" spans="2:3" x14ac:dyDescent="0.35">
      <c r="B35" s="9" t="s">
        <v>481</v>
      </c>
      <c r="C35" s="9" t="s">
        <v>480</v>
      </c>
    </row>
    <row r="36" spans="2:3" x14ac:dyDescent="0.35">
      <c r="B36" s="9" t="s">
        <v>485</v>
      </c>
      <c r="C36" s="9" t="s">
        <v>484</v>
      </c>
    </row>
    <row r="37" spans="2:3" x14ac:dyDescent="0.35">
      <c r="B37" s="9" t="s">
        <v>487</v>
      </c>
      <c r="C37" s="9" t="s">
        <v>486</v>
      </c>
    </row>
    <row r="38" spans="2:3" x14ac:dyDescent="0.35">
      <c r="B38" s="9" t="s">
        <v>489</v>
      </c>
      <c r="C38" s="9" t="s">
        <v>488</v>
      </c>
    </row>
    <row r="39" spans="2:3" x14ac:dyDescent="0.35">
      <c r="B39" s="9" t="s">
        <v>497</v>
      </c>
      <c r="C39" s="9" t="s">
        <v>496</v>
      </c>
    </row>
    <row r="40" spans="2:3" x14ac:dyDescent="0.35">
      <c r="B40" s="9" t="s">
        <v>503</v>
      </c>
      <c r="C40" s="9" t="s">
        <v>502</v>
      </c>
    </row>
    <row r="41" spans="2:3" x14ac:dyDescent="0.35">
      <c r="B41" s="9" t="s">
        <v>501</v>
      </c>
      <c r="C41" s="9" t="s">
        <v>500</v>
      </c>
    </row>
    <row r="42" spans="2:3" x14ac:dyDescent="0.35">
      <c r="B42" s="9" t="s">
        <v>473</v>
      </c>
      <c r="C42" s="9" t="s">
        <v>472</v>
      </c>
    </row>
    <row r="43" spans="2:3" x14ac:dyDescent="0.35">
      <c r="B43" s="9" t="s">
        <v>507</v>
      </c>
      <c r="C43" s="9" t="s">
        <v>506</v>
      </c>
    </row>
    <row r="44" spans="2:3" x14ac:dyDescent="0.35">
      <c r="B44" s="9" t="s">
        <v>511</v>
      </c>
      <c r="C44" s="9" t="s">
        <v>510</v>
      </c>
    </row>
    <row r="45" spans="2:3" x14ac:dyDescent="0.35">
      <c r="B45" s="9" t="s">
        <v>509</v>
      </c>
      <c r="C45" s="9" t="s">
        <v>508</v>
      </c>
    </row>
    <row r="46" spans="2:3" x14ac:dyDescent="0.35">
      <c r="B46" s="9" t="s">
        <v>513</v>
      </c>
      <c r="C46" s="9" t="s">
        <v>512</v>
      </c>
    </row>
    <row r="47" spans="2:3" x14ac:dyDescent="0.35">
      <c r="B47" s="9" t="s">
        <v>421</v>
      </c>
      <c r="C47" s="9" t="s">
        <v>420</v>
      </c>
    </row>
    <row r="48" spans="2:3" x14ac:dyDescent="0.35">
      <c r="B48" s="9" t="s">
        <v>515</v>
      </c>
      <c r="C48" s="9" t="s">
        <v>514</v>
      </c>
    </row>
    <row r="49" spans="2:3" x14ac:dyDescent="0.35">
      <c r="B49" s="9" t="s">
        <v>519</v>
      </c>
      <c r="C49" s="9" t="s">
        <v>518</v>
      </c>
    </row>
    <row r="50" spans="2:3" x14ac:dyDescent="0.35">
      <c r="B50" s="9" t="s">
        <v>523</v>
      </c>
      <c r="C50" s="9" t="s">
        <v>522</v>
      </c>
    </row>
    <row r="51" spans="2:3" x14ac:dyDescent="0.35">
      <c r="B51" s="9" t="s">
        <v>417</v>
      </c>
      <c r="C51" s="9" t="s">
        <v>416</v>
      </c>
    </row>
    <row r="52" spans="2:3" x14ac:dyDescent="0.35">
      <c r="B52" s="9" t="s">
        <v>527</v>
      </c>
      <c r="C52" s="9" t="s">
        <v>526</v>
      </c>
    </row>
    <row r="53" spans="2:3" x14ac:dyDescent="0.35">
      <c r="B53" s="9" t="s">
        <v>525</v>
      </c>
      <c r="C53" s="9" t="s">
        <v>524</v>
      </c>
    </row>
    <row r="54" spans="2:3" x14ac:dyDescent="0.35">
      <c r="B54" s="9" t="s">
        <v>539</v>
      </c>
      <c r="C54" s="9" t="s">
        <v>538</v>
      </c>
    </row>
    <row r="55" spans="2:3" x14ac:dyDescent="0.35">
      <c r="B55" s="9" t="s">
        <v>531</v>
      </c>
      <c r="C55" s="9" t="s">
        <v>530</v>
      </c>
    </row>
    <row r="56" spans="2:3" x14ac:dyDescent="0.35">
      <c r="B56" s="9" t="s">
        <v>533</v>
      </c>
      <c r="C56" s="9" t="s">
        <v>532</v>
      </c>
    </row>
    <row r="57" spans="2:3" x14ac:dyDescent="0.35">
      <c r="B57" s="9" t="s">
        <v>535</v>
      </c>
      <c r="C57" s="9" t="s">
        <v>534</v>
      </c>
    </row>
    <row r="58" spans="2:3" x14ac:dyDescent="0.35">
      <c r="B58" s="9" t="s">
        <v>529</v>
      </c>
      <c r="C58" s="9" t="s">
        <v>528</v>
      </c>
    </row>
    <row r="59" spans="2:3" x14ac:dyDescent="0.35">
      <c r="B59" s="9" t="s">
        <v>541</v>
      </c>
      <c r="C59" s="9" t="s">
        <v>540</v>
      </c>
    </row>
    <row r="60" spans="2:3" x14ac:dyDescent="0.35">
      <c r="B60" s="9" t="s">
        <v>537</v>
      </c>
      <c r="C60" s="9" t="s">
        <v>536</v>
      </c>
    </row>
    <row r="61" spans="2:3" x14ac:dyDescent="0.35">
      <c r="B61" s="9" t="s">
        <v>543</v>
      </c>
      <c r="C61" s="9" t="s">
        <v>542</v>
      </c>
    </row>
    <row r="62" spans="2:3" x14ac:dyDescent="0.35">
      <c r="B62" s="9" t="s">
        <v>549</v>
      </c>
      <c r="C62" s="9" t="s">
        <v>548</v>
      </c>
    </row>
    <row r="63" spans="2:3" x14ac:dyDescent="0.35">
      <c r="B63" s="9" t="s">
        <v>547</v>
      </c>
      <c r="C63" s="9" t="s">
        <v>546</v>
      </c>
    </row>
    <row r="64" spans="2:3" x14ac:dyDescent="0.35">
      <c r="B64" s="9" t="s">
        <v>499</v>
      </c>
      <c r="C64" s="9" t="s">
        <v>498</v>
      </c>
    </row>
    <row r="65" spans="2:3" x14ac:dyDescent="0.35">
      <c r="B65" s="9" t="s">
        <v>545</v>
      </c>
      <c r="C65" s="9" t="s">
        <v>544</v>
      </c>
    </row>
    <row r="66" spans="2:3" x14ac:dyDescent="0.35">
      <c r="B66" s="9" t="s">
        <v>551</v>
      </c>
      <c r="C66" s="9" t="s">
        <v>550</v>
      </c>
    </row>
    <row r="67" spans="2:3" x14ac:dyDescent="0.35">
      <c r="B67" s="9" t="s">
        <v>555</v>
      </c>
      <c r="C67" s="9" t="s">
        <v>554</v>
      </c>
    </row>
    <row r="68" spans="2:3" x14ac:dyDescent="0.35">
      <c r="B68" s="9" t="s">
        <v>561</v>
      </c>
      <c r="C68" s="9" t="s">
        <v>560</v>
      </c>
    </row>
    <row r="69" spans="2:3" x14ac:dyDescent="0.35">
      <c r="B69" s="9" t="s">
        <v>451</v>
      </c>
      <c r="C69" s="9" t="s">
        <v>450</v>
      </c>
    </row>
    <row r="70" spans="2:3" x14ac:dyDescent="0.35">
      <c r="B70" s="9" t="s">
        <v>559</v>
      </c>
      <c r="C70" s="9" t="s">
        <v>558</v>
      </c>
    </row>
    <row r="71" spans="2:3" x14ac:dyDescent="0.35">
      <c r="B71" s="9" t="s">
        <v>557</v>
      </c>
      <c r="C71" s="9" t="s">
        <v>556</v>
      </c>
    </row>
    <row r="72" spans="2:3" x14ac:dyDescent="0.35">
      <c r="B72" s="9" t="s">
        <v>553</v>
      </c>
      <c r="C72" s="9" t="s">
        <v>552</v>
      </c>
    </row>
    <row r="73" spans="2:3" x14ac:dyDescent="0.35">
      <c r="B73" s="9" t="s">
        <v>563</v>
      </c>
      <c r="C73" s="9" t="s">
        <v>562</v>
      </c>
    </row>
    <row r="74" spans="2:3" x14ac:dyDescent="0.35">
      <c r="B74" s="9" t="s">
        <v>567</v>
      </c>
      <c r="C74" s="9" t="s">
        <v>566</v>
      </c>
    </row>
    <row r="75" spans="2:3" x14ac:dyDescent="0.35">
      <c r="B75" s="9" t="s">
        <v>565</v>
      </c>
      <c r="C75" s="9" t="s">
        <v>564</v>
      </c>
    </row>
    <row r="76" spans="2:3" x14ac:dyDescent="0.35">
      <c r="B76" s="9" t="s">
        <v>571</v>
      </c>
      <c r="C76" s="9" t="s">
        <v>570</v>
      </c>
    </row>
    <row r="77" spans="2:3" x14ac:dyDescent="0.35">
      <c r="B77" s="9" t="s">
        <v>579</v>
      </c>
      <c r="C77" s="9" t="s">
        <v>578</v>
      </c>
    </row>
    <row r="78" spans="2:3" x14ac:dyDescent="0.35">
      <c r="B78" s="9" t="s">
        <v>475</v>
      </c>
      <c r="C78" s="9" t="s">
        <v>474</v>
      </c>
    </row>
    <row r="79" spans="2:3" x14ac:dyDescent="0.35">
      <c r="B79" s="9" t="s">
        <v>491</v>
      </c>
      <c r="C79" s="9" t="s">
        <v>490</v>
      </c>
    </row>
    <row r="80" spans="2:3" x14ac:dyDescent="0.35">
      <c r="B80" s="9" t="s">
        <v>573</v>
      </c>
      <c r="C80" s="9" t="s">
        <v>572</v>
      </c>
    </row>
    <row r="81" spans="2:3" x14ac:dyDescent="0.35">
      <c r="B81" s="9" t="s">
        <v>575</v>
      </c>
      <c r="C81" s="9" t="s">
        <v>574</v>
      </c>
    </row>
    <row r="82" spans="2:3" x14ac:dyDescent="0.35">
      <c r="B82" s="9" t="s">
        <v>577</v>
      </c>
      <c r="C82" s="9" t="s">
        <v>576</v>
      </c>
    </row>
    <row r="83" spans="2:3" x14ac:dyDescent="0.35">
      <c r="B83" s="9" t="s">
        <v>479</v>
      </c>
      <c r="C83" s="9" t="s">
        <v>478</v>
      </c>
    </row>
    <row r="84" spans="2:3" x14ac:dyDescent="0.35">
      <c r="B84" s="9" t="s">
        <v>569</v>
      </c>
      <c r="C84" s="9" t="s">
        <v>568</v>
      </c>
    </row>
    <row r="85" spans="2:3" x14ac:dyDescent="0.35">
      <c r="B85" s="9" t="s">
        <v>581</v>
      </c>
      <c r="C85" s="9" t="s">
        <v>580</v>
      </c>
    </row>
    <row r="86" spans="2:3" x14ac:dyDescent="0.35">
      <c r="B86" s="9" t="s">
        <v>583</v>
      </c>
      <c r="C86" s="9" t="s">
        <v>582</v>
      </c>
    </row>
    <row r="87" spans="2:3" x14ac:dyDescent="0.35">
      <c r="B87" s="9" t="s">
        <v>681</v>
      </c>
      <c r="C87" s="9" t="s">
        <v>680</v>
      </c>
    </row>
    <row r="88" spans="2:3" x14ac:dyDescent="0.35">
      <c r="B88" s="9" t="s">
        <v>589</v>
      </c>
      <c r="C88" s="9" t="s">
        <v>588</v>
      </c>
    </row>
    <row r="89" spans="2:3" x14ac:dyDescent="0.35">
      <c r="B89" s="9" t="s">
        <v>585</v>
      </c>
      <c r="C89" s="9" t="s">
        <v>584</v>
      </c>
    </row>
    <row r="90" spans="2:3" x14ac:dyDescent="0.35">
      <c r="B90" s="9" t="s">
        <v>591</v>
      </c>
      <c r="C90" s="9" t="s">
        <v>590</v>
      </c>
    </row>
    <row r="91" spans="2:3" x14ac:dyDescent="0.35">
      <c r="B91" s="9" t="s">
        <v>619</v>
      </c>
      <c r="C91" s="9" t="s">
        <v>618</v>
      </c>
    </row>
    <row r="92" spans="2:3" x14ac:dyDescent="0.35">
      <c r="B92" s="9" t="s">
        <v>615</v>
      </c>
      <c r="C92" s="9" t="s">
        <v>614</v>
      </c>
    </row>
    <row r="93" spans="2:3" x14ac:dyDescent="0.35">
      <c r="B93" s="9" t="s">
        <v>599</v>
      </c>
      <c r="C93" s="9" t="s">
        <v>598</v>
      </c>
    </row>
    <row r="94" spans="2:3" x14ac:dyDescent="0.35">
      <c r="B94" s="9" t="s">
        <v>597</v>
      </c>
      <c r="C94" s="9" t="s">
        <v>596</v>
      </c>
    </row>
    <row r="95" spans="2:3" x14ac:dyDescent="0.35">
      <c r="B95" s="9" t="s">
        <v>623</v>
      </c>
      <c r="C95" s="9" t="s">
        <v>622</v>
      </c>
    </row>
    <row r="96" spans="2:3" x14ac:dyDescent="0.35">
      <c r="B96" s="9" t="s">
        <v>617</v>
      </c>
      <c r="C96" s="9" t="s">
        <v>616</v>
      </c>
    </row>
    <row r="97" spans="2:3" x14ac:dyDescent="0.35">
      <c r="B97" s="9" t="s">
        <v>595</v>
      </c>
      <c r="C97" s="9" t="s">
        <v>594</v>
      </c>
    </row>
    <row r="98" spans="2:3" x14ac:dyDescent="0.35">
      <c r="B98" s="9" t="s">
        <v>607</v>
      </c>
      <c r="C98" s="9" t="s">
        <v>606</v>
      </c>
    </row>
    <row r="99" spans="2:3" x14ac:dyDescent="0.35">
      <c r="B99" s="9" t="s">
        <v>609</v>
      </c>
      <c r="C99" s="9" t="s">
        <v>608</v>
      </c>
    </row>
    <row r="100" spans="2:3" x14ac:dyDescent="0.35">
      <c r="B100" s="9" t="s">
        <v>605</v>
      </c>
      <c r="C100" s="9" t="s">
        <v>604</v>
      </c>
    </row>
    <row r="101" spans="2:3" x14ac:dyDescent="0.35">
      <c r="B101" s="9" t="s">
        <v>601</v>
      </c>
      <c r="C101" s="9" t="s">
        <v>600</v>
      </c>
    </row>
    <row r="102" spans="2:3" x14ac:dyDescent="0.35">
      <c r="B102" s="9" t="s">
        <v>611</v>
      </c>
      <c r="C102" s="9" t="s">
        <v>610</v>
      </c>
    </row>
    <row r="103" spans="2:3" x14ac:dyDescent="0.35">
      <c r="B103" s="9" t="s">
        <v>613</v>
      </c>
      <c r="C103" s="9" t="s">
        <v>612</v>
      </c>
    </row>
    <row r="104" spans="2:3" x14ac:dyDescent="0.35">
      <c r="B104" s="9" t="s">
        <v>603</v>
      </c>
      <c r="C104" s="9" t="s">
        <v>602</v>
      </c>
    </row>
    <row r="105" spans="2:3" x14ac:dyDescent="0.35">
      <c r="B105" s="9" t="s">
        <v>621</v>
      </c>
      <c r="C105" s="9" t="s">
        <v>620</v>
      </c>
    </row>
    <row r="106" spans="2:3" x14ac:dyDescent="0.35">
      <c r="B106" s="9" t="s">
        <v>625</v>
      </c>
      <c r="C106" s="9" t="s">
        <v>624</v>
      </c>
    </row>
    <row r="107" spans="2:3" x14ac:dyDescent="0.35">
      <c r="B107" s="9" t="s">
        <v>631</v>
      </c>
      <c r="C107" s="9" t="s">
        <v>630</v>
      </c>
    </row>
    <row r="108" spans="2:3" x14ac:dyDescent="0.35">
      <c r="B108" s="9" t="s">
        <v>629</v>
      </c>
      <c r="C108" s="9" t="s">
        <v>628</v>
      </c>
    </row>
    <row r="109" spans="2:3" x14ac:dyDescent="0.35">
      <c r="B109" s="9" t="s">
        <v>463</v>
      </c>
      <c r="C109" s="9" t="s">
        <v>462</v>
      </c>
    </row>
    <row r="110" spans="2:3" x14ac:dyDescent="0.35">
      <c r="B110" s="9" t="s">
        <v>627</v>
      </c>
      <c r="C110" s="9" t="s">
        <v>626</v>
      </c>
    </row>
    <row r="111" spans="2:3" x14ac:dyDescent="0.35">
      <c r="B111" s="9" t="s">
        <v>495</v>
      </c>
      <c r="C111" s="9" t="s">
        <v>494</v>
      </c>
    </row>
    <row r="112" spans="2:3" x14ac:dyDescent="0.35">
      <c r="B112" s="9" t="s">
        <v>633</v>
      </c>
      <c r="C112" s="9" t="s">
        <v>632</v>
      </c>
    </row>
    <row r="113" spans="2:3" x14ac:dyDescent="0.35">
      <c r="B113" s="9" t="s">
        <v>637</v>
      </c>
      <c r="C113" s="9" t="s">
        <v>636</v>
      </c>
    </row>
    <row r="114" spans="2:3" x14ac:dyDescent="0.35">
      <c r="B114" s="9" t="s">
        <v>643</v>
      </c>
      <c r="C114" s="9" t="s">
        <v>642</v>
      </c>
    </row>
    <row r="115" spans="2:3" x14ac:dyDescent="0.35">
      <c r="B115" s="9" t="s">
        <v>639</v>
      </c>
      <c r="C115" s="9" t="s">
        <v>638</v>
      </c>
    </row>
    <row r="116" spans="2:3" x14ac:dyDescent="0.35">
      <c r="B116" s="9" t="s">
        <v>645</v>
      </c>
      <c r="C116" s="9" t="s">
        <v>644</v>
      </c>
    </row>
    <row r="117" spans="2:3" x14ac:dyDescent="0.35">
      <c r="B117" s="9" t="s">
        <v>635</v>
      </c>
      <c r="C117" s="9" t="s">
        <v>634</v>
      </c>
    </row>
    <row r="118" spans="2:3" x14ac:dyDescent="0.35">
      <c r="B118" s="9" t="s">
        <v>647</v>
      </c>
      <c r="C118" s="9" t="s">
        <v>646</v>
      </c>
    </row>
    <row r="119" spans="2:3" x14ac:dyDescent="0.35">
      <c r="B119" s="9" t="s">
        <v>641</v>
      </c>
      <c r="C119" s="9" t="s">
        <v>640</v>
      </c>
    </row>
    <row r="120" spans="2:3" x14ac:dyDescent="0.35">
      <c r="B120" s="9" t="s">
        <v>649</v>
      </c>
      <c r="C120" s="9" t="s">
        <v>648</v>
      </c>
    </row>
    <row r="121" spans="2:3" x14ac:dyDescent="0.35">
      <c r="B121" s="9" t="s">
        <v>651</v>
      </c>
      <c r="C121" s="9" t="s">
        <v>650</v>
      </c>
    </row>
    <row r="122" spans="2:3" x14ac:dyDescent="0.35">
      <c r="B122" s="9" t="s">
        <v>665</v>
      </c>
      <c r="C122" s="9" t="s">
        <v>664</v>
      </c>
    </row>
    <row r="123" spans="2:3" x14ac:dyDescent="0.35">
      <c r="B123" s="9" t="s">
        <v>653</v>
      </c>
      <c r="C123" s="9" t="s">
        <v>652</v>
      </c>
    </row>
    <row r="124" spans="2:3" x14ac:dyDescent="0.35">
      <c r="B124" s="9" t="s">
        <v>655</v>
      </c>
      <c r="C124" s="9" t="s">
        <v>654</v>
      </c>
    </row>
    <row r="125" spans="2:3" x14ac:dyDescent="0.35">
      <c r="B125" s="9" t="s">
        <v>663</v>
      </c>
      <c r="C125" s="9" t="s">
        <v>662</v>
      </c>
    </row>
    <row r="126" spans="2:3" x14ac:dyDescent="0.35">
      <c r="B126" s="9" t="s">
        <v>675</v>
      </c>
      <c r="C126" s="9" t="s">
        <v>674</v>
      </c>
    </row>
    <row r="127" spans="2:3" x14ac:dyDescent="0.35">
      <c r="B127" s="9" t="s">
        <v>667</v>
      </c>
      <c r="C127" s="9" t="s">
        <v>666</v>
      </c>
    </row>
    <row r="128" spans="2:3" x14ac:dyDescent="0.35">
      <c r="B128" s="9" t="s">
        <v>683</v>
      </c>
      <c r="C128" s="9" t="s">
        <v>682</v>
      </c>
    </row>
    <row r="129" spans="2:3" x14ac:dyDescent="0.35">
      <c r="B129" s="9" t="s">
        <v>687</v>
      </c>
      <c r="C129" s="9" t="s">
        <v>686</v>
      </c>
    </row>
    <row r="130" spans="2:3" x14ac:dyDescent="0.35">
      <c r="B130" s="9" t="s">
        <v>671</v>
      </c>
      <c r="C130" s="9" t="s">
        <v>670</v>
      </c>
    </row>
    <row r="131" spans="2:3" x14ac:dyDescent="0.35">
      <c r="B131" s="9" t="s">
        <v>657</v>
      </c>
      <c r="C131" s="9" t="s">
        <v>656</v>
      </c>
    </row>
    <row r="132" spans="2:3" x14ac:dyDescent="0.35">
      <c r="B132" s="9" t="s">
        <v>669</v>
      </c>
      <c r="C132" s="9" t="s">
        <v>668</v>
      </c>
    </row>
    <row r="133" spans="2:3" x14ac:dyDescent="0.35">
      <c r="B133" s="9" t="s">
        <v>677</v>
      </c>
      <c r="C133" s="9" t="s">
        <v>676</v>
      </c>
    </row>
    <row r="134" spans="2:3" x14ac:dyDescent="0.35">
      <c r="B134" s="9" t="s">
        <v>685</v>
      </c>
      <c r="C134" s="9" t="s">
        <v>684</v>
      </c>
    </row>
    <row r="135" spans="2:3" x14ac:dyDescent="0.35">
      <c r="B135" s="9" t="s">
        <v>679</v>
      </c>
      <c r="C135" s="9" t="s">
        <v>678</v>
      </c>
    </row>
    <row r="136" spans="2:3" x14ac:dyDescent="0.35">
      <c r="B136" s="9" t="s">
        <v>661</v>
      </c>
      <c r="C136" s="9" t="s">
        <v>660</v>
      </c>
    </row>
    <row r="137" spans="2:3" x14ac:dyDescent="0.35">
      <c r="B137" s="9" t="s">
        <v>517</v>
      </c>
      <c r="C137" s="9" t="s">
        <v>516</v>
      </c>
    </row>
    <row r="138" spans="2:3" x14ac:dyDescent="0.35">
      <c r="B138" s="9" t="s">
        <v>693</v>
      </c>
      <c r="C138" s="9" t="s">
        <v>692</v>
      </c>
    </row>
    <row r="139" spans="2:3" x14ac:dyDescent="0.35">
      <c r="B139" s="9" t="s">
        <v>521</v>
      </c>
      <c r="C139" s="9" t="s">
        <v>520</v>
      </c>
    </row>
    <row r="140" spans="2:3" x14ac:dyDescent="0.35">
      <c r="B140" s="9" t="s">
        <v>701</v>
      </c>
      <c r="C140" s="9" t="s">
        <v>700</v>
      </c>
    </row>
    <row r="141" spans="2:3" x14ac:dyDescent="0.35">
      <c r="B141" s="9" t="s">
        <v>697</v>
      </c>
      <c r="C141" s="9" t="s">
        <v>696</v>
      </c>
    </row>
    <row r="142" spans="2:3" x14ac:dyDescent="0.35">
      <c r="B142" s="9" t="s">
        <v>711</v>
      </c>
      <c r="C142" s="9" t="s">
        <v>710</v>
      </c>
    </row>
    <row r="143" spans="2:3" x14ac:dyDescent="0.35">
      <c r="B143" s="9" t="s">
        <v>707</v>
      </c>
      <c r="C143" s="9" t="s">
        <v>706</v>
      </c>
    </row>
    <row r="144" spans="2:3" x14ac:dyDescent="0.35">
      <c r="B144" s="9" t="s">
        <v>703</v>
      </c>
      <c r="C144" s="9" t="s">
        <v>702</v>
      </c>
    </row>
    <row r="145" spans="2:3" x14ac:dyDescent="0.35">
      <c r="B145" s="9" t="s">
        <v>709</v>
      </c>
      <c r="C145" s="9" t="s">
        <v>708</v>
      </c>
    </row>
    <row r="146" spans="2:3" x14ac:dyDescent="0.35">
      <c r="B146" s="9" t="s">
        <v>705</v>
      </c>
      <c r="C146" s="9" t="s">
        <v>704</v>
      </c>
    </row>
    <row r="147" spans="2:3" x14ac:dyDescent="0.35">
      <c r="B147" s="9" t="s">
        <v>695</v>
      </c>
      <c r="C147" s="9" t="s">
        <v>694</v>
      </c>
    </row>
    <row r="148" spans="2:3" x14ac:dyDescent="0.35">
      <c r="B148" s="9" t="s">
        <v>699</v>
      </c>
      <c r="C148" s="9" t="s">
        <v>698</v>
      </c>
    </row>
    <row r="149" spans="2:3" x14ac:dyDescent="0.35">
      <c r="B149" s="9" t="s">
        <v>715</v>
      </c>
      <c r="C149" s="9" t="s">
        <v>714</v>
      </c>
    </row>
    <row r="150" spans="2:3" x14ac:dyDescent="0.35">
      <c r="B150" s="9" t="s">
        <v>713</v>
      </c>
      <c r="C150" s="9" t="s">
        <v>712</v>
      </c>
    </row>
    <row r="151" spans="2:3" x14ac:dyDescent="0.35">
      <c r="B151" s="9" t="s">
        <v>423</v>
      </c>
      <c r="C151" s="9" t="s">
        <v>422</v>
      </c>
    </row>
    <row r="152" spans="2:3" x14ac:dyDescent="0.35">
      <c r="B152" s="9" t="s">
        <v>721</v>
      </c>
      <c r="C152" s="9" t="s">
        <v>720</v>
      </c>
    </row>
    <row r="153" spans="2:3" x14ac:dyDescent="0.35">
      <c r="B153" s="9" t="s">
        <v>719</v>
      </c>
      <c r="C153" s="9" t="s">
        <v>718</v>
      </c>
    </row>
    <row r="154" spans="2:3" x14ac:dyDescent="0.35">
      <c r="B154" s="9" t="s">
        <v>723</v>
      </c>
      <c r="C154" s="9" t="s">
        <v>722</v>
      </c>
    </row>
    <row r="155" spans="2:3" x14ac:dyDescent="0.35">
      <c r="B155" s="9" t="s">
        <v>725</v>
      </c>
      <c r="C155" s="9" t="s">
        <v>724</v>
      </c>
    </row>
    <row r="156" spans="2:3" x14ac:dyDescent="0.35">
      <c r="B156" s="9" t="s">
        <v>729</v>
      </c>
      <c r="C156" s="9" t="s">
        <v>728</v>
      </c>
    </row>
    <row r="157" spans="2:3" x14ac:dyDescent="0.35">
      <c r="B157" s="9" t="s">
        <v>731</v>
      </c>
      <c r="C157" s="9" t="s">
        <v>730</v>
      </c>
    </row>
    <row r="158" spans="2:3" x14ac:dyDescent="0.35">
      <c r="B158" s="9" t="s">
        <v>727</v>
      </c>
      <c r="C158" s="9" t="s">
        <v>726</v>
      </c>
    </row>
    <row r="159" spans="2:3" x14ac:dyDescent="0.35">
      <c r="B159" s="9" t="s">
        <v>659</v>
      </c>
      <c r="C159" s="9" t="s">
        <v>658</v>
      </c>
    </row>
    <row r="160" spans="2:3" x14ac:dyDescent="0.35">
      <c r="B160" s="9" t="s">
        <v>673</v>
      </c>
      <c r="C160" s="9" t="s">
        <v>672</v>
      </c>
    </row>
    <row r="161" spans="2:3" x14ac:dyDescent="0.35">
      <c r="B161" s="9" t="s">
        <v>733</v>
      </c>
      <c r="C161" s="9" t="s">
        <v>732</v>
      </c>
    </row>
    <row r="162" spans="2:3" x14ac:dyDescent="0.35">
      <c r="B162" s="9" t="s">
        <v>587</v>
      </c>
      <c r="C162" s="9" t="s">
        <v>586</v>
      </c>
    </row>
    <row r="163" spans="2:3" x14ac:dyDescent="0.35">
      <c r="B163" s="9" t="s">
        <v>735</v>
      </c>
      <c r="C163" s="9" t="s">
        <v>734</v>
      </c>
    </row>
    <row r="164" spans="2:3" x14ac:dyDescent="0.35">
      <c r="B164" s="9" t="s">
        <v>737</v>
      </c>
      <c r="C164" s="9" t="s">
        <v>736</v>
      </c>
    </row>
  </sheetData>
  <sheetProtection algorithmName="SHA-512" hashValue="nKFVfWxTXmxWPAWcn0VVLDvi/EmCFju9eVe49nhP+sLPYbfQD8VrqTLNZGDeBebXXm1ZNqQB8V0ewF+8jMyC/w==" saltValue="Ng8LYeT0BtqtVQNkNpHC9g==" spinCount="100000" sheet="1" objects="1" scenarios="1" formatColumns="0" formatRows="0"/>
  <sortState xmlns:xlrd2="http://schemas.microsoft.com/office/spreadsheetml/2017/richdata2" ref="B3:C164">
    <sortCondition ref="B3:B164"/>
  </sortState>
  <conditionalFormatting sqref="C1:C1048576">
    <cfRule type="duplicateValues" dxfId="18" priority="3"/>
  </conditionalFormatting>
  <conditionalFormatting sqref="B1:B1048576">
    <cfRule type="duplicateValues" dxfId="17" priority="2"/>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37460-8DE4-4B42-87E8-0098D776B6CE}">
  <sheetPr codeName="Sheet20">
    <tabColor theme="2" tint="-0.249977111117893"/>
  </sheetPr>
  <dimension ref="A1:AQ20001"/>
  <sheetViews>
    <sheetView zoomScaleNormal="100" workbookViewId="0"/>
  </sheetViews>
  <sheetFormatPr defaultRowHeight="14.5" x14ac:dyDescent="0.35"/>
  <cols>
    <col min="1" max="1" width="40.08984375" bestFit="1" customWidth="1"/>
    <col min="2" max="2" width="26.453125" customWidth="1"/>
    <col min="3" max="3" width="34.36328125" bestFit="1" customWidth="1"/>
    <col min="4" max="4" width="18.36328125" customWidth="1"/>
    <col min="5" max="5" width="11.36328125" bestFit="1" customWidth="1"/>
    <col min="6" max="6" width="18.453125" customWidth="1"/>
    <col min="7" max="7" width="23.36328125" bestFit="1" customWidth="1"/>
    <col min="8" max="8" width="29.36328125" customWidth="1"/>
    <col min="9" max="9" width="50.6328125" bestFit="1" customWidth="1"/>
    <col min="10" max="10" width="72.54296875" bestFit="1" customWidth="1"/>
    <col min="11" max="11" width="42.08984375" customWidth="1"/>
    <col min="12" max="12" width="35" customWidth="1"/>
    <col min="13" max="13" width="21.6328125" customWidth="1"/>
    <col min="14" max="14" width="18.6328125" customWidth="1"/>
    <col min="15" max="15" width="22.90625" bestFit="1" customWidth="1"/>
    <col min="22" max="22" width="19.6328125" customWidth="1"/>
    <col min="23" max="23" width="10.6328125" bestFit="1" customWidth="1"/>
    <col min="24" max="24" width="8.90625"/>
    <col min="25" max="25" width="19.6328125" customWidth="1"/>
    <col min="26" max="26" width="10.6328125" bestFit="1" customWidth="1"/>
    <col min="27" max="27" width="8.90625"/>
    <col min="28" max="28" width="19.6328125" customWidth="1"/>
    <col min="29" max="29" width="9.6328125" bestFit="1" customWidth="1"/>
    <col min="30" max="31" width="8.90625"/>
    <col min="32" max="32" width="8.6328125" bestFit="1" customWidth="1"/>
    <col min="33" max="33" width="10.6328125" bestFit="1" customWidth="1"/>
    <col min="35" max="35" width="39.90625" customWidth="1"/>
    <col min="36" max="36" width="20.453125" bestFit="1" customWidth="1"/>
    <col min="37" max="37" width="41.54296875" customWidth="1"/>
    <col min="39" max="43" width="19.6328125" customWidth="1"/>
  </cols>
  <sheetData>
    <row r="1" spans="1:43" x14ac:dyDescent="0.35">
      <c r="A1" s="350" t="s">
        <v>2732</v>
      </c>
      <c r="B1" s="350" t="s">
        <v>2729</v>
      </c>
      <c r="C1" s="226"/>
      <c r="D1" s="350" t="s">
        <v>2752</v>
      </c>
      <c r="E1" s="226"/>
      <c r="F1" s="350" t="s">
        <v>2733</v>
      </c>
      <c r="G1" s="226"/>
      <c r="H1" s="350" t="s">
        <v>3047</v>
      </c>
      <c r="I1" s="226"/>
      <c r="J1" s="226"/>
      <c r="K1" s="350" t="s">
        <v>2737</v>
      </c>
      <c r="L1" s="350" t="s">
        <v>3050</v>
      </c>
      <c r="M1" s="350" t="s">
        <v>2742</v>
      </c>
      <c r="N1" s="350" t="s">
        <v>2745</v>
      </c>
      <c r="O1" s="350" t="s">
        <v>2862</v>
      </c>
      <c r="P1" s="226"/>
      <c r="Q1" s="226"/>
      <c r="R1" s="226"/>
      <c r="S1" s="226"/>
      <c r="T1" s="226"/>
      <c r="U1" s="226"/>
      <c r="V1" s="350" t="s">
        <v>3993</v>
      </c>
      <c r="W1" s="475"/>
      <c r="X1" s="226"/>
      <c r="Y1" s="350" t="s">
        <v>3995</v>
      </c>
      <c r="Z1" s="475"/>
      <c r="AA1" s="226"/>
      <c r="AB1" s="350" t="s">
        <v>3996</v>
      </c>
      <c r="AC1" s="226"/>
      <c r="AD1" s="226"/>
      <c r="AE1" s="226"/>
      <c r="AF1" s="475"/>
      <c r="AG1" s="475"/>
      <c r="AI1" s="350" t="s">
        <v>2866</v>
      </c>
      <c r="AJ1" s="226"/>
      <c r="AK1" s="226"/>
      <c r="AM1" s="350" t="s">
        <v>3097</v>
      </c>
      <c r="AN1" s="350" t="s">
        <v>3098</v>
      </c>
      <c r="AO1" s="350" t="s">
        <v>3099</v>
      </c>
      <c r="AP1" s="350" t="s">
        <v>3100</v>
      </c>
      <c r="AQ1" s="350" t="s">
        <v>3101</v>
      </c>
    </row>
    <row r="2" spans="1:43" x14ac:dyDescent="0.35">
      <c r="A2" t="str">
        <f>base_url_dev</f>
        <v>https://rscm.dev.spratingsvpc.com/icm-du-api-dev-v3/</v>
      </c>
      <c r="B2" t="s">
        <v>2730</v>
      </c>
      <c r="C2" s="226"/>
      <c r="D2" t="s">
        <v>2751</v>
      </c>
      <c r="E2" s="226"/>
      <c r="F2" t="s">
        <v>2734</v>
      </c>
      <c r="G2" s="226"/>
      <c r="H2" t="s">
        <v>3048</v>
      </c>
      <c r="I2" s="226"/>
      <c r="J2" s="226"/>
      <c r="K2" t="s">
        <v>3053</v>
      </c>
      <c r="L2" t="s">
        <v>3052</v>
      </c>
      <c r="M2" t="s">
        <v>2743</v>
      </c>
      <c r="N2" t="s">
        <v>2746</v>
      </c>
      <c r="O2" t="s">
        <v>3987</v>
      </c>
      <c r="P2" s="226"/>
      <c r="Q2" s="226"/>
      <c r="R2" s="226"/>
      <c r="S2" s="226"/>
      <c r="T2" s="226"/>
      <c r="U2" s="226"/>
      <c r="V2" t="s">
        <v>4008</v>
      </c>
      <c r="Y2" t="s">
        <v>3991</v>
      </c>
      <c r="AB2" t="s">
        <v>3997</v>
      </c>
      <c r="AI2" t="s">
        <v>2865</v>
      </c>
      <c r="AJ2" s="226"/>
      <c r="AK2" s="226"/>
      <c r="AM2" t="str" cm="1">
        <f t="array" ref="AM2">IFERROR(_xlfn._xlws.FILTER(lov_entities, lov_entities &lt;&gt; ""),"")</f>
        <v/>
      </c>
      <c r="AN2" t="str" cm="1">
        <f t="array" ref="AN2">IFERROR(_xlfn._xlws.FILTER(lov_years, lov_years &lt;&gt; ""),"")</f>
        <v/>
      </c>
      <c r="AO2" t="str" cm="1">
        <f t="array" ref="AO2">IFERROR(_xlfn._xlws.FILTER(lov_scenarios, lov_scenarios &lt;&gt; ""),"")</f>
        <v/>
      </c>
      <c r="AP2" t="str" cm="1">
        <f t="array" ref="AP2">IFERROR(_xlfn._xlws.FILTER(lov_file_versions,lov_file_versions&lt;&gt;""),"")</f>
        <v/>
      </c>
      <c r="AQ2" t="str" cm="1">
        <f t="array" ref="AQ2">IFERROR(_xlfn._xlws.FILTER(lov_reference_entities, lov_reference_entities &lt;&gt; ""),"")</f>
        <v/>
      </c>
    </row>
    <row r="3" spans="1:43" x14ac:dyDescent="0.35">
      <c r="B3" t="s">
        <v>2731</v>
      </c>
      <c r="C3" s="226"/>
      <c r="D3" t="s">
        <v>2753</v>
      </c>
      <c r="E3" s="226"/>
      <c r="F3" t="s">
        <v>2735</v>
      </c>
      <c r="G3" s="226"/>
      <c r="H3" t="s">
        <v>3049</v>
      </c>
      <c r="I3" s="226"/>
      <c r="J3" s="226"/>
      <c r="K3" t="s">
        <v>2736</v>
      </c>
      <c r="L3" t="s">
        <v>3051</v>
      </c>
      <c r="M3" t="s">
        <v>2744</v>
      </c>
      <c r="N3" t="s">
        <v>2747</v>
      </c>
      <c r="O3" t="s">
        <v>2863</v>
      </c>
      <c r="P3" s="226"/>
      <c r="Q3" s="226"/>
      <c r="R3" s="226"/>
      <c r="S3" s="226"/>
      <c r="T3" s="226"/>
      <c r="U3" s="226"/>
      <c r="V3" t="s">
        <v>3992</v>
      </c>
      <c r="Y3" t="s">
        <v>3998</v>
      </c>
      <c r="AB3" t="s">
        <v>3999</v>
      </c>
      <c r="AI3" t="s">
        <v>2867</v>
      </c>
      <c r="AJ3" s="226"/>
      <c r="AK3" s="226"/>
    </row>
    <row r="4" spans="1:43" s="267" customFormat="1" ht="87" x14ac:dyDescent="0.35">
      <c r="B4" s="268" t="str" cm="1">
        <f t="array" ref="B4">CONCATENATE(server_address,entities_service,"?country=",selected_domicile,"&amp;sector=",selected_sector,"&amp;user=",IF(selected_my_records_only="Yes",get_useR(),""),"&amp;partial_name=",URLEncode(selected_partial_name))</f>
        <v>https://rscm.dev.spratingsvpc.com/icm-du-api-dev-v3/get_entities?country=&amp;sector=&amp;user=&amp;partial_name=</v>
      </c>
      <c r="C4" s="287"/>
      <c r="D4" s="259" t="str" cm="1">
        <f t="array" ref="D4">CONCATENATE(server_address,years_service,"?entity_name=",URLEncode(selected_entity))</f>
        <v>https://rscm.dev.spratingsvpc.com/icm-du-api-dev-v3/get_analysis_years?entity_name=</v>
      </c>
      <c r="E4" s="287"/>
      <c r="F4" s="268" t="str" cm="1">
        <f t="array" ref="F4">CONCATENATE(server_address,scenarios_service,"?entity_name=",URLEncode(selected_entity),"&amp;analysis_year=",selected_reporting_year2)</f>
        <v>https://rscm.dev.spratingsvpc.com/icm-du-api-dev-v3/get_scenarios?entity_name=&amp;analysis_year=</v>
      </c>
      <c r="G4" s="287"/>
      <c r="H4" s="268" t="str" cm="1">
        <f t="array" ref="H4">CONCATENATE(server_address,versions_service,"?entity_name=",URLEncode(selected_entity),"&amp;analysis_year=",selected_reporting_year2,"&amp;scenario=",URLEncode((selected_scenario)))</f>
        <v>https://rscm.dev.spratingsvpc.com/icm-du-api-dev-v3/get_versions?entity_name=&amp;analysis_year=&amp;scenario=</v>
      </c>
      <c r="I4" s="287"/>
      <c r="J4" s="287"/>
      <c r="K4" s="268" t="str" cm="1">
        <f t="array" ref="K4">CONCATENATE(server_address,model_data_service,"?entity_name=",URLEncode(selected_entity),"&amp;analysis_year=",selected_reporting_year2,"&amp;scenario=",URLEncode((selected_scenario)))</f>
        <v>https://rscm.dev.spratingsvpc.com/icm-du-api-dev-v3/get_model_data_by_scenario?entity_name=&amp;analysis_year=&amp;scenario=</v>
      </c>
      <c r="L4" s="268" t="str">
        <f>CONCATENATE(server_address,model_data_service2,"?key=",selected_key)</f>
        <v>https://rscm.dev.spratingsvpc.com/icm-du-api-dev-v3/get_model_data_by_key?key=</v>
      </c>
      <c r="M4" s="268" t="str">
        <f>CONCATENATE(server_address,init_service,"?model_id=",model_id, "&amp;model_version=",model_version)</f>
        <v>https://rscm.dev.spratingsvpc.com/icm-du-api-dev-v3/init_package?model_id=1125&amp;model_version=3</v>
      </c>
      <c r="N4" s="268" t="str">
        <f>CONCATENATE(server_address,save_service)</f>
        <v>https://rscm.dev.spratingsvpc.com/icm-du-api-dev-v3/save_model_data</v>
      </c>
      <c r="O4" s="268" t="str" cm="1">
        <f t="array" ref="O4">CONCATENATE(server_address,reference_entities_service,"?dept_no=210&amp;partial_entity_name=",URLEncode(selected_reference_partial_entity_name),"&amp;partial_analyst_name=",selected_reference_partial_analyst_name)</f>
        <v>https://rscm.dev.spratingsvpc.com/icm-du-api-dev-v3/get_entity_list_cmp?dept_no=210&amp;partial_entity_name=&amp;partial_analyst_name=</v>
      </c>
      <c r="P4" s="287"/>
      <c r="Q4" s="287"/>
      <c r="R4" s="287"/>
      <c r="S4" s="287"/>
      <c r="T4" s="287"/>
      <c r="U4" s="287"/>
      <c r="V4" s="268" t="str">
        <f>CONCATENATE(server_address,exchange_rates_service,"?target=",inp_summary_currency,"&amp;from=",TEXT(inp_year_end, "YYYY-MM-DD"))</f>
        <v>https://rscm.dev.spratingsvpc.com/icm-du-api-dev-v3/get_fx_rates?target=USD&amp;from=1900-01-00</v>
      </c>
      <c r="Y4" s="268" t="str">
        <f>CONCATENATE(server_address,exchange_rates_service2,"?target=",inp_summary_currency,"&amp;yr=", inp_reporting_year)</f>
        <v>https://rscm.dev.spratingsvpc.com/icm-du-api-dev-v3/get_fx_rates_latest?target=USD&amp;yr=</v>
      </c>
      <c r="AB4" s="268" t="str">
        <f>CONCATENATE(server_address,exchange_rates_service3,"?target=",inp_summary_currency,"&amp;yr=", inp_reporting_year)</f>
        <v>https://rscm.dev.spratingsvpc.com/icm-du-api-dev-v3/get_fx_rates_year_avg?target=USD&amp;yr=</v>
      </c>
      <c r="AI4" s="268" t="str">
        <f>CONCATENATE(server_address,request_headers_service)</f>
        <v>https://rscm.dev.spratingsvpc.com/icm-du-api-dev-v3/get_request_headers</v>
      </c>
      <c r="AJ4" s="287"/>
      <c r="AK4" s="287"/>
    </row>
    <row r="5" spans="1:43" x14ac:dyDescent="0.35">
      <c r="C5" s="226"/>
      <c r="E5" s="226"/>
      <c r="G5" s="226"/>
      <c r="I5" s="226"/>
      <c r="J5" s="226"/>
      <c r="P5" s="226"/>
      <c r="Q5" s="226"/>
      <c r="R5" s="226"/>
      <c r="S5" s="226"/>
      <c r="T5" s="226"/>
      <c r="U5" s="226"/>
      <c r="AJ5" s="226"/>
      <c r="AK5" s="226"/>
    </row>
    <row r="6" spans="1:43" x14ac:dyDescent="0.35">
      <c r="C6" s="226"/>
      <c r="E6" s="226"/>
      <c r="G6" s="226"/>
      <c r="I6" s="226"/>
      <c r="J6" s="226"/>
      <c r="P6" s="226"/>
      <c r="Q6" s="226"/>
      <c r="R6" s="226"/>
      <c r="S6" s="226"/>
      <c r="T6" s="226"/>
      <c r="U6" s="226"/>
      <c r="AJ6" s="226"/>
      <c r="AK6" s="226"/>
    </row>
    <row r="7" spans="1:43" x14ac:dyDescent="0.35">
      <c r="A7" s="37" t="s">
        <v>2740</v>
      </c>
      <c r="C7" s="226"/>
      <c r="E7" s="226"/>
      <c r="G7" s="226"/>
      <c r="I7" s="226"/>
      <c r="J7" s="226"/>
      <c r="P7" s="226"/>
      <c r="Q7" s="226"/>
      <c r="R7" s="226"/>
      <c r="S7" s="226"/>
      <c r="T7" s="226"/>
      <c r="U7" s="226"/>
      <c r="AJ7" s="226"/>
      <c r="AK7" s="226"/>
    </row>
    <row r="8" spans="1:43" x14ac:dyDescent="0.35">
      <c r="A8" s="9">
        <v>1125</v>
      </c>
      <c r="C8" s="226"/>
      <c r="E8" s="226"/>
      <c r="G8" s="226"/>
      <c r="I8" s="226"/>
      <c r="J8" s="226"/>
      <c r="P8" s="226"/>
      <c r="Q8" s="226"/>
      <c r="R8" s="226"/>
      <c r="S8" s="226"/>
      <c r="T8" s="226"/>
      <c r="U8" s="226"/>
      <c r="AJ8" s="226"/>
      <c r="AK8" s="288"/>
    </row>
    <row r="9" spans="1:43" x14ac:dyDescent="0.35">
      <c r="A9" s="37" t="s">
        <v>2741</v>
      </c>
      <c r="C9" s="226"/>
      <c r="E9" s="226"/>
      <c r="G9" s="226"/>
      <c r="I9" s="226"/>
      <c r="J9" s="226"/>
      <c r="P9" s="226"/>
      <c r="Q9" s="226"/>
      <c r="R9" s="226"/>
      <c r="S9" s="226"/>
      <c r="T9" s="226"/>
      <c r="U9" s="226"/>
      <c r="AJ9" s="226"/>
      <c r="AK9" s="226"/>
    </row>
    <row r="10" spans="1:43" x14ac:dyDescent="0.35">
      <c r="A10" s="9">
        <v>3</v>
      </c>
      <c r="C10" s="226"/>
      <c r="E10" s="226"/>
      <c r="G10" s="226"/>
      <c r="I10" s="226"/>
      <c r="J10" s="226"/>
      <c r="P10" s="226"/>
      <c r="Q10" s="226"/>
      <c r="R10" s="226"/>
      <c r="S10" s="226"/>
      <c r="T10" s="226"/>
      <c r="U10" s="226"/>
      <c r="AJ10" s="226"/>
      <c r="AK10" s="226"/>
    </row>
    <row r="11" spans="1:43" x14ac:dyDescent="0.35">
      <c r="A11" s="37" t="s">
        <v>2748</v>
      </c>
      <c r="C11" s="226"/>
      <c r="E11" s="226"/>
      <c r="G11" s="226"/>
      <c r="I11" s="226"/>
      <c r="J11" s="226"/>
      <c r="P11" s="226"/>
      <c r="Q11" s="226"/>
      <c r="R11" s="226"/>
      <c r="S11" s="226"/>
      <c r="T11" s="226"/>
      <c r="U11" s="226"/>
      <c r="AJ11" s="226"/>
      <c r="AK11" s="226"/>
    </row>
    <row r="12" spans="1:43" x14ac:dyDescent="0.35">
      <c r="A12" s="286" t="s">
        <v>3095</v>
      </c>
      <c r="C12" s="226"/>
      <c r="E12" s="226"/>
      <c r="G12" s="226"/>
      <c r="I12" s="226"/>
      <c r="J12" s="226"/>
      <c r="P12" s="226"/>
      <c r="Q12" s="226"/>
      <c r="R12" s="226"/>
      <c r="S12" s="226"/>
      <c r="T12" s="226"/>
      <c r="U12" s="226"/>
      <c r="AJ12" s="226"/>
      <c r="AK12" s="226"/>
    </row>
    <row r="13" spans="1:43" x14ac:dyDescent="0.35">
      <c r="A13" s="37" t="s">
        <v>4480</v>
      </c>
      <c r="C13" s="226"/>
      <c r="E13" s="226"/>
      <c r="G13" s="226"/>
      <c r="I13" s="226"/>
      <c r="J13" s="226"/>
      <c r="P13" s="226"/>
      <c r="Q13" s="226"/>
      <c r="R13" s="226"/>
      <c r="S13" s="226"/>
      <c r="T13" s="226"/>
      <c r="U13" s="226"/>
      <c r="AJ13" s="226"/>
      <c r="AK13" s="226"/>
    </row>
    <row r="14" spans="1:43" x14ac:dyDescent="0.35">
      <c r="A14" s="704" t="s">
        <v>4725</v>
      </c>
      <c r="C14" s="226"/>
      <c r="E14" s="226"/>
      <c r="G14" s="226"/>
      <c r="I14" s="226"/>
      <c r="J14" s="226"/>
      <c r="P14" s="226"/>
      <c r="Q14" s="226"/>
      <c r="R14" s="226"/>
      <c r="S14" s="226"/>
      <c r="T14" s="226"/>
      <c r="U14" s="226"/>
      <c r="AJ14" s="226"/>
      <c r="AK14" s="226"/>
    </row>
    <row r="15" spans="1:43" x14ac:dyDescent="0.35">
      <c r="A15" s="37" t="s">
        <v>4481</v>
      </c>
      <c r="C15" s="226"/>
      <c r="E15" s="226"/>
      <c r="G15" s="226"/>
      <c r="I15" s="226"/>
      <c r="J15" s="226"/>
      <c r="P15" s="226"/>
      <c r="Q15" s="226"/>
      <c r="R15" s="226"/>
      <c r="S15" s="226"/>
      <c r="T15" s="226"/>
      <c r="U15" s="226"/>
      <c r="AJ15" s="226"/>
      <c r="AK15" s="226"/>
    </row>
    <row r="16" spans="1:43" x14ac:dyDescent="0.35">
      <c r="A16" s="704" t="s">
        <v>4482</v>
      </c>
      <c r="C16" s="226"/>
      <c r="E16" s="226"/>
      <c r="G16" s="226"/>
      <c r="I16" s="226"/>
      <c r="J16" s="226"/>
      <c r="P16" s="226"/>
      <c r="Q16" s="226"/>
      <c r="R16" s="226"/>
      <c r="S16" s="226"/>
      <c r="T16" s="226"/>
      <c r="U16" s="226"/>
      <c r="AJ16" s="226"/>
      <c r="AK16" s="226"/>
    </row>
    <row r="17" spans="3:37" x14ac:dyDescent="0.35">
      <c r="C17" s="226"/>
      <c r="E17" s="226"/>
      <c r="G17" s="226"/>
      <c r="I17" s="226"/>
      <c r="J17" s="226"/>
      <c r="P17" s="226"/>
      <c r="Q17" s="226"/>
      <c r="R17" s="226"/>
      <c r="S17" s="226"/>
      <c r="T17" s="226"/>
      <c r="U17" s="226"/>
      <c r="AJ17" s="226"/>
      <c r="AK17" s="226"/>
    </row>
    <row r="18" spans="3:37" x14ac:dyDescent="0.35">
      <c r="C18" s="226"/>
      <c r="E18" s="226"/>
      <c r="G18" s="226"/>
      <c r="I18" s="226"/>
      <c r="J18" s="226"/>
      <c r="P18" s="226"/>
      <c r="Q18" s="226"/>
      <c r="R18" s="226"/>
      <c r="S18" s="226"/>
      <c r="T18" s="226"/>
      <c r="U18" s="226"/>
      <c r="AJ18" s="226"/>
      <c r="AK18" s="226"/>
    </row>
    <row r="19" spans="3:37" x14ac:dyDescent="0.35">
      <c r="C19" s="226"/>
      <c r="E19" s="226"/>
      <c r="G19" s="226"/>
      <c r="I19" s="226"/>
      <c r="J19" s="226"/>
      <c r="P19" s="226"/>
      <c r="Q19" s="226"/>
      <c r="R19" s="226"/>
      <c r="S19" s="226"/>
      <c r="T19" s="226"/>
      <c r="U19" s="226"/>
      <c r="AJ19" s="226"/>
      <c r="AK19" s="226"/>
    </row>
    <row r="20" spans="3:37" x14ac:dyDescent="0.35">
      <c r="C20" s="226"/>
      <c r="E20" s="226"/>
      <c r="G20" s="226"/>
      <c r="I20" s="226"/>
      <c r="J20" s="226"/>
      <c r="P20" s="226"/>
      <c r="Q20" s="226"/>
      <c r="R20" s="226"/>
      <c r="S20" s="226"/>
      <c r="T20" s="226"/>
      <c r="U20" s="226"/>
      <c r="AJ20" s="226"/>
      <c r="AK20" s="226"/>
    </row>
    <row r="21" spans="3:37" x14ac:dyDescent="0.35">
      <c r="C21" s="226"/>
      <c r="E21" s="226"/>
      <c r="G21" s="226"/>
      <c r="I21" s="226"/>
      <c r="J21" s="226"/>
      <c r="P21" s="226"/>
      <c r="Q21" s="226"/>
      <c r="R21" s="226"/>
      <c r="S21" s="226"/>
      <c r="T21" s="226"/>
      <c r="U21" s="226"/>
      <c r="AJ21" s="226"/>
      <c r="AK21" s="226"/>
    </row>
    <row r="22" spans="3:37" x14ac:dyDescent="0.35">
      <c r="C22" s="226"/>
      <c r="E22" s="226"/>
      <c r="G22" s="226"/>
      <c r="I22" s="226"/>
      <c r="J22" s="226"/>
      <c r="P22" s="226"/>
      <c r="Q22" s="226"/>
      <c r="R22" s="226"/>
      <c r="S22" s="226"/>
      <c r="T22" s="226"/>
      <c r="U22" s="226"/>
      <c r="AJ22" s="226"/>
      <c r="AK22" s="226"/>
    </row>
    <row r="23" spans="3:37" x14ac:dyDescent="0.35">
      <c r="C23" s="226"/>
      <c r="E23" s="226"/>
      <c r="G23" s="226"/>
      <c r="I23" s="226"/>
      <c r="J23" s="226"/>
      <c r="P23" s="226"/>
      <c r="Q23" s="226"/>
      <c r="R23" s="226"/>
      <c r="S23" s="226"/>
      <c r="T23" s="226"/>
      <c r="U23" s="226"/>
      <c r="AJ23" s="226"/>
      <c r="AK23" s="226"/>
    </row>
    <row r="24" spans="3:37" x14ac:dyDescent="0.35">
      <c r="C24" s="226"/>
      <c r="E24" s="226"/>
      <c r="G24" s="226"/>
      <c r="I24" s="226"/>
      <c r="J24" s="226"/>
      <c r="P24" s="226"/>
      <c r="Q24" s="226"/>
      <c r="R24" s="226"/>
      <c r="S24" s="226"/>
      <c r="T24" s="226"/>
      <c r="U24" s="226"/>
      <c r="AJ24" s="226"/>
      <c r="AK24" s="226"/>
    </row>
    <row r="25" spans="3:37" x14ac:dyDescent="0.35">
      <c r="C25" s="226"/>
      <c r="E25" s="226"/>
      <c r="G25" s="226"/>
      <c r="I25" s="226"/>
      <c r="J25" s="226"/>
      <c r="P25" s="226"/>
      <c r="Q25" s="226"/>
      <c r="R25" s="226"/>
      <c r="S25" s="226"/>
      <c r="T25" s="226"/>
      <c r="U25" s="226"/>
      <c r="AJ25" s="226"/>
      <c r="AK25" s="226"/>
    </row>
    <row r="26" spans="3:37" x14ac:dyDescent="0.35">
      <c r="C26" s="226"/>
      <c r="E26" s="226"/>
      <c r="G26" s="226"/>
      <c r="I26" s="226"/>
      <c r="J26" s="226"/>
      <c r="P26" s="226"/>
      <c r="Q26" s="226"/>
      <c r="R26" s="226"/>
      <c r="S26" s="226"/>
      <c r="T26" s="226"/>
      <c r="U26" s="226"/>
      <c r="AJ26" s="226"/>
      <c r="AK26" s="226"/>
    </row>
    <row r="27" spans="3:37" x14ac:dyDescent="0.35">
      <c r="C27" s="226"/>
      <c r="E27" s="226"/>
      <c r="G27" s="226"/>
      <c r="I27" s="226"/>
      <c r="J27" s="226"/>
      <c r="P27" s="226"/>
      <c r="Q27" s="226"/>
      <c r="R27" s="226"/>
      <c r="S27" s="226"/>
      <c r="T27" s="226"/>
      <c r="U27" s="226"/>
      <c r="AJ27" s="226"/>
      <c r="AK27" s="226"/>
    </row>
    <row r="28" spans="3:37" x14ac:dyDescent="0.35">
      <c r="C28" s="226"/>
      <c r="E28" s="226"/>
      <c r="G28" s="226"/>
      <c r="I28" s="226"/>
      <c r="J28" s="226"/>
      <c r="P28" s="226"/>
      <c r="Q28" s="226"/>
      <c r="R28" s="226"/>
      <c r="S28" s="226"/>
      <c r="T28" s="226"/>
      <c r="U28" s="226"/>
      <c r="AJ28" s="226"/>
      <c r="AK28" s="226"/>
    </row>
    <row r="29" spans="3:37" x14ac:dyDescent="0.35">
      <c r="C29" s="226"/>
      <c r="E29" s="226"/>
      <c r="G29" s="226"/>
      <c r="I29" s="226"/>
      <c r="J29" s="226"/>
      <c r="P29" s="226"/>
      <c r="Q29" s="226"/>
      <c r="R29" s="226"/>
      <c r="S29" s="226"/>
      <c r="T29" s="226"/>
      <c r="U29" s="226"/>
      <c r="AJ29" s="226"/>
      <c r="AK29" s="226"/>
    </row>
    <row r="30" spans="3:37" x14ac:dyDescent="0.35">
      <c r="C30" s="226"/>
      <c r="E30" s="226"/>
      <c r="G30" s="226"/>
      <c r="I30" s="226"/>
      <c r="J30" s="226"/>
      <c r="P30" s="226"/>
      <c r="Q30" s="226"/>
      <c r="R30" s="226"/>
      <c r="S30" s="226"/>
      <c r="T30" s="226"/>
      <c r="U30" s="226"/>
      <c r="AJ30" s="226"/>
      <c r="AK30" s="226"/>
    </row>
    <row r="31" spans="3:37" x14ac:dyDescent="0.35">
      <c r="C31" s="226"/>
      <c r="E31" s="226"/>
      <c r="G31" s="226"/>
      <c r="I31" s="226"/>
      <c r="J31" s="226"/>
      <c r="P31" s="226"/>
      <c r="Q31" s="226"/>
      <c r="R31" s="226"/>
      <c r="S31" s="226"/>
      <c r="T31" s="226"/>
      <c r="U31" s="226"/>
      <c r="AJ31" s="226"/>
      <c r="AK31" s="226"/>
    </row>
    <row r="32" spans="3:37" x14ac:dyDescent="0.35">
      <c r="C32" s="226"/>
      <c r="E32" s="226"/>
      <c r="G32" s="226"/>
      <c r="I32" s="226"/>
      <c r="J32" s="226"/>
      <c r="P32" s="226"/>
      <c r="Q32" s="226"/>
      <c r="R32" s="226"/>
      <c r="S32" s="226"/>
      <c r="T32" s="226"/>
      <c r="U32" s="226"/>
      <c r="AJ32" s="226"/>
      <c r="AK32" s="226"/>
    </row>
    <row r="33" spans="3:37" x14ac:dyDescent="0.35">
      <c r="C33" s="226"/>
      <c r="E33" s="226"/>
      <c r="G33" s="226"/>
      <c r="I33" s="226"/>
      <c r="J33" s="226"/>
      <c r="P33" s="226"/>
      <c r="Q33" s="226"/>
      <c r="R33" s="226"/>
      <c r="S33" s="226"/>
      <c r="T33" s="226"/>
      <c r="U33" s="226"/>
      <c r="AJ33" s="226"/>
      <c r="AK33" s="226"/>
    </row>
    <row r="34" spans="3:37" x14ac:dyDescent="0.35">
      <c r="C34" s="226"/>
      <c r="E34" s="226"/>
      <c r="G34" s="226"/>
      <c r="I34" s="226"/>
      <c r="J34" s="226"/>
      <c r="P34" s="226"/>
      <c r="Q34" s="226"/>
      <c r="R34" s="226"/>
      <c r="S34" s="226"/>
      <c r="T34" s="226"/>
      <c r="U34" s="226"/>
      <c r="AJ34" s="226"/>
      <c r="AK34" s="226"/>
    </row>
    <row r="35" spans="3:37" x14ac:dyDescent="0.35">
      <c r="C35" s="226"/>
      <c r="E35" s="226"/>
      <c r="G35" s="226"/>
      <c r="I35" s="226"/>
      <c r="J35" s="226"/>
      <c r="P35" s="226"/>
      <c r="Q35" s="226"/>
      <c r="R35" s="226"/>
      <c r="S35" s="226"/>
      <c r="T35" s="226"/>
      <c r="U35" s="226"/>
      <c r="AJ35" s="226"/>
      <c r="AK35" s="226"/>
    </row>
    <row r="36" spans="3:37" x14ac:dyDescent="0.35">
      <c r="C36" s="226"/>
      <c r="E36" s="226"/>
      <c r="G36" s="226"/>
      <c r="I36" s="226"/>
      <c r="J36" s="226"/>
      <c r="P36" s="226"/>
      <c r="Q36" s="226"/>
      <c r="R36" s="226"/>
      <c r="S36" s="226"/>
      <c r="T36" s="226"/>
      <c r="U36" s="226"/>
      <c r="AJ36" s="226"/>
      <c r="AK36" s="226"/>
    </row>
    <row r="37" spans="3:37" x14ac:dyDescent="0.35">
      <c r="C37" s="226"/>
      <c r="E37" s="226"/>
      <c r="G37" s="226"/>
      <c r="I37" s="226"/>
      <c r="J37" s="226"/>
      <c r="P37" s="226"/>
      <c r="Q37" s="226"/>
      <c r="R37" s="226"/>
      <c r="S37" s="226"/>
      <c r="T37" s="226"/>
      <c r="U37" s="226"/>
      <c r="AJ37" s="226"/>
      <c r="AK37" s="226"/>
    </row>
    <row r="38" spans="3:37" x14ac:dyDescent="0.35">
      <c r="C38" s="226"/>
      <c r="E38" s="226"/>
      <c r="G38" s="226"/>
      <c r="I38" s="226"/>
      <c r="J38" s="226"/>
      <c r="P38" s="226"/>
      <c r="Q38" s="226"/>
      <c r="R38" s="226"/>
      <c r="S38" s="226"/>
      <c r="T38" s="226"/>
      <c r="U38" s="226"/>
      <c r="AJ38" s="226"/>
      <c r="AK38" s="226"/>
    </row>
    <row r="39" spans="3:37" x14ac:dyDescent="0.35">
      <c r="C39" s="226"/>
      <c r="E39" s="226"/>
      <c r="G39" s="226"/>
      <c r="I39" s="226"/>
      <c r="J39" s="226"/>
      <c r="P39" s="226"/>
      <c r="Q39" s="226"/>
      <c r="R39" s="226"/>
      <c r="S39" s="226"/>
      <c r="T39" s="226"/>
      <c r="U39" s="226"/>
      <c r="AJ39" s="226"/>
      <c r="AK39" s="226"/>
    </row>
    <row r="40" spans="3:37" x14ac:dyDescent="0.35">
      <c r="C40" s="226"/>
      <c r="E40" s="226"/>
      <c r="G40" s="226"/>
      <c r="I40" s="226"/>
      <c r="J40" s="226"/>
      <c r="P40" s="226"/>
      <c r="Q40" s="226"/>
      <c r="R40" s="226"/>
      <c r="S40" s="226"/>
      <c r="T40" s="226"/>
      <c r="U40" s="226"/>
      <c r="AJ40" s="226"/>
      <c r="AK40" s="226"/>
    </row>
    <row r="41" spans="3:37" x14ac:dyDescent="0.35">
      <c r="C41" s="226"/>
      <c r="E41" s="226"/>
      <c r="G41" s="226"/>
      <c r="I41" s="226"/>
      <c r="J41" s="226"/>
      <c r="P41" s="226"/>
      <c r="Q41" s="226"/>
      <c r="R41" s="226"/>
      <c r="S41" s="226"/>
      <c r="T41" s="226"/>
      <c r="U41" s="226"/>
      <c r="AJ41" s="226"/>
      <c r="AK41" s="226"/>
    </row>
    <row r="42" spans="3:37" x14ac:dyDescent="0.35">
      <c r="C42" s="226"/>
      <c r="E42" s="226"/>
      <c r="G42" s="226"/>
      <c r="I42" s="226"/>
      <c r="J42" s="226"/>
      <c r="P42" s="226"/>
      <c r="Q42" s="226"/>
      <c r="R42" s="226"/>
      <c r="S42" s="226"/>
      <c r="T42" s="226"/>
      <c r="U42" s="226"/>
      <c r="AJ42" s="226"/>
      <c r="AK42" s="226"/>
    </row>
    <row r="43" spans="3:37" x14ac:dyDescent="0.35">
      <c r="C43" s="226"/>
      <c r="E43" s="226"/>
      <c r="G43" s="226"/>
      <c r="I43" s="226"/>
      <c r="J43" s="226"/>
      <c r="P43" s="226"/>
      <c r="Q43" s="226"/>
      <c r="R43" s="226"/>
      <c r="S43" s="226"/>
      <c r="T43" s="226"/>
      <c r="U43" s="226"/>
      <c r="AJ43" s="226"/>
      <c r="AK43" s="226"/>
    </row>
    <row r="44" spans="3:37" x14ac:dyDescent="0.35">
      <c r="C44" s="226"/>
      <c r="E44" s="226"/>
      <c r="G44" s="226"/>
      <c r="I44" s="226"/>
      <c r="J44" s="226"/>
      <c r="P44" s="226"/>
      <c r="Q44" s="226"/>
      <c r="R44" s="226"/>
      <c r="S44" s="226"/>
      <c r="T44" s="226"/>
      <c r="U44" s="226"/>
      <c r="AJ44" s="226"/>
      <c r="AK44" s="226"/>
    </row>
    <row r="45" spans="3:37" x14ac:dyDescent="0.35">
      <c r="C45" s="226"/>
      <c r="E45" s="226"/>
      <c r="G45" s="226"/>
      <c r="I45" s="226"/>
      <c r="J45" s="226"/>
      <c r="P45" s="226"/>
      <c r="Q45" s="226"/>
      <c r="R45" s="226"/>
      <c r="S45" s="226"/>
      <c r="T45" s="226"/>
      <c r="U45" s="226"/>
      <c r="AJ45" s="226"/>
      <c r="AK45" s="226"/>
    </row>
    <row r="46" spans="3:37" x14ac:dyDescent="0.35">
      <c r="C46" s="226"/>
      <c r="E46" s="226"/>
      <c r="G46" s="226"/>
      <c r="I46" s="226"/>
      <c r="J46" s="226"/>
      <c r="P46" s="226"/>
      <c r="Q46" s="226"/>
      <c r="R46" s="226"/>
      <c r="S46" s="226"/>
      <c r="T46" s="226"/>
      <c r="U46" s="226"/>
      <c r="AJ46" s="226"/>
      <c r="AK46" s="226"/>
    </row>
    <row r="47" spans="3:37" x14ac:dyDescent="0.35">
      <c r="C47" s="226"/>
      <c r="E47" s="226"/>
      <c r="G47" s="226"/>
      <c r="I47" s="226"/>
      <c r="J47" s="226"/>
      <c r="P47" s="226"/>
      <c r="Q47" s="226"/>
      <c r="R47" s="226"/>
      <c r="S47" s="226"/>
      <c r="T47" s="226"/>
      <c r="U47" s="226"/>
      <c r="AJ47" s="226"/>
      <c r="AK47" s="226"/>
    </row>
    <row r="48" spans="3:37" x14ac:dyDescent="0.35">
      <c r="C48" s="226"/>
      <c r="E48" s="226"/>
      <c r="G48" s="226"/>
      <c r="I48" s="226"/>
      <c r="J48" s="226"/>
      <c r="P48" s="226"/>
      <c r="Q48" s="226"/>
      <c r="R48" s="226"/>
      <c r="S48" s="226"/>
      <c r="T48" s="226"/>
      <c r="U48" s="226"/>
      <c r="AJ48" s="226"/>
      <c r="AK48" s="226"/>
    </row>
    <row r="49" spans="3:37" x14ac:dyDescent="0.35">
      <c r="C49" s="226"/>
      <c r="E49" s="226"/>
      <c r="G49" s="226"/>
      <c r="I49" s="226"/>
      <c r="J49" s="226"/>
      <c r="P49" s="226"/>
      <c r="Q49" s="226"/>
      <c r="R49" s="226"/>
      <c r="S49" s="226"/>
      <c r="T49" s="226"/>
      <c r="U49" s="226"/>
      <c r="AJ49" s="226"/>
      <c r="AK49" s="226"/>
    </row>
    <row r="50" spans="3:37" x14ac:dyDescent="0.35">
      <c r="C50" s="226"/>
      <c r="E50" s="226"/>
      <c r="G50" s="226"/>
      <c r="I50" s="226"/>
      <c r="J50" s="226"/>
      <c r="P50" s="226"/>
      <c r="Q50" s="226"/>
      <c r="R50" s="226"/>
      <c r="S50" s="226"/>
      <c r="T50" s="226"/>
      <c r="U50" s="226"/>
      <c r="AJ50" s="226"/>
      <c r="AK50" s="226"/>
    </row>
    <row r="51" spans="3:37" x14ac:dyDescent="0.35">
      <c r="C51" s="226"/>
      <c r="E51" s="226"/>
      <c r="G51" s="226"/>
      <c r="I51" s="226"/>
      <c r="J51" s="226"/>
      <c r="P51" s="226"/>
      <c r="Q51" s="226"/>
      <c r="R51" s="226"/>
      <c r="S51" s="226"/>
      <c r="T51" s="226"/>
      <c r="U51" s="226"/>
      <c r="AJ51" s="226"/>
      <c r="AK51" s="226"/>
    </row>
    <row r="52" spans="3:37" x14ac:dyDescent="0.35">
      <c r="C52" s="226"/>
      <c r="E52" s="226"/>
      <c r="G52" s="226"/>
      <c r="I52" s="226"/>
      <c r="J52" s="226"/>
      <c r="P52" s="226"/>
      <c r="Q52" s="226"/>
      <c r="R52" s="226"/>
      <c r="S52" s="226"/>
      <c r="T52" s="226"/>
      <c r="U52" s="226"/>
      <c r="AJ52" s="226"/>
      <c r="AK52" s="226"/>
    </row>
    <row r="53" spans="3:37" x14ac:dyDescent="0.35">
      <c r="C53" s="226"/>
      <c r="E53" s="226"/>
      <c r="G53" s="226"/>
      <c r="I53" s="226"/>
      <c r="J53" s="226"/>
      <c r="P53" s="226"/>
      <c r="Q53" s="226"/>
      <c r="R53" s="226"/>
      <c r="S53" s="226"/>
      <c r="T53" s="226"/>
      <c r="U53" s="226"/>
      <c r="AJ53" s="226"/>
      <c r="AK53" s="226"/>
    </row>
    <row r="54" spans="3:37" x14ac:dyDescent="0.35">
      <c r="C54" s="226"/>
      <c r="E54" s="226"/>
      <c r="G54" s="226"/>
      <c r="I54" s="226"/>
      <c r="J54" s="226"/>
      <c r="P54" s="226"/>
      <c r="Q54" s="226"/>
      <c r="R54" s="226"/>
      <c r="S54" s="226"/>
      <c r="T54" s="226"/>
      <c r="U54" s="226"/>
      <c r="AJ54" s="226"/>
      <c r="AK54" s="226"/>
    </row>
    <row r="55" spans="3:37" x14ac:dyDescent="0.35">
      <c r="C55" s="226"/>
      <c r="E55" s="226"/>
      <c r="G55" s="226"/>
      <c r="I55" s="226"/>
      <c r="J55" s="226"/>
      <c r="P55" s="226"/>
      <c r="Q55" s="226"/>
      <c r="R55" s="226"/>
      <c r="S55" s="226"/>
      <c r="T55" s="226"/>
      <c r="U55" s="226"/>
      <c r="AJ55" s="226"/>
      <c r="AK55" s="226"/>
    </row>
    <row r="56" spans="3:37" x14ac:dyDescent="0.35">
      <c r="C56" s="226"/>
      <c r="E56" s="226"/>
      <c r="G56" s="226"/>
      <c r="I56" s="226"/>
      <c r="J56" s="226"/>
      <c r="P56" s="226"/>
      <c r="Q56" s="226"/>
      <c r="R56" s="226"/>
      <c r="S56" s="226"/>
      <c r="T56" s="226"/>
      <c r="U56" s="226"/>
      <c r="AJ56" s="226"/>
      <c r="AK56" s="226"/>
    </row>
    <row r="57" spans="3:37" x14ac:dyDescent="0.35">
      <c r="C57" s="226"/>
      <c r="E57" s="226"/>
      <c r="G57" s="226"/>
      <c r="I57" s="226"/>
      <c r="J57" s="226"/>
      <c r="P57" s="226"/>
      <c r="Q57" s="226"/>
      <c r="R57" s="226"/>
      <c r="S57" s="226"/>
      <c r="T57" s="226"/>
      <c r="U57" s="226"/>
      <c r="AJ57" s="226"/>
      <c r="AK57" s="226"/>
    </row>
    <row r="58" spans="3:37" x14ac:dyDescent="0.35">
      <c r="C58" s="226"/>
      <c r="E58" s="226"/>
      <c r="G58" s="226"/>
      <c r="I58" s="226"/>
      <c r="J58" s="226"/>
      <c r="P58" s="226"/>
      <c r="Q58" s="226"/>
      <c r="R58" s="226"/>
      <c r="S58" s="226"/>
      <c r="T58" s="226"/>
      <c r="U58" s="226"/>
      <c r="AJ58" s="226"/>
      <c r="AK58" s="226"/>
    </row>
    <row r="59" spans="3:37" x14ac:dyDescent="0.35">
      <c r="C59" s="226"/>
      <c r="E59" s="226"/>
      <c r="G59" s="226"/>
      <c r="I59" s="226"/>
      <c r="J59" s="226"/>
      <c r="P59" s="226"/>
      <c r="Q59" s="226"/>
      <c r="R59" s="226"/>
      <c r="S59" s="226"/>
      <c r="T59" s="226"/>
      <c r="U59" s="226"/>
      <c r="AJ59" s="226"/>
      <c r="AK59" s="226"/>
    </row>
    <row r="60" spans="3:37" x14ac:dyDescent="0.35">
      <c r="C60" s="226"/>
      <c r="E60" s="226"/>
      <c r="G60" s="226"/>
      <c r="I60" s="226"/>
      <c r="J60" s="226"/>
      <c r="P60" s="226"/>
      <c r="Q60" s="226"/>
      <c r="R60" s="226"/>
      <c r="S60" s="226"/>
      <c r="T60" s="226"/>
      <c r="U60" s="226"/>
      <c r="AJ60" s="226"/>
      <c r="AK60" s="226"/>
    </row>
    <row r="61" spans="3:37" x14ac:dyDescent="0.35">
      <c r="C61" s="226"/>
      <c r="E61" s="226"/>
      <c r="G61" s="226"/>
      <c r="I61" s="226"/>
      <c r="J61" s="226"/>
      <c r="P61" s="226"/>
      <c r="Q61" s="226"/>
      <c r="R61" s="226"/>
      <c r="S61" s="226"/>
      <c r="T61" s="226"/>
      <c r="U61" s="226"/>
      <c r="AJ61" s="226"/>
      <c r="AK61" s="226"/>
    </row>
    <row r="62" spans="3:37" x14ac:dyDescent="0.35">
      <c r="C62" s="226"/>
      <c r="E62" s="226"/>
      <c r="G62" s="226"/>
      <c r="I62" s="226"/>
      <c r="J62" s="226"/>
      <c r="P62" s="226"/>
      <c r="Q62" s="226"/>
      <c r="R62" s="226"/>
      <c r="S62" s="226"/>
      <c r="T62" s="226"/>
      <c r="U62" s="226"/>
      <c r="AJ62" s="226"/>
      <c r="AK62" s="226"/>
    </row>
    <row r="63" spans="3:37" x14ac:dyDescent="0.35">
      <c r="C63" s="226"/>
      <c r="E63" s="226"/>
      <c r="G63" s="226"/>
      <c r="I63" s="226"/>
      <c r="J63" s="226"/>
      <c r="P63" s="226"/>
      <c r="Q63" s="226"/>
      <c r="R63" s="226"/>
      <c r="S63" s="226"/>
      <c r="T63" s="226"/>
      <c r="U63" s="226"/>
      <c r="AJ63" s="226"/>
      <c r="AK63" s="226"/>
    </row>
    <row r="64" spans="3:37" x14ac:dyDescent="0.35">
      <c r="C64" s="226"/>
      <c r="E64" s="226"/>
      <c r="G64" s="226"/>
      <c r="I64" s="226"/>
      <c r="J64" s="226"/>
      <c r="P64" s="226"/>
      <c r="Q64" s="226"/>
      <c r="R64" s="226"/>
      <c r="S64" s="226"/>
      <c r="T64" s="226"/>
      <c r="U64" s="226"/>
      <c r="AJ64" s="226"/>
      <c r="AK64" s="226"/>
    </row>
    <row r="65" spans="3:37" x14ac:dyDescent="0.35">
      <c r="C65" s="226"/>
      <c r="E65" s="226"/>
      <c r="G65" s="226"/>
      <c r="I65" s="226"/>
      <c r="J65" s="226"/>
      <c r="P65" s="226"/>
      <c r="Q65" s="226"/>
      <c r="R65" s="226"/>
      <c r="S65" s="226"/>
      <c r="T65" s="226"/>
      <c r="U65" s="226"/>
      <c r="AJ65" s="226"/>
      <c r="AK65" s="226"/>
    </row>
    <row r="66" spans="3:37" x14ac:dyDescent="0.35">
      <c r="C66" s="226"/>
      <c r="E66" s="226"/>
      <c r="G66" s="226"/>
      <c r="I66" s="226"/>
      <c r="J66" s="226"/>
      <c r="P66" s="226"/>
      <c r="Q66" s="226"/>
      <c r="R66" s="226"/>
      <c r="S66" s="226"/>
      <c r="T66" s="226"/>
      <c r="U66" s="226"/>
      <c r="AJ66" s="226"/>
      <c r="AK66" s="226"/>
    </row>
    <row r="67" spans="3:37" x14ac:dyDescent="0.35">
      <c r="C67" s="226"/>
      <c r="E67" s="226"/>
      <c r="G67" s="226"/>
      <c r="I67" s="226"/>
      <c r="J67" s="226"/>
      <c r="P67" s="226"/>
      <c r="Q67" s="226"/>
      <c r="R67" s="226"/>
      <c r="S67" s="226"/>
      <c r="T67" s="226"/>
      <c r="U67" s="226"/>
      <c r="AJ67" s="226"/>
      <c r="AK67" s="226"/>
    </row>
    <row r="68" spans="3:37" x14ac:dyDescent="0.35">
      <c r="C68" s="226"/>
      <c r="E68" s="226"/>
      <c r="G68" s="226"/>
      <c r="I68" s="226"/>
      <c r="J68" s="226"/>
      <c r="P68" s="226"/>
      <c r="Q68" s="226"/>
      <c r="R68" s="226"/>
      <c r="S68" s="226"/>
      <c r="T68" s="226"/>
      <c r="U68" s="226"/>
      <c r="AJ68" s="226"/>
      <c r="AK68" s="226"/>
    </row>
    <row r="69" spans="3:37" x14ac:dyDescent="0.35">
      <c r="C69" s="226"/>
      <c r="E69" s="226"/>
      <c r="G69" s="226"/>
      <c r="I69" s="226"/>
      <c r="J69" s="226"/>
      <c r="P69" s="226"/>
      <c r="Q69" s="226"/>
      <c r="R69" s="226"/>
      <c r="S69" s="226"/>
      <c r="T69" s="226"/>
      <c r="U69" s="226"/>
      <c r="AJ69" s="226"/>
      <c r="AK69" s="226"/>
    </row>
    <row r="70" spans="3:37" x14ac:dyDescent="0.35">
      <c r="C70" s="226"/>
      <c r="E70" s="226"/>
      <c r="G70" s="226"/>
      <c r="I70" s="226"/>
      <c r="J70" s="226"/>
      <c r="P70" s="226"/>
      <c r="Q70" s="226"/>
      <c r="R70" s="226"/>
      <c r="S70" s="226"/>
      <c r="T70" s="226"/>
      <c r="U70" s="226"/>
      <c r="AJ70" s="226"/>
      <c r="AK70" s="226"/>
    </row>
    <row r="71" spans="3:37" x14ac:dyDescent="0.35">
      <c r="C71" s="226"/>
      <c r="E71" s="226"/>
      <c r="G71" s="226"/>
      <c r="I71" s="226"/>
      <c r="J71" s="226"/>
      <c r="P71" s="226"/>
      <c r="Q71" s="226"/>
      <c r="R71" s="226"/>
      <c r="S71" s="226"/>
      <c r="T71" s="226"/>
      <c r="U71" s="226"/>
      <c r="AJ71" s="226"/>
      <c r="AK71" s="226"/>
    </row>
    <row r="72" spans="3:37" x14ac:dyDescent="0.35">
      <c r="C72" s="226"/>
      <c r="E72" s="226"/>
      <c r="G72" s="226"/>
      <c r="I72" s="226"/>
      <c r="J72" s="226"/>
      <c r="P72" s="226"/>
      <c r="Q72" s="226"/>
      <c r="R72" s="226"/>
      <c r="S72" s="226"/>
      <c r="T72" s="226"/>
      <c r="U72" s="226"/>
      <c r="AJ72" s="226"/>
      <c r="AK72" s="226"/>
    </row>
    <row r="73" spans="3:37" x14ac:dyDescent="0.35">
      <c r="C73" s="226"/>
      <c r="E73" s="226"/>
      <c r="G73" s="226"/>
      <c r="I73" s="226"/>
      <c r="J73" s="226"/>
      <c r="P73" s="226"/>
      <c r="Q73" s="226"/>
      <c r="R73" s="226"/>
      <c r="S73" s="226"/>
      <c r="T73" s="226"/>
      <c r="U73" s="226"/>
      <c r="AJ73" s="226"/>
      <c r="AK73" s="226"/>
    </row>
    <row r="74" spans="3:37" x14ac:dyDescent="0.35">
      <c r="C74" s="226"/>
      <c r="E74" s="226"/>
      <c r="G74" s="226"/>
      <c r="I74" s="226"/>
      <c r="J74" s="226"/>
      <c r="P74" s="226"/>
      <c r="Q74" s="226"/>
      <c r="R74" s="226"/>
      <c r="S74" s="226"/>
      <c r="T74" s="226"/>
      <c r="U74" s="226"/>
      <c r="AJ74" s="226"/>
      <c r="AK74" s="226"/>
    </row>
    <row r="75" spans="3:37" x14ac:dyDescent="0.35">
      <c r="C75" s="226"/>
      <c r="E75" s="226"/>
      <c r="G75" s="226"/>
      <c r="I75" s="226"/>
      <c r="J75" s="226"/>
      <c r="P75" s="226"/>
      <c r="Q75" s="226"/>
      <c r="R75" s="226"/>
      <c r="S75" s="226"/>
      <c r="T75" s="226"/>
      <c r="U75" s="226"/>
      <c r="AJ75" s="226"/>
      <c r="AK75" s="226"/>
    </row>
    <row r="76" spans="3:37" x14ac:dyDescent="0.35">
      <c r="C76" s="226"/>
      <c r="E76" s="226"/>
      <c r="G76" s="226"/>
      <c r="I76" s="226"/>
      <c r="J76" s="226"/>
      <c r="P76" s="226"/>
      <c r="Q76" s="226"/>
      <c r="R76" s="226"/>
      <c r="S76" s="226"/>
      <c r="T76" s="226"/>
      <c r="U76" s="226"/>
      <c r="AJ76" s="226"/>
      <c r="AK76" s="226"/>
    </row>
    <row r="77" spans="3:37" x14ac:dyDescent="0.35">
      <c r="C77" s="226"/>
      <c r="E77" s="226"/>
      <c r="G77" s="226"/>
      <c r="I77" s="226"/>
      <c r="J77" s="226"/>
      <c r="P77" s="226"/>
      <c r="Q77" s="226"/>
      <c r="R77" s="226"/>
      <c r="S77" s="226"/>
      <c r="T77" s="226"/>
      <c r="U77" s="226"/>
      <c r="AJ77" s="226"/>
      <c r="AK77" s="226"/>
    </row>
    <row r="78" spans="3:37" x14ac:dyDescent="0.35">
      <c r="C78" s="226"/>
      <c r="E78" s="226"/>
      <c r="G78" s="226"/>
      <c r="I78" s="226"/>
      <c r="J78" s="226"/>
      <c r="P78" s="226"/>
      <c r="Q78" s="226"/>
      <c r="R78" s="226"/>
      <c r="S78" s="226"/>
      <c r="T78" s="226"/>
      <c r="U78" s="226"/>
      <c r="AJ78" s="226"/>
      <c r="AK78" s="226"/>
    </row>
    <row r="79" spans="3:37" x14ac:dyDescent="0.35">
      <c r="C79" s="226"/>
      <c r="E79" s="226"/>
      <c r="G79" s="226"/>
      <c r="I79" s="226"/>
      <c r="J79" s="226"/>
      <c r="P79" s="226"/>
      <c r="Q79" s="226"/>
      <c r="R79" s="226"/>
      <c r="S79" s="226"/>
      <c r="T79" s="226"/>
      <c r="U79" s="226"/>
      <c r="AJ79" s="226"/>
      <c r="AK79" s="226"/>
    </row>
    <row r="80" spans="3:37" x14ac:dyDescent="0.35">
      <c r="C80" s="226"/>
      <c r="E80" s="226"/>
      <c r="G80" s="226"/>
      <c r="I80" s="226"/>
      <c r="J80" s="226"/>
      <c r="P80" s="226"/>
      <c r="Q80" s="226"/>
      <c r="R80" s="226"/>
      <c r="S80" s="226"/>
      <c r="T80" s="226"/>
      <c r="U80" s="226"/>
      <c r="AJ80" s="226"/>
      <c r="AK80" s="226"/>
    </row>
    <row r="81" spans="3:37" x14ac:dyDescent="0.35">
      <c r="C81" s="226"/>
      <c r="E81" s="226"/>
      <c r="G81" s="226"/>
      <c r="I81" s="226"/>
      <c r="J81" s="226"/>
      <c r="P81" s="226"/>
      <c r="Q81" s="226"/>
      <c r="R81" s="226"/>
      <c r="S81" s="226"/>
      <c r="T81" s="226"/>
      <c r="U81" s="226"/>
      <c r="AJ81" s="226"/>
      <c r="AK81" s="226"/>
    </row>
    <row r="82" spans="3:37" x14ac:dyDescent="0.35">
      <c r="C82" s="226"/>
      <c r="E82" s="226"/>
      <c r="G82" s="226"/>
      <c r="I82" s="226"/>
      <c r="J82" s="226"/>
      <c r="P82" s="226"/>
      <c r="Q82" s="226"/>
      <c r="R82" s="226"/>
      <c r="S82" s="226"/>
      <c r="T82" s="226"/>
      <c r="U82" s="226"/>
      <c r="AJ82" s="226"/>
      <c r="AK82" s="226"/>
    </row>
    <row r="83" spans="3:37" x14ac:dyDescent="0.35">
      <c r="C83" s="226"/>
      <c r="E83" s="226"/>
      <c r="G83" s="226"/>
      <c r="I83" s="226"/>
      <c r="J83" s="226"/>
      <c r="P83" s="226"/>
      <c r="Q83" s="226"/>
      <c r="R83" s="226"/>
      <c r="S83" s="226"/>
      <c r="T83" s="226"/>
      <c r="U83" s="226"/>
      <c r="AJ83" s="226"/>
      <c r="AK83" s="226"/>
    </row>
    <row r="84" spans="3:37" x14ac:dyDescent="0.35">
      <c r="C84" s="226"/>
      <c r="E84" s="226"/>
      <c r="G84" s="226"/>
      <c r="I84" s="226"/>
      <c r="J84" s="226"/>
      <c r="P84" s="226"/>
      <c r="Q84" s="226"/>
      <c r="R84" s="226"/>
      <c r="S84" s="226"/>
      <c r="T84" s="226"/>
      <c r="U84" s="226"/>
      <c r="AJ84" s="226"/>
      <c r="AK84" s="226"/>
    </row>
    <row r="85" spans="3:37" x14ac:dyDescent="0.35">
      <c r="C85" s="226"/>
      <c r="E85" s="226"/>
      <c r="G85" s="226"/>
      <c r="I85" s="226"/>
      <c r="J85" s="226"/>
      <c r="P85" s="226"/>
      <c r="Q85" s="226"/>
      <c r="R85" s="226"/>
      <c r="S85" s="226"/>
      <c r="T85" s="226"/>
      <c r="U85" s="226"/>
      <c r="AJ85" s="226"/>
      <c r="AK85" s="226"/>
    </row>
    <row r="86" spans="3:37" x14ac:dyDescent="0.35">
      <c r="C86" s="226"/>
      <c r="E86" s="226"/>
      <c r="G86" s="226"/>
      <c r="I86" s="226"/>
      <c r="J86" s="226"/>
      <c r="P86" s="226"/>
      <c r="Q86" s="226"/>
      <c r="R86" s="226"/>
      <c r="S86" s="226"/>
      <c r="T86" s="226"/>
      <c r="U86" s="226"/>
      <c r="AJ86" s="226"/>
      <c r="AK86" s="226"/>
    </row>
    <row r="87" spans="3:37" x14ac:dyDescent="0.35">
      <c r="C87" s="226"/>
      <c r="E87" s="226"/>
      <c r="G87" s="226"/>
      <c r="I87" s="226"/>
      <c r="J87" s="226"/>
      <c r="P87" s="226"/>
      <c r="Q87" s="226"/>
      <c r="R87" s="226"/>
      <c r="S87" s="226"/>
      <c r="T87" s="226"/>
      <c r="U87" s="226"/>
      <c r="AJ87" s="226"/>
      <c r="AK87" s="226"/>
    </row>
    <row r="88" spans="3:37" x14ac:dyDescent="0.35">
      <c r="C88" s="226"/>
      <c r="E88" s="226"/>
      <c r="G88" s="226"/>
      <c r="I88" s="226"/>
      <c r="J88" s="226"/>
      <c r="P88" s="226"/>
      <c r="Q88" s="226"/>
      <c r="R88" s="226"/>
      <c r="S88" s="226"/>
      <c r="T88" s="226"/>
      <c r="U88" s="226"/>
      <c r="AJ88" s="226"/>
      <c r="AK88" s="226"/>
    </row>
    <row r="89" spans="3:37" x14ac:dyDescent="0.35">
      <c r="C89" s="226"/>
      <c r="E89" s="226"/>
      <c r="G89" s="226"/>
      <c r="I89" s="226"/>
      <c r="J89" s="226"/>
      <c r="P89" s="226"/>
      <c r="Q89" s="226"/>
      <c r="R89" s="226"/>
      <c r="S89" s="226"/>
      <c r="T89" s="226"/>
      <c r="U89" s="226"/>
      <c r="AJ89" s="226"/>
      <c r="AK89" s="226"/>
    </row>
    <row r="90" spans="3:37" x14ac:dyDescent="0.35">
      <c r="C90" s="226"/>
      <c r="E90" s="226"/>
      <c r="G90" s="226"/>
      <c r="I90" s="226"/>
      <c r="J90" s="226"/>
      <c r="P90" s="226"/>
      <c r="Q90" s="226"/>
      <c r="R90" s="226"/>
      <c r="S90" s="226"/>
      <c r="T90" s="226"/>
      <c r="U90" s="226"/>
      <c r="AJ90" s="226"/>
      <c r="AK90" s="226"/>
    </row>
    <row r="91" spans="3:37" x14ac:dyDescent="0.35">
      <c r="C91" s="226"/>
      <c r="E91" s="226"/>
      <c r="G91" s="226"/>
      <c r="I91" s="226"/>
      <c r="J91" s="226"/>
      <c r="P91" s="226"/>
      <c r="Q91" s="226"/>
      <c r="R91" s="226"/>
      <c r="S91" s="226"/>
      <c r="T91" s="226"/>
      <c r="U91" s="226"/>
      <c r="AJ91" s="226"/>
      <c r="AK91" s="226"/>
    </row>
    <row r="92" spans="3:37" x14ac:dyDescent="0.35">
      <c r="C92" s="226"/>
      <c r="E92" s="226"/>
      <c r="G92" s="226"/>
      <c r="I92" s="226"/>
      <c r="J92" s="226"/>
      <c r="P92" s="226"/>
      <c r="Q92" s="226"/>
      <c r="R92" s="226"/>
      <c r="S92" s="226"/>
      <c r="T92" s="226"/>
      <c r="U92" s="226"/>
      <c r="AJ92" s="226"/>
      <c r="AK92" s="226"/>
    </row>
    <row r="93" spans="3:37" x14ac:dyDescent="0.35">
      <c r="C93" s="226"/>
      <c r="E93" s="226"/>
      <c r="G93" s="226"/>
      <c r="I93" s="226"/>
      <c r="J93" s="226"/>
      <c r="P93" s="226"/>
      <c r="Q93" s="226"/>
      <c r="R93" s="226"/>
      <c r="S93" s="226"/>
      <c r="T93" s="226"/>
      <c r="U93" s="226"/>
      <c r="AJ93" s="226"/>
      <c r="AK93" s="226"/>
    </row>
    <row r="94" spans="3:37" x14ac:dyDescent="0.35">
      <c r="C94" s="226"/>
      <c r="E94" s="226"/>
      <c r="G94" s="226"/>
      <c r="I94" s="226"/>
      <c r="J94" s="226"/>
      <c r="P94" s="226"/>
      <c r="Q94" s="226"/>
      <c r="R94" s="226"/>
      <c r="S94" s="226"/>
      <c r="T94" s="226"/>
      <c r="U94" s="226"/>
      <c r="AJ94" s="226"/>
      <c r="AK94" s="226"/>
    </row>
    <row r="95" spans="3:37" x14ac:dyDescent="0.35">
      <c r="C95" s="226"/>
      <c r="E95" s="226"/>
      <c r="G95" s="226"/>
      <c r="I95" s="226"/>
      <c r="J95" s="226"/>
      <c r="P95" s="226"/>
      <c r="Q95" s="226"/>
      <c r="R95" s="226"/>
      <c r="S95" s="226"/>
      <c r="T95" s="226"/>
      <c r="U95" s="226"/>
      <c r="AJ95" s="226"/>
      <c r="AK95" s="226"/>
    </row>
    <row r="96" spans="3:37" x14ac:dyDescent="0.35">
      <c r="C96" s="226"/>
      <c r="E96" s="226"/>
      <c r="G96" s="226"/>
      <c r="I96" s="226"/>
      <c r="J96" s="226"/>
      <c r="P96" s="226"/>
      <c r="Q96" s="226"/>
      <c r="R96" s="226"/>
      <c r="S96" s="226"/>
      <c r="T96" s="226"/>
      <c r="U96" s="226"/>
      <c r="AJ96" s="226"/>
      <c r="AK96" s="226"/>
    </row>
    <row r="97" spans="3:37" x14ac:dyDescent="0.35">
      <c r="C97" s="226"/>
      <c r="E97" s="226"/>
      <c r="G97" s="226"/>
      <c r="I97" s="226"/>
      <c r="J97" s="226"/>
      <c r="P97" s="226"/>
      <c r="Q97" s="226"/>
      <c r="R97" s="226"/>
      <c r="S97" s="226"/>
      <c r="T97" s="226"/>
      <c r="U97" s="226"/>
      <c r="AJ97" s="226"/>
      <c r="AK97" s="226"/>
    </row>
    <row r="98" spans="3:37" x14ac:dyDescent="0.35">
      <c r="C98" s="226"/>
      <c r="E98" s="226"/>
      <c r="G98" s="226"/>
      <c r="I98" s="226"/>
      <c r="J98" s="226"/>
      <c r="P98" s="226"/>
      <c r="Q98" s="226"/>
      <c r="R98" s="226"/>
      <c r="S98" s="226"/>
      <c r="T98" s="226"/>
      <c r="U98" s="226"/>
      <c r="AJ98" s="226"/>
      <c r="AK98" s="226"/>
    </row>
    <row r="99" spans="3:37" x14ac:dyDescent="0.35">
      <c r="C99" s="226"/>
      <c r="E99" s="226"/>
      <c r="G99" s="226"/>
      <c r="I99" s="226"/>
      <c r="J99" s="226"/>
      <c r="P99" s="226"/>
      <c r="Q99" s="226"/>
      <c r="R99" s="226"/>
      <c r="S99" s="226"/>
      <c r="T99" s="226"/>
      <c r="U99" s="226"/>
      <c r="AJ99" s="226"/>
      <c r="AK99" s="226"/>
    </row>
    <row r="100" spans="3:37" x14ac:dyDescent="0.35">
      <c r="C100" s="226"/>
      <c r="E100" s="226"/>
      <c r="G100" s="226"/>
      <c r="I100" s="226"/>
      <c r="J100" s="226"/>
      <c r="P100" s="226"/>
      <c r="Q100" s="226"/>
      <c r="R100" s="226"/>
      <c r="S100" s="226"/>
      <c r="T100" s="226"/>
      <c r="U100" s="226"/>
      <c r="AJ100" s="226"/>
      <c r="AK100" s="226"/>
    </row>
    <row r="101" spans="3:37" x14ac:dyDescent="0.35">
      <c r="C101" s="226"/>
      <c r="E101" s="226"/>
      <c r="G101" s="226"/>
      <c r="I101" s="226"/>
      <c r="J101" s="226"/>
      <c r="P101" s="226"/>
      <c r="Q101" s="226"/>
      <c r="R101" s="226"/>
      <c r="S101" s="226"/>
      <c r="T101" s="226"/>
      <c r="U101" s="226"/>
    </row>
    <row r="102" spans="3:37" x14ac:dyDescent="0.35">
      <c r="C102" s="226"/>
      <c r="E102" s="226"/>
      <c r="G102" s="226"/>
      <c r="I102" s="226"/>
      <c r="J102" s="226"/>
      <c r="P102" s="226"/>
      <c r="Q102" s="226"/>
      <c r="R102" s="226"/>
      <c r="S102" s="226"/>
      <c r="T102" s="226"/>
      <c r="U102" s="226"/>
    </row>
    <row r="103" spans="3:37" x14ac:dyDescent="0.35">
      <c r="C103" s="226"/>
      <c r="E103" s="226"/>
      <c r="G103" s="226"/>
      <c r="I103" s="226"/>
      <c r="J103" s="226"/>
      <c r="P103" s="226"/>
      <c r="Q103" s="226"/>
      <c r="R103" s="226"/>
      <c r="S103" s="226"/>
      <c r="T103" s="226"/>
      <c r="U103" s="226"/>
    </row>
    <row r="104" spans="3:37" x14ac:dyDescent="0.35">
      <c r="C104" s="226"/>
      <c r="E104" s="226"/>
      <c r="G104" s="226"/>
      <c r="I104" s="226"/>
      <c r="J104" s="226"/>
      <c r="P104" s="226"/>
      <c r="Q104" s="226"/>
      <c r="R104" s="226"/>
      <c r="S104" s="226"/>
      <c r="T104" s="226"/>
      <c r="U104" s="226"/>
    </row>
    <row r="105" spans="3:37" x14ac:dyDescent="0.35">
      <c r="C105" s="226"/>
      <c r="E105" s="226"/>
      <c r="G105" s="226"/>
      <c r="I105" s="226"/>
      <c r="J105" s="226"/>
      <c r="P105" s="226"/>
      <c r="Q105" s="226"/>
      <c r="R105" s="226"/>
      <c r="S105" s="226"/>
      <c r="T105" s="226"/>
      <c r="U105" s="226"/>
    </row>
    <row r="106" spans="3:37" x14ac:dyDescent="0.35">
      <c r="C106" s="226"/>
      <c r="E106" s="226"/>
      <c r="G106" s="226"/>
      <c r="I106" s="226"/>
      <c r="J106" s="226"/>
      <c r="P106" s="226"/>
      <c r="Q106" s="226"/>
      <c r="R106" s="226"/>
      <c r="S106" s="226"/>
      <c r="T106" s="226"/>
      <c r="U106" s="226"/>
    </row>
    <row r="107" spans="3:37" x14ac:dyDescent="0.35">
      <c r="C107" s="226"/>
      <c r="E107" s="226"/>
      <c r="G107" s="226"/>
      <c r="I107" s="226"/>
      <c r="J107" s="226"/>
      <c r="P107" s="226"/>
      <c r="Q107" s="226"/>
      <c r="R107" s="226"/>
      <c r="S107" s="226"/>
      <c r="T107" s="226"/>
      <c r="U107" s="226"/>
    </row>
    <row r="108" spans="3:37" x14ac:dyDescent="0.35">
      <c r="C108" s="226"/>
      <c r="E108" s="226"/>
      <c r="G108" s="226"/>
      <c r="I108" s="226"/>
      <c r="J108" s="226"/>
      <c r="P108" s="226"/>
      <c r="Q108" s="226"/>
      <c r="R108" s="226"/>
      <c r="S108" s="226"/>
      <c r="T108" s="226"/>
      <c r="U108" s="226"/>
    </row>
    <row r="109" spans="3:37" x14ac:dyDescent="0.35">
      <c r="C109" s="226"/>
      <c r="E109" s="226"/>
      <c r="G109" s="226"/>
      <c r="I109" s="226"/>
      <c r="J109" s="226"/>
      <c r="P109" s="226"/>
      <c r="Q109" s="226"/>
      <c r="R109" s="226"/>
      <c r="S109" s="226"/>
      <c r="T109" s="226"/>
      <c r="U109" s="226"/>
    </row>
    <row r="110" spans="3:37" x14ac:dyDescent="0.35">
      <c r="C110" s="226"/>
      <c r="E110" s="226"/>
      <c r="G110" s="226"/>
      <c r="I110" s="226"/>
      <c r="J110" s="226"/>
      <c r="P110" s="226"/>
      <c r="Q110" s="226"/>
      <c r="R110" s="226"/>
      <c r="S110" s="226"/>
      <c r="T110" s="226"/>
      <c r="U110" s="226"/>
    </row>
    <row r="111" spans="3:37" x14ac:dyDescent="0.35">
      <c r="C111" s="226"/>
      <c r="E111" s="226"/>
      <c r="G111" s="226"/>
      <c r="I111" s="226"/>
      <c r="J111" s="226"/>
      <c r="P111" s="226"/>
      <c r="Q111" s="226"/>
      <c r="R111" s="226"/>
      <c r="S111" s="226"/>
      <c r="T111" s="226"/>
      <c r="U111" s="226"/>
    </row>
    <row r="112" spans="3:37" x14ac:dyDescent="0.35">
      <c r="C112" s="226"/>
      <c r="E112" s="226"/>
      <c r="G112" s="226"/>
      <c r="I112" s="226"/>
      <c r="J112" s="226"/>
      <c r="P112" s="226"/>
      <c r="Q112" s="226"/>
      <c r="R112" s="226"/>
      <c r="S112" s="226"/>
      <c r="T112" s="226"/>
      <c r="U112" s="226"/>
    </row>
    <row r="113" spans="3:21" x14ac:dyDescent="0.35">
      <c r="C113" s="226"/>
      <c r="E113" s="226"/>
      <c r="G113" s="226"/>
      <c r="I113" s="226"/>
      <c r="J113" s="226"/>
      <c r="P113" s="226"/>
      <c r="Q113" s="226"/>
      <c r="R113" s="226"/>
      <c r="S113" s="226"/>
      <c r="T113" s="226"/>
      <c r="U113" s="226"/>
    </row>
    <row r="114" spans="3:21" x14ac:dyDescent="0.35">
      <c r="C114" s="226"/>
      <c r="E114" s="226"/>
      <c r="G114" s="226"/>
      <c r="I114" s="226"/>
      <c r="J114" s="226"/>
      <c r="P114" s="226"/>
      <c r="Q114" s="226"/>
      <c r="R114" s="226"/>
      <c r="S114" s="226"/>
      <c r="T114" s="226"/>
      <c r="U114" s="226"/>
    </row>
    <row r="115" spans="3:21" x14ac:dyDescent="0.35">
      <c r="C115" s="226"/>
      <c r="E115" s="226"/>
      <c r="G115" s="226"/>
      <c r="I115" s="226"/>
      <c r="J115" s="226"/>
      <c r="P115" s="226"/>
      <c r="Q115" s="226"/>
      <c r="R115" s="226"/>
      <c r="S115" s="226"/>
      <c r="T115" s="226"/>
      <c r="U115" s="226"/>
    </row>
    <row r="116" spans="3:21" x14ac:dyDescent="0.35">
      <c r="C116" s="226"/>
      <c r="E116" s="226"/>
      <c r="G116" s="226"/>
      <c r="I116" s="226"/>
      <c r="J116" s="226"/>
      <c r="P116" s="226"/>
      <c r="Q116" s="226"/>
      <c r="R116" s="226"/>
      <c r="S116" s="226"/>
      <c r="T116" s="226"/>
      <c r="U116" s="226"/>
    </row>
    <row r="117" spans="3:21" x14ac:dyDescent="0.35">
      <c r="C117" s="226"/>
      <c r="E117" s="226"/>
      <c r="G117" s="226"/>
      <c r="I117" s="226"/>
      <c r="J117" s="226"/>
      <c r="P117" s="226"/>
      <c r="Q117" s="226"/>
      <c r="R117" s="226"/>
      <c r="S117" s="226"/>
      <c r="T117" s="226"/>
      <c r="U117" s="226"/>
    </row>
    <row r="118" spans="3:21" x14ac:dyDescent="0.35">
      <c r="C118" s="226"/>
      <c r="E118" s="226"/>
      <c r="G118" s="226"/>
      <c r="I118" s="226"/>
      <c r="J118" s="226"/>
      <c r="P118" s="226"/>
      <c r="Q118" s="226"/>
      <c r="R118" s="226"/>
      <c r="S118" s="226"/>
      <c r="T118" s="226"/>
      <c r="U118" s="226"/>
    </row>
    <row r="119" spans="3:21" x14ac:dyDescent="0.35">
      <c r="C119" s="226"/>
      <c r="E119" s="226"/>
      <c r="G119" s="226"/>
      <c r="I119" s="226"/>
      <c r="J119" s="226"/>
      <c r="P119" s="226"/>
      <c r="Q119" s="226"/>
      <c r="R119" s="226"/>
      <c r="S119" s="226"/>
      <c r="T119" s="226"/>
      <c r="U119" s="226"/>
    </row>
    <row r="120" spans="3:21" x14ac:dyDescent="0.35">
      <c r="C120" s="226"/>
      <c r="E120" s="226"/>
      <c r="G120" s="226"/>
      <c r="I120" s="226"/>
      <c r="J120" s="226"/>
      <c r="P120" s="226"/>
      <c r="Q120" s="226"/>
      <c r="R120" s="226"/>
      <c r="S120" s="226"/>
      <c r="T120" s="226"/>
      <c r="U120" s="226"/>
    </row>
    <row r="121" spans="3:21" x14ac:dyDescent="0.35">
      <c r="C121" s="226"/>
      <c r="E121" s="226"/>
      <c r="G121" s="226"/>
      <c r="I121" s="226"/>
      <c r="J121" s="226"/>
      <c r="P121" s="226"/>
      <c r="Q121" s="226"/>
      <c r="R121" s="226"/>
      <c r="S121" s="226"/>
      <c r="T121" s="226"/>
      <c r="U121" s="226"/>
    </row>
    <row r="122" spans="3:21" x14ac:dyDescent="0.35">
      <c r="C122" s="226"/>
      <c r="E122" s="226"/>
      <c r="G122" s="226"/>
      <c r="I122" s="226"/>
      <c r="J122" s="226"/>
      <c r="P122" s="226"/>
      <c r="Q122" s="226"/>
      <c r="R122" s="226"/>
      <c r="S122" s="226"/>
      <c r="T122" s="226"/>
      <c r="U122" s="226"/>
    </row>
    <row r="123" spans="3:21" x14ac:dyDescent="0.35">
      <c r="C123" s="226"/>
      <c r="E123" s="226"/>
      <c r="G123" s="226"/>
      <c r="I123" s="226"/>
      <c r="J123" s="226"/>
      <c r="P123" s="226"/>
      <c r="Q123" s="226"/>
      <c r="R123" s="226"/>
      <c r="S123" s="226"/>
      <c r="T123" s="226"/>
      <c r="U123" s="226"/>
    </row>
    <row r="124" spans="3:21" x14ac:dyDescent="0.35">
      <c r="C124" s="226"/>
      <c r="E124" s="226"/>
      <c r="G124" s="226"/>
      <c r="I124" s="226"/>
      <c r="J124" s="226"/>
      <c r="P124" s="226"/>
      <c r="Q124" s="226"/>
      <c r="R124" s="226"/>
      <c r="S124" s="226"/>
      <c r="T124" s="226"/>
      <c r="U124" s="226"/>
    </row>
    <row r="125" spans="3:21" x14ac:dyDescent="0.35">
      <c r="C125" s="226"/>
      <c r="E125" s="226"/>
      <c r="G125" s="226"/>
      <c r="I125" s="226"/>
      <c r="J125" s="226"/>
      <c r="P125" s="226"/>
      <c r="Q125" s="226"/>
      <c r="R125" s="226"/>
      <c r="S125" s="226"/>
      <c r="T125" s="226"/>
      <c r="U125" s="226"/>
    </row>
    <row r="126" spans="3:21" x14ac:dyDescent="0.35">
      <c r="C126" s="226"/>
      <c r="E126" s="226"/>
      <c r="G126" s="226"/>
      <c r="I126" s="226"/>
      <c r="J126" s="226"/>
      <c r="P126" s="226"/>
      <c r="Q126" s="226"/>
      <c r="R126" s="226"/>
      <c r="S126" s="226"/>
      <c r="T126" s="226"/>
      <c r="U126" s="226"/>
    </row>
    <row r="127" spans="3:21" x14ac:dyDescent="0.35">
      <c r="C127" s="226"/>
      <c r="E127" s="226"/>
      <c r="G127" s="226"/>
      <c r="I127" s="226"/>
      <c r="J127" s="226"/>
      <c r="P127" s="226"/>
      <c r="Q127" s="226"/>
      <c r="R127" s="226"/>
      <c r="S127" s="226"/>
      <c r="T127" s="226"/>
      <c r="U127" s="226"/>
    </row>
    <row r="128" spans="3:21" x14ac:dyDescent="0.35">
      <c r="C128" s="226"/>
      <c r="E128" s="226"/>
      <c r="G128" s="226"/>
      <c r="I128" s="226"/>
      <c r="J128" s="226"/>
      <c r="P128" s="226"/>
      <c r="Q128" s="226"/>
      <c r="R128" s="226"/>
      <c r="S128" s="226"/>
      <c r="T128" s="226"/>
      <c r="U128" s="226"/>
    </row>
    <row r="129" spans="3:21" x14ac:dyDescent="0.35">
      <c r="C129" s="226"/>
      <c r="E129" s="226"/>
      <c r="G129" s="226"/>
      <c r="I129" s="226"/>
      <c r="J129" s="226"/>
      <c r="P129" s="226"/>
      <c r="Q129" s="226"/>
      <c r="R129" s="226"/>
      <c r="S129" s="226"/>
      <c r="T129" s="226"/>
      <c r="U129" s="226"/>
    </row>
    <row r="130" spans="3:21" x14ac:dyDescent="0.35">
      <c r="C130" s="226"/>
      <c r="E130" s="226"/>
      <c r="G130" s="226"/>
      <c r="I130" s="226"/>
      <c r="J130" s="226"/>
      <c r="P130" s="226"/>
      <c r="Q130" s="226"/>
      <c r="R130" s="226"/>
      <c r="S130" s="226"/>
      <c r="T130" s="226"/>
      <c r="U130" s="226"/>
    </row>
    <row r="131" spans="3:21" x14ac:dyDescent="0.35">
      <c r="C131" s="226"/>
      <c r="E131" s="226"/>
      <c r="G131" s="226"/>
      <c r="I131" s="226"/>
      <c r="J131" s="226"/>
      <c r="P131" s="226"/>
      <c r="Q131" s="226"/>
      <c r="R131" s="226"/>
      <c r="S131" s="226"/>
      <c r="T131" s="226"/>
      <c r="U131" s="226"/>
    </row>
    <row r="132" spans="3:21" x14ac:dyDescent="0.35">
      <c r="C132" s="226"/>
      <c r="E132" s="226"/>
      <c r="G132" s="226"/>
      <c r="I132" s="226"/>
      <c r="J132" s="226"/>
      <c r="P132" s="226"/>
      <c r="Q132" s="226"/>
      <c r="R132" s="226"/>
      <c r="S132" s="226"/>
      <c r="T132" s="226"/>
      <c r="U132" s="226"/>
    </row>
    <row r="133" spans="3:21" x14ac:dyDescent="0.35">
      <c r="C133" s="226"/>
      <c r="E133" s="226"/>
      <c r="G133" s="226"/>
      <c r="I133" s="226"/>
      <c r="J133" s="226"/>
      <c r="P133" s="226"/>
      <c r="Q133" s="226"/>
      <c r="R133" s="226"/>
      <c r="S133" s="226"/>
      <c r="T133" s="226"/>
      <c r="U133" s="226"/>
    </row>
    <row r="134" spans="3:21" x14ac:dyDescent="0.35">
      <c r="C134" s="226"/>
      <c r="E134" s="226"/>
      <c r="G134" s="226"/>
      <c r="I134" s="226"/>
      <c r="J134" s="226"/>
      <c r="P134" s="226"/>
      <c r="Q134" s="226"/>
      <c r="R134" s="226"/>
      <c r="S134" s="226"/>
      <c r="T134" s="226"/>
      <c r="U134" s="226"/>
    </row>
    <row r="135" spans="3:21" x14ac:dyDescent="0.35">
      <c r="C135" s="226"/>
      <c r="E135" s="226"/>
      <c r="G135" s="226"/>
      <c r="I135" s="226"/>
      <c r="J135" s="226"/>
      <c r="P135" s="226"/>
      <c r="Q135" s="226"/>
      <c r="R135" s="226"/>
      <c r="S135" s="226"/>
      <c r="T135" s="226"/>
      <c r="U135" s="226"/>
    </row>
    <row r="136" spans="3:21" x14ac:dyDescent="0.35">
      <c r="C136" s="226"/>
      <c r="E136" s="226"/>
      <c r="G136" s="226"/>
      <c r="I136" s="226"/>
      <c r="J136" s="226"/>
      <c r="P136" s="226"/>
      <c r="Q136" s="226"/>
      <c r="R136" s="226"/>
      <c r="S136" s="226"/>
      <c r="T136" s="226"/>
      <c r="U136" s="226"/>
    </row>
    <row r="137" spans="3:21" x14ac:dyDescent="0.35">
      <c r="C137" s="226"/>
      <c r="E137" s="226"/>
      <c r="G137" s="226"/>
      <c r="I137" s="226"/>
      <c r="J137" s="226"/>
      <c r="P137" s="226"/>
      <c r="Q137" s="226"/>
      <c r="R137" s="226"/>
      <c r="S137" s="226"/>
      <c r="T137" s="226"/>
      <c r="U137" s="226"/>
    </row>
    <row r="138" spans="3:21" x14ac:dyDescent="0.35">
      <c r="C138" s="226"/>
      <c r="E138" s="226"/>
      <c r="G138" s="226"/>
      <c r="I138" s="226"/>
      <c r="J138" s="226"/>
      <c r="P138" s="226"/>
      <c r="Q138" s="226"/>
      <c r="R138" s="226"/>
      <c r="S138" s="226"/>
      <c r="T138" s="226"/>
      <c r="U138" s="226"/>
    </row>
    <row r="139" spans="3:21" x14ac:dyDescent="0.35">
      <c r="C139" s="226"/>
      <c r="E139" s="226"/>
      <c r="G139" s="226"/>
      <c r="I139" s="226"/>
      <c r="J139" s="226"/>
      <c r="P139" s="226"/>
      <c r="Q139" s="226"/>
      <c r="R139" s="226"/>
      <c r="S139" s="226"/>
      <c r="T139" s="226"/>
      <c r="U139" s="226"/>
    </row>
    <row r="140" spans="3:21" x14ac:dyDescent="0.35">
      <c r="C140" s="226"/>
      <c r="E140" s="226"/>
      <c r="G140" s="226"/>
      <c r="I140" s="226"/>
      <c r="J140" s="226"/>
      <c r="P140" s="226"/>
      <c r="Q140" s="226"/>
      <c r="R140" s="226"/>
      <c r="S140" s="226"/>
      <c r="T140" s="226"/>
      <c r="U140" s="226"/>
    </row>
    <row r="141" spans="3:21" x14ac:dyDescent="0.35">
      <c r="C141" s="226"/>
      <c r="E141" s="226"/>
      <c r="G141" s="226"/>
      <c r="I141" s="226"/>
      <c r="J141" s="226"/>
      <c r="P141" s="226"/>
      <c r="Q141" s="226"/>
      <c r="R141" s="226"/>
      <c r="S141" s="226"/>
      <c r="T141" s="226"/>
      <c r="U141" s="226"/>
    </row>
    <row r="142" spans="3:21" x14ac:dyDescent="0.35">
      <c r="C142" s="226"/>
      <c r="E142" s="226"/>
      <c r="G142" s="226"/>
      <c r="I142" s="226"/>
      <c r="J142" s="226"/>
      <c r="P142" s="226"/>
      <c r="Q142" s="226"/>
      <c r="R142" s="226"/>
      <c r="S142" s="226"/>
      <c r="T142" s="226"/>
      <c r="U142" s="226"/>
    </row>
    <row r="143" spans="3:21" x14ac:dyDescent="0.35">
      <c r="C143" s="226"/>
      <c r="E143" s="226"/>
      <c r="G143" s="226"/>
      <c r="I143" s="226"/>
      <c r="J143" s="226"/>
      <c r="P143" s="226"/>
      <c r="Q143" s="226"/>
      <c r="R143" s="226"/>
      <c r="S143" s="226"/>
      <c r="T143" s="226"/>
      <c r="U143" s="226"/>
    </row>
    <row r="144" spans="3:21" x14ac:dyDescent="0.35">
      <c r="C144" s="226"/>
      <c r="E144" s="226"/>
      <c r="G144" s="226"/>
      <c r="I144" s="226"/>
      <c r="J144" s="226"/>
      <c r="P144" s="226"/>
      <c r="Q144" s="226"/>
      <c r="R144" s="226"/>
      <c r="S144" s="226"/>
      <c r="T144" s="226"/>
      <c r="U144" s="226"/>
    </row>
    <row r="145" spans="3:21" x14ac:dyDescent="0.35">
      <c r="C145" s="226"/>
      <c r="E145" s="226"/>
      <c r="G145" s="226"/>
      <c r="I145" s="226"/>
      <c r="J145" s="226"/>
      <c r="P145" s="226"/>
      <c r="Q145" s="226"/>
      <c r="R145" s="226"/>
      <c r="S145" s="226"/>
      <c r="T145" s="226"/>
      <c r="U145" s="226"/>
    </row>
    <row r="146" spans="3:21" x14ac:dyDescent="0.35">
      <c r="C146" s="226"/>
      <c r="E146" s="226"/>
      <c r="G146" s="226"/>
      <c r="I146" s="226"/>
      <c r="J146" s="226"/>
      <c r="P146" s="226"/>
      <c r="Q146" s="226"/>
      <c r="R146" s="226"/>
      <c r="S146" s="226"/>
      <c r="T146" s="226"/>
      <c r="U146" s="226"/>
    </row>
    <row r="147" spans="3:21" x14ac:dyDescent="0.35">
      <c r="C147" s="226"/>
      <c r="E147" s="226"/>
      <c r="G147" s="226"/>
      <c r="I147" s="226"/>
      <c r="J147" s="226"/>
      <c r="P147" s="226"/>
      <c r="Q147" s="226"/>
      <c r="R147" s="226"/>
      <c r="S147" s="226"/>
      <c r="T147" s="226"/>
      <c r="U147" s="226"/>
    </row>
    <row r="148" spans="3:21" x14ac:dyDescent="0.35">
      <c r="C148" s="226"/>
      <c r="E148" s="226"/>
      <c r="G148" s="226"/>
      <c r="I148" s="226"/>
      <c r="J148" s="226"/>
      <c r="P148" s="226"/>
      <c r="Q148" s="226"/>
      <c r="R148" s="226"/>
      <c r="S148" s="226"/>
      <c r="T148" s="226"/>
      <c r="U148" s="226"/>
    </row>
    <row r="149" spans="3:21" x14ac:dyDescent="0.35">
      <c r="C149" s="226"/>
      <c r="E149" s="226"/>
      <c r="G149" s="226"/>
      <c r="I149" s="226"/>
      <c r="J149" s="226"/>
      <c r="P149" s="226"/>
      <c r="Q149" s="226"/>
      <c r="R149" s="226"/>
      <c r="S149" s="226"/>
      <c r="T149" s="226"/>
      <c r="U149" s="226"/>
    </row>
    <row r="150" spans="3:21" x14ac:dyDescent="0.35">
      <c r="C150" s="226"/>
      <c r="E150" s="226"/>
      <c r="G150" s="226"/>
      <c r="I150" s="226"/>
      <c r="J150" s="226"/>
      <c r="P150" s="226"/>
      <c r="Q150" s="226"/>
      <c r="R150" s="226"/>
      <c r="S150" s="226"/>
      <c r="T150" s="226"/>
      <c r="U150" s="226"/>
    </row>
    <row r="151" spans="3:21" x14ac:dyDescent="0.35">
      <c r="C151" s="226"/>
      <c r="E151" s="226"/>
      <c r="G151" s="226"/>
      <c r="I151" s="226"/>
      <c r="J151" s="226"/>
      <c r="P151" s="226"/>
      <c r="Q151" s="226"/>
      <c r="R151" s="226"/>
      <c r="S151" s="226"/>
      <c r="T151" s="226"/>
      <c r="U151" s="226"/>
    </row>
    <row r="152" spans="3:21" x14ac:dyDescent="0.35">
      <c r="C152" s="226"/>
      <c r="E152" s="226"/>
      <c r="G152" s="226"/>
      <c r="I152" s="226"/>
      <c r="J152" s="226"/>
      <c r="P152" s="226"/>
      <c r="Q152" s="226"/>
      <c r="R152" s="226"/>
      <c r="S152" s="226"/>
      <c r="T152" s="226"/>
      <c r="U152" s="226"/>
    </row>
    <row r="153" spans="3:21" x14ac:dyDescent="0.35">
      <c r="C153" s="226"/>
      <c r="E153" s="226"/>
      <c r="G153" s="226"/>
      <c r="I153" s="226"/>
      <c r="J153" s="226"/>
      <c r="P153" s="226"/>
      <c r="Q153" s="226"/>
      <c r="R153" s="226"/>
      <c r="S153" s="226"/>
      <c r="T153" s="226"/>
      <c r="U153" s="226"/>
    </row>
    <row r="154" spans="3:21" x14ac:dyDescent="0.35">
      <c r="C154" s="226"/>
      <c r="E154" s="226"/>
      <c r="G154" s="226"/>
      <c r="I154" s="226"/>
      <c r="J154" s="226"/>
      <c r="P154" s="226"/>
      <c r="Q154" s="226"/>
      <c r="R154" s="226"/>
      <c r="S154" s="226"/>
      <c r="T154" s="226"/>
      <c r="U154" s="226"/>
    </row>
    <row r="155" spans="3:21" x14ac:dyDescent="0.35">
      <c r="C155" s="226"/>
      <c r="E155" s="226"/>
      <c r="G155" s="226"/>
      <c r="I155" s="226"/>
      <c r="J155" s="226"/>
      <c r="P155" s="226"/>
      <c r="Q155" s="226"/>
      <c r="R155" s="226"/>
      <c r="S155" s="226"/>
      <c r="T155" s="226"/>
      <c r="U155" s="226"/>
    </row>
    <row r="156" spans="3:21" x14ac:dyDescent="0.35">
      <c r="C156" s="226"/>
      <c r="E156" s="226"/>
      <c r="G156" s="226"/>
      <c r="I156" s="226"/>
      <c r="J156" s="226"/>
      <c r="P156" s="226"/>
      <c r="Q156" s="226"/>
      <c r="R156" s="226"/>
      <c r="S156" s="226"/>
      <c r="T156" s="226"/>
      <c r="U156" s="226"/>
    </row>
    <row r="157" spans="3:21" x14ac:dyDescent="0.35">
      <c r="C157" s="226"/>
      <c r="E157" s="226"/>
      <c r="G157" s="226"/>
      <c r="I157" s="226"/>
      <c r="J157" s="226"/>
      <c r="P157" s="226"/>
      <c r="Q157" s="226"/>
      <c r="R157" s="226"/>
      <c r="S157" s="226"/>
      <c r="T157" s="226"/>
      <c r="U157" s="226"/>
    </row>
    <row r="158" spans="3:21" x14ac:dyDescent="0.35">
      <c r="C158" s="226"/>
      <c r="E158" s="226"/>
      <c r="G158" s="226"/>
      <c r="I158" s="226"/>
      <c r="J158" s="226"/>
      <c r="P158" s="226"/>
      <c r="Q158" s="226"/>
      <c r="R158" s="226"/>
      <c r="S158" s="226"/>
      <c r="T158" s="226"/>
      <c r="U158" s="226"/>
    </row>
    <row r="159" spans="3:21" x14ac:dyDescent="0.35">
      <c r="C159" s="226"/>
      <c r="E159" s="226"/>
      <c r="G159" s="226"/>
      <c r="I159" s="226"/>
      <c r="J159" s="226"/>
      <c r="P159" s="226"/>
      <c r="Q159" s="226"/>
      <c r="R159" s="226"/>
      <c r="S159" s="226"/>
      <c r="T159" s="226"/>
      <c r="U159" s="226"/>
    </row>
    <row r="160" spans="3:21" x14ac:dyDescent="0.35">
      <c r="C160" s="226"/>
      <c r="E160" s="226"/>
      <c r="G160" s="226"/>
      <c r="I160" s="226"/>
      <c r="J160" s="226"/>
      <c r="P160" s="226"/>
      <c r="Q160" s="226"/>
      <c r="R160" s="226"/>
      <c r="S160" s="226"/>
      <c r="T160" s="226"/>
      <c r="U160" s="226"/>
    </row>
    <row r="161" spans="3:21" x14ac:dyDescent="0.35">
      <c r="C161" s="226"/>
      <c r="E161" s="226"/>
      <c r="G161" s="226"/>
      <c r="I161" s="226"/>
      <c r="J161" s="226"/>
      <c r="P161" s="226"/>
      <c r="Q161" s="226"/>
      <c r="R161" s="226"/>
      <c r="S161" s="226"/>
      <c r="T161" s="226"/>
      <c r="U161" s="226"/>
    </row>
    <row r="162" spans="3:21" x14ac:dyDescent="0.35">
      <c r="C162" s="226"/>
      <c r="E162" s="226"/>
      <c r="G162" s="226"/>
      <c r="I162" s="226"/>
      <c r="J162" s="226"/>
      <c r="P162" s="226"/>
      <c r="Q162" s="226"/>
      <c r="R162" s="226"/>
      <c r="S162" s="226"/>
      <c r="T162" s="226"/>
      <c r="U162" s="226"/>
    </row>
    <row r="163" spans="3:21" x14ac:dyDescent="0.35">
      <c r="C163" s="226"/>
      <c r="E163" s="226"/>
      <c r="G163" s="226"/>
      <c r="I163" s="226"/>
      <c r="J163" s="226"/>
      <c r="P163" s="226"/>
      <c r="Q163" s="226"/>
      <c r="R163" s="226"/>
      <c r="S163" s="226"/>
      <c r="T163" s="226"/>
      <c r="U163" s="226"/>
    </row>
    <row r="164" spans="3:21" x14ac:dyDescent="0.35">
      <c r="C164" s="226"/>
      <c r="E164" s="226"/>
      <c r="G164" s="226"/>
      <c r="I164" s="226"/>
      <c r="J164" s="226"/>
      <c r="P164" s="226"/>
      <c r="Q164" s="226"/>
      <c r="R164" s="226"/>
      <c r="S164" s="226"/>
      <c r="T164" s="226"/>
      <c r="U164" s="226"/>
    </row>
    <row r="165" spans="3:21" x14ac:dyDescent="0.35">
      <c r="C165" s="226"/>
      <c r="E165" s="226"/>
      <c r="G165" s="226"/>
      <c r="I165" s="226"/>
      <c r="J165" s="226"/>
      <c r="P165" s="226"/>
      <c r="Q165" s="226"/>
      <c r="R165" s="226"/>
      <c r="S165" s="226"/>
      <c r="T165" s="226"/>
      <c r="U165" s="226"/>
    </row>
    <row r="166" spans="3:21" x14ac:dyDescent="0.35">
      <c r="C166" s="226"/>
      <c r="E166" s="226"/>
      <c r="G166" s="226"/>
      <c r="I166" s="226"/>
      <c r="J166" s="226"/>
      <c r="P166" s="226"/>
      <c r="Q166" s="226"/>
      <c r="R166" s="226"/>
      <c r="S166" s="226"/>
      <c r="T166" s="226"/>
      <c r="U166" s="226"/>
    </row>
    <row r="167" spans="3:21" x14ac:dyDescent="0.35">
      <c r="C167" s="226"/>
      <c r="E167" s="226"/>
      <c r="G167" s="226"/>
      <c r="I167" s="226"/>
      <c r="J167" s="226"/>
      <c r="P167" s="226"/>
      <c r="Q167" s="226"/>
      <c r="R167" s="226"/>
      <c r="S167" s="226"/>
      <c r="T167" s="226"/>
      <c r="U167" s="226"/>
    </row>
    <row r="168" spans="3:21" x14ac:dyDescent="0.35">
      <c r="C168" s="226"/>
      <c r="E168" s="226"/>
      <c r="G168" s="226"/>
      <c r="I168" s="226"/>
      <c r="J168" s="226"/>
      <c r="P168" s="226"/>
      <c r="Q168" s="226"/>
      <c r="R168" s="226"/>
      <c r="S168" s="226"/>
      <c r="T168" s="226"/>
      <c r="U168" s="226"/>
    </row>
    <row r="169" spans="3:21" x14ac:dyDescent="0.35">
      <c r="C169" s="226"/>
      <c r="E169" s="226"/>
      <c r="G169" s="226"/>
      <c r="I169" s="226"/>
      <c r="J169" s="226"/>
      <c r="P169" s="226"/>
      <c r="Q169" s="226"/>
      <c r="R169" s="226"/>
      <c r="S169" s="226"/>
      <c r="T169" s="226"/>
      <c r="U169" s="226"/>
    </row>
    <row r="170" spans="3:21" x14ac:dyDescent="0.35">
      <c r="C170" s="226"/>
      <c r="E170" s="226"/>
      <c r="G170" s="226"/>
      <c r="I170" s="226"/>
      <c r="J170" s="226"/>
      <c r="P170" s="226"/>
      <c r="Q170" s="226"/>
      <c r="R170" s="226"/>
      <c r="S170" s="226"/>
      <c r="T170" s="226"/>
      <c r="U170" s="226"/>
    </row>
    <row r="171" spans="3:21" x14ac:dyDescent="0.35">
      <c r="C171" s="226"/>
      <c r="E171" s="226"/>
      <c r="G171" s="226"/>
      <c r="I171" s="226"/>
      <c r="J171" s="226"/>
      <c r="P171" s="226"/>
      <c r="Q171" s="226"/>
      <c r="R171" s="226"/>
      <c r="S171" s="226"/>
      <c r="T171" s="226"/>
      <c r="U171" s="226"/>
    </row>
    <row r="172" spans="3:21" x14ac:dyDescent="0.35">
      <c r="C172" s="226"/>
      <c r="E172" s="226"/>
      <c r="G172" s="226"/>
      <c r="I172" s="226"/>
      <c r="J172" s="226"/>
      <c r="P172" s="226"/>
      <c r="Q172" s="226"/>
      <c r="R172" s="226"/>
      <c r="S172" s="226"/>
      <c r="T172" s="226"/>
      <c r="U172" s="226"/>
    </row>
    <row r="173" spans="3:21" x14ac:dyDescent="0.35">
      <c r="C173" s="226"/>
      <c r="E173" s="226"/>
      <c r="G173" s="226"/>
      <c r="I173" s="226"/>
      <c r="J173" s="226"/>
      <c r="P173" s="226"/>
      <c r="Q173" s="226"/>
      <c r="R173" s="226"/>
      <c r="S173" s="226"/>
      <c r="T173" s="226"/>
      <c r="U173" s="226"/>
    </row>
    <row r="174" spans="3:21" x14ac:dyDescent="0.35">
      <c r="C174" s="226"/>
      <c r="E174" s="226"/>
      <c r="G174" s="226"/>
      <c r="I174" s="226"/>
      <c r="J174" s="226"/>
      <c r="P174" s="226"/>
      <c r="Q174" s="226"/>
      <c r="R174" s="226"/>
      <c r="S174" s="226"/>
      <c r="T174" s="226"/>
      <c r="U174" s="226"/>
    </row>
    <row r="175" spans="3:21" x14ac:dyDescent="0.35">
      <c r="C175" s="226"/>
      <c r="E175" s="226"/>
      <c r="G175" s="226"/>
      <c r="I175" s="226"/>
      <c r="J175" s="226"/>
      <c r="P175" s="226"/>
      <c r="Q175" s="226"/>
      <c r="R175" s="226"/>
      <c r="S175" s="226"/>
      <c r="T175" s="226"/>
      <c r="U175" s="226"/>
    </row>
    <row r="176" spans="3:21" x14ac:dyDescent="0.35">
      <c r="C176" s="226"/>
      <c r="E176" s="226"/>
      <c r="G176" s="226"/>
      <c r="I176" s="226"/>
      <c r="J176" s="226"/>
      <c r="P176" s="226"/>
      <c r="Q176" s="226"/>
      <c r="R176" s="226"/>
      <c r="S176" s="226"/>
      <c r="T176" s="226"/>
      <c r="U176" s="226"/>
    </row>
    <row r="177" spans="3:21" x14ac:dyDescent="0.35">
      <c r="C177" s="226"/>
      <c r="E177" s="226"/>
      <c r="G177" s="226"/>
      <c r="I177" s="226"/>
      <c r="J177" s="226"/>
      <c r="P177" s="226"/>
      <c r="Q177" s="226"/>
      <c r="R177" s="226"/>
      <c r="S177" s="226"/>
      <c r="T177" s="226"/>
      <c r="U177" s="226"/>
    </row>
    <row r="178" spans="3:21" x14ac:dyDescent="0.35">
      <c r="C178" s="226"/>
      <c r="E178" s="226"/>
      <c r="G178" s="226"/>
      <c r="I178" s="226"/>
      <c r="J178" s="226"/>
      <c r="P178" s="226"/>
      <c r="Q178" s="226"/>
      <c r="R178" s="226"/>
      <c r="S178" s="226"/>
      <c r="T178" s="226"/>
      <c r="U178" s="226"/>
    </row>
    <row r="179" spans="3:21" x14ac:dyDescent="0.35">
      <c r="C179" s="226"/>
      <c r="E179" s="226"/>
      <c r="G179" s="226"/>
      <c r="I179" s="226"/>
      <c r="J179" s="226"/>
      <c r="P179" s="226"/>
      <c r="Q179" s="226"/>
      <c r="R179" s="226"/>
      <c r="S179" s="226"/>
      <c r="T179" s="226"/>
      <c r="U179" s="226"/>
    </row>
    <row r="180" spans="3:21" x14ac:dyDescent="0.35">
      <c r="C180" s="226"/>
      <c r="E180" s="226"/>
      <c r="G180" s="226"/>
      <c r="I180" s="226"/>
      <c r="J180" s="226"/>
      <c r="P180" s="226"/>
      <c r="Q180" s="226"/>
      <c r="R180" s="226"/>
      <c r="S180" s="226"/>
      <c r="T180" s="226"/>
      <c r="U180" s="226"/>
    </row>
    <row r="181" spans="3:21" x14ac:dyDescent="0.35">
      <c r="C181" s="226"/>
      <c r="E181" s="226"/>
      <c r="G181" s="226"/>
      <c r="I181" s="226"/>
      <c r="J181" s="226"/>
      <c r="P181" s="226"/>
      <c r="Q181" s="226"/>
      <c r="R181" s="226"/>
      <c r="S181" s="226"/>
      <c r="T181" s="226"/>
      <c r="U181" s="226"/>
    </row>
    <row r="182" spans="3:21" x14ac:dyDescent="0.35">
      <c r="C182" s="226"/>
      <c r="E182" s="226"/>
      <c r="G182" s="226"/>
      <c r="I182" s="226"/>
      <c r="J182" s="226"/>
      <c r="P182" s="226"/>
      <c r="Q182" s="226"/>
      <c r="R182" s="226"/>
      <c r="S182" s="226"/>
      <c r="T182" s="226"/>
      <c r="U182" s="226"/>
    </row>
    <row r="183" spans="3:21" x14ac:dyDescent="0.35">
      <c r="C183" s="226"/>
      <c r="E183" s="226"/>
      <c r="G183" s="226"/>
      <c r="I183" s="226"/>
      <c r="J183" s="226"/>
      <c r="P183" s="226"/>
      <c r="Q183" s="226"/>
      <c r="R183" s="226"/>
      <c r="S183" s="226"/>
      <c r="T183" s="226"/>
      <c r="U183" s="226"/>
    </row>
    <row r="184" spans="3:21" x14ac:dyDescent="0.35">
      <c r="C184" s="226"/>
      <c r="E184" s="226"/>
      <c r="G184" s="226"/>
      <c r="I184" s="226"/>
      <c r="J184" s="226"/>
      <c r="P184" s="226"/>
      <c r="Q184" s="226"/>
      <c r="R184" s="226"/>
      <c r="S184" s="226"/>
      <c r="T184" s="226"/>
      <c r="U184" s="226"/>
    </row>
    <row r="185" spans="3:21" x14ac:dyDescent="0.35">
      <c r="C185" s="226"/>
      <c r="E185" s="226"/>
      <c r="G185" s="226"/>
      <c r="I185" s="226"/>
      <c r="J185" s="226"/>
      <c r="P185" s="226"/>
      <c r="Q185" s="226"/>
      <c r="R185" s="226"/>
      <c r="S185" s="226"/>
      <c r="T185" s="226"/>
      <c r="U185" s="226"/>
    </row>
    <row r="186" spans="3:21" x14ac:dyDescent="0.35">
      <c r="C186" s="226"/>
      <c r="E186" s="226"/>
      <c r="G186" s="226"/>
      <c r="I186" s="226"/>
      <c r="J186" s="226"/>
      <c r="P186" s="226"/>
      <c r="Q186" s="226"/>
      <c r="R186" s="226"/>
      <c r="S186" s="226"/>
      <c r="T186" s="226"/>
      <c r="U186" s="226"/>
    </row>
    <row r="187" spans="3:21" x14ac:dyDescent="0.35">
      <c r="C187" s="226"/>
      <c r="E187" s="226"/>
      <c r="G187" s="226"/>
      <c r="I187" s="226"/>
      <c r="J187" s="226"/>
      <c r="P187" s="226"/>
      <c r="Q187" s="226"/>
      <c r="R187" s="226"/>
      <c r="S187" s="226"/>
      <c r="T187" s="226"/>
      <c r="U187" s="226"/>
    </row>
    <row r="188" spans="3:21" x14ac:dyDescent="0.35">
      <c r="C188" s="226"/>
      <c r="E188" s="226"/>
      <c r="G188" s="226"/>
      <c r="I188" s="226"/>
      <c r="J188" s="226"/>
      <c r="P188" s="226"/>
      <c r="Q188" s="226"/>
      <c r="R188" s="226"/>
      <c r="S188" s="226"/>
      <c r="T188" s="226"/>
      <c r="U188" s="226"/>
    </row>
    <row r="189" spans="3:21" x14ac:dyDescent="0.35">
      <c r="C189" s="226"/>
      <c r="E189" s="226"/>
      <c r="G189" s="226"/>
      <c r="I189" s="226"/>
      <c r="J189" s="226"/>
      <c r="P189" s="226"/>
      <c r="Q189" s="226"/>
      <c r="R189" s="226"/>
      <c r="S189" s="226"/>
      <c r="T189" s="226"/>
      <c r="U189" s="226"/>
    </row>
    <row r="190" spans="3:21" x14ac:dyDescent="0.35">
      <c r="C190" s="226"/>
      <c r="E190" s="226"/>
      <c r="G190" s="226"/>
      <c r="I190" s="226"/>
      <c r="J190" s="226"/>
      <c r="P190" s="226"/>
      <c r="Q190" s="226"/>
      <c r="R190" s="226"/>
      <c r="S190" s="226"/>
      <c r="T190" s="226"/>
      <c r="U190" s="226"/>
    </row>
    <row r="191" spans="3:21" x14ac:dyDescent="0.35">
      <c r="C191" s="226"/>
      <c r="E191" s="226"/>
      <c r="G191" s="226"/>
      <c r="I191" s="226"/>
      <c r="J191" s="226"/>
      <c r="P191" s="226"/>
      <c r="Q191" s="226"/>
      <c r="R191" s="226"/>
      <c r="S191" s="226"/>
      <c r="T191" s="226"/>
      <c r="U191" s="226"/>
    </row>
    <row r="192" spans="3:21" x14ac:dyDescent="0.35">
      <c r="C192" s="226"/>
      <c r="E192" s="226"/>
      <c r="G192" s="226"/>
      <c r="I192" s="226"/>
      <c r="J192" s="226"/>
      <c r="P192" s="226"/>
      <c r="Q192" s="226"/>
      <c r="R192" s="226"/>
      <c r="S192" s="226"/>
      <c r="T192" s="226"/>
      <c r="U192" s="226"/>
    </row>
    <row r="193" spans="3:21" x14ac:dyDescent="0.35">
      <c r="C193" s="226"/>
      <c r="E193" s="226"/>
      <c r="G193" s="226"/>
      <c r="I193" s="226"/>
      <c r="J193" s="226"/>
      <c r="P193" s="226"/>
      <c r="Q193" s="226"/>
      <c r="R193" s="226"/>
      <c r="S193" s="226"/>
      <c r="T193" s="226"/>
      <c r="U193" s="226"/>
    </row>
    <row r="194" spans="3:21" x14ac:dyDescent="0.35">
      <c r="C194" s="226"/>
      <c r="E194" s="226"/>
      <c r="G194" s="226"/>
      <c r="I194" s="226"/>
      <c r="J194" s="226"/>
      <c r="P194" s="226"/>
      <c r="Q194" s="226"/>
      <c r="R194" s="226"/>
      <c r="S194" s="226"/>
      <c r="T194" s="226"/>
      <c r="U194" s="226"/>
    </row>
    <row r="195" spans="3:21" x14ac:dyDescent="0.35">
      <c r="C195" s="226"/>
      <c r="E195" s="226"/>
      <c r="G195" s="226"/>
      <c r="I195" s="226"/>
      <c r="J195" s="226"/>
      <c r="P195" s="226"/>
      <c r="Q195" s="226"/>
      <c r="R195" s="226"/>
      <c r="S195" s="226"/>
      <c r="T195" s="226"/>
      <c r="U195" s="226"/>
    </row>
    <row r="196" spans="3:21" x14ac:dyDescent="0.35">
      <c r="C196" s="226"/>
      <c r="E196" s="226"/>
      <c r="G196" s="226"/>
      <c r="I196" s="226"/>
      <c r="J196" s="226"/>
      <c r="P196" s="226"/>
      <c r="Q196" s="226"/>
      <c r="R196" s="226"/>
      <c r="S196" s="226"/>
      <c r="T196" s="226"/>
      <c r="U196" s="226"/>
    </row>
    <row r="197" spans="3:21" x14ac:dyDescent="0.35">
      <c r="C197" s="226"/>
      <c r="E197" s="226"/>
      <c r="G197" s="226"/>
      <c r="I197" s="226"/>
      <c r="J197" s="226"/>
      <c r="P197" s="226"/>
      <c r="Q197" s="226"/>
      <c r="R197" s="226"/>
      <c r="S197" s="226"/>
      <c r="T197" s="226"/>
      <c r="U197" s="226"/>
    </row>
    <row r="198" spans="3:21" x14ac:dyDescent="0.35">
      <c r="C198" s="226"/>
      <c r="E198" s="226"/>
      <c r="G198" s="226"/>
      <c r="I198" s="226"/>
      <c r="J198" s="226"/>
      <c r="P198" s="226"/>
      <c r="Q198" s="226"/>
      <c r="R198" s="226"/>
      <c r="S198" s="226"/>
      <c r="T198" s="226"/>
      <c r="U198" s="226"/>
    </row>
    <row r="199" spans="3:21" x14ac:dyDescent="0.35">
      <c r="C199" s="226"/>
      <c r="E199" s="226"/>
      <c r="G199" s="226"/>
      <c r="I199" s="226"/>
      <c r="J199" s="226"/>
      <c r="P199" s="226"/>
      <c r="Q199" s="226"/>
      <c r="R199" s="226"/>
      <c r="S199" s="226"/>
      <c r="T199" s="226"/>
      <c r="U199" s="226"/>
    </row>
    <row r="200" spans="3:21" x14ac:dyDescent="0.35">
      <c r="C200" s="226"/>
      <c r="E200" s="226"/>
      <c r="G200" s="226"/>
      <c r="I200" s="226"/>
      <c r="J200" s="226"/>
      <c r="P200" s="226"/>
      <c r="Q200" s="226"/>
      <c r="R200" s="226"/>
      <c r="S200" s="226"/>
      <c r="T200" s="226"/>
      <c r="U200" s="226"/>
    </row>
    <row r="201" spans="3:21" x14ac:dyDescent="0.35">
      <c r="C201" s="226"/>
      <c r="E201" s="226"/>
      <c r="G201" s="226"/>
      <c r="I201" s="226"/>
      <c r="J201" s="226"/>
      <c r="P201" s="226"/>
      <c r="Q201" s="226"/>
      <c r="R201" s="226"/>
      <c r="S201" s="226"/>
      <c r="T201" s="226"/>
      <c r="U201" s="226"/>
    </row>
    <row r="202" spans="3:21" x14ac:dyDescent="0.35">
      <c r="C202" s="226"/>
      <c r="E202" s="226"/>
      <c r="G202" s="226"/>
      <c r="I202" s="226"/>
      <c r="J202" s="226"/>
      <c r="P202" s="226"/>
      <c r="Q202" s="226"/>
      <c r="R202" s="226"/>
      <c r="S202" s="226"/>
      <c r="T202" s="226"/>
      <c r="U202" s="226"/>
    </row>
    <row r="203" spans="3:21" x14ac:dyDescent="0.35">
      <c r="C203" s="226"/>
      <c r="E203" s="226"/>
      <c r="G203" s="226"/>
      <c r="I203" s="226"/>
      <c r="J203" s="226"/>
      <c r="P203" s="226"/>
      <c r="Q203" s="226"/>
      <c r="R203" s="226"/>
      <c r="S203" s="226"/>
      <c r="T203" s="226"/>
      <c r="U203" s="226"/>
    </row>
    <row r="204" spans="3:21" x14ac:dyDescent="0.35">
      <c r="C204" s="226"/>
      <c r="E204" s="226"/>
      <c r="G204" s="226"/>
      <c r="I204" s="226"/>
      <c r="J204" s="226"/>
      <c r="P204" s="226"/>
      <c r="Q204" s="226"/>
      <c r="R204" s="226"/>
      <c r="S204" s="226"/>
      <c r="T204" s="226"/>
      <c r="U204" s="226"/>
    </row>
    <row r="205" spans="3:21" x14ac:dyDescent="0.35">
      <c r="C205" s="226"/>
      <c r="E205" s="226"/>
      <c r="G205" s="226"/>
      <c r="I205" s="226"/>
      <c r="J205" s="226"/>
      <c r="P205" s="226"/>
      <c r="Q205" s="226"/>
      <c r="R205" s="226"/>
      <c r="S205" s="226"/>
      <c r="T205" s="226"/>
      <c r="U205" s="226"/>
    </row>
    <row r="206" spans="3:21" x14ac:dyDescent="0.35">
      <c r="C206" s="226"/>
      <c r="E206" s="226"/>
      <c r="G206" s="226"/>
      <c r="I206" s="226"/>
      <c r="J206" s="226"/>
      <c r="P206" s="226"/>
      <c r="Q206" s="226"/>
      <c r="R206" s="226"/>
      <c r="S206" s="226"/>
      <c r="T206" s="226"/>
      <c r="U206" s="226"/>
    </row>
    <row r="207" spans="3:21" x14ac:dyDescent="0.35">
      <c r="C207" s="226"/>
      <c r="E207" s="226"/>
      <c r="G207" s="226"/>
      <c r="I207" s="226"/>
      <c r="J207" s="226"/>
      <c r="P207" s="226"/>
      <c r="Q207" s="226"/>
      <c r="R207" s="226"/>
      <c r="S207" s="226"/>
      <c r="T207" s="226"/>
      <c r="U207" s="226"/>
    </row>
    <row r="208" spans="3:21" x14ac:dyDescent="0.35">
      <c r="C208" s="226"/>
      <c r="E208" s="226"/>
      <c r="G208" s="226"/>
      <c r="I208" s="226"/>
      <c r="J208" s="226"/>
      <c r="P208" s="226"/>
      <c r="Q208" s="226"/>
      <c r="R208" s="226"/>
      <c r="S208" s="226"/>
      <c r="T208" s="226"/>
      <c r="U208" s="226"/>
    </row>
    <row r="209" spans="3:21" x14ac:dyDescent="0.35">
      <c r="C209" s="226"/>
      <c r="E209" s="226"/>
      <c r="G209" s="226"/>
      <c r="I209" s="226"/>
      <c r="J209" s="226"/>
      <c r="P209" s="226"/>
      <c r="Q209" s="226"/>
      <c r="R209" s="226"/>
      <c r="S209" s="226"/>
      <c r="T209" s="226"/>
      <c r="U209" s="226"/>
    </row>
    <row r="210" spans="3:21" x14ac:dyDescent="0.35">
      <c r="C210" s="226"/>
      <c r="E210" s="226"/>
      <c r="G210" s="226"/>
      <c r="I210" s="226"/>
      <c r="J210" s="226"/>
      <c r="P210" s="226"/>
      <c r="Q210" s="226"/>
      <c r="R210" s="226"/>
      <c r="S210" s="226"/>
      <c r="T210" s="226"/>
      <c r="U210" s="226"/>
    </row>
    <row r="211" spans="3:21" x14ac:dyDescent="0.35">
      <c r="C211" s="226"/>
      <c r="E211" s="226"/>
      <c r="G211" s="226"/>
      <c r="I211" s="226"/>
      <c r="J211" s="226"/>
      <c r="P211" s="226"/>
      <c r="Q211" s="226"/>
      <c r="R211" s="226"/>
      <c r="S211" s="226"/>
      <c r="T211" s="226"/>
      <c r="U211" s="226"/>
    </row>
    <row r="212" spans="3:21" x14ac:dyDescent="0.35">
      <c r="C212" s="226"/>
      <c r="E212" s="226"/>
      <c r="G212" s="226"/>
      <c r="I212" s="226"/>
      <c r="J212" s="226"/>
      <c r="P212" s="226"/>
      <c r="Q212" s="226"/>
      <c r="R212" s="226"/>
      <c r="S212" s="226"/>
      <c r="T212" s="226"/>
      <c r="U212" s="226"/>
    </row>
    <row r="213" spans="3:21" x14ac:dyDescent="0.35">
      <c r="C213" s="226"/>
      <c r="E213" s="226"/>
      <c r="G213" s="226"/>
      <c r="I213" s="226"/>
      <c r="J213" s="226"/>
      <c r="P213" s="226"/>
      <c r="Q213" s="226"/>
      <c r="R213" s="226"/>
      <c r="S213" s="226"/>
      <c r="T213" s="226"/>
      <c r="U213" s="226"/>
    </row>
    <row r="214" spans="3:21" x14ac:dyDescent="0.35">
      <c r="C214" s="226"/>
      <c r="E214" s="226"/>
      <c r="G214" s="226"/>
      <c r="I214" s="226"/>
      <c r="J214" s="226"/>
      <c r="P214" s="226"/>
      <c r="Q214" s="226"/>
      <c r="R214" s="226"/>
      <c r="S214" s="226"/>
      <c r="T214" s="226"/>
      <c r="U214" s="226"/>
    </row>
    <row r="215" spans="3:21" x14ac:dyDescent="0.35">
      <c r="C215" s="226"/>
      <c r="E215" s="226"/>
      <c r="G215" s="226"/>
      <c r="I215" s="226"/>
      <c r="J215" s="226"/>
      <c r="P215" s="226"/>
      <c r="Q215" s="226"/>
      <c r="R215" s="226"/>
      <c r="S215" s="226"/>
      <c r="T215" s="226"/>
      <c r="U215" s="226"/>
    </row>
    <row r="216" spans="3:21" x14ac:dyDescent="0.35">
      <c r="C216" s="226"/>
      <c r="E216" s="226"/>
      <c r="G216" s="226"/>
      <c r="I216" s="226"/>
      <c r="J216" s="226"/>
      <c r="P216" s="226"/>
      <c r="Q216" s="226"/>
      <c r="R216" s="226"/>
      <c r="S216" s="226"/>
      <c r="T216" s="226"/>
      <c r="U216" s="226"/>
    </row>
    <row r="217" spans="3:21" x14ac:dyDescent="0.35">
      <c r="C217" s="226"/>
      <c r="E217" s="226"/>
      <c r="G217" s="226"/>
      <c r="I217" s="226"/>
      <c r="J217" s="226"/>
      <c r="P217" s="226"/>
      <c r="Q217" s="226"/>
      <c r="R217" s="226"/>
      <c r="S217" s="226"/>
      <c r="T217" s="226"/>
      <c r="U217" s="226"/>
    </row>
    <row r="218" spans="3:21" x14ac:dyDescent="0.35">
      <c r="C218" s="226"/>
      <c r="E218" s="226"/>
      <c r="G218" s="226"/>
      <c r="I218" s="226"/>
      <c r="J218" s="226"/>
      <c r="P218" s="226"/>
      <c r="Q218" s="226"/>
      <c r="R218" s="226"/>
      <c r="S218" s="226"/>
      <c r="T218" s="226"/>
      <c r="U218" s="226"/>
    </row>
    <row r="219" spans="3:21" x14ac:dyDescent="0.35">
      <c r="C219" s="226"/>
      <c r="E219" s="226"/>
      <c r="G219" s="226"/>
      <c r="I219" s="226"/>
      <c r="J219" s="226"/>
      <c r="P219" s="226"/>
      <c r="Q219" s="226"/>
      <c r="R219" s="226"/>
      <c r="S219" s="226"/>
      <c r="T219" s="226"/>
      <c r="U219" s="226"/>
    </row>
    <row r="220" spans="3:21" x14ac:dyDescent="0.35">
      <c r="C220" s="226"/>
      <c r="E220" s="226"/>
      <c r="G220" s="226"/>
      <c r="I220" s="226"/>
      <c r="J220" s="226"/>
      <c r="P220" s="226"/>
      <c r="Q220" s="226"/>
      <c r="R220" s="226"/>
      <c r="S220" s="226"/>
      <c r="T220" s="226"/>
      <c r="U220" s="226"/>
    </row>
    <row r="221" spans="3:21" x14ac:dyDescent="0.35">
      <c r="C221" s="226"/>
      <c r="E221" s="226"/>
      <c r="G221" s="226"/>
      <c r="I221" s="226"/>
      <c r="J221" s="226"/>
      <c r="P221" s="226"/>
      <c r="Q221" s="226"/>
      <c r="R221" s="226"/>
      <c r="S221" s="226"/>
      <c r="T221" s="226"/>
      <c r="U221" s="226"/>
    </row>
    <row r="222" spans="3:21" x14ac:dyDescent="0.35">
      <c r="C222" s="226"/>
      <c r="E222" s="226"/>
      <c r="G222" s="226"/>
      <c r="I222" s="226"/>
      <c r="J222" s="226"/>
      <c r="P222" s="226"/>
      <c r="Q222" s="226"/>
      <c r="R222" s="226"/>
      <c r="S222" s="226"/>
      <c r="T222" s="226"/>
      <c r="U222" s="226"/>
    </row>
    <row r="223" spans="3:21" x14ac:dyDescent="0.35">
      <c r="C223" s="226"/>
      <c r="E223" s="226"/>
      <c r="G223" s="226"/>
      <c r="I223" s="226"/>
      <c r="J223" s="226"/>
      <c r="P223" s="226"/>
      <c r="Q223" s="226"/>
      <c r="R223" s="226"/>
      <c r="S223" s="226"/>
      <c r="T223" s="226"/>
      <c r="U223" s="226"/>
    </row>
    <row r="224" spans="3:21" x14ac:dyDescent="0.35">
      <c r="C224" s="226"/>
      <c r="E224" s="226"/>
      <c r="G224" s="226"/>
      <c r="I224" s="226"/>
      <c r="J224" s="226"/>
      <c r="P224" s="226"/>
      <c r="Q224" s="226"/>
      <c r="R224" s="226"/>
      <c r="S224" s="226"/>
      <c r="T224" s="226"/>
      <c r="U224" s="226"/>
    </row>
    <row r="225" spans="3:21" x14ac:dyDescent="0.35">
      <c r="C225" s="226"/>
      <c r="E225" s="226"/>
      <c r="G225" s="226"/>
      <c r="I225" s="226"/>
      <c r="J225" s="226"/>
      <c r="P225" s="226"/>
      <c r="Q225" s="226"/>
      <c r="R225" s="226"/>
      <c r="S225" s="226"/>
      <c r="T225" s="226"/>
      <c r="U225" s="226"/>
    </row>
    <row r="226" spans="3:21" x14ac:dyDescent="0.35">
      <c r="C226" s="226"/>
      <c r="E226" s="226"/>
      <c r="G226" s="226"/>
      <c r="I226" s="226"/>
      <c r="J226" s="226"/>
      <c r="P226" s="226"/>
      <c r="Q226" s="226"/>
      <c r="R226" s="226"/>
      <c r="S226" s="226"/>
      <c r="T226" s="226"/>
      <c r="U226" s="226"/>
    </row>
    <row r="227" spans="3:21" x14ac:dyDescent="0.35">
      <c r="C227" s="226"/>
      <c r="E227" s="226"/>
      <c r="G227" s="226"/>
      <c r="I227" s="226"/>
      <c r="J227" s="226"/>
      <c r="P227" s="226"/>
      <c r="Q227" s="226"/>
      <c r="R227" s="226"/>
      <c r="S227" s="226"/>
      <c r="T227" s="226"/>
      <c r="U227" s="226"/>
    </row>
    <row r="228" spans="3:21" x14ac:dyDescent="0.35">
      <c r="C228" s="226"/>
      <c r="E228" s="226"/>
      <c r="G228" s="226"/>
      <c r="I228" s="226"/>
      <c r="J228" s="226"/>
      <c r="P228" s="226"/>
      <c r="Q228" s="226"/>
      <c r="R228" s="226"/>
      <c r="S228" s="226"/>
      <c r="T228" s="226"/>
      <c r="U228" s="226"/>
    </row>
    <row r="229" spans="3:21" x14ac:dyDescent="0.35">
      <c r="C229" s="226"/>
      <c r="E229" s="226"/>
      <c r="G229" s="226"/>
      <c r="I229" s="226"/>
      <c r="J229" s="226"/>
      <c r="P229" s="226"/>
      <c r="Q229" s="226"/>
      <c r="R229" s="226"/>
      <c r="S229" s="226"/>
      <c r="T229" s="226"/>
      <c r="U229" s="226"/>
    </row>
    <row r="230" spans="3:21" x14ac:dyDescent="0.35">
      <c r="C230" s="226"/>
      <c r="E230" s="226"/>
      <c r="G230" s="226"/>
      <c r="I230" s="226"/>
      <c r="J230" s="226"/>
      <c r="P230" s="226"/>
      <c r="Q230" s="226"/>
      <c r="R230" s="226"/>
      <c r="S230" s="226"/>
      <c r="T230" s="226"/>
      <c r="U230" s="226"/>
    </row>
    <row r="231" spans="3:21" x14ac:dyDescent="0.35">
      <c r="C231" s="226"/>
      <c r="E231" s="226"/>
      <c r="G231" s="226"/>
      <c r="I231" s="226"/>
      <c r="J231" s="226"/>
      <c r="P231" s="226"/>
      <c r="Q231" s="226"/>
      <c r="R231" s="226"/>
      <c r="S231" s="226"/>
      <c r="T231" s="226"/>
      <c r="U231" s="226"/>
    </row>
    <row r="232" spans="3:21" x14ac:dyDescent="0.35">
      <c r="C232" s="226"/>
      <c r="E232" s="226"/>
      <c r="G232" s="226"/>
      <c r="I232" s="226"/>
      <c r="J232" s="226"/>
      <c r="P232" s="226"/>
      <c r="Q232" s="226"/>
      <c r="R232" s="226"/>
      <c r="S232" s="226"/>
      <c r="T232" s="226"/>
      <c r="U232" s="226"/>
    </row>
    <row r="233" spans="3:21" x14ac:dyDescent="0.35">
      <c r="C233" s="226"/>
      <c r="E233" s="226"/>
      <c r="G233" s="226"/>
      <c r="I233" s="226"/>
      <c r="J233" s="226"/>
      <c r="P233" s="226"/>
      <c r="Q233" s="226"/>
      <c r="R233" s="226"/>
      <c r="S233" s="226"/>
      <c r="T233" s="226"/>
      <c r="U233" s="226"/>
    </row>
    <row r="234" spans="3:21" x14ac:dyDescent="0.35">
      <c r="C234" s="226"/>
      <c r="E234" s="226"/>
      <c r="G234" s="226"/>
      <c r="I234" s="226"/>
      <c r="J234" s="226"/>
      <c r="P234" s="226"/>
      <c r="Q234" s="226"/>
      <c r="R234" s="226"/>
      <c r="S234" s="226"/>
      <c r="T234" s="226"/>
      <c r="U234" s="226"/>
    </row>
    <row r="235" spans="3:21" x14ac:dyDescent="0.35">
      <c r="C235" s="226"/>
      <c r="E235" s="226"/>
      <c r="G235" s="226"/>
      <c r="I235" s="226"/>
      <c r="J235" s="226"/>
      <c r="P235" s="226"/>
      <c r="Q235" s="226"/>
      <c r="R235" s="226"/>
      <c r="S235" s="226"/>
      <c r="T235" s="226"/>
      <c r="U235" s="226"/>
    </row>
    <row r="236" spans="3:21" x14ac:dyDescent="0.35">
      <c r="C236" s="226"/>
      <c r="E236" s="226"/>
      <c r="G236" s="226"/>
      <c r="I236" s="226"/>
      <c r="J236" s="226"/>
      <c r="P236" s="226"/>
      <c r="Q236" s="226"/>
      <c r="R236" s="226"/>
      <c r="S236" s="226"/>
      <c r="T236" s="226"/>
      <c r="U236" s="226"/>
    </row>
    <row r="237" spans="3:21" x14ac:dyDescent="0.35">
      <c r="C237" s="226"/>
      <c r="E237" s="226"/>
      <c r="G237" s="226"/>
      <c r="I237" s="226"/>
      <c r="J237" s="226"/>
      <c r="P237" s="226"/>
      <c r="Q237" s="226"/>
      <c r="R237" s="226"/>
      <c r="S237" s="226"/>
      <c r="T237" s="226"/>
      <c r="U237" s="226"/>
    </row>
    <row r="238" spans="3:21" x14ac:dyDescent="0.35">
      <c r="C238" s="226"/>
      <c r="E238" s="226"/>
      <c r="G238" s="226"/>
      <c r="I238" s="226"/>
      <c r="J238" s="226"/>
      <c r="P238" s="226"/>
      <c r="Q238" s="226"/>
      <c r="R238" s="226"/>
      <c r="S238" s="226"/>
      <c r="T238" s="226"/>
      <c r="U238" s="226"/>
    </row>
    <row r="239" spans="3:21" x14ac:dyDescent="0.35">
      <c r="C239" s="226"/>
      <c r="E239" s="226"/>
      <c r="G239" s="226"/>
      <c r="I239" s="226"/>
      <c r="J239" s="226"/>
      <c r="P239" s="226"/>
      <c r="Q239" s="226"/>
      <c r="R239" s="226"/>
      <c r="S239" s="226"/>
      <c r="T239" s="226"/>
      <c r="U239" s="226"/>
    </row>
    <row r="240" spans="3:21" x14ac:dyDescent="0.35">
      <c r="C240" s="226"/>
      <c r="E240" s="226"/>
      <c r="G240" s="226"/>
      <c r="I240" s="226"/>
      <c r="J240" s="226"/>
      <c r="P240" s="226"/>
      <c r="Q240" s="226"/>
      <c r="R240" s="226"/>
      <c r="S240" s="226"/>
      <c r="T240" s="226"/>
      <c r="U240" s="226"/>
    </row>
    <row r="241" spans="3:21" x14ac:dyDescent="0.35">
      <c r="C241" s="226"/>
      <c r="E241" s="226"/>
      <c r="G241" s="226"/>
      <c r="I241" s="226"/>
      <c r="J241" s="226"/>
      <c r="P241" s="226"/>
      <c r="Q241" s="226"/>
      <c r="R241" s="226"/>
      <c r="S241" s="226"/>
      <c r="T241" s="226"/>
      <c r="U241" s="226"/>
    </row>
    <row r="242" spans="3:21" x14ac:dyDescent="0.35">
      <c r="C242" s="226"/>
      <c r="E242" s="226"/>
      <c r="G242" s="226"/>
      <c r="I242" s="226"/>
      <c r="J242" s="226"/>
      <c r="P242" s="226"/>
      <c r="Q242" s="226"/>
      <c r="R242" s="226"/>
      <c r="S242" s="226"/>
      <c r="T242" s="226"/>
      <c r="U242" s="226"/>
    </row>
    <row r="243" spans="3:21" x14ac:dyDescent="0.35">
      <c r="C243" s="226"/>
      <c r="E243" s="226"/>
      <c r="G243" s="226"/>
      <c r="I243" s="226"/>
      <c r="J243" s="226"/>
      <c r="P243" s="226"/>
      <c r="Q243" s="226"/>
      <c r="R243" s="226"/>
      <c r="S243" s="226"/>
      <c r="T243" s="226"/>
      <c r="U243" s="226"/>
    </row>
    <row r="244" spans="3:21" x14ac:dyDescent="0.35">
      <c r="C244" s="226"/>
      <c r="E244" s="226"/>
      <c r="G244" s="226"/>
      <c r="I244" s="226"/>
      <c r="J244" s="226"/>
      <c r="P244" s="226"/>
      <c r="Q244" s="226"/>
      <c r="R244" s="226"/>
      <c r="S244" s="226"/>
      <c r="T244" s="226"/>
      <c r="U244" s="226"/>
    </row>
    <row r="245" spans="3:21" x14ac:dyDescent="0.35">
      <c r="C245" s="226"/>
      <c r="E245" s="226"/>
      <c r="G245" s="226"/>
      <c r="I245" s="226"/>
      <c r="J245" s="226"/>
      <c r="P245" s="226"/>
      <c r="Q245" s="226"/>
      <c r="R245" s="226"/>
      <c r="S245" s="226"/>
      <c r="T245" s="226"/>
      <c r="U245" s="226"/>
    </row>
    <row r="246" spans="3:21" x14ac:dyDescent="0.35">
      <c r="C246" s="226"/>
      <c r="E246" s="226"/>
      <c r="G246" s="226"/>
      <c r="I246" s="226"/>
      <c r="J246" s="226"/>
      <c r="P246" s="226"/>
      <c r="Q246" s="226"/>
      <c r="R246" s="226"/>
      <c r="S246" s="226"/>
      <c r="T246" s="226"/>
      <c r="U246" s="226"/>
    </row>
    <row r="247" spans="3:21" x14ac:dyDescent="0.35">
      <c r="C247" s="226"/>
      <c r="E247" s="226"/>
      <c r="G247" s="226"/>
      <c r="I247" s="226"/>
      <c r="J247" s="226"/>
      <c r="P247" s="226"/>
      <c r="Q247" s="226"/>
      <c r="R247" s="226"/>
      <c r="S247" s="226"/>
      <c r="T247" s="226"/>
      <c r="U247" s="226"/>
    </row>
    <row r="248" spans="3:21" x14ac:dyDescent="0.35">
      <c r="C248" s="226"/>
      <c r="E248" s="226"/>
      <c r="G248" s="226"/>
      <c r="I248" s="226"/>
      <c r="J248" s="226"/>
      <c r="P248" s="226"/>
      <c r="Q248" s="226"/>
      <c r="R248" s="226"/>
      <c r="S248" s="226"/>
      <c r="T248" s="226"/>
      <c r="U248" s="226"/>
    </row>
    <row r="249" spans="3:21" x14ac:dyDescent="0.35">
      <c r="C249" s="226"/>
      <c r="E249" s="226"/>
      <c r="G249" s="226"/>
      <c r="I249" s="226"/>
      <c r="J249" s="226"/>
      <c r="P249" s="226"/>
      <c r="Q249" s="226"/>
      <c r="R249" s="226"/>
      <c r="S249" s="226"/>
      <c r="T249" s="226"/>
      <c r="U249" s="226"/>
    </row>
    <row r="250" spans="3:21" x14ac:dyDescent="0.35">
      <c r="C250" s="226"/>
      <c r="E250" s="226"/>
      <c r="G250" s="226"/>
      <c r="I250" s="226"/>
      <c r="J250" s="226"/>
      <c r="P250" s="226"/>
      <c r="Q250" s="226"/>
      <c r="R250" s="226"/>
      <c r="S250" s="226"/>
      <c r="T250" s="226"/>
      <c r="U250" s="226"/>
    </row>
    <row r="251" spans="3:21" x14ac:dyDescent="0.35">
      <c r="C251" s="226"/>
      <c r="E251" s="226"/>
      <c r="G251" s="226"/>
      <c r="I251" s="226"/>
      <c r="J251" s="226"/>
      <c r="P251" s="226"/>
      <c r="Q251" s="226"/>
      <c r="R251" s="226"/>
      <c r="S251" s="226"/>
      <c r="T251" s="226"/>
      <c r="U251" s="226"/>
    </row>
    <row r="252" spans="3:21" x14ac:dyDescent="0.35">
      <c r="C252" s="226"/>
      <c r="E252" s="226"/>
      <c r="G252" s="226"/>
      <c r="I252" s="226"/>
      <c r="J252" s="226"/>
      <c r="P252" s="226"/>
      <c r="Q252" s="226"/>
      <c r="R252" s="226"/>
      <c r="S252" s="226"/>
      <c r="T252" s="226"/>
      <c r="U252" s="226"/>
    </row>
    <row r="253" spans="3:21" x14ac:dyDescent="0.35">
      <c r="C253" s="226"/>
      <c r="E253" s="226"/>
      <c r="G253" s="226"/>
      <c r="I253" s="226"/>
      <c r="J253" s="226"/>
      <c r="P253" s="226"/>
      <c r="Q253" s="226"/>
      <c r="R253" s="226"/>
      <c r="S253" s="226"/>
      <c r="T253" s="226"/>
      <c r="U253" s="226"/>
    </row>
    <row r="254" spans="3:21" x14ac:dyDescent="0.35">
      <c r="C254" s="226"/>
      <c r="E254" s="226"/>
      <c r="G254" s="226"/>
      <c r="I254" s="226"/>
      <c r="J254" s="226"/>
      <c r="P254" s="226"/>
      <c r="Q254" s="226"/>
      <c r="R254" s="226"/>
      <c r="S254" s="226"/>
      <c r="T254" s="226"/>
      <c r="U254" s="226"/>
    </row>
    <row r="255" spans="3:21" x14ac:dyDescent="0.35">
      <c r="C255" s="226"/>
      <c r="E255" s="226"/>
      <c r="G255" s="226"/>
      <c r="I255" s="226"/>
      <c r="J255" s="226"/>
      <c r="P255" s="226"/>
      <c r="Q255" s="226"/>
      <c r="R255" s="226"/>
      <c r="S255" s="226"/>
      <c r="T255" s="226"/>
      <c r="U255" s="226"/>
    </row>
    <row r="256" spans="3:21" x14ac:dyDescent="0.35">
      <c r="C256" s="226"/>
      <c r="E256" s="226"/>
      <c r="G256" s="226"/>
      <c r="I256" s="226"/>
      <c r="J256" s="226"/>
      <c r="P256" s="226"/>
      <c r="Q256" s="226"/>
      <c r="R256" s="226"/>
      <c r="S256" s="226"/>
      <c r="T256" s="226"/>
      <c r="U256" s="226"/>
    </row>
    <row r="257" spans="3:21" x14ac:dyDescent="0.35">
      <c r="C257" s="226"/>
      <c r="E257" s="226"/>
      <c r="G257" s="226"/>
      <c r="I257" s="226"/>
      <c r="J257" s="226"/>
      <c r="P257" s="226"/>
      <c r="Q257" s="226"/>
      <c r="R257" s="226"/>
      <c r="S257" s="226"/>
      <c r="T257" s="226"/>
      <c r="U257" s="226"/>
    </row>
    <row r="258" spans="3:21" x14ac:dyDescent="0.35">
      <c r="C258" s="226"/>
      <c r="E258" s="226"/>
      <c r="G258" s="226"/>
      <c r="I258" s="226"/>
      <c r="J258" s="226"/>
      <c r="P258" s="226"/>
      <c r="Q258" s="226"/>
      <c r="R258" s="226"/>
      <c r="S258" s="226"/>
      <c r="T258" s="226"/>
      <c r="U258" s="226"/>
    </row>
    <row r="259" spans="3:21" x14ac:dyDescent="0.35">
      <c r="C259" s="226"/>
      <c r="E259" s="226"/>
      <c r="G259" s="226"/>
      <c r="I259" s="226"/>
      <c r="J259" s="226"/>
      <c r="P259" s="226"/>
      <c r="Q259" s="226"/>
      <c r="R259" s="226"/>
      <c r="S259" s="226"/>
      <c r="T259" s="226"/>
      <c r="U259" s="226"/>
    </row>
    <row r="260" spans="3:21" x14ac:dyDescent="0.35">
      <c r="C260" s="226"/>
      <c r="E260" s="226"/>
      <c r="G260" s="226"/>
      <c r="I260" s="226"/>
      <c r="J260" s="226"/>
      <c r="P260" s="226"/>
      <c r="Q260" s="226"/>
      <c r="R260" s="226"/>
      <c r="S260" s="226"/>
      <c r="T260" s="226"/>
      <c r="U260" s="226"/>
    </row>
    <row r="261" spans="3:21" x14ac:dyDescent="0.35">
      <c r="C261" s="226"/>
      <c r="E261" s="226"/>
      <c r="G261" s="226"/>
      <c r="I261" s="226"/>
      <c r="J261" s="226"/>
      <c r="P261" s="226"/>
      <c r="Q261" s="226"/>
      <c r="R261" s="226"/>
      <c r="S261" s="226"/>
      <c r="T261" s="226"/>
      <c r="U261" s="226"/>
    </row>
    <row r="262" spans="3:21" x14ac:dyDescent="0.35">
      <c r="C262" s="226"/>
      <c r="E262" s="226"/>
      <c r="G262" s="226"/>
      <c r="I262" s="226"/>
      <c r="J262" s="226"/>
      <c r="P262" s="226"/>
      <c r="Q262" s="226"/>
      <c r="R262" s="226"/>
      <c r="S262" s="226"/>
      <c r="T262" s="226"/>
      <c r="U262" s="226"/>
    </row>
    <row r="263" spans="3:21" x14ac:dyDescent="0.35">
      <c r="C263" s="226"/>
      <c r="E263" s="226"/>
      <c r="G263" s="226"/>
      <c r="I263" s="226"/>
      <c r="J263" s="226"/>
      <c r="P263" s="226"/>
      <c r="Q263" s="226"/>
      <c r="R263" s="226"/>
      <c r="S263" s="226"/>
      <c r="T263" s="226"/>
      <c r="U263" s="226"/>
    </row>
    <row r="264" spans="3:21" x14ac:dyDescent="0.35">
      <c r="C264" s="226"/>
      <c r="E264" s="226"/>
      <c r="G264" s="226"/>
      <c r="I264" s="226"/>
      <c r="J264" s="226"/>
      <c r="P264" s="226"/>
      <c r="Q264" s="226"/>
      <c r="R264" s="226"/>
      <c r="S264" s="226"/>
      <c r="T264" s="226"/>
      <c r="U264" s="226"/>
    </row>
    <row r="265" spans="3:21" x14ac:dyDescent="0.35">
      <c r="C265" s="226"/>
      <c r="E265" s="226"/>
      <c r="G265" s="226"/>
      <c r="I265" s="226"/>
      <c r="J265" s="226"/>
      <c r="P265" s="226"/>
      <c r="Q265" s="226"/>
      <c r="R265" s="226"/>
      <c r="S265" s="226"/>
      <c r="T265" s="226"/>
      <c r="U265" s="226"/>
    </row>
    <row r="266" spans="3:21" x14ac:dyDescent="0.35">
      <c r="C266" s="226"/>
      <c r="E266" s="226"/>
      <c r="G266" s="226"/>
      <c r="I266" s="226"/>
      <c r="J266" s="226"/>
      <c r="P266" s="226"/>
      <c r="Q266" s="226"/>
      <c r="R266" s="226"/>
      <c r="S266" s="226"/>
      <c r="T266" s="226"/>
      <c r="U266" s="226"/>
    </row>
    <row r="267" spans="3:21" x14ac:dyDescent="0.35">
      <c r="C267" s="226"/>
      <c r="E267" s="226"/>
      <c r="G267" s="226"/>
      <c r="I267" s="226"/>
      <c r="J267" s="226"/>
      <c r="P267" s="226"/>
      <c r="Q267" s="226"/>
      <c r="R267" s="226"/>
      <c r="S267" s="226"/>
      <c r="T267" s="226"/>
      <c r="U267" s="226"/>
    </row>
    <row r="268" spans="3:21" x14ac:dyDescent="0.35">
      <c r="C268" s="226"/>
      <c r="E268" s="226"/>
      <c r="G268" s="226"/>
      <c r="I268" s="226"/>
      <c r="J268" s="226"/>
      <c r="P268" s="226"/>
      <c r="Q268" s="226"/>
      <c r="R268" s="226"/>
      <c r="S268" s="226"/>
      <c r="T268" s="226"/>
      <c r="U268" s="226"/>
    </row>
    <row r="269" spans="3:21" x14ac:dyDescent="0.35">
      <c r="C269" s="226"/>
      <c r="E269" s="226"/>
      <c r="G269" s="226"/>
      <c r="I269" s="226"/>
      <c r="J269" s="226"/>
      <c r="P269" s="226"/>
      <c r="Q269" s="226"/>
      <c r="R269" s="226"/>
      <c r="S269" s="226"/>
      <c r="T269" s="226"/>
      <c r="U269" s="226"/>
    </row>
    <row r="270" spans="3:21" x14ac:dyDescent="0.35">
      <c r="C270" s="226"/>
      <c r="E270" s="226"/>
      <c r="G270" s="226"/>
      <c r="I270" s="226"/>
      <c r="J270" s="226"/>
      <c r="P270" s="226"/>
      <c r="Q270" s="226"/>
      <c r="R270" s="226"/>
      <c r="S270" s="226"/>
      <c r="T270" s="226"/>
      <c r="U270" s="226"/>
    </row>
    <row r="271" spans="3:21" x14ac:dyDescent="0.35">
      <c r="C271" s="226"/>
      <c r="E271" s="226"/>
      <c r="G271" s="226"/>
      <c r="I271" s="226"/>
      <c r="J271" s="226"/>
      <c r="P271" s="226"/>
      <c r="Q271" s="226"/>
      <c r="R271" s="226"/>
      <c r="S271" s="226"/>
      <c r="T271" s="226"/>
      <c r="U271" s="226"/>
    </row>
    <row r="272" spans="3:21" x14ac:dyDescent="0.35">
      <c r="C272" s="226"/>
      <c r="E272" s="226"/>
      <c r="G272" s="226"/>
      <c r="I272" s="226"/>
      <c r="J272" s="226"/>
      <c r="P272" s="226"/>
      <c r="Q272" s="226"/>
      <c r="R272" s="226"/>
      <c r="S272" s="226"/>
      <c r="T272" s="226"/>
      <c r="U272" s="226"/>
    </row>
    <row r="273" spans="3:21" x14ac:dyDescent="0.35">
      <c r="C273" s="226"/>
      <c r="E273" s="226"/>
      <c r="G273" s="226"/>
      <c r="I273" s="226"/>
      <c r="J273" s="226"/>
      <c r="P273" s="226"/>
      <c r="Q273" s="226"/>
      <c r="R273" s="226"/>
      <c r="S273" s="226"/>
      <c r="T273" s="226"/>
      <c r="U273" s="226"/>
    </row>
    <row r="274" spans="3:21" x14ac:dyDescent="0.35">
      <c r="C274" s="226"/>
      <c r="E274" s="226"/>
      <c r="G274" s="226"/>
      <c r="I274" s="226"/>
      <c r="J274" s="226"/>
      <c r="P274" s="226"/>
      <c r="Q274" s="226"/>
      <c r="R274" s="226"/>
      <c r="S274" s="226"/>
      <c r="T274" s="226"/>
      <c r="U274" s="226"/>
    </row>
    <row r="275" spans="3:21" x14ac:dyDescent="0.35">
      <c r="C275" s="226"/>
      <c r="E275" s="226"/>
      <c r="G275" s="226"/>
      <c r="I275" s="226"/>
      <c r="J275" s="226"/>
      <c r="P275" s="226"/>
      <c r="Q275" s="226"/>
      <c r="R275" s="226"/>
      <c r="S275" s="226"/>
      <c r="T275" s="226"/>
      <c r="U275" s="226"/>
    </row>
    <row r="276" spans="3:21" x14ac:dyDescent="0.35">
      <c r="C276" s="226"/>
      <c r="E276" s="226"/>
      <c r="G276" s="226"/>
      <c r="I276" s="226"/>
      <c r="J276" s="226"/>
      <c r="P276" s="226"/>
      <c r="Q276" s="226"/>
      <c r="R276" s="226"/>
      <c r="S276" s="226"/>
      <c r="T276" s="226"/>
      <c r="U276" s="226"/>
    </row>
    <row r="277" spans="3:21" x14ac:dyDescent="0.35">
      <c r="C277" s="226"/>
      <c r="E277" s="226"/>
      <c r="G277" s="226"/>
      <c r="I277" s="226"/>
      <c r="J277" s="226"/>
      <c r="P277" s="226"/>
      <c r="Q277" s="226"/>
      <c r="R277" s="226"/>
      <c r="S277" s="226"/>
      <c r="T277" s="226"/>
      <c r="U277" s="226"/>
    </row>
    <row r="278" spans="3:21" x14ac:dyDescent="0.35">
      <c r="C278" s="226"/>
      <c r="E278" s="226"/>
      <c r="G278" s="226"/>
      <c r="I278" s="226"/>
      <c r="J278" s="226"/>
      <c r="P278" s="226"/>
      <c r="Q278" s="226"/>
      <c r="R278" s="226"/>
      <c r="S278" s="226"/>
      <c r="T278" s="226"/>
      <c r="U278" s="226"/>
    </row>
    <row r="279" spans="3:21" x14ac:dyDescent="0.35">
      <c r="C279" s="226"/>
      <c r="E279" s="226"/>
      <c r="G279" s="226"/>
      <c r="I279" s="226"/>
      <c r="J279" s="226"/>
      <c r="P279" s="226"/>
      <c r="Q279" s="226"/>
      <c r="R279" s="226"/>
      <c r="S279" s="226"/>
      <c r="T279" s="226"/>
      <c r="U279" s="226"/>
    </row>
    <row r="280" spans="3:21" x14ac:dyDescent="0.35">
      <c r="C280" s="226"/>
      <c r="E280" s="226"/>
      <c r="G280" s="226"/>
      <c r="I280" s="226"/>
      <c r="J280" s="226"/>
      <c r="P280" s="226"/>
      <c r="Q280" s="226"/>
      <c r="R280" s="226"/>
      <c r="S280" s="226"/>
      <c r="T280" s="226"/>
      <c r="U280" s="226"/>
    </row>
    <row r="281" spans="3:21" x14ac:dyDescent="0.35">
      <c r="C281" s="226"/>
      <c r="E281" s="226"/>
      <c r="G281" s="226"/>
      <c r="I281" s="226"/>
      <c r="J281" s="226"/>
      <c r="P281" s="226"/>
      <c r="Q281" s="226"/>
      <c r="R281" s="226"/>
      <c r="S281" s="226"/>
      <c r="T281" s="226"/>
      <c r="U281" s="226"/>
    </row>
    <row r="282" spans="3:21" x14ac:dyDescent="0.35">
      <c r="C282" s="226"/>
      <c r="E282" s="226"/>
      <c r="G282" s="226"/>
      <c r="I282" s="226"/>
      <c r="J282" s="226"/>
      <c r="P282" s="226"/>
      <c r="Q282" s="226"/>
      <c r="R282" s="226"/>
      <c r="S282" s="226"/>
      <c r="T282" s="226"/>
      <c r="U282" s="226"/>
    </row>
    <row r="283" spans="3:21" x14ac:dyDescent="0.35">
      <c r="C283" s="226"/>
      <c r="E283" s="226"/>
      <c r="G283" s="226"/>
      <c r="I283" s="226"/>
      <c r="J283" s="226"/>
      <c r="P283" s="226"/>
      <c r="Q283" s="226"/>
      <c r="R283" s="226"/>
      <c r="S283" s="226"/>
      <c r="T283" s="226"/>
      <c r="U283" s="226"/>
    </row>
    <row r="284" spans="3:21" x14ac:dyDescent="0.35">
      <c r="C284" s="226"/>
      <c r="E284" s="226"/>
      <c r="G284" s="226"/>
      <c r="I284" s="226"/>
      <c r="J284" s="226"/>
      <c r="P284" s="226"/>
      <c r="Q284" s="226"/>
      <c r="R284" s="226"/>
      <c r="S284" s="226"/>
      <c r="T284" s="226"/>
      <c r="U284" s="226"/>
    </row>
    <row r="285" spans="3:21" x14ac:dyDescent="0.35">
      <c r="C285" s="226"/>
      <c r="E285" s="226"/>
      <c r="G285" s="226"/>
      <c r="I285" s="226"/>
      <c r="J285" s="226"/>
      <c r="P285" s="226"/>
      <c r="Q285" s="226"/>
      <c r="R285" s="226"/>
      <c r="S285" s="226"/>
      <c r="T285" s="226"/>
      <c r="U285" s="226"/>
    </row>
    <row r="286" spans="3:21" x14ac:dyDescent="0.35">
      <c r="C286" s="226"/>
      <c r="E286" s="226"/>
      <c r="G286" s="226"/>
      <c r="I286" s="226"/>
      <c r="J286" s="226"/>
      <c r="P286" s="226"/>
      <c r="Q286" s="226"/>
      <c r="R286" s="226"/>
      <c r="S286" s="226"/>
      <c r="T286" s="226"/>
      <c r="U286" s="226"/>
    </row>
    <row r="287" spans="3:21" x14ac:dyDescent="0.35">
      <c r="C287" s="226"/>
      <c r="E287" s="226"/>
      <c r="G287" s="226"/>
      <c r="I287" s="226"/>
      <c r="J287" s="226"/>
      <c r="P287" s="226"/>
      <c r="Q287" s="226"/>
      <c r="R287" s="226"/>
      <c r="S287" s="226"/>
      <c r="T287" s="226"/>
      <c r="U287" s="226"/>
    </row>
    <row r="288" spans="3:21" x14ac:dyDescent="0.35">
      <c r="C288" s="226"/>
      <c r="E288" s="226"/>
      <c r="G288" s="226"/>
      <c r="I288" s="226"/>
      <c r="J288" s="226"/>
      <c r="P288" s="226"/>
      <c r="Q288" s="226"/>
      <c r="R288" s="226"/>
      <c r="S288" s="226"/>
      <c r="T288" s="226"/>
      <c r="U288" s="226"/>
    </row>
    <row r="289" spans="3:21" x14ac:dyDescent="0.35">
      <c r="C289" s="226"/>
      <c r="E289" s="226"/>
      <c r="G289" s="226"/>
      <c r="I289" s="226"/>
      <c r="J289" s="226"/>
      <c r="P289" s="226"/>
      <c r="Q289" s="226"/>
      <c r="R289" s="226"/>
      <c r="S289" s="226"/>
      <c r="T289" s="226"/>
      <c r="U289" s="226"/>
    </row>
    <row r="290" spans="3:21" x14ac:dyDescent="0.35">
      <c r="C290" s="226"/>
      <c r="E290" s="226"/>
      <c r="G290" s="226"/>
      <c r="I290" s="226"/>
      <c r="J290" s="226"/>
      <c r="P290" s="226"/>
      <c r="Q290" s="226"/>
      <c r="R290" s="226"/>
      <c r="S290" s="226"/>
      <c r="T290" s="226"/>
      <c r="U290" s="226"/>
    </row>
    <row r="291" spans="3:21" x14ac:dyDescent="0.35">
      <c r="C291" s="226"/>
      <c r="E291" s="226"/>
      <c r="G291" s="226"/>
      <c r="I291" s="226"/>
      <c r="J291" s="226"/>
      <c r="P291" s="226"/>
      <c r="Q291" s="226"/>
      <c r="R291" s="226"/>
      <c r="S291" s="226"/>
      <c r="T291" s="226"/>
      <c r="U291" s="226"/>
    </row>
    <row r="292" spans="3:21" x14ac:dyDescent="0.35">
      <c r="C292" s="226"/>
      <c r="E292" s="226"/>
      <c r="G292" s="226"/>
      <c r="I292" s="226"/>
      <c r="J292" s="226"/>
      <c r="P292" s="226"/>
      <c r="Q292" s="226"/>
      <c r="R292" s="226"/>
      <c r="S292" s="226"/>
      <c r="T292" s="226"/>
      <c r="U292" s="226"/>
    </row>
    <row r="293" spans="3:21" x14ac:dyDescent="0.35">
      <c r="C293" s="226"/>
      <c r="E293" s="226"/>
      <c r="G293" s="226"/>
      <c r="I293" s="226"/>
      <c r="J293" s="226"/>
      <c r="P293" s="226"/>
      <c r="Q293" s="226"/>
      <c r="R293" s="226"/>
      <c r="S293" s="226"/>
      <c r="T293" s="226"/>
      <c r="U293" s="226"/>
    </row>
    <row r="294" spans="3:21" x14ac:dyDescent="0.35">
      <c r="C294" s="226"/>
      <c r="E294" s="226"/>
      <c r="G294" s="226"/>
      <c r="I294" s="226"/>
      <c r="J294" s="226"/>
      <c r="P294" s="226"/>
      <c r="Q294" s="226"/>
      <c r="R294" s="226"/>
      <c r="S294" s="226"/>
      <c r="T294" s="226"/>
      <c r="U294" s="226"/>
    </row>
    <row r="295" spans="3:21" x14ac:dyDescent="0.35">
      <c r="C295" s="226"/>
      <c r="E295" s="226"/>
      <c r="G295" s="226"/>
      <c r="I295" s="226"/>
      <c r="J295" s="226"/>
      <c r="P295" s="226"/>
      <c r="Q295" s="226"/>
      <c r="R295" s="226"/>
      <c r="S295" s="226"/>
      <c r="T295" s="226"/>
      <c r="U295" s="226"/>
    </row>
    <row r="296" spans="3:21" x14ac:dyDescent="0.35">
      <c r="C296" s="226"/>
      <c r="E296" s="226"/>
      <c r="G296" s="226"/>
      <c r="I296" s="226"/>
      <c r="J296" s="226"/>
      <c r="P296" s="226"/>
      <c r="Q296" s="226"/>
      <c r="R296" s="226"/>
      <c r="S296" s="226"/>
      <c r="T296" s="226"/>
      <c r="U296" s="226"/>
    </row>
    <row r="297" spans="3:21" x14ac:dyDescent="0.35">
      <c r="C297" s="226"/>
      <c r="E297" s="226"/>
      <c r="G297" s="226"/>
      <c r="I297" s="226"/>
      <c r="J297" s="226"/>
      <c r="P297" s="226"/>
      <c r="Q297" s="226"/>
      <c r="R297" s="226"/>
      <c r="S297" s="226"/>
      <c r="T297" s="226"/>
      <c r="U297" s="226"/>
    </row>
    <row r="298" spans="3:21" x14ac:dyDescent="0.35">
      <c r="C298" s="226"/>
      <c r="E298" s="226"/>
      <c r="G298" s="226"/>
      <c r="I298" s="226"/>
      <c r="J298" s="226"/>
      <c r="P298" s="226"/>
      <c r="Q298" s="226"/>
      <c r="R298" s="226"/>
      <c r="S298" s="226"/>
      <c r="T298" s="226"/>
      <c r="U298" s="226"/>
    </row>
    <row r="299" spans="3:21" x14ac:dyDescent="0.35">
      <c r="C299" s="226"/>
      <c r="E299" s="226"/>
      <c r="G299" s="226"/>
      <c r="I299" s="226"/>
      <c r="J299" s="226"/>
      <c r="P299" s="226"/>
      <c r="Q299" s="226"/>
      <c r="R299" s="226"/>
      <c r="S299" s="226"/>
      <c r="T299" s="226"/>
      <c r="U299" s="226"/>
    </row>
    <row r="300" spans="3:21" x14ac:dyDescent="0.35">
      <c r="C300" s="226"/>
      <c r="E300" s="226"/>
      <c r="G300" s="226"/>
      <c r="I300" s="226"/>
      <c r="J300" s="226"/>
      <c r="P300" s="226"/>
      <c r="Q300" s="226"/>
      <c r="R300" s="226"/>
      <c r="S300" s="226"/>
      <c r="T300" s="226"/>
      <c r="U300" s="226"/>
    </row>
    <row r="301" spans="3:21" x14ac:dyDescent="0.35">
      <c r="C301" s="226"/>
      <c r="E301" s="226"/>
      <c r="G301" s="226"/>
      <c r="I301" s="226"/>
      <c r="J301" s="226"/>
      <c r="P301" s="226"/>
      <c r="Q301" s="226"/>
      <c r="R301" s="226"/>
      <c r="S301" s="226"/>
      <c r="T301" s="226"/>
      <c r="U301" s="226"/>
    </row>
    <row r="302" spans="3:21" x14ac:dyDescent="0.35">
      <c r="C302" s="226"/>
      <c r="E302" s="226"/>
      <c r="G302" s="226"/>
      <c r="I302" s="226"/>
      <c r="J302" s="226"/>
      <c r="P302" s="226"/>
      <c r="Q302" s="226"/>
      <c r="R302" s="226"/>
      <c r="S302" s="226"/>
      <c r="T302" s="226"/>
      <c r="U302" s="226"/>
    </row>
    <row r="303" spans="3:21" x14ac:dyDescent="0.35">
      <c r="C303" s="226"/>
      <c r="E303" s="226"/>
      <c r="G303" s="226"/>
      <c r="I303" s="226"/>
      <c r="J303" s="226"/>
      <c r="P303" s="226"/>
      <c r="Q303" s="226"/>
      <c r="R303" s="226"/>
      <c r="S303" s="226"/>
      <c r="T303" s="226"/>
      <c r="U303" s="226"/>
    </row>
    <row r="304" spans="3:21" x14ac:dyDescent="0.35">
      <c r="C304" s="226"/>
      <c r="E304" s="226"/>
      <c r="G304" s="226"/>
      <c r="I304" s="226"/>
      <c r="J304" s="226"/>
      <c r="P304" s="226"/>
      <c r="Q304" s="226"/>
      <c r="R304" s="226"/>
      <c r="S304" s="226"/>
      <c r="T304" s="226"/>
      <c r="U304" s="226"/>
    </row>
    <row r="305" spans="3:21" x14ac:dyDescent="0.35">
      <c r="C305" s="226"/>
      <c r="E305" s="226"/>
      <c r="G305" s="226"/>
      <c r="I305" s="226"/>
      <c r="J305" s="226"/>
      <c r="P305" s="226"/>
      <c r="Q305" s="226"/>
      <c r="R305" s="226"/>
      <c r="S305" s="226"/>
      <c r="T305" s="226"/>
      <c r="U305" s="226"/>
    </row>
    <row r="306" spans="3:21" x14ac:dyDescent="0.35">
      <c r="C306" s="226"/>
      <c r="E306" s="226"/>
      <c r="G306" s="226"/>
      <c r="I306" s="226"/>
      <c r="J306" s="226"/>
      <c r="P306" s="226"/>
      <c r="Q306" s="226"/>
      <c r="R306" s="226"/>
      <c r="S306" s="226"/>
      <c r="T306" s="226"/>
      <c r="U306" s="226"/>
    </row>
    <row r="307" spans="3:21" x14ac:dyDescent="0.35">
      <c r="C307" s="226"/>
      <c r="E307" s="226"/>
      <c r="G307" s="226"/>
      <c r="I307" s="226"/>
      <c r="J307" s="226"/>
      <c r="P307" s="226"/>
      <c r="Q307" s="226"/>
      <c r="R307" s="226"/>
      <c r="S307" s="226"/>
      <c r="T307" s="226"/>
      <c r="U307" s="226"/>
    </row>
    <row r="308" spans="3:21" x14ac:dyDescent="0.35">
      <c r="C308" s="226"/>
      <c r="E308" s="226"/>
      <c r="G308" s="226"/>
      <c r="I308" s="226"/>
      <c r="J308" s="226"/>
      <c r="P308" s="226"/>
      <c r="Q308" s="226"/>
      <c r="R308" s="226"/>
      <c r="S308" s="226"/>
      <c r="T308" s="226"/>
      <c r="U308" s="226"/>
    </row>
    <row r="309" spans="3:21" x14ac:dyDescent="0.35">
      <c r="C309" s="226"/>
      <c r="E309" s="226"/>
      <c r="G309" s="226"/>
      <c r="I309" s="226"/>
      <c r="J309" s="226"/>
      <c r="P309" s="226"/>
      <c r="Q309" s="226"/>
      <c r="R309" s="226"/>
      <c r="S309" s="226"/>
      <c r="T309" s="226"/>
      <c r="U309" s="226"/>
    </row>
    <row r="310" spans="3:21" x14ac:dyDescent="0.35">
      <c r="C310" s="226"/>
      <c r="E310" s="226"/>
      <c r="G310" s="226"/>
      <c r="I310" s="226"/>
      <c r="J310" s="226"/>
      <c r="P310" s="226"/>
      <c r="Q310" s="226"/>
      <c r="R310" s="226"/>
      <c r="S310" s="226"/>
      <c r="T310" s="226"/>
      <c r="U310" s="226"/>
    </row>
    <row r="311" spans="3:21" x14ac:dyDescent="0.35">
      <c r="C311" s="226"/>
      <c r="E311" s="226"/>
      <c r="G311" s="226"/>
      <c r="I311" s="226"/>
      <c r="J311" s="226"/>
      <c r="P311" s="226"/>
      <c r="Q311" s="226"/>
      <c r="R311" s="226"/>
      <c r="S311" s="226"/>
      <c r="T311" s="226"/>
      <c r="U311" s="226"/>
    </row>
    <row r="312" spans="3:21" x14ac:dyDescent="0.35">
      <c r="C312" s="226"/>
      <c r="E312" s="226"/>
      <c r="G312" s="226"/>
      <c r="I312" s="226"/>
      <c r="J312" s="226"/>
      <c r="P312" s="226"/>
      <c r="Q312" s="226"/>
      <c r="R312" s="226"/>
      <c r="S312" s="226"/>
      <c r="T312" s="226"/>
      <c r="U312" s="226"/>
    </row>
    <row r="313" spans="3:21" x14ac:dyDescent="0.35">
      <c r="C313" s="226"/>
      <c r="E313" s="226"/>
      <c r="G313" s="226"/>
      <c r="I313" s="226"/>
      <c r="J313" s="226"/>
      <c r="P313" s="226"/>
      <c r="Q313" s="226"/>
      <c r="R313" s="226"/>
      <c r="S313" s="226"/>
      <c r="T313" s="226"/>
      <c r="U313" s="226"/>
    </row>
    <row r="314" spans="3:21" x14ac:dyDescent="0.35">
      <c r="C314" s="226"/>
      <c r="E314" s="226"/>
      <c r="G314" s="226"/>
      <c r="I314" s="226"/>
      <c r="J314" s="226"/>
      <c r="P314" s="226"/>
      <c r="Q314" s="226"/>
      <c r="R314" s="226"/>
      <c r="S314" s="226"/>
      <c r="T314" s="226"/>
      <c r="U314" s="226"/>
    </row>
    <row r="315" spans="3:21" x14ac:dyDescent="0.35">
      <c r="C315" s="226"/>
      <c r="E315" s="226"/>
      <c r="G315" s="226"/>
      <c r="I315" s="226"/>
      <c r="J315" s="226"/>
      <c r="P315" s="226"/>
      <c r="Q315" s="226"/>
      <c r="R315" s="226"/>
      <c r="S315" s="226"/>
      <c r="T315" s="226"/>
      <c r="U315" s="226"/>
    </row>
    <row r="316" spans="3:21" x14ac:dyDescent="0.35">
      <c r="C316" s="226"/>
      <c r="E316" s="226"/>
      <c r="G316" s="226"/>
      <c r="I316" s="226"/>
      <c r="J316" s="226"/>
      <c r="P316" s="226"/>
      <c r="Q316" s="226"/>
      <c r="R316" s="226"/>
      <c r="S316" s="226"/>
      <c r="T316" s="226"/>
      <c r="U316" s="226"/>
    </row>
    <row r="317" spans="3:21" x14ac:dyDescent="0.35">
      <c r="C317" s="226"/>
      <c r="E317" s="226"/>
      <c r="G317" s="226"/>
      <c r="I317" s="226"/>
      <c r="J317" s="226"/>
      <c r="P317" s="226"/>
      <c r="Q317" s="226"/>
      <c r="R317" s="226"/>
      <c r="S317" s="226"/>
      <c r="T317" s="226"/>
      <c r="U317" s="226"/>
    </row>
    <row r="318" spans="3:21" x14ac:dyDescent="0.35">
      <c r="C318" s="226"/>
      <c r="E318" s="226"/>
      <c r="G318" s="226"/>
      <c r="I318" s="226"/>
      <c r="J318" s="226"/>
      <c r="P318" s="226"/>
      <c r="Q318" s="226"/>
      <c r="R318" s="226"/>
      <c r="S318" s="226"/>
      <c r="T318" s="226"/>
      <c r="U318" s="226"/>
    </row>
    <row r="319" spans="3:21" x14ac:dyDescent="0.35">
      <c r="C319" s="226"/>
      <c r="E319" s="226"/>
      <c r="G319" s="226"/>
      <c r="I319" s="226"/>
      <c r="J319" s="226"/>
      <c r="P319" s="226"/>
      <c r="Q319" s="226"/>
      <c r="R319" s="226"/>
      <c r="S319" s="226"/>
      <c r="T319" s="226"/>
      <c r="U319" s="226"/>
    </row>
    <row r="320" spans="3:21" x14ac:dyDescent="0.35">
      <c r="C320" s="226"/>
      <c r="E320" s="226"/>
      <c r="G320" s="226"/>
      <c r="I320" s="226"/>
      <c r="J320" s="226"/>
      <c r="P320" s="226"/>
      <c r="Q320" s="226"/>
      <c r="R320" s="226"/>
      <c r="S320" s="226"/>
      <c r="T320" s="226"/>
      <c r="U320" s="226"/>
    </row>
    <row r="321" spans="3:21" x14ac:dyDescent="0.35">
      <c r="C321" s="226"/>
      <c r="E321" s="226"/>
      <c r="G321" s="226"/>
      <c r="I321" s="226"/>
      <c r="J321" s="226"/>
      <c r="P321" s="226"/>
      <c r="Q321" s="226"/>
      <c r="R321" s="226"/>
      <c r="S321" s="226"/>
      <c r="T321" s="226"/>
      <c r="U321" s="226"/>
    </row>
    <row r="322" spans="3:21" x14ac:dyDescent="0.35">
      <c r="C322" s="226"/>
      <c r="E322" s="226"/>
      <c r="G322" s="226"/>
      <c r="I322" s="226"/>
      <c r="J322" s="226"/>
      <c r="P322" s="226"/>
      <c r="Q322" s="226"/>
      <c r="R322" s="226"/>
      <c r="S322" s="226"/>
      <c r="T322" s="226"/>
      <c r="U322" s="226"/>
    </row>
    <row r="323" spans="3:21" x14ac:dyDescent="0.35">
      <c r="C323" s="226"/>
      <c r="E323" s="226"/>
      <c r="G323" s="226"/>
      <c r="I323" s="226"/>
      <c r="J323" s="226"/>
      <c r="P323" s="226"/>
      <c r="Q323" s="226"/>
      <c r="R323" s="226"/>
      <c r="S323" s="226"/>
      <c r="T323" s="226"/>
      <c r="U323" s="226"/>
    </row>
    <row r="324" spans="3:21" x14ac:dyDescent="0.35">
      <c r="C324" s="226"/>
      <c r="E324" s="226"/>
      <c r="G324" s="226"/>
      <c r="I324" s="226"/>
      <c r="J324" s="226"/>
      <c r="P324" s="226"/>
      <c r="Q324" s="226"/>
      <c r="R324" s="226"/>
      <c r="S324" s="226"/>
      <c r="T324" s="226"/>
      <c r="U324" s="226"/>
    </row>
    <row r="325" spans="3:21" x14ac:dyDescent="0.35">
      <c r="C325" s="226"/>
      <c r="E325" s="226"/>
      <c r="G325" s="226"/>
      <c r="I325" s="226"/>
      <c r="J325" s="226"/>
      <c r="P325" s="226"/>
      <c r="Q325" s="226"/>
      <c r="R325" s="226"/>
      <c r="S325" s="226"/>
      <c r="T325" s="226"/>
      <c r="U325" s="226"/>
    </row>
    <row r="326" spans="3:21" x14ac:dyDescent="0.35">
      <c r="C326" s="226"/>
      <c r="E326" s="226"/>
      <c r="G326" s="226"/>
      <c r="I326" s="226"/>
      <c r="J326" s="226"/>
      <c r="P326" s="226"/>
      <c r="Q326" s="226"/>
      <c r="R326" s="226"/>
      <c r="S326" s="226"/>
      <c r="T326" s="226"/>
      <c r="U326" s="226"/>
    </row>
    <row r="327" spans="3:21" x14ac:dyDescent="0.35">
      <c r="C327" s="226"/>
      <c r="E327" s="226"/>
      <c r="G327" s="226"/>
      <c r="I327" s="226"/>
      <c r="J327" s="226"/>
      <c r="P327" s="226"/>
      <c r="Q327" s="226"/>
      <c r="R327" s="226"/>
      <c r="S327" s="226"/>
      <c r="T327" s="226"/>
      <c r="U327" s="226"/>
    </row>
    <row r="328" spans="3:21" x14ac:dyDescent="0.35">
      <c r="C328" s="226"/>
      <c r="E328" s="226"/>
      <c r="G328" s="226"/>
      <c r="I328" s="226"/>
      <c r="J328" s="226"/>
      <c r="P328" s="226"/>
      <c r="Q328" s="226"/>
      <c r="R328" s="226"/>
      <c r="S328" s="226"/>
      <c r="T328" s="226"/>
      <c r="U328" s="226"/>
    </row>
    <row r="329" spans="3:21" x14ac:dyDescent="0.35">
      <c r="C329" s="226"/>
      <c r="E329" s="226"/>
      <c r="G329" s="226"/>
      <c r="I329" s="226"/>
      <c r="J329" s="226"/>
      <c r="P329" s="226"/>
      <c r="Q329" s="226"/>
      <c r="R329" s="226"/>
      <c r="S329" s="226"/>
      <c r="T329" s="226"/>
      <c r="U329" s="226"/>
    </row>
    <row r="330" spans="3:21" x14ac:dyDescent="0.35">
      <c r="C330" s="226"/>
      <c r="E330" s="226"/>
      <c r="G330" s="226"/>
      <c r="I330" s="226"/>
      <c r="J330" s="226"/>
      <c r="P330" s="226"/>
      <c r="Q330" s="226"/>
      <c r="R330" s="226"/>
      <c r="S330" s="226"/>
      <c r="T330" s="226"/>
      <c r="U330" s="226"/>
    </row>
    <row r="331" spans="3:21" x14ac:dyDescent="0.35">
      <c r="C331" s="226"/>
      <c r="E331" s="226"/>
      <c r="G331" s="226"/>
      <c r="I331" s="226"/>
      <c r="J331" s="226"/>
      <c r="P331" s="226"/>
      <c r="Q331" s="226"/>
      <c r="R331" s="226"/>
      <c r="S331" s="226"/>
      <c r="T331" s="226"/>
      <c r="U331" s="226"/>
    </row>
    <row r="332" spans="3:21" x14ac:dyDescent="0.35">
      <c r="C332" s="226"/>
      <c r="E332" s="226"/>
      <c r="G332" s="226"/>
      <c r="I332" s="226"/>
      <c r="J332" s="226"/>
      <c r="P332" s="226"/>
      <c r="Q332" s="226"/>
      <c r="R332" s="226"/>
      <c r="S332" s="226"/>
      <c r="T332" s="226"/>
      <c r="U332" s="226"/>
    </row>
    <row r="333" spans="3:21" x14ac:dyDescent="0.35">
      <c r="C333" s="226"/>
      <c r="E333" s="226"/>
      <c r="G333" s="226"/>
      <c r="I333" s="226"/>
      <c r="J333" s="226"/>
      <c r="P333" s="226"/>
      <c r="Q333" s="226"/>
      <c r="R333" s="226"/>
      <c r="S333" s="226"/>
      <c r="T333" s="226"/>
      <c r="U333" s="226"/>
    </row>
    <row r="334" spans="3:21" x14ac:dyDescent="0.35">
      <c r="C334" s="226"/>
      <c r="E334" s="226"/>
      <c r="G334" s="226"/>
      <c r="I334" s="226"/>
      <c r="J334" s="226"/>
      <c r="P334" s="226"/>
      <c r="Q334" s="226"/>
      <c r="R334" s="226"/>
      <c r="S334" s="226"/>
      <c r="T334" s="226"/>
      <c r="U334" s="226"/>
    </row>
    <row r="335" spans="3:21" x14ac:dyDescent="0.35">
      <c r="C335" s="226"/>
      <c r="E335" s="226"/>
      <c r="G335" s="226"/>
      <c r="I335" s="226"/>
      <c r="J335" s="226"/>
      <c r="P335" s="226"/>
      <c r="Q335" s="226"/>
      <c r="R335" s="226"/>
      <c r="S335" s="226"/>
      <c r="T335" s="226"/>
      <c r="U335" s="226"/>
    </row>
    <row r="336" spans="3:21" x14ac:dyDescent="0.35">
      <c r="C336" s="226"/>
      <c r="E336" s="226"/>
      <c r="G336" s="226"/>
      <c r="I336" s="226"/>
      <c r="J336" s="226"/>
      <c r="P336" s="226"/>
      <c r="Q336" s="226"/>
      <c r="R336" s="226"/>
      <c r="S336" s="226"/>
      <c r="T336" s="226"/>
      <c r="U336" s="226"/>
    </row>
    <row r="337" spans="3:21" x14ac:dyDescent="0.35">
      <c r="C337" s="226"/>
      <c r="E337" s="226"/>
      <c r="G337" s="226"/>
      <c r="I337" s="226"/>
      <c r="J337" s="226"/>
      <c r="P337" s="226"/>
      <c r="Q337" s="226"/>
      <c r="R337" s="226"/>
      <c r="S337" s="226"/>
      <c r="T337" s="226"/>
      <c r="U337" s="226"/>
    </row>
    <row r="338" spans="3:21" x14ac:dyDescent="0.35">
      <c r="C338" s="226"/>
      <c r="E338" s="226"/>
      <c r="G338" s="226"/>
      <c r="I338" s="226"/>
      <c r="J338" s="226"/>
      <c r="P338" s="226"/>
      <c r="Q338" s="226"/>
      <c r="R338" s="226"/>
      <c r="S338" s="226"/>
      <c r="T338" s="226"/>
      <c r="U338" s="226"/>
    </row>
    <row r="339" spans="3:21" x14ac:dyDescent="0.35">
      <c r="C339" s="226"/>
      <c r="E339" s="226"/>
      <c r="G339" s="226"/>
      <c r="I339" s="226"/>
      <c r="J339" s="226"/>
      <c r="P339" s="226"/>
      <c r="Q339" s="226"/>
      <c r="R339" s="226"/>
      <c r="S339" s="226"/>
      <c r="T339" s="226"/>
      <c r="U339" s="226"/>
    </row>
    <row r="340" spans="3:21" x14ac:dyDescent="0.35">
      <c r="C340" s="226"/>
      <c r="E340" s="226"/>
      <c r="G340" s="226"/>
      <c r="I340" s="226"/>
      <c r="J340" s="226"/>
      <c r="P340" s="226"/>
      <c r="Q340" s="226"/>
      <c r="R340" s="226"/>
      <c r="S340" s="226"/>
      <c r="T340" s="226"/>
      <c r="U340" s="226"/>
    </row>
    <row r="341" spans="3:21" x14ac:dyDescent="0.35">
      <c r="C341" s="226"/>
      <c r="E341" s="226"/>
      <c r="G341" s="226"/>
      <c r="I341" s="226"/>
      <c r="J341" s="226"/>
      <c r="P341" s="226"/>
      <c r="Q341" s="226"/>
      <c r="R341" s="226"/>
      <c r="S341" s="226"/>
      <c r="T341" s="226"/>
      <c r="U341" s="226"/>
    </row>
    <row r="342" spans="3:21" x14ac:dyDescent="0.35">
      <c r="C342" s="226"/>
      <c r="E342" s="226"/>
      <c r="G342" s="226"/>
      <c r="I342" s="226"/>
      <c r="J342" s="226"/>
      <c r="P342" s="226"/>
      <c r="Q342" s="226"/>
      <c r="R342" s="226"/>
      <c r="S342" s="226"/>
      <c r="T342" s="226"/>
      <c r="U342" s="226"/>
    </row>
    <row r="343" spans="3:21" x14ac:dyDescent="0.35">
      <c r="C343" s="226"/>
      <c r="E343" s="226"/>
      <c r="G343" s="226"/>
      <c r="I343" s="226"/>
      <c r="J343" s="226"/>
      <c r="P343" s="226"/>
      <c r="Q343" s="226"/>
      <c r="R343" s="226"/>
      <c r="S343" s="226"/>
      <c r="T343" s="226"/>
      <c r="U343" s="226"/>
    </row>
    <row r="344" spans="3:21" x14ac:dyDescent="0.35">
      <c r="C344" s="226"/>
      <c r="E344" s="226"/>
      <c r="G344" s="226"/>
      <c r="I344" s="226"/>
      <c r="J344" s="226"/>
      <c r="P344" s="226"/>
      <c r="Q344" s="226"/>
      <c r="R344" s="226"/>
      <c r="S344" s="226"/>
      <c r="T344" s="226"/>
      <c r="U344" s="226"/>
    </row>
    <row r="345" spans="3:21" x14ac:dyDescent="0.35">
      <c r="C345" s="226"/>
      <c r="E345" s="226"/>
      <c r="G345" s="226"/>
      <c r="I345" s="226"/>
      <c r="J345" s="226"/>
      <c r="P345" s="226"/>
      <c r="Q345" s="226"/>
      <c r="R345" s="226"/>
      <c r="S345" s="226"/>
      <c r="T345" s="226"/>
      <c r="U345" s="226"/>
    </row>
    <row r="346" spans="3:21" x14ac:dyDescent="0.35">
      <c r="C346" s="226"/>
      <c r="E346" s="226"/>
      <c r="G346" s="226"/>
      <c r="I346" s="226"/>
      <c r="J346" s="226"/>
      <c r="P346" s="226"/>
      <c r="Q346" s="226"/>
      <c r="R346" s="226"/>
      <c r="S346" s="226"/>
      <c r="T346" s="226"/>
      <c r="U346" s="226"/>
    </row>
    <row r="347" spans="3:21" x14ac:dyDescent="0.35">
      <c r="C347" s="226"/>
      <c r="E347" s="226"/>
      <c r="G347" s="226"/>
      <c r="I347" s="226"/>
      <c r="J347" s="226"/>
      <c r="P347" s="226"/>
      <c r="Q347" s="226"/>
      <c r="R347" s="226"/>
      <c r="S347" s="226"/>
      <c r="T347" s="226"/>
      <c r="U347" s="226"/>
    </row>
    <row r="348" spans="3:21" x14ac:dyDescent="0.35">
      <c r="C348" s="226"/>
      <c r="E348" s="226"/>
      <c r="G348" s="226"/>
      <c r="I348" s="226"/>
      <c r="J348" s="226"/>
      <c r="P348" s="226"/>
      <c r="Q348" s="226"/>
      <c r="R348" s="226"/>
      <c r="S348" s="226"/>
      <c r="T348" s="226"/>
      <c r="U348" s="226"/>
    </row>
    <row r="349" spans="3:21" x14ac:dyDescent="0.35">
      <c r="C349" s="226"/>
      <c r="E349" s="226"/>
      <c r="G349" s="226"/>
      <c r="I349" s="226"/>
      <c r="J349" s="226"/>
      <c r="P349" s="226"/>
      <c r="Q349" s="226"/>
      <c r="R349" s="226"/>
      <c r="S349" s="226"/>
      <c r="T349" s="226"/>
      <c r="U349" s="226"/>
    </row>
    <row r="350" spans="3:21" x14ac:dyDescent="0.35">
      <c r="C350" s="226"/>
      <c r="E350" s="226"/>
      <c r="G350" s="226"/>
      <c r="I350" s="226"/>
      <c r="J350" s="226"/>
      <c r="P350" s="226"/>
      <c r="Q350" s="226"/>
      <c r="R350" s="226"/>
      <c r="S350" s="226"/>
      <c r="T350" s="226"/>
      <c r="U350" s="226"/>
    </row>
    <row r="351" spans="3:21" x14ac:dyDescent="0.35">
      <c r="C351" s="226"/>
      <c r="E351" s="226"/>
      <c r="G351" s="226"/>
      <c r="I351" s="226"/>
      <c r="J351" s="226"/>
      <c r="P351" s="226"/>
      <c r="Q351" s="226"/>
      <c r="R351" s="226"/>
      <c r="S351" s="226"/>
      <c r="T351" s="226"/>
      <c r="U351" s="226"/>
    </row>
    <row r="352" spans="3:21" x14ac:dyDescent="0.35">
      <c r="C352" s="226"/>
      <c r="E352" s="226"/>
      <c r="G352" s="226"/>
      <c r="I352" s="226"/>
      <c r="J352" s="226"/>
      <c r="P352" s="226"/>
      <c r="Q352" s="226"/>
      <c r="R352" s="226"/>
      <c r="S352" s="226"/>
      <c r="T352" s="226"/>
      <c r="U352" s="226"/>
    </row>
    <row r="353" spans="3:21" x14ac:dyDescent="0.35">
      <c r="C353" s="226"/>
      <c r="E353" s="226"/>
      <c r="G353" s="226"/>
      <c r="I353" s="226"/>
      <c r="J353" s="226"/>
      <c r="P353" s="226"/>
      <c r="Q353" s="226"/>
      <c r="R353" s="226"/>
      <c r="S353" s="226"/>
      <c r="T353" s="226"/>
      <c r="U353" s="226"/>
    </row>
    <row r="354" spans="3:21" x14ac:dyDescent="0.35">
      <c r="C354" s="226"/>
      <c r="E354" s="226"/>
      <c r="G354" s="226"/>
      <c r="I354" s="226"/>
      <c r="J354" s="226"/>
      <c r="P354" s="226"/>
      <c r="Q354" s="226"/>
      <c r="R354" s="226"/>
      <c r="S354" s="226"/>
      <c r="T354" s="226"/>
      <c r="U354" s="226"/>
    </row>
    <row r="355" spans="3:21" x14ac:dyDescent="0.35">
      <c r="C355" s="226"/>
      <c r="E355" s="226"/>
      <c r="G355" s="226"/>
      <c r="I355" s="226"/>
      <c r="J355" s="226"/>
      <c r="P355" s="226"/>
      <c r="Q355" s="226"/>
      <c r="R355" s="226"/>
      <c r="S355" s="226"/>
      <c r="T355" s="226"/>
      <c r="U355" s="226"/>
    </row>
    <row r="356" spans="3:21" x14ac:dyDescent="0.35">
      <c r="C356" s="226"/>
      <c r="E356" s="226"/>
      <c r="G356" s="226"/>
      <c r="I356" s="226"/>
      <c r="J356" s="226"/>
      <c r="P356" s="226"/>
      <c r="Q356" s="226"/>
      <c r="R356" s="226"/>
      <c r="S356" s="226"/>
      <c r="T356" s="226"/>
      <c r="U356" s="226"/>
    </row>
    <row r="357" spans="3:21" x14ac:dyDescent="0.35">
      <c r="C357" s="226"/>
      <c r="E357" s="226"/>
      <c r="G357" s="226"/>
      <c r="I357" s="226"/>
      <c r="J357" s="226"/>
      <c r="P357" s="226"/>
      <c r="Q357" s="226"/>
      <c r="R357" s="226"/>
      <c r="S357" s="226"/>
      <c r="T357" s="226"/>
      <c r="U357" s="226"/>
    </row>
    <row r="358" spans="3:21" x14ac:dyDescent="0.35">
      <c r="C358" s="226"/>
      <c r="E358" s="226"/>
      <c r="G358" s="226"/>
      <c r="I358" s="226"/>
      <c r="J358" s="226"/>
      <c r="P358" s="226"/>
      <c r="Q358" s="226"/>
      <c r="R358" s="226"/>
      <c r="S358" s="226"/>
      <c r="T358" s="226"/>
      <c r="U358" s="226"/>
    </row>
    <row r="359" spans="3:21" x14ac:dyDescent="0.35">
      <c r="C359" s="226"/>
      <c r="E359" s="226"/>
      <c r="G359" s="226"/>
      <c r="I359" s="226"/>
      <c r="J359" s="226"/>
      <c r="P359" s="226"/>
      <c r="Q359" s="226"/>
      <c r="R359" s="226"/>
      <c r="S359" s="226"/>
      <c r="T359" s="226"/>
      <c r="U359" s="226"/>
    </row>
    <row r="360" spans="3:21" x14ac:dyDescent="0.35">
      <c r="C360" s="226"/>
      <c r="E360" s="226"/>
      <c r="G360" s="226"/>
      <c r="I360" s="226"/>
      <c r="J360" s="226"/>
      <c r="P360" s="226"/>
      <c r="Q360" s="226"/>
      <c r="R360" s="226"/>
      <c r="S360" s="226"/>
      <c r="T360" s="226"/>
      <c r="U360" s="226"/>
    </row>
    <row r="361" spans="3:21" x14ac:dyDescent="0.35">
      <c r="C361" s="226"/>
      <c r="E361" s="226"/>
      <c r="G361" s="226"/>
      <c r="I361" s="226"/>
      <c r="J361" s="226"/>
      <c r="P361" s="226"/>
      <c r="Q361" s="226"/>
      <c r="R361" s="226"/>
      <c r="S361" s="226"/>
      <c r="T361" s="226"/>
      <c r="U361" s="226"/>
    </row>
    <row r="362" spans="3:21" x14ac:dyDescent="0.35">
      <c r="C362" s="226"/>
      <c r="E362" s="226"/>
      <c r="G362" s="226"/>
      <c r="I362" s="226"/>
      <c r="J362" s="226"/>
      <c r="P362" s="226"/>
      <c r="Q362" s="226"/>
      <c r="R362" s="226"/>
      <c r="S362" s="226"/>
      <c r="T362" s="226"/>
      <c r="U362" s="226"/>
    </row>
    <row r="363" spans="3:21" x14ac:dyDescent="0.35">
      <c r="C363" s="226"/>
      <c r="E363" s="226"/>
      <c r="G363" s="226"/>
      <c r="I363" s="226"/>
      <c r="J363" s="226"/>
      <c r="P363" s="226"/>
      <c r="Q363" s="226"/>
      <c r="R363" s="226"/>
      <c r="S363" s="226"/>
      <c r="T363" s="226"/>
      <c r="U363" s="226"/>
    </row>
    <row r="364" spans="3:21" x14ac:dyDescent="0.35">
      <c r="C364" s="226"/>
      <c r="E364" s="226"/>
      <c r="G364" s="226"/>
      <c r="I364" s="226"/>
      <c r="J364" s="226"/>
      <c r="P364" s="226"/>
      <c r="Q364" s="226"/>
      <c r="R364" s="226"/>
      <c r="S364" s="226"/>
      <c r="T364" s="226"/>
      <c r="U364" s="226"/>
    </row>
    <row r="365" spans="3:21" x14ac:dyDescent="0.35">
      <c r="C365" s="226"/>
      <c r="E365" s="226"/>
      <c r="G365" s="226"/>
      <c r="I365" s="226"/>
      <c r="J365" s="226"/>
      <c r="P365" s="226"/>
      <c r="Q365" s="226"/>
      <c r="R365" s="226"/>
      <c r="S365" s="226"/>
      <c r="T365" s="226"/>
      <c r="U365" s="226"/>
    </row>
    <row r="366" spans="3:21" x14ac:dyDescent="0.35">
      <c r="C366" s="226"/>
      <c r="E366" s="226"/>
      <c r="G366" s="226"/>
      <c r="I366" s="226"/>
      <c r="J366" s="226"/>
      <c r="P366" s="226"/>
      <c r="Q366" s="226"/>
      <c r="R366" s="226"/>
      <c r="S366" s="226"/>
      <c r="T366" s="226"/>
      <c r="U366" s="226"/>
    </row>
    <row r="367" spans="3:21" x14ac:dyDescent="0.35">
      <c r="C367" s="226"/>
      <c r="E367" s="226"/>
      <c r="G367" s="226"/>
      <c r="I367" s="226"/>
      <c r="J367" s="226"/>
      <c r="P367" s="226"/>
      <c r="Q367" s="226"/>
      <c r="R367" s="226"/>
      <c r="S367" s="226"/>
      <c r="T367" s="226"/>
      <c r="U367" s="226"/>
    </row>
    <row r="368" spans="3:21" x14ac:dyDescent="0.35">
      <c r="C368" s="226"/>
      <c r="E368" s="226"/>
      <c r="G368" s="226"/>
      <c r="I368" s="226"/>
      <c r="J368" s="226"/>
      <c r="P368" s="226"/>
      <c r="Q368" s="226"/>
      <c r="R368" s="226"/>
      <c r="S368" s="226"/>
      <c r="T368" s="226"/>
      <c r="U368" s="226"/>
    </row>
    <row r="369" spans="3:21" x14ac:dyDescent="0.35">
      <c r="C369" s="226"/>
      <c r="E369" s="226"/>
      <c r="G369" s="226"/>
      <c r="I369" s="226"/>
      <c r="J369" s="226"/>
      <c r="P369" s="226"/>
      <c r="Q369" s="226"/>
      <c r="R369" s="226"/>
      <c r="S369" s="226"/>
      <c r="T369" s="226"/>
      <c r="U369" s="226"/>
    </row>
    <row r="370" spans="3:21" x14ac:dyDescent="0.35">
      <c r="C370" s="226"/>
      <c r="E370" s="226"/>
      <c r="G370" s="226"/>
      <c r="I370" s="226"/>
      <c r="J370" s="226"/>
      <c r="P370" s="226"/>
      <c r="Q370" s="226"/>
      <c r="R370" s="226"/>
      <c r="S370" s="226"/>
      <c r="T370" s="226"/>
      <c r="U370" s="226"/>
    </row>
    <row r="371" spans="3:21" x14ac:dyDescent="0.35">
      <c r="C371" s="226"/>
      <c r="E371" s="226"/>
      <c r="G371" s="226"/>
      <c r="I371" s="226"/>
      <c r="J371" s="226"/>
      <c r="P371" s="226"/>
      <c r="Q371" s="226"/>
      <c r="R371" s="226"/>
      <c r="S371" s="226"/>
      <c r="T371" s="226"/>
      <c r="U371" s="226"/>
    </row>
    <row r="372" spans="3:21" x14ac:dyDescent="0.35">
      <c r="C372" s="226"/>
      <c r="E372" s="226"/>
      <c r="G372" s="226"/>
      <c r="I372" s="226"/>
      <c r="J372" s="226"/>
      <c r="P372" s="226"/>
      <c r="Q372" s="226"/>
      <c r="R372" s="226"/>
      <c r="S372" s="226"/>
      <c r="T372" s="226"/>
      <c r="U372" s="226"/>
    </row>
    <row r="373" spans="3:21" x14ac:dyDescent="0.35">
      <c r="C373" s="226"/>
      <c r="E373" s="226"/>
      <c r="G373" s="226"/>
      <c r="I373" s="226"/>
      <c r="J373" s="226"/>
      <c r="P373" s="226"/>
      <c r="Q373" s="226"/>
      <c r="R373" s="226"/>
      <c r="S373" s="226"/>
      <c r="T373" s="226"/>
      <c r="U373" s="226"/>
    </row>
    <row r="374" spans="3:21" x14ac:dyDescent="0.35">
      <c r="C374" s="226"/>
      <c r="E374" s="226"/>
      <c r="G374" s="226"/>
      <c r="I374" s="226"/>
      <c r="J374" s="226"/>
      <c r="P374" s="226"/>
      <c r="Q374" s="226"/>
      <c r="R374" s="226"/>
      <c r="S374" s="226"/>
      <c r="T374" s="226"/>
      <c r="U374" s="226"/>
    </row>
    <row r="375" spans="3:21" x14ac:dyDescent="0.35">
      <c r="C375" s="226"/>
      <c r="E375" s="226"/>
      <c r="G375" s="226"/>
      <c r="I375" s="226"/>
      <c r="J375" s="226"/>
      <c r="P375" s="226"/>
      <c r="Q375" s="226"/>
      <c r="R375" s="226"/>
      <c r="S375" s="226"/>
      <c r="T375" s="226"/>
      <c r="U375" s="226"/>
    </row>
    <row r="376" spans="3:21" x14ac:dyDescent="0.35">
      <c r="C376" s="226"/>
      <c r="E376" s="226"/>
      <c r="G376" s="226"/>
      <c r="I376" s="226"/>
      <c r="J376" s="226"/>
      <c r="P376" s="226"/>
      <c r="Q376" s="226"/>
      <c r="R376" s="226"/>
      <c r="S376" s="226"/>
      <c r="T376" s="226"/>
      <c r="U376" s="226"/>
    </row>
    <row r="377" spans="3:21" x14ac:dyDescent="0.35">
      <c r="C377" s="226"/>
      <c r="E377" s="226"/>
      <c r="G377" s="226"/>
      <c r="I377" s="226"/>
      <c r="J377" s="226"/>
      <c r="P377" s="226"/>
      <c r="Q377" s="226"/>
      <c r="R377" s="226"/>
      <c r="S377" s="226"/>
      <c r="T377" s="226"/>
      <c r="U377" s="226"/>
    </row>
    <row r="378" spans="3:21" x14ac:dyDescent="0.35">
      <c r="C378" s="226"/>
      <c r="E378" s="226"/>
      <c r="G378" s="226"/>
      <c r="I378" s="226"/>
      <c r="J378" s="226"/>
      <c r="P378" s="226"/>
      <c r="Q378" s="226"/>
      <c r="R378" s="226"/>
      <c r="S378" s="226"/>
      <c r="T378" s="226"/>
      <c r="U378" s="226"/>
    </row>
    <row r="379" spans="3:21" x14ac:dyDescent="0.35">
      <c r="C379" s="226"/>
      <c r="E379" s="226"/>
      <c r="G379" s="226"/>
      <c r="I379" s="226"/>
      <c r="J379" s="226"/>
      <c r="P379" s="226"/>
      <c r="Q379" s="226"/>
      <c r="R379" s="226"/>
      <c r="S379" s="226"/>
      <c r="T379" s="226"/>
      <c r="U379" s="226"/>
    </row>
    <row r="380" spans="3:21" x14ac:dyDescent="0.35">
      <c r="C380" s="226"/>
      <c r="E380" s="226"/>
      <c r="G380" s="226"/>
      <c r="I380" s="226"/>
      <c r="J380" s="226"/>
      <c r="P380" s="226"/>
      <c r="Q380" s="226"/>
      <c r="R380" s="226"/>
      <c r="S380" s="226"/>
      <c r="T380" s="226"/>
      <c r="U380" s="226"/>
    </row>
    <row r="381" spans="3:21" x14ac:dyDescent="0.35">
      <c r="C381" s="226"/>
      <c r="E381" s="226"/>
      <c r="G381" s="226"/>
      <c r="I381" s="226"/>
      <c r="J381" s="226"/>
      <c r="P381" s="226"/>
      <c r="Q381" s="226"/>
      <c r="R381" s="226"/>
      <c r="S381" s="226"/>
      <c r="T381" s="226"/>
      <c r="U381" s="226"/>
    </row>
    <row r="382" spans="3:21" x14ac:dyDescent="0.35">
      <c r="C382" s="226"/>
      <c r="E382" s="226"/>
      <c r="G382" s="226"/>
      <c r="I382" s="226"/>
      <c r="J382" s="226"/>
      <c r="P382" s="226"/>
      <c r="Q382" s="226"/>
      <c r="R382" s="226"/>
      <c r="S382" s="226"/>
      <c r="T382" s="226"/>
      <c r="U382" s="226"/>
    </row>
    <row r="383" spans="3:21" x14ac:dyDescent="0.35">
      <c r="C383" s="226"/>
      <c r="E383" s="226"/>
      <c r="G383" s="226"/>
      <c r="I383" s="226"/>
      <c r="J383" s="226"/>
      <c r="P383" s="226"/>
      <c r="Q383" s="226"/>
      <c r="R383" s="226"/>
      <c r="S383" s="226"/>
      <c r="T383" s="226"/>
      <c r="U383" s="226"/>
    </row>
    <row r="384" spans="3:21" x14ac:dyDescent="0.35">
      <c r="C384" s="226"/>
      <c r="E384" s="226"/>
      <c r="G384" s="226"/>
      <c r="I384" s="226"/>
      <c r="J384" s="226"/>
      <c r="P384" s="226"/>
      <c r="Q384" s="226"/>
      <c r="R384" s="226"/>
      <c r="S384" s="226"/>
      <c r="T384" s="226"/>
      <c r="U384" s="226"/>
    </row>
    <row r="385" spans="3:21" x14ac:dyDescent="0.35">
      <c r="C385" s="226"/>
      <c r="E385" s="226"/>
      <c r="G385" s="226"/>
      <c r="I385" s="226"/>
      <c r="J385" s="226"/>
      <c r="P385" s="226"/>
      <c r="Q385" s="226"/>
      <c r="R385" s="226"/>
      <c r="S385" s="226"/>
      <c r="T385" s="226"/>
      <c r="U385" s="226"/>
    </row>
    <row r="386" spans="3:21" x14ac:dyDescent="0.35">
      <c r="C386" s="226"/>
      <c r="E386" s="226"/>
      <c r="G386" s="226"/>
      <c r="I386" s="226"/>
      <c r="J386" s="226"/>
      <c r="P386" s="226"/>
      <c r="Q386" s="226"/>
      <c r="R386" s="226"/>
      <c r="S386" s="226"/>
      <c r="T386" s="226"/>
      <c r="U386" s="226"/>
    </row>
    <row r="387" spans="3:21" x14ac:dyDescent="0.35">
      <c r="C387" s="226"/>
      <c r="E387" s="226"/>
      <c r="G387" s="226"/>
      <c r="I387" s="226"/>
      <c r="J387" s="226"/>
      <c r="P387" s="226"/>
      <c r="Q387" s="226"/>
      <c r="R387" s="226"/>
      <c r="S387" s="226"/>
      <c r="T387" s="226"/>
      <c r="U387" s="226"/>
    </row>
    <row r="388" spans="3:21" x14ac:dyDescent="0.35">
      <c r="C388" s="226"/>
      <c r="E388" s="226"/>
      <c r="G388" s="226"/>
      <c r="I388" s="226"/>
      <c r="J388" s="226"/>
      <c r="P388" s="226"/>
      <c r="Q388" s="226"/>
      <c r="R388" s="226"/>
      <c r="S388" s="226"/>
      <c r="T388" s="226"/>
      <c r="U388" s="226"/>
    </row>
    <row r="389" spans="3:21" x14ac:dyDescent="0.35">
      <c r="C389" s="226"/>
      <c r="E389" s="226"/>
      <c r="G389" s="226"/>
      <c r="I389" s="226"/>
      <c r="J389" s="226"/>
      <c r="P389" s="226"/>
      <c r="Q389" s="226"/>
      <c r="R389" s="226"/>
      <c r="S389" s="226"/>
      <c r="T389" s="226"/>
      <c r="U389" s="226"/>
    </row>
    <row r="390" spans="3:21" x14ac:dyDescent="0.35">
      <c r="C390" s="226"/>
      <c r="E390" s="226"/>
      <c r="G390" s="226"/>
      <c r="I390" s="226"/>
      <c r="J390" s="226"/>
      <c r="P390" s="226"/>
      <c r="Q390" s="226"/>
      <c r="R390" s="226"/>
      <c r="S390" s="226"/>
      <c r="T390" s="226"/>
      <c r="U390" s="226"/>
    </row>
    <row r="391" spans="3:21" x14ac:dyDescent="0.35">
      <c r="C391" s="226"/>
      <c r="E391" s="226"/>
      <c r="G391" s="226"/>
      <c r="I391" s="226"/>
      <c r="J391" s="226"/>
      <c r="P391" s="226"/>
      <c r="Q391" s="226"/>
      <c r="R391" s="226"/>
      <c r="S391" s="226"/>
      <c r="T391" s="226"/>
      <c r="U391" s="226"/>
    </row>
    <row r="392" spans="3:21" x14ac:dyDescent="0.35">
      <c r="C392" s="226"/>
      <c r="E392" s="226"/>
      <c r="G392" s="226"/>
      <c r="I392" s="226"/>
      <c r="J392" s="226"/>
      <c r="P392" s="226"/>
      <c r="Q392" s="226"/>
      <c r="R392" s="226"/>
      <c r="S392" s="226"/>
      <c r="T392" s="226"/>
      <c r="U392" s="226"/>
    </row>
    <row r="393" spans="3:21" x14ac:dyDescent="0.35">
      <c r="C393" s="226"/>
      <c r="E393" s="226"/>
      <c r="G393" s="226"/>
      <c r="I393" s="226"/>
      <c r="J393" s="226"/>
      <c r="P393" s="226"/>
      <c r="Q393" s="226"/>
      <c r="R393" s="226"/>
      <c r="S393" s="226"/>
      <c r="T393" s="226"/>
      <c r="U393" s="226"/>
    </row>
    <row r="394" spans="3:21" x14ac:dyDescent="0.35">
      <c r="C394" s="226"/>
      <c r="E394" s="226"/>
      <c r="G394" s="226"/>
      <c r="I394" s="226"/>
      <c r="J394" s="226"/>
      <c r="P394" s="226"/>
      <c r="Q394" s="226"/>
      <c r="R394" s="226"/>
      <c r="S394" s="226"/>
      <c r="T394" s="226"/>
      <c r="U394" s="226"/>
    </row>
    <row r="395" spans="3:21" x14ac:dyDescent="0.35">
      <c r="C395" s="226"/>
      <c r="E395" s="226"/>
      <c r="G395" s="226"/>
      <c r="I395" s="226"/>
      <c r="J395" s="226"/>
      <c r="P395" s="226"/>
      <c r="Q395" s="226"/>
      <c r="R395" s="226"/>
      <c r="S395" s="226"/>
      <c r="T395" s="226"/>
      <c r="U395" s="226"/>
    </row>
    <row r="396" spans="3:21" x14ac:dyDescent="0.35">
      <c r="C396" s="226"/>
      <c r="E396" s="226"/>
      <c r="G396" s="226"/>
      <c r="I396" s="226"/>
      <c r="J396" s="226"/>
      <c r="P396" s="226"/>
      <c r="Q396" s="226"/>
      <c r="R396" s="226"/>
      <c r="S396" s="226"/>
      <c r="T396" s="226"/>
      <c r="U396" s="226"/>
    </row>
    <row r="397" spans="3:21" x14ac:dyDescent="0.35">
      <c r="C397" s="226"/>
      <c r="E397" s="226"/>
      <c r="G397" s="226"/>
      <c r="I397" s="226"/>
      <c r="J397" s="226"/>
      <c r="P397" s="226"/>
      <c r="Q397" s="226"/>
      <c r="R397" s="226"/>
      <c r="S397" s="226"/>
      <c r="T397" s="226"/>
      <c r="U397" s="226"/>
    </row>
    <row r="398" spans="3:21" x14ac:dyDescent="0.35">
      <c r="C398" s="226"/>
      <c r="E398" s="226"/>
      <c r="G398" s="226"/>
      <c r="I398" s="226"/>
      <c r="J398" s="226"/>
      <c r="P398" s="226"/>
      <c r="Q398" s="226"/>
      <c r="R398" s="226"/>
      <c r="S398" s="226"/>
      <c r="T398" s="226"/>
      <c r="U398" s="226"/>
    </row>
    <row r="399" spans="3:21" x14ac:dyDescent="0.35">
      <c r="C399" s="226"/>
      <c r="E399" s="226"/>
      <c r="G399" s="226"/>
      <c r="I399" s="226"/>
      <c r="J399" s="226"/>
      <c r="P399" s="226"/>
      <c r="Q399" s="226"/>
      <c r="R399" s="226"/>
      <c r="S399" s="226"/>
      <c r="T399" s="226"/>
      <c r="U399" s="226"/>
    </row>
    <row r="400" spans="3:21" x14ac:dyDescent="0.35">
      <c r="C400" s="226"/>
      <c r="E400" s="226"/>
      <c r="G400" s="226"/>
      <c r="I400" s="226"/>
      <c r="J400" s="226"/>
      <c r="P400" s="226"/>
      <c r="Q400" s="226"/>
      <c r="R400" s="226"/>
      <c r="S400" s="226"/>
      <c r="T400" s="226"/>
      <c r="U400" s="226"/>
    </row>
    <row r="401" spans="3:21" x14ac:dyDescent="0.35">
      <c r="C401" s="226"/>
      <c r="E401" s="226"/>
      <c r="G401" s="226"/>
      <c r="I401" s="226"/>
      <c r="J401" s="226"/>
      <c r="P401" s="226"/>
      <c r="Q401" s="226"/>
      <c r="R401" s="226"/>
      <c r="S401" s="226"/>
      <c r="T401" s="226"/>
      <c r="U401" s="226"/>
    </row>
    <row r="402" spans="3:21" x14ac:dyDescent="0.35">
      <c r="C402" s="226"/>
      <c r="E402" s="226"/>
      <c r="G402" s="226"/>
      <c r="I402" s="226"/>
      <c r="J402" s="226"/>
      <c r="P402" s="226"/>
      <c r="Q402" s="226"/>
      <c r="R402" s="226"/>
      <c r="S402" s="226"/>
      <c r="T402" s="226"/>
      <c r="U402" s="226"/>
    </row>
    <row r="403" spans="3:21" x14ac:dyDescent="0.35">
      <c r="C403" s="226"/>
      <c r="E403" s="226"/>
      <c r="G403" s="226"/>
      <c r="I403" s="226"/>
      <c r="J403" s="226"/>
      <c r="P403" s="226"/>
      <c r="Q403" s="226"/>
      <c r="R403" s="226"/>
      <c r="S403" s="226"/>
      <c r="T403" s="226"/>
      <c r="U403" s="226"/>
    </row>
    <row r="404" spans="3:21" x14ac:dyDescent="0.35">
      <c r="C404" s="226"/>
      <c r="E404" s="226"/>
      <c r="G404" s="226"/>
      <c r="I404" s="226"/>
      <c r="J404" s="226"/>
      <c r="P404" s="226"/>
      <c r="Q404" s="226"/>
      <c r="R404" s="226"/>
      <c r="S404" s="226"/>
      <c r="T404" s="226"/>
      <c r="U404" s="226"/>
    </row>
    <row r="405" spans="3:21" x14ac:dyDescent="0.35">
      <c r="C405" s="226"/>
      <c r="E405" s="226"/>
      <c r="G405" s="226"/>
      <c r="I405" s="226"/>
      <c r="J405" s="226"/>
      <c r="P405" s="226"/>
      <c r="Q405" s="226"/>
      <c r="R405" s="226"/>
      <c r="S405" s="226"/>
      <c r="T405" s="226"/>
      <c r="U405" s="226"/>
    </row>
    <row r="406" spans="3:21" x14ac:dyDescent="0.35">
      <c r="C406" s="226"/>
      <c r="E406" s="226"/>
      <c r="G406" s="226"/>
      <c r="I406" s="226"/>
      <c r="J406" s="226"/>
      <c r="P406" s="226"/>
      <c r="Q406" s="226"/>
      <c r="R406" s="226"/>
      <c r="S406" s="226"/>
      <c r="T406" s="226"/>
      <c r="U406" s="226"/>
    </row>
    <row r="407" spans="3:21" x14ac:dyDescent="0.35">
      <c r="C407" s="226"/>
      <c r="E407" s="226"/>
      <c r="G407" s="226"/>
      <c r="I407" s="226"/>
      <c r="J407" s="226"/>
      <c r="P407" s="226"/>
      <c r="Q407" s="226"/>
      <c r="R407" s="226"/>
      <c r="S407" s="226"/>
      <c r="T407" s="226"/>
      <c r="U407" s="226"/>
    </row>
    <row r="408" spans="3:21" x14ac:dyDescent="0.35">
      <c r="C408" s="226"/>
      <c r="E408" s="226"/>
      <c r="G408" s="226"/>
      <c r="I408" s="226"/>
      <c r="J408" s="226"/>
      <c r="P408" s="226"/>
      <c r="Q408" s="226"/>
      <c r="R408" s="226"/>
      <c r="S408" s="226"/>
      <c r="T408" s="226"/>
      <c r="U408" s="226"/>
    </row>
    <row r="409" spans="3:21" x14ac:dyDescent="0.35">
      <c r="C409" s="226"/>
      <c r="E409" s="226"/>
      <c r="G409" s="226"/>
      <c r="I409" s="226"/>
      <c r="J409" s="226"/>
      <c r="P409" s="226"/>
      <c r="Q409" s="226"/>
      <c r="R409" s="226"/>
      <c r="S409" s="226"/>
      <c r="T409" s="226"/>
      <c r="U409" s="226"/>
    </row>
    <row r="410" spans="3:21" x14ac:dyDescent="0.35">
      <c r="C410" s="226"/>
      <c r="E410" s="226"/>
      <c r="G410" s="226"/>
      <c r="I410" s="226"/>
      <c r="J410" s="226"/>
      <c r="P410" s="226"/>
      <c r="Q410" s="226"/>
      <c r="R410" s="226"/>
      <c r="S410" s="226"/>
      <c r="T410" s="226"/>
      <c r="U410" s="226"/>
    </row>
    <row r="411" spans="3:21" x14ac:dyDescent="0.35">
      <c r="C411" s="226"/>
      <c r="E411" s="226"/>
      <c r="G411" s="226"/>
      <c r="I411" s="226"/>
      <c r="J411" s="226"/>
      <c r="P411" s="226"/>
      <c r="Q411" s="226"/>
      <c r="R411" s="226"/>
      <c r="S411" s="226"/>
      <c r="T411" s="226"/>
      <c r="U411" s="226"/>
    </row>
    <row r="412" spans="3:21" x14ac:dyDescent="0.35">
      <c r="C412" s="226"/>
      <c r="E412" s="226"/>
      <c r="G412" s="226"/>
      <c r="I412" s="226"/>
      <c r="J412" s="226"/>
      <c r="P412" s="226"/>
      <c r="Q412" s="226"/>
      <c r="R412" s="226"/>
      <c r="S412" s="226"/>
      <c r="T412" s="226"/>
      <c r="U412" s="226"/>
    </row>
    <row r="413" spans="3:21" x14ac:dyDescent="0.35">
      <c r="C413" s="226"/>
      <c r="E413" s="226"/>
      <c r="G413" s="226"/>
      <c r="I413" s="226"/>
      <c r="J413" s="226"/>
      <c r="P413" s="226"/>
      <c r="Q413" s="226"/>
      <c r="R413" s="226"/>
      <c r="S413" s="226"/>
      <c r="T413" s="226"/>
      <c r="U413" s="226"/>
    </row>
    <row r="414" spans="3:21" x14ac:dyDescent="0.35">
      <c r="C414" s="226"/>
      <c r="E414" s="226"/>
      <c r="G414" s="226"/>
      <c r="I414" s="226"/>
      <c r="J414" s="226"/>
      <c r="P414" s="226"/>
      <c r="Q414" s="226"/>
      <c r="R414" s="226"/>
      <c r="S414" s="226"/>
      <c r="T414" s="226"/>
      <c r="U414" s="226"/>
    </row>
    <row r="415" spans="3:21" x14ac:dyDescent="0.35">
      <c r="C415" s="226"/>
      <c r="E415" s="226"/>
      <c r="G415" s="226"/>
      <c r="I415" s="226"/>
      <c r="J415" s="226"/>
      <c r="P415" s="226"/>
      <c r="Q415" s="226"/>
      <c r="R415" s="226"/>
      <c r="S415" s="226"/>
      <c r="T415" s="226"/>
      <c r="U415" s="226"/>
    </row>
    <row r="416" spans="3:21" x14ac:dyDescent="0.35">
      <c r="C416" s="226"/>
      <c r="E416" s="226"/>
      <c r="G416" s="226"/>
      <c r="I416" s="226"/>
      <c r="J416" s="226"/>
      <c r="P416" s="226"/>
      <c r="Q416" s="226"/>
      <c r="R416" s="226"/>
      <c r="S416" s="226"/>
      <c r="T416" s="226"/>
      <c r="U416" s="226"/>
    </row>
    <row r="417" spans="3:21" x14ac:dyDescent="0.35">
      <c r="C417" s="226"/>
      <c r="E417" s="226"/>
      <c r="G417" s="226"/>
      <c r="I417" s="226"/>
      <c r="J417" s="226"/>
      <c r="P417" s="226"/>
      <c r="Q417" s="226"/>
      <c r="R417" s="226"/>
      <c r="S417" s="226"/>
      <c r="T417" s="226"/>
      <c r="U417" s="226"/>
    </row>
    <row r="418" spans="3:21" x14ac:dyDescent="0.35">
      <c r="C418" s="226"/>
      <c r="E418" s="226"/>
      <c r="G418" s="226"/>
      <c r="I418" s="226"/>
      <c r="J418" s="226"/>
      <c r="P418" s="226"/>
      <c r="Q418" s="226"/>
      <c r="R418" s="226"/>
      <c r="S418" s="226"/>
      <c r="T418" s="226"/>
      <c r="U418" s="226"/>
    </row>
    <row r="419" spans="3:21" x14ac:dyDescent="0.35">
      <c r="C419" s="226"/>
      <c r="E419" s="226"/>
      <c r="G419" s="226"/>
      <c r="I419" s="226"/>
      <c r="J419" s="226"/>
      <c r="P419" s="226"/>
      <c r="Q419" s="226"/>
      <c r="R419" s="226"/>
      <c r="S419" s="226"/>
      <c r="T419" s="226"/>
      <c r="U419" s="226"/>
    </row>
    <row r="420" spans="3:21" x14ac:dyDescent="0.35">
      <c r="C420" s="226"/>
      <c r="E420" s="226"/>
      <c r="G420" s="226"/>
      <c r="I420" s="226"/>
      <c r="J420" s="226"/>
      <c r="P420" s="226"/>
      <c r="Q420" s="226"/>
      <c r="R420" s="226"/>
      <c r="S420" s="226"/>
      <c r="T420" s="226"/>
      <c r="U420" s="226"/>
    </row>
    <row r="421" spans="3:21" x14ac:dyDescent="0.35">
      <c r="C421" s="226"/>
      <c r="E421" s="226"/>
      <c r="G421" s="226"/>
      <c r="I421" s="226"/>
      <c r="J421" s="226"/>
      <c r="P421" s="226"/>
      <c r="Q421" s="226"/>
      <c r="R421" s="226"/>
      <c r="S421" s="226"/>
      <c r="T421" s="226"/>
      <c r="U421" s="226"/>
    </row>
    <row r="422" spans="3:21" x14ac:dyDescent="0.35">
      <c r="C422" s="226"/>
      <c r="E422" s="226"/>
      <c r="G422" s="226"/>
      <c r="I422" s="226"/>
      <c r="J422" s="226"/>
      <c r="P422" s="226"/>
      <c r="Q422" s="226"/>
      <c r="R422" s="226"/>
      <c r="S422" s="226"/>
      <c r="T422" s="226"/>
      <c r="U422" s="226"/>
    </row>
    <row r="423" spans="3:21" x14ac:dyDescent="0.35">
      <c r="C423" s="226"/>
      <c r="E423" s="226"/>
      <c r="G423" s="226"/>
      <c r="I423" s="226"/>
      <c r="J423" s="226"/>
      <c r="P423" s="226"/>
      <c r="Q423" s="226"/>
      <c r="R423" s="226"/>
      <c r="S423" s="226"/>
      <c r="T423" s="226"/>
      <c r="U423" s="226"/>
    </row>
    <row r="424" spans="3:21" x14ac:dyDescent="0.35">
      <c r="C424" s="226"/>
      <c r="E424" s="226"/>
      <c r="G424" s="226"/>
      <c r="I424" s="226"/>
      <c r="J424" s="226"/>
      <c r="P424" s="226"/>
      <c r="Q424" s="226"/>
      <c r="R424" s="226"/>
      <c r="S424" s="226"/>
      <c r="T424" s="226"/>
      <c r="U424" s="226"/>
    </row>
    <row r="425" spans="3:21" x14ac:dyDescent="0.35">
      <c r="C425" s="226"/>
      <c r="E425" s="226"/>
      <c r="G425" s="226"/>
      <c r="I425" s="226"/>
      <c r="J425" s="226"/>
      <c r="P425" s="226"/>
      <c r="Q425" s="226"/>
      <c r="R425" s="226"/>
      <c r="S425" s="226"/>
      <c r="T425" s="226"/>
      <c r="U425" s="226"/>
    </row>
    <row r="426" spans="3:21" x14ac:dyDescent="0.35">
      <c r="C426" s="226"/>
      <c r="E426" s="226"/>
      <c r="G426" s="226"/>
      <c r="I426" s="226"/>
      <c r="J426" s="226"/>
      <c r="P426" s="226"/>
      <c r="Q426" s="226"/>
      <c r="R426" s="226"/>
      <c r="S426" s="226"/>
      <c r="T426" s="226"/>
      <c r="U426" s="226"/>
    </row>
    <row r="427" spans="3:21" x14ac:dyDescent="0.35">
      <c r="C427" s="226"/>
      <c r="E427" s="226"/>
      <c r="G427" s="226"/>
      <c r="I427" s="226"/>
      <c r="J427" s="226"/>
      <c r="P427" s="226"/>
      <c r="Q427" s="226"/>
      <c r="R427" s="226"/>
      <c r="S427" s="226"/>
      <c r="T427" s="226"/>
      <c r="U427" s="226"/>
    </row>
    <row r="428" spans="3:21" x14ac:dyDescent="0.35">
      <c r="C428" s="226"/>
      <c r="E428" s="226"/>
      <c r="G428" s="226"/>
      <c r="I428" s="226"/>
      <c r="J428" s="226"/>
      <c r="P428" s="226"/>
      <c r="Q428" s="226"/>
      <c r="R428" s="226"/>
      <c r="S428" s="226"/>
      <c r="T428" s="226"/>
      <c r="U428" s="226"/>
    </row>
    <row r="429" spans="3:21" x14ac:dyDescent="0.35">
      <c r="C429" s="226"/>
      <c r="E429" s="226"/>
      <c r="G429" s="226"/>
      <c r="I429" s="226"/>
      <c r="J429" s="226"/>
      <c r="P429" s="226"/>
      <c r="Q429" s="226"/>
      <c r="R429" s="226"/>
      <c r="S429" s="226"/>
      <c r="T429" s="226"/>
      <c r="U429" s="226"/>
    </row>
    <row r="430" spans="3:21" x14ac:dyDescent="0.35">
      <c r="C430" s="226"/>
      <c r="E430" s="226"/>
      <c r="G430" s="226"/>
      <c r="I430" s="226"/>
      <c r="J430" s="226"/>
      <c r="P430" s="226"/>
      <c r="Q430" s="226"/>
      <c r="R430" s="226"/>
      <c r="S430" s="226"/>
      <c r="T430" s="226"/>
      <c r="U430" s="226"/>
    </row>
    <row r="431" spans="3:21" x14ac:dyDescent="0.35">
      <c r="C431" s="226"/>
      <c r="E431" s="226"/>
      <c r="G431" s="226"/>
      <c r="I431" s="226"/>
      <c r="J431" s="226"/>
      <c r="P431" s="226"/>
      <c r="Q431" s="226"/>
      <c r="R431" s="226"/>
      <c r="S431" s="226"/>
      <c r="T431" s="226"/>
      <c r="U431" s="226"/>
    </row>
    <row r="432" spans="3:21" x14ac:dyDescent="0.35">
      <c r="C432" s="226"/>
      <c r="E432" s="226"/>
      <c r="G432" s="226"/>
      <c r="I432" s="226"/>
      <c r="J432" s="226"/>
      <c r="P432" s="226"/>
      <c r="Q432" s="226"/>
      <c r="R432" s="226"/>
      <c r="S432" s="226"/>
      <c r="T432" s="226"/>
      <c r="U432" s="226"/>
    </row>
    <row r="433" spans="3:21" x14ac:dyDescent="0.35">
      <c r="C433" s="226"/>
      <c r="E433" s="226"/>
      <c r="G433" s="226"/>
      <c r="I433" s="226"/>
      <c r="J433" s="226"/>
      <c r="P433" s="226"/>
      <c r="Q433" s="226"/>
      <c r="R433" s="226"/>
      <c r="S433" s="226"/>
      <c r="T433" s="226"/>
      <c r="U433" s="226"/>
    </row>
    <row r="434" spans="3:21" x14ac:dyDescent="0.35">
      <c r="C434" s="226"/>
      <c r="E434" s="226"/>
      <c r="G434" s="226"/>
      <c r="I434" s="226"/>
      <c r="J434" s="226"/>
      <c r="P434" s="226"/>
      <c r="Q434" s="226"/>
      <c r="R434" s="226"/>
      <c r="S434" s="226"/>
      <c r="T434" s="226"/>
      <c r="U434" s="226"/>
    </row>
    <row r="435" spans="3:21" x14ac:dyDescent="0.35">
      <c r="C435" s="226"/>
      <c r="E435" s="226"/>
      <c r="G435" s="226"/>
      <c r="I435" s="226"/>
      <c r="J435" s="226"/>
      <c r="P435" s="226"/>
      <c r="Q435" s="226"/>
      <c r="R435" s="226"/>
      <c r="S435" s="226"/>
      <c r="T435" s="226"/>
      <c r="U435" s="226"/>
    </row>
    <row r="436" spans="3:21" x14ac:dyDescent="0.35">
      <c r="C436" s="226"/>
      <c r="E436" s="226"/>
      <c r="G436" s="226"/>
      <c r="I436" s="226"/>
      <c r="J436" s="226"/>
      <c r="P436" s="226"/>
      <c r="Q436" s="226"/>
      <c r="R436" s="226"/>
      <c r="S436" s="226"/>
      <c r="T436" s="226"/>
      <c r="U436" s="226"/>
    </row>
    <row r="437" spans="3:21" x14ac:dyDescent="0.35">
      <c r="C437" s="226"/>
      <c r="E437" s="226"/>
      <c r="G437" s="226"/>
      <c r="I437" s="226"/>
      <c r="J437" s="226"/>
      <c r="P437" s="226"/>
      <c r="Q437" s="226"/>
      <c r="R437" s="226"/>
      <c r="S437" s="226"/>
      <c r="T437" s="226"/>
      <c r="U437" s="226"/>
    </row>
    <row r="438" spans="3:21" x14ac:dyDescent="0.35">
      <c r="C438" s="226"/>
      <c r="E438" s="226"/>
      <c r="G438" s="226"/>
      <c r="I438" s="226"/>
      <c r="J438" s="226"/>
      <c r="P438" s="226"/>
      <c r="Q438" s="226"/>
      <c r="R438" s="226"/>
      <c r="S438" s="226"/>
      <c r="T438" s="226"/>
      <c r="U438" s="226"/>
    </row>
    <row r="439" spans="3:21" x14ac:dyDescent="0.35">
      <c r="C439" s="226"/>
      <c r="E439" s="226"/>
      <c r="G439" s="226"/>
      <c r="I439" s="226"/>
      <c r="J439" s="226"/>
      <c r="P439" s="226"/>
      <c r="Q439" s="226"/>
      <c r="R439" s="226"/>
      <c r="S439" s="226"/>
      <c r="T439" s="226"/>
      <c r="U439" s="226"/>
    </row>
    <row r="440" spans="3:21" x14ac:dyDescent="0.35">
      <c r="C440" s="226"/>
      <c r="E440" s="226"/>
      <c r="G440" s="226"/>
      <c r="I440" s="226"/>
      <c r="J440" s="226"/>
      <c r="P440" s="226"/>
      <c r="Q440" s="226"/>
      <c r="R440" s="226"/>
      <c r="S440" s="226"/>
      <c r="T440" s="226"/>
      <c r="U440" s="226"/>
    </row>
    <row r="441" spans="3:21" x14ac:dyDescent="0.35">
      <c r="C441" s="226"/>
      <c r="E441" s="226"/>
      <c r="G441" s="226"/>
      <c r="I441" s="226"/>
      <c r="J441" s="226"/>
      <c r="P441" s="226"/>
      <c r="Q441" s="226"/>
      <c r="R441" s="226"/>
      <c r="S441" s="226"/>
      <c r="T441" s="226"/>
      <c r="U441" s="226"/>
    </row>
    <row r="442" spans="3:21" x14ac:dyDescent="0.35">
      <c r="C442" s="226"/>
      <c r="E442" s="226"/>
      <c r="G442" s="226"/>
      <c r="I442" s="226"/>
      <c r="J442" s="226"/>
      <c r="P442" s="226"/>
      <c r="Q442" s="226"/>
      <c r="R442" s="226"/>
      <c r="S442" s="226"/>
      <c r="T442" s="226"/>
      <c r="U442" s="226"/>
    </row>
    <row r="443" spans="3:21" x14ac:dyDescent="0.35">
      <c r="C443" s="226"/>
      <c r="E443" s="226"/>
      <c r="G443" s="226"/>
      <c r="I443" s="226"/>
      <c r="J443" s="226"/>
      <c r="P443" s="226"/>
      <c r="Q443" s="226"/>
      <c r="R443" s="226"/>
      <c r="S443" s="226"/>
      <c r="T443" s="226"/>
      <c r="U443" s="226"/>
    </row>
    <row r="444" spans="3:21" x14ac:dyDescent="0.35">
      <c r="C444" s="226"/>
      <c r="E444" s="226"/>
      <c r="G444" s="226"/>
      <c r="I444" s="226"/>
      <c r="J444" s="226"/>
      <c r="P444" s="226"/>
      <c r="Q444" s="226"/>
      <c r="R444" s="226"/>
      <c r="S444" s="226"/>
      <c r="T444" s="226"/>
      <c r="U444" s="226"/>
    </row>
    <row r="445" spans="3:21" x14ac:dyDescent="0.35">
      <c r="C445" s="226"/>
      <c r="E445" s="226"/>
      <c r="G445" s="226"/>
      <c r="I445" s="226"/>
      <c r="J445" s="226"/>
      <c r="P445" s="226"/>
      <c r="Q445" s="226"/>
      <c r="R445" s="226"/>
      <c r="S445" s="226"/>
      <c r="T445" s="226"/>
      <c r="U445" s="226"/>
    </row>
    <row r="446" spans="3:21" x14ac:dyDescent="0.35">
      <c r="C446" s="226"/>
      <c r="E446" s="226"/>
      <c r="G446" s="226"/>
      <c r="I446" s="226"/>
      <c r="J446" s="226"/>
      <c r="P446" s="226"/>
      <c r="Q446" s="226"/>
      <c r="R446" s="226"/>
      <c r="S446" s="226"/>
      <c r="T446" s="226"/>
      <c r="U446" s="226"/>
    </row>
    <row r="447" spans="3:21" x14ac:dyDescent="0.35">
      <c r="C447" s="226"/>
      <c r="E447" s="226"/>
      <c r="G447" s="226"/>
      <c r="I447" s="226"/>
      <c r="J447" s="226"/>
      <c r="P447" s="226"/>
      <c r="Q447" s="226"/>
      <c r="R447" s="226"/>
      <c r="S447" s="226"/>
      <c r="T447" s="226"/>
      <c r="U447" s="226"/>
    </row>
    <row r="448" spans="3:21" x14ac:dyDescent="0.35">
      <c r="C448" s="226"/>
      <c r="E448" s="226"/>
      <c r="G448" s="226"/>
      <c r="I448" s="226"/>
      <c r="J448" s="226"/>
      <c r="P448" s="226"/>
      <c r="Q448" s="226"/>
      <c r="R448" s="226"/>
      <c r="S448" s="226"/>
      <c r="T448" s="226"/>
      <c r="U448" s="226"/>
    </row>
    <row r="449" spans="3:21" x14ac:dyDescent="0.35">
      <c r="C449" s="226"/>
      <c r="E449" s="226"/>
      <c r="G449" s="226"/>
      <c r="I449" s="226"/>
      <c r="J449" s="226"/>
      <c r="P449" s="226"/>
      <c r="Q449" s="226"/>
      <c r="R449" s="226"/>
      <c r="S449" s="226"/>
      <c r="T449" s="226"/>
      <c r="U449" s="226"/>
    </row>
    <row r="450" spans="3:21" x14ac:dyDescent="0.35">
      <c r="C450" s="226"/>
      <c r="E450" s="226"/>
      <c r="G450" s="226"/>
      <c r="I450" s="226"/>
      <c r="J450" s="226"/>
      <c r="P450" s="226"/>
      <c r="Q450" s="226"/>
      <c r="R450" s="226"/>
      <c r="S450" s="226"/>
      <c r="T450" s="226"/>
      <c r="U450" s="226"/>
    </row>
    <row r="451" spans="3:21" x14ac:dyDescent="0.35">
      <c r="C451" s="226"/>
      <c r="E451" s="226"/>
      <c r="G451" s="226"/>
      <c r="I451" s="226"/>
      <c r="J451" s="226"/>
      <c r="P451" s="226"/>
      <c r="Q451" s="226"/>
      <c r="R451" s="226"/>
      <c r="S451" s="226"/>
      <c r="T451" s="226"/>
      <c r="U451" s="226"/>
    </row>
    <row r="452" spans="3:21" x14ac:dyDescent="0.35">
      <c r="C452" s="226"/>
      <c r="E452" s="226"/>
      <c r="G452" s="226"/>
      <c r="I452" s="226"/>
      <c r="J452" s="226"/>
      <c r="P452" s="226"/>
      <c r="Q452" s="226"/>
      <c r="R452" s="226"/>
      <c r="S452" s="226"/>
      <c r="T452" s="226"/>
      <c r="U452" s="226"/>
    </row>
    <row r="453" spans="3:21" x14ac:dyDescent="0.35">
      <c r="C453" s="226"/>
      <c r="E453" s="226"/>
      <c r="G453" s="226"/>
      <c r="I453" s="226"/>
      <c r="J453" s="226"/>
      <c r="P453" s="226"/>
      <c r="Q453" s="226"/>
      <c r="R453" s="226"/>
      <c r="S453" s="226"/>
      <c r="T453" s="226"/>
      <c r="U453" s="226"/>
    </row>
    <row r="454" spans="3:21" x14ac:dyDescent="0.35">
      <c r="C454" s="226"/>
      <c r="E454" s="226"/>
      <c r="G454" s="226"/>
      <c r="I454" s="226"/>
      <c r="J454" s="226"/>
      <c r="P454" s="226"/>
      <c r="Q454" s="226"/>
      <c r="R454" s="226"/>
      <c r="S454" s="226"/>
      <c r="T454" s="226"/>
      <c r="U454" s="226"/>
    </row>
    <row r="455" spans="3:21" x14ac:dyDescent="0.35">
      <c r="C455" s="226"/>
      <c r="E455" s="226"/>
      <c r="G455" s="226"/>
      <c r="I455" s="226"/>
      <c r="J455" s="226"/>
      <c r="P455" s="226"/>
      <c r="Q455" s="226"/>
      <c r="R455" s="226"/>
      <c r="S455" s="226"/>
      <c r="T455" s="226"/>
      <c r="U455" s="226"/>
    </row>
    <row r="456" spans="3:21" x14ac:dyDescent="0.35">
      <c r="C456" s="226"/>
      <c r="E456" s="226"/>
      <c r="G456" s="226"/>
      <c r="I456" s="226"/>
      <c r="J456" s="226"/>
      <c r="P456" s="226"/>
      <c r="Q456" s="226"/>
      <c r="R456" s="226"/>
      <c r="S456" s="226"/>
      <c r="T456" s="226"/>
      <c r="U456" s="226"/>
    </row>
    <row r="457" spans="3:21" x14ac:dyDescent="0.35">
      <c r="C457" s="226"/>
      <c r="E457" s="226"/>
      <c r="G457" s="226"/>
      <c r="I457" s="226"/>
      <c r="J457" s="226"/>
      <c r="P457" s="226"/>
      <c r="Q457" s="226"/>
      <c r="R457" s="226"/>
      <c r="S457" s="226"/>
      <c r="T457" s="226"/>
      <c r="U457" s="226"/>
    </row>
    <row r="458" spans="3:21" x14ac:dyDescent="0.35">
      <c r="C458" s="226"/>
      <c r="E458" s="226"/>
      <c r="G458" s="226"/>
      <c r="I458" s="226"/>
      <c r="J458" s="226"/>
      <c r="P458" s="226"/>
      <c r="Q458" s="226"/>
      <c r="R458" s="226"/>
      <c r="S458" s="226"/>
      <c r="T458" s="226"/>
      <c r="U458" s="226"/>
    </row>
    <row r="459" spans="3:21" x14ac:dyDescent="0.35">
      <c r="C459" s="226"/>
      <c r="E459" s="226"/>
      <c r="G459" s="226"/>
      <c r="I459" s="226"/>
      <c r="J459" s="226"/>
      <c r="P459" s="226"/>
      <c r="Q459" s="226"/>
      <c r="R459" s="226"/>
      <c r="S459" s="226"/>
      <c r="T459" s="226"/>
      <c r="U459" s="226"/>
    </row>
    <row r="460" spans="3:21" x14ac:dyDescent="0.35">
      <c r="C460" s="226"/>
      <c r="E460" s="226"/>
      <c r="G460" s="226"/>
      <c r="I460" s="226"/>
      <c r="J460" s="226"/>
      <c r="P460" s="226"/>
      <c r="Q460" s="226"/>
      <c r="R460" s="226"/>
      <c r="S460" s="226"/>
      <c r="T460" s="226"/>
      <c r="U460" s="226"/>
    </row>
    <row r="461" spans="3:21" x14ac:dyDescent="0.35">
      <c r="C461" s="226"/>
      <c r="E461" s="226"/>
      <c r="G461" s="226"/>
      <c r="I461" s="226"/>
      <c r="J461" s="226"/>
      <c r="P461" s="226"/>
      <c r="Q461" s="226"/>
      <c r="R461" s="226"/>
      <c r="S461" s="226"/>
      <c r="T461" s="226"/>
      <c r="U461" s="226"/>
    </row>
    <row r="462" spans="3:21" x14ac:dyDescent="0.35">
      <c r="C462" s="226"/>
      <c r="E462" s="226"/>
      <c r="G462" s="226"/>
      <c r="I462" s="226"/>
      <c r="J462" s="226"/>
      <c r="P462" s="226"/>
      <c r="Q462" s="226"/>
      <c r="R462" s="226"/>
      <c r="S462" s="226"/>
      <c r="T462" s="226"/>
      <c r="U462" s="226"/>
    </row>
    <row r="463" spans="3:21" x14ac:dyDescent="0.35">
      <c r="C463" s="226"/>
      <c r="E463" s="226"/>
      <c r="G463" s="226"/>
      <c r="I463" s="226"/>
      <c r="J463" s="226"/>
      <c r="P463" s="226"/>
      <c r="Q463" s="226"/>
      <c r="R463" s="226"/>
      <c r="S463" s="226"/>
      <c r="T463" s="226"/>
      <c r="U463" s="226"/>
    </row>
    <row r="464" spans="3:21" x14ac:dyDescent="0.35">
      <c r="C464" s="226"/>
      <c r="E464" s="226"/>
      <c r="G464" s="226"/>
      <c r="I464" s="226"/>
      <c r="J464" s="226"/>
      <c r="P464" s="226"/>
      <c r="Q464" s="226"/>
      <c r="R464" s="226"/>
      <c r="S464" s="226"/>
      <c r="T464" s="226"/>
      <c r="U464" s="226"/>
    </row>
    <row r="465" spans="3:21" x14ac:dyDescent="0.35">
      <c r="C465" s="226"/>
      <c r="E465" s="226"/>
      <c r="G465" s="226"/>
      <c r="I465" s="226"/>
      <c r="J465" s="226"/>
      <c r="P465" s="226"/>
      <c r="Q465" s="226"/>
      <c r="R465" s="226"/>
      <c r="S465" s="226"/>
      <c r="T465" s="226"/>
      <c r="U465" s="226"/>
    </row>
    <row r="466" spans="3:21" x14ac:dyDescent="0.35">
      <c r="C466" s="226"/>
      <c r="E466" s="226"/>
      <c r="G466" s="226"/>
      <c r="I466" s="226"/>
      <c r="J466" s="226"/>
      <c r="P466" s="226"/>
      <c r="Q466" s="226"/>
      <c r="R466" s="226"/>
      <c r="S466" s="226"/>
      <c r="T466" s="226"/>
      <c r="U466" s="226"/>
    </row>
    <row r="467" spans="3:21" x14ac:dyDescent="0.35">
      <c r="C467" s="226"/>
      <c r="E467" s="226"/>
      <c r="G467" s="226"/>
      <c r="I467" s="226"/>
      <c r="J467" s="226"/>
      <c r="P467" s="226"/>
      <c r="Q467" s="226"/>
      <c r="R467" s="226"/>
      <c r="S467" s="226"/>
      <c r="T467" s="226"/>
      <c r="U467" s="226"/>
    </row>
    <row r="468" spans="3:21" x14ac:dyDescent="0.35">
      <c r="C468" s="226"/>
      <c r="E468" s="226"/>
      <c r="G468" s="226"/>
      <c r="I468" s="226"/>
      <c r="J468" s="226"/>
      <c r="P468" s="226"/>
      <c r="Q468" s="226"/>
      <c r="R468" s="226"/>
      <c r="S468" s="226"/>
      <c r="T468" s="226"/>
      <c r="U468" s="226"/>
    </row>
    <row r="469" spans="3:21" x14ac:dyDescent="0.35">
      <c r="C469" s="226"/>
      <c r="E469" s="226"/>
      <c r="G469" s="226"/>
      <c r="I469" s="226"/>
      <c r="J469" s="226"/>
      <c r="P469" s="226"/>
      <c r="Q469" s="226"/>
      <c r="R469" s="226"/>
      <c r="S469" s="226"/>
      <c r="T469" s="226"/>
      <c r="U469" s="226"/>
    </row>
    <row r="470" spans="3:21" x14ac:dyDescent="0.35">
      <c r="C470" s="226"/>
      <c r="E470" s="226"/>
      <c r="G470" s="226"/>
      <c r="I470" s="226"/>
      <c r="J470" s="226"/>
      <c r="P470" s="226"/>
      <c r="Q470" s="226"/>
      <c r="R470" s="226"/>
      <c r="S470" s="226"/>
      <c r="T470" s="226"/>
      <c r="U470" s="226"/>
    </row>
    <row r="471" spans="3:21" x14ac:dyDescent="0.35">
      <c r="C471" s="226"/>
      <c r="E471" s="226"/>
      <c r="G471" s="226"/>
      <c r="I471" s="226"/>
      <c r="J471" s="226"/>
      <c r="P471" s="226"/>
      <c r="Q471" s="226"/>
      <c r="R471" s="226"/>
      <c r="S471" s="226"/>
      <c r="T471" s="226"/>
      <c r="U471" s="226"/>
    </row>
    <row r="472" spans="3:21" x14ac:dyDescent="0.35">
      <c r="C472" s="226"/>
      <c r="E472" s="226"/>
      <c r="G472" s="226"/>
      <c r="I472" s="226"/>
      <c r="J472" s="226"/>
      <c r="P472" s="226"/>
      <c r="Q472" s="226"/>
      <c r="R472" s="226"/>
      <c r="S472" s="226"/>
      <c r="T472" s="226"/>
      <c r="U472" s="226"/>
    </row>
    <row r="473" spans="3:21" x14ac:dyDescent="0.35">
      <c r="C473" s="226"/>
      <c r="E473" s="226"/>
      <c r="G473" s="226"/>
      <c r="I473" s="226"/>
      <c r="J473" s="226"/>
      <c r="P473" s="226"/>
      <c r="Q473" s="226"/>
      <c r="R473" s="226"/>
      <c r="S473" s="226"/>
      <c r="T473" s="226"/>
      <c r="U473" s="226"/>
    </row>
    <row r="474" spans="3:21" x14ac:dyDescent="0.35">
      <c r="C474" s="226"/>
      <c r="E474" s="226"/>
      <c r="G474" s="226"/>
      <c r="I474" s="226"/>
      <c r="J474" s="226"/>
      <c r="P474" s="226"/>
      <c r="Q474" s="226"/>
      <c r="R474" s="226"/>
      <c r="S474" s="226"/>
      <c r="T474" s="226"/>
      <c r="U474" s="226"/>
    </row>
    <row r="475" spans="3:21" x14ac:dyDescent="0.35">
      <c r="C475" s="226"/>
      <c r="E475" s="226"/>
      <c r="G475" s="226"/>
      <c r="I475" s="226"/>
      <c r="J475" s="226"/>
      <c r="P475" s="226"/>
      <c r="Q475" s="226"/>
      <c r="R475" s="226"/>
      <c r="S475" s="226"/>
      <c r="T475" s="226"/>
      <c r="U475" s="226"/>
    </row>
    <row r="476" spans="3:21" x14ac:dyDescent="0.35">
      <c r="C476" s="226"/>
      <c r="E476" s="226"/>
      <c r="G476" s="226"/>
      <c r="I476" s="226"/>
      <c r="J476" s="226"/>
      <c r="P476" s="226"/>
      <c r="Q476" s="226"/>
      <c r="R476" s="226"/>
      <c r="S476" s="226"/>
      <c r="T476" s="226"/>
      <c r="U476" s="226"/>
    </row>
    <row r="477" spans="3:21" x14ac:dyDescent="0.35">
      <c r="C477" s="226"/>
      <c r="E477" s="226"/>
      <c r="G477" s="226"/>
      <c r="I477" s="226"/>
      <c r="J477" s="226"/>
      <c r="P477" s="226"/>
      <c r="Q477" s="226"/>
      <c r="R477" s="226"/>
      <c r="S477" s="226"/>
      <c r="T477" s="226"/>
      <c r="U477" s="226"/>
    </row>
    <row r="478" spans="3:21" x14ac:dyDescent="0.35">
      <c r="C478" s="226"/>
      <c r="E478" s="226"/>
      <c r="G478" s="226"/>
      <c r="I478" s="226"/>
      <c r="J478" s="226"/>
      <c r="P478" s="226"/>
      <c r="Q478" s="226"/>
      <c r="R478" s="226"/>
      <c r="S478" s="226"/>
      <c r="T478" s="226"/>
      <c r="U478" s="226"/>
    </row>
    <row r="479" spans="3:21" x14ac:dyDescent="0.35">
      <c r="C479" s="226"/>
      <c r="E479" s="226"/>
      <c r="G479" s="226"/>
      <c r="I479" s="226"/>
      <c r="J479" s="226"/>
      <c r="P479" s="226"/>
      <c r="Q479" s="226"/>
      <c r="R479" s="226"/>
      <c r="S479" s="226"/>
      <c r="T479" s="226"/>
      <c r="U479" s="226"/>
    </row>
    <row r="480" spans="3:21" x14ac:dyDescent="0.35">
      <c r="C480" s="226"/>
      <c r="E480" s="226"/>
      <c r="G480" s="226"/>
      <c r="I480" s="226"/>
      <c r="J480" s="226"/>
      <c r="P480" s="226"/>
      <c r="Q480" s="226"/>
      <c r="R480" s="226"/>
      <c r="S480" s="226"/>
      <c r="T480" s="226"/>
      <c r="U480" s="226"/>
    </row>
    <row r="481" spans="3:21" x14ac:dyDescent="0.35">
      <c r="C481" s="226"/>
      <c r="E481" s="226"/>
      <c r="G481" s="226"/>
      <c r="I481" s="226"/>
      <c r="J481" s="226"/>
      <c r="P481" s="226"/>
      <c r="Q481" s="226"/>
      <c r="R481" s="226"/>
      <c r="S481" s="226"/>
      <c r="T481" s="226"/>
      <c r="U481" s="226"/>
    </row>
    <row r="482" spans="3:21" x14ac:dyDescent="0.35">
      <c r="C482" s="226"/>
      <c r="E482" s="226"/>
      <c r="G482" s="226"/>
      <c r="I482" s="226"/>
      <c r="J482" s="226"/>
      <c r="P482" s="226"/>
      <c r="Q482" s="226"/>
      <c r="R482" s="226"/>
      <c r="S482" s="226"/>
      <c r="T482" s="226"/>
      <c r="U482" s="226"/>
    </row>
    <row r="483" spans="3:21" x14ac:dyDescent="0.35">
      <c r="C483" s="226"/>
      <c r="E483" s="226"/>
      <c r="G483" s="226"/>
      <c r="I483" s="226"/>
      <c r="J483" s="226"/>
      <c r="P483" s="226"/>
      <c r="Q483" s="226"/>
      <c r="R483" s="226"/>
      <c r="S483" s="226"/>
      <c r="T483" s="226"/>
      <c r="U483" s="226"/>
    </row>
    <row r="484" spans="3:21" x14ac:dyDescent="0.35">
      <c r="C484" s="226"/>
      <c r="E484" s="226"/>
      <c r="G484" s="226"/>
      <c r="I484" s="226"/>
      <c r="J484" s="226"/>
      <c r="P484" s="226"/>
      <c r="Q484" s="226"/>
      <c r="R484" s="226"/>
      <c r="S484" s="226"/>
      <c r="T484" s="226"/>
      <c r="U484" s="226"/>
    </row>
    <row r="485" spans="3:21" x14ac:dyDescent="0.35">
      <c r="C485" s="226"/>
      <c r="E485" s="226"/>
      <c r="G485" s="226"/>
      <c r="I485" s="226"/>
      <c r="J485" s="226"/>
      <c r="P485" s="226"/>
      <c r="Q485" s="226"/>
      <c r="R485" s="226"/>
      <c r="S485" s="226"/>
      <c r="T485" s="226"/>
      <c r="U485" s="226"/>
    </row>
    <row r="486" spans="3:21" x14ac:dyDescent="0.35">
      <c r="C486" s="226"/>
      <c r="E486" s="226"/>
      <c r="G486" s="226"/>
      <c r="I486" s="226"/>
      <c r="J486" s="226"/>
      <c r="P486" s="226"/>
      <c r="Q486" s="226"/>
      <c r="R486" s="226"/>
      <c r="S486" s="226"/>
      <c r="T486" s="226"/>
      <c r="U486" s="226"/>
    </row>
    <row r="487" spans="3:21" x14ac:dyDescent="0.35">
      <c r="C487" s="226"/>
      <c r="E487" s="226"/>
      <c r="G487" s="226"/>
      <c r="I487" s="226"/>
      <c r="J487" s="226"/>
      <c r="P487" s="226"/>
      <c r="Q487" s="226"/>
      <c r="R487" s="226"/>
      <c r="S487" s="226"/>
      <c r="T487" s="226"/>
      <c r="U487" s="226"/>
    </row>
    <row r="488" spans="3:21" x14ac:dyDescent="0.35">
      <c r="C488" s="226"/>
      <c r="E488" s="226"/>
      <c r="G488" s="226"/>
      <c r="I488" s="226"/>
      <c r="J488" s="226"/>
      <c r="P488" s="226"/>
      <c r="Q488" s="226"/>
      <c r="R488" s="226"/>
      <c r="S488" s="226"/>
      <c r="T488" s="226"/>
      <c r="U488" s="226"/>
    </row>
    <row r="489" spans="3:21" x14ac:dyDescent="0.35">
      <c r="C489" s="226"/>
      <c r="E489" s="226"/>
      <c r="G489" s="226"/>
      <c r="I489" s="226"/>
      <c r="J489" s="226"/>
      <c r="P489" s="226"/>
      <c r="Q489" s="226"/>
      <c r="R489" s="226"/>
      <c r="S489" s="226"/>
      <c r="T489" s="226"/>
      <c r="U489" s="226"/>
    </row>
    <row r="490" spans="3:21" x14ac:dyDescent="0.35">
      <c r="C490" s="226"/>
      <c r="E490" s="226"/>
      <c r="G490" s="226"/>
      <c r="I490" s="226"/>
      <c r="J490" s="226"/>
      <c r="P490" s="226"/>
      <c r="Q490" s="226"/>
      <c r="R490" s="226"/>
      <c r="S490" s="226"/>
      <c r="T490" s="226"/>
      <c r="U490" s="226"/>
    </row>
    <row r="491" spans="3:21" x14ac:dyDescent="0.35">
      <c r="C491" s="226"/>
      <c r="E491" s="226"/>
      <c r="G491" s="226"/>
      <c r="I491" s="226"/>
      <c r="J491" s="226"/>
      <c r="P491" s="226"/>
      <c r="Q491" s="226"/>
      <c r="R491" s="226"/>
      <c r="S491" s="226"/>
      <c r="T491" s="226"/>
      <c r="U491" s="226"/>
    </row>
    <row r="492" spans="3:21" x14ac:dyDescent="0.35">
      <c r="C492" s="226"/>
      <c r="E492" s="226"/>
      <c r="G492" s="226"/>
      <c r="I492" s="226"/>
      <c r="J492" s="226"/>
      <c r="P492" s="226"/>
      <c r="Q492" s="226"/>
      <c r="R492" s="226"/>
      <c r="S492" s="226"/>
      <c r="T492" s="226"/>
      <c r="U492" s="226"/>
    </row>
    <row r="493" spans="3:21" x14ac:dyDescent="0.35">
      <c r="C493" s="226"/>
      <c r="E493" s="226"/>
      <c r="G493" s="226"/>
      <c r="I493" s="226"/>
      <c r="J493" s="226"/>
      <c r="P493" s="226"/>
      <c r="Q493" s="226"/>
      <c r="R493" s="226"/>
      <c r="S493" s="226"/>
      <c r="T493" s="226"/>
      <c r="U493" s="226"/>
    </row>
    <row r="494" spans="3:21" x14ac:dyDescent="0.35">
      <c r="C494" s="226"/>
      <c r="E494" s="226"/>
      <c r="G494" s="226"/>
      <c r="I494" s="226"/>
      <c r="J494" s="226"/>
      <c r="P494" s="226"/>
      <c r="Q494" s="226"/>
      <c r="R494" s="226"/>
      <c r="S494" s="226"/>
      <c r="T494" s="226"/>
      <c r="U494" s="226"/>
    </row>
    <row r="495" spans="3:21" x14ac:dyDescent="0.35">
      <c r="C495" s="226"/>
      <c r="E495" s="226"/>
      <c r="G495" s="226"/>
      <c r="I495" s="226"/>
      <c r="J495" s="226"/>
      <c r="P495" s="226"/>
      <c r="Q495" s="226"/>
      <c r="R495" s="226"/>
      <c r="S495" s="226"/>
      <c r="T495" s="226"/>
      <c r="U495" s="226"/>
    </row>
    <row r="496" spans="3:21" x14ac:dyDescent="0.35">
      <c r="C496" s="226"/>
      <c r="E496" s="226"/>
      <c r="G496" s="226"/>
      <c r="I496" s="226"/>
      <c r="J496" s="226"/>
      <c r="P496" s="226"/>
      <c r="Q496" s="226"/>
      <c r="R496" s="226"/>
      <c r="S496" s="226"/>
      <c r="T496" s="226"/>
      <c r="U496" s="226"/>
    </row>
    <row r="497" spans="3:21" x14ac:dyDescent="0.35">
      <c r="C497" s="226"/>
      <c r="E497" s="226"/>
      <c r="G497" s="226"/>
      <c r="I497" s="226"/>
      <c r="J497" s="226"/>
      <c r="P497" s="226"/>
      <c r="Q497" s="226"/>
      <c r="R497" s="226"/>
      <c r="S497" s="226"/>
      <c r="T497" s="226"/>
      <c r="U497" s="226"/>
    </row>
    <row r="498" spans="3:21" x14ac:dyDescent="0.35">
      <c r="C498" s="226"/>
      <c r="E498" s="226"/>
      <c r="G498" s="226"/>
      <c r="I498" s="226"/>
      <c r="J498" s="226"/>
      <c r="P498" s="226"/>
      <c r="Q498" s="226"/>
      <c r="R498" s="226"/>
      <c r="S498" s="226"/>
      <c r="T498" s="226"/>
      <c r="U498" s="226"/>
    </row>
    <row r="499" spans="3:21" x14ac:dyDescent="0.35">
      <c r="C499" s="226"/>
      <c r="E499" s="226"/>
      <c r="G499" s="226"/>
      <c r="I499" s="226"/>
      <c r="J499" s="226"/>
      <c r="P499" s="226"/>
      <c r="Q499" s="226"/>
      <c r="R499" s="226"/>
      <c r="S499" s="226"/>
      <c r="T499" s="226"/>
      <c r="U499" s="226"/>
    </row>
    <row r="500" spans="3:21" x14ac:dyDescent="0.35">
      <c r="C500" s="226"/>
      <c r="E500" s="226"/>
      <c r="G500" s="226"/>
      <c r="I500" s="226"/>
      <c r="J500" s="226"/>
      <c r="P500" s="226"/>
      <c r="Q500" s="226"/>
      <c r="R500" s="226"/>
      <c r="S500" s="226"/>
      <c r="T500" s="226"/>
      <c r="U500" s="226"/>
    </row>
    <row r="501" spans="3:21" x14ac:dyDescent="0.35">
      <c r="C501" s="226"/>
      <c r="E501" s="226"/>
      <c r="G501" s="226"/>
      <c r="I501" s="226"/>
      <c r="J501" s="226"/>
      <c r="P501" s="226"/>
      <c r="Q501" s="226"/>
      <c r="R501" s="226"/>
      <c r="S501" s="226"/>
      <c r="T501" s="226"/>
      <c r="U501" s="226"/>
    </row>
    <row r="502" spans="3:21" x14ac:dyDescent="0.35">
      <c r="C502" s="226"/>
      <c r="E502" s="226"/>
      <c r="G502" s="226"/>
      <c r="I502" s="226"/>
      <c r="J502" s="226"/>
      <c r="P502" s="226"/>
      <c r="Q502" s="226"/>
      <c r="R502" s="226"/>
      <c r="S502" s="226"/>
      <c r="T502" s="226"/>
      <c r="U502" s="226"/>
    </row>
    <row r="503" spans="3:21" x14ac:dyDescent="0.35">
      <c r="C503" s="226"/>
      <c r="E503" s="226"/>
      <c r="G503" s="226"/>
      <c r="I503" s="226"/>
      <c r="J503" s="226"/>
      <c r="P503" s="226"/>
      <c r="Q503" s="226"/>
      <c r="R503" s="226"/>
      <c r="S503" s="226"/>
      <c r="T503" s="226"/>
      <c r="U503" s="226"/>
    </row>
    <row r="504" spans="3:21" x14ac:dyDescent="0.35">
      <c r="C504" s="226"/>
      <c r="E504" s="226"/>
      <c r="G504" s="226"/>
      <c r="I504" s="226"/>
      <c r="J504" s="226"/>
      <c r="P504" s="226"/>
      <c r="Q504" s="226"/>
      <c r="R504" s="226"/>
      <c r="S504" s="226"/>
      <c r="T504" s="226"/>
      <c r="U504" s="226"/>
    </row>
    <row r="505" spans="3:21" x14ac:dyDescent="0.35">
      <c r="C505" s="226"/>
      <c r="E505" s="226"/>
      <c r="G505" s="226"/>
      <c r="I505" s="226"/>
      <c r="J505" s="226"/>
      <c r="P505" s="226"/>
      <c r="Q505" s="226"/>
      <c r="R505" s="226"/>
      <c r="S505" s="226"/>
      <c r="T505" s="226"/>
      <c r="U505" s="226"/>
    </row>
    <row r="506" spans="3:21" x14ac:dyDescent="0.35">
      <c r="C506" s="226"/>
      <c r="E506" s="226"/>
      <c r="G506" s="226"/>
      <c r="I506" s="226"/>
      <c r="J506" s="226"/>
      <c r="P506" s="226"/>
      <c r="Q506" s="226"/>
      <c r="R506" s="226"/>
      <c r="S506" s="226"/>
      <c r="T506" s="226"/>
      <c r="U506" s="226"/>
    </row>
    <row r="507" spans="3:21" x14ac:dyDescent="0.35">
      <c r="C507" s="226"/>
      <c r="E507" s="226"/>
      <c r="G507" s="226"/>
      <c r="I507" s="226"/>
      <c r="J507" s="226"/>
      <c r="P507" s="226"/>
      <c r="Q507" s="226"/>
      <c r="R507" s="226"/>
      <c r="S507" s="226"/>
      <c r="T507" s="226"/>
      <c r="U507" s="226"/>
    </row>
    <row r="508" spans="3:21" x14ac:dyDescent="0.35">
      <c r="C508" s="226"/>
      <c r="E508" s="226"/>
      <c r="G508" s="226"/>
      <c r="I508" s="226"/>
      <c r="J508" s="226"/>
      <c r="P508" s="226"/>
      <c r="Q508" s="226"/>
      <c r="R508" s="226"/>
      <c r="S508" s="226"/>
      <c r="T508" s="226"/>
      <c r="U508" s="226"/>
    </row>
    <row r="509" spans="3:21" x14ac:dyDescent="0.35">
      <c r="C509" s="226"/>
      <c r="E509" s="226"/>
      <c r="G509" s="226"/>
      <c r="I509" s="226"/>
      <c r="J509" s="226"/>
      <c r="P509" s="226"/>
      <c r="Q509" s="226"/>
      <c r="R509" s="226"/>
      <c r="S509" s="226"/>
      <c r="T509" s="226"/>
      <c r="U509" s="226"/>
    </row>
    <row r="510" spans="3:21" x14ac:dyDescent="0.35">
      <c r="C510" s="226"/>
      <c r="E510" s="226"/>
      <c r="G510" s="226"/>
      <c r="I510" s="226"/>
      <c r="J510" s="226"/>
      <c r="P510" s="226"/>
      <c r="Q510" s="226"/>
      <c r="R510" s="226"/>
      <c r="S510" s="226"/>
      <c r="T510" s="226"/>
      <c r="U510" s="226"/>
    </row>
    <row r="511" spans="3:21" x14ac:dyDescent="0.35">
      <c r="C511" s="226"/>
      <c r="E511" s="226"/>
      <c r="G511" s="226"/>
      <c r="I511" s="226"/>
      <c r="J511" s="226"/>
      <c r="P511" s="226"/>
      <c r="Q511" s="226"/>
      <c r="R511" s="226"/>
      <c r="S511" s="226"/>
      <c r="T511" s="226"/>
      <c r="U511" s="226"/>
    </row>
    <row r="512" spans="3:21" x14ac:dyDescent="0.35">
      <c r="C512" s="226"/>
      <c r="E512" s="226"/>
      <c r="G512" s="226"/>
      <c r="I512" s="226"/>
      <c r="J512" s="226"/>
      <c r="P512" s="226"/>
      <c r="Q512" s="226"/>
      <c r="R512" s="226"/>
      <c r="S512" s="226"/>
      <c r="T512" s="226"/>
      <c r="U512" s="226"/>
    </row>
    <row r="513" spans="3:21" x14ac:dyDescent="0.35">
      <c r="C513" s="226"/>
      <c r="E513" s="226"/>
      <c r="G513" s="226"/>
      <c r="I513" s="226"/>
      <c r="J513" s="226"/>
      <c r="P513" s="226"/>
      <c r="Q513" s="226"/>
      <c r="R513" s="226"/>
      <c r="S513" s="226"/>
      <c r="T513" s="226"/>
      <c r="U513" s="226"/>
    </row>
    <row r="514" spans="3:21" x14ac:dyDescent="0.35">
      <c r="C514" s="226"/>
      <c r="E514" s="226"/>
      <c r="G514" s="226"/>
      <c r="I514" s="226"/>
      <c r="J514" s="226"/>
      <c r="P514" s="226"/>
      <c r="Q514" s="226"/>
      <c r="R514" s="226"/>
      <c r="S514" s="226"/>
      <c r="T514" s="226"/>
      <c r="U514" s="226"/>
    </row>
    <row r="515" spans="3:21" x14ac:dyDescent="0.35">
      <c r="C515" s="226"/>
      <c r="E515" s="226"/>
      <c r="G515" s="226"/>
      <c r="I515" s="226"/>
      <c r="J515" s="226"/>
      <c r="P515" s="226"/>
      <c r="Q515" s="226"/>
      <c r="R515" s="226"/>
      <c r="S515" s="226"/>
      <c r="T515" s="226"/>
      <c r="U515" s="226"/>
    </row>
    <row r="516" spans="3:21" x14ac:dyDescent="0.35">
      <c r="C516" s="226"/>
      <c r="E516" s="226"/>
      <c r="G516" s="226"/>
      <c r="I516" s="226"/>
      <c r="J516" s="226"/>
      <c r="P516" s="226"/>
      <c r="Q516" s="226"/>
      <c r="R516" s="226"/>
      <c r="S516" s="226"/>
      <c r="T516" s="226"/>
      <c r="U516" s="226"/>
    </row>
    <row r="517" spans="3:21" x14ac:dyDescent="0.35">
      <c r="C517" s="226"/>
      <c r="E517" s="226"/>
      <c r="G517" s="226"/>
      <c r="I517" s="226"/>
      <c r="J517" s="226"/>
      <c r="P517" s="226"/>
      <c r="Q517" s="226"/>
      <c r="R517" s="226"/>
      <c r="S517" s="226"/>
      <c r="T517" s="226"/>
      <c r="U517" s="226"/>
    </row>
    <row r="518" spans="3:21" x14ac:dyDescent="0.35">
      <c r="C518" s="226"/>
      <c r="E518" s="226"/>
      <c r="G518" s="226"/>
      <c r="I518" s="226"/>
      <c r="J518" s="226"/>
      <c r="P518" s="226"/>
      <c r="Q518" s="226"/>
      <c r="R518" s="226"/>
      <c r="S518" s="226"/>
      <c r="T518" s="226"/>
      <c r="U518" s="226"/>
    </row>
    <row r="519" spans="3:21" x14ac:dyDescent="0.35">
      <c r="C519" s="226"/>
      <c r="E519" s="226"/>
      <c r="G519" s="226"/>
      <c r="I519" s="226"/>
      <c r="J519" s="226"/>
      <c r="P519" s="226"/>
      <c r="Q519" s="226"/>
      <c r="R519" s="226"/>
      <c r="S519" s="226"/>
      <c r="T519" s="226"/>
      <c r="U519" s="226"/>
    </row>
    <row r="520" spans="3:21" x14ac:dyDescent="0.35">
      <c r="C520" s="226"/>
      <c r="E520" s="226"/>
      <c r="G520" s="226"/>
      <c r="I520" s="226"/>
      <c r="J520" s="226"/>
      <c r="P520" s="226"/>
      <c r="Q520" s="226"/>
      <c r="R520" s="226"/>
      <c r="S520" s="226"/>
      <c r="T520" s="226"/>
      <c r="U520" s="226"/>
    </row>
    <row r="521" spans="3:21" x14ac:dyDescent="0.35">
      <c r="C521" s="226"/>
      <c r="E521" s="226"/>
      <c r="G521" s="226"/>
      <c r="I521" s="226"/>
      <c r="J521" s="226"/>
      <c r="P521" s="226"/>
      <c r="Q521" s="226"/>
      <c r="R521" s="226"/>
      <c r="S521" s="226"/>
      <c r="T521" s="226"/>
      <c r="U521" s="226"/>
    </row>
    <row r="522" spans="3:21" x14ac:dyDescent="0.35">
      <c r="C522" s="226"/>
      <c r="E522" s="226"/>
      <c r="G522" s="226"/>
      <c r="I522" s="226"/>
      <c r="J522" s="226"/>
      <c r="P522" s="226"/>
      <c r="Q522" s="226"/>
      <c r="R522" s="226"/>
      <c r="S522" s="226"/>
      <c r="T522" s="226"/>
      <c r="U522" s="226"/>
    </row>
    <row r="523" spans="3:21" x14ac:dyDescent="0.35">
      <c r="C523" s="226"/>
      <c r="E523" s="226"/>
      <c r="G523" s="226"/>
      <c r="I523" s="226"/>
      <c r="J523" s="226"/>
      <c r="P523" s="226"/>
      <c r="Q523" s="226"/>
      <c r="R523" s="226"/>
      <c r="S523" s="226"/>
      <c r="T523" s="226"/>
      <c r="U523" s="226"/>
    </row>
    <row r="524" spans="3:21" x14ac:dyDescent="0.35">
      <c r="C524" s="226"/>
      <c r="E524" s="226"/>
      <c r="G524" s="226"/>
      <c r="I524" s="226"/>
      <c r="J524" s="226"/>
      <c r="P524" s="226"/>
      <c r="Q524" s="226"/>
      <c r="R524" s="226"/>
      <c r="S524" s="226"/>
      <c r="T524" s="226"/>
      <c r="U524" s="226"/>
    </row>
    <row r="525" spans="3:21" x14ac:dyDescent="0.35">
      <c r="C525" s="226"/>
      <c r="E525" s="226"/>
      <c r="G525" s="226"/>
      <c r="I525" s="226"/>
      <c r="J525" s="226"/>
      <c r="P525" s="226"/>
      <c r="Q525" s="226"/>
      <c r="R525" s="226"/>
      <c r="S525" s="226"/>
      <c r="T525" s="226"/>
      <c r="U525" s="226"/>
    </row>
    <row r="526" spans="3:21" x14ac:dyDescent="0.35">
      <c r="C526" s="226"/>
      <c r="E526" s="226"/>
      <c r="G526" s="226"/>
      <c r="I526" s="226"/>
      <c r="J526" s="226"/>
      <c r="P526" s="226"/>
      <c r="Q526" s="226"/>
      <c r="R526" s="226"/>
      <c r="S526" s="226"/>
      <c r="T526" s="226"/>
      <c r="U526" s="226"/>
    </row>
    <row r="527" spans="3:21" x14ac:dyDescent="0.35">
      <c r="C527" s="226"/>
      <c r="E527" s="226"/>
      <c r="G527" s="226"/>
      <c r="I527" s="226"/>
      <c r="J527" s="226"/>
      <c r="P527" s="226"/>
      <c r="Q527" s="226"/>
      <c r="R527" s="226"/>
      <c r="S527" s="226"/>
      <c r="T527" s="226"/>
      <c r="U527" s="226"/>
    </row>
    <row r="528" spans="3:21" x14ac:dyDescent="0.35">
      <c r="C528" s="226"/>
      <c r="E528" s="226"/>
      <c r="G528" s="226"/>
      <c r="I528" s="226"/>
      <c r="J528" s="226"/>
      <c r="P528" s="226"/>
      <c r="Q528" s="226"/>
      <c r="R528" s="226"/>
      <c r="S528" s="226"/>
      <c r="T528" s="226"/>
      <c r="U528" s="226"/>
    </row>
    <row r="529" spans="3:21" x14ac:dyDescent="0.35">
      <c r="C529" s="226"/>
      <c r="E529" s="226"/>
      <c r="G529" s="226"/>
      <c r="I529" s="226"/>
      <c r="J529" s="226"/>
      <c r="P529" s="226"/>
      <c r="Q529" s="226"/>
      <c r="R529" s="226"/>
      <c r="S529" s="226"/>
      <c r="T529" s="226"/>
      <c r="U529" s="226"/>
    </row>
    <row r="530" spans="3:21" x14ac:dyDescent="0.35">
      <c r="C530" s="226"/>
      <c r="E530" s="226"/>
      <c r="G530" s="226"/>
      <c r="I530" s="226"/>
      <c r="J530" s="226"/>
      <c r="P530" s="226"/>
      <c r="Q530" s="226"/>
      <c r="R530" s="226"/>
      <c r="S530" s="226"/>
      <c r="T530" s="226"/>
      <c r="U530" s="226"/>
    </row>
    <row r="531" spans="3:21" x14ac:dyDescent="0.35">
      <c r="C531" s="226"/>
      <c r="E531" s="226"/>
      <c r="G531" s="226"/>
      <c r="I531" s="226"/>
      <c r="J531" s="226"/>
      <c r="P531" s="226"/>
      <c r="Q531" s="226"/>
      <c r="R531" s="226"/>
      <c r="S531" s="226"/>
      <c r="T531" s="226"/>
      <c r="U531" s="226"/>
    </row>
    <row r="532" spans="3:21" x14ac:dyDescent="0.35">
      <c r="C532" s="226"/>
      <c r="E532" s="226"/>
      <c r="G532" s="226"/>
      <c r="I532" s="226"/>
      <c r="J532" s="226"/>
      <c r="P532" s="226"/>
      <c r="Q532" s="226"/>
      <c r="R532" s="226"/>
      <c r="S532" s="226"/>
      <c r="T532" s="226"/>
      <c r="U532" s="226"/>
    </row>
    <row r="533" spans="3:21" x14ac:dyDescent="0.35">
      <c r="C533" s="226"/>
      <c r="E533" s="226"/>
      <c r="G533" s="226"/>
      <c r="I533" s="226"/>
      <c r="J533" s="226"/>
      <c r="P533" s="226"/>
      <c r="Q533" s="226"/>
      <c r="R533" s="226"/>
      <c r="S533" s="226"/>
      <c r="T533" s="226"/>
      <c r="U533" s="226"/>
    </row>
    <row r="534" spans="3:21" x14ac:dyDescent="0.35">
      <c r="C534" s="226"/>
      <c r="E534" s="226"/>
      <c r="G534" s="226"/>
      <c r="I534" s="226"/>
      <c r="J534" s="226"/>
      <c r="P534" s="226"/>
      <c r="Q534" s="226"/>
      <c r="R534" s="226"/>
      <c r="S534" s="226"/>
      <c r="T534" s="226"/>
      <c r="U534" s="226"/>
    </row>
    <row r="535" spans="3:21" x14ac:dyDescent="0.35">
      <c r="C535" s="226"/>
      <c r="E535" s="226"/>
      <c r="G535" s="226"/>
      <c r="I535" s="226"/>
      <c r="J535" s="226"/>
      <c r="P535" s="226"/>
      <c r="Q535" s="226"/>
      <c r="R535" s="226"/>
      <c r="S535" s="226"/>
      <c r="T535" s="226"/>
      <c r="U535" s="226"/>
    </row>
    <row r="536" spans="3:21" x14ac:dyDescent="0.35">
      <c r="C536" s="226"/>
      <c r="E536" s="226"/>
      <c r="G536" s="226"/>
      <c r="I536" s="226"/>
      <c r="J536" s="226"/>
      <c r="P536" s="226"/>
      <c r="Q536" s="226"/>
      <c r="R536" s="226"/>
      <c r="S536" s="226"/>
      <c r="T536" s="226"/>
      <c r="U536" s="226"/>
    </row>
    <row r="537" spans="3:21" x14ac:dyDescent="0.35">
      <c r="C537" s="226"/>
      <c r="E537" s="226"/>
      <c r="G537" s="226"/>
      <c r="I537" s="226"/>
      <c r="J537" s="226"/>
      <c r="P537" s="226"/>
      <c r="Q537" s="226"/>
      <c r="R537" s="226"/>
      <c r="S537" s="226"/>
      <c r="T537" s="226"/>
      <c r="U537" s="226"/>
    </row>
    <row r="538" spans="3:21" x14ac:dyDescent="0.35">
      <c r="C538" s="226"/>
      <c r="E538" s="226"/>
      <c r="G538" s="226"/>
      <c r="I538" s="226"/>
      <c r="J538" s="226"/>
      <c r="P538" s="226"/>
      <c r="Q538" s="226"/>
      <c r="R538" s="226"/>
      <c r="S538" s="226"/>
      <c r="T538" s="226"/>
      <c r="U538" s="226"/>
    </row>
    <row r="539" spans="3:21" x14ac:dyDescent="0.35">
      <c r="C539" s="226"/>
      <c r="E539" s="226"/>
      <c r="G539" s="226"/>
      <c r="I539" s="226"/>
      <c r="J539" s="226"/>
      <c r="P539" s="226"/>
      <c r="Q539" s="226"/>
      <c r="R539" s="226"/>
      <c r="S539" s="226"/>
      <c r="T539" s="226"/>
      <c r="U539" s="226"/>
    </row>
    <row r="540" spans="3:21" x14ac:dyDescent="0.35">
      <c r="C540" s="226"/>
      <c r="E540" s="226"/>
      <c r="G540" s="226"/>
      <c r="I540" s="226"/>
      <c r="J540" s="226"/>
      <c r="P540" s="226"/>
      <c r="Q540" s="226"/>
      <c r="R540" s="226"/>
      <c r="S540" s="226"/>
      <c r="T540" s="226"/>
      <c r="U540" s="226"/>
    </row>
    <row r="541" spans="3:21" x14ac:dyDescent="0.35">
      <c r="C541" s="226"/>
      <c r="E541" s="226"/>
      <c r="G541" s="226"/>
      <c r="I541" s="226"/>
      <c r="J541" s="226"/>
      <c r="P541" s="226"/>
      <c r="Q541" s="226"/>
      <c r="R541" s="226"/>
      <c r="S541" s="226"/>
      <c r="T541" s="226"/>
      <c r="U541" s="226"/>
    </row>
    <row r="542" spans="3:21" x14ac:dyDescent="0.35">
      <c r="C542" s="226"/>
      <c r="E542" s="226"/>
      <c r="G542" s="226"/>
      <c r="I542" s="226"/>
      <c r="J542" s="226"/>
      <c r="P542" s="226"/>
      <c r="Q542" s="226"/>
      <c r="R542" s="226"/>
      <c r="S542" s="226"/>
      <c r="T542" s="226"/>
      <c r="U542" s="226"/>
    </row>
    <row r="543" spans="3:21" x14ac:dyDescent="0.35">
      <c r="C543" s="226"/>
      <c r="E543" s="226"/>
      <c r="G543" s="226"/>
      <c r="I543" s="226"/>
      <c r="J543" s="226"/>
      <c r="P543" s="226"/>
      <c r="Q543" s="226"/>
      <c r="R543" s="226"/>
      <c r="S543" s="226"/>
      <c r="T543" s="226"/>
      <c r="U543" s="226"/>
    </row>
    <row r="544" spans="3:21" x14ac:dyDescent="0.35">
      <c r="C544" s="226"/>
      <c r="E544" s="226"/>
      <c r="G544" s="226"/>
      <c r="I544" s="226"/>
      <c r="J544" s="226"/>
      <c r="P544" s="226"/>
      <c r="Q544" s="226"/>
      <c r="R544" s="226"/>
      <c r="S544" s="226"/>
      <c r="T544" s="226"/>
      <c r="U544" s="226"/>
    </row>
    <row r="545" spans="3:21" x14ac:dyDescent="0.35">
      <c r="C545" s="226"/>
      <c r="E545" s="226"/>
      <c r="G545" s="226"/>
      <c r="I545" s="226"/>
      <c r="J545" s="226"/>
      <c r="P545" s="226"/>
      <c r="Q545" s="226"/>
      <c r="R545" s="226"/>
      <c r="S545" s="226"/>
      <c r="T545" s="226"/>
      <c r="U545" s="226"/>
    </row>
    <row r="546" spans="3:21" x14ac:dyDescent="0.35">
      <c r="C546" s="226"/>
      <c r="E546" s="226"/>
      <c r="G546" s="226"/>
      <c r="I546" s="226"/>
      <c r="J546" s="226"/>
      <c r="P546" s="226"/>
      <c r="Q546" s="226"/>
      <c r="R546" s="226"/>
      <c r="S546" s="226"/>
      <c r="T546" s="226"/>
      <c r="U546" s="226"/>
    </row>
    <row r="547" spans="3:21" x14ac:dyDescent="0.35">
      <c r="C547" s="226"/>
      <c r="E547" s="226"/>
      <c r="G547" s="226"/>
      <c r="I547" s="226"/>
      <c r="J547" s="226"/>
      <c r="P547" s="226"/>
      <c r="Q547" s="226"/>
      <c r="R547" s="226"/>
      <c r="S547" s="226"/>
      <c r="T547" s="226"/>
      <c r="U547" s="226"/>
    </row>
    <row r="548" spans="3:21" x14ac:dyDescent="0.35">
      <c r="C548" s="226"/>
      <c r="E548" s="226"/>
      <c r="G548" s="226"/>
      <c r="I548" s="226"/>
      <c r="J548" s="226"/>
      <c r="P548" s="226"/>
      <c r="Q548" s="226"/>
      <c r="R548" s="226"/>
      <c r="S548" s="226"/>
      <c r="T548" s="226"/>
      <c r="U548" s="226"/>
    </row>
    <row r="549" spans="3:21" x14ac:dyDescent="0.35">
      <c r="C549" s="226"/>
      <c r="E549" s="226"/>
      <c r="G549" s="226"/>
      <c r="I549" s="226"/>
      <c r="J549" s="226"/>
      <c r="P549" s="226"/>
      <c r="Q549" s="226"/>
      <c r="R549" s="226"/>
      <c r="S549" s="226"/>
      <c r="T549" s="226"/>
      <c r="U549" s="226"/>
    </row>
    <row r="550" spans="3:21" x14ac:dyDescent="0.35">
      <c r="C550" s="226"/>
      <c r="E550" s="226"/>
      <c r="G550" s="226"/>
      <c r="I550" s="226"/>
      <c r="J550" s="226"/>
      <c r="P550" s="226"/>
      <c r="Q550" s="226"/>
      <c r="R550" s="226"/>
      <c r="S550" s="226"/>
      <c r="T550" s="226"/>
      <c r="U550" s="226"/>
    </row>
    <row r="551" spans="3:21" x14ac:dyDescent="0.35">
      <c r="C551" s="226"/>
      <c r="E551" s="226"/>
      <c r="G551" s="226"/>
      <c r="I551" s="226"/>
      <c r="J551" s="226"/>
      <c r="P551" s="226"/>
      <c r="Q551" s="226"/>
      <c r="R551" s="226"/>
      <c r="S551" s="226"/>
      <c r="T551" s="226"/>
      <c r="U551" s="226"/>
    </row>
    <row r="552" spans="3:21" x14ac:dyDescent="0.35">
      <c r="C552" s="226"/>
      <c r="E552" s="226"/>
      <c r="G552" s="226"/>
      <c r="I552" s="226"/>
      <c r="J552" s="226"/>
      <c r="P552" s="226"/>
      <c r="Q552" s="226"/>
      <c r="R552" s="226"/>
      <c r="S552" s="226"/>
      <c r="T552" s="226"/>
      <c r="U552" s="226"/>
    </row>
    <row r="553" spans="3:21" x14ac:dyDescent="0.35">
      <c r="C553" s="226"/>
      <c r="E553" s="226"/>
      <c r="G553" s="226"/>
      <c r="I553" s="226"/>
      <c r="J553" s="226"/>
      <c r="P553" s="226"/>
      <c r="Q553" s="226"/>
      <c r="R553" s="226"/>
      <c r="S553" s="226"/>
      <c r="T553" s="226"/>
      <c r="U553" s="226"/>
    </row>
    <row r="554" spans="3:21" x14ac:dyDescent="0.35">
      <c r="C554" s="226"/>
      <c r="E554" s="226"/>
      <c r="G554" s="226"/>
      <c r="I554" s="226"/>
      <c r="J554" s="226"/>
      <c r="P554" s="226"/>
      <c r="Q554" s="226"/>
      <c r="R554" s="226"/>
      <c r="S554" s="226"/>
      <c r="T554" s="226"/>
      <c r="U554" s="226"/>
    </row>
    <row r="555" spans="3:21" x14ac:dyDescent="0.35">
      <c r="C555" s="226"/>
      <c r="E555" s="226"/>
      <c r="G555" s="226"/>
      <c r="I555" s="226"/>
      <c r="J555" s="226"/>
      <c r="P555" s="226"/>
      <c r="Q555" s="226"/>
      <c r="R555" s="226"/>
      <c r="S555" s="226"/>
      <c r="T555" s="226"/>
      <c r="U555" s="226"/>
    </row>
    <row r="556" spans="3:21" x14ac:dyDescent="0.35">
      <c r="C556" s="226"/>
      <c r="E556" s="226"/>
      <c r="G556" s="226"/>
      <c r="I556" s="226"/>
      <c r="J556" s="226"/>
      <c r="P556" s="226"/>
      <c r="Q556" s="226"/>
      <c r="R556" s="226"/>
      <c r="S556" s="226"/>
      <c r="T556" s="226"/>
      <c r="U556" s="226"/>
    </row>
    <row r="557" spans="3:21" x14ac:dyDescent="0.35">
      <c r="C557" s="226"/>
      <c r="E557" s="226"/>
      <c r="G557" s="226"/>
      <c r="I557" s="226"/>
      <c r="J557" s="226"/>
      <c r="P557" s="226"/>
      <c r="Q557" s="226"/>
      <c r="R557" s="226"/>
      <c r="S557" s="226"/>
      <c r="T557" s="226"/>
      <c r="U557" s="226"/>
    </row>
    <row r="558" spans="3:21" x14ac:dyDescent="0.35">
      <c r="C558" s="226"/>
      <c r="E558" s="226"/>
      <c r="G558" s="226"/>
      <c r="I558" s="226"/>
      <c r="J558" s="226"/>
      <c r="P558" s="226"/>
      <c r="Q558" s="226"/>
      <c r="R558" s="226"/>
      <c r="S558" s="226"/>
      <c r="T558" s="226"/>
      <c r="U558" s="226"/>
    </row>
    <row r="559" spans="3:21" x14ac:dyDescent="0.35">
      <c r="C559" s="226"/>
      <c r="E559" s="226"/>
      <c r="G559" s="226"/>
      <c r="I559" s="226"/>
      <c r="J559" s="226"/>
      <c r="P559" s="226"/>
      <c r="Q559" s="226"/>
      <c r="R559" s="226"/>
      <c r="S559" s="226"/>
      <c r="T559" s="226"/>
      <c r="U559" s="226"/>
    </row>
    <row r="560" spans="3:21" x14ac:dyDescent="0.35">
      <c r="C560" s="226"/>
      <c r="E560" s="226"/>
      <c r="G560" s="226"/>
      <c r="I560" s="226"/>
      <c r="J560" s="226"/>
      <c r="P560" s="226"/>
      <c r="Q560" s="226"/>
      <c r="R560" s="226"/>
      <c r="S560" s="226"/>
      <c r="T560" s="226"/>
      <c r="U560" s="226"/>
    </row>
    <row r="561" spans="3:21" x14ac:dyDescent="0.35">
      <c r="C561" s="226"/>
      <c r="E561" s="226"/>
      <c r="G561" s="226"/>
      <c r="I561" s="226"/>
      <c r="J561" s="226"/>
      <c r="P561" s="226"/>
      <c r="Q561" s="226"/>
      <c r="R561" s="226"/>
      <c r="S561" s="226"/>
      <c r="T561" s="226"/>
      <c r="U561" s="226"/>
    </row>
    <row r="562" spans="3:21" x14ac:dyDescent="0.35">
      <c r="C562" s="226"/>
      <c r="E562" s="226"/>
      <c r="G562" s="226"/>
      <c r="I562" s="226"/>
      <c r="J562" s="226"/>
      <c r="P562" s="226"/>
      <c r="Q562" s="226"/>
      <c r="R562" s="226"/>
      <c r="S562" s="226"/>
      <c r="T562" s="226"/>
      <c r="U562" s="226"/>
    </row>
    <row r="563" spans="3:21" x14ac:dyDescent="0.35">
      <c r="C563" s="226"/>
      <c r="E563" s="226"/>
      <c r="G563" s="226"/>
      <c r="I563" s="226"/>
      <c r="J563" s="226"/>
      <c r="P563" s="226"/>
      <c r="Q563" s="226"/>
      <c r="R563" s="226"/>
      <c r="S563" s="226"/>
      <c r="T563" s="226"/>
      <c r="U563" s="226"/>
    </row>
    <row r="564" spans="3:21" x14ac:dyDescent="0.35">
      <c r="C564" s="226"/>
      <c r="E564" s="226"/>
      <c r="G564" s="226"/>
      <c r="I564" s="226"/>
      <c r="J564" s="226"/>
      <c r="P564" s="226"/>
      <c r="Q564" s="226"/>
      <c r="R564" s="226"/>
      <c r="S564" s="226"/>
      <c r="T564" s="226"/>
      <c r="U564" s="226"/>
    </row>
    <row r="565" spans="3:21" x14ac:dyDescent="0.35">
      <c r="C565" s="226"/>
      <c r="E565" s="226"/>
      <c r="G565" s="226"/>
      <c r="I565" s="226"/>
      <c r="J565" s="226"/>
      <c r="P565" s="226"/>
      <c r="Q565" s="226"/>
      <c r="R565" s="226"/>
      <c r="S565" s="226"/>
      <c r="T565" s="226"/>
      <c r="U565" s="226"/>
    </row>
    <row r="566" spans="3:21" x14ac:dyDescent="0.35">
      <c r="C566" s="226"/>
      <c r="E566" s="226"/>
      <c r="G566" s="226"/>
      <c r="I566" s="226"/>
      <c r="J566" s="226"/>
      <c r="P566" s="226"/>
      <c r="Q566" s="226"/>
      <c r="R566" s="226"/>
      <c r="S566" s="226"/>
      <c r="T566" s="226"/>
      <c r="U566" s="226"/>
    </row>
    <row r="567" spans="3:21" x14ac:dyDescent="0.35">
      <c r="C567" s="226"/>
      <c r="E567" s="226"/>
      <c r="G567" s="226"/>
      <c r="I567" s="226"/>
      <c r="J567" s="226"/>
      <c r="P567" s="226"/>
      <c r="Q567" s="226"/>
      <c r="R567" s="226"/>
      <c r="S567" s="226"/>
      <c r="T567" s="226"/>
      <c r="U567" s="226"/>
    </row>
    <row r="568" spans="3:21" x14ac:dyDescent="0.35">
      <c r="C568" s="226"/>
      <c r="E568" s="226"/>
      <c r="G568" s="226"/>
      <c r="I568" s="226"/>
      <c r="J568" s="226"/>
      <c r="P568" s="226"/>
      <c r="Q568" s="226"/>
      <c r="R568" s="226"/>
      <c r="S568" s="226"/>
      <c r="T568" s="226"/>
      <c r="U568" s="226"/>
    </row>
    <row r="569" spans="3:21" x14ac:dyDescent="0.35">
      <c r="C569" s="226"/>
      <c r="E569" s="226"/>
      <c r="G569" s="226"/>
      <c r="I569" s="226"/>
      <c r="J569" s="226"/>
      <c r="P569" s="226"/>
      <c r="Q569" s="226"/>
      <c r="R569" s="226"/>
      <c r="S569" s="226"/>
      <c r="T569" s="226"/>
      <c r="U569" s="226"/>
    </row>
    <row r="570" spans="3:21" x14ac:dyDescent="0.35">
      <c r="C570" s="226"/>
      <c r="E570" s="226"/>
      <c r="G570" s="226"/>
      <c r="I570" s="226"/>
      <c r="J570" s="226"/>
      <c r="P570" s="226"/>
      <c r="Q570" s="226"/>
      <c r="R570" s="226"/>
      <c r="S570" s="226"/>
      <c r="T570" s="226"/>
      <c r="U570" s="226"/>
    </row>
    <row r="571" spans="3:21" x14ac:dyDescent="0.35">
      <c r="C571" s="226"/>
      <c r="E571" s="226"/>
      <c r="G571" s="226"/>
      <c r="I571" s="226"/>
      <c r="J571" s="226"/>
      <c r="P571" s="226"/>
      <c r="Q571" s="226"/>
      <c r="R571" s="226"/>
      <c r="S571" s="226"/>
      <c r="T571" s="226"/>
      <c r="U571" s="226"/>
    </row>
    <row r="572" spans="3:21" x14ac:dyDescent="0.35">
      <c r="C572" s="226"/>
      <c r="E572" s="226"/>
      <c r="G572" s="226"/>
      <c r="I572" s="226"/>
      <c r="J572" s="226"/>
      <c r="P572" s="226"/>
      <c r="Q572" s="226"/>
      <c r="R572" s="226"/>
      <c r="S572" s="226"/>
      <c r="T572" s="226"/>
      <c r="U572" s="226"/>
    </row>
    <row r="573" spans="3:21" x14ac:dyDescent="0.35">
      <c r="C573" s="226"/>
      <c r="E573" s="226"/>
      <c r="G573" s="226"/>
      <c r="I573" s="226"/>
      <c r="J573" s="226"/>
      <c r="P573" s="226"/>
      <c r="Q573" s="226"/>
      <c r="R573" s="226"/>
      <c r="S573" s="226"/>
      <c r="T573" s="226"/>
      <c r="U573" s="226"/>
    </row>
    <row r="574" spans="3:21" x14ac:dyDescent="0.35">
      <c r="C574" s="226"/>
      <c r="E574" s="226"/>
      <c r="G574" s="226"/>
      <c r="I574" s="226"/>
      <c r="J574" s="226"/>
      <c r="P574" s="226"/>
      <c r="Q574" s="226"/>
      <c r="R574" s="226"/>
      <c r="S574" s="226"/>
      <c r="T574" s="226"/>
      <c r="U574" s="226"/>
    </row>
    <row r="575" spans="3:21" x14ac:dyDescent="0.35">
      <c r="C575" s="226"/>
      <c r="E575" s="226"/>
      <c r="G575" s="226"/>
      <c r="I575" s="226"/>
      <c r="J575" s="226"/>
      <c r="P575" s="226"/>
      <c r="Q575" s="226"/>
      <c r="R575" s="226"/>
      <c r="S575" s="226"/>
      <c r="T575" s="226"/>
      <c r="U575" s="226"/>
    </row>
    <row r="576" spans="3:21" x14ac:dyDescent="0.35">
      <c r="C576" s="226"/>
      <c r="E576" s="226"/>
      <c r="G576" s="226"/>
      <c r="I576" s="226"/>
      <c r="J576" s="226"/>
      <c r="P576" s="226"/>
      <c r="Q576" s="226"/>
      <c r="R576" s="226"/>
      <c r="S576" s="226"/>
      <c r="T576" s="226"/>
      <c r="U576" s="226"/>
    </row>
    <row r="577" spans="3:21" x14ac:dyDescent="0.35">
      <c r="C577" s="226"/>
      <c r="E577" s="226"/>
      <c r="G577" s="226"/>
      <c r="I577" s="226"/>
      <c r="J577" s="226"/>
      <c r="P577" s="226"/>
      <c r="Q577" s="226"/>
      <c r="R577" s="226"/>
      <c r="S577" s="226"/>
      <c r="T577" s="226"/>
      <c r="U577" s="226"/>
    </row>
    <row r="578" spans="3:21" x14ac:dyDescent="0.35">
      <c r="C578" s="226"/>
      <c r="E578" s="226"/>
      <c r="G578" s="226"/>
      <c r="I578" s="226"/>
      <c r="J578" s="226"/>
      <c r="P578" s="226"/>
      <c r="Q578" s="226"/>
      <c r="R578" s="226"/>
      <c r="S578" s="226"/>
      <c r="T578" s="226"/>
      <c r="U578" s="226"/>
    </row>
    <row r="579" spans="3:21" x14ac:dyDescent="0.35">
      <c r="C579" s="226"/>
      <c r="E579" s="226"/>
      <c r="G579" s="226"/>
      <c r="I579" s="226"/>
      <c r="J579" s="226"/>
      <c r="P579" s="226"/>
      <c r="Q579" s="226"/>
      <c r="R579" s="226"/>
      <c r="S579" s="226"/>
      <c r="T579" s="226"/>
      <c r="U579" s="226"/>
    </row>
    <row r="580" spans="3:21" x14ac:dyDescent="0.35">
      <c r="C580" s="226"/>
      <c r="E580" s="226"/>
      <c r="G580" s="226"/>
      <c r="I580" s="226"/>
      <c r="J580" s="226"/>
      <c r="P580" s="226"/>
      <c r="Q580" s="226"/>
      <c r="R580" s="226"/>
      <c r="S580" s="226"/>
      <c r="T580" s="226"/>
      <c r="U580" s="226"/>
    </row>
    <row r="581" spans="3:21" x14ac:dyDescent="0.35">
      <c r="C581" s="226"/>
      <c r="E581" s="226"/>
      <c r="G581" s="226"/>
      <c r="I581" s="226"/>
      <c r="J581" s="226"/>
      <c r="P581" s="226"/>
      <c r="Q581" s="226"/>
      <c r="R581" s="226"/>
      <c r="S581" s="226"/>
      <c r="T581" s="226"/>
      <c r="U581" s="226"/>
    </row>
    <row r="582" spans="3:21" x14ac:dyDescent="0.35">
      <c r="C582" s="226"/>
      <c r="E582" s="226"/>
      <c r="G582" s="226"/>
      <c r="I582" s="226"/>
      <c r="J582" s="226"/>
      <c r="P582" s="226"/>
      <c r="Q582" s="226"/>
      <c r="R582" s="226"/>
      <c r="S582" s="226"/>
      <c r="T582" s="226"/>
      <c r="U582" s="226"/>
    </row>
    <row r="583" spans="3:21" x14ac:dyDescent="0.35">
      <c r="C583" s="226"/>
      <c r="E583" s="226"/>
      <c r="G583" s="226"/>
      <c r="I583" s="226"/>
      <c r="J583" s="226"/>
      <c r="P583" s="226"/>
      <c r="Q583" s="226"/>
      <c r="R583" s="226"/>
      <c r="S583" s="226"/>
      <c r="T583" s="226"/>
      <c r="U583" s="226"/>
    </row>
    <row r="584" spans="3:21" x14ac:dyDescent="0.35">
      <c r="C584" s="226"/>
      <c r="E584" s="226"/>
      <c r="G584" s="226"/>
      <c r="I584" s="226"/>
      <c r="J584" s="226"/>
      <c r="P584" s="226"/>
      <c r="Q584" s="226"/>
      <c r="R584" s="226"/>
      <c r="S584" s="226"/>
      <c r="T584" s="226"/>
      <c r="U584" s="226"/>
    </row>
    <row r="585" spans="3:21" x14ac:dyDescent="0.35">
      <c r="C585" s="226"/>
      <c r="E585" s="226"/>
      <c r="G585" s="226"/>
      <c r="I585" s="226"/>
      <c r="J585" s="226"/>
      <c r="P585" s="226"/>
      <c r="Q585" s="226"/>
      <c r="R585" s="226"/>
      <c r="S585" s="226"/>
      <c r="T585" s="226"/>
      <c r="U585" s="226"/>
    </row>
    <row r="586" spans="3:21" x14ac:dyDescent="0.35">
      <c r="C586" s="226"/>
      <c r="E586" s="226"/>
      <c r="G586" s="226"/>
      <c r="I586" s="226"/>
      <c r="J586" s="226"/>
      <c r="P586" s="226"/>
      <c r="Q586" s="226"/>
      <c r="R586" s="226"/>
      <c r="S586" s="226"/>
      <c r="T586" s="226"/>
      <c r="U586" s="226"/>
    </row>
    <row r="587" spans="3:21" x14ac:dyDescent="0.35">
      <c r="C587" s="226"/>
      <c r="E587" s="226"/>
      <c r="G587" s="226"/>
      <c r="I587" s="226"/>
      <c r="J587" s="226"/>
      <c r="P587" s="226"/>
      <c r="Q587" s="226"/>
      <c r="R587" s="226"/>
      <c r="S587" s="226"/>
      <c r="T587" s="226"/>
      <c r="U587" s="226"/>
    </row>
    <row r="588" spans="3:21" x14ac:dyDescent="0.35">
      <c r="C588" s="226"/>
      <c r="E588" s="226"/>
      <c r="G588" s="226"/>
      <c r="I588" s="226"/>
      <c r="J588" s="226"/>
      <c r="P588" s="226"/>
      <c r="Q588" s="226"/>
      <c r="R588" s="226"/>
      <c r="S588" s="226"/>
      <c r="T588" s="226"/>
      <c r="U588" s="226"/>
    </row>
    <row r="589" spans="3:21" x14ac:dyDescent="0.35">
      <c r="C589" s="226"/>
      <c r="E589" s="226"/>
      <c r="G589" s="226"/>
      <c r="I589" s="226"/>
      <c r="J589" s="226"/>
      <c r="P589" s="226"/>
      <c r="Q589" s="226"/>
      <c r="R589" s="226"/>
      <c r="S589" s="226"/>
      <c r="T589" s="226"/>
      <c r="U589" s="226"/>
    </row>
    <row r="590" spans="3:21" x14ac:dyDescent="0.35">
      <c r="C590" s="226"/>
      <c r="E590" s="226"/>
      <c r="G590" s="226"/>
      <c r="I590" s="226"/>
      <c r="J590" s="226"/>
      <c r="P590" s="226"/>
      <c r="Q590" s="226"/>
      <c r="R590" s="226"/>
      <c r="S590" s="226"/>
      <c r="T590" s="226"/>
      <c r="U590" s="226"/>
    </row>
    <row r="591" spans="3:21" x14ac:dyDescent="0.35">
      <c r="C591" s="226"/>
      <c r="E591" s="226"/>
      <c r="G591" s="226"/>
      <c r="I591" s="226"/>
      <c r="J591" s="226"/>
      <c r="P591" s="226"/>
      <c r="Q591" s="226"/>
      <c r="R591" s="226"/>
      <c r="S591" s="226"/>
      <c r="T591" s="226"/>
      <c r="U591" s="226"/>
    </row>
    <row r="592" spans="3:21" x14ac:dyDescent="0.35">
      <c r="C592" s="226"/>
      <c r="E592" s="226"/>
      <c r="G592" s="226"/>
      <c r="I592" s="226"/>
      <c r="J592" s="226"/>
      <c r="P592" s="226"/>
      <c r="Q592" s="226"/>
      <c r="R592" s="226"/>
      <c r="S592" s="226"/>
      <c r="T592" s="226"/>
      <c r="U592" s="226"/>
    </row>
    <row r="593" spans="3:21" x14ac:dyDescent="0.35">
      <c r="C593" s="226"/>
      <c r="E593" s="226"/>
      <c r="G593" s="226"/>
      <c r="I593" s="226"/>
      <c r="J593" s="226"/>
      <c r="P593" s="226"/>
      <c r="Q593" s="226"/>
      <c r="R593" s="226"/>
      <c r="S593" s="226"/>
      <c r="T593" s="226"/>
      <c r="U593" s="226"/>
    </row>
    <row r="594" spans="3:21" x14ac:dyDescent="0.35">
      <c r="C594" s="226"/>
      <c r="E594" s="226"/>
      <c r="G594" s="226"/>
      <c r="I594" s="226"/>
      <c r="J594" s="226"/>
      <c r="P594" s="226"/>
      <c r="Q594" s="226"/>
      <c r="R594" s="226"/>
      <c r="S594" s="226"/>
      <c r="T594" s="226"/>
      <c r="U594" s="226"/>
    </row>
    <row r="595" spans="3:21" x14ac:dyDescent="0.35">
      <c r="C595" s="226"/>
      <c r="E595" s="226"/>
      <c r="G595" s="226"/>
      <c r="I595" s="226"/>
      <c r="J595" s="226"/>
      <c r="P595" s="226"/>
      <c r="Q595" s="226"/>
      <c r="R595" s="226"/>
      <c r="S595" s="226"/>
      <c r="T595" s="226"/>
      <c r="U595" s="226"/>
    </row>
    <row r="596" spans="3:21" x14ac:dyDescent="0.35">
      <c r="C596" s="226"/>
      <c r="E596" s="226"/>
      <c r="G596" s="226"/>
      <c r="I596" s="226"/>
      <c r="J596" s="226"/>
      <c r="P596" s="226"/>
      <c r="Q596" s="226"/>
      <c r="R596" s="226"/>
      <c r="S596" s="226"/>
      <c r="T596" s="226"/>
      <c r="U596" s="226"/>
    </row>
    <row r="597" spans="3:21" x14ac:dyDescent="0.35">
      <c r="C597" s="226"/>
      <c r="E597" s="226"/>
      <c r="G597" s="226"/>
      <c r="I597" s="226"/>
      <c r="J597" s="226"/>
      <c r="P597" s="226"/>
      <c r="Q597" s="226"/>
      <c r="R597" s="226"/>
      <c r="S597" s="226"/>
      <c r="T597" s="226"/>
      <c r="U597" s="226"/>
    </row>
    <row r="598" spans="3:21" x14ac:dyDescent="0.35">
      <c r="C598" s="226"/>
      <c r="E598" s="226"/>
      <c r="G598" s="226"/>
      <c r="I598" s="226"/>
      <c r="J598" s="226"/>
      <c r="P598" s="226"/>
      <c r="Q598" s="226"/>
      <c r="R598" s="226"/>
      <c r="S598" s="226"/>
      <c r="T598" s="226"/>
      <c r="U598" s="226"/>
    </row>
    <row r="599" spans="3:21" x14ac:dyDescent="0.35">
      <c r="C599" s="226"/>
      <c r="E599" s="226"/>
      <c r="G599" s="226"/>
      <c r="I599" s="226"/>
      <c r="J599" s="226"/>
      <c r="P599" s="226"/>
      <c r="Q599" s="226"/>
      <c r="R599" s="226"/>
      <c r="S599" s="226"/>
      <c r="T599" s="226"/>
      <c r="U599" s="226"/>
    </row>
    <row r="600" spans="3:21" x14ac:dyDescent="0.35">
      <c r="C600" s="226"/>
      <c r="E600" s="226"/>
      <c r="G600" s="226"/>
      <c r="I600" s="226"/>
      <c r="J600" s="226"/>
      <c r="P600" s="226"/>
      <c r="Q600" s="226"/>
      <c r="R600" s="226"/>
      <c r="S600" s="226"/>
      <c r="T600" s="226"/>
      <c r="U600" s="226"/>
    </row>
    <row r="601" spans="3:21" x14ac:dyDescent="0.35">
      <c r="C601" s="226"/>
      <c r="E601" s="226"/>
      <c r="G601" s="226"/>
      <c r="I601" s="226"/>
      <c r="J601" s="226"/>
      <c r="P601" s="226"/>
      <c r="Q601" s="226"/>
      <c r="R601" s="226"/>
      <c r="S601" s="226"/>
      <c r="T601" s="226"/>
      <c r="U601" s="226"/>
    </row>
    <row r="602" spans="3:21" x14ac:dyDescent="0.35">
      <c r="C602" s="226"/>
      <c r="E602" s="226"/>
      <c r="G602" s="226"/>
      <c r="I602" s="226"/>
      <c r="J602" s="226"/>
      <c r="P602" s="226"/>
      <c r="Q602" s="226"/>
      <c r="R602" s="226"/>
      <c r="S602" s="226"/>
      <c r="T602" s="226"/>
      <c r="U602" s="226"/>
    </row>
    <row r="603" spans="3:21" x14ac:dyDescent="0.35">
      <c r="C603" s="226"/>
      <c r="E603" s="226"/>
      <c r="G603" s="226"/>
      <c r="I603" s="226"/>
      <c r="J603" s="226"/>
      <c r="P603" s="226"/>
      <c r="Q603" s="226"/>
      <c r="R603" s="226"/>
      <c r="S603" s="226"/>
      <c r="T603" s="226"/>
      <c r="U603" s="226"/>
    </row>
    <row r="604" spans="3:21" x14ac:dyDescent="0.35">
      <c r="C604" s="226"/>
      <c r="E604" s="226"/>
      <c r="G604" s="226"/>
      <c r="I604" s="226"/>
      <c r="J604" s="226"/>
      <c r="P604" s="226"/>
      <c r="Q604" s="226"/>
      <c r="R604" s="226"/>
      <c r="S604" s="226"/>
      <c r="T604" s="226"/>
      <c r="U604" s="226"/>
    </row>
    <row r="605" spans="3:21" x14ac:dyDescent="0.35">
      <c r="C605" s="226"/>
      <c r="E605" s="226"/>
      <c r="G605" s="226"/>
      <c r="I605" s="226"/>
      <c r="J605" s="226"/>
      <c r="P605" s="226"/>
      <c r="Q605" s="226"/>
      <c r="R605" s="226"/>
      <c r="S605" s="226"/>
      <c r="T605" s="226"/>
      <c r="U605" s="226"/>
    </row>
    <row r="606" spans="3:21" x14ac:dyDescent="0.35">
      <c r="C606" s="226"/>
      <c r="E606" s="226"/>
      <c r="G606" s="226"/>
      <c r="I606" s="226"/>
      <c r="J606" s="226"/>
      <c r="P606" s="226"/>
      <c r="Q606" s="226"/>
      <c r="R606" s="226"/>
      <c r="S606" s="226"/>
      <c r="T606" s="226"/>
      <c r="U606" s="226"/>
    </row>
    <row r="607" spans="3:21" x14ac:dyDescent="0.35">
      <c r="C607" s="226"/>
      <c r="E607" s="226"/>
      <c r="G607" s="226"/>
      <c r="I607" s="226"/>
      <c r="J607" s="226"/>
      <c r="P607" s="226"/>
      <c r="Q607" s="226"/>
      <c r="R607" s="226"/>
      <c r="S607" s="226"/>
      <c r="T607" s="226"/>
      <c r="U607" s="226"/>
    </row>
    <row r="608" spans="3:21" x14ac:dyDescent="0.35">
      <c r="C608" s="226"/>
      <c r="E608" s="226"/>
      <c r="G608" s="226"/>
      <c r="I608" s="226"/>
      <c r="J608" s="226"/>
      <c r="P608" s="226"/>
      <c r="Q608" s="226"/>
      <c r="R608" s="226"/>
      <c r="S608" s="226"/>
      <c r="T608" s="226"/>
      <c r="U608" s="226"/>
    </row>
    <row r="609" spans="3:21" x14ac:dyDescent="0.35">
      <c r="C609" s="226"/>
      <c r="E609" s="226"/>
      <c r="G609" s="226"/>
      <c r="I609" s="226"/>
      <c r="J609" s="226"/>
      <c r="P609" s="226"/>
      <c r="Q609" s="226"/>
      <c r="R609" s="226"/>
      <c r="S609" s="226"/>
      <c r="T609" s="226"/>
      <c r="U609" s="226"/>
    </row>
    <row r="610" spans="3:21" x14ac:dyDescent="0.35">
      <c r="C610" s="226"/>
      <c r="E610" s="226"/>
      <c r="G610" s="226"/>
      <c r="I610" s="226"/>
      <c r="J610" s="226"/>
      <c r="P610" s="226"/>
      <c r="Q610" s="226"/>
      <c r="R610" s="226"/>
      <c r="S610" s="226"/>
      <c r="T610" s="226"/>
      <c r="U610" s="226"/>
    </row>
    <row r="611" spans="3:21" x14ac:dyDescent="0.35">
      <c r="C611" s="226"/>
      <c r="E611" s="226"/>
      <c r="G611" s="226"/>
      <c r="I611" s="226"/>
      <c r="J611" s="226"/>
      <c r="P611" s="226"/>
      <c r="Q611" s="226"/>
      <c r="R611" s="226"/>
      <c r="S611" s="226"/>
      <c r="T611" s="226"/>
      <c r="U611" s="226"/>
    </row>
    <row r="612" spans="3:21" x14ac:dyDescent="0.35">
      <c r="C612" s="226"/>
      <c r="E612" s="226"/>
      <c r="G612" s="226"/>
      <c r="I612" s="226"/>
      <c r="J612" s="226"/>
      <c r="P612" s="226"/>
      <c r="Q612" s="226"/>
      <c r="R612" s="226"/>
      <c r="S612" s="226"/>
      <c r="T612" s="226"/>
      <c r="U612" s="226"/>
    </row>
    <row r="613" spans="3:21" x14ac:dyDescent="0.35">
      <c r="C613" s="226"/>
      <c r="E613" s="226"/>
      <c r="G613" s="226"/>
      <c r="I613" s="226"/>
      <c r="J613" s="226"/>
      <c r="P613" s="226"/>
      <c r="Q613" s="226"/>
      <c r="R613" s="226"/>
      <c r="S613" s="226"/>
      <c r="T613" s="226"/>
      <c r="U613" s="226"/>
    </row>
    <row r="614" spans="3:21" x14ac:dyDescent="0.35">
      <c r="C614" s="226"/>
      <c r="E614" s="226"/>
      <c r="G614" s="226"/>
      <c r="I614" s="226"/>
      <c r="J614" s="226"/>
      <c r="P614" s="226"/>
      <c r="Q614" s="226"/>
      <c r="R614" s="226"/>
      <c r="S614" s="226"/>
      <c r="T614" s="226"/>
      <c r="U614" s="226"/>
    </row>
    <row r="615" spans="3:21" x14ac:dyDescent="0.35">
      <c r="C615" s="226"/>
      <c r="E615" s="226"/>
      <c r="G615" s="226"/>
      <c r="I615" s="226"/>
      <c r="J615" s="226"/>
      <c r="P615" s="226"/>
      <c r="Q615" s="226"/>
      <c r="R615" s="226"/>
      <c r="S615" s="226"/>
      <c r="T615" s="226"/>
      <c r="U615" s="226"/>
    </row>
    <row r="616" spans="3:21" x14ac:dyDescent="0.35">
      <c r="C616" s="226"/>
      <c r="E616" s="226"/>
      <c r="G616" s="226"/>
      <c r="I616" s="226"/>
      <c r="J616" s="226"/>
      <c r="P616" s="226"/>
      <c r="Q616" s="226"/>
      <c r="R616" s="226"/>
      <c r="S616" s="226"/>
      <c r="T616" s="226"/>
      <c r="U616" s="226"/>
    </row>
    <row r="617" spans="3:21" x14ac:dyDescent="0.35">
      <c r="C617" s="226"/>
      <c r="E617" s="226"/>
      <c r="G617" s="226"/>
      <c r="I617" s="226"/>
      <c r="J617" s="226"/>
      <c r="P617" s="226"/>
      <c r="Q617" s="226"/>
      <c r="R617" s="226"/>
      <c r="S617" s="226"/>
      <c r="T617" s="226"/>
      <c r="U617" s="226"/>
    </row>
    <row r="618" spans="3:21" x14ac:dyDescent="0.35">
      <c r="C618" s="226"/>
      <c r="E618" s="226"/>
      <c r="G618" s="226"/>
      <c r="I618" s="226"/>
      <c r="J618" s="226"/>
      <c r="P618" s="226"/>
      <c r="Q618" s="226"/>
      <c r="R618" s="226"/>
      <c r="S618" s="226"/>
      <c r="T618" s="226"/>
      <c r="U618" s="226"/>
    </row>
    <row r="619" spans="3:21" x14ac:dyDescent="0.35">
      <c r="C619" s="226"/>
      <c r="E619" s="226"/>
      <c r="G619" s="226"/>
      <c r="I619" s="226"/>
      <c r="J619" s="226"/>
      <c r="P619" s="226"/>
      <c r="Q619" s="226"/>
      <c r="R619" s="226"/>
      <c r="S619" s="226"/>
      <c r="T619" s="226"/>
      <c r="U619" s="226"/>
    </row>
    <row r="620" spans="3:21" x14ac:dyDescent="0.35">
      <c r="C620" s="226"/>
      <c r="E620" s="226"/>
      <c r="G620" s="226"/>
      <c r="I620" s="226"/>
      <c r="J620" s="226"/>
      <c r="P620" s="226"/>
      <c r="Q620" s="226"/>
      <c r="R620" s="226"/>
      <c r="S620" s="226"/>
      <c r="T620" s="226"/>
      <c r="U620" s="226"/>
    </row>
    <row r="621" spans="3:21" x14ac:dyDescent="0.35">
      <c r="C621" s="226"/>
      <c r="E621" s="226"/>
      <c r="G621" s="226"/>
      <c r="I621" s="226"/>
      <c r="J621" s="226"/>
      <c r="P621" s="226"/>
      <c r="Q621" s="226"/>
      <c r="R621" s="226"/>
      <c r="S621" s="226"/>
      <c r="T621" s="226"/>
      <c r="U621" s="226"/>
    </row>
    <row r="622" spans="3:21" x14ac:dyDescent="0.35">
      <c r="C622" s="226"/>
      <c r="E622" s="226"/>
      <c r="G622" s="226"/>
      <c r="I622" s="226"/>
      <c r="J622" s="226"/>
      <c r="P622" s="226"/>
      <c r="Q622" s="226"/>
      <c r="R622" s="226"/>
      <c r="S622" s="226"/>
      <c r="T622" s="226"/>
      <c r="U622" s="226"/>
    </row>
    <row r="623" spans="3:21" x14ac:dyDescent="0.35">
      <c r="C623" s="226"/>
      <c r="E623" s="226"/>
      <c r="G623" s="226"/>
      <c r="I623" s="226"/>
      <c r="J623" s="226"/>
      <c r="P623" s="226"/>
      <c r="Q623" s="226"/>
      <c r="R623" s="226"/>
      <c r="S623" s="226"/>
      <c r="T623" s="226"/>
      <c r="U623" s="226"/>
    </row>
    <row r="624" spans="3:21" x14ac:dyDescent="0.35">
      <c r="C624" s="226"/>
      <c r="E624" s="226"/>
      <c r="G624" s="226"/>
      <c r="I624" s="226"/>
      <c r="J624" s="226"/>
      <c r="P624" s="226"/>
      <c r="Q624" s="226"/>
      <c r="R624" s="226"/>
      <c r="S624" s="226"/>
      <c r="T624" s="226"/>
      <c r="U624" s="226"/>
    </row>
    <row r="625" spans="3:21" x14ac:dyDescent="0.35">
      <c r="C625" s="226"/>
      <c r="E625" s="226"/>
      <c r="G625" s="226"/>
      <c r="I625" s="226"/>
      <c r="J625" s="226"/>
      <c r="P625" s="226"/>
      <c r="Q625" s="226"/>
      <c r="R625" s="226"/>
      <c r="S625" s="226"/>
      <c r="T625" s="226"/>
      <c r="U625" s="226"/>
    </row>
    <row r="626" spans="3:21" x14ac:dyDescent="0.35">
      <c r="C626" s="226"/>
      <c r="E626" s="226"/>
      <c r="G626" s="226"/>
      <c r="I626" s="226"/>
      <c r="J626" s="226"/>
      <c r="P626" s="226"/>
      <c r="Q626" s="226"/>
      <c r="R626" s="226"/>
      <c r="S626" s="226"/>
      <c r="T626" s="226"/>
      <c r="U626" s="226"/>
    </row>
    <row r="627" spans="3:21" x14ac:dyDescent="0.35">
      <c r="C627" s="226"/>
      <c r="E627" s="226"/>
      <c r="G627" s="226"/>
      <c r="I627" s="226"/>
      <c r="J627" s="226"/>
      <c r="P627" s="226"/>
      <c r="Q627" s="226"/>
      <c r="R627" s="226"/>
      <c r="S627" s="226"/>
      <c r="T627" s="226"/>
      <c r="U627" s="226"/>
    </row>
    <row r="628" spans="3:21" x14ac:dyDescent="0.35">
      <c r="C628" s="226"/>
      <c r="E628" s="226"/>
      <c r="G628" s="226"/>
      <c r="I628" s="226"/>
      <c r="J628" s="226"/>
      <c r="P628" s="226"/>
      <c r="Q628" s="226"/>
      <c r="R628" s="226"/>
      <c r="S628" s="226"/>
      <c r="T628" s="226"/>
      <c r="U628" s="226"/>
    </row>
    <row r="629" spans="3:21" x14ac:dyDescent="0.35">
      <c r="C629" s="226"/>
      <c r="E629" s="226"/>
      <c r="G629" s="226"/>
      <c r="I629" s="226"/>
      <c r="J629" s="226"/>
      <c r="P629" s="226"/>
      <c r="Q629" s="226"/>
      <c r="R629" s="226"/>
      <c r="S629" s="226"/>
      <c r="T629" s="226"/>
      <c r="U629" s="226"/>
    </row>
    <row r="630" spans="3:21" x14ac:dyDescent="0.35">
      <c r="C630" s="226"/>
      <c r="E630" s="226"/>
      <c r="G630" s="226"/>
      <c r="I630" s="226"/>
      <c r="J630" s="226"/>
      <c r="P630" s="226"/>
      <c r="Q630" s="226"/>
      <c r="R630" s="226"/>
      <c r="S630" s="226"/>
      <c r="T630" s="226"/>
      <c r="U630" s="226"/>
    </row>
    <row r="631" spans="3:21" x14ac:dyDescent="0.35">
      <c r="C631" s="226"/>
      <c r="E631" s="226"/>
      <c r="G631" s="226"/>
      <c r="I631" s="226"/>
      <c r="J631" s="226"/>
      <c r="P631" s="226"/>
      <c r="Q631" s="226"/>
      <c r="R631" s="226"/>
      <c r="S631" s="226"/>
      <c r="T631" s="226"/>
      <c r="U631" s="226"/>
    </row>
    <row r="632" spans="3:21" x14ac:dyDescent="0.35">
      <c r="C632" s="226"/>
      <c r="E632" s="226"/>
      <c r="G632" s="226"/>
      <c r="I632" s="226"/>
      <c r="J632" s="226"/>
      <c r="P632" s="226"/>
      <c r="Q632" s="226"/>
      <c r="R632" s="226"/>
      <c r="S632" s="226"/>
      <c r="T632" s="226"/>
      <c r="U632" s="226"/>
    </row>
    <row r="633" spans="3:21" x14ac:dyDescent="0.35">
      <c r="C633" s="226"/>
      <c r="E633" s="226"/>
      <c r="G633" s="226"/>
      <c r="I633" s="226"/>
      <c r="J633" s="226"/>
      <c r="P633" s="226"/>
      <c r="Q633" s="226"/>
      <c r="R633" s="226"/>
      <c r="S633" s="226"/>
      <c r="T633" s="226"/>
      <c r="U633" s="226"/>
    </row>
    <row r="634" spans="3:21" x14ac:dyDescent="0.35">
      <c r="C634" s="226"/>
      <c r="E634" s="226"/>
      <c r="G634" s="226"/>
      <c r="I634" s="226"/>
      <c r="J634" s="226"/>
      <c r="P634" s="226"/>
      <c r="Q634" s="226"/>
      <c r="R634" s="226"/>
      <c r="S634" s="226"/>
      <c r="T634" s="226"/>
      <c r="U634" s="226"/>
    </row>
    <row r="635" spans="3:21" x14ac:dyDescent="0.35">
      <c r="C635" s="226"/>
      <c r="E635" s="226"/>
      <c r="G635" s="226"/>
      <c r="I635" s="226"/>
      <c r="J635" s="226"/>
      <c r="P635" s="226"/>
      <c r="Q635" s="226"/>
      <c r="R635" s="226"/>
      <c r="S635" s="226"/>
      <c r="T635" s="226"/>
      <c r="U635" s="226"/>
    </row>
    <row r="636" spans="3:21" x14ac:dyDescent="0.35">
      <c r="C636" s="226"/>
      <c r="E636" s="226"/>
      <c r="G636" s="226"/>
      <c r="I636" s="226"/>
      <c r="J636" s="226"/>
      <c r="P636" s="226"/>
      <c r="Q636" s="226"/>
      <c r="R636" s="226"/>
      <c r="S636" s="226"/>
      <c r="T636" s="226"/>
      <c r="U636" s="226"/>
    </row>
    <row r="637" spans="3:21" x14ac:dyDescent="0.35">
      <c r="C637" s="226"/>
      <c r="E637" s="226"/>
      <c r="G637" s="226"/>
      <c r="I637" s="226"/>
      <c r="J637" s="226"/>
      <c r="P637" s="226"/>
      <c r="Q637" s="226"/>
      <c r="R637" s="226"/>
      <c r="S637" s="226"/>
      <c r="T637" s="226"/>
      <c r="U637" s="226"/>
    </row>
    <row r="638" spans="3:21" x14ac:dyDescent="0.35">
      <c r="C638" s="226"/>
      <c r="E638" s="226"/>
      <c r="G638" s="226"/>
      <c r="I638" s="226"/>
      <c r="J638" s="226"/>
      <c r="P638" s="226"/>
      <c r="Q638" s="226"/>
      <c r="R638" s="226"/>
      <c r="S638" s="226"/>
      <c r="T638" s="226"/>
      <c r="U638" s="226"/>
    </row>
    <row r="639" spans="3:21" x14ac:dyDescent="0.35">
      <c r="C639" s="226"/>
      <c r="E639" s="226"/>
      <c r="G639" s="226"/>
      <c r="I639" s="226"/>
      <c r="J639" s="226"/>
      <c r="P639" s="226"/>
      <c r="Q639" s="226"/>
      <c r="R639" s="226"/>
      <c r="S639" s="226"/>
      <c r="T639" s="226"/>
      <c r="U639" s="226"/>
    </row>
    <row r="640" spans="3:21" x14ac:dyDescent="0.35">
      <c r="C640" s="226"/>
      <c r="E640" s="226"/>
      <c r="G640" s="226"/>
      <c r="I640" s="226"/>
      <c r="J640" s="226"/>
      <c r="P640" s="226"/>
      <c r="Q640" s="226"/>
      <c r="R640" s="226"/>
      <c r="S640" s="226"/>
      <c r="T640" s="226"/>
      <c r="U640" s="226"/>
    </row>
    <row r="641" spans="3:21" x14ac:dyDescent="0.35">
      <c r="C641" s="226"/>
      <c r="E641" s="226"/>
      <c r="G641" s="226"/>
      <c r="I641" s="226"/>
      <c r="J641" s="226"/>
      <c r="P641" s="226"/>
      <c r="Q641" s="226"/>
      <c r="R641" s="226"/>
      <c r="S641" s="226"/>
      <c r="T641" s="226"/>
      <c r="U641" s="226"/>
    </row>
    <row r="642" spans="3:21" x14ac:dyDescent="0.35">
      <c r="C642" s="226"/>
      <c r="E642" s="226"/>
      <c r="G642" s="226"/>
      <c r="I642" s="226"/>
      <c r="J642" s="226"/>
      <c r="P642" s="226"/>
      <c r="Q642" s="226"/>
      <c r="R642" s="226"/>
      <c r="S642" s="226"/>
      <c r="T642" s="226"/>
      <c r="U642" s="226"/>
    </row>
    <row r="643" spans="3:21" x14ac:dyDescent="0.35">
      <c r="C643" s="226"/>
      <c r="E643" s="226"/>
      <c r="G643" s="226"/>
      <c r="I643" s="226"/>
      <c r="J643" s="226"/>
      <c r="P643" s="226"/>
      <c r="Q643" s="226"/>
      <c r="R643" s="226"/>
      <c r="S643" s="226"/>
      <c r="T643" s="226"/>
      <c r="U643" s="226"/>
    </row>
    <row r="644" spans="3:21" x14ac:dyDescent="0.35">
      <c r="C644" s="226"/>
      <c r="E644" s="226"/>
      <c r="G644" s="226"/>
      <c r="I644" s="226"/>
      <c r="J644" s="226"/>
      <c r="P644" s="226"/>
      <c r="Q644" s="226"/>
      <c r="R644" s="226"/>
      <c r="S644" s="226"/>
      <c r="T644" s="226"/>
      <c r="U644" s="226"/>
    </row>
    <row r="645" spans="3:21" x14ac:dyDescent="0.35">
      <c r="C645" s="226"/>
      <c r="E645" s="226"/>
      <c r="G645" s="226"/>
      <c r="I645" s="226"/>
      <c r="J645" s="226"/>
      <c r="P645" s="226"/>
      <c r="Q645" s="226"/>
      <c r="R645" s="226"/>
      <c r="S645" s="226"/>
      <c r="T645" s="226"/>
      <c r="U645" s="226"/>
    </row>
    <row r="646" spans="3:21" x14ac:dyDescent="0.35">
      <c r="C646" s="226"/>
      <c r="E646" s="226"/>
      <c r="G646" s="226"/>
      <c r="I646" s="226"/>
      <c r="J646" s="226"/>
      <c r="P646" s="226"/>
      <c r="Q646" s="226"/>
      <c r="R646" s="226"/>
      <c r="S646" s="226"/>
      <c r="T646" s="226"/>
      <c r="U646" s="226"/>
    </row>
    <row r="647" spans="3:21" x14ac:dyDescent="0.35">
      <c r="C647" s="226"/>
      <c r="E647" s="226"/>
      <c r="G647" s="226"/>
      <c r="I647" s="226"/>
      <c r="J647" s="226"/>
      <c r="P647" s="226"/>
      <c r="Q647" s="226"/>
      <c r="R647" s="226"/>
      <c r="S647" s="226"/>
      <c r="T647" s="226"/>
      <c r="U647" s="226"/>
    </row>
    <row r="648" spans="3:21" x14ac:dyDescent="0.35">
      <c r="C648" s="226"/>
      <c r="E648" s="226"/>
      <c r="G648" s="226"/>
      <c r="I648" s="226"/>
      <c r="J648" s="226"/>
      <c r="P648" s="226"/>
      <c r="Q648" s="226"/>
      <c r="R648" s="226"/>
      <c r="S648" s="226"/>
      <c r="T648" s="226"/>
      <c r="U648" s="226"/>
    </row>
    <row r="649" spans="3:21" x14ac:dyDescent="0.35">
      <c r="C649" s="226"/>
      <c r="E649" s="226"/>
      <c r="G649" s="226"/>
      <c r="I649" s="226"/>
      <c r="J649" s="226"/>
      <c r="P649" s="226"/>
      <c r="Q649" s="226"/>
      <c r="R649" s="226"/>
      <c r="S649" s="226"/>
      <c r="T649" s="226"/>
      <c r="U649" s="226"/>
    </row>
    <row r="650" spans="3:21" x14ac:dyDescent="0.35">
      <c r="C650" s="226"/>
      <c r="E650" s="226"/>
      <c r="G650" s="226"/>
      <c r="I650" s="226"/>
      <c r="J650" s="226"/>
      <c r="P650" s="226"/>
      <c r="Q650" s="226"/>
      <c r="R650" s="226"/>
      <c r="S650" s="226"/>
      <c r="T650" s="226"/>
      <c r="U650" s="226"/>
    </row>
    <row r="651" spans="3:21" x14ac:dyDescent="0.35">
      <c r="C651" s="226"/>
      <c r="E651" s="226"/>
      <c r="G651" s="226"/>
      <c r="I651" s="226"/>
      <c r="J651" s="226"/>
      <c r="P651" s="226"/>
      <c r="Q651" s="226"/>
      <c r="R651" s="226"/>
      <c r="S651" s="226"/>
      <c r="T651" s="226"/>
      <c r="U651" s="226"/>
    </row>
    <row r="652" spans="3:21" x14ac:dyDescent="0.35">
      <c r="C652" s="226"/>
      <c r="E652" s="226"/>
      <c r="G652" s="226"/>
      <c r="I652" s="226"/>
      <c r="J652" s="226"/>
      <c r="P652" s="226"/>
      <c r="Q652" s="226"/>
      <c r="R652" s="226"/>
      <c r="S652" s="226"/>
      <c r="T652" s="226"/>
      <c r="U652" s="226"/>
    </row>
    <row r="653" spans="3:21" x14ac:dyDescent="0.35">
      <c r="C653" s="226"/>
      <c r="E653" s="226"/>
      <c r="G653" s="226"/>
      <c r="I653" s="226"/>
      <c r="J653" s="226"/>
      <c r="P653" s="226"/>
      <c r="Q653" s="226"/>
      <c r="R653" s="226"/>
      <c r="S653" s="226"/>
      <c r="T653" s="226"/>
      <c r="U653" s="226"/>
    </row>
    <row r="654" spans="3:21" x14ac:dyDescent="0.35">
      <c r="C654" s="226"/>
      <c r="E654" s="226"/>
      <c r="G654" s="226"/>
      <c r="I654" s="226"/>
      <c r="J654" s="226"/>
      <c r="P654" s="226"/>
      <c r="Q654" s="226"/>
      <c r="R654" s="226"/>
      <c r="S654" s="226"/>
      <c r="T654" s="226"/>
      <c r="U654" s="226"/>
    </row>
    <row r="655" spans="3:21" x14ac:dyDescent="0.35">
      <c r="C655" s="226"/>
      <c r="E655" s="226"/>
      <c r="G655" s="226"/>
      <c r="I655" s="226"/>
      <c r="J655" s="226"/>
      <c r="P655" s="226"/>
      <c r="Q655" s="226"/>
      <c r="R655" s="226"/>
      <c r="S655" s="226"/>
      <c r="T655" s="226"/>
      <c r="U655" s="226"/>
    </row>
    <row r="656" spans="3:21" x14ac:dyDescent="0.35">
      <c r="C656" s="226"/>
      <c r="E656" s="226"/>
      <c r="G656" s="226"/>
      <c r="I656" s="226"/>
      <c r="J656" s="226"/>
      <c r="P656" s="226"/>
      <c r="Q656" s="226"/>
      <c r="R656" s="226"/>
      <c r="S656" s="226"/>
      <c r="T656" s="226"/>
      <c r="U656" s="226"/>
    </row>
    <row r="657" spans="3:21" x14ac:dyDescent="0.35">
      <c r="C657" s="226"/>
      <c r="E657" s="226"/>
      <c r="G657" s="226"/>
      <c r="I657" s="226"/>
      <c r="J657" s="226"/>
      <c r="P657" s="226"/>
      <c r="Q657" s="226"/>
      <c r="R657" s="226"/>
      <c r="S657" s="226"/>
      <c r="T657" s="226"/>
      <c r="U657" s="226"/>
    </row>
    <row r="658" spans="3:21" x14ac:dyDescent="0.35">
      <c r="C658" s="226"/>
      <c r="E658" s="226"/>
      <c r="G658" s="226"/>
      <c r="I658" s="226"/>
      <c r="J658" s="226"/>
      <c r="P658" s="226"/>
      <c r="Q658" s="226"/>
      <c r="R658" s="226"/>
      <c r="S658" s="226"/>
      <c r="T658" s="226"/>
      <c r="U658" s="226"/>
    </row>
    <row r="659" spans="3:21" x14ac:dyDescent="0.35">
      <c r="C659" s="226"/>
      <c r="E659" s="226"/>
      <c r="G659" s="226"/>
      <c r="I659" s="226"/>
      <c r="J659" s="226"/>
      <c r="P659" s="226"/>
      <c r="Q659" s="226"/>
      <c r="R659" s="226"/>
      <c r="S659" s="226"/>
      <c r="T659" s="226"/>
      <c r="U659" s="226"/>
    </row>
    <row r="660" spans="3:21" x14ac:dyDescent="0.35">
      <c r="C660" s="226"/>
      <c r="E660" s="226"/>
      <c r="G660" s="226"/>
      <c r="I660" s="226"/>
      <c r="J660" s="226"/>
      <c r="P660" s="226"/>
      <c r="Q660" s="226"/>
      <c r="R660" s="226"/>
      <c r="S660" s="226"/>
      <c r="T660" s="226"/>
      <c r="U660" s="226"/>
    </row>
    <row r="661" spans="3:21" x14ac:dyDescent="0.35">
      <c r="C661" s="226"/>
      <c r="E661" s="226"/>
      <c r="G661" s="226"/>
      <c r="I661" s="226"/>
      <c r="J661" s="226"/>
      <c r="P661" s="226"/>
      <c r="Q661" s="226"/>
      <c r="R661" s="226"/>
      <c r="S661" s="226"/>
      <c r="T661" s="226"/>
      <c r="U661" s="226"/>
    </row>
    <row r="662" spans="3:21" x14ac:dyDescent="0.35">
      <c r="C662" s="226"/>
      <c r="E662" s="226"/>
      <c r="G662" s="226"/>
      <c r="I662" s="226"/>
      <c r="J662" s="226"/>
      <c r="P662" s="226"/>
      <c r="Q662" s="226"/>
      <c r="R662" s="226"/>
      <c r="S662" s="226"/>
      <c r="T662" s="226"/>
      <c r="U662" s="226"/>
    </row>
    <row r="663" spans="3:21" x14ac:dyDescent="0.35">
      <c r="C663" s="226"/>
      <c r="E663" s="226"/>
      <c r="G663" s="226"/>
      <c r="I663" s="226"/>
      <c r="J663" s="226"/>
      <c r="P663" s="226"/>
      <c r="Q663" s="226"/>
      <c r="R663" s="226"/>
      <c r="S663" s="226"/>
      <c r="T663" s="226"/>
      <c r="U663" s="226"/>
    </row>
    <row r="664" spans="3:21" x14ac:dyDescent="0.35">
      <c r="C664" s="226"/>
      <c r="E664" s="226"/>
      <c r="G664" s="226"/>
      <c r="I664" s="226"/>
      <c r="J664" s="226"/>
      <c r="P664" s="226"/>
      <c r="Q664" s="226"/>
      <c r="R664" s="226"/>
      <c r="S664" s="226"/>
      <c r="T664" s="226"/>
      <c r="U664" s="226"/>
    </row>
    <row r="665" spans="3:21" x14ac:dyDescent="0.35">
      <c r="C665" s="226"/>
      <c r="E665" s="226"/>
      <c r="G665" s="226"/>
      <c r="I665" s="226"/>
      <c r="J665" s="226"/>
      <c r="P665" s="226"/>
      <c r="Q665" s="226"/>
      <c r="R665" s="226"/>
      <c r="S665" s="226"/>
      <c r="T665" s="226"/>
      <c r="U665" s="226"/>
    </row>
    <row r="666" spans="3:21" x14ac:dyDescent="0.35">
      <c r="C666" s="226"/>
      <c r="E666" s="226"/>
      <c r="G666" s="226"/>
      <c r="I666" s="226"/>
      <c r="J666" s="226"/>
      <c r="P666" s="226"/>
      <c r="Q666" s="226"/>
      <c r="R666" s="226"/>
      <c r="S666" s="226"/>
      <c r="T666" s="226"/>
      <c r="U666" s="226"/>
    </row>
    <row r="667" spans="3:21" x14ac:dyDescent="0.35">
      <c r="C667" s="226"/>
      <c r="E667" s="226"/>
      <c r="G667" s="226"/>
      <c r="I667" s="226"/>
      <c r="J667" s="226"/>
      <c r="P667" s="226"/>
      <c r="Q667" s="226"/>
      <c r="R667" s="226"/>
      <c r="S667" s="226"/>
      <c r="T667" s="226"/>
      <c r="U667" s="226"/>
    </row>
    <row r="668" spans="3:21" x14ac:dyDescent="0.35">
      <c r="C668" s="226"/>
      <c r="E668" s="226"/>
      <c r="G668" s="226"/>
      <c r="I668" s="226"/>
      <c r="J668" s="226"/>
      <c r="P668" s="226"/>
      <c r="Q668" s="226"/>
      <c r="R668" s="226"/>
      <c r="S668" s="226"/>
      <c r="T668" s="226"/>
      <c r="U668" s="226"/>
    </row>
    <row r="669" spans="3:21" x14ac:dyDescent="0.35">
      <c r="C669" s="226"/>
      <c r="E669" s="226"/>
      <c r="G669" s="226"/>
      <c r="I669" s="226"/>
      <c r="J669" s="226"/>
      <c r="P669" s="226"/>
      <c r="Q669" s="226"/>
      <c r="R669" s="226"/>
      <c r="S669" s="226"/>
      <c r="T669" s="226"/>
      <c r="U669" s="226"/>
    </row>
    <row r="670" spans="3:21" x14ac:dyDescent="0.35">
      <c r="C670" s="226"/>
      <c r="E670" s="226"/>
      <c r="G670" s="226"/>
      <c r="I670" s="226"/>
      <c r="J670" s="226"/>
      <c r="P670" s="226"/>
      <c r="Q670" s="226"/>
      <c r="R670" s="226"/>
      <c r="S670" s="226"/>
      <c r="T670" s="226"/>
      <c r="U670" s="226"/>
    </row>
    <row r="671" spans="3:21" x14ac:dyDescent="0.35">
      <c r="C671" s="226"/>
      <c r="E671" s="226"/>
      <c r="G671" s="226"/>
      <c r="I671" s="226"/>
      <c r="J671" s="226"/>
      <c r="P671" s="226"/>
      <c r="Q671" s="226"/>
      <c r="R671" s="226"/>
      <c r="S671" s="226"/>
      <c r="T671" s="226"/>
      <c r="U671" s="226"/>
    </row>
    <row r="672" spans="3:21" x14ac:dyDescent="0.35">
      <c r="C672" s="226"/>
      <c r="E672" s="226"/>
      <c r="G672" s="226"/>
      <c r="I672" s="226"/>
      <c r="J672" s="226"/>
      <c r="P672" s="226"/>
      <c r="Q672" s="226"/>
      <c r="R672" s="226"/>
      <c r="S672" s="226"/>
      <c r="T672" s="226"/>
      <c r="U672" s="226"/>
    </row>
    <row r="673" spans="3:21" x14ac:dyDescent="0.35">
      <c r="C673" s="226"/>
      <c r="E673" s="226"/>
      <c r="G673" s="226"/>
      <c r="I673" s="226"/>
      <c r="J673" s="226"/>
      <c r="P673" s="226"/>
      <c r="Q673" s="226"/>
      <c r="R673" s="226"/>
      <c r="S673" s="226"/>
      <c r="T673" s="226"/>
      <c r="U673" s="226"/>
    </row>
    <row r="674" spans="3:21" x14ac:dyDescent="0.35">
      <c r="C674" s="226"/>
      <c r="E674" s="226"/>
      <c r="G674" s="226"/>
      <c r="I674" s="226"/>
      <c r="J674" s="226"/>
      <c r="P674" s="226"/>
      <c r="Q674" s="226"/>
      <c r="R674" s="226"/>
      <c r="S674" s="226"/>
      <c r="T674" s="226"/>
      <c r="U674" s="226"/>
    </row>
    <row r="675" spans="3:21" x14ac:dyDescent="0.35">
      <c r="C675" s="226"/>
      <c r="E675" s="226"/>
      <c r="G675" s="226"/>
      <c r="I675" s="226"/>
      <c r="J675" s="226"/>
      <c r="P675" s="226"/>
      <c r="Q675" s="226"/>
      <c r="R675" s="226"/>
      <c r="S675" s="226"/>
      <c r="T675" s="226"/>
      <c r="U675" s="226"/>
    </row>
    <row r="676" spans="3:21" x14ac:dyDescent="0.35">
      <c r="C676" s="226"/>
      <c r="E676" s="226"/>
      <c r="G676" s="226"/>
      <c r="I676" s="226"/>
      <c r="J676" s="226"/>
      <c r="P676" s="226"/>
      <c r="Q676" s="226"/>
      <c r="R676" s="226"/>
      <c r="S676" s="226"/>
      <c r="T676" s="226"/>
      <c r="U676" s="226"/>
    </row>
    <row r="677" spans="3:21" x14ac:dyDescent="0.35">
      <c r="C677" s="226"/>
      <c r="E677" s="226"/>
      <c r="G677" s="226"/>
      <c r="I677" s="226"/>
      <c r="J677" s="226"/>
      <c r="P677" s="226"/>
      <c r="Q677" s="226"/>
      <c r="R677" s="226"/>
      <c r="S677" s="226"/>
      <c r="T677" s="226"/>
      <c r="U677" s="226"/>
    </row>
    <row r="678" spans="3:21" x14ac:dyDescent="0.35">
      <c r="C678" s="226"/>
      <c r="E678" s="226"/>
      <c r="G678" s="226"/>
      <c r="I678" s="226"/>
      <c r="J678" s="226"/>
      <c r="P678" s="226"/>
      <c r="Q678" s="226"/>
      <c r="R678" s="226"/>
      <c r="S678" s="226"/>
      <c r="T678" s="226"/>
      <c r="U678" s="226"/>
    </row>
    <row r="679" spans="3:21" x14ac:dyDescent="0.35">
      <c r="C679" s="226"/>
      <c r="E679" s="226"/>
      <c r="G679" s="226"/>
      <c r="I679" s="226"/>
      <c r="J679" s="226"/>
      <c r="P679" s="226"/>
      <c r="Q679" s="226"/>
      <c r="R679" s="226"/>
      <c r="S679" s="226"/>
      <c r="T679" s="226"/>
      <c r="U679" s="226"/>
    </row>
    <row r="680" spans="3:21" x14ac:dyDescent="0.35">
      <c r="C680" s="226"/>
      <c r="E680" s="226"/>
      <c r="G680" s="226"/>
      <c r="I680" s="226"/>
      <c r="J680" s="226"/>
      <c r="P680" s="226"/>
      <c r="Q680" s="226"/>
      <c r="R680" s="226"/>
      <c r="S680" s="226"/>
      <c r="T680" s="226"/>
      <c r="U680" s="226"/>
    </row>
    <row r="681" spans="3:21" x14ac:dyDescent="0.35">
      <c r="C681" s="226"/>
      <c r="E681" s="226"/>
      <c r="G681" s="226"/>
      <c r="I681" s="226"/>
      <c r="J681" s="226"/>
      <c r="P681" s="226"/>
      <c r="Q681" s="226"/>
      <c r="R681" s="226"/>
      <c r="S681" s="226"/>
      <c r="T681" s="226"/>
      <c r="U681" s="226"/>
    </row>
    <row r="682" spans="3:21" x14ac:dyDescent="0.35">
      <c r="C682" s="226"/>
      <c r="E682" s="226"/>
      <c r="G682" s="226"/>
      <c r="I682" s="226"/>
      <c r="J682" s="226"/>
      <c r="P682" s="226"/>
      <c r="Q682" s="226"/>
      <c r="R682" s="226"/>
      <c r="S682" s="226"/>
      <c r="T682" s="226"/>
      <c r="U682" s="226"/>
    </row>
    <row r="683" spans="3:21" x14ac:dyDescent="0.35">
      <c r="C683" s="226"/>
      <c r="E683" s="226"/>
      <c r="G683" s="226"/>
      <c r="I683" s="226"/>
      <c r="J683" s="226"/>
      <c r="P683" s="226"/>
      <c r="Q683" s="226"/>
      <c r="R683" s="226"/>
      <c r="S683" s="226"/>
      <c r="T683" s="226"/>
      <c r="U683" s="226"/>
    </row>
    <row r="684" spans="3:21" x14ac:dyDescent="0.35">
      <c r="C684" s="226"/>
      <c r="E684" s="226"/>
      <c r="G684" s="226"/>
      <c r="I684" s="226"/>
      <c r="J684" s="226"/>
      <c r="P684" s="226"/>
      <c r="Q684" s="226"/>
      <c r="R684" s="226"/>
      <c r="S684" s="226"/>
      <c r="T684" s="226"/>
      <c r="U684" s="226"/>
    </row>
    <row r="685" spans="3:21" x14ac:dyDescent="0.35">
      <c r="C685" s="226"/>
      <c r="E685" s="226"/>
      <c r="G685" s="226"/>
      <c r="I685" s="226"/>
      <c r="J685" s="226"/>
      <c r="P685" s="226"/>
      <c r="Q685" s="226"/>
      <c r="R685" s="226"/>
      <c r="S685" s="226"/>
      <c r="T685" s="226"/>
      <c r="U685" s="226"/>
    </row>
    <row r="686" spans="3:21" x14ac:dyDescent="0.35">
      <c r="C686" s="226"/>
      <c r="E686" s="226"/>
      <c r="G686" s="226"/>
      <c r="I686" s="226"/>
      <c r="J686" s="226"/>
      <c r="P686" s="226"/>
      <c r="Q686" s="226"/>
      <c r="R686" s="226"/>
      <c r="S686" s="226"/>
      <c r="T686" s="226"/>
      <c r="U686" s="226"/>
    </row>
    <row r="687" spans="3:21" x14ac:dyDescent="0.35">
      <c r="C687" s="226"/>
      <c r="E687" s="226"/>
      <c r="G687" s="226"/>
      <c r="I687" s="226"/>
      <c r="J687" s="226"/>
      <c r="P687" s="226"/>
      <c r="Q687" s="226"/>
      <c r="R687" s="226"/>
      <c r="S687" s="226"/>
      <c r="T687" s="226"/>
      <c r="U687" s="226"/>
    </row>
    <row r="688" spans="3:21" x14ac:dyDescent="0.35">
      <c r="C688" s="226"/>
      <c r="E688" s="226"/>
      <c r="G688" s="226"/>
      <c r="I688" s="226"/>
      <c r="J688" s="226"/>
      <c r="P688" s="226"/>
      <c r="Q688" s="226"/>
      <c r="R688" s="226"/>
      <c r="S688" s="226"/>
      <c r="T688" s="226"/>
      <c r="U688" s="226"/>
    </row>
    <row r="689" spans="3:21" x14ac:dyDescent="0.35">
      <c r="C689" s="226"/>
      <c r="E689" s="226"/>
      <c r="G689" s="226"/>
      <c r="I689" s="226"/>
      <c r="J689" s="226"/>
      <c r="P689" s="226"/>
      <c r="Q689" s="226"/>
      <c r="R689" s="226"/>
      <c r="S689" s="226"/>
      <c r="T689" s="226"/>
      <c r="U689" s="226"/>
    </row>
    <row r="690" spans="3:21" x14ac:dyDescent="0.35">
      <c r="C690" s="226"/>
      <c r="E690" s="226"/>
      <c r="G690" s="226"/>
      <c r="I690" s="226"/>
      <c r="J690" s="226"/>
      <c r="P690" s="226"/>
      <c r="Q690" s="226"/>
      <c r="R690" s="226"/>
      <c r="S690" s="226"/>
      <c r="T690" s="226"/>
      <c r="U690" s="226"/>
    </row>
    <row r="691" spans="3:21" x14ac:dyDescent="0.35">
      <c r="C691" s="226"/>
      <c r="E691" s="226"/>
      <c r="G691" s="226"/>
      <c r="I691" s="226"/>
      <c r="J691" s="226"/>
      <c r="P691" s="226"/>
      <c r="Q691" s="226"/>
      <c r="R691" s="226"/>
      <c r="S691" s="226"/>
      <c r="T691" s="226"/>
      <c r="U691" s="226"/>
    </row>
    <row r="692" spans="3:21" x14ac:dyDescent="0.35">
      <c r="C692" s="226"/>
      <c r="E692" s="226"/>
      <c r="G692" s="226"/>
      <c r="I692" s="226"/>
      <c r="J692" s="226"/>
      <c r="P692" s="226"/>
      <c r="Q692" s="226"/>
      <c r="R692" s="226"/>
      <c r="S692" s="226"/>
      <c r="T692" s="226"/>
      <c r="U692" s="226"/>
    </row>
    <row r="693" spans="3:21" x14ac:dyDescent="0.35">
      <c r="C693" s="226"/>
      <c r="E693" s="226"/>
      <c r="G693" s="226"/>
      <c r="I693" s="226"/>
      <c r="J693" s="226"/>
      <c r="P693" s="226"/>
      <c r="Q693" s="226"/>
      <c r="R693" s="226"/>
      <c r="S693" s="226"/>
      <c r="T693" s="226"/>
      <c r="U693" s="226"/>
    </row>
    <row r="694" spans="3:21" x14ac:dyDescent="0.35">
      <c r="C694" s="226"/>
      <c r="E694" s="226"/>
      <c r="G694" s="226"/>
      <c r="I694" s="226"/>
      <c r="J694" s="226"/>
      <c r="P694" s="226"/>
      <c r="Q694" s="226"/>
      <c r="R694" s="226"/>
      <c r="S694" s="226"/>
      <c r="T694" s="226"/>
      <c r="U694" s="226"/>
    </row>
    <row r="695" spans="3:21" x14ac:dyDescent="0.35">
      <c r="C695" s="226"/>
      <c r="E695" s="226"/>
      <c r="G695" s="226"/>
      <c r="I695" s="226"/>
      <c r="J695" s="226"/>
      <c r="P695" s="226"/>
      <c r="Q695" s="226"/>
      <c r="R695" s="226"/>
      <c r="S695" s="226"/>
      <c r="T695" s="226"/>
      <c r="U695" s="226"/>
    </row>
    <row r="696" spans="3:21" x14ac:dyDescent="0.35">
      <c r="C696" s="226"/>
      <c r="E696" s="226"/>
      <c r="G696" s="226"/>
      <c r="I696" s="226"/>
      <c r="J696" s="226"/>
      <c r="P696" s="226"/>
      <c r="Q696" s="226"/>
      <c r="R696" s="226"/>
      <c r="S696" s="226"/>
      <c r="T696" s="226"/>
      <c r="U696" s="226"/>
    </row>
    <row r="697" spans="3:21" x14ac:dyDescent="0.35">
      <c r="C697" s="226"/>
      <c r="E697" s="226"/>
      <c r="G697" s="226"/>
      <c r="I697" s="226"/>
      <c r="J697" s="226"/>
      <c r="P697" s="226"/>
      <c r="Q697" s="226"/>
      <c r="R697" s="226"/>
      <c r="S697" s="226"/>
      <c r="T697" s="226"/>
      <c r="U697" s="226"/>
    </row>
    <row r="698" spans="3:21" x14ac:dyDescent="0.35">
      <c r="C698" s="226"/>
      <c r="E698" s="226"/>
      <c r="G698" s="226"/>
      <c r="I698" s="226"/>
      <c r="J698" s="226"/>
      <c r="P698" s="226"/>
      <c r="Q698" s="226"/>
      <c r="R698" s="226"/>
      <c r="S698" s="226"/>
      <c r="T698" s="226"/>
      <c r="U698" s="226"/>
    </row>
    <row r="699" spans="3:21" x14ac:dyDescent="0.35">
      <c r="C699" s="226"/>
      <c r="E699" s="226"/>
      <c r="G699" s="226"/>
      <c r="I699" s="226"/>
      <c r="J699" s="226"/>
      <c r="P699" s="226"/>
      <c r="Q699" s="226"/>
      <c r="R699" s="226"/>
      <c r="S699" s="226"/>
      <c r="T699" s="226"/>
      <c r="U699" s="226"/>
    </row>
    <row r="700" spans="3:21" x14ac:dyDescent="0.35">
      <c r="C700" s="226"/>
      <c r="E700" s="226"/>
      <c r="G700" s="226"/>
      <c r="I700" s="226"/>
      <c r="J700" s="226"/>
      <c r="P700" s="226"/>
      <c r="Q700" s="226"/>
      <c r="R700" s="226"/>
      <c r="S700" s="226"/>
      <c r="T700" s="226"/>
      <c r="U700" s="226"/>
    </row>
    <row r="701" spans="3:21" x14ac:dyDescent="0.35">
      <c r="C701" s="226"/>
      <c r="E701" s="226"/>
      <c r="G701" s="226"/>
      <c r="I701" s="226"/>
      <c r="J701" s="226"/>
      <c r="P701" s="226"/>
      <c r="Q701" s="226"/>
      <c r="R701" s="226"/>
      <c r="S701" s="226"/>
      <c r="T701" s="226"/>
      <c r="U701" s="226"/>
    </row>
    <row r="702" spans="3:21" x14ac:dyDescent="0.35">
      <c r="C702" s="226"/>
      <c r="E702" s="226"/>
      <c r="G702" s="226"/>
      <c r="I702" s="226"/>
      <c r="J702" s="226"/>
      <c r="P702" s="226"/>
      <c r="Q702" s="226"/>
      <c r="R702" s="226"/>
      <c r="S702" s="226"/>
      <c r="T702" s="226"/>
      <c r="U702" s="226"/>
    </row>
    <row r="703" spans="3:21" x14ac:dyDescent="0.35">
      <c r="C703" s="226"/>
      <c r="E703" s="226"/>
      <c r="G703" s="226"/>
      <c r="I703" s="226"/>
      <c r="J703" s="226"/>
      <c r="P703" s="226"/>
      <c r="Q703" s="226"/>
      <c r="R703" s="226"/>
      <c r="S703" s="226"/>
      <c r="T703" s="226"/>
      <c r="U703" s="226"/>
    </row>
    <row r="704" spans="3:21" x14ac:dyDescent="0.35">
      <c r="C704" s="226"/>
      <c r="E704" s="226"/>
      <c r="G704" s="226"/>
      <c r="I704" s="226"/>
      <c r="J704" s="226"/>
      <c r="P704" s="226"/>
      <c r="Q704" s="226"/>
      <c r="R704" s="226"/>
      <c r="S704" s="226"/>
      <c r="T704" s="226"/>
      <c r="U704" s="226"/>
    </row>
    <row r="705" spans="3:21" x14ac:dyDescent="0.35">
      <c r="C705" s="226"/>
      <c r="E705" s="226"/>
      <c r="G705" s="226"/>
      <c r="I705" s="226"/>
      <c r="J705" s="226"/>
      <c r="P705" s="226"/>
      <c r="Q705" s="226"/>
      <c r="R705" s="226"/>
      <c r="S705" s="226"/>
      <c r="T705" s="226"/>
      <c r="U705" s="226"/>
    </row>
    <row r="706" spans="3:21" x14ac:dyDescent="0.35">
      <c r="C706" s="226"/>
      <c r="E706" s="226"/>
      <c r="G706" s="226"/>
      <c r="I706" s="226"/>
      <c r="J706" s="226"/>
      <c r="P706" s="226"/>
      <c r="Q706" s="226"/>
      <c r="R706" s="226"/>
      <c r="S706" s="226"/>
      <c r="T706" s="226"/>
      <c r="U706" s="226"/>
    </row>
    <row r="707" spans="3:21" x14ac:dyDescent="0.35">
      <c r="C707" s="226"/>
      <c r="E707" s="226"/>
      <c r="G707" s="226"/>
      <c r="I707" s="226"/>
      <c r="J707" s="226"/>
      <c r="P707" s="226"/>
      <c r="Q707" s="226"/>
      <c r="R707" s="226"/>
      <c r="S707" s="226"/>
      <c r="T707" s="226"/>
      <c r="U707" s="226"/>
    </row>
    <row r="708" spans="3:21" x14ac:dyDescent="0.35">
      <c r="C708" s="226"/>
      <c r="E708" s="226"/>
      <c r="G708" s="226"/>
      <c r="I708" s="226"/>
      <c r="J708" s="226"/>
      <c r="P708" s="226"/>
      <c r="Q708" s="226"/>
      <c r="R708" s="226"/>
      <c r="S708" s="226"/>
      <c r="T708" s="226"/>
      <c r="U708" s="226"/>
    </row>
    <row r="709" spans="3:21" x14ac:dyDescent="0.35">
      <c r="C709" s="226"/>
      <c r="E709" s="226"/>
      <c r="G709" s="226"/>
      <c r="I709" s="226"/>
      <c r="J709" s="226"/>
      <c r="P709" s="226"/>
      <c r="Q709" s="226"/>
      <c r="R709" s="226"/>
      <c r="S709" s="226"/>
      <c r="T709" s="226"/>
      <c r="U709" s="226"/>
    </row>
    <row r="710" spans="3:21" x14ac:dyDescent="0.35">
      <c r="C710" s="226"/>
      <c r="E710" s="226"/>
      <c r="G710" s="226"/>
      <c r="I710" s="226"/>
      <c r="J710" s="226"/>
      <c r="P710" s="226"/>
      <c r="Q710" s="226"/>
      <c r="R710" s="226"/>
      <c r="S710" s="226"/>
      <c r="T710" s="226"/>
      <c r="U710" s="226"/>
    </row>
    <row r="711" spans="3:21" x14ac:dyDescent="0.35">
      <c r="C711" s="226"/>
      <c r="E711" s="226"/>
      <c r="G711" s="226"/>
      <c r="I711" s="226"/>
      <c r="J711" s="226"/>
      <c r="P711" s="226"/>
      <c r="Q711" s="226"/>
      <c r="R711" s="226"/>
      <c r="S711" s="226"/>
      <c r="T711" s="226"/>
      <c r="U711" s="226"/>
    </row>
    <row r="712" spans="3:21" x14ac:dyDescent="0.35">
      <c r="C712" s="226"/>
      <c r="E712" s="226"/>
      <c r="G712" s="226"/>
      <c r="I712" s="226"/>
      <c r="J712" s="226"/>
      <c r="P712" s="226"/>
      <c r="Q712" s="226"/>
      <c r="R712" s="226"/>
      <c r="S712" s="226"/>
      <c r="T712" s="226"/>
      <c r="U712" s="226"/>
    </row>
    <row r="713" spans="3:21" x14ac:dyDescent="0.35">
      <c r="C713" s="226"/>
      <c r="E713" s="226"/>
      <c r="G713" s="226"/>
      <c r="I713" s="226"/>
      <c r="J713" s="226"/>
      <c r="P713" s="226"/>
      <c r="Q713" s="226"/>
      <c r="R713" s="226"/>
      <c r="S713" s="226"/>
      <c r="T713" s="226"/>
      <c r="U713" s="226"/>
    </row>
    <row r="714" spans="3:21" x14ac:dyDescent="0.35">
      <c r="C714" s="226"/>
      <c r="E714" s="226"/>
      <c r="G714" s="226"/>
      <c r="I714" s="226"/>
      <c r="J714" s="226"/>
      <c r="P714" s="226"/>
      <c r="Q714" s="226"/>
      <c r="R714" s="226"/>
      <c r="S714" s="226"/>
      <c r="T714" s="226"/>
      <c r="U714" s="226"/>
    </row>
    <row r="715" spans="3:21" x14ac:dyDescent="0.35">
      <c r="C715" s="226"/>
      <c r="E715" s="226"/>
      <c r="G715" s="226"/>
      <c r="I715" s="226"/>
      <c r="J715" s="226"/>
      <c r="P715" s="226"/>
      <c r="Q715" s="226"/>
      <c r="R715" s="226"/>
      <c r="S715" s="226"/>
      <c r="T715" s="226"/>
      <c r="U715" s="226"/>
    </row>
    <row r="716" spans="3:21" x14ac:dyDescent="0.35">
      <c r="C716" s="226"/>
      <c r="E716" s="226"/>
      <c r="G716" s="226"/>
      <c r="I716" s="226"/>
      <c r="J716" s="226"/>
      <c r="P716" s="226"/>
      <c r="Q716" s="226"/>
      <c r="R716" s="226"/>
      <c r="S716" s="226"/>
      <c r="T716" s="226"/>
      <c r="U716" s="226"/>
    </row>
    <row r="717" spans="3:21" x14ac:dyDescent="0.35">
      <c r="C717" s="226"/>
      <c r="E717" s="226"/>
      <c r="G717" s="226"/>
      <c r="I717" s="226"/>
      <c r="J717" s="226"/>
      <c r="P717" s="226"/>
      <c r="Q717" s="226"/>
      <c r="R717" s="226"/>
      <c r="S717" s="226"/>
      <c r="T717" s="226"/>
      <c r="U717" s="226"/>
    </row>
    <row r="718" spans="3:21" x14ac:dyDescent="0.35">
      <c r="C718" s="226"/>
      <c r="E718" s="226"/>
      <c r="G718" s="226"/>
      <c r="I718" s="226"/>
      <c r="J718" s="226"/>
      <c r="P718" s="226"/>
      <c r="Q718" s="226"/>
      <c r="R718" s="226"/>
      <c r="S718" s="226"/>
      <c r="T718" s="226"/>
      <c r="U718" s="226"/>
    </row>
    <row r="719" spans="3:21" x14ac:dyDescent="0.35">
      <c r="C719" s="226"/>
      <c r="E719" s="226"/>
      <c r="G719" s="226"/>
      <c r="I719" s="226"/>
      <c r="J719" s="226"/>
      <c r="P719" s="226"/>
      <c r="Q719" s="226"/>
      <c r="R719" s="226"/>
      <c r="S719" s="226"/>
      <c r="T719" s="226"/>
      <c r="U719" s="226"/>
    </row>
    <row r="720" spans="3:21" x14ac:dyDescent="0.35">
      <c r="C720" s="226"/>
      <c r="E720" s="226"/>
      <c r="G720" s="226"/>
      <c r="I720" s="226"/>
      <c r="J720" s="226"/>
      <c r="P720" s="226"/>
      <c r="Q720" s="226"/>
      <c r="R720" s="226"/>
      <c r="S720" s="226"/>
      <c r="T720" s="226"/>
      <c r="U720" s="226"/>
    </row>
    <row r="721" spans="3:21" x14ac:dyDescent="0.35">
      <c r="C721" s="226"/>
      <c r="E721" s="226"/>
      <c r="G721" s="226"/>
      <c r="I721" s="226"/>
      <c r="J721" s="226"/>
      <c r="P721" s="226"/>
      <c r="Q721" s="226"/>
      <c r="R721" s="226"/>
      <c r="S721" s="226"/>
      <c r="T721" s="226"/>
      <c r="U721" s="226"/>
    </row>
    <row r="722" spans="3:21" x14ac:dyDescent="0.35">
      <c r="C722" s="226"/>
      <c r="E722" s="226"/>
      <c r="G722" s="226"/>
      <c r="I722" s="226"/>
      <c r="J722" s="226"/>
      <c r="P722" s="226"/>
      <c r="Q722" s="226"/>
      <c r="R722" s="226"/>
      <c r="S722" s="226"/>
      <c r="T722" s="226"/>
      <c r="U722" s="226"/>
    </row>
    <row r="723" spans="3:21" x14ac:dyDescent="0.35">
      <c r="C723" s="226"/>
      <c r="E723" s="226"/>
      <c r="G723" s="226"/>
      <c r="I723" s="226"/>
      <c r="J723" s="226"/>
      <c r="P723" s="226"/>
      <c r="Q723" s="226"/>
      <c r="R723" s="226"/>
      <c r="S723" s="226"/>
      <c r="T723" s="226"/>
      <c r="U723" s="226"/>
    </row>
    <row r="724" spans="3:21" x14ac:dyDescent="0.35">
      <c r="C724" s="226"/>
      <c r="E724" s="226"/>
      <c r="G724" s="226"/>
      <c r="I724" s="226"/>
      <c r="J724" s="226"/>
      <c r="P724" s="226"/>
      <c r="Q724" s="226"/>
      <c r="R724" s="226"/>
      <c r="S724" s="226"/>
      <c r="T724" s="226"/>
      <c r="U724" s="226"/>
    </row>
    <row r="725" spans="3:21" x14ac:dyDescent="0.35">
      <c r="C725" s="226"/>
      <c r="E725" s="226"/>
      <c r="G725" s="226"/>
      <c r="I725" s="226"/>
      <c r="J725" s="226"/>
      <c r="P725" s="226"/>
      <c r="Q725" s="226"/>
      <c r="R725" s="226"/>
      <c r="S725" s="226"/>
      <c r="T725" s="226"/>
      <c r="U725" s="226"/>
    </row>
    <row r="726" spans="3:21" x14ac:dyDescent="0.35">
      <c r="C726" s="226"/>
      <c r="E726" s="226"/>
      <c r="G726" s="226"/>
      <c r="I726" s="226"/>
      <c r="J726" s="226"/>
      <c r="P726" s="226"/>
      <c r="Q726" s="226"/>
      <c r="R726" s="226"/>
      <c r="S726" s="226"/>
      <c r="T726" s="226"/>
      <c r="U726" s="226"/>
    </row>
    <row r="727" spans="3:21" x14ac:dyDescent="0.35">
      <c r="C727" s="226"/>
      <c r="E727" s="226"/>
      <c r="G727" s="226"/>
      <c r="I727" s="226"/>
      <c r="J727" s="226"/>
      <c r="P727" s="226"/>
      <c r="Q727" s="226"/>
      <c r="R727" s="226"/>
      <c r="S727" s="226"/>
      <c r="T727" s="226"/>
      <c r="U727" s="226"/>
    </row>
    <row r="728" spans="3:21" x14ac:dyDescent="0.35">
      <c r="C728" s="226"/>
      <c r="E728" s="226"/>
      <c r="G728" s="226"/>
      <c r="I728" s="226"/>
      <c r="J728" s="226"/>
      <c r="P728" s="226"/>
      <c r="Q728" s="226"/>
      <c r="R728" s="226"/>
      <c r="S728" s="226"/>
      <c r="T728" s="226"/>
      <c r="U728" s="226"/>
    </row>
    <row r="729" spans="3:21" x14ac:dyDescent="0.35">
      <c r="C729" s="226"/>
      <c r="E729" s="226"/>
      <c r="G729" s="226"/>
      <c r="I729" s="226"/>
      <c r="J729" s="226"/>
      <c r="P729" s="226"/>
      <c r="Q729" s="226"/>
      <c r="R729" s="226"/>
      <c r="S729" s="226"/>
      <c r="T729" s="226"/>
      <c r="U729" s="226"/>
    </row>
    <row r="730" spans="3:21" x14ac:dyDescent="0.35">
      <c r="C730" s="226"/>
      <c r="E730" s="226"/>
      <c r="G730" s="226"/>
      <c r="I730" s="226"/>
      <c r="J730" s="226"/>
      <c r="P730" s="226"/>
      <c r="Q730" s="226"/>
      <c r="R730" s="226"/>
      <c r="S730" s="226"/>
      <c r="T730" s="226"/>
      <c r="U730" s="226"/>
    </row>
    <row r="731" spans="3:21" x14ac:dyDescent="0.35">
      <c r="C731" s="226"/>
      <c r="E731" s="226"/>
      <c r="G731" s="226"/>
      <c r="I731" s="226"/>
      <c r="J731" s="226"/>
      <c r="P731" s="226"/>
      <c r="Q731" s="226"/>
      <c r="R731" s="226"/>
      <c r="S731" s="226"/>
      <c r="T731" s="226"/>
      <c r="U731" s="226"/>
    </row>
    <row r="732" spans="3:21" x14ac:dyDescent="0.35">
      <c r="C732" s="226"/>
      <c r="E732" s="226"/>
      <c r="G732" s="226"/>
      <c r="I732" s="226"/>
      <c r="J732" s="226"/>
      <c r="P732" s="226"/>
      <c r="Q732" s="226"/>
      <c r="R732" s="226"/>
      <c r="S732" s="226"/>
      <c r="T732" s="226"/>
      <c r="U732" s="226"/>
    </row>
    <row r="733" spans="3:21" x14ac:dyDescent="0.35">
      <c r="C733" s="226"/>
      <c r="E733" s="226"/>
      <c r="G733" s="226"/>
      <c r="I733" s="226"/>
      <c r="J733" s="226"/>
      <c r="P733" s="226"/>
      <c r="Q733" s="226"/>
      <c r="R733" s="226"/>
      <c r="S733" s="226"/>
      <c r="T733" s="226"/>
      <c r="U733" s="226"/>
    </row>
    <row r="734" spans="3:21" x14ac:dyDescent="0.35">
      <c r="C734" s="226"/>
      <c r="E734" s="226"/>
      <c r="G734" s="226"/>
      <c r="I734" s="226"/>
      <c r="J734" s="226"/>
      <c r="P734" s="226"/>
      <c r="Q734" s="226"/>
      <c r="R734" s="226"/>
      <c r="S734" s="226"/>
      <c r="T734" s="226"/>
      <c r="U734" s="226"/>
    </row>
    <row r="735" spans="3:21" x14ac:dyDescent="0.35">
      <c r="C735" s="226"/>
      <c r="E735" s="226"/>
      <c r="G735" s="226"/>
      <c r="I735" s="226"/>
      <c r="J735" s="226"/>
      <c r="P735" s="226"/>
      <c r="Q735" s="226"/>
      <c r="R735" s="226"/>
      <c r="S735" s="226"/>
      <c r="T735" s="226"/>
      <c r="U735" s="226"/>
    </row>
    <row r="736" spans="3:21" x14ac:dyDescent="0.35">
      <c r="C736" s="226"/>
      <c r="E736" s="226"/>
      <c r="G736" s="226"/>
      <c r="I736" s="226"/>
      <c r="J736" s="226"/>
      <c r="P736" s="226"/>
      <c r="Q736" s="226"/>
      <c r="R736" s="226"/>
      <c r="S736" s="226"/>
      <c r="T736" s="226"/>
      <c r="U736" s="226"/>
    </row>
    <row r="737" spans="3:21" x14ac:dyDescent="0.35">
      <c r="C737" s="226"/>
      <c r="E737" s="226"/>
      <c r="G737" s="226"/>
      <c r="I737" s="226"/>
      <c r="J737" s="226"/>
      <c r="P737" s="226"/>
      <c r="Q737" s="226"/>
      <c r="R737" s="226"/>
      <c r="S737" s="226"/>
      <c r="T737" s="226"/>
      <c r="U737" s="226"/>
    </row>
    <row r="738" spans="3:21" x14ac:dyDescent="0.35">
      <c r="C738" s="226"/>
      <c r="E738" s="226"/>
      <c r="G738" s="226"/>
      <c r="I738" s="226"/>
      <c r="J738" s="226"/>
      <c r="P738" s="226"/>
      <c r="Q738" s="226"/>
      <c r="R738" s="226"/>
      <c r="S738" s="226"/>
      <c r="T738" s="226"/>
      <c r="U738" s="226"/>
    </row>
    <row r="739" spans="3:21" x14ac:dyDescent="0.35">
      <c r="C739" s="226"/>
      <c r="E739" s="226"/>
      <c r="G739" s="226"/>
      <c r="I739" s="226"/>
      <c r="J739" s="226"/>
      <c r="P739" s="226"/>
      <c r="Q739" s="226"/>
      <c r="R739" s="226"/>
      <c r="S739" s="226"/>
      <c r="T739" s="226"/>
      <c r="U739" s="226"/>
    </row>
    <row r="740" spans="3:21" x14ac:dyDescent="0.35">
      <c r="C740" s="226"/>
      <c r="E740" s="226"/>
      <c r="G740" s="226"/>
      <c r="I740" s="226"/>
      <c r="J740" s="226"/>
      <c r="P740" s="226"/>
      <c r="Q740" s="226"/>
      <c r="R740" s="226"/>
      <c r="S740" s="226"/>
      <c r="T740" s="226"/>
      <c r="U740" s="226"/>
    </row>
    <row r="741" spans="3:21" x14ac:dyDescent="0.35">
      <c r="C741" s="226"/>
      <c r="E741" s="226"/>
      <c r="G741" s="226"/>
      <c r="I741" s="226"/>
      <c r="J741" s="226"/>
      <c r="P741" s="226"/>
      <c r="Q741" s="226"/>
      <c r="R741" s="226"/>
      <c r="S741" s="226"/>
      <c r="T741" s="226"/>
      <c r="U741" s="226"/>
    </row>
    <row r="742" spans="3:21" x14ac:dyDescent="0.35">
      <c r="C742" s="226"/>
      <c r="E742" s="226"/>
      <c r="G742" s="226"/>
      <c r="I742" s="226"/>
      <c r="J742" s="226"/>
      <c r="P742" s="226"/>
      <c r="Q742" s="226"/>
      <c r="R742" s="226"/>
      <c r="S742" s="226"/>
      <c r="T742" s="226"/>
      <c r="U742" s="226"/>
    </row>
    <row r="743" spans="3:21" x14ac:dyDescent="0.35">
      <c r="C743" s="226"/>
      <c r="E743" s="226"/>
      <c r="G743" s="226"/>
      <c r="I743" s="226"/>
      <c r="J743" s="226"/>
      <c r="P743" s="226"/>
      <c r="Q743" s="226"/>
      <c r="R743" s="226"/>
      <c r="S743" s="226"/>
      <c r="T743" s="226"/>
      <c r="U743" s="226"/>
    </row>
    <row r="744" spans="3:21" x14ac:dyDescent="0.35">
      <c r="C744" s="226"/>
      <c r="E744" s="226"/>
      <c r="G744" s="226"/>
      <c r="I744" s="226"/>
      <c r="J744" s="226"/>
      <c r="P744" s="226"/>
      <c r="Q744" s="226"/>
      <c r="R744" s="226"/>
      <c r="S744" s="226"/>
      <c r="T744" s="226"/>
      <c r="U744" s="226"/>
    </row>
    <row r="745" spans="3:21" x14ac:dyDescent="0.35">
      <c r="C745" s="226"/>
      <c r="E745" s="226"/>
      <c r="G745" s="226"/>
      <c r="I745" s="226"/>
      <c r="J745" s="226"/>
      <c r="P745" s="226"/>
      <c r="Q745" s="226"/>
      <c r="R745" s="226"/>
      <c r="S745" s="226"/>
      <c r="T745" s="226"/>
      <c r="U745" s="226"/>
    </row>
    <row r="746" spans="3:21" x14ac:dyDescent="0.35">
      <c r="C746" s="226"/>
      <c r="E746" s="226"/>
      <c r="G746" s="226"/>
      <c r="I746" s="226"/>
      <c r="J746" s="226"/>
      <c r="P746" s="226"/>
      <c r="Q746" s="226"/>
      <c r="R746" s="226"/>
      <c r="S746" s="226"/>
      <c r="T746" s="226"/>
      <c r="U746" s="226"/>
    </row>
    <row r="747" spans="3:21" x14ac:dyDescent="0.35">
      <c r="C747" s="226"/>
      <c r="E747" s="226"/>
      <c r="G747" s="226"/>
      <c r="I747" s="226"/>
      <c r="J747" s="226"/>
      <c r="P747" s="226"/>
      <c r="Q747" s="226"/>
      <c r="R747" s="226"/>
      <c r="S747" s="226"/>
      <c r="T747" s="226"/>
      <c r="U747" s="226"/>
    </row>
    <row r="748" spans="3:21" x14ac:dyDescent="0.35">
      <c r="C748" s="226"/>
      <c r="E748" s="226"/>
      <c r="G748" s="226"/>
      <c r="I748" s="226"/>
      <c r="J748" s="226"/>
      <c r="P748" s="226"/>
      <c r="Q748" s="226"/>
      <c r="R748" s="226"/>
      <c r="S748" s="226"/>
      <c r="T748" s="226"/>
      <c r="U748" s="226"/>
    </row>
    <row r="749" spans="3:21" x14ac:dyDescent="0.35">
      <c r="C749" s="226"/>
      <c r="E749" s="226"/>
      <c r="G749" s="226"/>
      <c r="I749" s="226"/>
      <c r="J749" s="226"/>
      <c r="P749" s="226"/>
      <c r="Q749" s="226"/>
      <c r="R749" s="226"/>
      <c r="S749" s="226"/>
      <c r="T749" s="226"/>
      <c r="U749" s="226"/>
    </row>
    <row r="750" spans="3:21" x14ac:dyDescent="0.35">
      <c r="C750" s="226"/>
      <c r="E750" s="226"/>
      <c r="G750" s="226"/>
      <c r="I750" s="226"/>
      <c r="J750" s="226"/>
      <c r="P750" s="226"/>
      <c r="Q750" s="226"/>
      <c r="R750" s="226"/>
      <c r="S750" s="226"/>
      <c r="T750" s="226"/>
      <c r="U750" s="226"/>
    </row>
    <row r="751" spans="3:21" x14ac:dyDescent="0.35">
      <c r="C751" s="226"/>
      <c r="E751" s="226"/>
      <c r="G751" s="226"/>
      <c r="I751" s="226"/>
      <c r="J751" s="226"/>
      <c r="P751" s="226"/>
      <c r="Q751" s="226"/>
      <c r="R751" s="226"/>
      <c r="S751" s="226"/>
      <c r="T751" s="226"/>
      <c r="U751" s="226"/>
    </row>
    <row r="752" spans="3:21" x14ac:dyDescent="0.35">
      <c r="C752" s="226"/>
      <c r="E752" s="226"/>
      <c r="G752" s="226"/>
      <c r="I752" s="226"/>
      <c r="J752" s="226"/>
      <c r="P752" s="226"/>
      <c r="Q752" s="226"/>
      <c r="R752" s="226"/>
      <c r="S752" s="226"/>
      <c r="T752" s="226"/>
      <c r="U752" s="226"/>
    </row>
    <row r="753" spans="3:21" x14ac:dyDescent="0.35">
      <c r="C753" s="226"/>
      <c r="E753" s="226"/>
      <c r="G753" s="226"/>
      <c r="I753" s="226"/>
      <c r="J753" s="226"/>
      <c r="P753" s="226"/>
      <c r="Q753" s="226"/>
      <c r="R753" s="226"/>
      <c r="S753" s="226"/>
      <c r="T753" s="226"/>
      <c r="U753" s="226"/>
    </row>
    <row r="754" spans="3:21" x14ac:dyDescent="0.35">
      <c r="C754" s="226"/>
      <c r="E754" s="226"/>
      <c r="G754" s="226"/>
      <c r="I754" s="226"/>
      <c r="J754" s="226"/>
      <c r="P754" s="226"/>
      <c r="Q754" s="226"/>
      <c r="R754" s="226"/>
      <c r="S754" s="226"/>
      <c r="T754" s="226"/>
      <c r="U754" s="226"/>
    </row>
    <row r="755" spans="3:21" x14ac:dyDescent="0.35">
      <c r="C755" s="226"/>
      <c r="E755" s="226"/>
      <c r="G755" s="226"/>
      <c r="I755" s="226"/>
      <c r="J755" s="226"/>
      <c r="P755" s="226"/>
      <c r="Q755" s="226"/>
      <c r="R755" s="226"/>
      <c r="S755" s="226"/>
      <c r="T755" s="226"/>
      <c r="U755" s="226"/>
    </row>
    <row r="756" spans="3:21" x14ac:dyDescent="0.35">
      <c r="C756" s="226"/>
      <c r="E756" s="226"/>
      <c r="G756" s="226"/>
      <c r="I756" s="226"/>
      <c r="J756" s="226"/>
      <c r="P756" s="226"/>
      <c r="Q756" s="226"/>
      <c r="R756" s="226"/>
      <c r="S756" s="226"/>
      <c r="T756" s="226"/>
      <c r="U756" s="226"/>
    </row>
    <row r="757" spans="3:21" x14ac:dyDescent="0.35">
      <c r="C757" s="226"/>
      <c r="E757" s="226"/>
      <c r="G757" s="226"/>
      <c r="I757" s="226"/>
      <c r="J757" s="226"/>
      <c r="P757" s="226"/>
      <c r="Q757" s="226"/>
      <c r="R757" s="226"/>
      <c r="S757" s="226"/>
      <c r="T757" s="226"/>
      <c r="U757" s="226"/>
    </row>
    <row r="758" spans="3:21" x14ac:dyDescent="0.35">
      <c r="C758" s="226"/>
      <c r="E758" s="226"/>
      <c r="G758" s="226"/>
      <c r="I758" s="226"/>
      <c r="J758" s="226"/>
      <c r="P758" s="226"/>
      <c r="Q758" s="226"/>
      <c r="R758" s="226"/>
      <c r="S758" s="226"/>
      <c r="T758" s="226"/>
      <c r="U758" s="226"/>
    </row>
    <row r="759" spans="3:21" x14ac:dyDescent="0.35">
      <c r="C759" s="226"/>
      <c r="E759" s="226"/>
      <c r="G759" s="226"/>
      <c r="I759" s="226"/>
      <c r="J759" s="226"/>
      <c r="P759" s="226"/>
      <c r="Q759" s="226"/>
      <c r="R759" s="226"/>
      <c r="S759" s="226"/>
      <c r="T759" s="226"/>
      <c r="U759" s="226"/>
    </row>
    <row r="760" spans="3:21" x14ac:dyDescent="0.35">
      <c r="C760" s="226"/>
      <c r="E760" s="226"/>
      <c r="G760" s="226"/>
      <c r="I760" s="226"/>
      <c r="J760" s="226"/>
      <c r="P760" s="226"/>
      <c r="Q760" s="226"/>
      <c r="R760" s="226"/>
      <c r="S760" s="226"/>
      <c r="T760" s="226"/>
      <c r="U760" s="226"/>
    </row>
    <row r="761" spans="3:21" x14ac:dyDescent="0.35">
      <c r="C761" s="226"/>
      <c r="E761" s="226"/>
      <c r="G761" s="226"/>
      <c r="I761" s="226"/>
      <c r="J761" s="226"/>
      <c r="P761" s="226"/>
      <c r="Q761" s="226"/>
      <c r="R761" s="226"/>
      <c r="S761" s="226"/>
      <c r="T761" s="226"/>
      <c r="U761" s="226"/>
    </row>
    <row r="762" spans="3:21" x14ac:dyDescent="0.35">
      <c r="C762" s="226"/>
      <c r="E762" s="226"/>
      <c r="G762" s="226"/>
      <c r="I762" s="226"/>
      <c r="J762" s="226"/>
      <c r="P762" s="226"/>
      <c r="Q762" s="226"/>
      <c r="R762" s="226"/>
      <c r="S762" s="226"/>
      <c r="T762" s="226"/>
      <c r="U762" s="226"/>
    </row>
    <row r="763" spans="3:21" x14ac:dyDescent="0.35">
      <c r="C763" s="226"/>
      <c r="E763" s="226"/>
      <c r="G763" s="226"/>
      <c r="I763" s="226"/>
      <c r="J763" s="226"/>
      <c r="P763" s="226"/>
      <c r="Q763" s="226"/>
      <c r="R763" s="226"/>
      <c r="S763" s="226"/>
      <c r="T763" s="226"/>
      <c r="U763" s="226"/>
    </row>
    <row r="764" spans="3:21" x14ac:dyDescent="0.35">
      <c r="C764" s="226"/>
      <c r="E764" s="226"/>
      <c r="G764" s="226"/>
      <c r="I764" s="226"/>
      <c r="J764" s="226"/>
      <c r="P764" s="226"/>
      <c r="Q764" s="226"/>
      <c r="R764" s="226"/>
      <c r="S764" s="226"/>
      <c r="T764" s="226"/>
      <c r="U764" s="226"/>
    </row>
    <row r="765" spans="3:21" x14ac:dyDescent="0.35">
      <c r="C765" s="226"/>
      <c r="E765" s="226"/>
      <c r="G765" s="226"/>
      <c r="I765" s="226"/>
      <c r="J765" s="226"/>
      <c r="P765" s="226"/>
      <c r="Q765" s="226"/>
      <c r="R765" s="226"/>
      <c r="S765" s="226"/>
      <c r="T765" s="226"/>
      <c r="U765" s="226"/>
    </row>
    <row r="766" spans="3:21" x14ac:dyDescent="0.35">
      <c r="C766" s="226"/>
      <c r="E766" s="226"/>
      <c r="G766" s="226"/>
      <c r="I766" s="226"/>
      <c r="J766" s="226"/>
      <c r="P766" s="226"/>
      <c r="Q766" s="226"/>
      <c r="R766" s="226"/>
      <c r="S766" s="226"/>
      <c r="T766" s="226"/>
      <c r="U766" s="226"/>
    </row>
    <row r="767" spans="3:21" x14ac:dyDescent="0.35">
      <c r="C767" s="226"/>
      <c r="E767" s="226"/>
      <c r="G767" s="226"/>
      <c r="I767" s="226"/>
      <c r="J767" s="226"/>
      <c r="P767" s="226"/>
      <c r="Q767" s="226"/>
      <c r="R767" s="226"/>
      <c r="S767" s="226"/>
      <c r="T767" s="226"/>
      <c r="U767" s="226"/>
    </row>
    <row r="768" spans="3:21" x14ac:dyDescent="0.35">
      <c r="C768" s="226"/>
      <c r="E768" s="226"/>
      <c r="G768" s="226"/>
      <c r="I768" s="226"/>
      <c r="J768" s="226"/>
      <c r="P768" s="226"/>
      <c r="Q768" s="226"/>
      <c r="R768" s="226"/>
      <c r="S768" s="226"/>
      <c r="T768" s="226"/>
      <c r="U768" s="226"/>
    </row>
    <row r="769" spans="3:21" x14ac:dyDescent="0.35">
      <c r="C769" s="226"/>
      <c r="E769" s="226"/>
      <c r="G769" s="226"/>
      <c r="I769" s="226"/>
      <c r="J769" s="226"/>
      <c r="P769" s="226"/>
      <c r="Q769" s="226"/>
      <c r="R769" s="226"/>
      <c r="S769" s="226"/>
      <c r="T769" s="226"/>
      <c r="U769" s="226"/>
    </row>
    <row r="770" spans="3:21" x14ac:dyDescent="0.35">
      <c r="C770" s="226"/>
      <c r="E770" s="226"/>
      <c r="G770" s="226"/>
      <c r="I770" s="226"/>
      <c r="J770" s="226"/>
      <c r="P770" s="226"/>
      <c r="Q770" s="226"/>
      <c r="R770" s="226"/>
      <c r="S770" s="226"/>
      <c r="T770" s="226"/>
      <c r="U770" s="226"/>
    </row>
    <row r="771" spans="3:21" x14ac:dyDescent="0.35">
      <c r="C771" s="226"/>
      <c r="E771" s="226"/>
      <c r="G771" s="226"/>
      <c r="I771" s="226"/>
      <c r="J771" s="226"/>
      <c r="P771" s="226"/>
      <c r="Q771" s="226"/>
      <c r="R771" s="226"/>
      <c r="S771" s="226"/>
      <c r="T771" s="226"/>
      <c r="U771" s="226"/>
    </row>
    <row r="772" spans="3:21" x14ac:dyDescent="0.35">
      <c r="C772" s="226"/>
      <c r="E772" s="226"/>
      <c r="G772" s="226"/>
      <c r="I772" s="226"/>
      <c r="J772" s="226"/>
      <c r="P772" s="226"/>
      <c r="Q772" s="226"/>
      <c r="R772" s="226"/>
      <c r="S772" s="226"/>
      <c r="T772" s="226"/>
      <c r="U772" s="226"/>
    </row>
    <row r="773" spans="3:21" x14ac:dyDescent="0.35">
      <c r="C773" s="226"/>
      <c r="E773" s="226"/>
      <c r="G773" s="226"/>
      <c r="I773" s="226"/>
      <c r="J773" s="226"/>
      <c r="P773" s="226"/>
      <c r="Q773" s="226"/>
      <c r="R773" s="226"/>
      <c r="S773" s="226"/>
      <c r="T773" s="226"/>
      <c r="U773" s="226"/>
    </row>
    <row r="774" spans="3:21" x14ac:dyDescent="0.35">
      <c r="C774" s="226"/>
      <c r="E774" s="226"/>
      <c r="G774" s="226"/>
      <c r="I774" s="226"/>
      <c r="J774" s="226"/>
      <c r="P774" s="226"/>
      <c r="Q774" s="226"/>
      <c r="R774" s="226"/>
      <c r="S774" s="226"/>
      <c r="T774" s="226"/>
      <c r="U774" s="226"/>
    </row>
    <row r="775" spans="3:21" x14ac:dyDescent="0.35">
      <c r="C775" s="226"/>
      <c r="E775" s="226"/>
      <c r="G775" s="226"/>
      <c r="I775" s="226"/>
      <c r="J775" s="226"/>
      <c r="P775" s="226"/>
      <c r="Q775" s="226"/>
      <c r="R775" s="226"/>
      <c r="S775" s="226"/>
      <c r="T775" s="226"/>
      <c r="U775" s="226"/>
    </row>
    <row r="776" spans="3:21" x14ac:dyDescent="0.35">
      <c r="C776" s="226"/>
      <c r="E776" s="226"/>
      <c r="G776" s="226"/>
      <c r="I776" s="226"/>
      <c r="J776" s="226"/>
      <c r="P776" s="226"/>
      <c r="Q776" s="226"/>
      <c r="R776" s="226"/>
      <c r="S776" s="226"/>
      <c r="T776" s="226"/>
      <c r="U776" s="226"/>
    </row>
    <row r="777" spans="3:21" x14ac:dyDescent="0.35">
      <c r="C777" s="226"/>
      <c r="E777" s="226"/>
      <c r="G777" s="226"/>
      <c r="I777" s="226"/>
      <c r="J777" s="226"/>
      <c r="P777" s="226"/>
      <c r="Q777" s="226"/>
      <c r="R777" s="226"/>
      <c r="S777" s="226"/>
      <c r="T777" s="226"/>
      <c r="U777" s="226"/>
    </row>
    <row r="778" spans="3:21" x14ac:dyDescent="0.35">
      <c r="C778" s="226"/>
      <c r="E778" s="226"/>
      <c r="G778" s="226"/>
      <c r="I778" s="226"/>
      <c r="J778" s="226"/>
      <c r="P778" s="226"/>
      <c r="Q778" s="226"/>
      <c r="R778" s="226"/>
      <c r="S778" s="226"/>
      <c r="T778" s="226"/>
      <c r="U778" s="226"/>
    </row>
    <row r="779" spans="3:21" x14ac:dyDescent="0.35">
      <c r="C779" s="226"/>
      <c r="E779" s="226"/>
      <c r="G779" s="226"/>
      <c r="I779" s="226"/>
      <c r="J779" s="226"/>
      <c r="P779" s="226"/>
      <c r="Q779" s="226"/>
      <c r="R779" s="226"/>
      <c r="S779" s="226"/>
      <c r="T779" s="226"/>
      <c r="U779" s="226"/>
    </row>
    <row r="780" spans="3:21" x14ac:dyDescent="0.35">
      <c r="C780" s="226"/>
      <c r="E780" s="226"/>
      <c r="G780" s="226"/>
      <c r="I780" s="226"/>
      <c r="J780" s="226"/>
      <c r="P780" s="226"/>
      <c r="Q780" s="226"/>
      <c r="R780" s="226"/>
      <c r="S780" s="226"/>
      <c r="T780" s="226"/>
      <c r="U780" s="226"/>
    </row>
    <row r="781" spans="3:21" x14ac:dyDescent="0.35">
      <c r="C781" s="226"/>
      <c r="E781" s="226"/>
      <c r="G781" s="226"/>
      <c r="I781" s="226"/>
      <c r="J781" s="226"/>
      <c r="P781" s="226"/>
      <c r="Q781" s="226"/>
      <c r="R781" s="226"/>
      <c r="S781" s="226"/>
      <c r="T781" s="226"/>
      <c r="U781" s="226"/>
    </row>
    <row r="782" spans="3:21" x14ac:dyDescent="0.35">
      <c r="C782" s="226"/>
      <c r="E782" s="226"/>
      <c r="G782" s="226"/>
      <c r="I782" s="226"/>
      <c r="J782" s="226"/>
      <c r="P782" s="226"/>
      <c r="Q782" s="226"/>
      <c r="R782" s="226"/>
      <c r="S782" s="226"/>
      <c r="T782" s="226"/>
      <c r="U782" s="226"/>
    </row>
    <row r="783" spans="3:21" x14ac:dyDescent="0.35">
      <c r="C783" s="226"/>
      <c r="E783" s="226"/>
      <c r="G783" s="226"/>
      <c r="I783" s="226"/>
      <c r="J783" s="226"/>
      <c r="P783" s="226"/>
      <c r="Q783" s="226"/>
      <c r="R783" s="226"/>
      <c r="S783" s="226"/>
      <c r="T783" s="226"/>
      <c r="U783" s="226"/>
    </row>
    <row r="784" spans="3:21" x14ac:dyDescent="0.35">
      <c r="C784" s="226"/>
      <c r="E784" s="226"/>
      <c r="G784" s="226"/>
      <c r="I784" s="226"/>
      <c r="J784" s="226"/>
      <c r="P784" s="226"/>
      <c r="Q784" s="226"/>
      <c r="R784" s="226"/>
      <c r="S784" s="226"/>
      <c r="T784" s="226"/>
      <c r="U784" s="226"/>
    </row>
    <row r="785" spans="3:21" x14ac:dyDescent="0.35">
      <c r="C785" s="226"/>
      <c r="E785" s="226"/>
      <c r="G785" s="226"/>
      <c r="I785" s="226"/>
      <c r="J785" s="226"/>
      <c r="P785" s="226"/>
      <c r="Q785" s="226"/>
      <c r="R785" s="226"/>
      <c r="S785" s="226"/>
      <c r="T785" s="226"/>
      <c r="U785" s="226"/>
    </row>
    <row r="786" spans="3:21" x14ac:dyDescent="0.35">
      <c r="C786" s="226"/>
      <c r="E786" s="226"/>
      <c r="G786" s="226"/>
      <c r="I786" s="226"/>
      <c r="J786" s="226"/>
      <c r="P786" s="226"/>
      <c r="Q786" s="226"/>
      <c r="R786" s="226"/>
      <c r="S786" s="226"/>
      <c r="T786" s="226"/>
      <c r="U786" s="226"/>
    </row>
    <row r="787" spans="3:21" x14ac:dyDescent="0.35">
      <c r="C787" s="226"/>
      <c r="E787" s="226"/>
      <c r="G787" s="226"/>
      <c r="I787" s="226"/>
      <c r="J787" s="226"/>
      <c r="P787" s="226"/>
      <c r="Q787" s="226"/>
      <c r="R787" s="226"/>
      <c r="S787" s="226"/>
      <c r="T787" s="226"/>
      <c r="U787" s="226"/>
    </row>
    <row r="788" spans="3:21" x14ac:dyDescent="0.35">
      <c r="C788" s="226"/>
      <c r="E788" s="226"/>
      <c r="G788" s="226"/>
      <c r="I788" s="226"/>
      <c r="J788" s="226"/>
      <c r="P788" s="226"/>
      <c r="Q788" s="226"/>
      <c r="R788" s="226"/>
      <c r="S788" s="226"/>
      <c r="T788" s="226"/>
      <c r="U788" s="226"/>
    </row>
    <row r="789" spans="3:21" x14ac:dyDescent="0.35">
      <c r="C789" s="226"/>
      <c r="E789" s="226"/>
      <c r="G789" s="226"/>
      <c r="I789" s="226"/>
      <c r="J789" s="226"/>
      <c r="P789" s="226"/>
      <c r="Q789" s="226"/>
      <c r="R789" s="226"/>
      <c r="S789" s="226"/>
      <c r="T789" s="226"/>
      <c r="U789" s="226"/>
    </row>
    <row r="790" spans="3:21" x14ac:dyDescent="0.35">
      <c r="C790" s="226"/>
      <c r="E790" s="226"/>
      <c r="G790" s="226"/>
      <c r="I790" s="226"/>
      <c r="J790" s="226"/>
      <c r="P790" s="226"/>
      <c r="Q790" s="226"/>
      <c r="R790" s="226"/>
      <c r="S790" s="226"/>
      <c r="T790" s="226"/>
      <c r="U790" s="226"/>
    </row>
    <row r="791" spans="3:21" x14ac:dyDescent="0.35">
      <c r="C791" s="226"/>
      <c r="E791" s="226"/>
      <c r="G791" s="226"/>
      <c r="I791" s="226"/>
      <c r="J791" s="226"/>
      <c r="P791" s="226"/>
      <c r="Q791" s="226"/>
      <c r="R791" s="226"/>
      <c r="S791" s="226"/>
      <c r="T791" s="226"/>
      <c r="U791" s="226"/>
    </row>
    <row r="792" spans="3:21" x14ac:dyDescent="0.35">
      <c r="C792" s="226"/>
      <c r="E792" s="226"/>
      <c r="G792" s="226"/>
      <c r="I792" s="226"/>
      <c r="J792" s="226"/>
      <c r="P792" s="226"/>
      <c r="Q792" s="226"/>
      <c r="R792" s="226"/>
      <c r="S792" s="226"/>
      <c r="T792" s="226"/>
      <c r="U792" s="226"/>
    </row>
    <row r="793" spans="3:21" x14ac:dyDescent="0.35">
      <c r="C793" s="226"/>
      <c r="E793" s="226"/>
      <c r="G793" s="226"/>
      <c r="I793" s="226"/>
      <c r="J793" s="226"/>
      <c r="P793" s="226"/>
      <c r="Q793" s="226"/>
      <c r="R793" s="226"/>
      <c r="S793" s="226"/>
      <c r="T793" s="226"/>
      <c r="U793" s="226"/>
    </row>
    <row r="794" spans="3:21" x14ac:dyDescent="0.35">
      <c r="C794" s="226"/>
      <c r="E794" s="226"/>
      <c r="G794" s="226"/>
      <c r="I794" s="226"/>
      <c r="J794" s="226"/>
      <c r="P794" s="226"/>
      <c r="Q794" s="226"/>
      <c r="R794" s="226"/>
      <c r="S794" s="226"/>
      <c r="T794" s="226"/>
      <c r="U794" s="226"/>
    </row>
    <row r="795" spans="3:21" x14ac:dyDescent="0.35">
      <c r="C795" s="226"/>
      <c r="E795" s="226"/>
      <c r="G795" s="226"/>
      <c r="I795" s="226"/>
      <c r="J795" s="226"/>
      <c r="P795" s="226"/>
      <c r="Q795" s="226"/>
      <c r="R795" s="226"/>
      <c r="S795" s="226"/>
      <c r="T795" s="226"/>
      <c r="U795" s="226"/>
    </row>
    <row r="796" spans="3:21" x14ac:dyDescent="0.35">
      <c r="C796" s="226"/>
      <c r="E796" s="226"/>
      <c r="G796" s="226"/>
      <c r="I796" s="226"/>
      <c r="J796" s="226"/>
      <c r="P796" s="226"/>
      <c r="Q796" s="226"/>
      <c r="R796" s="226"/>
      <c r="S796" s="226"/>
      <c r="T796" s="226"/>
      <c r="U796" s="226"/>
    </row>
    <row r="797" spans="3:21" x14ac:dyDescent="0.35">
      <c r="C797" s="226"/>
      <c r="E797" s="226"/>
      <c r="G797" s="226"/>
      <c r="I797" s="226"/>
      <c r="J797" s="226"/>
      <c r="P797" s="226"/>
      <c r="Q797" s="226"/>
      <c r="R797" s="226"/>
      <c r="S797" s="226"/>
      <c r="T797" s="226"/>
      <c r="U797" s="226"/>
    </row>
    <row r="798" spans="3:21" x14ac:dyDescent="0.35">
      <c r="C798" s="226"/>
      <c r="E798" s="226"/>
      <c r="G798" s="226"/>
      <c r="I798" s="226"/>
      <c r="J798" s="226"/>
      <c r="P798" s="226"/>
      <c r="Q798" s="226"/>
      <c r="R798" s="226"/>
      <c r="S798" s="226"/>
      <c r="T798" s="226"/>
      <c r="U798" s="226"/>
    </row>
    <row r="799" spans="3:21" x14ac:dyDescent="0.35">
      <c r="C799" s="226"/>
      <c r="E799" s="226"/>
      <c r="G799" s="226"/>
      <c r="I799" s="226"/>
      <c r="J799" s="226"/>
      <c r="P799" s="226"/>
      <c r="Q799" s="226"/>
      <c r="R799" s="226"/>
      <c r="S799" s="226"/>
      <c r="T799" s="226"/>
      <c r="U799" s="226"/>
    </row>
    <row r="800" spans="3:21" x14ac:dyDescent="0.35">
      <c r="C800" s="226"/>
      <c r="E800" s="226"/>
      <c r="G800" s="226"/>
      <c r="I800" s="226"/>
      <c r="J800" s="226"/>
      <c r="P800" s="226"/>
      <c r="Q800" s="226"/>
      <c r="R800" s="226"/>
      <c r="S800" s="226"/>
      <c r="T800" s="226"/>
      <c r="U800" s="226"/>
    </row>
    <row r="801" spans="3:21" x14ac:dyDescent="0.35">
      <c r="C801" s="226"/>
      <c r="E801" s="226"/>
      <c r="G801" s="226"/>
      <c r="I801" s="226"/>
      <c r="J801" s="226"/>
      <c r="P801" s="226"/>
      <c r="Q801" s="226"/>
      <c r="R801" s="226"/>
      <c r="S801" s="226"/>
      <c r="T801" s="226"/>
      <c r="U801" s="226"/>
    </row>
    <row r="802" spans="3:21" x14ac:dyDescent="0.35">
      <c r="C802" s="226"/>
      <c r="E802" s="226"/>
      <c r="G802" s="226"/>
      <c r="I802" s="226"/>
      <c r="J802" s="226"/>
      <c r="P802" s="226"/>
      <c r="Q802" s="226"/>
      <c r="R802" s="226"/>
      <c r="S802" s="226"/>
      <c r="T802" s="226"/>
      <c r="U802" s="226"/>
    </row>
    <row r="803" spans="3:21" x14ac:dyDescent="0.35">
      <c r="C803" s="226"/>
      <c r="E803" s="226"/>
      <c r="G803" s="226"/>
      <c r="I803" s="226"/>
      <c r="J803" s="226"/>
      <c r="P803" s="226"/>
      <c r="Q803" s="226"/>
      <c r="R803" s="226"/>
      <c r="S803" s="226"/>
      <c r="T803" s="226"/>
      <c r="U803" s="226"/>
    </row>
    <row r="804" spans="3:21" x14ac:dyDescent="0.35">
      <c r="C804" s="226"/>
      <c r="E804" s="226"/>
      <c r="G804" s="226"/>
      <c r="I804" s="226"/>
      <c r="J804" s="226"/>
      <c r="P804" s="226"/>
      <c r="Q804" s="226"/>
      <c r="R804" s="226"/>
      <c r="S804" s="226"/>
      <c r="T804" s="226"/>
      <c r="U804" s="226"/>
    </row>
    <row r="805" spans="3:21" x14ac:dyDescent="0.35">
      <c r="C805" s="226"/>
      <c r="E805" s="226"/>
      <c r="G805" s="226"/>
      <c r="I805" s="226"/>
      <c r="J805" s="226"/>
      <c r="P805" s="226"/>
      <c r="Q805" s="226"/>
      <c r="R805" s="226"/>
      <c r="S805" s="226"/>
      <c r="T805" s="226"/>
      <c r="U805" s="226"/>
    </row>
    <row r="806" spans="3:21" x14ac:dyDescent="0.35">
      <c r="C806" s="226"/>
      <c r="E806" s="226"/>
      <c r="G806" s="226"/>
      <c r="I806" s="226"/>
      <c r="J806" s="226"/>
      <c r="P806" s="226"/>
      <c r="Q806" s="226"/>
      <c r="R806" s="226"/>
      <c r="S806" s="226"/>
      <c r="T806" s="226"/>
      <c r="U806" s="226"/>
    </row>
    <row r="807" spans="3:21" x14ac:dyDescent="0.35">
      <c r="C807" s="226"/>
      <c r="E807" s="226"/>
      <c r="G807" s="226"/>
      <c r="I807" s="226"/>
      <c r="J807" s="226"/>
      <c r="P807" s="226"/>
      <c r="Q807" s="226"/>
      <c r="R807" s="226"/>
      <c r="S807" s="226"/>
      <c r="T807" s="226"/>
      <c r="U807" s="226"/>
    </row>
    <row r="808" spans="3:21" x14ac:dyDescent="0.35">
      <c r="C808" s="226"/>
      <c r="E808" s="226"/>
      <c r="G808" s="226"/>
      <c r="I808" s="226"/>
      <c r="J808" s="226"/>
      <c r="P808" s="226"/>
      <c r="Q808" s="226"/>
      <c r="R808" s="226"/>
      <c r="S808" s="226"/>
      <c r="T808" s="226"/>
      <c r="U808" s="226"/>
    </row>
    <row r="809" spans="3:21" x14ac:dyDescent="0.35">
      <c r="C809" s="226"/>
      <c r="E809" s="226"/>
      <c r="G809" s="226"/>
      <c r="I809" s="226"/>
      <c r="J809" s="226"/>
      <c r="P809" s="226"/>
      <c r="Q809" s="226"/>
      <c r="R809" s="226"/>
      <c r="S809" s="226"/>
      <c r="T809" s="226"/>
      <c r="U809" s="226"/>
    </row>
    <row r="810" spans="3:21" x14ac:dyDescent="0.35">
      <c r="C810" s="226"/>
      <c r="E810" s="226"/>
      <c r="G810" s="226"/>
      <c r="I810" s="226"/>
      <c r="J810" s="226"/>
      <c r="P810" s="226"/>
      <c r="Q810" s="226"/>
      <c r="R810" s="226"/>
      <c r="S810" s="226"/>
      <c r="T810" s="226"/>
      <c r="U810" s="226"/>
    </row>
    <row r="811" spans="3:21" x14ac:dyDescent="0.35">
      <c r="C811" s="226"/>
      <c r="E811" s="226"/>
      <c r="G811" s="226"/>
      <c r="I811" s="226"/>
      <c r="J811" s="226"/>
      <c r="P811" s="226"/>
      <c r="Q811" s="226"/>
      <c r="R811" s="226"/>
      <c r="S811" s="226"/>
      <c r="T811" s="226"/>
      <c r="U811" s="226"/>
    </row>
    <row r="812" spans="3:21" x14ac:dyDescent="0.35">
      <c r="C812" s="226"/>
      <c r="E812" s="226"/>
      <c r="G812" s="226"/>
      <c r="I812" s="226"/>
      <c r="J812" s="226"/>
      <c r="P812" s="226"/>
      <c r="Q812" s="226"/>
      <c r="R812" s="226"/>
      <c r="S812" s="226"/>
      <c r="T812" s="226"/>
      <c r="U812" s="226"/>
    </row>
    <row r="813" spans="3:21" x14ac:dyDescent="0.35">
      <c r="C813" s="226"/>
      <c r="E813" s="226"/>
      <c r="G813" s="226"/>
      <c r="I813" s="226"/>
      <c r="J813" s="226"/>
      <c r="P813" s="226"/>
      <c r="Q813" s="226"/>
      <c r="R813" s="226"/>
      <c r="S813" s="226"/>
      <c r="T813" s="226"/>
      <c r="U813" s="226"/>
    </row>
    <row r="814" spans="3:21" x14ac:dyDescent="0.35">
      <c r="C814" s="226"/>
      <c r="E814" s="226"/>
      <c r="G814" s="226"/>
      <c r="I814" s="226"/>
      <c r="J814" s="226"/>
      <c r="P814" s="226"/>
      <c r="Q814" s="226"/>
      <c r="R814" s="226"/>
      <c r="S814" s="226"/>
      <c r="T814" s="226"/>
      <c r="U814" s="226"/>
    </row>
    <row r="815" spans="3:21" x14ac:dyDescent="0.35">
      <c r="C815" s="226"/>
      <c r="E815" s="226"/>
      <c r="G815" s="226"/>
      <c r="I815" s="226"/>
      <c r="J815" s="226"/>
      <c r="P815" s="226"/>
      <c r="Q815" s="226"/>
      <c r="R815" s="226"/>
      <c r="S815" s="226"/>
      <c r="T815" s="226"/>
      <c r="U815" s="226"/>
    </row>
    <row r="816" spans="3:21" x14ac:dyDescent="0.35">
      <c r="C816" s="226"/>
      <c r="E816" s="226"/>
      <c r="G816" s="226"/>
      <c r="I816" s="226"/>
      <c r="J816" s="226"/>
      <c r="P816" s="226"/>
      <c r="Q816" s="226"/>
      <c r="R816" s="226"/>
      <c r="S816" s="226"/>
      <c r="T816" s="226"/>
      <c r="U816" s="226"/>
    </row>
    <row r="817" spans="3:21" x14ac:dyDescent="0.35">
      <c r="C817" s="226"/>
      <c r="E817" s="226"/>
      <c r="G817" s="226"/>
      <c r="I817" s="226"/>
      <c r="J817" s="226"/>
      <c r="P817" s="226"/>
      <c r="Q817" s="226"/>
      <c r="R817" s="226"/>
      <c r="S817" s="226"/>
      <c r="T817" s="226"/>
      <c r="U817" s="226"/>
    </row>
    <row r="818" spans="3:21" x14ac:dyDescent="0.35">
      <c r="C818" s="226"/>
      <c r="E818" s="226"/>
      <c r="G818" s="226"/>
      <c r="I818" s="226"/>
      <c r="J818" s="226"/>
      <c r="P818" s="226"/>
      <c r="Q818" s="226"/>
      <c r="R818" s="226"/>
      <c r="S818" s="226"/>
      <c r="T818" s="226"/>
      <c r="U818" s="226"/>
    </row>
    <row r="819" spans="3:21" x14ac:dyDescent="0.35">
      <c r="C819" s="226"/>
      <c r="E819" s="226"/>
      <c r="G819" s="226"/>
      <c r="I819" s="226"/>
      <c r="J819" s="226"/>
      <c r="P819" s="226"/>
      <c r="Q819" s="226"/>
      <c r="R819" s="226"/>
      <c r="S819" s="226"/>
      <c r="T819" s="226"/>
      <c r="U819" s="226"/>
    </row>
    <row r="820" spans="3:21" x14ac:dyDescent="0.35">
      <c r="C820" s="226"/>
      <c r="E820" s="226"/>
      <c r="G820" s="226"/>
      <c r="I820" s="226"/>
      <c r="J820" s="226"/>
      <c r="P820" s="226"/>
      <c r="Q820" s="226"/>
      <c r="R820" s="226"/>
      <c r="S820" s="226"/>
      <c r="T820" s="226"/>
      <c r="U820" s="226"/>
    </row>
    <row r="821" spans="3:21" x14ac:dyDescent="0.35">
      <c r="C821" s="226"/>
      <c r="E821" s="226"/>
      <c r="G821" s="226"/>
      <c r="I821" s="226"/>
      <c r="J821" s="226"/>
      <c r="P821" s="226"/>
      <c r="Q821" s="226"/>
      <c r="R821" s="226"/>
      <c r="S821" s="226"/>
      <c r="T821" s="226"/>
      <c r="U821" s="226"/>
    </row>
    <row r="822" spans="3:21" x14ac:dyDescent="0.35">
      <c r="C822" s="226"/>
      <c r="E822" s="226"/>
      <c r="G822" s="226"/>
      <c r="I822" s="226"/>
      <c r="J822" s="226"/>
      <c r="P822" s="226"/>
      <c r="Q822" s="226"/>
      <c r="R822" s="226"/>
      <c r="S822" s="226"/>
      <c r="T822" s="226"/>
      <c r="U822" s="226"/>
    </row>
    <row r="823" spans="3:21" x14ac:dyDescent="0.35">
      <c r="C823" s="226"/>
      <c r="E823" s="226"/>
      <c r="G823" s="226"/>
      <c r="I823" s="226"/>
      <c r="J823" s="226"/>
      <c r="P823" s="226"/>
      <c r="Q823" s="226"/>
      <c r="R823" s="226"/>
      <c r="S823" s="226"/>
      <c r="T823" s="226"/>
      <c r="U823" s="226"/>
    </row>
    <row r="824" spans="3:21" x14ac:dyDescent="0.35">
      <c r="C824" s="226"/>
      <c r="E824" s="226"/>
      <c r="G824" s="226"/>
      <c r="I824" s="226"/>
      <c r="J824" s="226"/>
      <c r="P824" s="226"/>
      <c r="Q824" s="226"/>
      <c r="R824" s="226"/>
      <c r="S824" s="226"/>
      <c r="T824" s="226"/>
      <c r="U824" s="226"/>
    </row>
    <row r="825" spans="3:21" x14ac:dyDescent="0.35">
      <c r="C825" s="226"/>
      <c r="E825" s="226"/>
      <c r="G825" s="226"/>
      <c r="I825" s="226"/>
      <c r="J825" s="226"/>
      <c r="P825" s="226"/>
      <c r="Q825" s="226"/>
      <c r="R825" s="226"/>
      <c r="S825" s="226"/>
      <c r="T825" s="226"/>
      <c r="U825" s="226"/>
    </row>
    <row r="826" spans="3:21" x14ac:dyDescent="0.35">
      <c r="C826" s="226"/>
      <c r="E826" s="226"/>
      <c r="G826" s="226"/>
      <c r="I826" s="226"/>
      <c r="J826" s="226"/>
      <c r="P826" s="226"/>
      <c r="Q826" s="226"/>
      <c r="R826" s="226"/>
      <c r="S826" s="226"/>
      <c r="T826" s="226"/>
      <c r="U826" s="226"/>
    </row>
    <row r="827" spans="3:21" x14ac:dyDescent="0.35">
      <c r="C827" s="226"/>
      <c r="E827" s="226"/>
      <c r="G827" s="226"/>
      <c r="I827" s="226"/>
      <c r="J827" s="226"/>
      <c r="P827" s="226"/>
      <c r="Q827" s="226"/>
      <c r="R827" s="226"/>
      <c r="S827" s="226"/>
      <c r="T827" s="226"/>
      <c r="U827" s="226"/>
    </row>
    <row r="828" spans="3:21" x14ac:dyDescent="0.35">
      <c r="C828" s="226"/>
      <c r="E828" s="226"/>
      <c r="G828" s="226"/>
      <c r="I828" s="226"/>
      <c r="J828" s="226"/>
      <c r="P828" s="226"/>
      <c r="Q828" s="226"/>
      <c r="R828" s="226"/>
      <c r="S828" s="226"/>
      <c r="T828" s="226"/>
      <c r="U828" s="226"/>
    </row>
    <row r="829" spans="3:21" x14ac:dyDescent="0.35">
      <c r="C829" s="226"/>
      <c r="E829" s="226"/>
      <c r="G829" s="226"/>
      <c r="I829" s="226"/>
      <c r="J829" s="226"/>
      <c r="P829" s="226"/>
      <c r="Q829" s="226"/>
      <c r="R829" s="226"/>
      <c r="S829" s="226"/>
      <c r="T829" s="226"/>
      <c r="U829" s="226"/>
    </row>
    <row r="830" spans="3:21" x14ac:dyDescent="0.35">
      <c r="C830" s="226"/>
      <c r="E830" s="226"/>
      <c r="G830" s="226"/>
      <c r="I830" s="226"/>
      <c r="J830" s="226"/>
      <c r="P830" s="226"/>
      <c r="Q830" s="226"/>
      <c r="R830" s="226"/>
      <c r="S830" s="226"/>
      <c r="T830" s="226"/>
      <c r="U830" s="226"/>
    </row>
    <row r="831" spans="3:21" x14ac:dyDescent="0.35">
      <c r="C831" s="226"/>
      <c r="E831" s="226"/>
      <c r="G831" s="226"/>
      <c r="I831" s="226"/>
      <c r="J831" s="226"/>
      <c r="P831" s="226"/>
      <c r="Q831" s="226"/>
      <c r="R831" s="226"/>
      <c r="S831" s="226"/>
      <c r="T831" s="226"/>
      <c r="U831" s="226"/>
    </row>
    <row r="832" spans="3:21" x14ac:dyDescent="0.35">
      <c r="C832" s="226"/>
      <c r="E832" s="226"/>
      <c r="G832" s="226"/>
      <c r="I832" s="226"/>
      <c r="J832" s="226"/>
      <c r="P832" s="226"/>
      <c r="Q832" s="226"/>
      <c r="R832" s="226"/>
      <c r="S832" s="226"/>
      <c r="T832" s="226"/>
      <c r="U832" s="226"/>
    </row>
    <row r="833" spans="3:21" x14ac:dyDescent="0.35">
      <c r="C833" s="226"/>
      <c r="E833" s="226"/>
      <c r="G833" s="226"/>
      <c r="I833" s="226"/>
      <c r="J833" s="226"/>
      <c r="P833" s="226"/>
      <c r="Q833" s="226"/>
      <c r="R833" s="226"/>
      <c r="S833" s="226"/>
      <c r="T833" s="226"/>
      <c r="U833" s="226"/>
    </row>
    <row r="834" spans="3:21" x14ac:dyDescent="0.35">
      <c r="C834" s="226"/>
      <c r="E834" s="226"/>
      <c r="G834" s="226"/>
      <c r="I834" s="226"/>
      <c r="J834" s="226"/>
      <c r="P834" s="226"/>
      <c r="Q834" s="226"/>
      <c r="R834" s="226"/>
      <c r="S834" s="226"/>
      <c r="T834" s="226"/>
      <c r="U834" s="226"/>
    </row>
    <row r="835" spans="3:21" x14ac:dyDescent="0.35">
      <c r="C835" s="226"/>
      <c r="E835" s="226"/>
      <c r="G835" s="226"/>
      <c r="I835" s="226"/>
      <c r="J835" s="226"/>
      <c r="P835" s="226"/>
      <c r="Q835" s="226"/>
      <c r="R835" s="226"/>
      <c r="S835" s="226"/>
      <c r="T835" s="226"/>
      <c r="U835" s="226"/>
    </row>
    <row r="836" spans="3:21" x14ac:dyDescent="0.35">
      <c r="C836" s="226"/>
      <c r="E836" s="226"/>
      <c r="G836" s="226"/>
      <c r="I836" s="226"/>
      <c r="J836" s="226"/>
      <c r="P836" s="226"/>
      <c r="Q836" s="226"/>
      <c r="R836" s="226"/>
      <c r="S836" s="226"/>
      <c r="T836" s="226"/>
      <c r="U836" s="226"/>
    </row>
    <row r="837" spans="3:21" x14ac:dyDescent="0.35">
      <c r="C837" s="226"/>
      <c r="E837" s="226"/>
      <c r="G837" s="226"/>
      <c r="I837" s="226"/>
      <c r="J837" s="226"/>
      <c r="P837" s="226"/>
      <c r="Q837" s="226"/>
      <c r="R837" s="226"/>
      <c r="S837" s="226"/>
      <c r="T837" s="226"/>
      <c r="U837" s="226"/>
    </row>
    <row r="838" spans="3:21" x14ac:dyDescent="0.35">
      <c r="C838" s="226"/>
      <c r="E838" s="226"/>
      <c r="G838" s="226"/>
      <c r="I838" s="226"/>
      <c r="J838" s="226"/>
      <c r="P838" s="226"/>
      <c r="Q838" s="226"/>
      <c r="R838" s="226"/>
      <c r="S838" s="226"/>
      <c r="T838" s="226"/>
      <c r="U838" s="226"/>
    </row>
    <row r="839" spans="3:21" x14ac:dyDescent="0.35">
      <c r="C839" s="226"/>
      <c r="E839" s="226"/>
      <c r="G839" s="226"/>
      <c r="I839" s="226"/>
      <c r="J839" s="226"/>
      <c r="P839" s="226"/>
      <c r="Q839" s="226"/>
      <c r="R839" s="226"/>
      <c r="S839" s="226"/>
      <c r="T839" s="226"/>
      <c r="U839" s="226"/>
    </row>
    <row r="840" spans="3:21" x14ac:dyDescent="0.35">
      <c r="C840" s="226"/>
      <c r="E840" s="226"/>
      <c r="G840" s="226"/>
      <c r="I840" s="226"/>
      <c r="J840" s="226"/>
      <c r="P840" s="226"/>
      <c r="Q840" s="226"/>
      <c r="R840" s="226"/>
      <c r="S840" s="226"/>
      <c r="T840" s="226"/>
      <c r="U840" s="226"/>
    </row>
    <row r="841" spans="3:21" x14ac:dyDescent="0.35">
      <c r="C841" s="226"/>
      <c r="E841" s="226"/>
      <c r="G841" s="226"/>
      <c r="I841" s="226"/>
      <c r="J841" s="226"/>
      <c r="P841" s="226"/>
      <c r="Q841" s="226"/>
      <c r="R841" s="226"/>
      <c r="S841" s="226"/>
      <c r="T841" s="226"/>
      <c r="U841" s="226"/>
    </row>
    <row r="842" spans="3:21" x14ac:dyDescent="0.35">
      <c r="C842" s="226"/>
      <c r="E842" s="226"/>
      <c r="G842" s="226"/>
      <c r="I842" s="226"/>
      <c r="J842" s="226"/>
      <c r="P842" s="226"/>
      <c r="Q842" s="226"/>
      <c r="R842" s="226"/>
      <c r="S842" s="226"/>
      <c r="T842" s="226"/>
      <c r="U842" s="226"/>
    </row>
    <row r="843" spans="3:21" x14ac:dyDescent="0.35">
      <c r="C843" s="226"/>
      <c r="E843" s="226"/>
      <c r="G843" s="226"/>
      <c r="I843" s="226"/>
      <c r="J843" s="226"/>
      <c r="P843" s="226"/>
      <c r="Q843" s="226"/>
      <c r="R843" s="226"/>
      <c r="S843" s="226"/>
      <c r="T843" s="226"/>
      <c r="U843" s="226"/>
    </row>
    <row r="844" spans="3:21" x14ac:dyDescent="0.35">
      <c r="C844" s="226"/>
      <c r="E844" s="226"/>
      <c r="G844" s="226"/>
      <c r="I844" s="226"/>
      <c r="J844" s="226"/>
      <c r="P844" s="226"/>
      <c r="Q844" s="226"/>
      <c r="R844" s="226"/>
      <c r="S844" s="226"/>
      <c r="T844" s="226"/>
      <c r="U844" s="226"/>
    </row>
    <row r="845" spans="3:21" x14ac:dyDescent="0.35">
      <c r="C845" s="226"/>
      <c r="E845" s="226"/>
      <c r="G845" s="226"/>
      <c r="I845" s="226"/>
      <c r="J845" s="226"/>
      <c r="P845" s="226"/>
      <c r="Q845" s="226"/>
      <c r="R845" s="226"/>
      <c r="S845" s="226"/>
      <c r="T845" s="226"/>
      <c r="U845" s="226"/>
    </row>
    <row r="846" spans="3:21" x14ac:dyDescent="0.35">
      <c r="C846" s="226"/>
      <c r="E846" s="226"/>
      <c r="G846" s="226"/>
      <c r="I846" s="226"/>
      <c r="J846" s="226"/>
      <c r="P846" s="226"/>
      <c r="Q846" s="226"/>
      <c r="R846" s="226"/>
      <c r="S846" s="226"/>
      <c r="T846" s="226"/>
      <c r="U846" s="226"/>
    </row>
    <row r="847" spans="3:21" x14ac:dyDescent="0.35">
      <c r="C847" s="226"/>
      <c r="E847" s="226"/>
      <c r="G847" s="226"/>
      <c r="I847" s="226"/>
      <c r="J847" s="226"/>
      <c r="P847" s="226"/>
      <c r="Q847" s="226"/>
      <c r="R847" s="226"/>
      <c r="S847" s="226"/>
      <c r="T847" s="226"/>
      <c r="U847" s="226"/>
    </row>
    <row r="848" spans="3:21" x14ac:dyDescent="0.35">
      <c r="C848" s="226"/>
      <c r="E848" s="226"/>
      <c r="G848" s="226"/>
      <c r="I848" s="226"/>
      <c r="J848" s="226"/>
      <c r="P848" s="226"/>
      <c r="Q848" s="226"/>
      <c r="R848" s="226"/>
      <c r="S848" s="226"/>
      <c r="T848" s="226"/>
      <c r="U848" s="226"/>
    </row>
    <row r="849" spans="3:21" x14ac:dyDescent="0.35">
      <c r="C849" s="226"/>
      <c r="E849" s="226"/>
      <c r="G849" s="226"/>
      <c r="I849" s="226"/>
      <c r="J849" s="226"/>
      <c r="P849" s="226"/>
      <c r="Q849" s="226"/>
      <c r="R849" s="226"/>
      <c r="S849" s="226"/>
      <c r="T849" s="226"/>
      <c r="U849" s="226"/>
    </row>
    <row r="850" spans="3:21" x14ac:dyDescent="0.35">
      <c r="C850" s="226"/>
      <c r="E850" s="226"/>
      <c r="G850" s="226"/>
      <c r="I850" s="226"/>
      <c r="J850" s="226"/>
      <c r="P850" s="226"/>
      <c r="Q850" s="226"/>
      <c r="R850" s="226"/>
      <c r="S850" s="226"/>
      <c r="T850" s="226"/>
      <c r="U850" s="226"/>
    </row>
    <row r="851" spans="3:21" x14ac:dyDescent="0.35">
      <c r="C851" s="226"/>
      <c r="E851" s="226"/>
      <c r="G851" s="226"/>
      <c r="I851" s="226"/>
      <c r="J851" s="226"/>
      <c r="P851" s="226"/>
      <c r="Q851" s="226"/>
      <c r="R851" s="226"/>
      <c r="S851" s="226"/>
      <c r="T851" s="226"/>
      <c r="U851" s="226"/>
    </row>
    <row r="852" spans="3:21" x14ac:dyDescent="0.35">
      <c r="C852" s="226"/>
      <c r="E852" s="226"/>
      <c r="G852" s="226"/>
      <c r="I852" s="226"/>
      <c r="J852" s="226"/>
      <c r="P852" s="226"/>
      <c r="Q852" s="226"/>
      <c r="R852" s="226"/>
      <c r="S852" s="226"/>
      <c r="T852" s="226"/>
      <c r="U852" s="226"/>
    </row>
    <row r="853" spans="3:21" x14ac:dyDescent="0.35">
      <c r="C853" s="226"/>
      <c r="E853" s="226"/>
      <c r="G853" s="226"/>
      <c r="I853" s="226"/>
      <c r="J853" s="226"/>
      <c r="P853" s="226"/>
      <c r="Q853" s="226"/>
      <c r="R853" s="226"/>
      <c r="S853" s="226"/>
      <c r="T853" s="226"/>
      <c r="U853" s="226"/>
    </row>
    <row r="854" spans="3:21" x14ac:dyDescent="0.35">
      <c r="C854" s="226"/>
      <c r="E854" s="226"/>
      <c r="G854" s="226"/>
      <c r="I854" s="226"/>
      <c r="J854" s="226"/>
      <c r="P854" s="226"/>
      <c r="Q854" s="226"/>
      <c r="R854" s="226"/>
      <c r="S854" s="226"/>
      <c r="T854" s="226"/>
      <c r="U854" s="226"/>
    </row>
    <row r="855" spans="3:21" x14ac:dyDescent="0.35">
      <c r="C855" s="226"/>
      <c r="E855" s="226"/>
      <c r="G855" s="226"/>
      <c r="I855" s="226"/>
      <c r="J855" s="226"/>
      <c r="P855" s="226"/>
      <c r="Q855" s="226"/>
      <c r="R855" s="226"/>
      <c r="S855" s="226"/>
      <c r="T855" s="226"/>
      <c r="U855" s="226"/>
    </row>
    <row r="856" spans="3:21" x14ac:dyDescent="0.35">
      <c r="C856" s="226"/>
      <c r="E856" s="226"/>
      <c r="G856" s="226"/>
      <c r="I856" s="226"/>
      <c r="J856" s="226"/>
      <c r="P856" s="226"/>
      <c r="Q856" s="226"/>
      <c r="R856" s="226"/>
      <c r="S856" s="226"/>
      <c r="T856" s="226"/>
      <c r="U856" s="226"/>
    </row>
    <row r="857" spans="3:21" x14ac:dyDescent="0.35">
      <c r="C857" s="226"/>
      <c r="E857" s="226"/>
      <c r="G857" s="226"/>
      <c r="I857" s="226"/>
      <c r="J857" s="226"/>
      <c r="P857" s="226"/>
      <c r="Q857" s="226"/>
      <c r="R857" s="226"/>
      <c r="S857" s="226"/>
      <c r="T857" s="226"/>
      <c r="U857" s="226"/>
    </row>
    <row r="858" spans="3:21" x14ac:dyDescent="0.35">
      <c r="C858" s="226"/>
      <c r="E858" s="226"/>
      <c r="G858" s="226"/>
      <c r="I858" s="226"/>
      <c r="J858" s="226"/>
      <c r="P858" s="226"/>
      <c r="Q858" s="226"/>
      <c r="R858" s="226"/>
      <c r="S858" s="226"/>
      <c r="T858" s="226"/>
      <c r="U858" s="226"/>
    </row>
    <row r="859" spans="3:21" x14ac:dyDescent="0.35">
      <c r="C859" s="226"/>
      <c r="E859" s="226"/>
      <c r="G859" s="226"/>
      <c r="I859" s="226"/>
      <c r="J859" s="226"/>
      <c r="P859" s="226"/>
      <c r="Q859" s="226"/>
      <c r="R859" s="226"/>
      <c r="S859" s="226"/>
      <c r="T859" s="226"/>
      <c r="U859" s="226"/>
    </row>
    <row r="860" spans="3:21" x14ac:dyDescent="0.35">
      <c r="C860" s="226"/>
      <c r="E860" s="226"/>
      <c r="G860" s="226"/>
      <c r="I860" s="226"/>
      <c r="J860" s="226"/>
      <c r="P860" s="226"/>
      <c r="Q860" s="226"/>
      <c r="R860" s="226"/>
      <c r="S860" s="226"/>
      <c r="T860" s="226"/>
      <c r="U860" s="226"/>
    </row>
    <row r="861" spans="3:21" x14ac:dyDescent="0.35">
      <c r="C861" s="226"/>
      <c r="E861" s="226"/>
      <c r="G861" s="226"/>
      <c r="I861" s="226"/>
      <c r="J861" s="226"/>
      <c r="P861" s="226"/>
      <c r="Q861" s="226"/>
      <c r="R861" s="226"/>
      <c r="S861" s="226"/>
      <c r="T861" s="226"/>
      <c r="U861" s="226"/>
    </row>
    <row r="862" spans="3:21" x14ac:dyDescent="0.35">
      <c r="C862" s="226"/>
      <c r="E862" s="226"/>
      <c r="G862" s="226"/>
      <c r="I862" s="226"/>
      <c r="J862" s="226"/>
      <c r="P862" s="226"/>
      <c r="Q862" s="226"/>
      <c r="R862" s="226"/>
      <c r="S862" s="226"/>
      <c r="T862" s="226"/>
      <c r="U862" s="226"/>
    </row>
    <row r="863" spans="3:21" x14ac:dyDescent="0.35">
      <c r="C863" s="226"/>
      <c r="E863" s="226"/>
      <c r="G863" s="226"/>
      <c r="I863" s="226"/>
      <c r="J863" s="226"/>
      <c r="P863" s="226"/>
      <c r="Q863" s="226"/>
      <c r="R863" s="226"/>
      <c r="S863" s="226"/>
      <c r="T863" s="226"/>
      <c r="U863" s="226"/>
    </row>
    <row r="864" spans="3:21" x14ac:dyDescent="0.35">
      <c r="C864" s="226"/>
      <c r="E864" s="226"/>
      <c r="G864" s="226"/>
      <c r="I864" s="226"/>
      <c r="J864" s="226"/>
      <c r="P864" s="226"/>
      <c r="Q864" s="226"/>
      <c r="R864" s="226"/>
      <c r="S864" s="226"/>
      <c r="T864" s="226"/>
      <c r="U864" s="226"/>
    </row>
    <row r="865" spans="3:21" x14ac:dyDescent="0.35">
      <c r="C865" s="226"/>
      <c r="E865" s="226"/>
      <c r="G865" s="226"/>
      <c r="I865" s="226"/>
      <c r="J865" s="226"/>
      <c r="P865" s="226"/>
      <c r="Q865" s="226"/>
      <c r="R865" s="226"/>
      <c r="S865" s="226"/>
      <c r="T865" s="226"/>
      <c r="U865" s="226"/>
    </row>
    <row r="866" spans="3:21" x14ac:dyDescent="0.35">
      <c r="C866" s="226"/>
      <c r="E866" s="226"/>
      <c r="G866" s="226"/>
      <c r="I866" s="226"/>
      <c r="J866" s="226"/>
      <c r="P866" s="226"/>
      <c r="Q866" s="226"/>
      <c r="R866" s="226"/>
      <c r="S866" s="226"/>
      <c r="T866" s="226"/>
      <c r="U866" s="226"/>
    </row>
    <row r="867" spans="3:21" x14ac:dyDescent="0.35">
      <c r="C867" s="226"/>
      <c r="E867" s="226"/>
      <c r="G867" s="226"/>
      <c r="I867" s="226"/>
      <c r="J867" s="226"/>
      <c r="P867" s="226"/>
      <c r="Q867" s="226"/>
      <c r="R867" s="226"/>
      <c r="S867" s="226"/>
      <c r="T867" s="226"/>
      <c r="U867" s="226"/>
    </row>
    <row r="868" spans="3:21" x14ac:dyDescent="0.35">
      <c r="C868" s="226"/>
      <c r="E868" s="226"/>
      <c r="G868" s="226"/>
      <c r="I868" s="226"/>
      <c r="J868" s="226"/>
      <c r="P868" s="226"/>
      <c r="Q868" s="226"/>
      <c r="R868" s="226"/>
      <c r="S868" s="226"/>
      <c r="T868" s="226"/>
      <c r="U868" s="226"/>
    </row>
    <row r="869" spans="3:21" x14ac:dyDescent="0.35">
      <c r="C869" s="226"/>
      <c r="E869" s="226"/>
      <c r="G869" s="226"/>
      <c r="I869" s="226"/>
      <c r="J869" s="226"/>
      <c r="P869" s="226"/>
      <c r="Q869" s="226"/>
      <c r="R869" s="226"/>
      <c r="S869" s="226"/>
      <c r="T869" s="226"/>
      <c r="U869" s="226"/>
    </row>
    <row r="870" spans="3:21" x14ac:dyDescent="0.35">
      <c r="C870" s="226"/>
      <c r="E870" s="226"/>
      <c r="G870" s="226"/>
      <c r="I870" s="226"/>
      <c r="J870" s="226"/>
      <c r="P870" s="226"/>
      <c r="Q870" s="226"/>
      <c r="R870" s="226"/>
      <c r="S870" s="226"/>
      <c r="T870" s="226"/>
      <c r="U870" s="226"/>
    </row>
    <row r="871" spans="3:21" x14ac:dyDescent="0.35">
      <c r="C871" s="226"/>
      <c r="E871" s="226"/>
      <c r="G871" s="226"/>
      <c r="I871" s="226"/>
      <c r="J871" s="226"/>
      <c r="P871" s="226"/>
      <c r="Q871" s="226"/>
      <c r="R871" s="226"/>
      <c r="S871" s="226"/>
      <c r="T871" s="226"/>
      <c r="U871" s="226"/>
    </row>
    <row r="872" spans="3:21" x14ac:dyDescent="0.35">
      <c r="C872" s="226"/>
      <c r="E872" s="226"/>
      <c r="G872" s="226"/>
      <c r="I872" s="226"/>
      <c r="J872" s="226"/>
      <c r="P872" s="226"/>
      <c r="Q872" s="226"/>
      <c r="R872" s="226"/>
      <c r="S872" s="226"/>
      <c r="T872" s="226"/>
      <c r="U872" s="226"/>
    </row>
    <row r="873" spans="3:21" x14ac:dyDescent="0.35">
      <c r="C873" s="226"/>
      <c r="E873" s="226"/>
      <c r="G873" s="226"/>
      <c r="I873" s="226"/>
      <c r="J873" s="226"/>
      <c r="P873" s="226"/>
      <c r="Q873" s="226"/>
      <c r="R873" s="226"/>
      <c r="S873" s="226"/>
      <c r="T873" s="226"/>
      <c r="U873" s="226"/>
    </row>
    <row r="874" spans="3:21" x14ac:dyDescent="0.35">
      <c r="C874" s="226"/>
      <c r="E874" s="226"/>
      <c r="G874" s="226"/>
      <c r="I874" s="226"/>
      <c r="J874" s="226"/>
      <c r="P874" s="226"/>
      <c r="Q874" s="226"/>
      <c r="R874" s="226"/>
      <c r="S874" s="226"/>
      <c r="T874" s="226"/>
      <c r="U874" s="226"/>
    </row>
    <row r="875" spans="3:21" x14ac:dyDescent="0.35">
      <c r="C875" s="226"/>
      <c r="E875" s="226"/>
      <c r="G875" s="226"/>
      <c r="I875" s="226"/>
      <c r="J875" s="226"/>
      <c r="P875" s="226"/>
      <c r="Q875" s="226"/>
      <c r="R875" s="226"/>
      <c r="S875" s="226"/>
      <c r="T875" s="226"/>
      <c r="U875" s="226"/>
    </row>
    <row r="876" spans="3:21" x14ac:dyDescent="0.35">
      <c r="C876" s="226"/>
      <c r="E876" s="226"/>
      <c r="G876" s="226"/>
      <c r="I876" s="226"/>
      <c r="J876" s="226"/>
      <c r="P876" s="226"/>
      <c r="Q876" s="226"/>
      <c r="R876" s="226"/>
      <c r="S876" s="226"/>
      <c r="T876" s="226"/>
      <c r="U876" s="226"/>
    </row>
    <row r="877" spans="3:21" x14ac:dyDescent="0.35">
      <c r="C877" s="226"/>
      <c r="E877" s="226"/>
      <c r="G877" s="226"/>
      <c r="I877" s="226"/>
      <c r="J877" s="226"/>
      <c r="P877" s="226"/>
      <c r="Q877" s="226"/>
      <c r="R877" s="226"/>
      <c r="S877" s="226"/>
      <c r="T877" s="226"/>
      <c r="U877" s="226"/>
    </row>
    <row r="878" spans="3:21" x14ac:dyDescent="0.35">
      <c r="C878" s="226"/>
      <c r="E878" s="226"/>
      <c r="G878" s="226"/>
      <c r="I878" s="226"/>
      <c r="J878" s="226"/>
      <c r="P878" s="226"/>
      <c r="Q878" s="226"/>
      <c r="R878" s="226"/>
      <c r="S878" s="226"/>
      <c r="T878" s="226"/>
      <c r="U878" s="226"/>
    </row>
    <row r="879" spans="3:21" x14ac:dyDescent="0.35">
      <c r="C879" s="226"/>
      <c r="E879" s="226"/>
      <c r="G879" s="226"/>
      <c r="I879" s="226"/>
      <c r="J879" s="226"/>
      <c r="P879" s="226"/>
      <c r="Q879" s="226"/>
      <c r="R879" s="226"/>
      <c r="S879" s="226"/>
      <c r="T879" s="226"/>
      <c r="U879" s="226"/>
    </row>
    <row r="880" spans="3:21" x14ac:dyDescent="0.35">
      <c r="C880" s="226"/>
      <c r="E880" s="226"/>
      <c r="G880" s="226"/>
      <c r="I880" s="226"/>
      <c r="J880" s="226"/>
      <c r="P880" s="226"/>
      <c r="Q880" s="226"/>
      <c r="R880" s="226"/>
      <c r="S880" s="226"/>
      <c r="T880" s="226"/>
      <c r="U880" s="226"/>
    </row>
    <row r="881" spans="3:21" x14ac:dyDescent="0.35">
      <c r="C881" s="226"/>
      <c r="E881" s="226"/>
      <c r="G881" s="226"/>
      <c r="I881" s="226"/>
      <c r="J881" s="226"/>
      <c r="P881" s="226"/>
      <c r="Q881" s="226"/>
      <c r="R881" s="226"/>
      <c r="S881" s="226"/>
      <c r="T881" s="226"/>
      <c r="U881" s="226"/>
    </row>
    <row r="882" spans="3:21" x14ac:dyDescent="0.35">
      <c r="C882" s="226"/>
      <c r="E882" s="226"/>
      <c r="G882" s="226"/>
      <c r="I882" s="226"/>
      <c r="J882" s="226"/>
      <c r="P882" s="226"/>
      <c r="Q882" s="226"/>
      <c r="R882" s="226"/>
      <c r="S882" s="226"/>
      <c r="T882" s="226"/>
      <c r="U882" s="226"/>
    </row>
    <row r="883" spans="3:21" x14ac:dyDescent="0.35">
      <c r="C883" s="226"/>
      <c r="E883" s="226"/>
      <c r="G883" s="226"/>
      <c r="I883" s="226"/>
      <c r="J883" s="226"/>
      <c r="P883" s="226"/>
      <c r="Q883" s="226"/>
      <c r="R883" s="226"/>
      <c r="S883" s="226"/>
      <c r="T883" s="226"/>
      <c r="U883" s="226"/>
    </row>
    <row r="884" spans="3:21" x14ac:dyDescent="0.35">
      <c r="C884" s="226"/>
      <c r="E884" s="226"/>
      <c r="G884" s="226"/>
      <c r="I884" s="226"/>
      <c r="J884" s="226"/>
      <c r="P884" s="226"/>
      <c r="Q884" s="226"/>
      <c r="R884" s="226"/>
      <c r="S884" s="226"/>
      <c r="T884" s="226"/>
      <c r="U884" s="226"/>
    </row>
    <row r="885" spans="3:21" x14ac:dyDescent="0.35">
      <c r="C885" s="226"/>
      <c r="E885" s="226"/>
      <c r="G885" s="226"/>
      <c r="I885" s="226"/>
      <c r="J885" s="226"/>
      <c r="P885" s="226"/>
      <c r="Q885" s="226"/>
      <c r="R885" s="226"/>
      <c r="S885" s="226"/>
      <c r="T885" s="226"/>
      <c r="U885" s="226"/>
    </row>
    <row r="886" spans="3:21" x14ac:dyDescent="0.35">
      <c r="C886" s="226"/>
      <c r="E886" s="226"/>
      <c r="G886" s="226"/>
      <c r="I886" s="226"/>
      <c r="J886" s="226"/>
      <c r="P886" s="226"/>
      <c r="Q886" s="226"/>
      <c r="R886" s="226"/>
      <c r="S886" s="226"/>
      <c r="T886" s="226"/>
      <c r="U886" s="226"/>
    </row>
    <row r="887" spans="3:21" x14ac:dyDescent="0.35">
      <c r="C887" s="226"/>
      <c r="E887" s="226"/>
      <c r="G887" s="226"/>
      <c r="I887" s="226"/>
      <c r="J887" s="226"/>
      <c r="P887" s="226"/>
      <c r="Q887" s="226"/>
      <c r="R887" s="226"/>
      <c r="S887" s="226"/>
      <c r="T887" s="226"/>
      <c r="U887" s="226"/>
    </row>
    <row r="888" spans="3:21" x14ac:dyDescent="0.35">
      <c r="C888" s="226"/>
      <c r="E888" s="226"/>
      <c r="G888" s="226"/>
      <c r="I888" s="226"/>
      <c r="J888" s="226"/>
      <c r="P888" s="226"/>
      <c r="Q888" s="226"/>
      <c r="R888" s="226"/>
      <c r="S888" s="226"/>
      <c r="T888" s="226"/>
      <c r="U888" s="226"/>
    </row>
    <row r="889" spans="3:21" x14ac:dyDescent="0.35">
      <c r="C889" s="226"/>
      <c r="E889" s="226"/>
      <c r="G889" s="226"/>
      <c r="I889" s="226"/>
      <c r="J889" s="226"/>
      <c r="P889" s="226"/>
      <c r="Q889" s="226"/>
      <c r="R889" s="226"/>
      <c r="S889" s="226"/>
      <c r="T889" s="226"/>
      <c r="U889" s="226"/>
    </row>
    <row r="890" spans="3:21" x14ac:dyDescent="0.35">
      <c r="C890" s="226"/>
      <c r="E890" s="226"/>
      <c r="G890" s="226"/>
      <c r="I890" s="226"/>
      <c r="J890" s="226"/>
      <c r="P890" s="226"/>
      <c r="Q890" s="226"/>
      <c r="R890" s="226"/>
      <c r="S890" s="226"/>
      <c r="T890" s="226"/>
      <c r="U890" s="226"/>
    </row>
    <row r="891" spans="3:21" x14ac:dyDescent="0.35">
      <c r="C891" s="226"/>
      <c r="E891" s="226"/>
      <c r="G891" s="226"/>
      <c r="I891" s="226"/>
      <c r="J891" s="226"/>
      <c r="P891" s="226"/>
      <c r="Q891" s="226"/>
      <c r="R891" s="226"/>
      <c r="S891" s="226"/>
      <c r="T891" s="226"/>
      <c r="U891" s="226"/>
    </row>
    <row r="892" spans="3:21" x14ac:dyDescent="0.35">
      <c r="C892" s="226"/>
      <c r="E892" s="226"/>
      <c r="G892" s="226"/>
      <c r="I892" s="226"/>
      <c r="J892" s="226"/>
      <c r="P892" s="226"/>
      <c r="Q892" s="226"/>
      <c r="R892" s="226"/>
      <c r="S892" s="226"/>
      <c r="T892" s="226"/>
      <c r="U892" s="226"/>
    </row>
    <row r="893" spans="3:21" x14ac:dyDescent="0.35">
      <c r="C893" s="226"/>
      <c r="E893" s="226"/>
      <c r="G893" s="226"/>
      <c r="I893" s="226"/>
      <c r="J893" s="226"/>
      <c r="P893" s="226"/>
      <c r="Q893" s="226"/>
      <c r="R893" s="226"/>
      <c r="S893" s="226"/>
      <c r="T893" s="226"/>
      <c r="U893" s="226"/>
    </row>
    <row r="894" spans="3:21" x14ac:dyDescent="0.35">
      <c r="C894" s="226"/>
      <c r="E894" s="226"/>
      <c r="G894" s="226"/>
      <c r="I894" s="226"/>
      <c r="J894" s="226"/>
      <c r="P894" s="226"/>
      <c r="Q894" s="226"/>
      <c r="R894" s="226"/>
      <c r="S894" s="226"/>
      <c r="T894" s="226"/>
      <c r="U894" s="226"/>
    </row>
    <row r="895" spans="3:21" x14ac:dyDescent="0.35">
      <c r="C895" s="226"/>
      <c r="E895" s="226"/>
      <c r="G895" s="226"/>
      <c r="I895" s="226"/>
      <c r="J895" s="226"/>
      <c r="P895" s="226"/>
      <c r="Q895" s="226"/>
      <c r="R895" s="226"/>
      <c r="S895" s="226"/>
      <c r="T895" s="226"/>
      <c r="U895" s="226"/>
    </row>
    <row r="896" spans="3:21" x14ac:dyDescent="0.35">
      <c r="C896" s="226"/>
      <c r="E896" s="226"/>
      <c r="G896" s="226"/>
      <c r="I896" s="226"/>
      <c r="J896" s="226"/>
      <c r="P896" s="226"/>
      <c r="Q896" s="226"/>
      <c r="R896" s="226"/>
      <c r="S896" s="226"/>
      <c r="T896" s="226"/>
      <c r="U896" s="226"/>
    </row>
    <row r="897" spans="3:21" x14ac:dyDescent="0.35">
      <c r="C897" s="226"/>
      <c r="E897" s="226"/>
      <c r="G897" s="226"/>
      <c r="I897" s="226"/>
      <c r="J897" s="226"/>
      <c r="P897" s="226"/>
      <c r="Q897" s="226"/>
      <c r="R897" s="226"/>
      <c r="S897" s="226"/>
      <c r="T897" s="226"/>
      <c r="U897" s="226"/>
    </row>
    <row r="898" spans="3:21" x14ac:dyDescent="0.35">
      <c r="C898" s="226"/>
      <c r="E898" s="226"/>
      <c r="G898" s="226"/>
      <c r="I898" s="226"/>
      <c r="J898" s="226"/>
      <c r="P898" s="226"/>
      <c r="Q898" s="226"/>
      <c r="R898" s="226"/>
      <c r="S898" s="226"/>
      <c r="T898" s="226"/>
      <c r="U898" s="226"/>
    </row>
    <row r="899" spans="3:21" x14ac:dyDescent="0.35">
      <c r="C899" s="226"/>
      <c r="E899" s="226"/>
      <c r="G899" s="226"/>
      <c r="I899" s="226"/>
      <c r="J899" s="226"/>
      <c r="P899" s="226"/>
      <c r="Q899" s="226"/>
      <c r="R899" s="226"/>
      <c r="S899" s="226"/>
      <c r="T899" s="226"/>
      <c r="U899" s="226"/>
    </row>
    <row r="900" spans="3:21" x14ac:dyDescent="0.35">
      <c r="C900" s="226"/>
      <c r="E900" s="226"/>
      <c r="G900" s="226"/>
      <c r="I900" s="226"/>
      <c r="J900" s="226"/>
      <c r="P900" s="226"/>
      <c r="Q900" s="226"/>
      <c r="R900" s="226"/>
      <c r="S900" s="226"/>
      <c r="T900" s="226"/>
      <c r="U900" s="226"/>
    </row>
    <row r="901" spans="3:21" x14ac:dyDescent="0.35">
      <c r="C901" s="226"/>
      <c r="E901" s="226"/>
      <c r="G901" s="226"/>
      <c r="I901" s="226"/>
      <c r="J901" s="226"/>
      <c r="P901" s="226"/>
      <c r="Q901" s="226"/>
      <c r="R901" s="226"/>
      <c r="S901" s="226"/>
      <c r="T901" s="226"/>
      <c r="U901" s="226"/>
    </row>
    <row r="902" spans="3:21" x14ac:dyDescent="0.35">
      <c r="C902" s="226"/>
      <c r="E902" s="226"/>
      <c r="G902" s="226"/>
      <c r="I902" s="226"/>
      <c r="J902" s="226"/>
      <c r="P902" s="226"/>
      <c r="Q902" s="226"/>
      <c r="R902" s="226"/>
      <c r="S902" s="226"/>
      <c r="T902" s="226"/>
      <c r="U902" s="226"/>
    </row>
    <row r="903" spans="3:21" x14ac:dyDescent="0.35">
      <c r="C903" s="226"/>
      <c r="E903" s="226"/>
      <c r="G903" s="226"/>
      <c r="I903" s="226"/>
      <c r="J903" s="226"/>
      <c r="P903" s="226"/>
      <c r="Q903" s="226"/>
      <c r="R903" s="226"/>
      <c r="S903" s="226"/>
      <c r="T903" s="226"/>
      <c r="U903" s="226"/>
    </row>
    <row r="904" spans="3:21" x14ac:dyDescent="0.35">
      <c r="C904" s="226"/>
      <c r="E904" s="226"/>
      <c r="G904" s="226"/>
      <c r="I904" s="226"/>
      <c r="J904" s="226"/>
      <c r="P904" s="226"/>
      <c r="Q904" s="226"/>
      <c r="R904" s="226"/>
      <c r="S904" s="226"/>
      <c r="T904" s="226"/>
      <c r="U904" s="226"/>
    </row>
    <row r="905" spans="3:21" x14ac:dyDescent="0.35">
      <c r="C905" s="226"/>
      <c r="E905" s="226"/>
      <c r="G905" s="226"/>
      <c r="I905" s="226"/>
      <c r="J905" s="226"/>
      <c r="P905" s="226"/>
      <c r="Q905" s="226"/>
      <c r="R905" s="226"/>
      <c r="S905" s="226"/>
      <c r="T905" s="226"/>
      <c r="U905" s="226"/>
    </row>
    <row r="906" spans="3:21" x14ac:dyDescent="0.35">
      <c r="C906" s="226"/>
      <c r="E906" s="226"/>
      <c r="G906" s="226"/>
      <c r="I906" s="226"/>
      <c r="J906" s="226"/>
      <c r="P906" s="226"/>
      <c r="Q906" s="226"/>
      <c r="R906" s="226"/>
      <c r="S906" s="226"/>
      <c r="T906" s="226"/>
      <c r="U906" s="226"/>
    </row>
    <row r="907" spans="3:21" x14ac:dyDescent="0.35">
      <c r="C907" s="226"/>
      <c r="E907" s="226"/>
      <c r="G907" s="226"/>
      <c r="I907" s="226"/>
      <c r="J907" s="226"/>
      <c r="P907" s="226"/>
      <c r="Q907" s="226"/>
      <c r="R907" s="226"/>
      <c r="S907" s="226"/>
      <c r="T907" s="226"/>
      <c r="U907" s="226"/>
    </row>
    <row r="908" spans="3:21" x14ac:dyDescent="0.35">
      <c r="C908" s="226"/>
      <c r="E908" s="226"/>
      <c r="G908" s="226"/>
      <c r="I908" s="226"/>
      <c r="J908" s="226"/>
      <c r="P908" s="226"/>
      <c r="Q908" s="226"/>
      <c r="R908" s="226"/>
      <c r="S908" s="226"/>
      <c r="T908" s="226"/>
      <c r="U908" s="226"/>
    </row>
    <row r="909" spans="3:21" x14ac:dyDescent="0.35">
      <c r="C909" s="226"/>
      <c r="E909" s="226"/>
      <c r="G909" s="226"/>
      <c r="I909" s="226"/>
      <c r="J909" s="226"/>
      <c r="P909" s="226"/>
      <c r="Q909" s="226"/>
      <c r="R909" s="226"/>
      <c r="S909" s="226"/>
      <c r="T909" s="226"/>
      <c r="U909" s="226"/>
    </row>
    <row r="910" spans="3:21" x14ac:dyDescent="0.35">
      <c r="C910" s="226"/>
      <c r="E910" s="226"/>
      <c r="G910" s="226"/>
      <c r="I910" s="226"/>
      <c r="J910" s="226"/>
      <c r="P910" s="226"/>
      <c r="Q910" s="226"/>
      <c r="R910" s="226"/>
      <c r="S910" s="226"/>
      <c r="T910" s="226"/>
      <c r="U910" s="226"/>
    </row>
    <row r="911" spans="3:21" x14ac:dyDescent="0.35">
      <c r="C911" s="226"/>
      <c r="E911" s="226"/>
      <c r="G911" s="226"/>
      <c r="I911" s="226"/>
      <c r="J911" s="226"/>
      <c r="P911" s="226"/>
      <c r="Q911" s="226"/>
      <c r="R911" s="226"/>
      <c r="S911" s="226"/>
      <c r="T911" s="226"/>
      <c r="U911" s="226"/>
    </row>
    <row r="912" spans="3:21" x14ac:dyDescent="0.35">
      <c r="C912" s="226"/>
      <c r="E912" s="226"/>
      <c r="G912" s="226"/>
      <c r="I912" s="226"/>
      <c r="J912" s="226"/>
      <c r="P912" s="226"/>
      <c r="Q912" s="226"/>
      <c r="R912" s="226"/>
      <c r="S912" s="226"/>
      <c r="T912" s="226"/>
      <c r="U912" s="226"/>
    </row>
    <row r="913" spans="3:21" x14ac:dyDescent="0.35">
      <c r="C913" s="226"/>
      <c r="E913" s="226"/>
      <c r="G913" s="226"/>
      <c r="I913" s="226"/>
      <c r="J913" s="226"/>
      <c r="P913" s="226"/>
      <c r="Q913" s="226"/>
      <c r="R913" s="226"/>
      <c r="S913" s="226"/>
      <c r="T913" s="226"/>
      <c r="U913" s="226"/>
    </row>
    <row r="914" spans="3:21" x14ac:dyDescent="0.35">
      <c r="C914" s="226"/>
      <c r="E914" s="226"/>
      <c r="G914" s="226"/>
      <c r="I914" s="226"/>
      <c r="J914" s="226"/>
      <c r="P914" s="226"/>
      <c r="Q914" s="226"/>
      <c r="R914" s="226"/>
      <c r="S914" s="226"/>
      <c r="T914" s="226"/>
      <c r="U914" s="226"/>
    </row>
    <row r="915" spans="3:21" x14ac:dyDescent="0.35">
      <c r="C915" s="226"/>
      <c r="E915" s="226"/>
      <c r="G915" s="226"/>
      <c r="I915" s="226"/>
      <c r="J915" s="226"/>
      <c r="P915" s="226"/>
      <c r="Q915" s="226"/>
      <c r="R915" s="226"/>
      <c r="S915" s="226"/>
      <c r="T915" s="226"/>
      <c r="U915" s="226"/>
    </row>
    <row r="916" spans="3:21" x14ac:dyDescent="0.35">
      <c r="C916" s="226"/>
      <c r="E916" s="226"/>
      <c r="G916" s="226"/>
      <c r="I916" s="226"/>
      <c r="J916" s="226"/>
      <c r="P916" s="226"/>
      <c r="Q916" s="226"/>
      <c r="R916" s="226"/>
      <c r="S916" s="226"/>
      <c r="T916" s="226"/>
      <c r="U916" s="226"/>
    </row>
    <row r="917" spans="3:21" x14ac:dyDescent="0.35">
      <c r="C917" s="226"/>
      <c r="E917" s="226"/>
      <c r="G917" s="226"/>
      <c r="I917" s="226"/>
      <c r="J917" s="226"/>
      <c r="P917" s="226"/>
      <c r="Q917" s="226"/>
      <c r="R917" s="226"/>
      <c r="S917" s="226"/>
      <c r="T917" s="226"/>
      <c r="U917" s="226"/>
    </row>
    <row r="918" spans="3:21" x14ac:dyDescent="0.35">
      <c r="C918" s="226"/>
      <c r="E918" s="226"/>
      <c r="G918" s="226"/>
      <c r="I918" s="226"/>
      <c r="J918" s="226"/>
      <c r="P918" s="226"/>
      <c r="Q918" s="226"/>
      <c r="R918" s="226"/>
      <c r="S918" s="226"/>
      <c r="T918" s="226"/>
      <c r="U918" s="226"/>
    </row>
    <row r="919" spans="3:21" x14ac:dyDescent="0.35">
      <c r="C919" s="226"/>
      <c r="E919" s="226"/>
      <c r="G919" s="226"/>
      <c r="I919" s="226"/>
      <c r="J919" s="226"/>
      <c r="P919" s="226"/>
      <c r="Q919" s="226"/>
      <c r="R919" s="226"/>
      <c r="S919" s="226"/>
      <c r="T919" s="226"/>
      <c r="U919" s="226"/>
    </row>
    <row r="920" spans="3:21" x14ac:dyDescent="0.35">
      <c r="C920" s="226"/>
      <c r="E920" s="226"/>
      <c r="G920" s="226"/>
      <c r="I920" s="226"/>
      <c r="J920" s="226"/>
      <c r="P920" s="226"/>
      <c r="Q920" s="226"/>
      <c r="R920" s="226"/>
      <c r="S920" s="226"/>
      <c r="T920" s="226"/>
      <c r="U920" s="226"/>
    </row>
    <row r="921" spans="3:21" x14ac:dyDescent="0.35">
      <c r="C921" s="226"/>
      <c r="E921" s="226"/>
      <c r="G921" s="226"/>
      <c r="I921" s="226"/>
      <c r="J921" s="226"/>
      <c r="P921" s="226"/>
      <c r="Q921" s="226"/>
      <c r="R921" s="226"/>
      <c r="S921" s="226"/>
      <c r="T921" s="226"/>
      <c r="U921" s="226"/>
    </row>
    <row r="922" spans="3:21" x14ac:dyDescent="0.35">
      <c r="C922" s="226"/>
      <c r="E922" s="226"/>
      <c r="G922" s="226"/>
      <c r="I922" s="226"/>
      <c r="J922" s="226"/>
      <c r="P922" s="226"/>
      <c r="Q922" s="226"/>
      <c r="R922" s="226"/>
      <c r="S922" s="226"/>
      <c r="T922" s="226"/>
      <c r="U922" s="226"/>
    </row>
    <row r="923" spans="3:21" x14ac:dyDescent="0.35">
      <c r="C923" s="226"/>
      <c r="E923" s="226"/>
      <c r="G923" s="226"/>
      <c r="I923" s="226"/>
      <c r="J923" s="226"/>
      <c r="P923" s="226"/>
      <c r="Q923" s="226"/>
      <c r="R923" s="226"/>
      <c r="S923" s="226"/>
      <c r="T923" s="226"/>
      <c r="U923" s="226"/>
    </row>
    <row r="924" spans="3:21" x14ac:dyDescent="0.35">
      <c r="C924" s="226"/>
      <c r="E924" s="226"/>
      <c r="G924" s="226"/>
      <c r="I924" s="226"/>
      <c r="J924" s="226"/>
      <c r="P924" s="226"/>
      <c r="Q924" s="226"/>
      <c r="R924" s="226"/>
      <c r="S924" s="226"/>
      <c r="T924" s="226"/>
      <c r="U924" s="226"/>
    </row>
    <row r="925" spans="3:21" x14ac:dyDescent="0.35">
      <c r="C925" s="226"/>
      <c r="E925" s="226"/>
      <c r="G925" s="226"/>
      <c r="I925" s="226"/>
      <c r="J925" s="226"/>
      <c r="P925" s="226"/>
      <c r="Q925" s="226"/>
      <c r="R925" s="226"/>
      <c r="S925" s="226"/>
      <c r="T925" s="226"/>
      <c r="U925" s="226"/>
    </row>
    <row r="926" spans="3:21" x14ac:dyDescent="0.35">
      <c r="C926" s="226"/>
      <c r="E926" s="226"/>
      <c r="G926" s="226"/>
      <c r="I926" s="226"/>
      <c r="J926" s="226"/>
      <c r="P926" s="226"/>
      <c r="Q926" s="226"/>
      <c r="R926" s="226"/>
      <c r="S926" s="226"/>
      <c r="T926" s="226"/>
      <c r="U926" s="226"/>
    </row>
    <row r="927" spans="3:21" x14ac:dyDescent="0.35">
      <c r="C927" s="226"/>
      <c r="E927" s="226"/>
      <c r="G927" s="226"/>
      <c r="I927" s="226"/>
      <c r="J927" s="226"/>
      <c r="P927" s="226"/>
      <c r="Q927" s="226"/>
      <c r="R927" s="226"/>
      <c r="S927" s="226"/>
      <c r="T927" s="226"/>
      <c r="U927" s="226"/>
    </row>
    <row r="928" spans="3:21" x14ac:dyDescent="0.35">
      <c r="C928" s="226"/>
      <c r="E928" s="226"/>
      <c r="G928" s="226"/>
      <c r="I928" s="226"/>
      <c r="J928" s="226"/>
      <c r="P928" s="226"/>
      <c r="Q928" s="226"/>
      <c r="R928" s="226"/>
      <c r="S928" s="226"/>
      <c r="T928" s="226"/>
      <c r="U928" s="226"/>
    </row>
    <row r="929" spans="3:21" x14ac:dyDescent="0.35">
      <c r="C929" s="226"/>
      <c r="E929" s="226"/>
      <c r="G929" s="226"/>
      <c r="I929" s="226"/>
      <c r="J929" s="226"/>
      <c r="P929" s="226"/>
      <c r="Q929" s="226"/>
      <c r="R929" s="226"/>
      <c r="S929" s="226"/>
      <c r="T929" s="226"/>
      <c r="U929" s="226"/>
    </row>
    <row r="930" spans="3:21" x14ac:dyDescent="0.35">
      <c r="C930" s="226"/>
      <c r="E930" s="226"/>
      <c r="G930" s="226"/>
      <c r="I930" s="226"/>
      <c r="J930" s="226"/>
      <c r="P930" s="226"/>
      <c r="Q930" s="226"/>
      <c r="R930" s="226"/>
      <c r="S930" s="226"/>
      <c r="T930" s="226"/>
      <c r="U930" s="226"/>
    </row>
    <row r="931" spans="3:21" x14ac:dyDescent="0.35">
      <c r="C931" s="226"/>
      <c r="E931" s="226"/>
      <c r="G931" s="226"/>
      <c r="I931" s="226"/>
      <c r="J931" s="226"/>
      <c r="P931" s="226"/>
      <c r="Q931" s="226"/>
      <c r="R931" s="226"/>
      <c r="S931" s="226"/>
      <c r="T931" s="226"/>
      <c r="U931" s="226"/>
    </row>
    <row r="932" spans="3:21" x14ac:dyDescent="0.35">
      <c r="C932" s="226"/>
      <c r="E932" s="226"/>
      <c r="G932" s="226"/>
      <c r="I932" s="226"/>
      <c r="J932" s="226"/>
      <c r="P932" s="226"/>
      <c r="Q932" s="226"/>
      <c r="R932" s="226"/>
      <c r="S932" s="226"/>
      <c r="T932" s="226"/>
      <c r="U932" s="226"/>
    </row>
    <row r="933" spans="3:21" x14ac:dyDescent="0.35">
      <c r="C933" s="226"/>
      <c r="E933" s="226"/>
      <c r="G933" s="226"/>
      <c r="I933" s="226"/>
      <c r="J933" s="226"/>
      <c r="P933" s="226"/>
      <c r="Q933" s="226"/>
      <c r="R933" s="226"/>
      <c r="S933" s="226"/>
      <c r="T933" s="226"/>
      <c r="U933" s="226"/>
    </row>
    <row r="934" spans="3:21" x14ac:dyDescent="0.35">
      <c r="C934" s="226"/>
      <c r="E934" s="226"/>
      <c r="G934" s="226"/>
      <c r="I934" s="226"/>
      <c r="J934" s="226"/>
      <c r="P934" s="226"/>
      <c r="Q934" s="226"/>
      <c r="R934" s="226"/>
      <c r="S934" s="226"/>
      <c r="T934" s="226"/>
      <c r="U934" s="226"/>
    </row>
    <row r="935" spans="3:21" x14ac:dyDescent="0.35">
      <c r="C935" s="226"/>
      <c r="E935" s="226"/>
      <c r="G935" s="226"/>
      <c r="I935" s="226"/>
      <c r="J935" s="226"/>
      <c r="P935" s="226"/>
      <c r="Q935" s="226"/>
      <c r="R935" s="226"/>
      <c r="S935" s="226"/>
      <c r="T935" s="226"/>
      <c r="U935" s="226"/>
    </row>
    <row r="936" spans="3:21" x14ac:dyDescent="0.35">
      <c r="C936" s="226"/>
      <c r="E936" s="226"/>
      <c r="G936" s="226"/>
      <c r="I936" s="226"/>
      <c r="J936" s="226"/>
      <c r="P936" s="226"/>
      <c r="Q936" s="226"/>
      <c r="R936" s="226"/>
      <c r="S936" s="226"/>
      <c r="T936" s="226"/>
      <c r="U936" s="226"/>
    </row>
    <row r="937" spans="3:21" x14ac:dyDescent="0.35">
      <c r="C937" s="226"/>
      <c r="E937" s="226"/>
      <c r="G937" s="226"/>
      <c r="I937" s="226"/>
      <c r="J937" s="226"/>
      <c r="P937" s="226"/>
      <c r="Q937" s="226"/>
      <c r="R937" s="226"/>
      <c r="S937" s="226"/>
      <c r="T937" s="226"/>
      <c r="U937" s="226"/>
    </row>
    <row r="938" spans="3:21" x14ac:dyDescent="0.35">
      <c r="C938" s="226"/>
      <c r="E938" s="226"/>
      <c r="G938" s="226"/>
      <c r="I938" s="226"/>
      <c r="J938" s="226"/>
      <c r="P938" s="226"/>
      <c r="Q938" s="226"/>
      <c r="R938" s="226"/>
      <c r="S938" s="226"/>
      <c r="T938" s="226"/>
      <c r="U938" s="226"/>
    </row>
    <row r="939" spans="3:21" x14ac:dyDescent="0.35">
      <c r="C939" s="226"/>
      <c r="E939" s="226"/>
      <c r="G939" s="226"/>
      <c r="I939" s="226"/>
      <c r="J939" s="226"/>
      <c r="P939" s="226"/>
      <c r="Q939" s="226"/>
      <c r="R939" s="226"/>
      <c r="S939" s="226"/>
      <c r="T939" s="226"/>
      <c r="U939" s="226"/>
    </row>
    <row r="940" spans="3:21" x14ac:dyDescent="0.35">
      <c r="C940" s="226"/>
      <c r="E940" s="226"/>
      <c r="G940" s="226"/>
      <c r="I940" s="226"/>
      <c r="J940" s="226"/>
      <c r="P940" s="226"/>
      <c r="Q940" s="226"/>
      <c r="R940" s="226"/>
      <c r="S940" s="226"/>
      <c r="T940" s="226"/>
      <c r="U940" s="226"/>
    </row>
    <row r="941" spans="3:21" x14ac:dyDescent="0.35">
      <c r="C941" s="226"/>
      <c r="E941" s="226"/>
      <c r="G941" s="226"/>
      <c r="I941" s="226"/>
      <c r="J941" s="226"/>
      <c r="P941" s="226"/>
      <c r="Q941" s="226"/>
      <c r="R941" s="226"/>
      <c r="S941" s="226"/>
      <c r="T941" s="226"/>
      <c r="U941" s="226"/>
    </row>
    <row r="942" spans="3:21" x14ac:dyDescent="0.35">
      <c r="C942" s="226"/>
      <c r="E942" s="226"/>
      <c r="G942" s="226"/>
      <c r="I942" s="226"/>
      <c r="J942" s="226"/>
      <c r="P942" s="226"/>
      <c r="Q942" s="226"/>
      <c r="R942" s="226"/>
      <c r="S942" s="226"/>
      <c r="T942" s="226"/>
      <c r="U942" s="226"/>
    </row>
    <row r="943" spans="3:21" x14ac:dyDescent="0.35">
      <c r="C943" s="226"/>
      <c r="E943" s="226"/>
      <c r="G943" s="226"/>
      <c r="I943" s="226"/>
      <c r="J943" s="226"/>
      <c r="P943" s="226"/>
      <c r="Q943" s="226"/>
      <c r="R943" s="226"/>
      <c r="S943" s="226"/>
      <c r="T943" s="226"/>
      <c r="U943" s="226"/>
    </row>
    <row r="944" spans="3:21" x14ac:dyDescent="0.35">
      <c r="C944" s="226"/>
      <c r="E944" s="226"/>
      <c r="G944" s="226"/>
      <c r="I944" s="226"/>
      <c r="J944" s="226"/>
      <c r="P944" s="226"/>
      <c r="Q944" s="226"/>
      <c r="R944" s="226"/>
      <c r="S944" s="226"/>
      <c r="T944" s="226"/>
      <c r="U944" s="226"/>
    </row>
    <row r="945" spans="3:21" x14ac:dyDescent="0.35">
      <c r="C945" s="226"/>
      <c r="E945" s="226"/>
      <c r="G945" s="226"/>
      <c r="I945" s="226"/>
      <c r="J945" s="226"/>
      <c r="P945" s="226"/>
      <c r="Q945" s="226"/>
      <c r="R945" s="226"/>
      <c r="S945" s="226"/>
      <c r="T945" s="226"/>
      <c r="U945" s="226"/>
    </row>
    <row r="946" spans="3:21" x14ac:dyDescent="0.35">
      <c r="C946" s="226"/>
      <c r="E946" s="226"/>
      <c r="G946" s="226"/>
      <c r="I946" s="226"/>
      <c r="J946" s="226"/>
      <c r="P946" s="226"/>
      <c r="Q946" s="226"/>
      <c r="R946" s="226"/>
      <c r="S946" s="226"/>
      <c r="T946" s="226"/>
      <c r="U946" s="226"/>
    </row>
    <row r="947" spans="3:21" x14ac:dyDescent="0.35">
      <c r="C947" s="226"/>
      <c r="E947" s="226"/>
      <c r="G947" s="226"/>
      <c r="I947" s="226"/>
      <c r="J947" s="226"/>
      <c r="P947" s="226"/>
      <c r="Q947" s="226"/>
      <c r="R947" s="226"/>
      <c r="S947" s="226"/>
      <c r="T947" s="226"/>
      <c r="U947" s="226"/>
    </row>
    <row r="948" spans="3:21" x14ac:dyDescent="0.35">
      <c r="C948" s="226"/>
      <c r="E948" s="226"/>
      <c r="G948" s="226"/>
      <c r="I948" s="226"/>
      <c r="J948" s="226"/>
      <c r="P948" s="226"/>
      <c r="Q948" s="226"/>
      <c r="R948" s="226"/>
      <c r="S948" s="226"/>
      <c r="T948" s="226"/>
      <c r="U948" s="226"/>
    </row>
    <row r="949" spans="3:21" x14ac:dyDescent="0.35">
      <c r="C949" s="226"/>
      <c r="E949" s="226"/>
      <c r="G949" s="226"/>
      <c r="I949" s="226"/>
      <c r="J949" s="226"/>
      <c r="P949" s="226"/>
      <c r="Q949" s="226"/>
      <c r="R949" s="226"/>
      <c r="S949" s="226"/>
      <c r="T949" s="226"/>
      <c r="U949" s="226"/>
    </row>
    <row r="950" spans="3:21" x14ac:dyDescent="0.35">
      <c r="C950" s="226"/>
      <c r="E950" s="226"/>
      <c r="G950" s="226"/>
      <c r="I950" s="226"/>
      <c r="J950" s="226"/>
      <c r="P950" s="226"/>
      <c r="Q950" s="226"/>
      <c r="R950" s="226"/>
      <c r="S950" s="226"/>
      <c r="T950" s="226"/>
      <c r="U950" s="226"/>
    </row>
    <row r="951" spans="3:21" x14ac:dyDescent="0.35">
      <c r="C951" s="226"/>
      <c r="E951" s="226"/>
      <c r="G951" s="226"/>
      <c r="I951" s="226"/>
      <c r="J951" s="226"/>
      <c r="P951" s="226"/>
      <c r="Q951" s="226"/>
      <c r="R951" s="226"/>
      <c r="S951" s="226"/>
      <c r="T951" s="226"/>
      <c r="U951" s="226"/>
    </row>
    <row r="952" spans="3:21" x14ac:dyDescent="0.35">
      <c r="C952" s="226"/>
      <c r="E952" s="226"/>
      <c r="G952" s="226"/>
      <c r="I952" s="226"/>
      <c r="J952" s="226"/>
      <c r="P952" s="226"/>
      <c r="Q952" s="226"/>
      <c r="R952" s="226"/>
      <c r="S952" s="226"/>
      <c r="T952" s="226"/>
      <c r="U952" s="226"/>
    </row>
    <row r="953" spans="3:21" x14ac:dyDescent="0.35">
      <c r="C953" s="226"/>
      <c r="E953" s="226"/>
      <c r="G953" s="226"/>
      <c r="I953" s="226"/>
      <c r="J953" s="226"/>
      <c r="P953" s="226"/>
      <c r="Q953" s="226"/>
      <c r="R953" s="226"/>
      <c r="S953" s="226"/>
      <c r="T953" s="226"/>
      <c r="U953" s="226"/>
    </row>
    <row r="954" spans="3:21" x14ac:dyDescent="0.35">
      <c r="C954" s="226"/>
      <c r="E954" s="226"/>
      <c r="G954" s="226"/>
      <c r="I954" s="226"/>
      <c r="J954" s="226"/>
      <c r="P954" s="226"/>
      <c r="Q954" s="226"/>
      <c r="R954" s="226"/>
      <c r="S954" s="226"/>
      <c r="T954" s="226"/>
      <c r="U954" s="226"/>
    </row>
    <row r="955" spans="3:21" x14ac:dyDescent="0.35">
      <c r="C955" s="226"/>
      <c r="E955" s="226"/>
      <c r="G955" s="226"/>
      <c r="I955" s="226"/>
      <c r="J955" s="226"/>
      <c r="P955" s="226"/>
      <c r="Q955" s="226"/>
      <c r="R955" s="226"/>
      <c r="S955" s="226"/>
      <c r="T955" s="226"/>
      <c r="U955" s="226"/>
    </row>
    <row r="956" spans="3:21" x14ac:dyDescent="0.35">
      <c r="C956" s="226"/>
      <c r="E956" s="226"/>
      <c r="G956" s="226"/>
      <c r="I956" s="226"/>
      <c r="J956" s="226"/>
      <c r="P956" s="226"/>
      <c r="Q956" s="226"/>
      <c r="R956" s="226"/>
      <c r="S956" s="226"/>
      <c r="T956" s="226"/>
      <c r="U956" s="226"/>
    </row>
    <row r="957" spans="3:21" x14ac:dyDescent="0.35">
      <c r="C957" s="226"/>
      <c r="E957" s="226"/>
      <c r="G957" s="226"/>
      <c r="I957" s="226"/>
      <c r="J957" s="226"/>
      <c r="P957" s="226"/>
      <c r="Q957" s="226"/>
      <c r="R957" s="226"/>
      <c r="S957" s="226"/>
      <c r="T957" s="226"/>
      <c r="U957" s="226"/>
    </row>
    <row r="958" spans="3:21" x14ac:dyDescent="0.35">
      <c r="C958" s="226"/>
      <c r="E958" s="226"/>
      <c r="G958" s="226"/>
      <c r="I958" s="226"/>
      <c r="J958" s="226"/>
      <c r="P958" s="226"/>
      <c r="Q958" s="226"/>
      <c r="R958" s="226"/>
      <c r="S958" s="226"/>
      <c r="T958" s="226"/>
      <c r="U958" s="226"/>
    </row>
    <row r="959" spans="3:21" x14ac:dyDescent="0.35">
      <c r="C959" s="226"/>
      <c r="E959" s="226"/>
      <c r="G959" s="226"/>
      <c r="I959" s="226"/>
      <c r="J959" s="226"/>
      <c r="P959" s="226"/>
      <c r="Q959" s="226"/>
      <c r="R959" s="226"/>
      <c r="S959" s="226"/>
      <c r="T959" s="226"/>
      <c r="U959" s="226"/>
    </row>
    <row r="960" spans="3:21" x14ac:dyDescent="0.35">
      <c r="C960" s="226"/>
      <c r="E960" s="226"/>
      <c r="G960" s="226"/>
      <c r="I960" s="226"/>
      <c r="J960" s="226"/>
      <c r="P960" s="226"/>
      <c r="Q960" s="226"/>
      <c r="R960" s="226"/>
      <c r="S960" s="226"/>
      <c r="T960" s="226"/>
      <c r="U960" s="226"/>
    </row>
    <row r="961" spans="3:21" x14ac:dyDescent="0.35">
      <c r="C961" s="226"/>
      <c r="E961" s="226"/>
      <c r="G961" s="226"/>
      <c r="I961" s="226"/>
      <c r="J961" s="226"/>
      <c r="P961" s="226"/>
      <c r="Q961" s="226"/>
      <c r="R961" s="226"/>
      <c r="S961" s="226"/>
      <c r="T961" s="226"/>
      <c r="U961" s="226"/>
    </row>
    <row r="962" spans="3:21" x14ac:dyDescent="0.35">
      <c r="C962" s="226"/>
      <c r="E962" s="226"/>
      <c r="G962" s="226"/>
      <c r="I962" s="226"/>
      <c r="J962" s="226"/>
      <c r="P962" s="226"/>
      <c r="Q962" s="226"/>
      <c r="R962" s="226"/>
      <c r="S962" s="226"/>
      <c r="T962" s="226"/>
      <c r="U962" s="226"/>
    </row>
    <row r="963" spans="3:21" x14ac:dyDescent="0.35">
      <c r="C963" s="226"/>
      <c r="E963" s="226"/>
      <c r="G963" s="226"/>
      <c r="I963" s="226"/>
      <c r="J963" s="226"/>
      <c r="P963" s="226"/>
      <c r="Q963" s="226"/>
      <c r="R963" s="226"/>
      <c r="S963" s="226"/>
      <c r="T963" s="226"/>
      <c r="U963" s="226"/>
    </row>
    <row r="964" spans="3:21" x14ac:dyDescent="0.35">
      <c r="C964" s="226"/>
      <c r="E964" s="226"/>
      <c r="G964" s="226"/>
      <c r="I964" s="226"/>
      <c r="J964" s="226"/>
      <c r="P964" s="226"/>
      <c r="Q964" s="226"/>
      <c r="R964" s="226"/>
      <c r="S964" s="226"/>
      <c r="T964" s="226"/>
      <c r="U964" s="226"/>
    </row>
    <row r="965" spans="3:21" x14ac:dyDescent="0.35">
      <c r="C965" s="226"/>
      <c r="E965" s="226"/>
      <c r="G965" s="226"/>
      <c r="I965" s="226"/>
      <c r="J965" s="226"/>
      <c r="P965" s="226"/>
      <c r="Q965" s="226"/>
      <c r="R965" s="226"/>
      <c r="S965" s="226"/>
      <c r="T965" s="226"/>
      <c r="U965" s="226"/>
    </row>
    <row r="966" spans="3:21" x14ac:dyDescent="0.35">
      <c r="C966" s="226"/>
      <c r="E966" s="226"/>
      <c r="G966" s="226"/>
      <c r="I966" s="226"/>
      <c r="J966" s="226"/>
      <c r="P966" s="226"/>
      <c r="Q966" s="226"/>
      <c r="R966" s="226"/>
      <c r="S966" s="226"/>
      <c r="T966" s="226"/>
      <c r="U966" s="226"/>
    </row>
    <row r="967" spans="3:21" x14ac:dyDescent="0.35">
      <c r="C967" s="226"/>
      <c r="E967" s="226"/>
      <c r="G967" s="226"/>
      <c r="I967" s="226"/>
      <c r="J967" s="226"/>
      <c r="P967" s="226"/>
      <c r="Q967" s="226"/>
      <c r="R967" s="226"/>
      <c r="S967" s="226"/>
      <c r="T967" s="226"/>
      <c r="U967" s="226"/>
    </row>
    <row r="968" spans="3:21" x14ac:dyDescent="0.35">
      <c r="C968" s="226"/>
      <c r="E968" s="226"/>
      <c r="G968" s="226"/>
      <c r="I968" s="226"/>
      <c r="J968" s="226"/>
      <c r="P968" s="226"/>
      <c r="Q968" s="226"/>
      <c r="R968" s="226"/>
      <c r="S968" s="226"/>
      <c r="T968" s="226"/>
      <c r="U968" s="226"/>
    </row>
    <row r="969" spans="3:21" x14ac:dyDescent="0.35">
      <c r="C969" s="226"/>
      <c r="E969" s="226"/>
      <c r="G969" s="226"/>
      <c r="I969" s="226"/>
      <c r="J969" s="226"/>
      <c r="P969" s="226"/>
      <c r="Q969" s="226"/>
      <c r="R969" s="226"/>
      <c r="S969" s="226"/>
      <c r="T969" s="226"/>
      <c r="U969" s="226"/>
    </row>
    <row r="970" spans="3:21" x14ac:dyDescent="0.35">
      <c r="C970" s="226"/>
      <c r="E970" s="226"/>
      <c r="G970" s="226"/>
      <c r="I970" s="226"/>
      <c r="J970" s="226"/>
      <c r="P970" s="226"/>
      <c r="Q970" s="226"/>
      <c r="R970" s="226"/>
      <c r="S970" s="226"/>
      <c r="T970" s="226"/>
      <c r="U970" s="226"/>
    </row>
    <row r="971" spans="3:21" x14ac:dyDescent="0.35">
      <c r="C971" s="226"/>
      <c r="E971" s="226"/>
      <c r="G971" s="226"/>
      <c r="I971" s="226"/>
      <c r="J971" s="226"/>
      <c r="P971" s="226"/>
      <c r="Q971" s="226"/>
      <c r="R971" s="226"/>
      <c r="S971" s="226"/>
      <c r="T971" s="226"/>
      <c r="U971" s="226"/>
    </row>
    <row r="972" spans="3:21" x14ac:dyDescent="0.35">
      <c r="C972" s="226"/>
      <c r="E972" s="226"/>
      <c r="G972" s="226"/>
      <c r="I972" s="226"/>
      <c r="J972" s="226"/>
      <c r="P972" s="226"/>
      <c r="Q972" s="226"/>
      <c r="R972" s="226"/>
      <c r="S972" s="226"/>
      <c r="T972" s="226"/>
      <c r="U972" s="226"/>
    </row>
    <row r="973" spans="3:21" x14ac:dyDescent="0.35">
      <c r="C973" s="226"/>
      <c r="E973" s="226"/>
      <c r="G973" s="226"/>
      <c r="I973" s="226"/>
      <c r="J973" s="226"/>
      <c r="P973" s="226"/>
      <c r="Q973" s="226"/>
      <c r="R973" s="226"/>
      <c r="S973" s="226"/>
      <c r="T973" s="226"/>
      <c r="U973" s="226"/>
    </row>
    <row r="974" spans="3:21" x14ac:dyDescent="0.35">
      <c r="C974" s="226"/>
      <c r="E974" s="226"/>
      <c r="G974" s="226"/>
      <c r="I974" s="226"/>
      <c r="J974" s="226"/>
      <c r="P974" s="226"/>
      <c r="Q974" s="226"/>
      <c r="R974" s="226"/>
      <c r="S974" s="226"/>
      <c r="T974" s="226"/>
      <c r="U974" s="226"/>
    </row>
    <row r="975" spans="3:21" x14ac:dyDescent="0.35">
      <c r="C975" s="226"/>
      <c r="E975" s="226"/>
      <c r="G975" s="226"/>
      <c r="I975" s="226"/>
      <c r="J975" s="226"/>
      <c r="P975" s="226"/>
      <c r="Q975" s="226"/>
      <c r="R975" s="226"/>
      <c r="S975" s="226"/>
      <c r="T975" s="226"/>
      <c r="U975" s="226"/>
    </row>
    <row r="976" spans="3:21" x14ac:dyDescent="0.35">
      <c r="C976" s="226"/>
      <c r="E976" s="226"/>
      <c r="G976" s="226"/>
      <c r="I976" s="226"/>
      <c r="J976" s="226"/>
      <c r="P976" s="226"/>
      <c r="Q976" s="226"/>
      <c r="R976" s="226"/>
      <c r="S976" s="226"/>
      <c r="T976" s="226"/>
      <c r="U976" s="226"/>
    </row>
    <row r="977" spans="3:21" x14ac:dyDescent="0.35">
      <c r="C977" s="226"/>
      <c r="E977" s="226"/>
      <c r="G977" s="226"/>
      <c r="I977" s="226"/>
      <c r="J977" s="226"/>
      <c r="P977" s="226"/>
      <c r="Q977" s="226"/>
      <c r="R977" s="226"/>
      <c r="S977" s="226"/>
      <c r="T977" s="226"/>
      <c r="U977" s="226"/>
    </row>
    <row r="978" spans="3:21" x14ac:dyDescent="0.35">
      <c r="C978" s="226"/>
      <c r="E978" s="226"/>
      <c r="G978" s="226"/>
      <c r="I978" s="226"/>
      <c r="J978" s="226"/>
      <c r="P978" s="226"/>
      <c r="Q978" s="226"/>
      <c r="R978" s="226"/>
      <c r="S978" s="226"/>
      <c r="T978" s="226"/>
      <c r="U978" s="226"/>
    </row>
    <row r="979" spans="3:21" x14ac:dyDescent="0.35">
      <c r="C979" s="226"/>
      <c r="E979" s="226"/>
      <c r="G979" s="226"/>
      <c r="I979" s="226"/>
      <c r="J979" s="226"/>
      <c r="P979" s="226"/>
      <c r="Q979" s="226"/>
      <c r="R979" s="226"/>
      <c r="S979" s="226"/>
      <c r="T979" s="226"/>
      <c r="U979" s="226"/>
    </row>
    <row r="980" spans="3:21" x14ac:dyDescent="0.35">
      <c r="C980" s="226"/>
      <c r="E980" s="226"/>
      <c r="G980" s="226"/>
      <c r="I980" s="226"/>
      <c r="J980" s="226"/>
      <c r="P980" s="226"/>
      <c r="Q980" s="226"/>
      <c r="R980" s="226"/>
      <c r="S980" s="226"/>
      <c r="T980" s="226"/>
      <c r="U980" s="226"/>
    </row>
    <row r="981" spans="3:21" x14ac:dyDescent="0.35">
      <c r="C981" s="226"/>
      <c r="E981" s="226"/>
      <c r="G981" s="226"/>
      <c r="I981" s="226"/>
      <c r="J981" s="226"/>
      <c r="P981" s="226"/>
      <c r="Q981" s="226"/>
      <c r="R981" s="226"/>
      <c r="S981" s="226"/>
      <c r="T981" s="226"/>
      <c r="U981" s="226"/>
    </row>
    <row r="982" spans="3:21" x14ac:dyDescent="0.35">
      <c r="C982" s="226"/>
      <c r="E982" s="226"/>
      <c r="G982" s="226"/>
      <c r="I982" s="226"/>
      <c r="J982" s="226"/>
      <c r="P982" s="226"/>
      <c r="Q982" s="226"/>
      <c r="R982" s="226"/>
      <c r="S982" s="226"/>
      <c r="T982" s="226"/>
      <c r="U982" s="226"/>
    </row>
    <row r="983" spans="3:21" x14ac:dyDescent="0.35">
      <c r="C983" s="226"/>
      <c r="E983" s="226"/>
      <c r="G983" s="226"/>
      <c r="I983" s="226"/>
      <c r="J983" s="226"/>
      <c r="P983" s="226"/>
      <c r="Q983" s="226"/>
      <c r="R983" s="226"/>
      <c r="S983" s="226"/>
      <c r="T983" s="226"/>
      <c r="U983" s="226"/>
    </row>
    <row r="984" spans="3:21" x14ac:dyDescent="0.35">
      <c r="C984" s="226"/>
      <c r="E984" s="226"/>
      <c r="G984" s="226"/>
      <c r="I984" s="226"/>
      <c r="J984" s="226"/>
      <c r="P984" s="226"/>
      <c r="Q984" s="226"/>
      <c r="R984" s="226"/>
      <c r="S984" s="226"/>
      <c r="T984" s="226"/>
      <c r="U984" s="226"/>
    </row>
    <row r="985" spans="3:21" x14ac:dyDescent="0.35">
      <c r="C985" s="226"/>
      <c r="E985" s="226"/>
      <c r="G985" s="226"/>
      <c r="I985" s="226"/>
      <c r="J985" s="226"/>
      <c r="P985" s="226"/>
      <c r="Q985" s="226"/>
      <c r="R985" s="226"/>
      <c r="S985" s="226"/>
      <c r="T985" s="226"/>
      <c r="U985" s="226"/>
    </row>
    <row r="986" spans="3:21" x14ac:dyDescent="0.35">
      <c r="C986" s="226"/>
      <c r="E986" s="226"/>
      <c r="G986" s="226"/>
      <c r="I986" s="226"/>
      <c r="J986" s="226"/>
      <c r="P986" s="226"/>
      <c r="Q986" s="226"/>
      <c r="R986" s="226"/>
      <c r="S986" s="226"/>
      <c r="T986" s="226"/>
      <c r="U986" s="226"/>
    </row>
    <row r="987" spans="3:21" x14ac:dyDescent="0.35">
      <c r="C987" s="226"/>
      <c r="E987" s="226"/>
      <c r="G987" s="226"/>
      <c r="I987" s="226"/>
      <c r="J987" s="226"/>
      <c r="P987" s="226"/>
      <c r="Q987" s="226"/>
      <c r="R987" s="226"/>
      <c r="S987" s="226"/>
      <c r="T987" s="226"/>
      <c r="U987" s="226"/>
    </row>
    <row r="988" spans="3:21" x14ac:dyDescent="0.35">
      <c r="C988" s="226"/>
      <c r="E988" s="226"/>
      <c r="G988" s="226"/>
      <c r="I988" s="226"/>
      <c r="J988" s="226"/>
      <c r="P988" s="226"/>
      <c r="Q988" s="226"/>
      <c r="R988" s="226"/>
      <c r="S988" s="226"/>
      <c r="T988" s="226"/>
      <c r="U988" s="226"/>
    </row>
    <row r="989" spans="3:21" x14ac:dyDescent="0.35">
      <c r="C989" s="226"/>
      <c r="E989" s="226"/>
      <c r="G989" s="226"/>
      <c r="I989" s="226"/>
      <c r="J989" s="226"/>
      <c r="P989" s="226"/>
      <c r="Q989" s="226"/>
      <c r="R989" s="226"/>
      <c r="S989" s="226"/>
      <c r="T989" s="226"/>
      <c r="U989" s="226"/>
    </row>
    <row r="990" spans="3:21" x14ac:dyDescent="0.35">
      <c r="C990" s="226"/>
      <c r="E990" s="226"/>
      <c r="G990" s="226"/>
      <c r="I990" s="226"/>
      <c r="J990" s="226"/>
      <c r="P990" s="226"/>
      <c r="Q990" s="226"/>
      <c r="R990" s="226"/>
      <c r="S990" s="226"/>
      <c r="T990" s="226"/>
      <c r="U990" s="226"/>
    </row>
    <row r="991" spans="3:21" x14ac:dyDescent="0.35">
      <c r="C991" s="226"/>
      <c r="E991" s="226"/>
      <c r="G991" s="226"/>
      <c r="I991" s="226"/>
      <c r="J991" s="226"/>
      <c r="P991" s="226"/>
      <c r="Q991" s="226"/>
      <c r="R991" s="226"/>
      <c r="S991" s="226"/>
      <c r="T991" s="226"/>
      <c r="U991" s="226"/>
    </row>
    <row r="992" spans="3:21" x14ac:dyDescent="0.35">
      <c r="C992" s="226"/>
      <c r="E992" s="226"/>
      <c r="G992" s="226"/>
      <c r="I992" s="226"/>
      <c r="J992" s="226"/>
      <c r="P992" s="226"/>
      <c r="Q992" s="226"/>
      <c r="R992" s="226"/>
      <c r="S992" s="226"/>
      <c r="T992" s="226"/>
      <c r="U992" s="226"/>
    </row>
    <row r="993" spans="3:21" x14ac:dyDescent="0.35">
      <c r="C993" s="226"/>
      <c r="E993" s="226"/>
      <c r="G993" s="226"/>
      <c r="I993" s="226"/>
      <c r="J993" s="226"/>
      <c r="P993" s="226"/>
      <c r="Q993" s="226"/>
      <c r="R993" s="226"/>
      <c r="S993" s="226"/>
      <c r="T993" s="226"/>
      <c r="U993" s="226"/>
    </row>
    <row r="994" spans="3:21" x14ac:dyDescent="0.35">
      <c r="C994" s="226"/>
      <c r="E994" s="226"/>
      <c r="G994" s="226"/>
      <c r="I994" s="226"/>
      <c r="J994" s="226"/>
      <c r="P994" s="226"/>
      <c r="Q994" s="226"/>
      <c r="R994" s="226"/>
      <c r="S994" s="226"/>
      <c r="T994" s="226"/>
      <c r="U994" s="226"/>
    </row>
    <row r="995" spans="3:21" x14ac:dyDescent="0.35">
      <c r="C995" s="226"/>
      <c r="E995" s="226"/>
      <c r="G995" s="226"/>
      <c r="I995" s="226"/>
      <c r="J995" s="226"/>
      <c r="P995" s="226"/>
      <c r="Q995" s="226"/>
      <c r="R995" s="226"/>
      <c r="S995" s="226"/>
      <c r="T995" s="226"/>
      <c r="U995" s="226"/>
    </row>
    <row r="996" spans="3:21" x14ac:dyDescent="0.35">
      <c r="C996" s="226"/>
      <c r="E996" s="226"/>
      <c r="G996" s="226"/>
      <c r="I996" s="226"/>
      <c r="J996" s="226"/>
      <c r="P996" s="226"/>
      <c r="Q996" s="226"/>
      <c r="R996" s="226"/>
      <c r="S996" s="226"/>
      <c r="T996" s="226"/>
      <c r="U996" s="226"/>
    </row>
    <row r="997" spans="3:21" x14ac:dyDescent="0.35">
      <c r="C997" s="226"/>
      <c r="E997" s="226"/>
      <c r="G997" s="226"/>
      <c r="I997" s="226"/>
      <c r="J997" s="226"/>
      <c r="P997" s="226"/>
      <c r="Q997" s="226"/>
      <c r="R997" s="226"/>
      <c r="S997" s="226"/>
      <c r="T997" s="226"/>
      <c r="U997" s="226"/>
    </row>
    <row r="998" spans="3:21" x14ac:dyDescent="0.35">
      <c r="C998" s="226"/>
      <c r="E998" s="226"/>
      <c r="G998" s="226"/>
      <c r="I998" s="226"/>
      <c r="J998" s="226"/>
      <c r="P998" s="226"/>
      <c r="Q998" s="226"/>
      <c r="R998" s="226"/>
      <c r="S998" s="226"/>
      <c r="T998" s="226"/>
      <c r="U998" s="226"/>
    </row>
    <row r="999" spans="3:21" x14ac:dyDescent="0.35">
      <c r="C999" s="226"/>
      <c r="E999" s="226"/>
      <c r="G999" s="226"/>
      <c r="I999" s="226"/>
      <c r="J999" s="226"/>
      <c r="P999" s="226"/>
      <c r="Q999" s="226"/>
      <c r="R999" s="226"/>
      <c r="S999" s="226"/>
      <c r="T999" s="226"/>
      <c r="U999" s="226"/>
    </row>
    <row r="1000" spans="3:21" x14ac:dyDescent="0.35">
      <c r="C1000" s="226"/>
      <c r="E1000" s="226"/>
      <c r="G1000" s="226"/>
      <c r="I1000" s="226"/>
      <c r="J1000" s="226"/>
      <c r="P1000" s="226"/>
      <c r="Q1000" s="226"/>
      <c r="R1000" s="226"/>
      <c r="S1000" s="226"/>
      <c r="T1000" s="226"/>
      <c r="U1000" s="226"/>
    </row>
    <row r="1001" spans="3:21" x14ac:dyDescent="0.35">
      <c r="P1001" s="226"/>
      <c r="Q1001" s="226"/>
      <c r="R1001" s="226"/>
      <c r="S1001" s="226"/>
      <c r="T1001" s="226"/>
      <c r="U1001" s="226"/>
    </row>
    <row r="1002" spans="3:21" x14ac:dyDescent="0.35">
      <c r="P1002" s="226"/>
      <c r="Q1002" s="226"/>
      <c r="R1002" s="226"/>
      <c r="S1002" s="226"/>
      <c r="T1002" s="226"/>
      <c r="U1002" s="226"/>
    </row>
    <row r="1003" spans="3:21" x14ac:dyDescent="0.35">
      <c r="P1003" s="226"/>
      <c r="Q1003" s="226"/>
      <c r="R1003" s="226"/>
      <c r="S1003" s="226"/>
      <c r="T1003" s="226"/>
      <c r="U1003" s="226"/>
    </row>
    <row r="1004" spans="3:21" x14ac:dyDescent="0.35">
      <c r="P1004" s="226"/>
      <c r="Q1004" s="226"/>
      <c r="R1004" s="226"/>
      <c r="S1004" s="226"/>
      <c r="T1004" s="226"/>
      <c r="U1004" s="226"/>
    </row>
    <row r="1005" spans="3:21" x14ac:dyDescent="0.35">
      <c r="P1005" s="226"/>
      <c r="Q1005" s="226"/>
      <c r="R1005" s="226"/>
      <c r="S1005" s="226"/>
      <c r="T1005" s="226"/>
      <c r="U1005" s="226"/>
    </row>
    <row r="1006" spans="3:21" x14ac:dyDescent="0.35">
      <c r="P1006" s="226"/>
      <c r="Q1006" s="226"/>
      <c r="R1006" s="226"/>
      <c r="S1006" s="226"/>
      <c r="T1006" s="226"/>
      <c r="U1006" s="226"/>
    </row>
    <row r="1007" spans="3:21" x14ac:dyDescent="0.35">
      <c r="P1007" s="226"/>
      <c r="Q1007" s="226"/>
      <c r="R1007" s="226"/>
      <c r="S1007" s="226"/>
      <c r="T1007" s="226"/>
      <c r="U1007" s="226"/>
    </row>
    <row r="1008" spans="3:21" x14ac:dyDescent="0.35">
      <c r="P1008" s="226"/>
      <c r="Q1008" s="226"/>
      <c r="R1008" s="226"/>
      <c r="S1008" s="226"/>
      <c r="T1008" s="226"/>
      <c r="U1008" s="226"/>
    </row>
    <row r="1009" spans="16:21" x14ac:dyDescent="0.35">
      <c r="P1009" s="226"/>
      <c r="Q1009" s="226"/>
      <c r="R1009" s="226"/>
      <c r="S1009" s="226"/>
      <c r="T1009" s="226"/>
      <c r="U1009" s="226"/>
    </row>
    <row r="1010" spans="16:21" x14ac:dyDescent="0.35">
      <c r="P1010" s="226"/>
      <c r="Q1010" s="226"/>
      <c r="R1010" s="226"/>
      <c r="S1010" s="226"/>
      <c r="T1010" s="226"/>
      <c r="U1010" s="226"/>
    </row>
    <row r="1011" spans="16:21" x14ac:dyDescent="0.35">
      <c r="P1011" s="226"/>
      <c r="Q1011" s="226"/>
      <c r="R1011" s="226"/>
      <c r="S1011" s="226"/>
      <c r="T1011" s="226"/>
      <c r="U1011" s="226"/>
    </row>
    <row r="1012" spans="16:21" x14ac:dyDescent="0.35">
      <c r="P1012" s="226"/>
      <c r="Q1012" s="226"/>
      <c r="R1012" s="226"/>
      <c r="S1012" s="226"/>
      <c r="T1012" s="226"/>
      <c r="U1012" s="226"/>
    </row>
    <row r="1013" spans="16:21" x14ac:dyDescent="0.35">
      <c r="P1013" s="226"/>
      <c r="Q1013" s="226"/>
      <c r="R1013" s="226"/>
      <c r="S1013" s="226"/>
      <c r="T1013" s="226"/>
      <c r="U1013" s="226"/>
    </row>
    <row r="1014" spans="16:21" x14ac:dyDescent="0.35">
      <c r="P1014" s="226"/>
      <c r="Q1014" s="226"/>
      <c r="R1014" s="226"/>
      <c r="S1014" s="226"/>
      <c r="T1014" s="226"/>
      <c r="U1014" s="226"/>
    </row>
    <row r="1015" spans="16:21" x14ac:dyDescent="0.35">
      <c r="P1015" s="226"/>
      <c r="Q1015" s="226"/>
      <c r="R1015" s="226"/>
      <c r="S1015" s="226"/>
      <c r="T1015" s="226"/>
      <c r="U1015" s="226"/>
    </row>
    <row r="1016" spans="16:21" x14ac:dyDescent="0.35">
      <c r="P1016" s="226"/>
      <c r="Q1016" s="226"/>
      <c r="R1016" s="226"/>
      <c r="S1016" s="226"/>
      <c r="T1016" s="226"/>
      <c r="U1016" s="226"/>
    </row>
    <row r="1017" spans="16:21" x14ac:dyDescent="0.35">
      <c r="P1017" s="226"/>
      <c r="Q1017" s="226"/>
      <c r="R1017" s="226"/>
      <c r="S1017" s="226"/>
      <c r="T1017" s="226"/>
      <c r="U1017" s="226"/>
    </row>
    <row r="1018" spans="16:21" x14ac:dyDescent="0.35">
      <c r="P1018" s="226"/>
      <c r="Q1018" s="226"/>
      <c r="R1018" s="226"/>
      <c r="S1018" s="226"/>
      <c r="T1018" s="226"/>
      <c r="U1018" s="226"/>
    </row>
    <row r="1019" spans="16:21" x14ac:dyDescent="0.35">
      <c r="P1019" s="226"/>
      <c r="Q1019" s="226"/>
      <c r="R1019" s="226"/>
      <c r="S1019" s="226"/>
      <c r="T1019" s="226"/>
      <c r="U1019" s="226"/>
    </row>
    <row r="1020" spans="16:21" x14ac:dyDescent="0.35">
      <c r="P1020" s="226"/>
      <c r="Q1020" s="226"/>
      <c r="R1020" s="226"/>
      <c r="S1020" s="226"/>
      <c r="T1020" s="226"/>
      <c r="U1020" s="226"/>
    </row>
    <row r="1021" spans="16:21" x14ac:dyDescent="0.35">
      <c r="P1021" s="226"/>
      <c r="Q1021" s="226"/>
      <c r="R1021" s="226"/>
      <c r="S1021" s="226"/>
      <c r="T1021" s="226"/>
      <c r="U1021" s="226"/>
    </row>
    <row r="1022" spans="16:21" x14ac:dyDescent="0.35">
      <c r="P1022" s="226"/>
      <c r="Q1022" s="226"/>
      <c r="R1022" s="226"/>
      <c r="S1022" s="226"/>
      <c r="T1022" s="226"/>
      <c r="U1022" s="226"/>
    </row>
    <row r="1023" spans="16:21" x14ac:dyDescent="0.35">
      <c r="P1023" s="226"/>
      <c r="Q1023" s="226"/>
      <c r="R1023" s="226"/>
      <c r="S1023" s="226"/>
      <c r="T1023" s="226"/>
      <c r="U1023" s="226"/>
    </row>
    <row r="1024" spans="16:21" x14ac:dyDescent="0.35">
      <c r="P1024" s="226"/>
      <c r="Q1024" s="226"/>
      <c r="R1024" s="226"/>
      <c r="S1024" s="226"/>
      <c r="T1024" s="226"/>
      <c r="U1024" s="226"/>
    </row>
    <row r="1025" spans="16:21" x14ac:dyDescent="0.35">
      <c r="P1025" s="226"/>
      <c r="Q1025" s="226"/>
      <c r="R1025" s="226"/>
      <c r="S1025" s="226"/>
      <c r="T1025" s="226"/>
      <c r="U1025" s="226"/>
    </row>
    <row r="1026" spans="16:21" x14ac:dyDescent="0.35">
      <c r="P1026" s="226"/>
      <c r="Q1026" s="226"/>
      <c r="R1026" s="226"/>
      <c r="S1026" s="226"/>
      <c r="T1026" s="226"/>
      <c r="U1026" s="226"/>
    </row>
    <row r="1027" spans="16:21" x14ac:dyDescent="0.35">
      <c r="P1027" s="226"/>
      <c r="Q1027" s="226"/>
      <c r="R1027" s="226"/>
      <c r="S1027" s="226"/>
      <c r="T1027" s="226"/>
      <c r="U1027" s="226"/>
    </row>
    <row r="1028" spans="16:21" x14ac:dyDescent="0.35">
      <c r="P1028" s="226"/>
      <c r="Q1028" s="226"/>
      <c r="R1028" s="226"/>
      <c r="S1028" s="226"/>
      <c r="T1028" s="226"/>
      <c r="U1028" s="226"/>
    </row>
    <row r="1029" spans="16:21" x14ac:dyDescent="0.35">
      <c r="P1029" s="226"/>
      <c r="Q1029" s="226"/>
      <c r="R1029" s="226"/>
      <c r="S1029" s="226"/>
      <c r="T1029" s="226"/>
      <c r="U1029" s="226"/>
    </row>
    <row r="1030" spans="16:21" x14ac:dyDescent="0.35">
      <c r="P1030" s="226"/>
      <c r="Q1030" s="226"/>
      <c r="R1030" s="226"/>
      <c r="S1030" s="226"/>
      <c r="T1030" s="226"/>
      <c r="U1030" s="226"/>
    </row>
    <row r="1031" spans="16:21" x14ac:dyDescent="0.35">
      <c r="P1031" s="226"/>
      <c r="Q1031" s="226"/>
      <c r="R1031" s="226"/>
      <c r="S1031" s="226"/>
      <c r="T1031" s="226"/>
      <c r="U1031" s="226"/>
    </row>
    <row r="1032" spans="16:21" x14ac:dyDescent="0.35">
      <c r="P1032" s="226"/>
      <c r="Q1032" s="226"/>
      <c r="R1032" s="226"/>
      <c r="S1032" s="226"/>
      <c r="T1032" s="226"/>
      <c r="U1032" s="226"/>
    </row>
    <row r="1033" spans="16:21" x14ac:dyDescent="0.35">
      <c r="P1033" s="226"/>
      <c r="Q1033" s="226"/>
      <c r="R1033" s="226"/>
      <c r="S1033" s="226"/>
      <c r="T1033" s="226"/>
      <c r="U1033" s="226"/>
    </row>
    <row r="1034" spans="16:21" x14ac:dyDescent="0.35">
      <c r="P1034" s="226"/>
      <c r="Q1034" s="226"/>
      <c r="R1034" s="226"/>
      <c r="S1034" s="226"/>
      <c r="T1034" s="226"/>
      <c r="U1034" s="226"/>
    </row>
    <row r="1035" spans="16:21" x14ac:dyDescent="0.35">
      <c r="P1035" s="226"/>
      <c r="Q1035" s="226"/>
      <c r="R1035" s="226"/>
      <c r="S1035" s="226"/>
      <c r="T1035" s="226"/>
      <c r="U1035" s="226"/>
    </row>
    <row r="1036" spans="16:21" x14ac:dyDescent="0.35">
      <c r="P1036" s="226"/>
      <c r="Q1036" s="226"/>
      <c r="R1036" s="226"/>
      <c r="S1036" s="226"/>
      <c r="T1036" s="226"/>
      <c r="U1036" s="226"/>
    </row>
    <row r="1037" spans="16:21" x14ac:dyDescent="0.35">
      <c r="P1037" s="226"/>
      <c r="Q1037" s="226"/>
      <c r="R1037" s="226"/>
      <c r="S1037" s="226"/>
      <c r="T1037" s="226"/>
      <c r="U1037" s="226"/>
    </row>
    <row r="1038" spans="16:21" x14ac:dyDescent="0.35">
      <c r="P1038" s="226"/>
      <c r="Q1038" s="226"/>
      <c r="R1038" s="226"/>
      <c r="S1038" s="226"/>
      <c r="T1038" s="226"/>
      <c r="U1038" s="226"/>
    </row>
    <row r="1039" spans="16:21" x14ac:dyDescent="0.35">
      <c r="P1039" s="226"/>
      <c r="Q1039" s="226"/>
      <c r="R1039" s="226"/>
      <c r="S1039" s="226"/>
      <c r="T1039" s="226"/>
      <c r="U1039" s="226"/>
    </row>
    <row r="1040" spans="16:21" x14ac:dyDescent="0.35">
      <c r="P1040" s="226"/>
      <c r="Q1040" s="226"/>
      <c r="R1040" s="226"/>
      <c r="S1040" s="226"/>
      <c r="T1040" s="226"/>
      <c r="U1040" s="226"/>
    </row>
    <row r="1041" spans="16:21" x14ac:dyDescent="0.35">
      <c r="P1041" s="226"/>
      <c r="Q1041" s="226"/>
      <c r="R1041" s="226"/>
      <c r="S1041" s="226"/>
      <c r="T1041" s="226"/>
      <c r="U1041" s="226"/>
    </row>
    <row r="1042" spans="16:21" x14ac:dyDescent="0.35">
      <c r="P1042" s="226"/>
      <c r="Q1042" s="226"/>
      <c r="R1042" s="226"/>
      <c r="S1042" s="226"/>
      <c r="T1042" s="226"/>
      <c r="U1042" s="226"/>
    </row>
    <row r="1043" spans="16:21" x14ac:dyDescent="0.35">
      <c r="P1043" s="226"/>
      <c r="Q1043" s="226"/>
      <c r="R1043" s="226"/>
      <c r="S1043" s="226"/>
      <c r="T1043" s="226"/>
      <c r="U1043" s="226"/>
    </row>
    <row r="1044" spans="16:21" x14ac:dyDescent="0.35">
      <c r="P1044" s="226"/>
      <c r="Q1044" s="226"/>
      <c r="R1044" s="226"/>
      <c r="S1044" s="226"/>
      <c r="T1044" s="226"/>
      <c r="U1044" s="226"/>
    </row>
    <row r="1045" spans="16:21" x14ac:dyDescent="0.35">
      <c r="P1045" s="226"/>
      <c r="Q1045" s="226"/>
      <c r="R1045" s="226"/>
      <c r="S1045" s="226"/>
      <c r="T1045" s="226"/>
      <c r="U1045" s="226"/>
    </row>
    <row r="1046" spans="16:21" x14ac:dyDescent="0.35">
      <c r="P1046" s="226"/>
      <c r="Q1046" s="226"/>
      <c r="R1046" s="226"/>
      <c r="S1046" s="226"/>
      <c r="T1046" s="226"/>
      <c r="U1046" s="226"/>
    </row>
    <row r="1047" spans="16:21" x14ac:dyDescent="0.35">
      <c r="P1047" s="226"/>
      <c r="Q1047" s="226"/>
      <c r="R1047" s="226"/>
      <c r="S1047" s="226"/>
      <c r="T1047" s="226"/>
      <c r="U1047" s="226"/>
    </row>
    <row r="1048" spans="16:21" x14ac:dyDescent="0.35">
      <c r="P1048" s="226"/>
      <c r="Q1048" s="226"/>
      <c r="R1048" s="226"/>
      <c r="S1048" s="226"/>
      <c r="T1048" s="226"/>
      <c r="U1048" s="226"/>
    </row>
    <row r="1049" spans="16:21" x14ac:dyDescent="0.35">
      <c r="P1049" s="226"/>
      <c r="Q1049" s="226"/>
      <c r="R1049" s="226"/>
      <c r="S1049" s="226"/>
      <c r="T1049" s="226"/>
      <c r="U1049" s="226"/>
    </row>
    <row r="1050" spans="16:21" x14ac:dyDescent="0.35">
      <c r="P1050" s="226"/>
      <c r="Q1050" s="226"/>
      <c r="R1050" s="226"/>
      <c r="S1050" s="226"/>
      <c r="T1050" s="226"/>
      <c r="U1050" s="226"/>
    </row>
    <row r="1051" spans="16:21" x14ac:dyDescent="0.35">
      <c r="P1051" s="226"/>
      <c r="Q1051" s="226"/>
      <c r="R1051" s="226"/>
      <c r="S1051" s="226"/>
      <c r="T1051" s="226"/>
      <c r="U1051" s="226"/>
    </row>
    <row r="1052" spans="16:21" x14ac:dyDescent="0.35">
      <c r="P1052" s="226"/>
      <c r="Q1052" s="226"/>
      <c r="R1052" s="226"/>
      <c r="S1052" s="226"/>
      <c r="T1052" s="226"/>
      <c r="U1052" s="226"/>
    </row>
    <row r="1053" spans="16:21" x14ac:dyDescent="0.35">
      <c r="P1053" s="226"/>
      <c r="Q1053" s="226"/>
      <c r="R1053" s="226"/>
      <c r="S1053" s="226"/>
      <c r="T1053" s="226"/>
      <c r="U1053" s="226"/>
    </row>
    <row r="1054" spans="16:21" x14ac:dyDescent="0.35">
      <c r="P1054" s="226"/>
      <c r="Q1054" s="226"/>
      <c r="R1054" s="226"/>
      <c r="S1054" s="226"/>
      <c r="T1054" s="226"/>
      <c r="U1054" s="226"/>
    </row>
    <row r="1055" spans="16:21" x14ac:dyDescent="0.35">
      <c r="P1055" s="226"/>
      <c r="Q1055" s="226"/>
      <c r="R1055" s="226"/>
      <c r="S1055" s="226"/>
      <c r="T1055" s="226"/>
      <c r="U1055" s="226"/>
    </row>
    <row r="1056" spans="16:21" x14ac:dyDescent="0.35">
      <c r="P1056" s="226"/>
      <c r="Q1056" s="226"/>
      <c r="R1056" s="226"/>
      <c r="S1056" s="226"/>
      <c r="T1056" s="226"/>
      <c r="U1056" s="226"/>
    </row>
    <row r="1057" spans="16:21" x14ac:dyDescent="0.35">
      <c r="P1057" s="226"/>
      <c r="Q1057" s="226"/>
      <c r="R1057" s="226"/>
      <c r="S1057" s="226"/>
      <c r="T1057" s="226"/>
      <c r="U1057" s="226"/>
    </row>
    <row r="1058" spans="16:21" x14ac:dyDescent="0.35">
      <c r="P1058" s="226"/>
      <c r="Q1058" s="226"/>
      <c r="R1058" s="226"/>
      <c r="S1058" s="226"/>
      <c r="T1058" s="226"/>
      <c r="U1058" s="226"/>
    </row>
    <row r="1059" spans="16:21" x14ac:dyDescent="0.35">
      <c r="P1059" s="226"/>
      <c r="Q1059" s="226"/>
      <c r="R1059" s="226"/>
      <c r="S1059" s="226"/>
      <c r="T1059" s="226"/>
      <c r="U1059" s="226"/>
    </row>
    <row r="1060" spans="16:21" x14ac:dyDescent="0.35">
      <c r="P1060" s="226"/>
      <c r="Q1060" s="226"/>
      <c r="R1060" s="226"/>
      <c r="S1060" s="226"/>
      <c r="T1060" s="226"/>
      <c r="U1060" s="226"/>
    </row>
    <row r="1061" spans="16:21" x14ac:dyDescent="0.35">
      <c r="P1061" s="226"/>
      <c r="Q1061" s="226"/>
      <c r="R1061" s="226"/>
      <c r="S1061" s="226"/>
      <c r="T1061" s="226"/>
      <c r="U1061" s="226"/>
    </row>
    <row r="1062" spans="16:21" x14ac:dyDescent="0.35">
      <c r="P1062" s="226"/>
      <c r="Q1062" s="226"/>
      <c r="R1062" s="226"/>
      <c r="S1062" s="226"/>
      <c r="T1062" s="226"/>
      <c r="U1062" s="226"/>
    </row>
    <row r="1063" spans="16:21" x14ac:dyDescent="0.35">
      <c r="P1063" s="226"/>
      <c r="Q1063" s="226"/>
      <c r="R1063" s="226"/>
      <c r="S1063" s="226"/>
      <c r="T1063" s="226"/>
      <c r="U1063" s="226"/>
    </row>
    <row r="1064" spans="16:21" x14ac:dyDescent="0.35">
      <c r="P1064" s="226"/>
      <c r="Q1064" s="226"/>
      <c r="R1064" s="226"/>
      <c r="S1064" s="226"/>
      <c r="T1064" s="226"/>
      <c r="U1064" s="226"/>
    </row>
    <row r="1065" spans="16:21" x14ac:dyDescent="0.35">
      <c r="P1065" s="226"/>
      <c r="Q1065" s="226"/>
      <c r="R1065" s="226"/>
      <c r="S1065" s="226"/>
      <c r="T1065" s="226"/>
      <c r="U1065" s="226"/>
    </row>
    <row r="1066" spans="16:21" x14ac:dyDescent="0.35">
      <c r="P1066" s="226"/>
      <c r="Q1066" s="226"/>
      <c r="R1066" s="226"/>
      <c r="S1066" s="226"/>
      <c r="T1066" s="226"/>
      <c r="U1066" s="226"/>
    </row>
    <row r="1067" spans="16:21" x14ac:dyDescent="0.35">
      <c r="P1067" s="226"/>
      <c r="Q1067" s="226"/>
      <c r="R1067" s="226"/>
      <c r="S1067" s="226"/>
      <c r="T1067" s="226"/>
      <c r="U1067" s="226"/>
    </row>
    <row r="1068" spans="16:21" x14ac:dyDescent="0.35">
      <c r="P1068" s="226"/>
      <c r="Q1068" s="226"/>
      <c r="R1068" s="226"/>
      <c r="S1068" s="226"/>
      <c r="T1068" s="226"/>
      <c r="U1068" s="226"/>
    </row>
    <row r="1069" spans="16:21" x14ac:dyDescent="0.35">
      <c r="P1069" s="226"/>
      <c r="Q1069" s="226"/>
      <c r="R1069" s="226"/>
      <c r="S1069" s="226"/>
      <c r="T1069" s="226"/>
      <c r="U1069" s="226"/>
    </row>
    <row r="1070" spans="16:21" x14ac:dyDescent="0.35">
      <c r="P1070" s="226"/>
      <c r="Q1070" s="226"/>
      <c r="R1070" s="226"/>
      <c r="S1070" s="226"/>
      <c r="T1070" s="226"/>
      <c r="U1070" s="226"/>
    </row>
    <row r="1071" spans="16:21" x14ac:dyDescent="0.35">
      <c r="P1071" s="226"/>
      <c r="Q1071" s="226"/>
      <c r="R1071" s="226"/>
      <c r="S1071" s="226"/>
      <c r="T1071" s="226"/>
      <c r="U1071" s="226"/>
    </row>
    <row r="1072" spans="16:21" x14ac:dyDescent="0.35">
      <c r="P1072" s="226"/>
      <c r="Q1072" s="226"/>
      <c r="R1072" s="226"/>
      <c r="S1072" s="226"/>
      <c r="T1072" s="226"/>
      <c r="U1072" s="226"/>
    </row>
    <row r="1073" spans="16:21" x14ac:dyDescent="0.35">
      <c r="P1073" s="226"/>
      <c r="Q1073" s="226"/>
      <c r="R1073" s="226"/>
      <c r="S1073" s="226"/>
      <c r="T1073" s="226"/>
      <c r="U1073" s="226"/>
    </row>
    <row r="1074" spans="16:21" x14ac:dyDescent="0.35">
      <c r="P1074" s="226"/>
      <c r="Q1074" s="226"/>
      <c r="R1074" s="226"/>
      <c r="S1074" s="226"/>
      <c r="T1074" s="226"/>
      <c r="U1074" s="226"/>
    </row>
    <row r="1075" spans="16:21" x14ac:dyDescent="0.35">
      <c r="P1075" s="226"/>
      <c r="Q1075" s="226"/>
      <c r="R1075" s="226"/>
      <c r="S1075" s="226"/>
      <c r="T1075" s="226"/>
      <c r="U1075" s="226"/>
    </row>
    <row r="1076" spans="16:21" x14ac:dyDescent="0.35">
      <c r="P1076" s="226"/>
      <c r="Q1076" s="226"/>
      <c r="R1076" s="226"/>
      <c r="S1076" s="226"/>
      <c r="T1076" s="226"/>
      <c r="U1076" s="226"/>
    </row>
    <row r="1077" spans="16:21" x14ac:dyDescent="0.35">
      <c r="P1077" s="226"/>
      <c r="Q1077" s="226"/>
      <c r="R1077" s="226"/>
      <c r="S1077" s="226"/>
      <c r="T1077" s="226"/>
      <c r="U1077" s="226"/>
    </row>
    <row r="1078" spans="16:21" x14ac:dyDescent="0.35">
      <c r="P1078" s="226"/>
      <c r="Q1078" s="226"/>
      <c r="R1078" s="226"/>
      <c r="S1078" s="226"/>
      <c r="T1078" s="226"/>
      <c r="U1078" s="226"/>
    </row>
    <row r="1079" spans="16:21" x14ac:dyDescent="0.35">
      <c r="P1079" s="226"/>
      <c r="Q1079" s="226"/>
      <c r="R1079" s="226"/>
      <c r="S1079" s="226"/>
      <c r="T1079" s="226"/>
      <c r="U1079" s="226"/>
    </row>
    <row r="1080" spans="16:21" x14ac:dyDescent="0.35">
      <c r="P1080" s="226"/>
      <c r="Q1080" s="226"/>
      <c r="R1080" s="226"/>
      <c r="S1080" s="226"/>
      <c r="T1080" s="226"/>
      <c r="U1080" s="226"/>
    </row>
    <row r="1081" spans="16:21" x14ac:dyDescent="0.35">
      <c r="P1081" s="226"/>
      <c r="Q1081" s="226"/>
      <c r="R1081" s="226"/>
      <c r="S1081" s="226"/>
      <c r="T1081" s="226"/>
      <c r="U1081" s="226"/>
    </row>
    <row r="1082" spans="16:21" x14ac:dyDescent="0.35">
      <c r="P1082" s="226"/>
      <c r="Q1082" s="226"/>
      <c r="R1082" s="226"/>
      <c r="S1082" s="226"/>
      <c r="T1082" s="226"/>
      <c r="U1082" s="226"/>
    </row>
    <row r="1083" spans="16:21" x14ac:dyDescent="0.35">
      <c r="P1083" s="226"/>
      <c r="Q1083" s="226"/>
      <c r="R1083" s="226"/>
      <c r="S1083" s="226"/>
      <c r="T1083" s="226"/>
      <c r="U1083" s="226"/>
    </row>
    <row r="1084" spans="16:21" x14ac:dyDescent="0.35">
      <c r="P1084" s="226"/>
      <c r="Q1084" s="226"/>
      <c r="R1084" s="226"/>
      <c r="S1084" s="226"/>
      <c r="T1084" s="226"/>
      <c r="U1084" s="226"/>
    </row>
    <row r="1085" spans="16:21" x14ac:dyDescent="0.35">
      <c r="P1085" s="226"/>
      <c r="Q1085" s="226"/>
      <c r="R1085" s="226"/>
      <c r="S1085" s="226"/>
      <c r="T1085" s="226"/>
      <c r="U1085" s="226"/>
    </row>
    <row r="1086" spans="16:21" x14ac:dyDescent="0.35">
      <c r="P1086" s="226"/>
      <c r="Q1086" s="226"/>
      <c r="R1086" s="226"/>
      <c r="S1086" s="226"/>
      <c r="T1086" s="226"/>
      <c r="U1086" s="226"/>
    </row>
    <row r="1087" spans="16:21" x14ac:dyDescent="0.35">
      <c r="P1087" s="226"/>
      <c r="Q1087" s="226"/>
      <c r="R1087" s="226"/>
      <c r="S1087" s="226"/>
      <c r="T1087" s="226"/>
      <c r="U1087" s="226"/>
    </row>
    <row r="1088" spans="16:21" x14ac:dyDescent="0.35">
      <c r="P1088" s="226"/>
      <c r="Q1088" s="226"/>
      <c r="R1088" s="226"/>
      <c r="S1088" s="226"/>
      <c r="T1088" s="226"/>
      <c r="U1088" s="226"/>
    </row>
    <row r="1089" spans="16:21" x14ac:dyDescent="0.35">
      <c r="P1089" s="226"/>
      <c r="Q1089" s="226"/>
      <c r="R1089" s="226"/>
      <c r="S1089" s="226"/>
      <c r="T1089" s="226"/>
      <c r="U1089" s="226"/>
    </row>
    <row r="1090" spans="16:21" x14ac:dyDescent="0.35">
      <c r="P1090" s="226"/>
      <c r="Q1090" s="226"/>
      <c r="R1090" s="226"/>
      <c r="S1090" s="226"/>
      <c r="T1090" s="226"/>
      <c r="U1090" s="226"/>
    </row>
    <row r="1091" spans="16:21" x14ac:dyDescent="0.35">
      <c r="P1091" s="226"/>
      <c r="Q1091" s="226"/>
      <c r="R1091" s="226"/>
      <c r="S1091" s="226"/>
      <c r="T1091" s="226"/>
      <c r="U1091" s="226"/>
    </row>
    <row r="1092" spans="16:21" x14ac:dyDescent="0.35">
      <c r="P1092" s="226"/>
      <c r="Q1092" s="226"/>
      <c r="R1092" s="226"/>
      <c r="S1092" s="226"/>
      <c r="T1092" s="226"/>
      <c r="U1092" s="226"/>
    </row>
    <row r="1093" spans="16:21" x14ac:dyDescent="0.35">
      <c r="P1093" s="226"/>
      <c r="Q1093" s="226"/>
      <c r="R1093" s="226"/>
      <c r="S1093" s="226"/>
      <c r="T1093" s="226"/>
      <c r="U1093" s="226"/>
    </row>
    <row r="1094" spans="16:21" x14ac:dyDescent="0.35">
      <c r="P1094" s="226"/>
      <c r="Q1094" s="226"/>
      <c r="R1094" s="226"/>
      <c r="S1094" s="226"/>
      <c r="T1094" s="226"/>
      <c r="U1094" s="226"/>
    </row>
    <row r="1095" spans="16:21" x14ac:dyDescent="0.35">
      <c r="P1095" s="226"/>
      <c r="Q1095" s="226"/>
      <c r="R1095" s="226"/>
      <c r="S1095" s="226"/>
      <c r="T1095" s="226"/>
      <c r="U1095" s="226"/>
    </row>
    <row r="1096" spans="16:21" x14ac:dyDescent="0.35">
      <c r="P1096" s="226"/>
      <c r="Q1096" s="226"/>
      <c r="R1096" s="226"/>
      <c r="S1096" s="226"/>
      <c r="T1096" s="226"/>
      <c r="U1096" s="226"/>
    </row>
    <row r="1097" spans="16:21" x14ac:dyDescent="0.35">
      <c r="P1097" s="226"/>
      <c r="Q1097" s="226"/>
      <c r="R1097" s="226"/>
      <c r="S1097" s="226"/>
      <c r="T1097" s="226"/>
      <c r="U1097" s="226"/>
    </row>
    <row r="1098" spans="16:21" x14ac:dyDescent="0.35">
      <c r="P1098" s="226"/>
      <c r="Q1098" s="226"/>
      <c r="R1098" s="226"/>
      <c r="S1098" s="226"/>
      <c r="T1098" s="226"/>
      <c r="U1098" s="226"/>
    </row>
    <row r="1099" spans="16:21" x14ac:dyDescent="0.35">
      <c r="P1099" s="226"/>
      <c r="Q1099" s="226"/>
      <c r="R1099" s="226"/>
      <c r="S1099" s="226"/>
      <c r="T1099" s="226"/>
      <c r="U1099" s="226"/>
    </row>
    <row r="1100" spans="16:21" x14ac:dyDescent="0.35">
      <c r="P1100" s="226"/>
      <c r="Q1100" s="226"/>
      <c r="R1100" s="226"/>
      <c r="S1100" s="226"/>
      <c r="T1100" s="226"/>
      <c r="U1100" s="226"/>
    </row>
    <row r="1101" spans="16:21" x14ac:dyDescent="0.35">
      <c r="P1101" s="226"/>
      <c r="Q1101" s="226"/>
      <c r="R1101" s="226"/>
      <c r="S1101" s="226"/>
      <c r="T1101" s="226"/>
      <c r="U1101" s="226"/>
    </row>
    <row r="1102" spans="16:21" x14ac:dyDescent="0.35">
      <c r="P1102" s="226"/>
      <c r="Q1102" s="226"/>
      <c r="R1102" s="226"/>
      <c r="S1102" s="226"/>
      <c r="T1102" s="226"/>
      <c r="U1102" s="226"/>
    </row>
    <row r="1103" spans="16:21" x14ac:dyDescent="0.35">
      <c r="P1103" s="226"/>
      <c r="Q1103" s="226"/>
      <c r="R1103" s="226"/>
      <c r="S1103" s="226"/>
      <c r="T1103" s="226"/>
      <c r="U1103" s="226"/>
    </row>
    <row r="1104" spans="16:21" x14ac:dyDescent="0.35">
      <c r="P1104" s="226"/>
      <c r="Q1104" s="226"/>
      <c r="R1104" s="226"/>
      <c r="S1104" s="226"/>
      <c r="T1104" s="226"/>
      <c r="U1104" s="226"/>
    </row>
    <row r="1105" spans="16:21" x14ac:dyDescent="0.35">
      <c r="P1105" s="226"/>
      <c r="Q1105" s="226"/>
      <c r="R1105" s="226"/>
      <c r="S1105" s="226"/>
      <c r="T1105" s="226"/>
      <c r="U1105" s="226"/>
    </row>
    <row r="1106" spans="16:21" x14ac:dyDescent="0.35">
      <c r="P1106" s="226"/>
      <c r="Q1106" s="226"/>
      <c r="R1106" s="226"/>
      <c r="S1106" s="226"/>
      <c r="T1106" s="226"/>
      <c r="U1106" s="226"/>
    </row>
    <row r="1107" spans="16:21" x14ac:dyDescent="0.35">
      <c r="P1107" s="226"/>
      <c r="Q1107" s="226"/>
      <c r="R1107" s="226"/>
      <c r="S1107" s="226"/>
      <c r="T1107" s="226"/>
      <c r="U1107" s="226"/>
    </row>
    <row r="1108" spans="16:21" x14ac:dyDescent="0.35">
      <c r="P1108" s="226"/>
      <c r="Q1108" s="226"/>
      <c r="R1108" s="226"/>
      <c r="S1108" s="226"/>
      <c r="T1108" s="226"/>
      <c r="U1108" s="226"/>
    </row>
    <row r="1109" spans="16:21" x14ac:dyDescent="0.35">
      <c r="P1109" s="226"/>
      <c r="Q1109" s="226"/>
      <c r="R1109" s="226"/>
      <c r="S1109" s="226"/>
      <c r="T1109" s="226"/>
      <c r="U1109" s="226"/>
    </row>
    <row r="1110" spans="16:21" x14ac:dyDescent="0.35">
      <c r="P1110" s="226"/>
      <c r="Q1110" s="226"/>
      <c r="R1110" s="226"/>
      <c r="S1110" s="226"/>
      <c r="T1110" s="226"/>
      <c r="U1110" s="226"/>
    </row>
    <row r="1111" spans="16:21" x14ac:dyDescent="0.35">
      <c r="P1111" s="226"/>
      <c r="Q1111" s="226"/>
      <c r="R1111" s="226"/>
      <c r="S1111" s="226"/>
      <c r="T1111" s="226"/>
      <c r="U1111" s="226"/>
    </row>
    <row r="1112" spans="16:21" x14ac:dyDescent="0.35">
      <c r="P1112" s="226"/>
      <c r="Q1112" s="226"/>
      <c r="R1112" s="226"/>
      <c r="S1112" s="226"/>
      <c r="T1112" s="226"/>
      <c r="U1112" s="226"/>
    </row>
    <row r="1113" spans="16:21" x14ac:dyDescent="0.35">
      <c r="P1113" s="226"/>
      <c r="Q1113" s="226"/>
      <c r="R1113" s="226"/>
      <c r="S1113" s="226"/>
      <c r="T1113" s="226"/>
      <c r="U1113" s="226"/>
    </row>
    <row r="1114" spans="16:21" x14ac:dyDescent="0.35">
      <c r="P1114" s="226"/>
      <c r="Q1114" s="226"/>
      <c r="R1114" s="226"/>
      <c r="S1114" s="226"/>
      <c r="T1114" s="226"/>
      <c r="U1114" s="226"/>
    </row>
    <row r="1115" spans="16:21" x14ac:dyDescent="0.35">
      <c r="P1115" s="226"/>
      <c r="Q1115" s="226"/>
      <c r="R1115" s="226"/>
      <c r="S1115" s="226"/>
      <c r="T1115" s="226"/>
      <c r="U1115" s="226"/>
    </row>
    <row r="1116" spans="16:21" x14ac:dyDescent="0.35">
      <c r="P1116" s="226"/>
      <c r="Q1116" s="226"/>
      <c r="R1116" s="226"/>
      <c r="S1116" s="226"/>
      <c r="T1116" s="226"/>
      <c r="U1116" s="226"/>
    </row>
    <row r="1117" spans="16:21" x14ac:dyDescent="0.35">
      <c r="P1117" s="226"/>
      <c r="Q1117" s="226"/>
      <c r="R1117" s="226"/>
      <c r="S1117" s="226"/>
      <c r="T1117" s="226"/>
      <c r="U1117" s="226"/>
    </row>
    <row r="1118" spans="16:21" x14ac:dyDescent="0.35">
      <c r="P1118" s="226"/>
      <c r="Q1118" s="226"/>
      <c r="R1118" s="226"/>
      <c r="S1118" s="226"/>
      <c r="T1118" s="226"/>
      <c r="U1118" s="226"/>
    </row>
    <row r="1119" spans="16:21" x14ac:dyDescent="0.35">
      <c r="P1119" s="226"/>
      <c r="Q1119" s="226"/>
      <c r="R1119" s="226"/>
      <c r="S1119" s="226"/>
      <c r="T1119" s="226"/>
      <c r="U1119" s="226"/>
    </row>
    <row r="1120" spans="16:21" x14ac:dyDescent="0.35">
      <c r="P1120" s="226"/>
      <c r="Q1120" s="226"/>
      <c r="R1120" s="226"/>
      <c r="S1120" s="226"/>
      <c r="T1120" s="226"/>
      <c r="U1120" s="226"/>
    </row>
    <row r="1121" spans="16:21" x14ac:dyDescent="0.35">
      <c r="P1121" s="226"/>
      <c r="Q1121" s="226"/>
      <c r="R1121" s="226"/>
      <c r="S1121" s="226"/>
      <c r="T1121" s="226"/>
      <c r="U1121" s="226"/>
    </row>
    <row r="1122" spans="16:21" x14ac:dyDescent="0.35">
      <c r="P1122" s="226"/>
      <c r="Q1122" s="226"/>
      <c r="R1122" s="226"/>
      <c r="S1122" s="226"/>
      <c r="T1122" s="226"/>
      <c r="U1122" s="226"/>
    </row>
    <row r="1123" spans="16:21" x14ac:dyDescent="0.35">
      <c r="P1123" s="226"/>
      <c r="Q1123" s="226"/>
      <c r="R1123" s="226"/>
      <c r="S1123" s="226"/>
      <c r="T1123" s="226"/>
      <c r="U1123" s="226"/>
    </row>
    <row r="1124" spans="16:21" x14ac:dyDescent="0.35">
      <c r="P1124" s="226"/>
      <c r="Q1124" s="226"/>
      <c r="R1124" s="226"/>
      <c r="S1124" s="226"/>
      <c r="T1124" s="226"/>
      <c r="U1124" s="226"/>
    </row>
    <row r="1125" spans="16:21" x14ac:dyDescent="0.35">
      <c r="P1125" s="226"/>
      <c r="Q1125" s="226"/>
      <c r="R1125" s="226"/>
      <c r="S1125" s="226"/>
      <c r="T1125" s="226"/>
      <c r="U1125" s="226"/>
    </row>
    <row r="1126" spans="16:21" x14ac:dyDescent="0.35">
      <c r="P1126" s="226"/>
      <c r="Q1126" s="226"/>
      <c r="R1126" s="226"/>
      <c r="S1126" s="226"/>
      <c r="T1126" s="226"/>
      <c r="U1126" s="226"/>
    </row>
    <row r="1127" spans="16:21" x14ac:dyDescent="0.35">
      <c r="P1127" s="226"/>
      <c r="Q1127" s="226"/>
      <c r="R1127" s="226"/>
      <c r="S1127" s="226"/>
      <c r="T1127" s="226"/>
      <c r="U1127" s="226"/>
    </row>
    <row r="1128" spans="16:21" x14ac:dyDescent="0.35">
      <c r="P1128" s="226"/>
      <c r="Q1128" s="226"/>
      <c r="R1128" s="226"/>
      <c r="S1128" s="226"/>
      <c r="T1128" s="226"/>
      <c r="U1128" s="226"/>
    </row>
    <row r="1129" spans="16:21" x14ac:dyDescent="0.35">
      <c r="P1129" s="226"/>
      <c r="Q1129" s="226"/>
      <c r="R1129" s="226"/>
      <c r="S1129" s="226"/>
      <c r="T1129" s="226"/>
      <c r="U1129" s="226"/>
    </row>
    <row r="1130" spans="16:21" x14ac:dyDescent="0.35">
      <c r="P1130" s="226"/>
      <c r="Q1130" s="226"/>
      <c r="R1130" s="226"/>
      <c r="S1130" s="226"/>
      <c r="T1130" s="226"/>
      <c r="U1130" s="226"/>
    </row>
    <row r="1131" spans="16:21" x14ac:dyDescent="0.35">
      <c r="P1131" s="226"/>
      <c r="Q1131" s="226"/>
      <c r="R1131" s="226"/>
      <c r="S1131" s="226"/>
      <c r="T1131" s="226"/>
      <c r="U1131" s="226"/>
    </row>
    <row r="1132" spans="16:21" x14ac:dyDescent="0.35">
      <c r="P1132" s="226"/>
      <c r="Q1132" s="226"/>
      <c r="R1132" s="226"/>
      <c r="S1132" s="226"/>
      <c r="T1132" s="226"/>
      <c r="U1132" s="226"/>
    </row>
    <row r="1133" spans="16:21" x14ac:dyDescent="0.35">
      <c r="P1133" s="226"/>
      <c r="Q1133" s="226"/>
      <c r="R1133" s="226"/>
      <c r="S1133" s="226"/>
      <c r="T1133" s="226"/>
      <c r="U1133" s="226"/>
    </row>
    <row r="1134" spans="16:21" x14ac:dyDescent="0.35">
      <c r="P1134" s="226"/>
      <c r="Q1134" s="226"/>
      <c r="R1134" s="226"/>
      <c r="S1134" s="226"/>
      <c r="T1134" s="226"/>
      <c r="U1134" s="226"/>
    </row>
    <row r="1135" spans="16:21" x14ac:dyDescent="0.35">
      <c r="P1135" s="226"/>
      <c r="Q1135" s="226"/>
      <c r="R1135" s="226"/>
      <c r="S1135" s="226"/>
      <c r="T1135" s="226"/>
      <c r="U1135" s="226"/>
    </row>
    <row r="1136" spans="16:21" x14ac:dyDescent="0.35">
      <c r="P1136" s="226"/>
      <c r="Q1136" s="226"/>
      <c r="R1136" s="226"/>
      <c r="S1136" s="226"/>
      <c r="T1136" s="226"/>
      <c r="U1136" s="226"/>
    </row>
    <row r="1137" spans="16:21" x14ac:dyDescent="0.35">
      <c r="P1137" s="226"/>
      <c r="Q1137" s="226"/>
      <c r="R1137" s="226"/>
      <c r="S1137" s="226"/>
      <c r="T1137" s="226"/>
      <c r="U1137" s="226"/>
    </row>
    <row r="1138" spans="16:21" x14ac:dyDescent="0.35">
      <c r="P1138" s="226"/>
      <c r="Q1138" s="226"/>
      <c r="R1138" s="226"/>
      <c r="S1138" s="226"/>
      <c r="T1138" s="226"/>
      <c r="U1138" s="226"/>
    </row>
    <row r="1139" spans="16:21" x14ac:dyDescent="0.35">
      <c r="P1139" s="226"/>
      <c r="Q1139" s="226"/>
      <c r="R1139" s="226"/>
      <c r="S1139" s="226"/>
      <c r="T1139" s="226"/>
      <c r="U1139" s="226"/>
    </row>
    <row r="1140" spans="16:21" x14ac:dyDescent="0.35">
      <c r="P1140" s="226"/>
      <c r="Q1140" s="226"/>
      <c r="R1140" s="226"/>
      <c r="S1140" s="226"/>
      <c r="T1140" s="226"/>
      <c r="U1140" s="226"/>
    </row>
    <row r="1141" spans="16:21" x14ac:dyDescent="0.35">
      <c r="P1141" s="226"/>
      <c r="Q1141" s="226"/>
      <c r="R1141" s="226"/>
      <c r="S1141" s="226"/>
      <c r="T1141" s="226"/>
      <c r="U1141" s="226"/>
    </row>
    <row r="1142" spans="16:21" x14ac:dyDescent="0.35">
      <c r="P1142" s="226"/>
      <c r="Q1142" s="226"/>
      <c r="R1142" s="226"/>
      <c r="S1142" s="226"/>
      <c r="T1142" s="226"/>
      <c r="U1142" s="226"/>
    </row>
    <row r="1143" spans="16:21" x14ac:dyDescent="0.35">
      <c r="P1143" s="226"/>
      <c r="Q1143" s="226"/>
      <c r="R1143" s="226"/>
      <c r="S1143" s="226"/>
      <c r="T1143" s="226"/>
      <c r="U1143" s="226"/>
    </row>
    <row r="1144" spans="16:21" x14ac:dyDescent="0.35">
      <c r="P1144" s="226"/>
      <c r="Q1144" s="226"/>
      <c r="R1144" s="226"/>
      <c r="S1144" s="226"/>
      <c r="T1144" s="226"/>
      <c r="U1144" s="226"/>
    </row>
    <row r="1145" spans="16:21" x14ac:dyDescent="0.35">
      <c r="P1145" s="226"/>
      <c r="Q1145" s="226"/>
      <c r="R1145" s="226"/>
      <c r="S1145" s="226"/>
      <c r="T1145" s="226"/>
      <c r="U1145" s="226"/>
    </row>
    <row r="1146" spans="16:21" x14ac:dyDescent="0.35">
      <c r="P1146" s="226"/>
      <c r="Q1146" s="226"/>
      <c r="R1146" s="226"/>
      <c r="S1146" s="226"/>
      <c r="T1146" s="226"/>
      <c r="U1146" s="226"/>
    </row>
    <row r="1147" spans="16:21" x14ac:dyDescent="0.35">
      <c r="P1147" s="226"/>
      <c r="Q1147" s="226"/>
      <c r="R1147" s="226"/>
      <c r="S1147" s="226"/>
      <c r="T1147" s="226"/>
      <c r="U1147" s="226"/>
    </row>
    <row r="1148" spans="16:21" x14ac:dyDescent="0.35">
      <c r="P1148" s="226"/>
      <c r="Q1148" s="226"/>
      <c r="R1148" s="226"/>
      <c r="S1148" s="226"/>
      <c r="T1148" s="226"/>
      <c r="U1148" s="226"/>
    </row>
    <row r="1149" spans="16:21" x14ac:dyDescent="0.35">
      <c r="P1149" s="226"/>
      <c r="Q1149" s="226"/>
      <c r="R1149" s="226"/>
      <c r="S1149" s="226"/>
      <c r="T1149" s="226"/>
      <c r="U1149" s="226"/>
    </row>
    <row r="1150" spans="16:21" x14ac:dyDescent="0.35">
      <c r="P1150" s="226"/>
      <c r="Q1150" s="226"/>
      <c r="R1150" s="226"/>
      <c r="S1150" s="226"/>
      <c r="T1150" s="226"/>
      <c r="U1150" s="226"/>
    </row>
    <row r="1151" spans="16:21" x14ac:dyDescent="0.35">
      <c r="P1151" s="226"/>
      <c r="Q1151" s="226"/>
      <c r="R1151" s="226"/>
      <c r="S1151" s="226"/>
      <c r="T1151" s="226"/>
      <c r="U1151" s="226"/>
    </row>
    <row r="1152" spans="16:21" x14ac:dyDescent="0.35">
      <c r="P1152" s="226"/>
      <c r="Q1152" s="226"/>
      <c r="R1152" s="226"/>
      <c r="S1152" s="226"/>
      <c r="T1152" s="226"/>
      <c r="U1152" s="226"/>
    </row>
    <row r="1153" spans="16:21" x14ac:dyDescent="0.35">
      <c r="P1153" s="226"/>
      <c r="Q1153" s="226"/>
      <c r="R1153" s="226"/>
      <c r="S1153" s="226"/>
      <c r="T1153" s="226"/>
      <c r="U1153" s="226"/>
    </row>
    <row r="1154" spans="16:21" x14ac:dyDescent="0.35">
      <c r="P1154" s="226"/>
      <c r="Q1154" s="226"/>
      <c r="R1154" s="226"/>
      <c r="S1154" s="226"/>
      <c r="T1154" s="226"/>
      <c r="U1154" s="226"/>
    </row>
    <row r="1155" spans="16:21" x14ac:dyDescent="0.35">
      <c r="P1155" s="226"/>
      <c r="Q1155" s="226"/>
      <c r="R1155" s="226"/>
      <c r="S1155" s="226"/>
      <c r="T1155" s="226"/>
      <c r="U1155" s="226"/>
    </row>
    <row r="1156" spans="16:21" x14ac:dyDescent="0.35">
      <c r="P1156" s="226"/>
      <c r="Q1156" s="226"/>
      <c r="R1156" s="226"/>
      <c r="S1156" s="226"/>
      <c r="T1156" s="226"/>
      <c r="U1156" s="226"/>
    </row>
    <row r="1157" spans="16:21" x14ac:dyDescent="0.35">
      <c r="P1157" s="226"/>
      <c r="Q1157" s="226"/>
      <c r="R1157" s="226"/>
      <c r="S1157" s="226"/>
      <c r="T1157" s="226"/>
      <c r="U1157" s="226"/>
    </row>
    <row r="1158" spans="16:21" x14ac:dyDescent="0.35">
      <c r="P1158" s="226"/>
      <c r="Q1158" s="226"/>
      <c r="R1158" s="226"/>
      <c r="S1158" s="226"/>
      <c r="T1158" s="226"/>
      <c r="U1158" s="226"/>
    </row>
    <row r="1159" spans="16:21" x14ac:dyDescent="0.35">
      <c r="P1159" s="226"/>
      <c r="Q1159" s="226"/>
      <c r="R1159" s="226"/>
      <c r="S1159" s="226"/>
      <c r="T1159" s="226"/>
      <c r="U1159" s="226"/>
    </row>
    <row r="1160" spans="16:21" x14ac:dyDescent="0.35">
      <c r="P1160" s="226"/>
      <c r="Q1160" s="226"/>
      <c r="R1160" s="226"/>
      <c r="S1160" s="226"/>
      <c r="T1160" s="226"/>
      <c r="U1160" s="226"/>
    </row>
    <row r="1161" spans="16:21" x14ac:dyDescent="0.35">
      <c r="P1161" s="226"/>
      <c r="Q1161" s="226"/>
      <c r="R1161" s="226"/>
      <c r="S1161" s="226"/>
      <c r="T1161" s="226"/>
      <c r="U1161" s="226"/>
    </row>
    <row r="1162" spans="16:21" x14ac:dyDescent="0.35">
      <c r="P1162" s="226"/>
      <c r="Q1162" s="226"/>
      <c r="R1162" s="226"/>
      <c r="S1162" s="226"/>
      <c r="T1162" s="226"/>
      <c r="U1162" s="226"/>
    </row>
    <row r="1163" spans="16:21" x14ac:dyDescent="0.35">
      <c r="P1163" s="226"/>
      <c r="Q1163" s="226"/>
      <c r="R1163" s="226"/>
      <c r="S1163" s="226"/>
      <c r="T1163" s="226"/>
      <c r="U1163" s="226"/>
    </row>
    <row r="1164" spans="16:21" x14ac:dyDescent="0.35">
      <c r="P1164" s="226"/>
      <c r="Q1164" s="226"/>
      <c r="R1164" s="226"/>
      <c r="S1164" s="226"/>
      <c r="T1164" s="226"/>
      <c r="U1164" s="226"/>
    </row>
    <row r="1165" spans="16:21" x14ac:dyDescent="0.35">
      <c r="P1165" s="226"/>
      <c r="Q1165" s="226"/>
      <c r="R1165" s="226"/>
      <c r="S1165" s="226"/>
      <c r="T1165" s="226"/>
      <c r="U1165" s="226"/>
    </row>
    <row r="1166" spans="16:21" x14ac:dyDescent="0.35">
      <c r="P1166" s="226"/>
      <c r="Q1166" s="226"/>
      <c r="R1166" s="226"/>
      <c r="S1166" s="226"/>
      <c r="T1166" s="226"/>
      <c r="U1166" s="226"/>
    </row>
    <row r="1167" spans="16:21" x14ac:dyDescent="0.35">
      <c r="P1167" s="226"/>
      <c r="Q1167" s="226"/>
      <c r="R1167" s="226"/>
      <c r="S1167" s="226"/>
      <c r="T1167" s="226"/>
      <c r="U1167" s="226"/>
    </row>
    <row r="1168" spans="16:21" x14ac:dyDescent="0.35">
      <c r="P1168" s="226"/>
      <c r="Q1168" s="226"/>
      <c r="R1168" s="226"/>
      <c r="S1168" s="226"/>
      <c r="T1168" s="226"/>
      <c r="U1168" s="226"/>
    </row>
    <row r="1169" spans="16:21" x14ac:dyDescent="0.35">
      <c r="P1169" s="226"/>
      <c r="Q1169" s="226"/>
      <c r="R1169" s="226"/>
      <c r="S1169" s="226"/>
      <c r="T1169" s="226"/>
      <c r="U1169" s="226"/>
    </row>
    <row r="1170" spans="16:21" x14ac:dyDescent="0.35">
      <c r="P1170" s="226"/>
      <c r="Q1170" s="226"/>
      <c r="R1170" s="226"/>
      <c r="S1170" s="226"/>
      <c r="T1170" s="226"/>
      <c r="U1170" s="226"/>
    </row>
    <row r="1171" spans="16:21" x14ac:dyDescent="0.35">
      <c r="P1171" s="226"/>
      <c r="Q1171" s="226"/>
      <c r="R1171" s="226"/>
      <c r="S1171" s="226"/>
      <c r="T1171" s="226"/>
      <c r="U1171" s="226"/>
    </row>
    <row r="1172" spans="16:21" x14ac:dyDescent="0.35">
      <c r="P1172" s="226"/>
      <c r="Q1172" s="226"/>
      <c r="R1172" s="226"/>
      <c r="S1172" s="226"/>
      <c r="T1172" s="226"/>
      <c r="U1172" s="226"/>
    </row>
    <row r="1173" spans="16:21" x14ac:dyDescent="0.35">
      <c r="P1173" s="226"/>
      <c r="Q1173" s="226"/>
      <c r="R1173" s="226"/>
      <c r="S1173" s="226"/>
      <c r="T1173" s="226"/>
      <c r="U1173" s="226"/>
    </row>
    <row r="1174" spans="16:21" x14ac:dyDescent="0.35">
      <c r="P1174" s="226"/>
      <c r="Q1174" s="226"/>
      <c r="R1174" s="226"/>
      <c r="S1174" s="226"/>
      <c r="T1174" s="226"/>
      <c r="U1174" s="226"/>
    </row>
    <row r="1175" spans="16:21" x14ac:dyDescent="0.35">
      <c r="P1175" s="226"/>
      <c r="Q1175" s="226"/>
      <c r="R1175" s="226"/>
      <c r="S1175" s="226"/>
      <c r="T1175" s="226"/>
      <c r="U1175" s="226"/>
    </row>
    <row r="1176" spans="16:21" x14ac:dyDescent="0.35">
      <c r="P1176" s="226"/>
      <c r="Q1176" s="226"/>
      <c r="R1176" s="226"/>
      <c r="S1176" s="226"/>
      <c r="T1176" s="226"/>
      <c r="U1176" s="226"/>
    </row>
    <row r="1177" spans="16:21" x14ac:dyDescent="0.35">
      <c r="P1177" s="226"/>
      <c r="Q1177" s="226"/>
      <c r="R1177" s="226"/>
      <c r="S1177" s="226"/>
      <c r="T1177" s="226"/>
      <c r="U1177" s="226"/>
    </row>
    <row r="1178" spans="16:21" x14ac:dyDescent="0.35">
      <c r="P1178" s="226"/>
      <c r="Q1178" s="226"/>
      <c r="R1178" s="226"/>
      <c r="S1178" s="226"/>
      <c r="T1178" s="226"/>
      <c r="U1178" s="226"/>
    </row>
    <row r="1179" spans="16:21" x14ac:dyDescent="0.35">
      <c r="P1179" s="226"/>
      <c r="Q1179" s="226"/>
      <c r="R1179" s="226"/>
      <c r="S1179" s="226"/>
      <c r="T1179" s="226"/>
      <c r="U1179" s="226"/>
    </row>
    <row r="1180" spans="16:21" x14ac:dyDescent="0.35">
      <c r="P1180" s="226"/>
      <c r="Q1180" s="226"/>
      <c r="R1180" s="226"/>
      <c r="S1180" s="226"/>
      <c r="T1180" s="226"/>
      <c r="U1180" s="226"/>
    </row>
    <row r="1181" spans="16:21" x14ac:dyDescent="0.35">
      <c r="P1181" s="226"/>
      <c r="Q1181" s="226"/>
      <c r="R1181" s="226"/>
      <c r="S1181" s="226"/>
      <c r="T1181" s="226"/>
      <c r="U1181" s="226"/>
    </row>
    <row r="1182" spans="16:21" x14ac:dyDescent="0.35">
      <c r="P1182" s="226"/>
      <c r="Q1182" s="226"/>
      <c r="R1182" s="226"/>
      <c r="S1182" s="226"/>
      <c r="T1182" s="226"/>
      <c r="U1182" s="226"/>
    </row>
    <row r="1183" spans="16:21" x14ac:dyDescent="0.35">
      <c r="P1183" s="226"/>
      <c r="Q1183" s="226"/>
      <c r="R1183" s="226"/>
      <c r="S1183" s="226"/>
      <c r="T1183" s="226"/>
      <c r="U1183" s="226"/>
    </row>
    <row r="1184" spans="16:21" x14ac:dyDescent="0.35">
      <c r="P1184" s="226"/>
      <c r="Q1184" s="226"/>
      <c r="R1184" s="226"/>
      <c r="S1184" s="226"/>
      <c r="T1184" s="226"/>
      <c r="U1184" s="226"/>
    </row>
    <row r="1185" spans="16:21" x14ac:dyDescent="0.35">
      <c r="P1185" s="226"/>
      <c r="Q1185" s="226"/>
      <c r="R1185" s="226"/>
      <c r="S1185" s="226"/>
      <c r="T1185" s="226"/>
      <c r="U1185" s="226"/>
    </row>
    <row r="1186" spans="16:21" x14ac:dyDescent="0.35">
      <c r="P1186" s="226"/>
      <c r="Q1186" s="226"/>
      <c r="R1186" s="226"/>
      <c r="S1186" s="226"/>
      <c r="T1186" s="226"/>
      <c r="U1186" s="226"/>
    </row>
    <row r="1187" spans="16:21" x14ac:dyDescent="0.35">
      <c r="P1187" s="226"/>
      <c r="Q1187" s="226"/>
      <c r="R1187" s="226"/>
      <c r="S1187" s="226"/>
      <c r="T1187" s="226"/>
      <c r="U1187" s="226"/>
    </row>
    <row r="1188" spans="16:21" x14ac:dyDescent="0.35">
      <c r="P1188" s="226"/>
      <c r="Q1188" s="226"/>
      <c r="R1188" s="226"/>
      <c r="S1188" s="226"/>
      <c r="T1188" s="226"/>
      <c r="U1188" s="226"/>
    </row>
    <row r="1189" spans="16:21" x14ac:dyDescent="0.35">
      <c r="P1189" s="226"/>
      <c r="Q1189" s="226"/>
      <c r="R1189" s="226"/>
      <c r="S1189" s="226"/>
      <c r="T1189" s="226"/>
      <c r="U1189" s="226"/>
    </row>
    <row r="1190" spans="16:21" x14ac:dyDescent="0.35">
      <c r="P1190" s="226"/>
      <c r="Q1190" s="226"/>
      <c r="R1190" s="226"/>
      <c r="S1190" s="226"/>
      <c r="T1190" s="226"/>
      <c r="U1190" s="226"/>
    </row>
    <row r="1191" spans="16:21" x14ac:dyDescent="0.35">
      <c r="P1191" s="226"/>
      <c r="Q1191" s="226"/>
      <c r="R1191" s="226"/>
      <c r="S1191" s="226"/>
      <c r="T1191" s="226"/>
      <c r="U1191" s="226"/>
    </row>
    <row r="1192" spans="16:21" x14ac:dyDescent="0.35">
      <c r="P1192" s="226"/>
      <c r="Q1192" s="226"/>
      <c r="R1192" s="226"/>
      <c r="S1192" s="226"/>
      <c r="T1192" s="226"/>
      <c r="U1192" s="226"/>
    </row>
    <row r="1193" spans="16:21" x14ac:dyDescent="0.35">
      <c r="P1193" s="226"/>
      <c r="Q1193" s="226"/>
      <c r="R1193" s="226"/>
      <c r="S1193" s="226"/>
      <c r="T1193" s="226"/>
      <c r="U1193" s="226"/>
    </row>
    <row r="1194" spans="16:21" x14ac:dyDescent="0.35">
      <c r="P1194" s="226"/>
      <c r="Q1194" s="226"/>
      <c r="R1194" s="226"/>
      <c r="S1194" s="226"/>
      <c r="T1194" s="226"/>
      <c r="U1194" s="226"/>
    </row>
    <row r="1195" spans="16:21" x14ac:dyDescent="0.35">
      <c r="P1195" s="226"/>
      <c r="Q1195" s="226"/>
      <c r="R1195" s="226"/>
      <c r="S1195" s="226"/>
      <c r="T1195" s="226"/>
      <c r="U1195" s="226"/>
    </row>
    <row r="1196" spans="16:21" x14ac:dyDescent="0.35">
      <c r="P1196" s="226"/>
      <c r="Q1196" s="226"/>
      <c r="R1196" s="226"/>
      <c r="S1196" s="226"/>
      <c r="T1196" s="226"/>
      <c r="U1196" s="226"/>
    </row>
    <row r="1197" spans="16:21" x14ac:dyDescent="0.35">
      <c r="P1197" s="226"/>
      <c r="Q1197" s="226"/>
      <c r="R1197" s="226"/>
      <c r="S1197" s="226"/>
      <c r="T1197" s="226"/>
      <c r="U1197" s="226"/>
    </row>
    <row r="1198" spans="16:21" x14ac:dyDescent="0.35">
      <c r="P1198" s="226"/>
      <c r="Q1198" s="226"/>
      <c r="R1198" s="226"/>
      <c r="S1198" s="226"/>
      <c r="T1198" s="226"/>
      <c r="U1198" s="226"/>
    </row>
    <row r="1199" spans="16:21" x14ac:dyDescent="0.35">
      <c r="P1199" s="226"/>
      <c r="Q1199" s="226"/>
      <c r="R1199" s="226"/>
      <c r="S1199" s="226"/>
      <c r="T1199" s="226"/>
      <c r="U1199" s="226"/>
    </row>
    <row r="1200" spans="16:21" x14ac:dyDescent="0.35">
      <c r="P1200" s="226"/>
      <c r="Q1200" s="226"/>
      <c r="R1200" s="226"/>
      <c r="S1200" s="226"/>
      <c r="T1200" s="226"/>
      <c r="U1200" s="226"/>
    </row>
    <row r="1201" spans="16:21" x14ac:dyDescent="0.35">
      <c r="P1201" s="226"/>
      <c r="Q1201" s="226"/>
      <c r="R1201" s="226"/>
      <c r="S1201" s="226"/>
      <c r="T1201" s="226"/>
      <c r="U1201" s="226"/>
    </row>
    <row r="1202" spans="16:21" x14ac:dyDescent="0.35">
      <c r="P1202" s="226"/>
      <c r="Q1202" s="226"/>
      <c r="R1202" s="226"/>
      <c r="S1202" s="226"/>
      <c r="T1202" s="226"/>
      <c r="U1202" s="226"/>
    </row>
    <row r="1203" spans="16:21" x14ac:dyDescent="0.35">
      <c r="P1203" s="226"/>
      <c r="Q1203" s="226"/>
      <c r="R1203" s="226"/>
      <c r="S1203" s="226"/>
      <c r="T1203" s="226"/>
      <c r="U1203" s="226"/>
    </row>
    <row r="1204" spans="16:21" x14ac:dyDescent="0.35">
      <c r="P1204" s="226"/>
      <c r="Q1204" s="226"/>
      <c r="R1204" s="226"/>
      <c r="S1204" s="226"/>
      <c r="T1204" s="226"/>
      <c r="U1204" s="226"/>
    </row>
    <row r="1205" spans="16:21" x14ac:dyDescent="0.35">
      <c r="P1205" s="226"/>
      <c r="Q1205" s="226"/>
      <c r="R1205" s="226"/>
      <c r="S1205" s="226"/>
      <c r="T1205" s="226"/>
      <c r="U1205" s="226"/>
    </row>
    <row r="1206" spans="16:21" x14ac:dyDescent="0.35">
      <c r="P1206" s="226"/>
      <c r="Q1206" s="226"/>
      <c r="R1206" s="226"/>
      <c r="S1206" s="226"/>
      <c r="T1206" s="226"/>
      <c r="U1206" s="226"/>
    </row>
    <row r="1207" spans="16:21" x14ac:dyDescent="0.35">
      <c r="P1207" s="226"/>
      <c r="Q1207" s="226"/>
      <c r="R1207" s="226"/>
      <c r="S1207" s="226"/>
      <c r="T1207" s="226"/>
      <c r="U1207" s="226"/>
    </row>
    <row r="1208" spans="16:21" x14ac:dyDescent="0.35">
      <c r="P1208" s="226"/>
      <c r="Q1208" s="226"/>
      <c r="R1208" s="226"/>
      <c r="S1208" s="226"/>
      <c r="T1208" s="226"/>
      <c r="U1208" s="226"/>
    </row>
    <row r="1209" spans="16:21" x14ac:dyDescent="0.35">
      <c r="P1209" s="226"/>
      <c r="Q1209" s="226"/>
      <c r="R1209" s="226"/>
      <c r="S1209" s="226"/>
      <c r="T1209" s="226"/>
      <c r="U1209" s="226"/>
    </row>
    <row r="1210" spans="16:21" x14ac:dyDescent="0.35">
      <c r="P1210" s="226"/>
      <c r="Q1210" s="226"/>
      <c r="R1210" s="226"/>
      <c r="S1210" s="226"/>
      <c r="T1210" s="226"/>
      <c r="U1210" s="226"/>
    </row>
    <row r="1211" spans="16:21" x14ac:dyDescent="0.35">
      <c r="P1211" s="226"/>
      <c r="Q1211" s="226"/>
      <c r="R1211" s="226"/>
      <c r="S1211" s="226"/>
      <c r="T1211" s="226"/>
      <c r="U1211" s="226"/>
    </row>
    <row r="1212" spans="16:21" x14ac:dyDescent="0.35">
      <c r="P1212" s="226"/>
      <c r="Q1212" s="226"/>
      <c r="R1212" s="226"/>
      <c r="S1212" s="226"/>
      <c r="T1212" s="226"/>
      <c r="U1212" s="226"/>
    </row>
    <row r="1213" spans="16:21" x14ac:dyDescent="0.35">
      <c r="P1213" s="226"/>
      <c r="Q1213" s="226"/>
      <c r="R1213" s="226"/>
      <c r="S1213" s="226"/>
      <c r="T1213" s="226"/>
      <c r="U1213" s="226"/>
    </row>
    <row r="1214" spans="16:21" x14ac:dyDescent="0.35">
      <c r="P1214" s="226"/>
      <c r="Q1214" s="226"/>
      <c r="R1214" s="226"/>
      <c r="S1214" s="226"/>
      <c r="T1214" s="226"/>
      <c r="U1214" s="226"/>
    </row>
    <row r="1215" spans="16:21" x14ac:dyDescent="0.35">
      <c r="P1215" s="226"/>
      <c r="Q1215" s="226"/>
      <c r="R1215" s="226"/>
      <c r="S1215" s="226"/>
      <c r="T1215" s="226"/>
      <c r="U1215" s="226"/>
    </row>
    <row r="1216" spans="16:21" x14ac:dyDescent="0.35">
      <c r="P1216" s="226"/>
      <c r="Q1216" s="226"/>
      <c r="R1216" s="226"/>
      <c r="S1216" s="226"/>
      <c r="T1216" s="226"/>
      <c r="U1216" s="226"/>
    </row>
    <row r="1217" spans="16:21" x14ac:dyDescent="0.35">
      <c r="P1217" s="226"/>
      <c r="Q1217" s="226"/>
      <c r="R1217" s="226"/>
      <c r="S1217" s="226"/>
      <c r="T1217" s="226"/>
      <c r="U1217" s="226"/>
    </row>
    <row r="1218" spans="16:21" x14ac:dyDescent="0.35">
      <c r="P1218" s="226"/>
      <c r="Q1218" s="226"/>
      <c r="R1218" s="226"/>
      <c r="S1218" s="226"/>
      <c r="T1218" s="226"/>
      <c r="U1218" s="226"/>
    </row>
    <row r="1219" spans="16:21" x14ac:dyDescent="0.35">
      <c r="P1219" s="226"/>
      <c r="Q1219" s="226"/>
      <c r="R1219" s="226"/>
      <c r="S1219" s="226"/>
      <c r="T1219" s="226"/>
      <c r="U1219" s="226"/>
    </row>
    <row r="1220" spans="16:21" x14ac:dyDescent="0.35">
      <c r="P1220" s="226"/>
      <c r="Q1220" s="226"/>
      <c r="R1220" s="226"/>
      <c r="S1220" s="226"/>
      <c r="T1220" s="226"/>
      <c r="U1220" s="226"/>
    </row>
    <row r="1221" spans="16:21" x14ac:dyDescent="0.35">
      <c r="P1221" s="226"/>
      <c r="Q1221" s="226"/>
      <c r="R1221" s="226"/>
      <c r="S1221" s="226"/>
      <c r="T1221" s="226"/>
      <c r="U1221" s="226"/>
    </row>
    <row r="1222" spans="16:21" x14ac:dyDescent="0.35">
      <c r="P1222" s="226"/>
      <c r="Q1222" s="226"/>
      <c r="R1222" s="226"/>
      <c r="S1222" s="226"/>
      <c r="T1222" s="226"/>
      <c r="U1222" s="226"/>
    </row>
    <row r="1223" spans="16:21" x14ac:dyDescent="0.35">
      <c r="P1223" s="226"/>
      <c r="Q1223" s="226"/>
      <c r="R1223" s="226"/>
      <c r="S1223" s="226"/>
      <c r="T1223" s="226"/>
      <c r="U1223" s="226"/>
    </row>
    <row r="1224" spans="16:21" x14ac:dyDescent="0.35">
      <c r="P1224" s="226"/>
      <c r="Q1224" s="226"/>
      <c r="R1224" s="226"/>
      <c r="S1224" s="226"/>
      <c r="T1224" s="226"/>
      <c r="U1224" s="226"/>
    </row>
    <row r="1225" spans="16:21" x14ac:dyDescent="0.35">
      <c r="P1225" s="226"/>
      <c r="Q1225" s="226"/>
      <c r="R1225" s="226"/>
      <c r="S1225" s="226"/>
      <c r="T1225" s="226"/>
      <c r="U1225" s="226"/>
    </row>
    <row r="1226" spans="16:21" x14ac:dyDescent="0.35">
      <c r="P1226" s="226"/>
      <c r="Q1226" s="226"/>
      <c r="R1226" s="226"/>
      <c r="S1226" s="226"/>
      <c r="T1226" s="226"/>
      <c r="U1226" s="226"/>
    </row>
    <row r="1227" spans="16:21" x14ac:dyDescent="0.35">
      <c r="P1227" s="226"/>
      <c r="Q1227" s="226"/>
      <c r="R1227" s="226"/>
      <c r="S1227" s="226"/>
      <c r="T1227" s="226"/>
      <c r="U1227" s="226"/>
    </row>
    <row r="1228" spans="16:21" x14ac:dyDescent="0.35">
      <c r="P1228" s="226"/>
      <c r="Q1228" s="226"/>
      <c r="R1228" s="226"/>
      <c r="S1228" s="226"/>
      <c r="T1228" s="226"/>
      <c r="U1228" s="226"/>
    </row>
    <row r="1229" spans="16:21" x14ac:dyDescent="0.35">
      <c r="P1229" s="226"/>
      <c r="Q1229" s="226"/>
      <c r="R1229" s="226"/>
      <c r="S1229" s="226"/>
      <c r="T1229" s="226"/>
      <c r="U1229" s="226"/>
    </row>
    <row r="1230" spans="16:21" x14ac:dyDescent="0.35">
      <c r="P1230" s="226"/>
      <c r="Q1230" s="226"/>
      <c r="R1230" s="226"/>
      <c r="S1230" s="226"/>
      <c r="T1230" s="226"/>
      <c r="U1230" s="226"/>
    </row>
    <row r="1231" spans="16:21" x14ac:dyDescent="0.35">
      <c r="P1231" s="226"/>
      <c r="Q1231" s="226"/>
      <c r="R1231" s="226"/>
      <c r="S1231" s="226"/>
      <c r="T1231" s="226"/>
      <c r="U1231" s="226"/>
    </row>
    <row r="1232" spans="16:21" x14ac:dyDescent="0.35">
      <c r="P1232" s="226"/>
      <c r="Q1232" s="226"/>
      <c r="R1232" s="226"/>
      <c r="S1232" s="226"/>
      <c r="T1232" s="226"/>
      <c r="U1232" s="226"/>
    </row>
    <row r="1233" spans="16:21" x14ac:dyDescent="0.35">
      <c r="P1233" s="226"/>
      <c r="Q1233" s="226"/>
      <c r="R1233" s="226"/>
      <c r="S1233" s="226"/>
      <c r="T1233" s="226"/>
      <c r="U1233" s="226"/>
    </row>
    <row r="1234" spans="16:21" x14ac:dyDescent="0.35">
      <c r="P1234" s="226"/>
      <c r="Q1234" s="226"/>
      <c r="R1234" s="226"/>
      <c r="S1234" s="226"/>
      <c r="T1234" s="226"/>
      <c r="U1234" s="226"/>
    </row>
    <row r="1235" spans="16:21" x14ac:dyDescent="0.35">
      <c r="P1235" s="226"/>
      <c r="Q1235" s="226"/>
      <c r="R1235" s="226"/>
      <c r="S1235" s="226"/>
      <c r="T1235" s="226"/>
      <c r="U1235" s="226"/>
    </row>
    <row r="1236" spans="16:21" x14ac:dyDescent="0.35">
      <c r="P1236" s="226"/>
      <c r="Q1236" s="226"/>
      <c r="R1236" s="226"/>
      <c r="S1236" s="226"/>
      <c r="T1236" s="226"/>
      <c r="U1236" s="226"/>
    </row>
    <row r="1237" spans="16:21" x14ac:dyDescent="0.35">
      <c r="P1237" s="226"/>
      <c r="Q1237" s="226"/>
      <c r="R1237" s="226"/>
      <c r="S1237" s="226"/>
      <c r="T1237" s="226"/>
      <c r="U1237" s="226"/>
    </row>
    <row r="1238" spans="16:21" x14ac:dyDescent="0.35">
      <c r="P1238" s="226"/>
      <c r="Q1238" s="226"/>
      <c r="R1238" s="226"/>
      <c r="S1238" s="226"/>
      <c r="T1238" s="226"/>
      <c r="U1238" s="226"/>
    </row>
    <row r="1239" spans="16:21" x14ac:dyDescent="0.35">
      <c r="P1239" s="226"/>
      <c r="Q1239" s="226"/>
      <c r="R1239" s="226"/>
      <c r="S1239" s="226"/>
      <c r="T1239" s="226"/>
      <c r="U1239" s="226"/>
    </row>
    <row r="1240" spans="16:21" x14ac:dyDescent="0.35">
      <c r="P1240" s="226"/>
      <c r="Q1240" s="226"/>
      <c r="R1240" s="226"/>
      <c r="S1240" s="226"/>
      <c r="T1240" s="226"/>
      <c r="U1240" s="226"/>
    </row>
    <row r="1241" spans="16:21" x14ac:dyDescent="0.35">
      <c r="P1241" s="226"/>
      <c r="Q1241" s="226"/>
      <c r="R1241" s="226"/>
      <c r="S1241" s="226"/>
      <c r="T1241" s="226"/>
      <c r="U1241" s="226"/>
    </row>
    <row r="1242" spans="16:21" x14ac:dyDescent="0.35">
      <c r="P1242" s="226"/>
      <c r="Q1242" s="226"/>
      <c r="R1242" s="226"/>
      <c r="S1242" s="226"/>
      <c r="T1242" s="226"/>
      <c r="U1242" s="226"/>
    </row>
    <row r="1243" spans="16:21" x14ac:dyDescent="0.35">
      <c r="P1243" s="226"/>
      <c r="Q1243" s="226"/>
      <c r="R1243" s="226"/>
      <c r="S1243" s="226"/>
      <c r="T1243" s="226"/>
      <c r="U1243" s="226"/>
    </row>
    <row r="1244" spans="16:21" x14ac:dyDescent="0.35">
      <c r="P1244" s="226"/>
      <c r="Q1244" s="226"/>
      <c r="R1244" s="226"/>
      <c r="S1244" s="226"/>
      <c r="T1244" s="226"/>
      <c r="U1244" s="226"/>
    </row>
    <row r="1245" spans="16:21" x14ac:dyDescent="0.35">
      <c r="P1245" s="226"/>
      <c r="Q1245" s="226"/>
      <c r="R1245" s="226"/>
      <c r="S1245" s="226"/>
      <c r="T1245" s="226"/>
      <c r="U1245" s="226"/>
    </row>
    <row r="1246" spans="16:21" x14ac:dyDescent="0.35">
      <c r="P1246" s="226"/>
      <c r="Q1246" s="226"/>
      <c r="R1246" s="226"/>
      <c r="S1246" s="226"/>
      <c r="T1246" s="226"/>
      <c r="U1246" s="226"/>
    </row>
    <row r="1247" spans="16:21" x14ac:dyDescent="0.35">
      <c r="P1247" s="226"/>
      <c r="Q1247" s="226"/>
      <c r="R1247" s="226"/>
      <c r="S1247" s="226"/>
      <c r="T1247" s="226"/>
      <c r="U1247" s="226"/>
    </row>
    <row r="1248" spans="16:21" x14ac:dyDescent="0.35">
      <c r="P1248" s="226"/>
      <c r="Q1248" s="226"/>
      <c r="R1248" s="226"/>
      <c r="S1248" s="226"/>
      <c r="T1248" s="226"/>
      <c r="U1248" s="226"/>
    </row>
    <row r="1249" spans="16:21" x14ac:dyDescent="0.35">
      <c r="P1249" s="226"/>
      <c r="Q1249" s="226"/>
      <c r="R1249" s="226"/>
      <c r="S1249" s="226"/>
      <c r="T1249" s="226"/>
      <c r="U1249" s="226"/>
    </row>
    <row r="1250" spans="16:21" x14ac:dyDescent="0.35">
      <c r="P1250" s="226"/>
      <c r="Q1250" s="226"/>
      <c r="R1250" s="226"/>
      <c r="S1250" s="226"/>
      <c r="T1250" s="226"/>
      <c r="U1250" s="226"/>
    </row>
    <row r="1251" spans="16:21" x14ac:dyDescent="0.35">
      <c r="P1251" s="226"/>
      <c r="Q1251" s="226"/>
      <c r="R1251" s="226"/>
      <c r="S1251" s="226"/>
      <c r="T1251" s="226"/>
      <c r="U1251" s="226"/>
    </row>
    <row r="1252" spans="16:21" x14ac:dyDescent="0.35">
      <c r="P1252" s="226"/>
      <c r="Q1252" s="226"/>
      <c r="R1252" s="226"/>
      <c r="S1252" s="226"/>
      <c r="T1252" s="226"/>
      <c r="U1252" s="226"/>
    </row>
    <row r="1253" spans="16:21" x14ac:dyDescent="0.35">
      <c r="P1253" s="226"/>
      <c r="Q1253" s="226"/>
      <c r="R1253" s="226"/>
      <c r="S1253" s="226"/>
      <c r="T1253" s="226"/>
      <c r="U1253" s="226"/>
    </row>
    <row r="1254" spans="16:21" x14ac:dyDescent="0.35">
      <c r="P1254" s="226"/>
      <c r="Q1254" s="226"/>
      <c r="R1254" s="226"/>
      <c r="S1254" s="226"/>
      <c r="T1254" s="226"/>
      <c r="U1254" s="226"/>
    </row>
    <row r="1255" spans="16:21" x14ac:dyDescent="0.35">
      <c r="P1255" s="226"/>
      <c r="Q1255" s="226"/>
      <c r="R1255" s="226"/>
      <c r="S1255" s="226"/>
      <c r="T1255" s="226"/>
      <c r="U1255" s="226"/>
    </row>
    <row r="1256" spans="16:21" x14ac:dyDescent="0.35">
      <c r="P1256" s="226"/>
      <c r="Q1256" s="226"/>
      <c r="R1256" s="226"/>
      <c r="S1256" s="226"/>
      <c r="T1256" s="226"/>
      <c r="U1256" s="226"/>
    </row>
    <row r="1257" spans="16:21" x14ac:dyDescent="0.35">
      <c r="P1257" s="226"/>
      <c r="Q1257" s="226"/>
      <c r="R1257" s="226"/>
      <c r="S1257" s="226"/>
      <c r="T1257" s="226"/>
      <c r="U1257" s="226"/>
    </row>
    <row r="1258" spans="16:21" x14ac:dyDescent="0.35">
      <c r="P1258" s="226"/>
      <c r="Q1258" s="226"/>
      <c r="R1258" s="226"/>
      <c r="S1258" s="226"/>
      <c r="T1258" s="226"/>
      <c r="U1258" s="226"/>
    </row>
    <row r="1259" spans="16:21" x14ac:dyDescent="0.35">
      <c r="P1259" s="226"/>
      <c r="Q1259" s="226"/>
      <c r="R1259" s="226"/>
      <c r="S1259" s="226"/>
      <c r="T1259" s="226"/>
      <c r="U1259" s="226"/>
    </row>
    <row r="1260" spans="16:21" x14ac:dyDescent="0.35">
      <c r="P1260" s="226"/>
      <c r="Q1260" s="226"/>
      <c r="R1260" s="226"/>
      <c r="S1260" s="226"/>
      <c r="T1260" s="226"/>
      <c r="U1260" s="226"/>
    </row>
    <row r="1261" spans="16:21" x14ac:dyDescent="0.35">
      <c r="P1261" s="226"/>
      <c r="Q1261" s="226"/>
      <c r="R1261" s="226"/>
      <c r="S1261" s="226"/>
      <c r="T1261" s="226"/>
      <c r="U1261" s="226"/>
    </row>
    <row r="1262" spans="16:21" x14ac:dyDescent="0.35">
      <c r="P1262" s="226"/>
      <c r="Q1262" s="226"/>
      <c r="R1262" s="226"/>
      <c r="S1262" s="226"/>
      <c r="T1262" s="226"/>
      <c r="U1262" s="226"/>
    </row>
    <row r="1263" spans="16:21" x14ac:dyDescent="0.35">
      <c r="P1263" s="226"/>
      <c r="Q1263" s="226"/>
      <c r="R1263" s="226"/>
      <c r="S1263" s="226"/>
      <c r="T1263" s="226"/>
      <c r="U1263" s="226"/>
    </row>
    <row r="1264" spans="16:21" x14ac:dyDescent="0.35">
      <c r="P1264" s="226"/>
      <c r="Q1264" s="226"/>
      <c r="R1264" s="226"/>
      <c r="S1264" s="226"/>
      <c r="T1264" s="226"/>
      <c r="U1264" s="226"/>
    </row>
    <row r="1265" spans="16:21" x14ac:dyDescent="0.35">
      <c r="P1265" s="226"/>
      <c r="Q1265" s="226"/>
      <c r="R1265" s="226"/>
      <c r="S1265" s="226"/>
      <c r="T1265" s="226"/>
      <c r="U1265" s="226"/>
    </row>
    <row r="1266" spans="16:21" x14ac:dyDescent="0.35">
      <c r="P1266" s="226"/>
      <c r="Q1266" s="226"/>
      <c r="R1266" s="226"/>
      <c r="S1266" s="226"/>
      <c r="T1266" s="226"/>
      <c r="U1266" s="226"/>
    </row>
    <row r="1267" spans="16:21" x14ac:dyDescent="0.35">
      <c r="P1267" s="226"/>
      <c r="Q1267" s="226"/>
      <c r="R1267" s="226"/>
      <c r="S1267" s="226"/>
      <c r="T1267" s="226"/>
      <c r="U1267" s="226"/>
    </row>
    <row r="1268" spans="16:21" x14ac:dyDescent="0.35">
      <c r="P1268" s="226"/>
      <c r="Q1268" s="226"/>
      <c r="R1268" s="226"/>
      <c r="S1268" s="226"/>
      <c r="T1268" s="226"/>
      <c r="U1268" s="226"/>
    </row>
    <row r="1269" spans="16:21" x14ac:dyDescent="0.35">
      <c r="P1269" s="226"/>
      <c r="Q1269" s="226"/>
      <c r="R1269" s="226"/>
      <c r="S1269" s="226"/>
      <c r="T1269" s="226"/>
      <c r="U1269" s="226"/>
    </row>
    <row r="1270" spans="16:21" x14ac:dyDescent="0.35">
      <c r="P1270" s="226"/>
      <c r="Q1270" s="226"/>
      <c r="R1270" s="226"/>
      <c r="S1270" s="226"/>
      <c r="T1270" s="226"/>
      <c r="U1270" s="226"/>
    </row>
    <row r="1271" spans="16:21" x14ac:dyDescent="0.35">
      <c r="P1271" s="226"/>
      <c r="Q1271" s="226"/>
      <c r="R1271" s="226"/>
      <c r="S1271" s="226"/>
      <c r="T1271" s="226"/>
      <c r="U1271" s="226"/>
    </row>
    <row r="1272" spans="16:21" x14ac:dyDescent="0.35">
      <c r="P1272" s="226"/>
      <c r="Q1272" s="226"/>
      <c r="R1272" s="226"/>
      <c r="S1272" s="226"/>
      <c r="T1272" s="226"/>
      <c r="U1272" s="226"/>
    </row>
    <row r="1273" spans="16:21" x14ac:dyDescent="0.35">
      <c r="P1273" s="226"/>
      <c r="Q1273" s="226"/>
      <c r="R1273" s="226"/>
      <c r="S1273" s="226"/>
      <c r="T1273" s="226"/>
      <c r="U1273" s="226"/>
    </row>
    <row r="1274" spans="16:21" x14ac:dyDescent="0.35">
      <c r="P1274" s="226"/>
      <c r="Q1274" s="226"/>
      <c r="R1274" s="226"/>
      <c r="S1274" s="226"/>
      <c r="T1274" s="226"/>
      <c r="U1274" s="226"/>
    </row>
    <row r="1275" spans="16:21" x14ac:dyDescent="0.35">
      <c r="P1275" s="226"/>
      <c r="Q1275" s="226"/>
      <c r="R1275" s="226"/>
      <c r="S1275" s="226"/>
      <c r="T1275" s="226"/>
      <c r="U1275" s="226"/>
    </row>
    <row r="1276" spans="16:21" x14ac:dyDescent="0.35">
      <c r="P1276" s="226"/>
      <c r="Q1276" s="226"/>
      <c r="R1276" s="226"/>
      <c r="S1276" s="226"/>
      <c r="T1276" s="226"/>
      <c r="U1276" s="226"/>
    </row>
    <row r="1277" spans="16:21" x14ac:dyDescent="0.35">
      <c r="P1277" s="226"/>
      <c r="Q1277" s="226"/>
      <c r="R1277" s="226"/>
      <c r="S1277" s="226"/>
      <c r="T1277" s="226"/>
      <c r="U1277" s="226"/>
    </row>
    <row r="1278" spans="16:21" x14ac:dyDescent="0.35">
      <c r="P1278" s="226"/>
      <c r="Q1278" s="226"/>
      <c r="R1278" s="226"/>
      <c r="S1278" s="226"/>
      <c r="T1278" s="226"/>
      <c r="U1278" s="226"/>
    </row>
    <row r="1279" spans="16:21" x14ac:dyDescent="0.35">
      <c r="P1279" s="226"/>
      <c r="Q1279" s="226"/>
      <c r="R1279" s="226"/>
      <c r="S1279" s="226"/>
      <c r="T1279" s="226"/>
      <c r="U1279" s="226"/>
    </row>
    <row r="1280" spans="16:21" x14ac:dyDescent="0.35">
      <c r="P1280" s="226"/>
      <c r="Q1280" s="226"/>
      <c r="R1280" s="226"/>
      <c r="S1280" s="226"/>
      <c r="T1280" s="226"/>
      <c r="U1280" s="226"/>
    </row>
    <row r="1281" spans="16:21" x14ac:dyDescent="0.35">
      <c r="P1281" s="226"/>
      <c r="Q1281" s="226"/>
      <c r="R1281" s="226"/>
      <c r="S1281" s="226"/>
      <c r="T1281" s="226"/>
      <c r="U1281" s="226"/>
    </row>
    <row r="1282" spans="16:21" x14ac:dyDescent="0.35">
      <c r="P1282" s="226"/>
      <c r="Q1282" s="226"/>
      <c r="R1282" s="226"/>
      <c r="S1282" s="226"/>
      <c r="T1282" s="226"/>
      <c r="U1282" s="226"/>
    </row>
    <row r="1283" spans="16:21" x14ac:dyDescent="0.35">
      <c r="P1283" s="226"/>
      <c r="Q1283" s="226"/>
      <c r="R1283" s="226"/>
      <c r="S1283" s="226"/>
      <c r="T1283" s="226"/>
      <c r="U1283" s="226"/>
    </row>
    <row r="1284" spans="16:21" x14ac:dyDescent="0.35">
      <c r="P1284" s="226"/>
      <c r="Q1284" s="226"/>
      <c r="R1284" s="226"/>
      <c r="S1284" s="226"/>
      <c r="T1284" s="226"/>
      <c r="U1284" s="226"/>
    </row>
    <row r="1285" spans="16:21" x14ac:dyDescent="0.35">
      <c r="P1285" s="226"/>
      <c r="Q1285" s="226"/>
      <c r="R1285" s="226"/>
      <c r="S1285" s="226"/>
      <c r="T1285" s="226"/>
      <c r="U1285" s="226"/>
    </row>
    <row r="1286" spans="16:21" x14ac:dyDescent="0.35">
      <c r="P1286" s="226"/>
      <c r="Q1286" s="226"/>
      <c r="R1286" s="226"/>
      <c r="S1286" s="226"/>
      <c r="T1286" s="226"/>
      <c r="U1286" s="226"/>
    </row>
    <row r="1287" spans="16:21" x14ac:dyDescent="0.35">
      <c r="P1287" s="226"/>
      <c r="Q1287" s="226"/>
      <c r="R1287" s="226"/>
      <c r="S1287" s="226"/>
      <c r="T1287" s="226"/>
      <c r="U1287" s="226"/>
    </row>
    <row r="1288" spans="16:21" x14ac:dyDescent="0.35">
      <c r="P1288" s="226"/>
      <c r="Q1288" s="226"/>
      <c r="R1288" s="226"/>
      <c r="S1288" s="226"/>
      <c r="T1288" s="226"/>
      <c r="U1288" s="226"/>
    </row>
    <row r="1289" spans="16:21" x14ac:dyDescent="0.35">
      <c r="P1289" s="226"/>
      <c r="Q1289" s="226"/>
      <c r="R1289" s="226"/>
      <c r="S1289" s="226"/>
      <c r="T1289" s="226"/>
      <c r="U1289" s="226"/>
    </row>
    <row r="1290" spans="16:21" x14ac:dyDescent="0.35">
      <c r="P1290" s="226"/>
      <c r="Q1290" s="226"/>
      <c r="R1290" s="226"/>
      <c r="S1290" s="226"/>
      <c r="T1290" s="226"/>
      <c r="U1290" s="226"/>
    </row>
    <row r="1291" spans="16:21" x14ac:dyDescent="0.35">
      <c r="P1291" s="226"/>
      <c r="Q1291" s="226"/>
      <c r="R1291" s="226"/>
      <c r="S1291" s="226"/>
      <c r="T1291" s="226"/>
      <c r="U1291" s="226"/>
    </row>
    <row r="1292" spans="16:21" x14ac:dyDescent="0.35">
      <c r="P1292" s="226"/>
      <c r="Q1292" s="226"/>
      <c r="R1292" s="226"/>
      <c r="S1292" s="226"/>
      <c r="T1292" s="226"/>
      <c r="U1292" s="226"/>
    </row>
    <row r="1293" spans="16:21" x14ac:dyDescent="0.35">
      <c r="P1293" s="226"/>
      <c r="Q1293" s="226"/>
      <c r="R1293" s="226"/>
      <c r="S1293" s="226"/>
      <c r="T1293" s="226"/>
      <c r="U1293" s="226"/>
    </row>
    <row r="1294" spans="16:21" x14ac:dyDescent="0.35">
      <c r="P1294" s="226"/>
      <c r="Q1294" s="226"/>
      <c r="R1294" s="226"/>
      <c r="S1294" s="226"/>
      <c r="T1294" s="226"/>
      <c r="U1294" s="226"/>
    </row>
    <row r="1295" spans="16:21" x14ac:dyDescent="0.35">
      <c r="P1295" s="226"/>
      <c r="Q1295" s="226"/>
      <c r="R1295" s="226"/>
      <c r="S1295" s="226"/>
      <c r="T1295" s="226"/>
      <c r="U1295" s="226"/>
    </row>
    <row r="1296" spans="16:21" x14ac:dyDescent="0.35">
      <c r="P1296" s="226"/>
      <c r="Q1296" s="226"/>
      <c r="R1296" s="226"/>
      <c r="S1296" s="226"/>
      <c r="T1296" s="226"/>
      <c r="U1296" s="226"/>
    </row>
    <row r="1297" spans="16:21" x14ac:dyDescent="0.35">
      <c r="P1297" s="226"/>
      <c r="Q1297" s="226"/>
      <c r="R1297" s="226"/>
      <c r="S1297" s="226"/>
      <c r="T1297" s="226"/>
      <c r="U1297" s="226"/>
    </row>
    <row r="1298" spans="16:21" x14ac:dyDescent="0.35">
      <c r="P1298" s="226"/>
      <c r="Q1298" s="226"/>
      <c r="R1298" s="226"/>
      <c r="S1298" s="226"/>
      <c r="T1298" s="226"/>
      <c r="U1298" s="226"/>
    </row>
    <row r="1299" spans="16:21" x14ac:dyDescent="0.35">
      <c r="P1299" s="226"/>
      <c r="Q1299" s="226"/>
      <c r="R1299" s="226"/>
      <c r="S1299" s="226"/>
      <c r="T1299" s="226"/>
      <c r="U1299" s="226"/>
    </row>
    <row r="1300" spans="16:21" x14ac:dyDescent="0.35">
      <c r="P1300" s="226"/>
      <c r="Q1300" s="226"/>
      <c r="R1300" s="226"/>
      <c r="S1300" s="226"/>
      <c r="T1300" s="226"/>
      <c r="U1300" s="226"/>
    </row>
    <row r="1301" spans="16:21" x14ac:dyDescent="0.35">
      <c r="P1301" s="226"/>
      <c r="Q1301" s="226"/>
      <c r="R1301" s="226"/>
      <c r="S1301" s="226"/>
      <c r="T1301" s="226"/>
      <c r="U1301" s="226"/>
    </row>
    <row r="1302" spans="16:21" x14ac:dyDescent="0.35">
      <c r="P1302" s="226"/>
      <c r="Q1302" s="226"/>
      <c r="R1302" s="226"/>
      <c r="S1302" s="226"/>
      <c r="T1302" s="226"/>
      <c r="U1302" s="226"/>
    </row>
    <row r="1303" spans="16:21" x14ac:dyDescent="0.35">
      <c r="P1303" s="226"/>
      <c r="Q1303" s="226"/>
      <c r="R1303" s="226"/>
      <c r="S1303" s="226"/>
      <c r="T1303" s="226"/>
      <c r="U1303" s="226"/>
    </row>
    <row r="1304" spans="16:21" x14ac:dyDescent="0.35">
      <c r="P1304" s="226"/>
      <c r="Q1304" s="226"/>
      <c r="R1304" s="226"/>
      <c r="S1304" s="226"/>
      <c r="T1304" s="226"/>
      <c r="U1304" s="226"/>
    </row>
    <row r="1305" spans="16:21" x14ac:dyDescent="0.35">
      <c r="P1305" s="226"/>
      <c r="Q1305" s="226"/>
      <c r="R1305" s="226"/>
      <c r="S1305" s="226"/>
      <c r="T1305" s="226"/>
      <c r="U1305" s="226"/>
    </row>
    <row r="1306" spans="16:21" x14ac:dyDescent="0.35">
      <c r="P1306" s="226"/>
      <c r="Q1306" s="226"/>
      <c r="R1306" s="226"/>
      <c r="S1306" s="226"/>
      <c r="T1306" s="226"/>
      <c r="U1306" s="226"/>
    </row>
    <row r="1307" spans="16:21" x14ac:dyDescent="0.35">
      <c r="P1307" s="226"/>
      <c r="Q1307" s="226"/>
      <c r="R1307" s="226"/>
      <c r="S1307" s="226"/>
      <c r="T1307" s="226"/>
      <c r="U1307" s="226"/>
    </row>
    <row r="1308" spans="16:21" x14ac:dyDescent="0.35">
      <c r="P1308" s="226"/>
      <c r="Q1308" s="226"/>
      <c r="R1308" s="226"/>
      <c r="S1308" s="226"/>
      <c r="T1308" s="226"/>
      <c r="U1308" s="226"/>
    </row>
    <row r="1309" spans="16:21" x14ac:dyDescent="0.35">
      <c r="P1309" s="226"/>
      <c r="Q1309" s="226"/>
      <c r="R1309" s="226"/>
      <c r="S1309" s="226"/>
      <c r="T1309" s="226"/>
      <c r="U1309" s="226"/>
    </row>
    <row r="1310" spans="16:21" x14ac:dyDescent="0.35">
      <c r="P1310" s="226"/>
      <c r="Q1310" s="226"/>
      <c r="R1310" s="226"/>
      <c r="S1310" s="226"/>
      <c r="T1310" s="226"/>
      <c r="U1310" s="226"/>
    </row>
    <row r="1311" spans="16:21" x14ac:dyDescent="0.35">
      <c r="P1311" s="226"/>
      <c r="Q1311" s="226"/>
      <c r="R1311" s="226"/>
      <c r="S1311" s="226"/>
      <c r="T1311" s="226"/>
      <c r="U1311" s="226"/>
    </row>
    <row r="1312" spans="16:21" x14ac:dyDescent="0.35">
      <c r="P1312" s="226"/>
      <c r="Q1312" s="226"/>
      <c r="R1312" s="226"/>
      <c r="S1312" s="226"/>
      <c r="T1312" s="226"/>
      <c r="U1312" s="226"/>
    </row>
    <row r="1313" spans="16:21" x14ac:dyDescent="0.35">
      <c r="P1313" s="226"/>
      <c r="Q1313" s="226"/>
      <c r="R1313" s="226"/>
      <c r="S1313" s="226"/>
      <c r="T1313" s="226"/>
      <c r="U1313" s="226"/>
    </row>
    <row r="1314" spans="16:21" x14ac:dyDescent="0.35">
      <c r="P1314" s="226"/>
      <c r="Q1314" s="226"/>
      <c r="R1314" s="226"/>
      <c r="S1314" s="226"/>
      <c r="T1314" s="226"/>
      <c r="U1314" s="226"/>
    </row>
    <row r="1315" spans="16:21" x14ac:dyDescent="0.35">
      <c r="P1315" s="226"/>
      <c r="Q1315" s="226"/>
      <c r="R1315" s="226"/>
      <c r="S1315" s="226"/>
      <c r="T1315" s="226"/>
      <c r="U1315" s="226"/>
    </row>
    <row r="1316" spans="16:21" x14ac:dyDescent="0.35">
      <c r="P1316" s="226"/>
      <c r="Q1316" s="226"/>
      <c r="R1316" s="226"/>
      <c r="S1316" s="226"/>
      <c r="T1316" s="226"/>
      <c r="U1316" s="226"/>
    </row>
    <row r="1317" spans="16:21" x14ac:dyDescent="0.35">
      <c r="P1317" s="226"/>
      <c r="Q1317" s="226"/>
      <c r="R1317" s="226"/>
      <c r="S1317" s="226"/>
      <c r="T1317" s="226"/>
      <c r="U1317" s="226"/>
    </row>
    <row r="1318" spans="16:21" x14ac:dyDescent="0.35">
      <c r="P1318" s="226"/>
      <c r="Q1318" s="226"/>
      <c r="R1318" s="226"/>
      <c r="S1318" s="226"/>
      <c r="T1318" s="226"/>
      <c r="U1318" s="226"/>
    </row>
    <row r="1319" spans="16:21" x14ac:dyDescent="0.35">
      <c r="P1319" s="226"/>
      <c r="Q1319" s="226"/>
      <c r="R1319" s="226"/>
      <c r="S1319" s="226"/>
      <c r="T1319" s="226"/>
      <c r="U1319" s="226"/>
    </row>
    <row r="1320" spans="16:21" x14ac:dyDescent="0.35">
      <c r="P1320" s="226"/>
      <c r="Q1320" s="226"/>
      <c r="R1320" s="226"/>
      <c r="S1320" s="226"/>
      <c r="T1320" s="226"/>
      <c r="U1320" s="226"/>
    </row>
    <row r="1321" spans="16:21" x14ac:dyDescent="0.35">
      <c r="P1321" s="226"/>
      <c r="Q1321" s="226"/>
      <c r="R1321" s="226"/>
      <c r="S1321" s="226"/>
      <c r="T1321" s="226"/>
      <c r="U1321" s="226"/>
    </row>
    <row r="1322" spans="16:21" x14ac:dyDescent="0.35">
      <c r="P1322" s="226"/>
      <c r="Q1322" s="226"/>
      <c r="R1322" s="226"/>
      <c r="S1322" s="226"/>
      <c r="T1322" s="226"/>
      <c r="U1322" s="226"/>
    </row>
    <row r="1323" spans="16:21" x14ac:dyDescent="0.35">
      <c r="P1323" s="226"/>
      <c r="Q1323" s="226"/>
      <c r="R1323" s="226"/>
      <c r="S1323" s="226"/>
      <c r="T1323" s="226"/>
      <c r="U1323" s="226"/>
    </row>
    <row r="1324" spans="16:21" x14ac:dyDescent="0.35">
      <c r="P1324" s="226"/>
      <c r="Q1324" s="226"/>
      <c r="R1324" s="226"/>
      <c r="S1324" s="226"/>
      <c r="T1324" s="226"/>
      <c r="U1324" s="226"/>
    </row>
    <row r="1325" spans="16:21" x14ac:dyDescent="0.35">
      <c r="P1325" s="226"/>
      <c r="Q1325" s="226"/>
      <c r="R1325" s="226"/>
      <c r="S1325" s="226"/>
      <c r="T1325" s="226"/>
      <c r="U1325" s="226"/>
    </row>
    <row r="1326" spans="16:21" x14ac:dyDescent="0.35">
      <c r="P1326" s="226"/>
      <c r="Q1326" s="226"/>
      <c r="R1326" s="226"/>
      <c r="S1326" s="226"/>
      <c r="T1326" s="226"/>
      <c r="U1326" s="226"/>
    </row>
    <row r="1327" spans="16:21" x14ac:dyDescent="0.35">
      <c r="P1327" s="226"/>
      <c r="Q1327" s="226"/>
      <c r="R1327" s="226"/>
      <c r="S1327" s="226"/>
      <c r="T1327" s="226"/>
      <c r="U1327" s="226"/>
    </row>
    <row r="1328" spans="16:21" x14ac:dyDescent="0.35">
      <c r="P1328" s="226"/>
      <c r="Q1328" s="226"/>
      <c r="R1328" s="226"/>
      <c r="S1328" s="226"/>
      <c r="T1328" s="226"/>
      <c r="U1328" s="226"/>
    </row>
    <row r="1329" spans="16:21" x14ac:dyDescent="0.35">
      <c r="P1329" s="226"/>
      <c r="Q1329" s="226"/>
      <c r="R1329" s="226"/>
      <c r="S1329" s="226"/>
      <c r="T1329" s="226"/>
      <c r="U1329" s="226"/>
    </row>
    <row r="1330" spans="16:21" x14ac:dyDescent="0.35">
      <c r="P1330" s="226"/>
      <c r="Q1330" s="226"/>
      <c r="R1330" s="226"/>
      <c r="S1330" s="226"/>
      <c r="T1330" s="226"/>
      <c r="U1330" s="226"/>
    </row>
    <row r="1331" spans="16:21" x14ac:dyDescent="0.35">
      <c r="P1331" s="226"/>
      <c r="Q1331" s="226"/>
      <c r="R1331" s="226"/>
      <c r="S1331" s="226"/>
      <c r="T1331" s="226"/>
      <c r="U1331" s="226"/>
    </row>
    <row r="1332" spans="16:21" x14ac:dyDescent="0.35">
      <c r="P1332" s="226"/>
      <c r="Q1332" s="226"/>
      <c r="R1332" s="226"/>
      <c r="S1332" s="226"/>
      <c r="T1332" s="226"/>
      <c r="U1332" s="226"/>
    </row>
    <row r="1333" spans="16:21" x14ac:dyDescent="0.35">
      <c r="P1333" s="226"/>
      <c r="Q1333" s="226"/>
      <c r="R1333" s="226"/>
      <c r="S1333" s="226"/>
      <c r="T1333" s="226"/>
      <c r="U1333" s="226"/>
    </row>
    <row r="1334" spans="16:21" x14ac:dyDescent="0.35">
      <c r="P1334" s="226"/>
      <c r="Q1334" s="226"/>
      <c r="R1334" s="226"/>
      <c r="S1334" s="226"/>
      <c r="T1334" s="226"/>
      <c r="U1334" s="226"/>
    </row>
    <row r="1335" spans="16:21" x14ac:dyDescent="0.35">
      <c r="P1335" s="226"/>
      <c r="Q1335" s="226"/>
      <c r="R1335" s="226"/>
      <c r="S1335" s="226"/>
      <c r="T1335" s="226"/>
      <c r="U1335" s="226"/>
    </row>
    <row r="1336" spans="16:21" x14ac:dyDescent="0.35">
      <c r="P1336" s="226"/>
      <c r="Q1336" s="226"/>
      <c r="R1336" s="226"/>
      <c r="S1336" s="226"/>
      <c r="T1336" s="226"/>
      <c r="U1336" s="226"/>
    </row>
    <row r="1337" spans="16:21" x14ac:dyDescent="0.35">
      <c r="P1337" s="226"/>
      <c r="Q1337" s="226"/>
      <c r="R1337" s="226"/>
      <c r="S1337" s="226"/>
      <c r="T1337" s="226"/>
      <c r="U1337" s="226"/>
    </row>
    <row r="1338" spans="16:21" x14ac:dyDescent="0.35">
      <c r="P1338" s="226"/>
      <c r="Q1338" s="226"/>
      <c r="R1338" s="226"/>
      <c r="S1338" s="226"/>
      <c r="T1338" s="226"/>
      <c r="U1338" s="226"/>
    </row>
    <row r="1339" spans="16:21" x14ac:dyDescent="0.35">
      <c r="P1339" s="226"/>
      <c r="Q1339" s="226"/>
      <c r="R1339" s="226"/>
      <c r="S1339" s="226"/>
      <c r="T1339" s="226"/>
      <c r="U1339" s="226"/>
    </row>
    <row r="1340" spans="16:21" x14ac:dyDescent="0.35">
      <c r="P1340" s="226"/>
      <c r="Q1340" s="226"/>
      <c r="R1340" s="226"/>
      <c r="S1340" s="226"/>
      <c r="T1340" s="226"/>
      <c r="U1340" s="226"/>
    </row>
    <row r="1341" spans="16:21" x14ac:dyDescent="0.35">
      <c r="P1341" s="226"/>
      <c r="Q1341" s="226"/>
      <c r="R1341" s="226"/>
      <c r="S1341" s="226"/>
      <c r="T1341" s="226"/>
      <c r="U1341" s="226"/>
    </row>
    <row r="1342" spans="16:21" x14ac:dyDescent="0.35">
      <c r="P1342" s="226"/>
      <c r="Q1342" s="226"/>
      <c r="R1342" s="226"/>
      <c r="S1342" s="226"/>
      <c r="T1342" s="226"/>
      <c r="U1342" s="226"/>
    </row>
    <row r="1343" spans="16:21" x14ac:dyDescent="0.35">
      <c r="P1343" s="226"/>
      <c r="Q1343" s="226"/>
      <c r="R1343" s="226"/>
      <c r="S1343" s="226"/>
      <c r="T1343" s="226"/>
      <c r="U1343" s="226"/>
    </row>
    <row r="1344" spans="16:21" x14ac:dyDescent="0.35">
      <c r="P1344" s="226"/>
      <c r="Q1344" s="226"/>
      <c r="R1344" s="226"/>
      <c r="S1344" s="226"/>
      <c r="T1344" s="226"/>
      <c r="U1344" s="226"/>
    </row>
    <row r="1345" spans="16:21" x14ac:dyDescent="0.35">
      <c r="P1345" s="226"/>
      <c r="Q1345" s="226"/>
      <c r="R1345" s="226"/>
      <c r="S1345" s="226"/>
      <c r="T1345" s="226"/>
      <c r="U1345" s="226"/>
    </row>
    <row r="1346" spans="16:21" x14ac:dyDescent="0.35">
      <c r="P1346" s="226"/>
      <c r="Q1346" s="226"/>
      <c r="R1346" s="226"/>
      <c r="S1346" s="226"/>
      <c r="T1346" s="226"/>
      <c r="U1346" s="226"/>
    </row>
    <row r="1347" spans="16:21" x14ac:dyDescent="0.35">
      <c r="P1347" s="226"/>
      <c r="Q1347" s="226"/>
      <c r="R1347" s="226"/>
      <c r="S1347" s="226"/>
      <c r="T1347" s="226"/>
      <c r="U1347" s="226"/>
    </row>
    <row r="1348" spans="16:21" x14ac:dyDescent="0.35">
      <c r="P1348" s="226"/>
      <c r="Q1348" s="226"/>
      <c r="R1348" s="226"/>
      <c r="S1348" s="226"/>
      <c r="T1348" s="226"/>
      <c r="U1348" s="226"/>
    </row>
    <row r="1349" spans="16:21" x14ac:dyDescent="0.35">
      <c r="P1349" s="226"/>
      <c r="Q1349" s="226"/>
      <c r="R1349" s="226"/>
      <c r="S1349" s="226"/>
      <c r="T1349" s="226"/>
      <c r="U1349" s="226"/>
    </row>
    <row r="1350" spans="16:21" x14ac:dyDescent="0.35">
      <c r="P1350" s="226"/>
      <c r="Q1350" s="226"/>
      <c r="R1350" s="226"/>
      <c r="S1350" s="226"/>
      <c r="T1350" s="226"/>
      <c r="U1350" s="226"/>
    </row>
    <row r="1351" spans="16:21" x14ac:dyDescent="0.35">
      <c r="P1351" s="226"/>
      <c r="Q1351" s="226"/>
      <c r="R1351" s="226"/>
      <c r="S1351" s="226"/>
      <c r="T1351" s="226"/>
      <c r="U1351" s="226"/>
    </row>
    <row r="1352" spans="16:21" x14ac:dyDescent="0.35">
      <c r="P1352" s="226"/>
      <c r="Q1352" s="226"/>
      <c r="R1352" s="226"/>
      <c r="S1352" s="226"/>
      <c r="T1352" s="226"/>
      <c r="U1352" s="226"/>
    </row>
    <row r="1353" spans="16:21" x14ac:dyDescent="0.35">
      <c r="P1353" s="226"/>
      <c r="Q1353" s="226"/>
      <c r="R1353" s="226"/>
      <c r="S1353" s="226"/>
      <c r="T1353" s="226"/>
      <c r="U1353" s="226"/>
    </row>
    <row r="1354" spans="16:21" x14ac:dyDescent="0.35">
      <c r="P1354" s="226"/>
      <c r="Q1354" s="226"/>
      <c r="R1354" s="226"/>
      <c r="S1354" s="226"/>
      <c r="T1354" s="226"/>
      <c r="U1354" s="226"/>
    </row>
    <row r="1355" spans="16:21" x14ac:dyDescent="0.35">
      <c r="P1355" s="226"/>
      <c r="Q1355" s="226"/>
      <c r="R1355" s="226"/>
      <c r="S1355" s="226"/>
      <c r="T1355" s="226"/>
      <c r="U1355" s="226"/>
    </row>
    <row r="1356" spans="16:21" x14ac:dyDescent="0.35">
      <c r="P1356" s="226"/>
      <c r="Q1356" s="226"/>
      <c r="R1356" s="226"/>
      <c r="S1356" s="226"/>
      <c r="T1356" s="226"/>
      <c r="U1356" s="226"/>
    </row>
    <row r="1357" spans="16:21" x14ac:dyDescent="0.35">
      <c r="P1357" s="226"/>
      <c r="Q1357" s="226"/>
      <c r="R1357" s="226"/>
      <c r="S1357" s="226"/>
      <c r="T1357" s="226"/>
      <c r="U1357" s="226"/>
    </row>
    <row r="1358" spans="16:21" x14ac:dyDescent="0.35">
      <c r="P1358" s="226"/>
      <c r="Q1358" s="226"/>
      <c r="R1358" s="226"/>
      <c r="S1358" s="226"/>
      <c r="T1358" s="226"/>
      <c r="U1358" s="226"/>
    </row>
    <row r="1359" spans="16:21" x14ac:dyDescent="0.35">
      <c r="P1359" s="226"/>
      <c r="Q1359" s="226"/>
      <c r="R1359" s="226"/>
      <c r="S1359" s="226"/>
      <c r="T1359" s="226"/>
      <c r="U1359" s="226"/>
    </row>
    <row r="1360" spans="16:21" x14ac:dyDescent="0.35">
      <c r="P1360" s="226"/>
      <c r="Q1360" s="226"/>
      <c r="R1360" s="226"/>
      <c r="S1360" s="226"/>
      <c r="T1360" s="226"/>
      <c r="U1360" s="226"/>
    </row>
    <row r="1361" spans="16:21" x14ac:dyDescent="0.35">
      <c r="P1361" s="226"/>
      <c r="Q1361" s="226"/>
      <c r="R1361" s="226"/>
      <c r="S1361" s="226"/>
      <c r="T1361" s="226"/>
      <c r="U1361" s="226"/>
    </row>
    <row r="1362" spans="16:21" x14ac:dyDescent="0.35">
      <c r="P1362" s="226"/>
      <c r="Q1362" s="226"/>
      <c r="R1362" s="226"/>
      <c r="S1362" s="226"/>
      <c r="T1362" s="226"/>
      <c r="U1362" s="226"/>
    </row>
    <row r="1363" spans="16:21" x14ac:dyDescent="0.35">
      <c r="P1363" s="226"/>
      <c r="Q1363" s="226"/>
      <c r="R1363" s="226"/>
      <c r="S1363" s="226"/>
      <c r="T1363" s="226"/>
      <c r="U1363" s="226"/>
    </row>
    <row r="1364" spans="16:21" x14ac:dyDescent="0.35">
      <c r="P1364" s="226"/>
      <c r="Q1364" s="226"/>
      <c r="R1364" s="226"/>
      <c r="S1364" s="226"/>
      <c r="T1364" s="226"/>
      <c r="U1364" s="226"/>
    </row>
    <row r="1365" spans="16:21" x14ac:dyDescent="0.35">
      <c r="P1365" s="226"/>
      <c r="Q1365" s="226"/>
      <c r="R1365" s="226"/>
      <c r="S1365" s="226"/>
      <c r="T1365" s="226"/>
      <c r="U1365" s="226"/>
    </row>
    <row r="1366" spans="16:21" x14ac:dyDescent="0.35">
      <c r="P1366" s="226"/>
      <c r="Q1366" s="226"/>
      <c r="R1366" s="226"/>
      <c r="S1366" s="226"/>
      <c r="T1366" s="226"/>
      <c r="U1366" s="226"/>
    </row>
    <row r="1367" spans="16:21" x14ac:dyDescent="0.35">
      <c r="P1367" s="226"/>
      <c r="Q1367" s="226"/>
      <c r="R1367" s="226"/>
      <c r="S1367" s="226"/>
      <c r="T1367" s="226"/>
      <c r="U1367" s="226"/>
    </row>
    <row r="1368" spans="16:21" x14ac:dyDescent="0.35">
      <c r="P1368" s="226"/>
      <c r="Q1368" s="226"/>
      <c r="R1368" s="226"/>
      <c r="S1368" s="226"/>
      <c r="T1368" s="226"/>
      <c r="U1368" s="226"/>
    </row>
    <row r="1369" spans="16:21" x14ac:dyDescent="0.35">
      <c r="P1369" s="226"/>
      <c r="Q1369" s="226"/>
      <c r="R1369" s="226"/>
      <c r="S1369" s="226"/>
      <c r="T1369" s="226"/>
      <c r="U1369" s="226"/>
    </row>
    <row r="1370" spans="16:21" x14ac:dyDescent="0.35">
      <c r="P1370" s="226"/>
      <c r="Q1370" s="226"/>
      <c r="R1370" s="226"/>
      <c r="S1370" s="226"/>
      <c r="T1370" s="226"/>
      <c r="U1370" s="226"/>
    </row>
    <row r="1371" spans="16:21" x14ac:dyDescent="0.35">
      <c r="P1371" s="226"/>
      <c r="Q1371" s="226"/>
      <c r="R1371" s="226"/>
      <c r="S1371" s="226"/>
      <c r="T1371" s="226"/>
      <c r="U1371" s="226"/>
    </row>
    <row r="1372" spans="16:21" x14ac:dyDescent="0.35">
      <c r="P1372" s="226"/>
      <c r="Q1372" s="226"/>
      <c r="R1372" s="226"/>
      <c r="S1372" s="226"/>
      <c r="T1372" s="226"/>
      <c r="U1372" s="226"/>
    </row>
    <row r="1373" spans="16:21" x14ac:dyDescent="0.35">
      <c r="P1373" s="226"/>
      <c r="Q1373" s="226"/>
      <c r="R1373" s="226"/>
      <c r="S1373" s="226"/>
      <c r="T1373" s="226"/>
      <c r="U1373" s="226"/>
    </row>
    <row r="1374" spans="16:21" x14ac:dyDescent="0.35">
      <c r="P1374" s="226"/>
      <c r="Q1374" s="226"/>
      <c r="R1374" s="226"/>
      <c r="S1374" s="226"/>
      <c r="T1374" s="226"/>
      <c r="U1374" s="226"/>
    </row>
    <row r="1375" spans="16:21" x14ac:dyDescent="0.35">
      <c r="P1375" s="226"/>
      <c r="Q1375" s="226"/>
      <c r="R1375" s="226"/>
      <c r="S1375" s="226"/>
      <c r="T1375" s="226"/>
      <c r="U1375" s="226"/>
    </row>
    <row r="1376" spans="16:21" x14ac:dyDescent="0.35">
      <c r="P1376" s="226"/>
      <c r="Q1376" s="226"/>
      <c r="R1376" s="226"/>
      <c r="S1376" s="226"/>
      <c r="T1376" s="226"/>
      <c r="U1376" s="226"/>
    </row>
    <row r="1377" spans="16:21" x14ac:dyDescent="0.35">
      <c r="P1377" s="226"/>
      <c r="Q1377" s="226"/>
      <c r="R1377" s="226"/>
      <c r="S1377" s="226"/>
      <c r="T1377" s="226"/>
      <c r="U1377" s="226"/>
    </row>
    <row r="1378" spans="16:21" x14ac:dyDescent="0.35">
      <c r="P1378" s="226"/>
      <c r="Q1378" s="226"/>
      <c r="R1378" s="226"/>
      <c r="S1378" s="226"/>
      <c r="T1378" s="226"/>
      <c r="U1378" s="226"/>
    </row>
    <row r="1379" spans="16:21" x14ac:dyDescent="0.35">
      <c r="P1379" s="226"/>
      <c r="Q1379" s="226"/>
      <c r="R1379" s="226"/>
      <c r="S1379" s="226"/>
      <c r="T1379" s="226"/>
      <c r="U1379" s="226"/>
    </row>
    <row r="1380" spans="16:21" x14ac:dyDescent="0.35">
      <c r="P1380" s="226"/>
      <c r="Q1380" s="226"/>
      <c r="R1380" s="226"/>
      <c r="S1380" s="226"/>
      <c r="T1380" s="226"/>
      <c r="U1380" s="226"/>
    </row>
    <row r="1381" spans="16:21" x14ac:dyDescent="0.35">
      <c r="P1381" s="226"/>
      <c r="Q1381" s="226"/>
      <c r="R1381" s="226"/>
      <c r="S1381" s="226"/>
      <c r="T1381" s="226"/>
      <c r="U1381" s="226"/>
    </row>
    <row r="1382" spans="16:21" x14ac:dyDescent="0.35">
      <c r="P1382" s="226"/>
      <c r="Q1382" s="226"/>
      <c r="R1382" s="226"/>
      <c r="S1382" s="226"/>
      <c r="T1382" s="226"/>
      <c r="U1382" s="226"/>
    </row>
    <row r="1383" spans="16:21" x14ac:dyDescent="0.35">
      <c r="P1383" s="226"/>
      <c r="Q1383" s="226"/>
      <c r="R1383" s="226"/>
      <c r="S1383" s="226"/>
      <c r="T1383" s="226"/>
      <c r="U1383" s="226"/>
    </row>
    <row r="1384" spans="16:21" x14ac:dyDescent="0.35">
      <c r="P1384" s="226"/>
      <c r="Q1384" s="226"/>
      <c r="R1384" s="226"/>
      <c r="S1384" s="226"/>
      <c r="T1384" s="226"/>
      <c r="U1384" s="226"/>
    </row>
    <row r="1385" spans="16:21" x14ac:dyDescent="0.35">
      <c r="P1385" s="226"/>
      <c r="Q1385" s="226"/>
      <c r="R1385" s="226"/>
      <c r="S1385" s="226"/>
      <c r="T1385" s="226"/>
      <c r="U1385" s="226"/>
    </row>
    <row r="1386" spans="16:21" x14ac:dyDescent="0.35">
      <c r="P1386" s="226"/>
      <c r="Q1386" s="226"/>
      <c r="R1386" s="226"/>
      <c r="S1386" s="226"/>
      <c r="T1386" s="226"/>
      <c r="U1386" s="226"/>
    </row>
    <row r="1387" spans="16:21" x14ac:dyDescent="0.35">
      <c r="P1387" s="226"/>
      <c r="Q1387" s="226"/>
      <c r="R1387" s="226"/>
      <c r="S1387" s="226"/>
      <c r="T1387" s="226"/>
      <c r="U1387" s="226"/>
    </row>
    <row r="1388" spans="16:21" x14ac:dyDescent="0.35">
      <c r="P1388" s="226"/>
      <c r="Q1388" s="226"/>
      <c r="R1388" s="226"/>
      <c r="S1388" s="226"/>
      <c r="T1388" s="226"/>
      <c r="U1388" s="226"/>
    </row>
    <row r="1389" spans="16:21" x14ac:dyDescent="0.35">
      <c r="P1389" s="226"/>
      <c r="Q1389" s="226"/>
      <c r="R1389" s="226"/>
      <c r="S1389" s="226"/>
      <c r="T1389" s="226"/>
      <c r="U1389" s="226"/>
    </row>
    <row r="1390" spans="16:21" x14ac:dyDescent="0.35">
      <c r="P1390" s="226"/>
      <c r="Q1390" s="226"/>
      <c r="R1390" s="226"/>
      <c r="S1390" s="226"/>
      <c r="T1390" s="226"/>
      <c r="U1390" s="226"/>
    </row>
    <row r="1391" spans="16:21" x14ac:dyDescent="0.35">
      <c r="P1391" s="226"/>
      <c r="Q1391" s="226"/>
      <c r="R1391" s="226"/>
      <c r="S1391" s="226"/>
      <c r="T1391" s="226"/>
      <c r="U1391" s="226"/>
    </row>
    <row r="1392" spans="16:21" x14ac:dyDescent="0.35">
      <c r="P1392" s="226"/>
      <c r="Q1392" s="226"/>
      <c r="R1392" s="226"/>
      <c r="S1392" s="226"/>
      <c r="T1392" s="226"/>
      <c r="U1392" s="226"/>
    </row>
    <row r="1393" spans="16:21" x14ac:dyDescent="0.35">
      <c r="P1393" s="226"/>
      <c r="Q1393" s="226"/>
      <c r="R1393" s="226"/>
      <c r="S1393" s="226"/>
      <c r="T1393" s="226"/>
      <c r="U1393" s="226"/>
    </row>
    <row r="1394" spans="16:21" x14ac:dyDescent="0.35">
      <c r="P1394" s="226"/>
      <c r="Q1394" s="226"/>
      <c r="R1394" s="226"/>
      <c r="S1394" s="226"/>
      <c r="T1394" s="226"/>
      <c r="U1394" s="226"/>
    </row>
    <row r="1395" spans="16:21" x14ac:dyDescent="0.35">
      <c r="P1395" s="226"/>
      <c r="Q1395" s="226"/>
      <c r="R1395" s="226"/>
      <c r="S1395" s="226"/>
      <c r="T1395" s="226"/>
      <c r="U1395" s="226"/>
    </row>
    <row r="1396" spans="16:21" x14ac:dyDescent="0.35">
      <c r="P1396" s="226"/>
      <c r="Q1396" s="226"/>
      <c r="R1396" s="226"/>
      <c r="S1396" s="226"/>
      <c r="T1396" s="226"/>
      <c r="U1396" s="226"/>
    </row>
    <row r="1397" spans="16:21" x14ac:dyDescent="0.35">
      <c r="P1397" s="226"/>
      <c r="Q1397" s="226"/>
      <c r="R1397" s="226"/>
      <c r="S1397" s="226"/>
      <c r="T1397" s="226"/>
      <c r="U1397" s="226"/>
    </row>
    <row r="1398" spans="16:21" x14ac:dyDescent="0.35">
      <c r="P1398" s="226"/>
      <c r="Q1398" s="226"/>
      <c r="R1398" s="226"/>
      <c r="S1398" s="226"/>
      <c r="T1398" s="226"/>
      <c r="U1398" s="226"/>
    </row>
    <row r="1399" spans="16:21" x14ac:dyDescent="0.35">
      <c r="P1399" s="226"/>
      <c r="Q1399" s="226"/>
      <c r="R1399" s="226"/>
      <c r="S1399" s="226"/>
      <c r="T1399" s="226"/>
      <c r="U1399" s="226"/>
    </row>
    <row r="1400" spans="16:21" x14ac:dyDescent="0.35">
      <c r="P1400" s="226"/>
      <c r="Q1400" s="226"/>
      <c r="R1400" s="226"/>
      <c r="S1400" s="226"/>
      <c r="T1400" s="226"/>
      <c r="U1400" s="226"/>
    </row>
    <row r="1401" spans="16:21" x14ac:dyDescent="0.35">
      <c r="P1401" s="226"/>
      <c r="Q1401" s="226"/>
      <c r="R1401" s="226"/>
      <c r="S1401" s="226"/>
      <c r="T1401" s="226"/>
      <c r="U1401" s="226"/>
    </row>
    <row r="1402" spans="16:21" x14ac:dyDescent="0.35">
      <c r="P1402" s="226"/>
      <c r="Q1402" s="226"/>
      <c r="R1402" s="226"/>
      <c r="S1402" s="226"/>
      <c r="T1402" s="226"/>
      <c r="U1402" s="226"/>
    </row>
    <row r="1403" spans="16:21" x14ac:dyDescent="0.35">
      <c r="P1403" s="226"/>
      <c r="Q1403" s="226"/>
      <c r="R1403" s="226"/>
      <c r="S1403" s="226"/>
      <c r="T1403" s="226"/>
      <c r="U1403" s="226"/>
    </row>
    <row r="1404" spans="16:21" x14ac:dyDescent="0.35">
      <c r="P1404" s="226"/>
      <c r="Q1404" s="226"/>
      <c r="R1404" s="226"/>
      <c r="S1404" s="226"/>
      <c r="T1404" s="226"/>
      <c r="U1404" s="226"/>
    </row>
    <row r="1405" spans="16:21" x14ac:dyDescent="0.35">
      <c r="P1405" s="226"/>
      <c r="Q1405" s="226"/>
      <c r="R1405" s="226"/>
      <c r="S1405" s="226"/>
      <c r="T1405" s="226"/>
      <c r="U1405" s="226"/>
    </row>
    <row r="1406" spans="16:21" x14ac:dyDescent="0.35">
      <c r="P1406" s="226"/>
      <c r="Q1406" s="226"/>
      <c r="R1406" s="226"/>
      <c r="S1406" s="226"/>
      <c r="T1406" s="226"/>
      <c r="U1406" s="226"/>
    </row>
    <row r="1407" spans="16:21" x14ac:dyDescent="0.35">
      <c r="P1407" s="226"/>
      <c r="Q1407" s="226"/>
      <c r="R1407" s="226"/>
      <c r="S1407" s="226"/>
      <c r="T1407" s="226"/>
      <c r="U1407" s="226"/>
    </row>
    <row r="1408" spans="16:21" x14ac:dyDescent="0.35">
      <c r="P1408" s="226"/>
      <c r="Q1408" s="226"/>
      <c r="R1408" s="226"/>
      <c r="S1408" s="226"/>
      <c r="T1408" s="226"/>
      <c r="U1408" s="226"/>
    </row>
    <row r="1409" spans="16:21" x14ac:dyDescent="0.35">
      <c r="P1409" s="226"/>
      <c r="Q1409" s="226"/>
      <c r="R1409" s="226"/>
      <c r="S1409" s="226"/>
      <c r="T1409" s="226"/>
      <c r="U1409" s="226"/>
    </row>
    <row r="1410" spans="16:21" x14ac:dyDescent="0.35">
      <c r="P1410" s="226"/>
      <c r="Q1410" s="226"/>
      <c r="R1410" s="226"/>
      <c r="S1410" s="226"/>
      <c r="T1410" s="226"/>
      <c r="U1410" s="226"/>
    </row>
    <row r="1411" spans="16:21" x14ac:dyDescent="0.35">
      <c r="P1411" s="226"/>
      <c r="Q1411" s="226"/>
      <c r="R1411" s="226"/>
      <c r="S1411" s="226"/>
      <c r="T1411" s="226"/>
      <c r="U1411" s="226"/>
    </row>
    <row r="1412" spans="16:21" x14ac:dyDescent="0.35">
      <c r="P1412" s="226"/>
      <c r="Q1412" s="226"/>
      <c r="R1412" s="226"/>
      <c r="S1412" s="226"/>
      <c r="T1412" s="226"/>
      <c r="U1412" s="226"/>
    </row>
    <row r="1413" spans="16:21" x14ac:dyDescent="0.35">
      <c r="P1413" s="226"/>
      <c r="Q1413" s="226"/>
      <c r="R1413" s="226"/>
      <c r="S1413" s="226"/>
      <c r="T1413" s="226"/>
      <c r="U1413" s="226"/>
    </row>
    <row r="1414" spans="16:21" x14ac:dyDescent="0.35">
      <c r="P1414" s="226"/>
      <c r="Q1414" s="226"/>
      <c r="R1414" s="226"/>
      <c r="S1414" s="226"/>
      <c r="T1414" s="226"/>
      <c r="U1414" s="226"/>
    </row>
    <row r="1415" spans="16:21" x14ac:dyDescent="0.35">
      <c r="P1415" s="226"/>
      <c r="Q1415" s="226"/>
      <c r="R1415" s="226"/>
      <c r="S1415" s="226"/>
      <c r="T1415" s="226"/>
      <c r="U1415" s="226"/>
    </row>
    <row r="1416" spans="16:21" x14ac:dyDescent="0.35">
      <c r="P1416" s="226"/>
      <c r="Q1416" s="226"/>
      <c r="R1416" s="226"/>
      <c r="S1416" s="226"/>
      <c r="T1416" s="226"/>
      <c r="U1416" s="226"/>
    </row>
    <row r="1417" spans="16:21" x14ac:dyDescent="0.35">
      <c r="P1417" s="226"/>
      <c r="Q1417" s="226"/>
      <c r="R1417" s="226"/>
      <c r="S1417" s="226"/>
      <c r="T1417" s="226"/>
      <c r="U1417" s="226"/>
    </row>
    <row r="1418" spans="16:21" x14ac:dyDescent="0.35">
      <c r="P1418" s="226"/>
      <c r="Q1418" s="226"/>
      <c r="R1418" s="226"/>
      <c r="S1418" s="226"/>
      <c r="T1418" s="226"/>
      <c r="U1418" s="226"/>
    </row>
    <row r="1419" spans="16:21" x14ac:dyDescent="0.35">
      <c r="P1419" s="226"/>
      <c r="Q1419" s="226"/>
      <c r="R1419" s="226"/>
      <c r="S1419" s="226"/>
      <c r="T1419" s="226"/>
      <c r="U1419" s="226"/>
    </row>
    <row r="1420" spans="16:21" x14ac:dyDescent="0.35">
      <c r="P1420" s="226"/>
      <c r="Q1420" s="226"/>
      <c r="R1420" s="226"/>
      <c r="S1420" s="226"/>
      <c r="T1420" s="226"/>
      <c r="U1420" s="226"/>
    </row>
    <row r="1421" spans="16:21" x14ac:dyDescent="0.35">
      <c r="P1421" s="226"/>
      <c r="Q1421" s="226"/>
      <c r="R1421" s="226"/>
      <c r="S1421" s="226"/>
      <c r="T1421" s="226"/>
      <c r="U1421" s="226"/>
    </row>
    <row r="1422" spans="16:21" x14ac:dyDescent="0.35">
      <c r="P1422" s="226"/>
      <c r="Q1422" s="226"/>
      <c r="R1422" s="226"/>
      <c r="S1422" s="226"/>
      <c r="T1422" s="226"/>
      <c r="U1422" s="226"/>
    </row>
    <row r="1423" spans="16:21" x14ac:dyDescent="0.35">
      <c r="P1423" s="226"/>
      <c r="Q1423" s="226"/>
      <c r="R1423" s="226"/>
      <c r="S1423" s="226"/>
      <c r="T1423" s="226"/>
      <c r="U1423" s="226"/>
    </row>
    <row r="1424" spans="16:21" x14ac:dyDescent="0.35">
      <c r="P1424" s="226"/>
      <c r="Q1424" s="226"/>
      <c r="R1424" s="226"/>
      <c r="S1424" s="226"/>
      <c r="T1424" s="226"/>
      <c r="U1424" s="226"/>
    </row>
    <row r="1425" spans="16:21" x14ac:dyDescent="0.35">
      <c r="P1425" s="226"/>
      <c r="Q1425" s="226"/>
      <c r="R1425" s="226"/>
      <c r="S1425" s="226"/>
      <c r="T1425" s="226"/>
      <c r="U1425" s="226"/>
    </row>
    <row r="1426" spans="16:21" x14ac:dyDescent="0.35">
      <c r="P1426" s="226"/>
      <c r="Q1426" s="226"/>
      <c r="R1426" s="226"/>
      <c r="S1426" s="226"/>
      <c r="T1426" s="226"/>
      <c r="U1426" s="226"/>
    </row>
    <row r="1427" spans="16:21" x14ac:dyDescent="0.35">
      <c r="P1427" s="226"/>
      <c r="Q1427" s="226"/>
      <c r="R1427" s="226"/>
      <c r="S1427" s="226"/>
      <c r="T1427" s="226"/>
      <c r="U1427" s="226"/>
    </row>
    <row r="1428" spans="16:21" x14ac:dyDescent="0.35">
      <c r="P1428" s="226"/>
      <c r="Q1428" s="226"/>
      <c r="R1428" s="226"/>
      <c r="S1428" s="226"/>
      <c r="T1428" s="226"/>
      <c r="U1428" s="226"/>
    </row>
    <row r="1429" spans="16:21" x14ac:dyDescent="0.35">
      <c r="P1429" s="226"/>
      <c r="Q1429" s="226"/>
      <c r="R1429" s="226"/>
      <c r="S1429" s="226"/>
      <c r="T1429" s="226"/>
      <c r="U1429" s="226"/>
    </row>
    <row r="1430" spans="16:21" x14ac:dyDescent="0.35">
      <c r="P1430" s="226"/>
      <c r="Q1430" s="226"/>
      <c r="R1430" s="226"/>
      <c r="S1430" s="226"/>
      <c r="T1430" s="226"/>
      <c r="U1430" s="226"/>
    </row>
    <row r="1431" spans="16:21" x14ac:dyDescent="0.35">
      <c r="P1431" s="226"/>
      <c r="Q1431" s="226"/>
      <c r="R1431" s="226"/>
      <c r="S1431" s="226"/>
      <c r="T1431" s="226"/>
      <c r="U1431" s="226"/>
    </row>
    <row r="1432" spans="16:21" x14ac:dyDescent="0.35">
      <c r="P1432" s="226"/>
      <c r="Q1432" s="226"/>
      <c r="R1432" s="226"/>
      <c r="S1432" s="226"/>
      <c r="T1432" s="226"/>
      <c r="U1432" s="226"/>
    </row>
    <row r="1433" spans="16:21" x14ac:dyDescent="0.35">
      <c r="P1433" s="226"/>
      <c r="Q1433" s="226"/>
      <c r="R1433" s="226"/>
      <c r="S1433" s="226"/>
      <c r="T1433" s="226"/>
      <c r="U1433" s="226"/>
    </row>
    <row r="1434" spans="16:21" x14ac:dyDescent="0.35">
      <c r="P1434" s="226"/>
      <c r="Q1434" s="226"/>
      <c r="R1434" s="226"/>
      <c r="S1434" s="226"/>
      <c r="T1434" s="226"/>
      <c r="U1434" s="226"/>
    </row>
    <row r="1435" spans="16:21" x14ac:dyDescent="0.35">
      <c r="P1435" s="226"/>
      <c r="Q1435" s="226"/>
      <c r="R1435" s="226"/>
      <c r="S1435" s="226"/>
      <c r="T1435" s="226"/>
      <c r="U1435" s="226"/>
    </row>
    <row r="1436" spans="16:21" x14ac:dyDescent="0.35">
      <c r="P1436" s="226"/>
      <c r="Q1436" s="226"/>
      <c r="R1436" s="226"/>
      <c r="S1436" s="226"/>
      <c r="T1436" s="226"/>
      <c r="U1436" s="226"/>
    </row>
    <row r="1437" spans="16:21" x14ac:dyDescent="0.35">
      <c r="P1437" s="226"/>
      <c r="Q1437" s="226"/>
      <c r="R1437" s="226"/>
      <c r="S1437" s="226"/>
      <c r="T1437" s="226"/>
      <c r="U1437" s="226"/>
    </row>
    <row r="1438" spans="16:21" x14ac:dyDescent="0.35">
      <c r="P1438" s="226"/>
      <c r="Q1438" s="226"/>
      <c r="R1438" s="226"/>
      <c r="S1438" s="226"/>
      <c r="T1438" s="226"/>
      <c r="U1438" s="226"/>
    </row>
    <row r="1439" spans="16:21" x14ac:dyDescent="0.35">
      <c r="P1439" s="226"/>
      <c r="Q1439" s="226"/>
      <c r="R1439" s="226"/>
      <c r="S1439" s="226"/>
      <c r="T1439" s="226"/>
      <c r="U1439" s="226"/>
    </row>
    <row r="1440" spans="16:21" x14ac:dyDescent="0.35">
      <c r="P1440" s="226"/>
      <c r="Q1440" s="226"/>
      <c r="R1440" s="226"/>
      <c r="S1440" s="226"/>
      <c r="T1440" s="226"/>
      <c r="U1440" s="226"/>
    </row>
    <row r="1441" spans="16:21" x14ac:dyDescent="0.35">
      <c r="P1441" s="226"/>
      <c r="Q1441" s="226"/>
      <c r="R1441" s="226"/>
      <c r="S1441" s="226"/>
      <c r="T1441" s="226"/>
      <c r="U1441" s="226"/>
    </row>
    <row r="1442" spans="16:21" x14ac:dyDescent="0.35">
      <c r="P1442" s="226"/>
      <c r="Q1442" s="226"/>
      <c r="R1442" s="226"/>
      <c r="S1442" s="226"/>
      <c r="T1442" s="226"/>
      <c r="U1442" s="226"/>
    </row>
    <row r="1443" spans="16:21" x14ac:dyDescent="0.35">
      <c r="P1443" s="226"/>
      <c r="Q1443" s="226"/>
      <c r="R1443" s="226"/>
      <c r="S1443" s="226"/>
      <c r="T1443" s="226"/>
      <c r="U1443" s="226"/>
    </row>
    <row r="1444" spans="16:21" x14ac:dyDescent="0.35">
      <c r="P1444" s="226"/>
      <c r="Q1444" s="226"/>
      <c r="R1444" s="226"/>
      <c r="S1444" s="226"/>
      <c r="T1444" s="226"/>
      <c r="U1444" s="226"/>
    </row>
    <row r="1445" spans="16:21" x14ac:dyDescent="0.35">
      <c r="P1445" s="226"/>
      <c r="Q1445" s="226"/>
      <c r="R1445" s="226"/>
      <c r="S1445" s="226"/>
      <c r="T1445" s="226"/>
      <c r="U1445" s="226"/>
    </row>
    <row r="1446" spans="16:21" x14ac:dyDescent="0.35">
      <c r="P1446" s="226"/>
      <c r="Q1446" s="226"/>
      <c r="R1446" s="226"/>
      <c r="S1446" s="226"/>
      <c r="T1446" s="226"/>
      <c r="U1446" s="226"/>
    </row>
    <row r="1447" spans="16:21" x14ac:dyDescent="0.35">
      <c r="P1447" s="226"/>
      <c r="Q1447" s="226"/>
      <c r="R1447" s="226"/>
      <c r="S1447" s="226"/>
      <c r="T1447" s="226"/>
      <c r="U1447" s="226"/>
    </row>
    <row r="1448" spans="16:21" x14ac:dyDescent="0.35">
      <c r="P1448" s="226"/>
      <c r="Q1448" s="226"/>
      <c r="R1448" s="226"/>
      <c r="S1448" s="226"/>
      <c r="T1448" s="226"/>
      <c r="U1448" s="226"/>
    </row>
    <row r="1449" spans="16:21" x14ac:dyDescent="0.35">
      <c r="P1449" s="226"/>
      <c r="Q1449" s="226"/>
      <c r="R1449" s="226"/>
      <c r="S1449" s="226"/>
      <c r="T1449" s="226"/>
      <c r="U1449" s="226"/>
    </row>
    <row r="1450" spans="16:21" x14ac:dyDescent="0.35">
      <c r="P1450" s="226"/>
      <c r="Q1450" s="226"/>
      <c r="R1450" s="226"/>
      <c r="S1450" s="226"/>
      <c r="T1450" s="226"/>
      <c r="U1450" s="226"/>
    </row>
    <row r="1451" spans="16:21" x14ac:dyDescent="0.35">
      <c r="P1451" s="226"/>
      <c r="Q1451" s="226"/>
      <c r="R1451" s="226"/>
      <c r="S1451" s="226"/>
      <c r="T1451" s="226"/>
      <c r="U1451" s="226"/>
    </row>
    <row r="1452" spans="16:21" x14ac:dyDescent="0.35">
      <c r="P1452" s="226"/>
      <c r="Q1452" s="226"/>
      <c r="R1452" s="226"/>
      <c r="S1452" s="226"/>
      <c r="T1452" s="226"/>
      <c r="U1452" s="226"/>
    </row>
    <row r="1453" spans="16:21" x14ac:dyDescent="0.35">
      <c r="P1453" s="226"/>
      <c r="Q1453" s="226"/>
      <c r="R1453" s="226"/>
      <c r="S1453" s="226"/>
      <c r="T1453" s="226"/>
      <c r="U1453" s="226"/>
    </row>
    <row r="1454" spans="16:21" x14ac:dyDescent="0.35">
      <c r="P1454" s="226"/>
      <c r="Q1454" s="226"/>
      <c r="R1454" s="226"/>
      <c r="S1454" s="226"/>
      <c r="T1454" s="226"/>
      <c r="U1454" s="226"/>
    </row>
    <row r="1455" spans="16:21" x14ac:dyDescent="0.35">
      <c r="P1455" s="226"/>
      <c r="Q1455" s="226"/>
      <c r="R1455" s="226"/>
      <c r="S1455" s="226"/>
      <c r="T1455" s="226"/>
      <c r="U1455" s="226"/>
    </row>
    <row r="1456" spans="16:21" x14ac:dyDescent="0.35">
      <c r="P1456" s="226"/>
      <c r="Q1456" s="226"/>
      <c r="R1456" s="226"/>
      <c r="S1456" s="226"/>
      <c r="T1456" s="226"/>
      <c r="U1456" s="226"/>
    </row>
    <row r="1457" spans="16:21" x14ac:dyDescent="0.35">
      <c r="P1457" s="226"/>
      <c r="Q1457" s="226"/>
      <c r="R1457" s="226"/>
      <c r="S1457" s="226"/>
      <c r="T1457" s="226"/>
      <c r="U1457" s="226"/>
    </row>
    <row r="1458" spans="16:21" x14ac:dyDescent="0.35">
      <c r="P1458" s="226"/>
      <c r="Q1458" s="226"/>
      <c r="R1458" s="226"/>
      <c r="S1458" s="226"/>
      <c r="T1458" s="226"/>
      <c r="U1458" s="226"/>
    </row>
    <row r="1459" spans="16:21" x14ac:dyDescent="0.35">
      <c r="P1459" s="226"/>
      <c r="Q1459" s="226"/>
      <c r="R1459" s="226"/>
      <c r="S1459" s="226"/>
      <c r="T1459" s="226"/>
      <c r="U1459" s="226"/>
    </row>
    <row r="1460" spans="16:21" x14ac:dyDescent="0.35">
      <c r="P1460" s="226"/>
      <c r="Q1460" s="226"/>
      <c r="R1460" s="226"/>
      <c r="S1460" s="226"/>
      <c r="T1460" s="226"/>
      <c r="U1460" s="226"/>
    </row>
    <row r="1461" spans="16:21" x14ac:dyDescent="0.35">
      <c r="P1461" s="226"/>
      <c r="Q1461" s="226"/>
      <c r="R1461" s="226"/>
      <c r="S1461" s="226"/>
      <c r="T1461" s="226"/>
      <c r="U1461" s="226"/>
    </row>
    <row r="1462" spans="16:21" x14ac:dyDescent="0.35">
      <c r="P1462" s="226"/>
      <c r="Q1462" s="226"/>
      <c r="R1462" s="226"/>
      <c r="S1462" s="226"/>
      <c r="T1462" s="226"/>
      <c r="U1462" s="226"/>
    </row>
    <row r="1463" spans="16:21" x14ac:dyDescent="0.35">
      <c r="P1463" s="226"/>
      <c r="Q1463" s="226"/>
      <c r="R1463" s="226"/>
      <c r="S1463" s="226"/>
      <c r="T1463" s="226"/>
      <c r="U1463" s="226"/>
    </row>
    <row r="1464" spans="16:21" x14ac:dyDescent="0.35">
      <c r="P1464" s="226"/>
      <c r="Q1464" s="226"/>
      <c r="R1464" s="226"/>
      <c r="S1464" s="226"/>
      <c r="T1464" s="226"/>
      <c r="U1464" s="226"/>
    </row>
    <row r="1465" spans="16:21" x14ac:dyDescent="0.35">
      <c r="P1465" s="226"/>
      <c r="Q1465" s="226"/>
      <c r="R1465" s="226"/>
      <c r="S1465" s="226"/>
      <c r="T1465" s="226"/>
      <c r="U1465" s="226"/>
    </row>
    <row r="1466" spans="16:21" x14ac:dyDescent="0.35">
      <c r="P1466" s="226"/>
      <c r="Q1466" s="226"/>
      <c r="R1466" s="226"/>
      <c r="S1466" s="226"/>
      <c r="T1466" s="226"/>
      <c r="U1466" s="226"/>
    </row>
    <row r="1467" spans="16:21" x14ac:dyDescent="0.35">
      <c r="P1467" s="226"/>
      <c r="Q1467" s="226"/>
      <c r="R1467" s="226"/>
      <c r="S1467" s="226"/>
      <c r="T1467" s="226"/>
      <c r="U1467" s="226"/>
    </row>
    <row r="1468" spans="16:21" x14ac:dyDescent="0.35">
      <c r="P1468" s="226"/>
      <c r="Q1468" s="226"/>
      <c r="R1468" s="226"/>
      <c r="S1468" s="226"/>
      <c r="T1468" s="226"/>
      <c r="U1468" s="226"/>
    </row>
    <row r="1469" spans="16:21" x14ac:dyDescent="0.35">
      <c r="P1469" s="226"/>
      <c r="Q1469" s="226"/>
      <c r="R1469" s="226"/>
      <c r="S1469" s="226"/>
      <c r="T1469" s="226"/>
      <c r="U1469" s="226"/>
    </row>
    <row r="1470" spans="16:21" x14ac:dyDescent="0.35">
      <c r="P1470" s="226"/>
      <c r="Q1470" s="226"/>
      <c r="R1470" s="226"/>
      <c r="S1470" s="226"/>
      <c r="T1470" s="226"/>
      <c r="U1470" s="226"/>
    </row>
    <row r="1471" spans="16:21" x14ac:dyDescent="0.35">
      <c r="P1471" s="226"/>
      <c r="Q1471" s="226"/>
      <c r="R1471" s="226"/>
      <c r="S1471" s="226"/>
      <c r="T1471" s="226"/>
      <c r="U1471" s="226"/>
    </row>
    <row r="1472" spans="16:21" x14ac:dyDescent="0.35">
      <c r="P1472" s="226"/>
      <c r="Q1472" s="226"/>
      <c r="R1472" s="226"/>
      <c r="S1472" s="226"/>
      <c r="T1472" s="226"/>
      <c r="U1472" s="226"/>
    </row>
    <row r="1473" spans="16:21" x14ac:dyDescent="0.35">
      <c r="P1473" s="226"/>
      <c r="Q1473" s="226"/>
      <c r="R1473" s="226"/>
      <c r="S1473" s="226"/>
      <c r="T1473" s="226"/>
      <c r="U1473" s="226"/>
    </row>
    <row r="1474" spans="16:21" x14ac:dyDescent="0.35">
      <c r="P1474" s="226"/>
      <c r="Q1474" s="226"/>
      <c r="R1474" s="226"/>
      <c r="S1474" s="226"/>
      <c r="T1474" s="226"/>
      <c r="U1474" s="226"/>
    </row>
    <row r="1475" spans="16:21" x14ac:dyDescent="0.35">
      <c r="P1475" s="226"/>
      <c r="Q1475" s="226"/>
      <c r="R1475" s="226"/>
      <c r="S1475" s="226"/>
      <c r="T1475" s="226"/>
      <c r="U1475" s="226"/>
    </row>
    <row r="1476" spans="16:21" x14ac:dyDescent="0.35">
      <c r="P1476" s="226"/>
      <c r="Q1476" s="226"/>
      <c r="R1476" s="226"/>
      <c r="S1476" s="226"/>
      <c r="T1476" s="226"/>
      <c r="U1476" s="226"/>
    </row>
    <row r="1477" spans="16:21" x14ac:dyDescent="0.35">
      <c r="P1477" s="226"/>
      <c r="Q1477" s="226"/>
      <c r="R1477" s="226"/>
      <c r="S1477" s="226"/>
      <c r="T1477" s="226"/>
      <c r="U1477" s="226"/>
    </row>
    <row r="1478" spans="16:21" x14ac:dyDescent="0.35">
      <c r="P1478" s="226"/>
      <c r="Q1478" s="226"/>
      <c r="R1478" s="226"/>
      <c r="S1478" s="226"/>
      <c r="T1478" s="226"/>
      <c r="U1478" s="226"/>
    </row>
    <row r="1479" spans="16:21" x14ac:dyDescent="0.35">
      <c r="P1479" s="226"/>
      <c r="Q1479" s="226"/>
      <c r="R1479" s="226"/>
      <c r="S1479" s="226"/>
      <c r="T1479" s="226"/>
      <c r="U1479" s="226"/>
    </row>
    <row r="1480" spans="16:21" x14ac:dyDescent="0.35">
      <c r="P1480" s="226"/>
      <c r="Q1480" s="226"/>
      <c r="R1480" s="226"/>
      <c r="S1480" s="226"/>
      <c r="T1480" s="226"/>
      <c r="U1480" s="226"/>
    </row>
    <row r="1481" spans="16:21" x14ac:dyDescent="0.35">
      <c r="P1481" s="226"/>
      <c r="Q1481" s="226"/>
      <c r="R1481" s="226"/>
      <c r="S1481" s="226"/>
      <c r="T1481" s="226"/>
      <c r="U1481" s="226"/>
    </row>
    <row r="1482" spans="16:21" x14ac:dyDescent="0.35">
      <c r="P1482" s="226"/>
      <c r="Q1482" s="226"/>
      <c r="R1482" s="226"/>
      <c r="S1482" s="226"/>
      <c r="T1482" s="226"/>
      <c r="U1482" s="226"/>
    </row>
    <row r="1483" spans="16:21" x14ac:dyDescent="0.35">
      <c r="P1483" s="226"/>
      <c r="Q1483" s="226"/>
      <c r="R1483" s="226"/>
      <c r="S1483" s="226"/>
      <c r="T1483" s="226"/>
      <c r="U1483" s="226"/>
    </row>
    <row r="1484" spans="16:21" x14ac:dyDescent="0.35">
      <c r="P1484" s="226"/>
      <c r="Q1484" s="226"/>
      <c r="R1484" s="226"/>
      <c r="S1484" s="226"/>
      <c r="T1484" s="226"/>
      <c r="U1484" s="226"/>
    </row>
    <row r="1485" spans="16:21" x14ac:dyDescent="0.35">
      <c r="P1485" s="226"/>
      <c r="Q1485" s="226"/>
      <c r="R1485" s="226"/>
      <c r="S1485" s="226"/>
      <c r="T1485" s="226"/>
      <c r="U1485" s="226"/>
    </row>
    <row r="1486" spans="16:21" x14ac:dyDescent="0.35">
      <c r="P1486" s="226"/>
      <c r="Q1486" s="226"/>
      <c r="R1486" s="226"/>
      <c r="S1486" s="226"/>
      <c r="T1486" s="226"/>
      <c r="U1486" s="226"/>
    </row>
    <row r="1487" spans="16:21" x14ac:dyDescent="0.35">
      <c r="P1487" s="226"/>
      <c r="Q1487" s="226"/>
      <c r="R1487" s="226"/>
      <c r="S1487" s="226"/>
      <c r="T1487" s="226"/>
      <c r="U1487" s="226"/>
    </row>
    <row r="1488" spans="16:21" x14ac:dyDescent="0.35">
      <c r="P1488" s="226"/>
      <c r="Q1488" s="226"/>
      <c r="R1488" s="226"/>
      <c r="S1488" s="226"/>
      <c r="T1488" s="226"/>
      <c r="U1488" s="226"/>
    </row>
    <row r="1489" spans="16:21" x14ac:dyDescent="0.35">
      <c r="P1489" s="226"/>
      <c r="Q1489" s="226"/>
      <c r="R1489" s="226"/>
      <c r="S1489" s="226"/>
      <c r="T1489" s="226"/>
      <c r="U1489" s="226"/>
    </row>
    <row r="1490" spans="16:21" x14ac:dyDescent="0.35">
      <c r="P1490" s="226"/>
      <c r="Q1490" s="226"/>
      <c r="R1490" s="226"/>
      <c r="S1490" s="226"/>
      <c r="T1490" s="226"/>
      <c r="U1490" s="226"/>
    </row>
    <row r="1491" spans="16:21" x14ac:dyDescent="0.35">
      <c r="P1491" s="226"/>
      <c r="Q1491" s="226"/>
      <c r="R1491" s="226"/>
      <c r="S1491" s="226"/>
      <c r="T1491" s="226"/>
      <c r="U1491" s="226"/>
    </row>
    <row r="1492" spans="16:21" x14ac:dyDescent="0.35">
      <c r="P1492" s="226"/>
      <c r="Q1492" s="226"/>
      <c r="R1492" s="226"/>
      <c r="S1492" s="226"/>
      <c r="T1492" s="226"/>
      <c r="U1492" s="226"/>
    </row>
    <row r="1493" spans="16:21" x14ac:dyDescent="0.35">
      <c r="P1493" s="226"/>
      <c r="Q1493" s="226"/>
      <c r="R1493" s="226"/>
      <c r="S1493" s="226"/>
      <c r="T1493" s="226"/>
      <c r="U1493" s="226"/>
    </row>
    <row r="1494" spans="16:21" x14ac:dyDescent="0.35">
      <c r="P1494" s="226"/>
      <c r="Q1494" s="226"/>
      <c r="R1494" s="226"/>
      <c r="S1494" s="226"/>
      <c r="T1494" s="226"/>
      <c r="U1494" s="226"/>
    </row>
    <row r="1495" spans="16:21" x14ac:dyDescent="0.35">
      <c r="P1495" s="226"/>
      <c r="Q1495" s="226"/>
      <c r="R1495" s="226"/>
      <c r="S1495" s="226"/>
      <c r="T1495" s="226"/>
      <c r="U1495" s="226"/>
    </row>
    <row r="1496" spans="16:21" x14ac:dyDescent="0.35">
      <c r="P1496" s="226"/>
      <c r="Q1496" s="226"/>
      <c r="R1496" s="226"/>
      <c r="S1496" s="226"/>
      <c r="T1496" s="226"/>
      <c r="U1496" s="226"/>
    </row>
    <row r="1497" spans="16:21" x14ac:dyDescent="0.35">
      <c r="P1497" s="226"/>
      <c r="Q1497" s="226"/>
      <c r="R1497" s="226"/>
      <c r="S1497" s="226"/>
      <c r="T1497" s="226"/>
      <c r="U1497" s="226"/>
    </row>
    <row r="1498" spans="16:21" x14ac:dyDescent="0.35">
      <c r="P1498" s="226"/>
      <c r="Q1498" s="226"/>
      <c r="R1498" s="226"/>
      <c r="S1498" s="226"/>
      <c r="T1498" s="226"/>
      <c r="U1498" s="226"/>
    </row>
    <row r="1499" spans="16:21" x14ac:dyDescent="0.35">
      <c r="P1499" s="226"/>
      <c r="Q1499" s="226"/>
      <c r="R1499" s="226"/>
      <c r="S1499" s="226"/>
      <c r="T1499" s="226"/>
      <c r="U1499" s="226"/>
    </row>
    <row r="1500" spans="16:21" x14ac:dyDescent="0.35">
      <c r="P1500" s="226"/>
      <c r="Q1500" s="226"/>
      <c r="R1500" s="226"/>
      <c r="S1500" s="226"/>
      <c r="T1500" s="226"/>
      <c r="U1500" s="226"/>
    </row>
    <row r="1501" spans="16:21" x14ac:dyDescent="0.35">
      <c r="P1501" s="226"/>
      <c r="Q1501" s="226"/>
      <c r="R1501" s="226"/>
      <c r="S1501" s="226"/>
      <c r="T1501" s="226"/>
      <c r="U1501" s="226"/>
    </row>
    <row r="1502" spans="16:21" x14ac:dyDescent="0.35">
      <c r="P1502" s="226"/>
      <c r="Q1502" s="226"/>
      <c r="R1502" s="226"/>
      <c r="S1502" s="226"/>
      <c r="T1502" s="226"/>
      <c r="U1502" s="226"/>
    </row>
    <row r="1503" spans="16:21" x14ac:dyDescent="0.35">
      <c r="P1503" s="226"/>
      <c r="Q1503" s="226"/>
      <c r="R1503" s="226"/>
      <c r="S1503" s="226"/>
      <c r="T1503" s="226"/>
      <c r="U1503" s="226"/>
    </row>
    <row r="1504" spans="16:21" x14ac:dyDescent="0.35">
      <c r="P1504" s="226"/>
      <c r="Q1504" s="226"/>
      <c r="R1504" s="226"/>
      <c r="S1504" s="226"/>
      <c r="T1504" s="226"/>
      <c r="U1504" s="226"/>
    </row>
    <row r="1505" spans="16:21" x14ac:dyDescent="0.35">
      <c r="P1505" s="226"/>
      <c r="Q1505" s="226"/>
      <c r="R1505" s="226"/>
      <c r="S1505" s="226"/>
      <c r="T1505" s="226"/>
      <c r="U1505" s="226"/>
    </row>
    <row r="1506" spans="16:21" x14ac:dyDescent="0.35">
      <c r="P1506" s="226"/>
      <c r="Q1506" s="226"/>
      <c r="R1506" s="226"/>
      <c r="S1506" s="226"/>
      <c r="T1506" s="226"/>
      <c r="U1506" s="226"/>
    </row>
    <row r="1507" spans="16:21" x14ac:dyDescent="0.35">
      <c r="P1507" s="226"/>
      <c r="Q1507" s="226"/>
      <c r="R1507" s="226"/>
      <c r="S1507" s="226"/>
      <c r="T1507" s="226"/>
      <c r="U1507" s="226"/>
    </row>
    <row r="1508" spans="16:21" x14ac:dyDescent="0.35">
      <c r="P1508" s="226"/>
      <c r="Q1508" s="226"/>
      <c r="R1508" s="226"/>
      <c r="S1508" s="226"/>
      <c r="T1508" s="226"/>
      <c r="U1508" s="226"/>
    </row>
    <row r="1509" spans="16:21" x14ac:dyDescent="0.35">
      <c r="P1509" s="226"/>
      <c r="Q1509" s="226"/>
      <c r="R1509" s="226"/>
      <c r="S1509" s="226"/>
      <c r="T1509" s="226"/>
      <c r="U1509" s="226"/>
    </row>
    <row r="1510" spans="16:21" x14ac:dyDescent="0.35">
      <c r="P1510" s="226"/>
      <c r="Q1510" s="226"/>
      <c r="R1510" s="226"/>
      <c r="S1510" s="226"/>
      <c r="T1510" s="226"/>
      <c r="U1510" s="226"/>
    </row>
    <row r="1511" spans="16:21" x14ac:dyDescent="0.35">
      <c r="P1511" s="226"/>
      <c r="Q1511" s="226"/>
      <c r="R1511" s="226"/>
      <c r="S1511" s="226"/>
      <c r="T1511" s="226"/>
      <c r="U1511" s="226"/>
    </row>
    <row r="1512" spans="16:21" x14ac:dyDescent="0.35">
      <c r="P1512" s="226"/>
      <c r="Q1512" s="226"/>
      <c r="R1512" s="226"/>
      <c r="S1512" s="226"/>
      <c r="T1512" s="226"/>
      <c r="U1512" s="226"/>
    </row>
    <row r="1513" spans="16:21" x14ac:dyDescent="0.35">
      <c r="P1513" s="226"/>
      <c r="Q1513" s="226"/>
      <c r="R1513" s="226"/>
      <c r="S1513" s="226"/>
      <c r="T1513" s="226"/>
      <c r="U1513" s="226"/>
    </row>
    <row r="1514" spans="16:21" x14ac:dyDescent="0.35">
      <c r="P1514" s="226"/>
      <c r="Q1514" s="226"/>
      <c r="R1514" s="226"/>
      <c r="S1514" s="226"/>
      <c r="T1514" s="226"/>
      <c r="U1514" s="226"/>
    </row>
    <row r="1515" spans="16:21" x14ac:dyDescent="0.35">
      <c r="P1515" s="226"/>
      <c r="Q1515" s="226"/>
      <c r="R1515" s="226"/>
      <c r="S1515" s="226"/>
      <c r="T1515" s="226"/>
      <c r="U1515" s="226"/>
    </row>
    <row r="1516" spans="16:21" x14ac:dyDescent="0.35">
      <c r="P1516" s="226"/>
      <c r="Q1516" s="226"/>
      <c r="R1516" s="226"/>
      <c r="S1516" s="226"/>
      <c r="T1516" s="226"/>
      <c r="U1516" s="226"/>
    </row>
    <row r="1517" spans="16:21" x14ac:dyDescent="0.35">
      <c r="P1517" s="226"/>
      <c r="Q1517" s="226"/>
      <c r="R1517" s="226"/>
      <c r="S1517" s="226"/>
      <c r="T1517" s="226"/>
      <c r="U1517" s="226"/>
    </row>
    <row r="1518" spans="16:21" x14ac:dyDescent="0.35">
      <c r="P1518" s="226"/>
      <c r="Q1518" s="226"/>
      <c r="R1518" s="226"/>
      <c r="S1518" s="226"/>
      <c r="T1518" s="226"/>
      <c r="U1518" s="226"/>
    </row>
    <row r="1519" spans="16:21" x14ac:dyDescent="0.35">
      <c r="P1519" s="226"/>
      <c r="Q1519" s="226"/>
      <c r="R1519" s="226"/>
      <c r="S1519" s="226"/>
      <c r="T1519" s="226"/>
      <c r="U1519" s="226"/>
    </row>
    <row r="1520" spans="16:21" x14ac:dyDescent="0.35">
      <c r="P1520" s="226"/>
      <c r="Q1520" s="226"/>
      <c r="R1520" s="226"/>
      <c r="S1520" s="226"/>
      <c r="T1520" s="226"/>
      <c r="U1520" s="226"/>
    </row>
    <row r="1521" spans="16:21" x14ac:dyDescent="0.35">
      <c r="P1521" s="226"/>
      <c r="Q1521" s="226"/>
      <c r="R1521" s="226"/>
      <c r="S1521" s="226"/>
      <c r="T1521" s="226"/>
      <c r="U1521" s="226"/>
    </row>
    <row r="1522" spans="16:21" x14ac:dyDescent="0.35">
      <c r="P1522" s="226"/>
      <c r="Q1522" s="226"/>
      <c r="R1522" s="226"/>
      <c r="S1522" s="226"/>
      <c r="T1522" s="226"/>
      <c r="U1522" s="226"/>
    </row>
    <row r="1523" spans="16:21" x14ac:dyDescent="0.35">
      <c r="P1523" s="226"/>
      <c r="Q1523" s="226"/>
      <c r="R1523" s="226"/>
      <c r="S1523" s="226"/>
      <c r="T1523" s="226"/>
      <c r="U1523" s="226"/>
    </row>
    <row r="1524" spans="16:21" x14ac:dyDescent="0.35">
      <c r="P1524" s="226"/>
      <c r="Q1524" s="226"/>
      <c r="R1524" s="226"/>
      <c r="S1524" s="226"/>
      <c r="T1524" s="226"/>
      <c r="U1524" s="226"/>
    </row>
    <row r="1525" spans="16:21" x14ac:dyDescent="0.35">
      <c r="P1525" s="226"/>
      <c r="Q1525" s="226"/>
      <c r="R1525" s="226"/>
      <c r="S1525" s="226"/>
      <c r="T1525" s="226"/>
      <c r="U1525" s="226"/>
    </row>
    <row r="1526" spans="16:21" x14ac:dyDescent="0.35">
      <c r="P1526" s="226"/>
      <c r="Q1526" s="226"/>
      <c r="R1526" s="226"/>
      <c r="S1526" s="226"/>
      <c r="T1526" s="226"/>
      <c r="U1526" s="226"/>
    </row>
    <row r="1527" spans="16:21" x14ac:dyDescent="0.35">
      <c r="P1527" s="226"/>
      <c r="Q1527" s="226"/>
      <c r="R1527" s="226"/>
      <c r="S1527" s="226"/>
      <c r="T1527" s="226"/>
      <c r="U1527" s="226"/>
    </row>
    <row r="1528" spans="16:21" x14ac:dyDescent="0.35">
      <c r="P1528" s="226"/>
      <c r="Q1528" s="226"/>
      <c r="R1528" s="226"/>
      <c r="S1528" s="226"/>
      <c r="T1528" s="226"/>
      <c r="U1528" s="226"/>
    </row>
    <row r="1529" spans="16:21" x14ac:dyDescent="0.35">
      <c r="P1529" s="226"/>
      <c r="Q1529" s="226"/>
      <c r="R1529" s="226"/>
      <c r="S1529" s="226"/>
      <c r="T1529" s="226"/>
      <c r="U1529" s="226"/>
    </row>
    <row r="1530" spans="16:21" x14ac:dyDescent="0.35">
      <c r="P1530" s="226"/>
      <c r="Q1530" s="226"/>
      <c r="R1530" s="226"/>
      <c r="S1530" s="226"/>
      <c r="T1530" s="226"/>
      <c r="U1530" s="226"/>
    </row>
    <row r="1531" spans="16:21" x14ac:dyDescent="0.35">
      <c r="P1531" s="226"/>
      <c r="Q1531" s="226"/>
      <c r="R1531" s="226"/>
      <c r="S1531" s="226"/>
      <c r="T1531" s="226"/>
      <c r="U1531" s="226"/>
    </row>
    <row r="1532" spans="16:21" x14ac:dyDescent="0.35">
      <c r="P1532" s="226"/>
      <c r="Q1532" s="226"/>
      <c r="R1532" s="226"/>
      <c r="S1532" s="226"/>
      <c r="T1532" s="226"/>
      <c r="U1532" s="226"/>
    </row>
    <row r="1533" spans="16:21" x14ac:dyDescent="0.35">
      <c r="P1533" s="226"/>
      <c r="Q1533" s="226"/>
      <c r="R1533" s="226"/>
      <c r="S1533" s="226"/>
      <c r="T1533" s="226"/>
      <c r="U1533" s="226"/>
    </row>
    <row r="1534" spans="16:21" x14ac:dyDescent="0.35">
      <c r="P1534" s="226"/>
      <c r="Q1534" s="226"/>
      <c r="R1534" s="226"/>
      <c r="S1534" s="226"/>
      <c r="T1534" s="226"/>
      <c r="U1534" s="226"/>
    </row>
    <row r="1535" spans="16:21" x14ac:dyDescent="0.35">
      <c r="P1535" s="226"/>
      <c r="Q1535" s="226"/>
      <c r="R1535" s="226"/>
      <c r="S1535" s="226"/>
      <c r="T1535" s="226"/>
      <c r="U1535" s="226"/>
    </row>
    <row r="1536" spans="16:21" x14ac:dyDescent="0.35">
      <c r="P1536" s="226"/>
      <c r="Q1536" s="226"/>
      <c r="R1536" s="226"/>
      <c r="S1536" s="226"/>
      <c r="T1536" s="226"/>
      <c r="U1536" s="226"/>
    </row>
    <row r="1537" spans="16:21" x14ac:dyDescent="0.35">
      <c r="P1537" s="226"/>
      <c r="Q1537" s="226"/>
      <c r="R1537" s="226"/>
      <c r="S1537" s="226"/>
      <c r="T1537" s="226"/>
      <c r="U1537" s="226"/>
    </row>
    <row r="1538" spans="16:21" x14ac:dyDescent="0.35">
      <c r="P1538" s="226"/>
      <c r="Q1538" s="226"/>
      <c r="R1538" s="226"/>
      <c r="S1538" s="226"/>
      <c r="T1538" s="226"/>
      <c r="U1538" s="226"/>
    </row>
    <row r="1539" spans="16:21" x14ac:dyDescent="0.35">
      <c r="P1539" s="226"/>
      <c r="Q1539" s="226"/>
      <c r="R1539" s="226"/>
      <c r="S1539" s="226"/>
      <c r="T1539" s="226"/>
      <c r="U1539" s="226"/>
    </row>
    <row r="1540" spans="16:21" x14ac:dyDescent="0.35">
      <c r="P1540" s="226"/>
      <c r="Q1540" s="226"/>
      <c r="R1540" s="226"/>
      <c r="S1540" s="226"/>
      <c r="T1540" s="226"/>
      <c r="U1540" s="226"/>
    </row>
    <row r="1541" spans="16:21" x14ac:dyDescent="0.35">
      <c r="P1541" s="226"/>
      <c r="Q1541" s="226"/>
      <c r="R1541" s="226"/>
      <c r="S1541" s="226"/>
      <c r="T1541" s="226"/>
      <c r="U1541" s="226"/>
    </row>
    <row r="1542" spans="16:21" x14ac:dyDescent="0.35">
      <c r="P1542" s="226"/>
      <c r="Q1542" s="226"/>
      <c r="R1542" s="226"/>
      <c r="S1542" s="226"/>
      <c r="T1542" s="226"/>
      <c r="U1542" s="226"/>
    </row>
    <row r="1543" spans="16:21" x14ac:dyDescent="0.35">
      <c r="P1543" s="226"/>
      <c r="Q1543" s="226"/>
      <c r="R1543" s="226"/>
      <c r="S1543" s="226"/>
      <c r="T1543" s="226"/>
      <c r="U1543" s="226"/>
    </row>
    <row r="1544" spans="16:21" x14ac:dyDescent="0.35">
      <c r="P1544" s="226"/>
      <c r="Q1544" s="226"/>
      <c r="R1544" s="226"/>
      <c r="S1544" s="226"/>
      <c r="T1544" s="226"/>
      <c r="U1544" s="226"/>
    </row>
    <row r="1545" spans="16:21" x14ac:dyDescent="0.35">
      <c r="P1545" s="226"/>
      <c r="Q1545" s="226"/>
      <c r="R1545" s="226"/>
      <c r="S1545" s="226"/>
      <c r="T1545" s="226"/>
      <c r="U1545" s="226"/>
    </row>
    <row r="1546" spans="16:21" x14ac:dyDescent="0.35">
      <c r="P1546" s="226"/>
      <c r="Q1546" s="226"/>
      <c r="R1546" s="226"/>
      <c r="S1546" s="226"/>
      <c r="T1546" s="226"/>
      <c r="U1546" s="226"/>
    </row>
    <row r="1547" spans="16:21" x14ac:dyDescent="0.35">
      <c r="P1547" s="226"/>
      <c r="Q1547" s="226"/>
      <c r="R1547" s="226"/>
      <c r="S1547" s="226"/>
      <c r="T1547" s="226"/>
      <c r="U1547" s="226"/>
    </row>
    <row r="1548" spans="16:21" x14ac:dyDescent="0.35">
      <c r="P1548" s="226"/>
      <c r="Q1548" s="226"/>
      <c r="R1548" s="226"/>
      <c r="S1548" s="226"/>
      <c r="T1548" s="226"/>
      <c r="U1548" s="226"/>
    </row>
    <row r="1549" spans="16:21" x14ac:dyDescent="0.35">
      <c r="P1549" s="226"/>
      <c r="Q1549" s="226"/>
      <c r="R1549" s="226"/>
      <c r="S1549" s="226"/>
      <c r="T1549" s="226"/>
      <c r="U1549" s="226"/>
    </row>
    <row r="1550" spans="16:21" x14ac:dyDescent="0.35">
      <c r="P1550" s="226"/>
      <c r="Q1550" s="226"/>
      <c r="R1550" s="226"/>
      <c r="S1550" s="226"/>
      <c r="T1550" s="226"/>
      <c r="U1550" s="226"/>
    </row>
    <row r="1551" spans="16:21" x14ac:dyDescent="0.35">
      <c r="P1551" s="226"/>
      <c r="Q1551" s="226"/>
      <c r="R1551" s="226"/>
      <c r="S1551" s="226"/>
      <c r="T1551" s="226"/>
      <c r="U1551" s="226"/>
    </row>
    <row r="1552" spans="16:21" x14ac:dyDescent="0.35">
      <c r="P1552" s="226"/>
      <c r="Q1552" s="226"/>
      <c r="R1552" s="226"/>
      <c r="S1552" s="226"/>
      <c r="T1552" s="226"/>
      <c r="U1552" s="226"/>
    </row>
    <row r="1553" spans="16:21" x14ac:dyDescent="0.35">
      <c r="P1553" s="226"/>
      <c r="Q1553" s="226"/>
      <c r="R1553" s="226"/>
      <c r="S1553" s="226"/>
      <c r="T1553" s="226"/>
      <c r="U1553" s="226"/>
    </row>
    <row r="1554" spans="16:21" x14ac:dyDescent="0.35">
      <c r="P1554" s="226"/>
      <c r="Q1554" s="226"/>
      <c r="R1554" s="226"/>
      <c r="S1554" s="226"/>
      <c r="T1554" s="226"/>
      <c r="U1554" s="226"/>
    </row>
    <row r="1555" spans="16:21" x14ac:dyDescent="0.35">
      <c r="P1555" s="226"/>
      <c r="Q1555" s="226"/>
      <c r="R1555" s="226"/>
      <c r="S1555" s="226"/>
      <c r="T1555" s="226"/>
      <c r="U1555" s="226"/>
    </row>
    <row r="1556" spans="16:21" x14ac:dyDescent="0.35">
      <c r="P1556" s="226"/>
      <c r="Q1556" s="226"/>
      <c r="R1556" s="226"/>
      <c r="S1556" s="226"/>
      <c r="T1556" s="226"/>
      <c r="U1556" s="226"/>
    </row>
    <row r="1557" spans="16:21" x14ac:dyDescent="0.35">
      <c r="P1557" s="226"/>
      <c r="Q1557" s="226"/>
      <c r="R1557" s="226"/>
      <c r="S1557" s="226"/>
      <c r="T1557" s="226"/>
      <c r="U1557" s="226"/>
    </row>
    <row r="1558" spans="16:21" x14ac:dyDescent="0.35">
      <c r="P1558" s="226"/>
      <c r="Q1558" s="226"/>
      <c r="R1558" s="226"/>
      <c r="S1558" s="226"/>
      <c r="T1558" s="226"/>
      <c r="U1558" s="226"/>
    </row>
    <row r="1559" spans="16:21" x14ac:dyDescent="0.35">
      <c r="P1559" s="226"/>
      <c r="Q1559" s="226"/>
      <c r="R1559" s="226"/>
      <c r="S1559" s="226"/>
      <c r="T1559" s="226"/>
      <c r="U1559" s="226"/>
    </row>
    <row r="1560" spans="16:21" x14ac:dyDescent="0.35">
      <c r="P1560" s="226"/>
      <c r="Q1560" s="226"/>
      <c r="R1560" s="226"/>
      <c r="S1560" s="226"/>
      <c r="T1560" s="226"/>
      <c r="U1560" s="226"/>
    </row>
    <row r="1561" spans="16:21" x14ac:dyDescent="0.35">
      <c r="P1561" s="226"/>
      <c r="Q1561" s="226"/>
      <c r="R1561" s="226"/>
      <c r="S1561" s="226"/>
      <c r="T1561" s="226"/>
      <c r="U1561" s="226"/>
    </row>
    <row r="1562" spans="16:21" x14ac:dyDescent="0.35">
      <c r="P1562" s="226"/>
      <c r="Q1562" s="226"/>
      <c r="R1562" s="226"/>
      <c r="S1562" s="226"/>
      <c r="T1562" s="226"/>
      <c r="U1562" s="226"/>
    </row>
    <row r="1563" spans="16:21" x14ac:dyDescent="0.35">
      <c r="P1563" s="226"/>
      <c r="Q1563" s="226"/>
      <c r="R1563" s="226"/>
      <c r="S1563" s="226"/>
      <c r="T1563" s="226"/>
      <c r="U1563" s="226"/>
    </row>
    <row r="1564" spans="16:21" x14ac:dyDescent="0.35">
      <c r="P1564" s="226"/>
      <c r="Q1564" s="226"/>
      <c r="R1564" s="226"/>
      <c r="S1564" s="226"/>
      <c r="T1564" s="226"/>
      <c r="U1564" s="226"/>
    </row>
    <row r="1565" spans="16:21" x14ac:dyDescent="0.35">
      <c r="P1565" s="226"/>
      <c r="Q1565" s="226"/>
      <c r="R1565" s="226"/>
      <c r="S1565" s="226"/>
      <c r="T1565" s="226"/>
      <c r="U1565" s="226"/>
    </row>
    <row r="1566" spans="16:21" x14ac:dyDescent="0.35">
      <c r="P1566" s="226"/>
      <c r="Q1566" s="226"/>
      <c r="R1566" s="226"/>
      <c r="S1566" s="226"/>
      <c r="T1566" s="226"/>
      <c r="U1566" s="226"/>
    </row>
    <row r="1567" spans="16:21" x14ac:dyDescent="0.35">
      <c r="P1567" s="226"/>
      <c r="Q1567" s="226"/>
      <c r="R1567" s="226"/>
      <c r="S1567" s="226"/>
      <c r="T1567" s="226"/>
      <c r="U1567" s="226"/>
    </row>
    <row r="1568" spans="16:21" x14ac:dyDescent="0.35">
      <c r="P1568" s="226"/>
      <c r="Q1568" s="226"/>
      <c r="R1568" s="226"/>
      <c r="S1568" s="226"/>
      <c r="T1568" s="226"/>
      <c r="U1568" s="226"/>
    </row>
    <row r="1569" spans="16:21" x14ac:dyDescent="0.35">
      <c r="P1569" s="226"/>
      <c r="Q1569" s="226"/>
      <c r="R1569" s="226"/>
      <c r="S1569" s="226"/>
      <c r="T1569" s="226"/>
      <c r="U1569" s="226"/>
    </row>
    <row r="1570" spans="16:21" x14ac:dyDescent="0.35">
      <c r="P1570" s="226"/>
      <c r="Q1570" s="226"/>
      <c r="R1570" s="226"/>
      <c r="S1570" s="226"/>
      <c r="T1570" s="226"/>
      <c r="U1570" s="226"/>
    </row>
    <row r="1571" spans="16:21" x14ac:dyDescent="0.35">
      <c r="P1571" s="226"/>
      <c r="Q1571" s="226"/>
      <c r="R1571" s="226"/>
      <c r="S1571" s="226"/>
      <c r="T1571" s="226"/>
      <c r="U1571" s="226"/>
    </row>
    <row r="1572" spans="16:21" x14ac:dyDescent="0.35">
      <c r="P1572" s="226"/>
      <c r="Q1572" s="226"/>
      <c r="R1572" s="226"/>
      <c r="S1572" s="226"/>
      <c r="T1572" s="226"/>
      <c r="U1572" s="226"/>
    </row>
    <row r="1573" spans="16:21" x14ac:dyDescent="0.35">
      <c r="P1573" s="226"/>
      <c r="Q1573" s="226"/>
      <c r="R1573" s="226"/>
      <c r="S1573" s="226"/>
      <c r="T1573" s="226"/>
      <c r="U1573" s="226"/>
    </row>
    <row r="1574" spans="16:21" x14ac:dyDescent="0.35">
      <c r="P1574" s="226"/>
      <c r="Q1574" s="226"/>
      <c r="R1574" s="226"/>
      <c r="S1574" s="226"/>
      <c r="T1574" s="226"/>
      <c r="U1574" s="226"/>
    </row>
    <row r="1575" spans="16:21" x14ac:dyDescent="0.35">
      <c r="P1575" s="226"/>
      <c r="Q1575" s="226"/>
      <c r="R1575" s="226"/>
      <c r="S1575" s="226"/>
      <c r="T1575" s="226"/>
      <c r="U1575" s="226"/>
    </row>
    <row r="1576" spans="16:21" x14ac:dyDescent="0.35">
      <c r="P1576" s="226"/>
      <c r="Q1576" s="226"/>
      <c r="R1576" s="226"/>
      <c r="S1576" s="226"/>
      <c r="T1576" s="226"/>
      <c r="U1576" s="226"/>
    </row>
    <row r="1577" spans="16:21" x14ac:dyDescent="0.35">
      <c r="P1577" s="226"/>
      <c r="Q1577" s="226"/>
      <c r="R1577" s="226"/>
      <c r="S1577" s="226"/>
      <c r="T1577" s="226"/>
      <c r="U1577" s="226"/>
    </row>
    <row r="1578" spans="16:21" x14ac:dyDescent="0.35">
      <c r="P1578" s="226"/>
      <c r="Q1578" s="226"/>
      <c r="R1578" s="226"/>
      <c r="S1578" s="226"/>
      <c r="T1578" s="226"/>
      <c r="U1578" s="226"/>
    </row>
    <row r="1579" spans="16:21" x14ac:dyDescent="0.35">
      <c r="P1579" s="226"/>
      <c r="Q1579" s="226"/>
      <c r="R1579" s="226"/>
      <c r="S1579" s="226"/>
      <c r="T1579" s="226"/>
      <c r="U1579" s="226"/>
    </row>
    <row r="1580" spans="16:21" x14ac:dyDescent="0.35">
      <c r="P1580" s="226"/>
      <c r="Q1580" s="226"/>
      <c r="R1580" s="226"/>
      <c r="S1580" s="226"/>
      <c r="T1580" s="226"/>
      <c r="U1580" s="226"/>
    </row>
    <row r="1581" spans="16:21" x14ac:dyDescent="0.35">
      <c r="P1581" s="226"/>
      <c r="Q1581" s="226"/>
      <c r="R1581" s="226"/>
      <c r="S1581" s="226"/>
      <c r="T1581" s="226"/>
      <c r="U1581" s="226"/>
    </row>
    <row r="1582" spans="16:21" x14ac:dyDescent="0.35">
      <c r="P1582" s="226"/>
      <c r="Q1582" s="226"/>
      <c r="R1582" s="226"/>
      <c r="S1582" s="226"/>
      <c r="T1582" s="226"/>
      <c r="U1582" s="226"/>
    </row>
    <row r="1583" spans="16:21" x14ac:dyDescent="0.35">
      <c r="P1583" s="226"/>
      <c r="Q1583" s="226"/>
      <c r="R1583" s="226"/>
      <c r="S1583" s="226"/>
      <c r="T1583" s="226"/>
      <c r="U1583" s="226"/>
    </row>
    <row r="1584" spans="16:21" x14ac:dyDescent="0.35">
      <c r="P1584" s="226"/>
      <c r="Q1584" s="226"/>
      <c r="R1584" s="226"/>
      <c r="S1584" s="226"/>
      <c r="T1584" s="226"/>
      <c r="U1584" s="226"/>
    </row>
    <row r="1585" spans="16:21" x14ac:dyDescent="0.35">
      <c r="P1585" s="226"/>
      <c r="Q1585" s="226"/>
      <c r="R1585" s="226"/>
      <c r="S1585" s="226"/>
      <c r="T1585" s="226"/>
      <c r="U1585" s="226"/>
    </row>
    <row r="1586" spans="16:21" x14ac:dyDescent="0.35">
      <c r="P1586" s="226"/>
      <c r="Q1586" s="226"/>
      <c r="R1586" s="226"/>
      <c r="S1586" s="226"/>
      <c r="T1586" s="226"/>
      <c r="U1586" s="226"/>
    </row>
    <row r="1587" spans="16:21" x14ac:dyDescent="0.35">
      <c r="P1587" s="226"/>
      <c r="Q1587" s="226"/>
      <c r="R1587" s="226"/>
      <c r="S1587" s="226"/>
      <c r="T1587" s="226"/>
      <c r="U1587" s="226"/>
    </row>
    <row r="1588" spans="16:21" x14ac:dyDescent="0.35">
      <c r="P1588" s="226"/>
      <c r="Q1588" s="226"/>
      <c r="R1588" s="226"/>
      <c r="S1588" s="226"/>
      <c r="T1588" s="226"/>
      <c r="U1588" s="226"/>
    </row>
    <row r="1589" spans="16:21" x14ac:dyDescent="0.35">
      <c r="P1589" s="226"/>
      <c r="Q1589" s="226"/>
      <c r="R1589" s="226"/>
      <c r="S1589" s="226"/>
      <c r="T1589" s="226"/>
      <c r="U1589" s="226"/>
    </row>
    <row r="1590" spans="16:21" x14ac:dyDescent="0.35">
      <c r="P1590" s="226"/>
      <c r="Q1590" s="226"/>
      <c r="R1590" s="226"/>
      <c r="S1590" s="226"/>
      <c r="T1590" s="226"/>
      <c r="U1590" s="226"/>
    </row>
    <row r="1591" spans="16:21" x14ac:dyDescent="0.35">
      <c r="P1591" s="226"/>
      <c r="Q1591" s="226"/>
      <c r="R1591" s="226"/>
      <c r="S1591" s="226"/>
      <c r="T1591" s="226"/>
      <c r="U1591" s="226"/>
    </row>
    <row r="1592" spans="16:21" x14ac:dyDescent="0.35">
      <c r="P1592" s="226"/>
      <c r="Q1592" s="226"/>
      <c r="R1592" s="226"/>
      <c r="S1592" s="226"/>
      <c r="T1592" s="226"/>
      <c r="U1592" s="226"/>
    </row>
    <row r="1593" spans="16:21" x14ac:dyDescent="0.35">
      <c r="P1593" s="226"/>
      <c r="Q1593" s="226"/>
      <c r="R1593" s="226"/>
      <c r="S1593" s="226"/>
      <c r="T1593" s="226"/>
      <c r="U1593" s="226"/>
    </row>
    <row r="1594" spans="16:21" x14ac:dyDescent="0.35">
      <c r="P1594" s="226"/>
      <c r="Q1594" s="226"/>
      <c r="R1594" s="226"/>
      <c r="S1594" s="226"/>
      <c r="T1594" s="226"/>
      <c r="U1594" s="226"/>
    </row>
    <row r="1595" spans="16:21" x14ac:dyDescent="0.35">
      <c r="P1595" s="226"/>
      <c r="Q1595" s="226"/>
      <c r="R1595" s="226"/>
      <c r="S1595" s="226"/>
      <c r="T1595" s="226"/>
      <c r="U1595" s="226"/>
    </row>
    <row r="1596" spans="16:21" x14ac:dyDescent="0.35">
      <c r="P1596" s="226"/>
      <c r="Q1596" s="226"/>
      <c r="R1596" s="226"/>
      <c r="S1596" s="226"/>
      <c r="T1596" s="226"/>
      <c r="U1596" s="226"/>
    </row>
    <row r="1597" spans="16:21" x14ac:dyDescent="0.35">
      <c r="P1597" s="226"/>
      <c r="Q1597" s="226"/>
      <c r="R1597" s="226"/>
      <c r="S1597" s="226"/>
      <c r="T1597" s="226"/>
      <c r="U1597" s="226"/>
    </row>
    <row r="1598" spans="16:21" x14ac:dyDescent="0.35">
      <c r="P1598" s="226"/>
      <c r="Q1598" s="226"/>
      <c r="R1598" s="226"/>
      <c r="S1598" s="226"/>
      <c r="T1598" s="226"/>
      <c r="U1598" s="226"/>
    </row>
    <row r="1599" spans="16:21" x14ac:dyDescent="0.35">
      <c r="P1599" s="226"/>
      <c r="Q1599" s="226"/>
      <c r="R1599" s="226"/>
      <c r="S1599" s="226"/>
      <c r="T1599" s="226"/>
      <c r="U1599" s="226"/>
    </row>
    <row r="1600" spans="16:21" x14ac:dyDescent="0.35">
      <c r="P1600" s="226"/>
      <c r="Q1600" s="226"/>
      <c r="R1600" s="226"/>
      <c r="S1600" s="226"/>
      <c r="T1600" s="226"/>
      <c r="U1600" s="226"/>
    </row>
    <row r="1601" spans="16:21" x14ac:dyDescent="0.35">
      <c r="P1601" s="226"/>
      <c r="Q1601" s="226"/>
      <c r="R1601" s="226"/>
      <c r="S1601" s="226"/>
      <c r="T1601" s="226"/>
      <c r="U1601" s="226"/>
    </row>
    <row r="1602" spans="16:21" x14ac:dyDescent="0.35">
      <c r="P1602" s="226"/>
      <c r="Q1602" s="226"/>
      <c r="R1602" s="226"/>
      <c r="S1602" s="226"/>
      <c r="T1602" s="226"/>
      <c r="U1602" s="226"/>
    </row>
    <row r="1603" spans="16:21" x14ac:dyDescent="0.35">
      <c r="P1603" s="226"/>
      <c r="Q1603" s="226"/>
      <c r="R1603" s="226"/>
      <c r="S1603" s="226"/>
      <c r="T1603" s="226"/>
      <c r="U1603" s="226"/>
    </row>
    <row r="1604" spans="16:21" x14ac:dyDescent="0.35">
      <c r="P1604" s="226"/>
      <c r="Q1604" s="226"/>
      <c r="R1604" s="226"/>
      <c r="S1604" s="226"/>
      <c r="T1604" s="226"/>
      <c r="U1604" s="226"/>
    </row>
    <row r="1605" spans="16:21" x14ac:dyDescent="0.35">
      <c r="P1605" s="226"/>
      <c r="Q1605" s="226"/>
      <c r="R1605" s="226"/>
      <c r="S1605" s="226"/>
      <c r="T1605" s="226"/>
      <c r="U1605" s="226"/>
    </row>
    <row r="1606" spans="16:21" x14ac:dyDescent="0.35">
      <c r="P1606" s="226"/>
      <c r="Q1606" s="226"/>
      <c r="R1606" s="226"/>
      <c r="S1606" s="226"/>
      <c r="T1606" s="226"/>
      <c r="U1606" s="226"/>
    </row>
    <row r="1607" spans="16:21" x14ac:dyDescent="0.35">
      <c r="P1607" s="226"/>
      <c r="Q1607" s="226"/>
      <c r="R1607" s="226"/>
      <c r="S1607" s="226"/>
      <c r="T1607" s="226"/>
      <c r="U1607" s="226"/>
    </row>
    <row r="1608" spans="16:21" x14ac:dyDescent="0.35">
      <c r="P1608" s="226"/>
      <c r="Q1608" s="226"/>
      <c r="R1608" s="226"/>
      <c r="S1608" s="226"/>
      <c r="T1608" s="226"/>
      <c r="U1608" s="226"/>
    </row>
    <row r="1609" spans="16:21" x14ac:dyDescent="0.35">
      <c r="P1609" s="226"/>
      <c r="Q1609" s="226"/>
      <c r="R1609" s="226"/>
      <c r="S1609" s="226"/>
      <c r="T1609" s="226"/>
      <c r="U1609" s="226"/>
    </row>
    <row r="1610" spans="16:21" x14ac:dyDescent="0.35">
      <c r="P1610" s="226"/>
      <c r="Q1610" s="226"/>
      <c r="R1610" s="226"/>
      <c r="S1610" s="226"/>
      <c r="T1610" s="226"/>
      <c r="U1610" s="226"/>
    </row>
    <row r="1611" spans="16:21" x14ac:dyDescent="0.35">
      <c r="P1611" s="226"/>
      <c r="Q1611" s="226"/>
      <c r="R1611" s="226"/>
      <c r="S1611" s="226"/>
      <c r="T1611" s="226"/>
      <c r="U1611" s="226"/>
    </row>
    <row r="1612" spans="16:21" x14ac:dyDescent="0.35">
      <c r="P1612" s="226"/>
      <c r="Q1612" s="226"/>
      <c r="R1612" s="226"/>
      <c r="S1612" s="226"/>
      <c r="T1612" s="226"/>
      <c r="U1612" s="226"/>
    </row>
    <row r="1613" spans="16:21" x14ac:dyDescent="0.35">
      <c r="P1613" s="226"/>
      <c r="Q1613" s="226"/>
      <c r="R1613" s="226"/>
      <c r="S1613" s="226"/>
      <c r="T1613" s="226"/>
      <c r="U1613" s="226"/>
    </row>
    <row r="1614" spans="16:21" x14ac:dyDescent="0.35">
      <c r="P1614" s="226"/>
      <c r="Q1614" s="226"/>
      <c r="R1614" s="226"/>
      <c r="S1614" s="226"/>
      <c r="T1614" s="226"/>
      <c r="U1614" s="226"/>
    </row>
    <row r="1615" spans="16:21" x14ac:dyDescent="0.35">
      <c r="P1615" s="226"/>
      <c r="Q1615" s="226"/>
      <c r="R1615" s="226"/>
      <c r="S1615" s="226"/>
      <c r="T1615" s="226"/>
      <c r="U1615" s="226"/>
    </row>
    <row r="1616" spans="16:21" x14ac:dyDescent="0.35">
      <c r="P1616" s="226"/>
      <c r="Q1616" s="226"/>
      <c r="R1616" s="226"/>
      <c r="S1616" s="226"/>
      <c r="T1616" s="226"/>
      <c r="U1616" s="226"/>
    </row>
    <row r="1617" spans="16:21" x14ac:dyDescent="0.35">
      <c r="P1617" s="226"/>
      <c r="Q1617" s="226"/>
      <c r="R1617" s="226"/>
      <c r="S1617" s="226"/>
      <c r="T1617" s="226"/>
      <c r="U1617" s="226"/>
    </row>
    <row r="1618" spans="16:21" x14ac:dyDescent="0.35">
      <c r="P1618" s="226"/>
      <c r="Q1618" s="226"/>
      <c r="R1618" s="226"/>
      <c r="S1618" s="226"/>
      <c r="T1618" s="226"/>
      <c r="U1618" s="226"/>
    </row>
    <row r="1619" spans="16:21" x14ac:dyDescent="0.35">
      <c r="P1619" s="226"/>
      <c r="Q1619" s="226"/>
      <c r="R1619" s="226"/>
      <c r="S1619" s="226"/>
      <c r="T1619" s="226"/>
      <c r="U1619" s="226"/>
    </row>
    <row r="1620" spans="16:21" x14ac:dyDescent="0.35">
      <c r="P1620" s="226"/>
      <c r="Q1620" s="226"/>
      <c r="R1620" s="226"/>
      <c r="S1620" s="226"/>
      <c r="T1620" s="226"/>
      <c r="U1620" s="226"/>
    </row>
    <row r="1621" spans="16:21" x14ac:dyDescent="0.35">
      <c r="P1621" s="226"/>
      <c r="Q1621" s="226"/>
      <c r="R1621" s="226"/>
      <c r="S1621" s="226"/>
      <c r="T1621" s="226"/>
      <c r="U1621" s="226"/>
    </row>
    <row r="1622" spans="16:21" x14ac:dyDescent="0.35">
      <c r="P1622" s="226"/>
      <c r="Q1622" s="226"/>
      <c r="R1622" s="226"/>
      <c r="S1622" s="226"/>
      <c r="T1622" s="226"/>
      <c r="U1622" s="226"/>
    </row>
    <row r="1623" spans="16:21" x14ac:dyDescent="0.35">
      <c r="P1623" s="226"/>
      <c r="Q1623" s="226"/>
      <c r="R1623" s="226"/>
      <c r="S1623" s="226"/>
      <c r="T1623" s="226"/>
      <c r="U1623" s="226"/>
    </row>
    <row r="1624" spans="16:21" x14ac:dyDescent="0.35">
      <c r="P1624" s="226"/>
      <c r="Q1624" s="226"/>
      <c r="R1624" s="226"/>
      <c r="S1624" s="226"/>
      <c r="T1624" s="226"/>
      <c r="U1624" s="226"/>
    </row>
    <row r="1625" spans="16:21" x14ac:dyDescent="0.35">
      <c r="P1625" s="226"/>
      <c r="Q1625" s="226"/>
      <c r="R1625" s="226"/>
      <c r="S1625" s="226"/>
      <c r="T1625" s="226"/>
      <c r="U1625" s="226"/>
    </row>
    <row r="1626" spans="16:21" x14ac:dyDescent="0.35">
      <c r="P1626" s="226"/>
      <c r="Q1626" s="226"/>
      <c r="R1626" s="226"/>
      <c r="S1626" s="226"/>
      <c r="T1626" s="226"/>
      <c r="U1626" s="226"/>
    </row>
    <row r="1627" spans="16:21" x14ac:dyDescent="0.35">
      <c r="P1627" s="226"/>
      <c r="Q1627" s="226"/>
      <c r="R1627" s="226"/>
      <c r="S1627" s="226"/>
      <c r="T1627" s="226"/>
      <c r="U1627" s="226"/>
    </row>
    <row r="1628" spans="16:21" x14ac:dyDescent="0.35">
      <c r="P1628" s="226"/>
      <c r="Q1628" s="226"/>
      <c r="R1628" s="226"/>
      <c r="S1628" s="226"/>
      <c r="T1628" s="226"/>
      <c r="U1628" s="226"/>
    </row>
    <row r="1629" spans="16:21" x14ac:dyDescent="0.35">
      <c r="P1629" s="226"/>
      <c r="Q1629" s="226"/>
      <c r="R1629" s="226"/>
      <c r="S1629" s="226"/>
      <c r="T1629" s="226"/>
      <c r="U1629" s="226"/>
    </row>
    <row r="1630" spans="16:21" x14ac:dyDescent="0.35">
      <c r="P1630" s="226"/>
      <c r="Q1630" s="226"/>
      <c r="R1630" s="226"/>
      <c r="S1630" s="226"/>
      <c r="T1630" s="226"/>
      <c r="U1630" s="226"/>
    </row>
    <row r="1631" spans="16:21" x14ac:dyDescent="0.35">
      <c r="P1631" s="226"/>
      <c r="Q1631" s="226"/>
      <c r="R1631" s="226"/>
      <c r="S1631" s="226"/>
      <c r="T1631" s="226"/>
      <c r="U1631" s="226"/>
    </row>
    <row r="1632" spans="16:21" x14ac:dyDescent="0.35">
      <c r="P1632" s="226"/>
      <c r="Q1632" s="226"/>
      <c r="R1632" s="226"/>
      <c r="S1632" s="226"/>
      <c r="T1632" s="226"/>
      <c r="U1632" s="226"/>
    </row>
    <row r="1633" spans="16:21" x14ac:dyDescent="0.35">
      <c r="P1633" s="226"/>
      <c r="Q1633" s="226"/>
      <c r="R1633" s="226"/>
      <c r="S1633" s="226"/>
      <c r="T1633" s="226"/>
      <c r="U1633" s="226"/>
    </row>
    <row r="1634" spans="16:21" x14ac:dyDescent="0.35">
      <c r="P1634" s="226"/>
      <c r="Q1634" s="226"/>
      <c r="R1634" s="226"/>
      <c r="S1634" s="226"/>
      <c r="T1634" s="226"/>
      <c r="U1634" s="226"/>
    </row>
    <row r="1635" spans="16:21" x14ac:dyDescent="0.35">
      <c r="P1635" s="226"/>
      <c r="Q1635" s="226"/>
      <c r="R1635" s="226"/>
      <c r="S1635" s="226"/>
      <c r="T1635" s="226"/>
      <c r="U1635" s="226"/>
    </row>
    <row r="1636" spans="16:21" x14ac:dyDescent="0.35">
      <c r="P1636" s="226"/>
      <c r="Q1636" s="226"/>
      <c r="R1636" s="226"/>
      <c r="S1636" s="226"/>
      <c r="T1636" s="226"/>
      <c r="U1636" s="226"/>
    </row>
    <row r="1637" spans="16:21" x14ac:dyDescent="0.35">
      <c r="P1637" s="226"/>
      <c r="Q1637" s="226"/>
      <c r="R1637" s="226"/>
      <c r="S1637" s="226"/>
      <c r="T1637" s="226"/>
      <c r="U1637" s="226"/>
    </row>
    <row r="1638" spans="16:21" x14ac:dyDescent="0.35">
      <c r="P1638" s="226"/>
      <c r="Q1638" s="226"/>
      <c r="R1638" s="226"/>
      <c r="S1638" s="226"/>
      <c r="T1638" s="226"/>
      <c r="U1638" s="226"/>
    </row>
    <row r="1639" spans="16:21" x14ac:dyDescent="0.35">
      <c r="P1639" s="226"/>
      <c r="Q1639" s="226"/>
      <c r="R1639" s="226"/>
      <c r="S1639" s="226"/>
      <c r="T1639" s="226"/>
      <c r="U1639" s="226"/>
    </row>
    <row r="1640" spans="16:21" x14ac:dyDescent="0.35">
      <c r="P1640" s="226"/>
      <c r="Q1640" s="226"/>
      <c r="R1640" s="226"/>
      <c r="S1640" s="226"/>
      <c r="T1640" s="226"/>
      <c r="U1640" s="226"/>
    </row>
    <row r="1641" spans="16:21" x14ac:dyDescent="0.35">
      <c r="P1641" s="226"/>
      <c r="Q1641" s="226"/>
      <c r="R1641" s="226"/>
      <c r="S1641" s="226"/>
      <c r="T1641" s="226"/>
      <c r="U1641" s="226"/>
    </row>
    <row r="1642" spans="16:21" x14ac:dyDescent="0.35">
      <c r="P1642" s="226"/>
      <c r="Q1642" s="226"/>
      <c r="R1642" s="226"/>
      <c r="S1642" s="226"/>
      <c r="T1642" s="226"/>
      <c r="U1642" s="226"/>
    </row>
    <row r="1643" spans="16:21" x14ac:dyDescent="0.35">
      <c r="P1643" s="226"/>
      <c r="Q1643" s="226"/>
      <c r="R1643" s="226"/>
      <c r="S1643" s="226"/>
      <c r="T1643" s="226"/>
      <c r="U1643" s="226"/>
    </row>
    <row r="1644" spans="16:21" x14ac:dyDescent="0.35">
      <c r="P1644" s="226"/>
      <c r="Q1644" s="226"/>
      <c r="R1644" s="226"/>
      <c r="S1644" s="226"/>
      <c r="T1644" s="226"/>
      <c r="U1644" s="226"/>
    </row>
    <row r="1645" spans="16:21" x14ac:dyDescent="0.35">
      <c r="P1645" s="226"/>
      <c r="Q1645" s="226"/>
      <c r="R1645" s="226"/>
      <c r="S1645" s="226"/>
      <c r="T1645" s="226"/>
      <c r="U1645" s="226"/>
    </row>
    <row r="1646" spans="16:21" x14ac:dyDescent="0.35">
      <c r="P1646" s="226"/>
      <c r="Q1646" s="226"/>
      <c r="R1646" s="226"/>
      <c r="S1646" s="226"/>
      <c r="T1646" s="226"/>
      <c r="U1646" s="226"/>
    </row>
    <row r="1647" spans="16:21" x14ac:dyDescent="0.35">
      <c r="P1647" s="226"/>
      <c r="Q1647" s="226"/>
      <c r="R1647" s="226"/>
      <c r="S1647" s="226"/>
      <c r="T1647" s="226"/>
      <c r="U1647" s="226"/>
    </row>
    <row r="1648" spans="16:21" x14ac:dyDescent="0.35">
      <c r="P1648" s="226"/>
      <c r="Q1648" s="226"/>
      <c r="R1648" s="226"/>
      <c r="S1648" s="226"/>
      <c r="T1648" s="226"/>
      <c r="U1648" s="226"/>
    </row>
    <row r="1649" spans="16:21" x14ac:dyDescent="0.35">
      <c r="P1649" s="226"/>
      <c r="Q1649" s="226"/>
      <c r="R1649" s="226"/>
      <c r="S1649" s="226"/>
      <c r="T1649" s="226"/>
      <c r="U1649" s="226"/>
    </row>
    <row r="1650" spans="16:21" x14ac:dyDescent="0.35">
      <c r="P1650" s="226"/>
      <c r="Q1650" s="226"/>
      <c r="R1650" s="226"/>
      <c r="S1650" s="226"/>
      <c r="T1650" s="226"/>
      <c r="U1650" s="226"/>
    </row>
    <row r="1651" spans="16:21" x14ac:dyDescent="0.35">
      <c r="P1651" s="226"/>
      <c r="Q1651" s="226"/>
      <c r="R1651" s="226"/>
      <c r="S1651" s="226"/>
      <c r="T1651" s="226"/>
      <c r="U1651" s="226"/>
    </row>
    <row r="1652" spans="16:21" x14ac:dyDescent="0.35">
      <c r="P1652" s="226"/>
      <c r="Q1652" s="226"/>
      <c r="R1652" s="226"/>
      <c r="S1652" s="226"/>
      <c r="T1652" s="226"/>
      <c r="U1652" s="226"/>
    </row>
    <row r="1653" spans="16:21" x14ac:dyDescent="0.35">
      <c r="P1653" s="226"/>
      <c r="Q1653" s="226"/>
      <c r="R1653" s="226"/>
      <c r="S1653" s="226"/>
      <c r="T1653" s="226"/>
      <c r="U1653" s="226"/>
    </row>
    <row r="1654" spans="16:21" x14ac:dyDescent="0.35">
      <c r="P1654" s="226"/>
      <c r="Q1654" s="226"/>
      <c r="R1654" s="226"/>
      <c r="S1654" s="226"/>
      <c r="T1654" s="226"/>
      <c r="U1654" s="226"/>
    </row>
    <row r="1655" spans="16:21" x14ac:dyDescent="0.35">
      <c r="P1655" s="226"/>
      <c r="Q1655" s="226"/>
      <c r="R1655" s="226"/>
      <c r="S1655" s="226"/>
      <c r="T1655" s="226"/>
      <c r="U1655" s="226"/>
    </row>
    <row r="1656" spans="16:21" x14ac:dyDescent="0.35">
      <c r="P1656" s="226"/>
      <c r="Q1656" s="226"/>
      <c r="R1656" s="226"/>
      <c r="S1656" s="226"/>
      <c r="T1656" s="226"/>
      <c r="U1656" s="226"/>
    </row>
    <row r="1657" spans="16:21" x14ac:dyDescent="0.35">
      <c r="P1657" s="226"/>
      <c r="Q1657" s="226"/>
      <c r="R1657" s="226"/>
      <c r="S1657" s="226"/>
      <c r="T1657" s="226"/>
      <c r="U1657" s="226"/>
    </row>
    <row r="1658" spans="16:21" x14ac:dyDescent="0.35">
      <c r="P1658" s="226"/>
      <c r="Q1658" s="226"/>
      <c r="R1658" s="226"/>
      <c r="S1658" s="226"/>
      <c r="T1658" s="226"/>
      <c r="U1658" s="226"/>
    </row>
    <row r="1659" spans="16:21" x14ac:dyDescent="0.35">
      <c r="P1659" s="226"/>
      <c r="Q1659" s="226"/>
      <c r="R1659" s="226"/>
      <c r="S1659" s="226"/>
      <c r="T1659" s="226"/>
      <c r="U1659" s="226"/>
    </row>
    <row r="1660" spans="16:21" x14ac:dyDescent="0.35">
      <c r="P1660" s="226"/>
      <c r="Q1660" s="226"/>
      <c r="R1660" s="226"/>
      <c r="S1660" s="226"/>
      <c r="T1660" s="226"/>
      <c r="U1660" s="226"/>
    </row>
    <row r="1661" spans="16:21" x14ac:dyDescent="0.35">
      <c r="P1661" s="226"/>
      <c r="Q1661" s="226"/>
      <c r="R1661" s="226"/>
      <c r="S1661" s="226"/>
      <c r="T1661" s="226"/>
      <c r="U1661" s="226"/>
    </row>
    <row r="1662" spans="16:21" x14ac:dyDescent="0.35">
      <c r="P1662" s="226"/>
      <c r="Q1662" s="226"/>
      <c r="R1662" s="226"/>
      <c r="S1662" s="226"/>
      <c r="T1662" s="226"/>
      <c r="U1662" s="226"/>
    </row>
    <row r="1663" spans="16:21" x14ac:dyDescent="0.35">
      <c r="P1663" s="226"/>
      <c r="Q1663" s="226"/>
      <c r="R1663" s="226"/>
      <c r="S1663" s="226"/>
      <c r="T1663" s="226"/>
      <c r="U1663" s="226"/>
    </row>
    <row r="1664" spans="16:21" x14ac:dyDescent="0.35">
      <c r="P1664" s="226"/>
      <c r="Q1664" s="226"/>
      <c r="R1664" s="226"/>
      <c r="S1664" s="226"/>
      <c r="T1664" s="226"/>
      <c r="U1664" s="226"/>
    </row>
    <row r="1665" spans="16:21" x14ac:dyDescent="0.35">
      <c r="P1665" s="226"/>
      <c r="Q1665" s="226"/>
      <c r="R1665" s="226"/>
      <c r="S1665" s="226"/>
      <c r="T1665" s="226"/>
      <c r="U1665" s="226"/>
    </row>
    <row r="1666" spans="16:21" x14ac:dyDescent="0.35">
      <c r="P1666" s="226"/>
      <c r="Q1666" s="226"/>
      <c r="R1666" s="226"/>
      <c r="S1666" s="226"/>
      <c r="T1666" s="226"/>
      <c r="U1666" s="226"/>
    </row>
    <row r="1667" spans="16:21" x14ac:dyDescent="0.35">
      <c r="P1667" s="226"/>
      <c r="Q1667" s="226"/>
      <c r="R1667" s="226"/>
      <c r="S1667" s="226"/>
      <c r="T1667" s="226"/>
      <c r="U1667" s="226"/>
    </row>
    <row r="1668" spans="16:21" x14ac:dyDescent="0.35">
      <c r="P1668" s="226"/>
      <c r="Q1668" s="226"/>
      <c r="R1668" s="226"/>
      <c r="S1668" s="226"/>
      <c r="T1668" s="226"/>
      <c r="U1668" s="226"/>
    </row>
    <row r="1669" spans="16:21" x14ac:dyDescent="0.35">
      <c r="P1669" s="226"/>
      <c r="Q1669" s="226"/>
      <c r="R1669" s="226"/>
      <c r="S1669" s="226"/>
      <c r="T1669" s="226"/>
      <c r="U1669" s="226"/>
    </row>
    <row r="1670" spans="16:21" x14ac:dyDescent="0.35">
      <c r="P1670" s="226"/>
      <c r="Q1670" s="226"/>
      <c r="R1670" s="226"/>
      <c r="S1670" s="226"/>
      <c r="T1670" s="226"/>
      <c r="U1670" s="226"/>
    </row>
    <row r="1671" spans="16:21" x14ac:dyDescent="0.35">
      <c r="P1671" s="226"/>
      <c r="Q1671" s="226"/>
      <c r="R1671" s="226"/>
      <c r="S1671" s="226"/>
      <c r="T1671" s="226"/>
      <c r="U1671" s="226"/>
    </row>
    <row r="1672" spans="16:21" x14ac:dyDescent="0.35">
      <c r="P1672" s="226"/>
      <c r="Q1672" s="226"/>
      <c r="R1672" s="226"/>
      <c r="S1672" s="226"/>
      <c r="T1672" s="226"/>
      <c r="U1672" s="226"/>
    </row>
    <row r="1673" spans="16:21" x14ac:dyDescent="0.35">
      <c r="P1673" s="226"/>
      <c r="Q1673" s="226"/>
      <c r="R1673" s="226"/>
      <c r="S1673" s="226"/>
      <c r="T1673" s="226"/>
      <c r="U1673" s="226"/>
    </row>
    <row r="1674" spans="16:21" x14ac:dyDescent="0.35">
      <c r="P1674" s="226"/>
      <c r="Q1674" s="226"/>
      <c r="R1674" s="226"/>
      <c r="S1674" s="226"/>
      <c r="T1674" s="226"/>
      <c r="U1674" s="226"/>
    </row>
    <row r="1675" spans="16:21" x14ac:dyDescent="0.35">
      <c r="P1675" s="226"/>
      <c r="Q1675" s="226"/>
      <c r="R1675" s="226"/>
      <c r="S1675" s="226"/>
      <c r="T1675" s="226"/>
      <c r="U1675" s="226"/>
    </row>
    <row r="1676" spans="16:21" x14ac:dyDescent="0.35">
      <c r="P1676" s="226"/>
      <c r="Q1676" s="226"/>
      <c r="R1676" s="226"/>
      <c r="S1676" s="226"/>
      <c r="T1676" s="226"/>
      <c r="U1676" s="226"/>
    </row>
    <row r="1677" spans="16:21" x14ac:dyDescent="0.35">
      <c r="P1677" s="226"/>
      <c r="Q1677" s="226"/>
      <c r="R1677" s="226"/>
      <c r="S1677" s="226"/>
      <c r="T1677" s="226"/>
      <c r="U1677" s="226"/>
    </row>
    <row r="1678" spans="16:21" x14ac:dyDescent="0.35">
      <c r="P1678" s="226"/>
      <c r="Q1678" s="226"/>
      <c r="R1678" s="226"/>
      <c r="S1678" s="226"/>
      <c r="T1678" s="226"/>
      <c r="U1678" s="226"/>
    </row>
    <row r="1679" spans="16:21" x14ac:dyDescent="0.35">
      <c r="P1679" s="226"/>
      <c r="Q1679" s="226"/>
      <c r="R1679" s="226"/>
      <c r="S1679" s="226"/>
      <c r="T1679" s="226"/>
      <c r="U1679" s="226"/>
    </row>
    <row r="1680" spans="16:21" x14ac:dyDescent="0.35">
      <c r="P1680" s="226"/>
      <c r="Q1680" s="226"/>
      <c r="R1680" s="226"/>
      <c r="S1680" s="226"/>
      <c r="T1680" s="226"/>
      <c r="U1680" s="226"/>
    </row>
    <row r="1681" spans="16:21" x14ac:dyDescent="0.35">
      <c r="P1681" s="226"/>
      <c r="Q1681" s="226"/>
      <c r="R1681" s="226"/>
      <c r="S1681" s="226"/>
      <c r="T1681" s="226"/>
      <c r="U1681" s="226"/>
    </row>
    <row r="1682" spans="16:21" x14ac:dyDescent="0.35">
      <c r="P1682" s="226"/>
      <c r="Q1682" s="226"/>
      <c r="R1682" s="226"/>
      <c r="S1682" s="226"/>
      <c r="T1682" s="226"/>
      <c r="U1682" s="226"/>
    </row>
    <row r="1683" spans="16:21" x14ac:dyDescent="0.35">
      <c r="P1683" s="226"/>
      <c r="Q1683" s="226"/>
      <c r="R1683" s="226"/>
      <c r="S1683" s="226"/>
      <c r="T1683" s="226"/>
      <c r="U1683" s="226"/>
    </row>
    <row r="1684" spans="16:21" x14ac:dyDescent="0.35">
      <c r="P1684" s="226"/>
      <c r="Q1684" s="226"/>
      <c r="R1684" s="226"/>
      <c r="S1684" s="226"/>
      <c r="T1684" s="226"/>
      <c r="U1684" s="226"/>
    </row>
    <row r="1685" spans="16:21" x14ac:dyDescent="0.35">
      <c r="P1685" s="226"/>
      <c r="Q1685" s="226"/>
      <c r="R1685" s="226"/>
      <c r="S1685" s="226"/>
      <c r="T1685" s="226"/>
      <c r="U1685" s="226"/>
    </row>
    <row r="1686" spans="16:21" x14ac:dyDescent="0.35">
      <c r="P1686" s="226"/>
      <c r="Q1686" s="226"/>
      <c r="R1686" s="226"/>
      <c r="S1686" s="226"/>
      <c r="T1686" s="226"/>
      <c r="U1686" s="226"/>
    </row>
    <row r="1687" spans="16:21" x14ac:dyDescent="0.35">
      <c r="P1687" s="226"/>
      <c r="Q1687" s="226"/>
      <c r="R1687" s="226"/>
      <c r="S1687" s="226"/>
      <c r="T1687" s="226"/>
      <c r="U1687" s="226"/>
    </row>
    <row r="1688" spans="16:21" x14ac:dyDescent="0.35">
      <c r="P1688" s="226"/>
      <c r="Q1688" s="226"/>
      <c r="R1688" s="226"/>
      <c r="S1688" s="226"/>
      <c r="T1688" s="226"/>
      <c r="U1688" s="226"/>
    </row>
    <row r="1689" spans="16:21" x14ac:dyDescent="0.35">
      <c r="P1689" s="226"/>
      <c r="Q1689" s="226"/>
      <c r="R1689" s="226"/>
      <c r="S1689" s="226"/>
      <c r="T1689" s="226"/>
      <c r="U1689" s="226"/>
    </row>
    <row r="1690" spans="16:21" x14ac:dyDescent="0.35">
      <c r="P1690" s="226"/>
      <c r="Q1690" s="226"/>
      <c r="R1690" s="226"/>
      <c r="S1690" s="226"/>
      <c r="T1690" s="226"/>
      <c r="U1690" s="226"/>
    </row>
    <row r="1691" spans="16:21" x14ac:dyDescent="0.35">
      <c r="P1691" s="226"/>
      <c r="Q1691" s="226"/>
      <c r="R1691" s="226"/>
      <c r="S1691" s="226"/>
      <c r="T1691" s="226"/>
      <c r="U1691" s="226"/>
    </row>
    <row r="1692" spans="16:21" x14ac:dyDescent="0.35">
      <c r="P1692" s="226"/>
      <c r="Q1692" s="226"/>
      <c r="R1692" s="226"/>
      <c r="S1692" s="226"/>
      <c r="T1692" s="226"/>
      <c r="U1692" s="226"/>
    </row>
    <row r="1693" spans="16:21" x14ac:dyDescent="0.35">
      <c r="P1693" s="226"/>
      <c r="Q1693" s="226"/>
      <c r="R1693" s="226"/>
      <c r="S1693" s="226"/>
      <c r="T1693" s="226"/>
      <c r="U1693" s="226"/>
    </row>
    <row r="1694" spans="16:21" x14ac:dyDescent="0.35">
      <c r="P1694" s="226"/>
      <c r="Q1694" s="226"/>
      <c r="R1694" s="226"/>
      <c r="S1694" s="226"/>
      <c r="T1694" s="226"/>
      <c r="U1694" s="226"/>
    </row>
    <row r="1695" spans="16:21" x14ac:dyDescent="0.35">
      <c r="P1695" s="226"/>
      <c r="Q1695" s="226"/>
      <c r="R1695" s="226"/>
      <c r="S1695" s="226"/>
      <c r="T1695" s="226"/>
      <c r="U1695" s="226"/>
    </row>
    <row r="1696" spans="16:21" x14ac:dyDescent="0.35">
      <c r="P1696" s="226"/>
      <c r="Q1696" s="226"/>
      <c r="R1696" s="226"/>
      <c r="S1696" s="226"/>
      <c r="T1696" s="226"/>
      <c r="U1696" s="226"/>
    </row>
    <row r="1697" spans="16:21" x14ac:dyDescent="0.35">
      <c r="P1697" s="226"/>
      <c r="Q1697" s="226"/>
      <c r="R1697" s="226"/>
      <c r="S1697" s="226"/>
      <c r="T1697" s="226"/>
      <c r="U1697" s="226"/>
    </row>
    <row r="1698" spans="16:21" x14ac:dyDescent="0.35">
      <c r="P1698" s="226"/>
      <c r="Q1698" s="226"/>
      <c r="R1698" s="226"/>
      <c r="S1698" s="226"/>
      <c r="T1698" s="226"/>
      <c r="U1698" s="226"/>
    </row>
    <row r="1699" spans="16:21" x14ac:dyDescent="0.35">
      <c r="P1699" s="226"/>
      <c r="Q1699" s="226"/>
      <c r="R1699" s="226"/>
      <c r="S1699" s="226"/>
      <c r="T1699" s="226"/>
      <c r="U1699" s="226"/>
    </row>
    <row r="1700" spans="16:21" x14ac:dyDescent="0.35">
      <c r="P1700" s="226"/>
      <c r="Q1700" s="226"/>
      <c r="R1700" s="226"/>
      <c r="S1700" s="226"/>
      <c r="T1700" s="226"/>
      <c r="U1700" s="226"/>
    </row>
    <row r="1701" spans="16:21" x14ac:dyDescent="0.35">
      <c r="P1701" s="226"/>
      <c r="Q1701" s="226"/>
      <c r="R1701" s="226"/>
      <c r="S1701" s="226"/>
      <c r="T1701" s="226"/>
      <c r="U1701" s="226"/>
    </row>
    <row r="1702" spans="16:21" x14ac:dyDescent="0.35">
      <c r="P1702" s="226"/>
      <c r="Q1702" s="226"/>
      <c r="R1702" s="226"/>
      <c r="S1702" s="226"/>
      <c r="T1702" s="226"/>
      <c r="U1702" s="226"/>
    </row>
    <row r="1703" spans="16:21" x14ac:dyDescent="0.35">
      <c r="P1703" s="226"/>
      <c r="Q1703" s="226"/>
      <c r="R1703" s="226"/>
      <c r="S1703" s="226"/>
      <c r="T1703" s="226"/>
      <c r="U1703" s="226"/>
    </row>
    <row r="1704" spans="16:21" x14ac:dyDescent="0.35">
      <c r="P1704" s="226"/>
      <c r="Q1704" s="226"/>
      <c r="R1704" s="226"/>
      <c r="S1704" s="226"/>
      <c r="T1704" s="226"/>
      <c r="U1704" s="226"/>
    </row>
    <row r="1705" spans="16:21" x14ac:dyDescent="0.35">
      <c r="P1705" s="226"/>
      <c r="Q1705" s="226"/>
      <c r="R1705" s="226"/>
      <c r="S1705" s="226"/>
      <c r="T1705" s="226"/>
      <c r="U1705" s="226"/>
    </row>
    <row r="1706" spans="16:21" x14ac:dyDescent="0.35">
      <c r="P1706" s="226"/>
      <c r="Q1706" s="226"/>
      <c r="R1706" s="226"/>
      <c r="S1706" s="226"/>
      <c r="T1706" s="226"/>
      <c r="U1706" s="226"/>
    </row>
    <row r="1707" spans="16:21" x14ac:dyDescent="0.35">
      <c r="P1707" s="226"/>
      <c r="Q1707" s="226"/>
      <c r="R1707" s="226"/>
      <c r="S1707" s="226"/>
      <c r="T1707" s="226"/>
      <c r="U1707" s="226"/>
    </row>
    <row r="1708" spans="16:21" x14ac:dyDescent="0.35">
      <c r="P1708" s="226"/>
      <c r="Q1708" s="226"/>
      <c r="R1708" s="226"/>
      <c r="S1708" s="226"/>
      <c r="T1708" s="226"/>
      <c r="U1708" s="226"/>
    </row>
    <row r="1709" spans="16:21" x14ac:dyDescent="0.35">
      <c r="P1709" s="226"/>
      <c r="Q1709" s="226"/>
      <c r="R1709" s="226"/>
      <c r="S1709" s="226"/>
      <c r="T1709" s="226"/>
      <c r="U1709" s="226"/>
    </row>
    <row r="1710" spans="16:21" x14ac:dyDescent="0.35">
      <c r="P1710" s="226"/>
      <c r="Q1710" s="226"/>
      <c r="R1710" s="226"/>
      <c r="S1710" s="226"/>
      <c r="T1710" s="226"/>
      <c r="U1710" s="226"/>
    </row>
    <row r="1711" spans="16:21" x14ac:dyDescent="0.35">
      <c r="P1711" s="226"/>
      <c r="Q1711" s="226"/>
      <c r="R1711" s="226"/>
      <c r="S1711" s="226"/>
      <c r="T1711" s="226"/>
      <c r="U1711" s="226"/>
    </row>
    <row r="1712" spans="16:21" x14ac:dyDescent="0.35">
      <c r="P1712" s="226"/>
      <c r="Q1712" s="226"/>
      <c r="R1712" s="226"/>
      <c r="S1712" s="226"/>
      <c r="T1712" s="226"/>
      <c r="U1712" s="226"/>
    </row>
    <row r="1713" spans="16:21" x14ac:dyDescent="0.35">
      <c r="P1713" s="226"/>
      <c r="Q1713" s="226"/>
      <c r="R1713" s="226"/>
      <c r="S1713" s="226"/>
      <c r="T1713" s="226"/>
      <c r="U1713" s="226"/>
    </row>
    <row r="1714" spans="16:21" x14ac:dyDescent="0.35">
      <c r="P1714" s="226"/>
      <c r="Q1714" s="226"/>
      <c r="R1714" s="226"/>
      <c r="S1714" s="226"/>
      <c r="T1714" s="226"/>
      <c r="U1714" s="226"/>
    </row>
    <row r="1715" spans="16:21" x14ac:dyDescent="0.35">
      <c r="P1715" s="226"/>
      <c r="Q1715" s="226"/>
      <c r="R1715" s="226"/>
      <c r="S1715" s="226"/>
      <c r="T1715" s="226"/>
      <c r="U1715" s="226"/>
    </row>
    <row r="1716" spans="16:21" x14ac:dyDescent="0.35">
      <c r="P1716" s="226"/>
      <c r="Q1716" s="226"/>
      <c r="R1716" s="226"/>
      <c r="S1716" s="226"/>
      <c r="T1716" s="226"/>
      <c r="U1716" s="226"/>
    </row>
    <row r="1717" spans="16:21" x14ac:dyDescent="0.35">
      <c r="P1717" s="226"/>
      <c r="Q1717" s="226"/>
      <c r="R1717" s="226"/>
      <c r="S1717" s="226"/>
      <c r="T1717" s="226"/>
      <c r="U1717" s="226"/>
    </row>
    <row r="1718" spans="16:21" x14ac:dyDescent="0.35">
      <c r="P1718" s="226"/>
      <c r="Q1718" s="226"/>
      <c r="R1718" s="226"/>
      <c r="S1718" s="226"/>
      <c r="T1718" s="226"/>
      <c r="U1718" s="226"/>
    </row>
    <row r="1719" spans="16:21" x14ac:dyDescent="0.35">
      <c r="P1719" s="226"/>
      <c r="Q1719" s="226"/>
      <c r="R1719" s="226"/>
      <c r="S1719" s="226"/>
      <c r="T1719" s="226"/>
      <c r="U1719" s="226"/>
    </row>
    <row r="1720" spans="16:21" x14ac:dyDescent="0.35">
      <c r="P1720" s="226"/>
      <c r="Q1720" s="226"/>
      <c r="R1720" s="226"/>
      <c r="S1720" s="226"/>
      <c r="T1720" s="226"/>
      <c r="U1720" s="226"/>
    </row>
    <row r="1721" spans="16:21" x14ac:dyDescent="0.35">
      <c r="P1721" s="226"/>
      <c r="Q1721" s="226"/>
      <c r="R1721" s="226"/>
      <c r="S1721" s="226"/>
      <c r="T1721" s="226"/>
      <c r="U1721" s="226"/>
    </row>
    <row r="1722" spans="16:21" x14ac:dyDescent="0.35">
      <c r="P1722" s="226"/>
      <c r="Q1722" s="226"/>
      <c r="R1722" s="226"/>
      <c r="S1722" s="226"/>
      <c r="T1722" s="226"/>
      <c r="U1722" s="226"/>
    </row>
    <row r="1723" spans="16:21" x14ac:dyDescent="0.35">
      <c r="P1723" s="226"/>
      <c r="Q1723" s="226"/>
      <c r="R1723" s="226"/>
      <c r="S1723" s="226"/>
      <c r="T1723" s="226"/>
      <c r="U1723" s="226"/>
    </row>
    <row r="1724" spans="16:21" x14ac:dyDescent="0.35">
      <c r="P1724" s="226"/>
      <c r="Q1724" s="226"/>
      <c r="R1724" s="226"/>
      <c r="S1724" s="226"/>
      <c r="T1724" s="226"/>
      <c r="U1724" s="226"/>
    </row>
    <row r="1725" spans="16:21" x14ac:dyDescent="0.35">
      <c r="P1725" s="226"/>
      <c r="Q1725" s="226"/>
      <c r="R1725" s="226"/>
      <c r="S1725" s="226"/>
      <c r="T1725" s="226"/>
      <c r="U1725" s="226"/>
    </row>
    <row r="1726" spans="16:21" x14ac:dyDescent="0.35">
      <c r="P1726" s="226"/>
      <c r="Q1726" s="226"/>
      <c r="R1726" s="226"/>
      <c r="S1726" s="226"/>
      <c r="T1726" s="226"/>
      <c r="U1726" s="226"/>
    </row>
    <row r="1727" spans="16:21" x14ac:dyDescent="0.35">
      <c r="P1727" s="226"/>
      <c r="Q1727" s="226"/>
      <c r="R1727" s="226"/>
      <c r="S1727" s="226"/>
      <c r="T1727" s="226"/>
      <c r="U1727" s="226"/>
    </row>
    <row r="1728" spans="16:21" x14ac:dyDescent="0.35">
      <c r="P1728" s="226"/>
      <c r="Q1728" s="226"/>
      <c r="R1728" s="226"/>
      <c r="S1728" s="226"/>
      <c r="T1728" s="226"/>
      <c r="U1728" s="226"/>
    </row>
    <row r="1729" spans="16:21" x14ac:dyDescent="0.35">
      <c r="P1729" s="226"/>
      <c r="Q1729" s="226"/>
      <c r="R1729" s="226"/>
      <c r="S1729" s="226"/>
      <c r="T1729" s="226"/>
      <c r="U1729" s="226"/>
    </row>
    <row r="1730" spans="16:21" x14ac:dyDescent="0.35">
      <c r="P1730" s="226"/>
      <c r="Q1730" s="226"/>
      <c r="R1730" s="226"/>
      <c r="S1730" s="226"/>
      <c r="T1730" s="226"/>
      <c r="U1730" s="226"/>
    </row>
    <row r="1731" spans="16:21" x14ac:dyDescent="0.35">
      <c r="P1731" s="226"/>
      <c r="Q1731" s="226"/>
      <c r="R1731" s="226"/>
      <c r="S1731" s="226"/>
      <c r="T1731" s="226"/>
      <c r="U1731" s="226"/>
    </row>
    <row r="1732" spans="16:21" x14ac:dyDescent="0.35">
      <c r="P1732" s="226"/>
      <c r="Q1732" s="226"/>
      <c r="R1732" s="226"/>
      <c r="S1732" s="226"/>
      <c r="T1732" s="226"/>
      <c r="U1732" s="226"/>
    </row>
    <row r="1733" spans="16:21" x14ac:dyDescent="0.35">
      <c r="P1733" s="226"/>
      <c r="Q1733" s="226"/>
      <c r="R1733" s="226"/>
      <c r="S1733" s="226"/>
      <c r="T1733" s="226"/>
      <c r="U1733" s="226"/>
    </row>
    <row r="1734" spans="16:21" x14ac:dyDescent="0.35">
      <c r="P1734" s="226"/>
      <c r="Q1734" s="226"/>
      <c r="R1734" s="226"/>
      <c r="S1734" s="226"/>
      <c r="T1734" s="226"/>
      <c r="U1734" s="226"/>
    </row>
    <row r="1735" spans="16:21" x14ac:dyDescent="0.35">
      <c r="P1735" s="226"/>
      <c r="Q1735" s="226"/>
      <c r="R1735" s="226"/>
      <c r="S1735" s="226"/>
      <c r="T1735" s="226"/>
      <c r="U1735" s="226"/>
    </row>
    <row r="1736" spans="16:21" x14ac:dyDescent="0.35">
      <c r="P1736" s="226"/>
      <c r="Q1736" s="226"/>
      <c r="R1736" s="226"/>
      <c r="S1736" s="226"/>
      <c r="T1736" s="226"/>
      <c r="U1736" s="226"/>
    </row>
    <row r="1737" spans="16:21" x14ac:dyDescent="0.35">
      <c r="P1737" s="226"/>
      <c r="Q1737" s="226"/>
      <c r="R1737" s="226"/>
      <c r="S1737" s="226"/>
      <c r="T1737" s="226"/>
      <c r="U1737" s="226"/>
    </row>
    <row r="1738" spans="16:21" x14ac:dyDescent="0.35">
      <c r="P1738" s="226"/>
      <c r="Q1738" s="226"/>
      <c r="R1738" s="226"/>
      <c r="S1738" s="226"/>
      <c r="T1738" s="226"/>
      <c r="U1738" s="226"/>
    </row>
    <row r="1739" spans="16:21" x14ac:dyDescent="0.35">
      <c r="P1739" s="226"/>
      <c r="Q1739" s="226"/>
      <c r="R1739" s="226"/>
      <c r="S1739" s="226"/>
      <c r="T1739" s="226"/>
      <c r="U1739" s="226"/>
    </row>
    <row r="1740" spans="16:21" x14ac:dyDescent="0.35">
      <c r="P1740" s="226"/>
      <c r="Q1740" s="226"/>
      <c r="R1740" s="226"/>
      <c r="S1740" s="226"/>
      <c r="T1740" s="226"/>
      <c r="U1740" s="226"/>
    </row>
    <row r="1741" spans="16:21" x14ac:dyDescent="0.35">
      <c r="P1741" s="226"/>
      <c r="Q1741" s="226"/>
      <c r="R1741" s="226"/>
      <c r="S1741" s="226"/>
      <c r="T1741" s="226"/>
      <c r="U1741" s="226"/>
    </row>
    <row r="1742" spans="16:21" x14ac:dyDescent="0.35">
      <c r="P1742" s="226"/>
      <c r="Q1742" s="226"/>
      <c r="R1742" s="226"/>
      <c r="S1742" s="226"/>
      <c r="T1742" s="226"/>
      <c r="U1742" s="226"/>
    </row>
    <row r="1743" spans="16:21" x14ac:dyDescent="0.35">
      <c r="P1743" s="226"/>
      <c r="Q1743" s="226"/>
      <c r="R1743" s="226"/>
      <c r="S1743" s="226"/>
      <c r="T1743" s="226"/>
      <c r="U1743" s="226"/>
    </row>
    <row r="1744" spans="16:21" x14ac:dyDescent="0.35">
      <c r="P1744" s="226"/>
      <c r="Q1744" s="226"/>
      <c r="R1744" s="226"/>
      <c r="S1744" s="226"/>
      <c r="T1744" s="226"/>
      <c r="U1744" s="226"/>
    </row>
    <row r="1745" spans="16:21" x14ac:dyDescent="0.35">
      <c r="P1745" s="226"/>
      <c r="Q1745" s="226"/>
      <c r="R1745" s="226"/>
      <c r="S1745" s="226"/>
      <c r="T1745" s="226"/>
      <c r="U1745" s="226"/>
    </row>
    <row r="1746" spans="16:21" x14ac:dyDescent="0.35">
      <c r="P1746" s="226"/>
      <c r="Q1746" s="226"/>
      <c r="R1746" s="226"/>
      <c r="S1746" s="226"/>
      <c r="T1746" s="226"/>
      <c r="U1746" s="226"/>
    </row>
    <row r="1747" spans="16:21" x14ac:dyDescent="0.35">
      <c r="P1747" s="226"/>
      <c r="Q1747" s="226"/>
      <c r="R1747" s="226"/>
      <c r="S1747" s="226"/>
      <c r="T1747" s="226"/>
      <c r="U1747" s="226"/>
    </row>
    <row r="1748" spans="16:21" x14ac:dyDescent="0.35">
      <c r="P1748" s="226"/>
      <c r="Q1748" s="226"/>
      <c r="R1748" s="226"/>
      <c r="S1748" s="226"/>
      <c r="T1748" s="226"/>
      <c r="U1748" s="226"/>
    </row>
    <row r="1749" spans="16:21" x14ac:dyDescent="0.35">
      <c r="P1749" s="226"/>
      <c r="Q1749" s="226"/>
      <c r="R1749" s="226"/>
      <c r="S1749" s="226"/>
      <c r="T1749" s="226"/>
      <c r="U1749" s="226"/>
    </row>
    <row r="1750" spans="16:21" x14ac:dyDescent="0.35">
      <c r="P1750" s="226"/>
      <c r="Q1750" s="226"/>
      <c r="R1750" s="226"/>
      <c r="S1750" s="226"/>
      <c r="T1750" s="226"/>
      <c r="U1750" s="226"/>
    </row>
    <row r="1751" spans="16:21" x14ac:dyDescent="0.35">
      <c r="P1751" s="226"/>
      <c r="Q1751" s="226"/>
      <c r="R1751" s="226"/>
      <c r="S1751" s="226"/>
      <c r="T1751" s="226"/>
      <c r="U1751" s="226"/>
    </row>
    <row r="1752" spans="16:21" x14ac:dyDescent="0.35">
      <c r="P1752" s="226"/>
      <c r="Q1752" s="226"/>
      <c r="R1752" s="226"/>
      <c r="S1752" s="226"/>
      <c r="T1752" s="226"/>
      <c r="U1752" s="226"/>
    </row>
    <row r="1753" spans="16:21" x14ac:dyDescent="0.35">
      <c r="P1753" s="226"/>
      <c r="Q1753" s="226"/>
      <c r="R1753" s="226"/>
      <c r="S1753" s="226"/>
      <c r="T1753" s="226"/>
      <c r="U1753" s="226"/>
    </row>
    <row r="1754" spans="16:21" x14ac:dyDescent="0.35">
      <c r="P1754" s="226"/>
      <c r="Q1754" s="226"/>
      <c r="R1754" s="226"/>
      <c r="S1754" s="226"/>
      <c r="T1754" s="226"/>
      <c r="U1754" s="226"/>
    </row>
    <row r="1755" spans="16:21" x14ac:dyDescent="0.35">
      <c r="P1755" s="226"/>
      <c r="Q1755" s="226"/>
      <c r="R1755" s="226"/>
      <c r="S1755" s="226"/>
      <c r="T1755" s="226"/>
      <c r="U1755" s="226"/>
    </row>
    <row r="1756" spans="16:21" x14ac:dyDescent="0.35">
      <c r="P1756" s="226"/>
      <c r="Q1756" s="226"/>
      <c r="R1756" s="226"/>
      <c r="S1756" s="226"/>
      <c r="T1756" s="226"/>
      <c r="U1756" s="226"/>
    </row>
    <row r="1757" spans="16:21" x14ac:dyDescent="0.35">
      <c r="P1757" s="226"/>
      <c r="Q1757" s="226"/>
      <c r="R1757" s="226"/>
      <c r="S1757" s="226"/>
      <c r="T1757" s="226"/>
      <c r="U1757" s="226"/>
    </row>
    <row r="1758" spans="16:21" x14ac:dyDescent="0.35">
      <c r="P1758" s="226"/>
      <c r="Q1758" s="226"/>
      <c r="R1758" s="226"/>
      <c r="S1758" s="226"/>
      <c r="T1758" s="226"/>
      <c r="U1758" s="226"/>
    </row>
    <row r="1759" spans="16:21" x14ac:dyDescent="0.35">
      <c r="P1759" s="226"/>
      <c r="Q1759" s="226"/>
      <c r="R1759" s="226"/>
      <c r="S1759" s="226"/>
      <c r="T1759" s="226"/>
      <c r="U1759" s="226"/>
    </row>
    <row r="1760" spans="16:21" x14ac:dyDescent="0.35">
      <c r="P1760" s="226"/>
      <c r="Q1760" s="226"/>
      <c r="R1760" s="226"/>
      <c r="S1760" s="226"/>
      <c r="T1760" s="226"/>
      <c r="U1760" s="226"/>
    </row>
    <row r="1761" spans="16:21" x14ac:dyDescent="0.35">
      <c r="P1761" s="226"/>
      <c r="Q1761" s="226"/>
      <c r="R1761" s="226"/>
      <c r="S1761" s="226"/>
      <c r="T1761" s="226"/>
      <c r="U1761" s="226"/>
    </row>
    <row r="1762" spans="16:21" x14ac:dyDescent="0.35">
      <c r="P1762" s="226"/>
      <c r="Q1762" s="226"/>
      <c r="R1762" s="226"/>
      <c r="S1762" s="226"/>
      <c r="T1762" s="226"/>
      <c r="U1762" s="226"/>
    </row>
    <row r="1763" spans="16:21" x14ac:dyDescent="0.35">
      <c r="P1763" s="226"/>
      <c r="Q1763" s="226"/>
      <c r="R1763" s="226"/>
      <c r="S1763" s="226"/>
      <c r="T1763" s="226"/>
      <c r="U1763" s="226"/>
    </row>
    <row r="1764" spans="16:21" x14ac:dyDescent="0.35">
      <c r="P1764" s="226"/>
      <c r="Q1764" s="226"/>
      <c r="R1764" s="226"/>
      <c r="S1764" s="226"/>
      <c r="T1764" s="226"/>
      <c r="U1764" s="226"/>
    </row>
    <row r="1765" spans="16:21" x14ac:dyDescent="0.35">
      <c r="P1765" s="226"/>
      <c r="Q1765" s="226"/>
      <c r="R1765" s="226"/>
      <c r="S1765" s="226"/>
      <c r="T1765" s="226"/>
      <c r="U1765" s="226"/>
    </row>
    <row r="1766" spans="16:21" x14ac:dyDescent="0.35">
      <c r="P1766" s="226"/>
      <c r="Q1766" s="226"/>
      <c r="R1766" s="226"/>
      <c r="S1766" s="226"/>
      <c r="T1766" s="226"/>
      <c r="U1766" s="226"/>
    </row>
    <row r="1767" spans="16:21" x14ac:dyDescent="0.35">
      <c r="P1767" s="226"/>
      <c r="Q1767" s="226"/>
      <c r="R1767" s="226"/>
      <c r="S1767" s="226"/>
      <c r="T1767" s="226"/>
      <c r="U1767" s="226"/>
    </row>
    <row r="1768" spans="16:21" x14ac:dyDescent="0.35">
      <c r="P1768" s="226"/>
      <c r="Q1768" s="226"/>
      <c r="R1768" s="226"/>
      <c r="S1768" s="226"/>
      <c r="T1768" s="226"/>
      <c r="U1768" s="226"/>
    </row>
    <row r="1769" spans="16:21" x14ac:dyDescent="0.35">
      <c r="P1769" s="226"/>
      <c r="Q1769" s="226"/>
      <c r="R1769" s="226"/>
      <c r="S1769" s="226"/>
      <c r="T1769" s="226"/>
      <c r="U1769" s="226"/>
    </row>
    <row r="1770" spans="16:21" x14ac:dyDescent="0.35">
      <c r="P1770" s="226"/>
      <c r="Q1770" s="226"/>
      <c r="R1770" s="226"/>
      <c r="S1770" s="226"/>
      <c r="T1770" s="226"/>
      <c r="U1770" s="226"/>
    </row>
    <row r="1771" spans="16:21" x14ac:dyDescent="0.35">
      <c r="P1771" s="226"/>
      <c r="Q1771" s="226"/>
      <c r="R1771" s="226"/>
      <c r="S1771" s="226"/>
      <c r="T1771" s="226"/>
      <c r="U1771" s="226"/>
    </row>
    <row r="1772" spans="16:21" x14ac:dyDescent="0.35">
      <c r="P1772" s="226"/>
      <c r="Q1772" s="226"/>
      <c r="R1772" s="226"/>
      <c r="S1772" s="226"/>
      <c r="T1772" s="226"/>
      <c r="U1772" s="226"/>
    </row>
    <row r="1773" spans="16:21" x14ac:dyDescent="0.35">
      <c r="P1773" s="226"/>
      <c r="Q1773" s="226"/>
      <c r="R1773" s="226"/>
      <c r="S1773" s="226"/>
      <c r="T1773" s="226"/>
      <c r="U1773" s="226"/>
    </row>
    <row r="1774" spans="16:21" x14ac:dyDescent="0.35">
      <c r="P1774" s="226"/>
      <c r="Q1774" s="226"/>
      <c r="R1774" s="226"/>
      <c r="S1774" s="226"/>
      <c r="T1774" s="226"/>
      <c r="U1774" s="226"/>
    </row>
    <row r="1775" spans="16:21" x14ac:dyDescent="0.35">
      <c r="P1775" s="226"/>
      <c r="Q1775" s="226"/>
      <c r="R1775" s="226"/>
      <c r="S1775" s="226"/>
      <c r="T1775" s="226"/>
      <c r="U1775" s="226"/>
    </row>
    <row r="1776" spans="16:21" x14ac:dyDescent="0.35">
      <c r="P1776" s="226"/>
      <c r="Q1776" s="226"/>
      <c r="R1776" s="226"/>
      <c r="S1776" s="226"/>
      <c r="T1776" s="226"/>
      <c r="U1776" s="226"/>
    </row>
    <row r="1777" spans="16:21" x14ac:dyDescent="0.35">
      <c r="P1777" s="226"/>
      <c r="Q1777" s="226"/>
      <c r="R1777" s="226"/>
      <c r="S1777" s="226"/>
      <c r="T1777" s="226"/>
      <c r="U1777" s="226"/>
    </row>
    <row r="1778" spans="16:21" x14ac:dyDescent="0.35">
      <c r="P1778" s="226"/>
      <c r="Q1778" s="226"/>
      <c r="R1778" s="226"/>
      <c r="S1778" s="226"/>
      <c r="T1778" s="226"/>
      <c r="U1778" s="226"/>
    </row>
    <row r="1779" spans="16:21" x14ac:dyDescent="0.35">
      <c r="P1779" s="226"/>
      <c r="Q1779" s="226"/>
      <c r="R1779" s="226"/>
      <c r="S1779" s="226"/>
      <c r="T1779" s="226"/>
      <c r="U1779" s="226"/>
    </row>
    <row r="1780" spans="16:21" x14ac:dyDescent="0.35">
      <c r="P1780" s="226"/>
      <c r="Q1780" s="226"/>
      <c r="R1780" s="226"/>
      <c r="S1780" s="226"/>
      <c r="T1780" s="226"/>
      <c r="U1780" s="226"/>
    </row>
    <row r="1781" spans="16:21" x14ac:dyDescent="0.35">
      <c r="P1781" s="226"/>
      <c r="Q1781" s="226"/>
      <c r="R1781" s="226"/>
      <c r="S1781" s="226"/>
      <c r="T1781" s="226"/>
      <c r="U1781" s="226"/>
    </row>
    <row r="1782" spans="16:21" x14ac:dyDescent="0.35">
      <c r="P1782" s="226"/>
      <c r="Q1782" s="226"/>
      <c r="R1782" s="226"/>
      <c r="S1782" s="226"/>
      <c r="T1782" s="226"/>
      <c r="U1782" s="226"/>
    </row>
    <row r="1783" spans="16:21" x14ac:dyDescent="0.35">
      <c r="P1783" s="226"/>
      <c r="Q1783" s="226"/>
      <c r="R1783" s="226"/>
      <c r="S1783" s="226"/>
      <c r="T1783" s="226"/>
      <c r="U1783" s="226"/>
    </row>
    <row r="1784" spans="16:21" x14ac:dyDescent="0.35">
      <c r="P1784" s="226"/>
      <c r="Q1784" s="226"/>
      <c r="R1784" s="226"/>
      <c r="S1784" s="226"/>
      <c r="T1784" s="226"/>
      <c r="U1784" s="226"/>
    </row>
    <row r="1785" spans="16:21" x14ac:dyDescent="0.35">
      <c r="P1785" s="226"/>
      <c r="Q1785" s="226"/>
      <c r="R1785" s="226"/>
      <c r="S1785" s="226"/>
      <c r="T1785" s="226"/>
      <c r="U1785" s="226"/>
    </row>
    <row r="1786" spans="16:21" x14ac:dyDescent="0.35">
      <c r="P1786" s="226"/>
      <c r="Q1786" s="226"/>
      <c r="R1786" s="226"/>
      <c r="S1786" s="226"/>
      <c r="T1786" s="226"/>
      <c r="U1786" s="226"/>
    </row>
    <row r="1787" spans="16:21" x14ac:dyDescent="0.35">
      <c r="P1787" s="226"/>
      <c r="Q1787" s="226"/>
      <c r="R1787" s="226"/>
      <c r="S1787" s="226"/>
      <c r="T1787" s="226"/>
      <c r="U1787" s="226"/>
    </row>
    <row r="1788" spans="16:21" x14ac:dyDescent="0.35">
      <c r="P1788" s="226"/>
      <c r="Q1788" s="226"/>
      <c r="R1788" s="226"/>
      <c r="S1788" s="226"/>
      <c r="T1788" s="226"/>
      <c r="U1788" s="226"/>
    </row>
    <row r="1789" spans="16:21" x14ac:dyDescent="0.35">
      <c r="P1789" s="226"/>
      <c r="Q1789" s="226"/>
      <c r="R1789" s="226"/>
      <c r="S1789" s="226"/>
      <c r="T1789" s="226"/>
      <c r="U1789" s="226"/>
    </row>
    <row r="1790" spans="16:21" x14ac:dyDescent="0.35">
      <c r="P1790" s="226"/>
      <c r="Q1790" s="226"/>
      <c r="R1790" s="226"/>
      <c r="S1790" s="226"/>
      <c r="T1790" s="226"/>
      <c r="U1790" s="226"/>
    </row>
    <row r="1791" spans="16:21" x14ac:dyDescent="0.35">
      <c r="P1791" s="226"/>
      <c r="Q1791" s="226"/>
      <c r="R1791" s="226"/>
      <c r="S1791" s="226"/>
      <c r="T1791" s="226"/>
      <c r="U1791" s="226"/>
    </row>
    <row r="1792" spans="16:21" x14ac:dyDescent="0.35">
      <c r="P1792" s="226"/>
      <c r="Q1792" s="226"/>
      <c r="R1792" s="226"/>
      <c r="S1792" s="226"/>
      <c r="T1792" s="226"/>
      <c r="U1792" s="226"/>
    </row>
    <row r="1793" spans="16:21" x14ac:dyDescent="0.35">
      <c r="P1793" s="226"/>
      <c r="Q1793" s="226"/>
      <c r="R1793" s="226"/>
      <c r="S1793" s="226"/>
      <c r="T1793" s="226"/>
      <c r="U1793" s="226"/>
    </row>
    <row r="1794" spans="16:21" x14ac:dyDescent="0.35">
      <c r="P1794" s="226"/>
      <c r="Q1794" s="226"/>
      <c r="R1794" s="226"/>
      <c r="S1794" s="226"/>
      <c r="T1794" s="226"/>
      <c r="U1794" s="226"/>
    </row>
    <row r="1795" spans="16:21" x14ac:dyDescent="0.35">
      <c r="P1795" s="226"/>
      <c r="Q1795" s="226"/>
      <c r="R1795" s="226"/>
      <c r="S1795" s="226"/>
      <c r="T1795" s="226"/>
      <c r="U1795" s="226"/>
    </row>
    <row r="1796" spans="16:21" x14ac:dyDescent="0.35">
      <c r="P1796" s="226"/>
      <c r="Q1796" s="226"/>
      <c r="R1796" s="226"/>
      <c r="S1796" s="226"/>
      <c r="T1796" s="226"/>
      <c r="U1796" s="226"/>
    </row>
    <row r="1797" spans="16:21" x14ac:dyDescent="0.35">
      <c r="P1797" s="226"/>
      <c r="Q1797" s="226"/>
      <c r="R1797" s="226"/>
      <c r="S1797" s="226"/>
      <c r="T1797" s="226"/>
      <c r="U1797" s="226"/>
    </row>
    <row r="1798" spans="16:21" x14ac:dyDescent="0.35">
      <c r="P1798" s="226"/>
      <c r="Q1798" s="226"/>
      <c r="R1798" s="226"/>
      <c r="S1798" s="226"/>
      <c r="T1798" s="226"/>
      <c r="U1798" s="226"/>
    </row>
    <row r="1799" spans="16:21" x14ac:dyDescent="0.35">
      <c r="P1799" s="226"/>
      <c r="Q1799" s="226"/>
      <c r="R1799" s="226"/>
      <c r="S1799" s="226"/>
      <c r="T1799" s="226"/>
      <c r="U1799" s="226"/>
    </row>
    <row r="1800" spans="16:21" x14ac:dyDescent="0.35">
      <c r="P1800" s="226"/>
      <c r="Q1800" s="226"/>
      <c r="R1800" s="226"/>
      <c r="S1800" s="226"/>
      <c r="T1800" s="226"/>
      <c r="U1800" s="226"/>
    </row>
    <row r="1801" spans="16:21" x14ac:dyDescent="0.35">
      <c r="P1801" s="226"/>
      <c r="Q1801" s="226"/>
      <c r="R1801" s="226"/>
      <c r="S1801" s="226"/>
      <c r="T1801" s="226"/>
      <c r="U1801" s="226"/>
    </row>
    <row r="1802" spans="16:21" x14ac:dyDescent="0.35">
      <c r="P1802" s="226"/>
      <c r="Q1802" s="226"/>
      <c r="R1802" s="226"/>
      <c r="S1802" s="226"/>
      <c r="T1802" s="226"/>
      <c r="U1802" s="226"/>
    </row>
    <row r="1803" spans="16:21" x14ac:dyDescent="0.35">
      <c r="P1803" s="226"/>
      <c r="Q1803" s="226"/>
      <c r="R1803" s="226"/>
      <c r="S1803" s="226"/>
      <c r="T1803" s="226"/>
      <c r="U1803" s="226"/>
    </row>
    <row r="1804" spans="16:21" x14ac:dyDescent="0.35">
      <c r="P1804" s="226"/>
      <c r="Q1804" s="226"/>
      <c r="R1804" s="226"/>
      <c r="S1804" s="226"/>
      <c r="T1804" s="226"/>
      <c r="U1804" s="226"/>
    </row>
    <row r="1805" spans="16:21" x14ac:dyDescent="0.35">
      <c r="P1805" s="226"/>
      <c r="Q1805" s="226"/>
      <c r="R1805" s="226"/>
      <c r="S1805" s="226"/>
      <c r="T1805" s="226"/>
      <c r="U1805" s="226"/>
    </row>
    <row r="1806" spans="16:21" x14ac:dyDescent="0.35">
      <c r="P1806" s="226"/>
      <c r="Q1806" s="226"/>
      <c r="R1806" s="226"/>
      <c r="S1806" s="226"/>
      <c r="T1806" s="226"/>
      <c r="U1806" s="226"/>
    </row>
    <row r="1807" spans="16:21" x14ac:dyDescent="0.35">
      <c r="P1807" s="226"/>
      <c r="Q1807" s="226"/>
      <c r="R1807" s="226"/>
      <c r="S1807" s="226"/>
      <c r="T1807" s="226"/>
      <c r="U1807" s="226"/>
    </row>
    <row r="1808" spans="16:21" x14ac:dyDescent="0.35">
      <c r="P1808" s="226"/>
      <c r="Q1808" s="226"/>
      <c r="R1808" s="226"/>
      <c r="S1808" s="226"/>
      <c r="T1808" s="226"/>
      <c r="U1808" s="226"/>
    </row>
    <row r="1809" spans="16:21" x14ac:dyDescent="0.35">
      <c r="P1809" s="226"/>
      <c r="Q1809" s="226"/>
      <c r="R1809" s="226"/>
      <c r="S1809" s="226"/>
      <c r="T1809" s="226"/>
      <c r="U1809" s="226"/>
    </row>
    <row r="1810" spans="16:21" x14ac:dyDescent="0.35">
      <c r="P1810" s="226"/>
      <c r="Q1810" s="226"/>
      <c r="R1810" s="226"/>
      <c r="S1810" s="226"/>
      <c r="T1810" s="226"/>
      <c r="U1810" s="226"/>
    </row>
    <row r="1811" spans="16:21" x14ac:dyDescent="0.35">
      <c r="P1811" s="226"/>
      <c r="Q1811" s="226"/>
      <c r="R1811" s="226"/>
      <c r="S1811" s="226"/>
      <c r="T1811" s="226"/>
      <c r="U1811" s="226"/>
    </row>
    <row r="1812" spans="16:21" x14ac:dyDescent="0.35">
      <c r="P1812" s="226"/>
      <c r="Q1812" s="226"/>
      <c r="R1812" s="226"/>
      <c r="S1812" s="226"/>
      <c r="T1812" s="226"/>
      <c r="U1812" s="226"/>
    </row>
    <row r="1813" spans="16:21" x14ac:dyDescent="0.35">
      <c r="P1813" s="226"/>
      <c r="Q1813" s="226"/>
      <c r="R1813" s="226"/>
      <c r="S1813" s="226"/>
      <c r="T1813" s="226"/>
      <c r="U1813" s="226"/>
    </row>
    <row r="1814" spans="16:21" x14ac:dyDescent="0.35">
      <c r="P1814" s="226"/>
      <c r="Q1814" s="226"/>
      <c r="R1814" s="226"/>
      <c r="S1814" s="226"/>
      <c r="T1814" s="226"/>
      <c r="U1814" s="226"/>
    </row>
    <row r="1815" spans="16:21" x14ac:dyDescent="0.35">
      <c r="P1815" s="226"/>
      <c r="Q1815" s="226"/>
      <c r="R1815" s="226"/>
      <c r="S1815" s="226"/>
      <c r="T1815" s="226"/>
      <c r="U1815" s="226"/>
    </row>
    <row r="1816" spans="16:21" x14ac:dyDescent="0.35">
      <c r="P1816" s="226"/>
      <c r="Q1816" s="226"/>
      <c r="R1816" s="226"/>
      <c r="S1816" s="226"/>
      <c r="T1816" s="226"/>
      <c r="U1816" s="226"/>
    </row>
    <row r="1817" spans="16:21" x14ac:dyDescent="0.35">
      <c r="P1817" s="226"/>
      <c r="Q1817" s="226"/>
      <c r="R1817" s="226"/>
      <c r="S1817" s="226"/>
      <c r="T1817" s="226"/>
      <c r="U1817" s="226"/>
    </row>
    <row r="1818" spans="16:21" x14ac:dyDescent="0.35">
      <c r="P1818" s="226"/>
      <c r="Q1818" s="226"/>
      <c r="R1818" s="226"/>
      <c r="S1818" s="226"/>
      <c r="T1818" s="226"/>
      <c r="U1818" s="226"/>
    </row>
    <row r="1819" spans="16:21" x14ac:dyDescent="0.35">
      <c r="P1819" s="226"/>
      <c r="Q1819" s="226"/>
      <c r="R1819" s="226"/>
      <c r="S1819" s="226"/>
      <c r="T1819" s="226"/>
      <c r="U1819" s="226"/>
    </row>
    <row r="1820" spans="16:21" x14ac:dyDescent="0.35">
      <c r="P1820" s="226"/>
      <c r="Q1820" s="226"/>
      <c r="R1820" s="226"/>
      <c r="S1820" s="226"/>
      <c r="T1820" s="226"/>
      <c r="U1820" s="226"/>
    </row>
    <row r="1821" spans="16:21" x14ac:dyDescent="0.35">
      <c r="P1821" s="226"/>
      <c r="Q1821" s="226"/>
      <c r="R1821" s="226"/>
      <c r="S1821" s="226"/>
      <c r="T1821" s="226"/>
      <c r="U1821" s="226"/>
    </row>
    <row r="1822" spans="16:21" x14ac:dyDescent="0.35">
      <c r="P1822" s="226"/>
      <c r="Q1822" s="226"/>
      <c r="R1822" s="226"/>
      <c r="S1822" s="226"/>
      <c r="T1822" s="226"/>
      <c r="U1822" s="226"/>
    </row>
    <row r="1823" spans="16:21" x14ac:dyDescent="0.35">
      <c r="P1823" s="226"/>
      <c r="Q1823" s="226"/>
      <c r="R1823" s="226"/>
      <c r="S1823" s="226"/>
      <c r="T1823" s="226"/>
      <c r="U1823" s="226"/>
    </row>
    <row r="1824" spans="16:21" x14ac:dyDescent="0.35">
      <c r="P1824" s="226"/>
      <c r="Q1824" s="226"/>
      <c r="R1824" s="226"/>
      <c r="S1824" s="226"/>
      <c r="T1824" s="226"/>
      <c r="U1824" s="226"/>
    </row>
    <row r="1825" spans="16:21" x14ac:dyDescent="0.35">
      <c r="P1825" s="226"/>
      <c r="Q1825" s="226"/>
      <c r="R1825" s="226"/>
      <c r="S1825" s="226"/>
      <c r="T1825" s="226"/>
      <c r="U1825" s="226"/>
    </row>
    <row r="1826" spans="16:21" x14ac:dyDescent="0.35">
      <c r="P1826" s="226"/>
      <c r="Q1826" s="226"/>
      <c r="R1826" s="226"/>
      <c r="S1826" s="226"/>
      <c r="T1826" s="226"/>
      <c r="U1826" s="226"/>
    </row>
    <row r="1827" spans="16:21" x14ac:dyDescent="0.35">
      <c r="P1827" s="226"/>
      <c r="Q1827" s="226"/>
      <c r="R1827" s="226"/>
      <c r="S1827" s="226"/>
      <c r="T1827" s="226"/>
      <c r="U1827" s="226"/>
    </row>
    <row r="1828" spans="16:21" x14ac:dyDescent="0.35">
      <c r="P1828" s="226"/>
      <c r="Q1828" s="226"/>
      <c r="R1828" s="226"/>
      <c r="S1828" s="226"/>
      <c r="T1828" s="226"/>
      <c r="U1828" s="226"/>
    </row>
    <row r="1829" spans="16:21" x14ac:dyDescent="0.35">
      <c r="P1829" s="226"/>
      <c r="Q1829" s="226"/>
      <c r="R1829" s="226"/>
      <c r="S1829" s="226"/>
      <c r="T1829" s="226"/>
      <c r="U1829" s="226"/>
    </row>
    <row r="1830" spans="16:21" x14ac:dyDescent="0.35">
      <c r="P1830" s="226"/>
      <c r="Q1830" s="226"/>
      <c r="R1830" s="226"/>
      <c r="S1830" s="226"/>
      <c r="T1830" s="226"/>
      <c r="U1830" s="226"/>
    </row>
    <row r="1831" spans="16:21" x14ac:dyDescent="0.35">
      <c r="P1831" s="226"/>
      <c r="Q1831" s="226"/>
      <c r="R1831" s="226"/>
      <c r="S1831" s="226"/>
      <c r="T1831" s="226"/>
      <c r="U1831" s="226"/>
    </row>
    <row r="1832" spans="16:21" x14ac:dyDescent="0.35">
      <c r="P1832" s="226"/>
      <c r="Q1832" s="226"/>
      <c r="R1832" s="226"/>
      <c r="S1832" s="226"/>
      <c r="T1832" s="226"/>
      <c r="U1832" s="226"/>
    </row>
    <row r="1833" spans="16:21" x14ac:dyDescent="0.35">
      <c r="P1833" s="226"/>
      <c r="Q1833" s="226"/>
      <c r="R1833" s="226"/>
      <c r="S1833" s="226"/>
      <c r="T1833" s="226"/>
      <c r="U1833" s="226"/>
    </row>
    <row r="1834" spans="16:21" x14ac:dyDescent="0.35">
      <c r="P1834" s="226"/>
      <c r="Q1834" s="226"/>
      <c r="R1834" s="226"/>
      <c r="S1834" s="226"/>
      <c r="T1834" s="226"/>
      <c r="U1834" s="226"/>
    </row>
    <row r="1835" spans="16:21" x14ac:dyDescent="0.35">
      <c r="P1835" s="226"/>
      <c r="Q1835" s="226"/>
      <c r="R1835" s="226"/>
      <c r="S1835" s="226"/>
      <c r="T1835" s="226"/>
      <c r="U1835" s="226"/>
    </row>
    <row r="1836" spans="16:21" x14ac:dyDescent="0.35">
      <c r="P1836" s="226"/>
      <c r="Q1836" s="226"/>
      <c r="R1836" s="226"/>
      <c r="S1836" s="226"/>
      <c r="T1836" s="226"/>
      <c r="U1836" s="226"/>
    </row>
    <row r="1837" spans="16:21" x14ac:dyDescent="0.35">
      <c r="P1837" s="226"/>
      <c r="Q1837" s="226"/>
      <c r="R1837" s="226"/>
      <c r="S1837" s="226"/>
      <c r="T1837" s="226"/>
      <c r="U1837" s="226"/>
    </row>
    <row r="1838" spans="16:21" x14ac:dyDescent="0.35">
      <c r="P1838" s="226"/>
      <c r="Q1838" s="226"/>
      <c r="R1838" s="226"/>
      <c r="S1838" s="226"/>
      <c r="T1838" s="226"/>
      <c r="U1838" s="226"/>
    </row>
    <row r="1839" spans="16:21" x14ac:dyDescent="0.35">
      <c r="P1839" s="226"/>
      <c r="Q1839" s="226"/>
      <c r="R1839" s="226"/>
      <c r="S1839" s="226"/>
      <c r="T1839" s="226"/>
      <c r="U1839" s="226"/>
    </row>
    <row r="1840" spans="16:21" x14ac:dyDescent="0.35">
      <c r="P1840" s="226"/>
      <c r="Q1840" s="226"/>
      <c r="R1840" s="226"/>
      <c r="S1840" s="226"/>
      <c r="T1840" s="226"/>
      <c r="U1840" s="226"/>
    </row>
    <row r="1841" spans="16:21" x14ac:dyDescent="0.35">
      <c r="P1841" s="226"/>
      <c r="Q1841" s="226"/>
      <c r="R1841" s="226"/>
      <c r="S1841" s="226"/>
      <c r="T1841" s="226"/>
      <c r="U1841" s="226"/>
    </row>
    <row r="1842" spans="16:21" x14ac:dyDescent="0.35">
      <c r="P1842" s="226"/>
      <c r="Q1842" s="226"/>
      <c r="R1842" s="226"/>
      <c r="S1842" s="226"/>
      <c r="T1842" s="226"/>
      <c r="U1842" s="226"/>
    </row>
    <row r="1843" spans="16:21" x14ac:dyDescent="0.35">
      <c r="P1843" s="226"/>
      <c r="Q1843" s="226"/>
      <c r="R1843" s="226"/>
      <c r="S1843" s="226"/>
      <c r="T1843" s="226"/>
      <c r="U1843" s="226"/>
    </row>
    <row r="1844" spans="16:21" x14ac:dyDescent="0.35">
      <c r="P1844" s="226"/>
      <c r="Q1844" s="226"/>
      <c r="R1844" s="226"/>
      <c r="S1844" s="226"/>
      <c r="T1844" s="226"/>
      <c r="U1844" s="226"/>
    </row>
    <row r="1845" spans="16:21" x14ac:dyDescent="0.35">
      <c r="P1845" s="226"/>
      <c r="Q1845" s="226"/>
      <c r="R1845" s="226"/>
      <c r="S1845" s="226"/>
      <c r="T1845" s="226"/>
      <c r="U1845" s="226"/>
    </row>
    <row r="1846" spans="16:21" x14ac:dyDescent="0.35">
      <c r="P1846" s="226"/>
      <c r="Q1846" s="226"/>
      <c r="R1846" s="226"/>
      <c r="S1846" s="226"/>
      <c r="T1846" s="226"/>
      <c r="U1846" s="226"/>
    </row>
    <row r="1847" spans="16:21" x14ac:dyDescent="0.35">
      <c r="P1847" s="226"/>
      <c r="Q1847" s="226"/>
      <c r="R1847" s="226"/>
      <c r="S1847" s="226"/>
      <c r="T1847" s="226"/>
      <c r="U1847" s="226"/>
    </row>
    <row r="1848" spans="16:21" x14ac:dyDescent="0.35">
      <c r="P1848" s="226"/>
      <c r="Q1848" s="226"/>
      <c r="R1848" s="226"/>
      <c r="S1848" s="226"/>
      <c r="T1848" s="226"/>
      <c r="U1848" s="226"/>
    </row>
    <row r="1849" spans="16:21" x14ac:dyDescent="0.35">
      <c r="P1849" s="226"/>
      <c r="Q1849" s="226"/>
      <c r="R1849" s="226"/>
      <c r="S1849" s="226"/>
      <c r="T1849" s="226"/>
      <c r="U1849" s="226"/>
    </row>
    <row r="1850" spans="16:21" x14ac:dyDescent="0.35">
      <c r="P1850" s="226"/>
      <c r="Q1850" s="226"/>
      <c r="R1850" s="226"/>
      <c r="S1850" s="226"/>
      <c r="T1850" s="226"/>
      <c r="U1850" s="226"/>
    </row>
    <row r="1851" spans="16:21" x14ac:dyDescent="0.35">
      <c r="P1851" s="226"/>
      <c r="Q1851" s="226"/>
      <c r="R1851" s="226"/>
      <c r="S1851" s="226"/>
      <c r="T1851" s="226"/>
      <c r="U1851" s="226"/>
    </row>
    <row r="1852" spans="16:21" x14ac:dyDescent="0.35">
      <c r="P1852" s="226"/>
      <c r="Q1852" s="226"/>
      <c r="R1852" s="226"/>
      <c r="S1852" s="226"/>
      <c r="T1852" s="226"/>
      <c r="U1852" s="226"/>
    </row>
    <row r="1853" spans="16:21" x14ac:dyDescent="0.35">
      <c r="P1853" s="226"/>
      <c r="Q1853" s="226"/>
      <c r="R1853" s="226"/>
      <c r="S1853" s="226"/>
      <c r="T1853" s="226"/>
      <c r="U1853" s="226"/>
    </row>
    <row r="1854" spans="16:21" x14ac:dyDescent="0.35">
      <c r="P1854" s="226"/>
      <c r="Q1854" s="226"/>
      <c r="R1854" s="226"/>
      <c r="S1854" s="226"/>
      <c r="T1854" s="226"/>
      <c r="U1854" s="226"/>
    </row>
    <row r="1855" spans="16:21" x14ac:dyDescent="0.35">
      <c r="P1855" s="226"/>
      <c r="Q1855" s="226"/>
      <c r="R1855" s="226"/>
      <c r="S1855" s="226"/>
      <c r="T1855" s="226"/>
      <c r="U1855" s="226"/>
    </row>
    <row r="1856" spans="16:21" x14ac:dyDescent="0.35">
      <c r="P1856" s="226"/>
      <c r="Q1856" s="226"/>
      <c r="R1856" s="226"/>
      <c r="S1856" s="226"/>
      <c r="T1856" s="226"/>
      <c r="U1856" s="226"/>
    </row>
    <row r="1857" spans="16:21" x14ac:dyDescent="0.35">
      <c r="P1857" s="226"/>
      <c r="Q1857" s="226"/>
      <c r="R1857" s="226"/>
      <c r="S1857" s="226"/>
      <c r="T1857" s="226"/>
      <c r="U1857" s="226"/>
    </row>
    <row r="1858" spans="16:21" x14ac:dyDescent="0.35">
      <c r="P1858" s="226"/>
      <c r="Q1858" s="226"/>
      <c r="R1858" s="226"/>
      <c r="S1858" s="226"/>
      <c r="T1858" s="226"/>
      <c r="U1858" s="226"/>
    </row>
    <row r="1859" spans="16:21" x14ac:dyDescent="0.35">
      <c r="P1859" s="226"/>
      <c r="Q1859" s="226"/>
      <c r="R1859" s="226"/>
      <c r="S1859" s="226"/>
      <c r="T1859" s="226"/>
      <c r="U1859" s="226"/>
    </row>
    <row r="1860" spans="16:21" x14ac:dyDescent="0.35">
      <c r="P1860" s="226"/>
      <c r="Q1860" s="226"/>
      <c r="R1860" s="226"/>
      <c r="S1860" s="226"/>
      <c r="T1860" s="226"/>
      <c r="U1860" s="226"/>
    </row>
    <row r="1861" spans="16:21" x14ac:dyDescent="0.35">
      <c r="P1861" s="226"/>
      <c r="Q1861" s="226"/>
      <c r="R1861" s="226"/>
      <c r="S1861" s="226"/>
      <c r="T1861" s="226"/>
      <c r="U1861" s="226"/>
    </row>
    <row r="1862" spans="16:21" x14ac:dyDescent="0.35">
      <c r="P1862" s="226"/>
      <c r="Q1862" s="226"/>
      <c r="R1862" s="226"/>
      <c r="S1862" s="226"/>
      <c r="T1862" s="226"/>
      <c r="U1862" s="226"/>
    </row>
    <row r="1863" spans="16:21" x14ac:dyDescent="0.35">
      <c r="P1863" s="226"/>
      <c r="Q1863" s="226"/>
      <c r="R1863" s="226"/>
      <c r="S1863" s="226"/>
      <c r="T1863" s="226"/>
      <c r="U1863" s="226"/>
    </row>
    <row r="1864" spans="16:21" x14ac:dyDescent="0.35">
      <c r="P1864" s="226"/>
      <c r="Q1864" s="226"/>
      <c r="R1864" s="226"/>
      <c r="S1864" s="226"/>
      <c r="T1864" s="226"/>
      <c r="U1864" s="226"/>
    </row>
    <row r="1865" spans="16:21" x14ac:dyDescent="0.35">
      <c r="P1865" s="226"/>
      <c r="Q1865" s="226"/>
      <c r="R1865" s="226"/>
      <c r="S1865" s="226"/>
      <c r="T1865" s="226"/>
      <c r="U1865" s="226"/>
    </row>
    <row r="1866" spans="16:21" x14ac:dyDescent="0.35">
      <c r="P1866" s="226"/>
      <c r="Q1866" s="226"/>
      <c r="R1866" s="226"/>
      <c r="S1866" s="226"/>
      <c r="T1866" s="226"/>
      <c r="U1866" s="226"/>
    </row>
    <row r="1867" spans="16:21" x14ac:dyDescent="0.35">
      <c r="P1867" s="226"/>
      <c r="Q1867" s="226"/>
      <c r="R1867" s="226"/>
      <c r="S1867" s="226"/>
      <c r="T1867" s="226"/>
      <c r="U1867" s="226"/>
    </row>
    <row r="1868" spans="16:21" x14ac:dyDescent="0.35">
      <c r="P1868" s="226"/>
      <c r="Q1868" s="226"/>
      <c r="R1868" s="226"/>
      <c r="S1868" s="226"/>
      <c r="T1868" s="226"/>
      <c r="U1868" s="226"/>
    </row>
    <row r="1869" spans="16:21" x14ac:dyDescent="0.35">
      <c r="P1869" s="226"/>
      <c r="Q1869" s="226"/>
      <c r="R1869" s="226"/>
      <c r="S1869" s="226"/>
      <c r="T1869" s="226"/>
      <c r="U1869" s="226"/>
    </row>
    <row r="1870" spans="16:21" x14ac:dyDescent="0.35">
      <c r="P1870" s="226"/>
      <c r="Q1870" s="226"/>
      <c r="R1870" s="226"/>
      <c r="S1870" s="226"/>
      <c r="T1870" s="226"/>
      <c r="U1870" s="226"/>
    </row>
    <row r="1871" spans="16:21" x14ac:dyDescent="0.35">
      <c r="P1871" s="226"/>
      <c r="Q1871" s="226"/>
      <c r="R1871" s="226"/>
      <c r="S1871" s="226"/>
      <c r="T1871" s="226"/>
      <c r="U1871" s="226"/>
    </row>
    <row r="1872" spans="16:21" x14ac:dyDescent="0.35">
      <c r="P1872" s="226"/>
      <c r="Q1872" s="226"/>
      <c r="R1872" s="226"/>
      <c r="S1872" s="226"/>
      <c r="T1872" s="226"/>
      <c r="U1872" s="226"/>
    </row>
    <row r="1873" spans="16:21" x14ac:dyDescent="0.35">
      <c r="P1873" s="226"/>
      <c r="Q1873" s="226"/>
      <c r="R1873" s="226"/>
      <c r="S1873" s="226"/>
      <c r="T1873" s="226"/>
      <c r="U1873" s="226"/>
    </row>
    <row r="1874" spans="16:21" x14ac:dyDescent="0.35">
      <c r="P1874" s="226"/>
      <c r="Q1874" s="226"/>
      <c r="R1874" s="226"/>
      <c r="S1874" s="226"/>
      <c r="T1874" s="226"/>
      <c r="U1874" s="226"/>
    </row>
    <row r="1875" spans="16:21" x14ac:dyDescent="0.35">
      <c r="P1875" s="226"/>
      <c r="Q1875" s="226"/>
      <c r="R1875" s="226"/>
      <c r="S1875" s="226"/>
      <c r="T1875" s="226"/>
      <c r="U1875" s="226"/>
    </row>
    <row r="1876" spans="16:21" x14ac:dyDescent="0.35">
      <c r="P1876" s="226"/>
      <c r="Q1876" s="226"/>
      <c r="R1876" s="226"/>
      <c r="S1876" s="226"/>
      <c r="T1876" s="226"/>
      <c r="U1876" s="226"/>
    </row>
    <row r="1877" spans="16:21" x14ac:dyDescent="0.35">
      <c r="P1877" s="226"/>
      <c r="Q1877" s="226"/>
      <c r="R1877" s="226"/>
      <c r="S1877" s="226"/>
      <c r="T1877" s="226"/>
      <c r="U1877" s="226"/>
    </row>
    <row r="1878" spans="16:21" x14ac:dyDescent="0.35">
      <c r="P1878" s="226"/>
      <c r="Q1878" s="226"/>
      <c r="R1878" s="226"/>
      <c r="S1878" s="226"/>
      <c r="T1878" s="226"/>
      <c r="U1878" s="226"/>
    </row>
    <row r="1879" spans="16:21" x14ac:dyDescent="0.35">
      <c r="P1879" s="226"/>
      <c r="Q1879" s="226"/>
      <c r="R1879" s="226"/>
      <c r="S1879" s="226"/>
      <c r="T1879" s="226"/>
      <c r="U1879" s="226"/>
    </row>
    <row r="1880" spans="16:21" x14ac:dyDescent="0.35">
      <c r="P1880" s="226"/>
      <c r="Q1880" s="226"/>
      <c r="R1880" s="226"/>
      <c r="S1880" s="226"/>
      <c r="T1880" s="226"/>
      <c r="U1880" s="226"/>
    </row>
    <row r="1881" spans="16:21" x14ac:dyDescent="0.35">
      <c r="P1881" s="226"/>
      <c r="Q1881" s="226"/>
      <c r="R1881" s="226"/>
      <c r="S1881" s="226"/>
      <c r="T1881" s="226"/>
      <c r="U1881" s="226"/>
    </row>
    <row r="1882" spans="16:21" x14ac:dyDescent="0.35">
      <c r="P1882" s="226"/>
      <c r="Q1882" s="226"/>
      <c r="R1882" s="226"/>
      <c r="S1882" s="226"/>
      <c r="T1882" s="226"/>
      <c r="U1882" s="226"/>
    </row>
    <row r="1883" spans="16:21" x14ac:dyDescent="0.35">
      <c r="P1883" s="226"/>
      <c r="Q1883" s="226"/>
      <c r="R1883" s="226"/>
      <c r="S1883" s="226"/>
      <c r="T1883" s="226"/>
      <c r="U1883" s="226"/>
    </row>
    <row r="1884" spans="16:21" x14ac:dyDescent="0.35">
      <c r="P1884" s="226"/>
      <c r="Q1884" s="226"/>
      <c r="R1884" s="226"/>
      <c r="S1884" s="226"/>
      <c r="T1884" s="226"/>
      <c r="U1884" s="226"/>
    </row>
    <row r="1885" spans="16:21" x14ac:dyDescent="0.35">
      <c r="P1885" s="226"/>
      <c r="Q1885" s="226"/>
      <c r="R1885" s="226"/>
      <c r="S1885" s="226"/>
      <c r="T1885" s="226"/>
      <c r="U1885" s="226"/>
    </row>
    <row r="1886" spans="16:21" x14ac:dyDescent="0.35">
      <c r="P1886" s="226"/>
      <c r="Q1886" s="226"/>
      <c r="R1886" s="226"/>
      <c r="S1886" s="226"/>
      <c r="T1886" s="226"/>
      <c r="U1886" s="226"/>
    </row>
    <row r="1887" spans="16:21" x14ac:dyDescent="0.35">
      <c r="P1887" s="226"/>
      <c r="Q1887" s="226"/>
      <c r="R1887" s="226"/>
      <c r="S1887" s="226"/>
      <c r="T1887" s="226"/>
      <c r="U1887" s="226"/>
    </row>
    <row r="1888" spans="16:21" x14ac:dyDescent="0.35">
      <c r="P1888" s="226"/>
      <c r="Q1888" s="226"/>
      <c r="R1888" s="226"/>
      <c r="S1888" s="226"/>
      <c r="T1888" s="226"/>
      <c r="U1888" s="226"/>
    </row>
    <row r="1889" spans="16:21" x14ac:dyDescent="0.35">
      <c r="P1889" s="226"/>
      <c r="Q1889" s="226"/>
      <c r="R1889" s="226"/>
      <c r="S1889" s="226"/>
      <c r="T1889" s="226"/>
      <c r="U1889" s="226"/>
    </row>
    <row r="1890" spans="16:21" x14ac:dyDescent="0.35">
      <c r="P1890" s="226"/>
      <c r="Q1890" s="226"/>
      <c r="R1890" s="226"/>
      <c r="S1890" s="226"/>
      <c r="T1890" s="226"/>
      <c r="U1890" s="226"/>
    </row>
    <row r="1891" spans="16:21" x14ac:dyDescent="0.35">
      <c r="P1891" s="226"/>
      <c r="Q1891" s="226"/>
      <c r="R1891" s="226"/>
      <c r="S1891" s="226"/>
      <c r="T1891" s="226"/>
      <c r="U1891" s="226"/>
    </row>
    <row r="1892" spans="16:21" x14ac:dyDescent="0.35">
      <c r="P1892" s="226"/>
      <c r="Q1892" s="226"/>
      <c r="R1892" s="226"/>
      <c r="S1892" s="226"/>
      <c r="T1892" s="226"/>
      <c r="U1892" s="226"/>
    </row>
    <row r="1893" spans="16:21" x14ac:dyDescent="0.35">
      <c r="P1893" s="226"/>
      <c r="Q1893" s="226"/>
      <c r="R1893" s="226"/>
      <c r="S1893" s="226"/>
      <c r="T1893" s="226"/>
      <c r="U1893" s="226"/>
    </row>
    <row r="1894" spans="16:21" x14ac:dyDescent="0.35">
      <c r="P1894" s="226"/>
      <c r="Q1894" s="226"/>
      <c r="R1894" s="226"/>
      <c r="S1894" s="226"/>
      <c r="T1894" s="226"/>
      <c r="U1894" s="226"/>
    </row>
    <row r="1895" spans="16:21" x14ac:dyDescent="0.35">
      <c r="P1895" s="226"/>
      <c r="Q1895" s="226"/>
      <c r="R1895" s="226"/>
      <c r="S1895" s="226"/>
      <c r="T1895" s="226"/>
      <c r="U1895" s="226"/>
    </row>
    <row r="1896" spans="16:21" x14ac:dyDescent="0.35">
      <c r="P1896" s="226"/>
      <c r="Q1896" s="226"/>
      <c r="R1896" s="226"/>
      <c r="S1896" s="226"/>
      <c r="T1896" s="226"/>
      <c r="U1896" s="226"/>
    </row>
    <row r="1897" spans="16:21" x14ac:dyDescent="0.35">
      <c r="P1897" s="226"/>
      <c r="Q1897" s="226"/>
      <c r="R1897" s="226"/>
      <c r="S1897" s="226"/>
      <c r="T1897" s="226"/>
      <c r="U1897" s="226"/>
    </row>
    <row r="1898" spans="16:21" x14ac:dyDescent="0.35">
      <c r="P1898" s="226"/>
      <c r="Q1898" s="226"/>
      <c r="R1898" s="226"/>
      <c r="S1898" s="226"/>
      <c r="T1898" s="226"/>
      <c r="U1898" s="226"/>
    </row>
    <row r="1899" spans="16:21" x14ac:dyDescent="0.35">
      <c r="P1899" s="226"/>
      <c r="Q1899" s="226"/>
      <c r="R1899" s="226"/>
      <c r="S1899" s="226"/>
      <c r="T1899" s="226"/>
      <c r="U1899" s="226"/>
    </row>
    <row r="1900" spans="16:21" x14ac:dyDescent="0.35">
      <c r="P1900" s="226"/>
      <c r="Q1900" s="226"/>
      <c r="R1900" s="226"/>
      <c r="S1900" s="226"/>
      <c r="T1900" s="226"/>
      <c r="U1900" s="226"/>
    </row>
    <row r="1901" spans="16:21" x14ac:dyDescent="0.35">
      <c r="P1901" s="226"/>
      <c r="Q1901" s="226"/>
      <c r="R1901" s="226"/>
      <c r="S1901" s="226"/>
      <c r="T1901" s="226"/>
      <c r="U1901" s="226"/>
    </row>
    <row r="1902" spans="16:21" x14ac:dyDescent="0.35">
      <c r="P1902" s="226"/>
      <c r="Q1902" s="226"/>
      <c r="R1902" s="226"/>
      <c r="S1902" s="226"/>
      <c r="T1902" s="226"/>
      <c r="U1902" s="226"/>
    </row>
    <row r="1903" spans="16:21" x14ac:dyDescent="0.35">
      <c r="P1903" s="226"/>
      <c r="Q1903" s="226"/>
      <c r="R1903" s="226"/>
      <c r="S1903" s="226"/>
      <c r="T1903" s="226"/>
      <c r="U1903" s="226"/>
    </row>
    <row r="1904" spans="16:21" x14ac:dyDescent="0.35">
      <c r="P1904" s="226"/>
      <c r="Q1904" s="226"/>
      <c r="R1904" s="226"/>
      <c r="S1904" s="226"/>
      <c r="T1904" s="226"/>
      <c r="U1904" s="226"/>
    </row>
    <row r="1905" spans="16:21" x14ac:dyDescent="0.35">
      <c r="P1905" s="226"/>
      <c r="Q1905" s="226"/>
      <c r="R1905" s="226"/>
      <c r="S1905" s="226"/>
      <c r="T1905" s="226"/>
      <c r="U1905" s="226"/>
    </row>
    <row r="1906" spans="16:21" x14ac:dyDescent="0.35">
      <c r="P1906" s="226"/>
      <c r="Q1906" s="226"/>
      <c r="R1906" s="226"/>
      <c r="S1906" s="226"/>
      <c r="T1906" s="226"/>
      <c r="U1906" s="226"/>
    </row>
    <row r="1907" spans="16:21" x14ac:dyDescent="0.35">
      <c r="P1907" s="226"/>
      <c r="Q1907" s="226"/>
      <c r="R1907" s="226"/>
      <c r="S1907" s="226"/>
      <c r="T1907" s="226"/>
      <c r="U1907" s="226"/>
    </row>
    <row r="1908" spans="16:21" x14ac:dyDescent="0.35">
      <c r="P1908" s="226"/>
      <c r="Q1908" s="226"/>
      <c r="R1908" s="226"/>
      <c r="S1908" s="226"/>
      <c r="T1908" s="226"/>
      <c r="U1908" s="226"/>
    </row>
    <row r="1909" spans="16:21" x14ac:dyDescent="0.35">
      <c r="P1909" s="226"/>
      <c r="Q1909" s="226"/>
      <c r="R1909" s="226"/>
      <c r="S1909" s="226"/>
      <c r="T1909" s="226"/>
      <c r="U1909" s="226"/>
    </row>
    <row r="1910" spans="16:21" x14ac:dyDescent="0.35">
      <c r="P1910" s="226"/>
      <c r="Q1910" s="226"/>
      <c r="R1910" s="226"/>
      <c r="S1910" s="226"/>
      <c r="T1910" s="226"/>
      <c r="U1910" s="226"/>
    </row>
    <row r="1911" spans="16:21" x14ac:dyDescent="0.35">
      <c r="P1911" s="226"/>
      <c r="Q1911" s="226"/>
      <c r="R1911" s="226"/>
      <c r="S1911" s="226"/>
      <c r="T1911" s="226"/>
      <c r="U1911" s="226"/>
    </row>
    <row r="1912" spans="16:21" x14ac:dyDescent="0.35">
      <c r="P1912" s="226"/>
      <c r="Q1912" s="226"/>
      <c r="R1912" s="226"/>
      <c r="S1912" s="226"/>
      <c r="T1912" s="226"/>
      <c r="U1912" s="226"/>
    </row>
    <row r="1913" spans="16:21" x14ac:dyDescent="0.35">
      <c r="P1913" s="226"/>
      <c r="Q1913" s="226"/>
      <c r="R1913" s="226"/>
      <c r="S1913" s="226"/>
      <c r="T1913" s="226"/>
      <c r="U1913" s="226"/>
    </row>
    <row r="1914" spans="16:21" x14ac:dyDescent="0.35">
      <c r="P1914" s="226"/>
      <c r="Q1914" s="226"/>
      <c r="R1914" s="226"/>
      <c r="S1914" s="226"/>
      <c r="T1914" s="226"/>
      <c r="U1914" s="226"/>
    </row>
    <row r="1915" spans="16:21" x14ac:dyDescent="0.35">
      <c r="P1915" s="226"/>
      <c r="Q1915" s="226"/>
      <c r="R1915" s="226"/>
      <c r="S1915" s="226"/>
      <c r="T1915" s="226"/>
      <c r="U1915" s="226"/>
    </row>
    <row r="1916" spans="16:21" x14ac:dyDescent="0.35">
      <c r="P1916" s="226"/>
      <c r="Q1916" s="226"/>
      <c r="R1916" s="226"/>
      <c r="S1916" s="226"/>
      <c r="T1916" s="226"/>
      <c r="U1916" s="226"/>
    </row>
    <row r="1917" spans="16:21" x14ac:dyDescent="0.35">
      <c r="P1917" s="226"/>
      <c r="Q1917" s="226"/>
      <c r="R1917" s="226"/>
      <c r="S1917" s="226"/>
      <c r="T1917" s="226"/>
      <c r="U1917" s="226"/>
    </row>
    <row r="1918" spans="16:21" x14ac:dyDescent="0.35">
      <c r="P1918" s="226"/>
      <c r="Q1918" s="226"/>
      <c r="R1918" s="226"/>
      <c r="S1918" s="226"/>
      <c r="T1918" s="226"/>
      <c r="U1918" s="226"/>
    </row>
    <row r="1919" spans="16:21" x14ac:dyDescent="0.35">
      <c r="P1919" s="226"/>
      <c r="Q1919" s="226"/>
      <c r="R1919" s="226"/>
      <c r="S1919" s="226"/>
      <c r="T1919" s="226"/>
      <c r="U1919" s="226"/>
    </row>
    <row r="1920" spans="16:21" x14ac:dyDescent="0.35">
      <c r="P1920" s="226"/>
      <c r="Q1920" s="226"/>
      <c r="R1920" s="226"/>
      <c r="S1920" s="226"/>
      <c r="T1920" s="226"/>
      <c r="U1920" s="226"/>
    </row>
    <row r="1921" spans="16:21" x14ac:dyDescent="0.35">
      <c r="P1921" s="226"/>
      <c r="Q1921" s="226"/>
      <c r="R1921" s="226"/>
      <c r="S1921" s="226"/>
      <c r="T1921" s="226"/>
      <c r="U1921" s="226"/>
    </row>
    <row r="1922" spans="16:21" x14ac:dyDescent="0.35">
      <c r="P1922" s="226"/>
      <c r="Q1922" s="226"/>
      <c r="R1922" s="226"/>
      <c r="S1922" s="226"/>
      <c r="T1922" s="226"/>
      <c r="U1922" s="226"/>
    </row>
    <row r="1923" spans="16:21" x14ac:dyDescent="0.35">
      <c r="P1923" s="226"/>
      <c r="Q1923" s="226"/>
      <c r="R1923" s="226"/>
      <c r="S1923" s="226"/>
      <c r="T1923" s="226"/>
      <c r="U1923" s="226"/>
    </row>
    <row r="1924" spans="16:21" x14ac:dyDescent="0.35">
      <c r="P1924" s="226"/>
      <c r="Q1924" s="226"/>
      <c r="R1924" s="226"/>
      <c r="S1924" s="226"/>
      <c r="T1924" s="226"/>
      <c r="U1924" s="226"/>
    </row>
    <row r="1925" spans="16:21" x14ac:dyDescent="0.35">
      <c r="P1925" s="226"/>
      <c r="Q1925" s="226"/>
      <c r="R1925" s="226"/>
      <c r="S1925" s="226"/>
      <c r="T1925" s="226"/>
      <c r="U1925" s="226"/>
    </row>
    <row r="1926" spans="16:21" x14ac:dyDescent="0.35">
      <c r="P1926" s="226"/>
      <c r="Q1926" s="226"/>
      <c r="R1926" s="226"/>
      <c r="S1926" s="226"/>
      <c r="T1926" s="226"/>
      <c r="U1926" s="226"/>
    </row>
    <row r="1927" spans="16:21" x14ac:dyDescent="0.35">
      <c r="P1927" s="226"/>
      <c r="Q1927" s="226"/>
      <c r="R1927" s="226"/>
      <c r="S1927" s="226"/>
      <c r="T1927" s="226"/>
      <c r="U1927" s="226"/>
    </row>
    <row r="1928" spans="16:21" x14ac:dyDescent="0.35">
      <c r="P1928" s="226"/>
      <c r="Q1928" s="226"/>
      <c r="R1928" s="226"/>
      <c r="S1928" s="226"/>
      <c r="T1928" s="226"/>
      <c r="U1928" s="226"/>
    </row>
    <row r="1929" spans="16:21" x14ac:dyDescent="0.35">
      <c r="P1929" s="226"/>
      <c r="Q1929" s="226"/>
      <c r="R1929" s="226"/>
      <c r="S1929" s="226"/>
      <c r="T1929" s="226"/>
      <c r="U1929" s="226"/>
    </row>
    <row r="1930" spans="16:21" x14ac:dyDescent="0.35">
      <c r="P1930" s="226"/>
      <c r="Q1930" s="226"/>
      <c r="R1930" s="226"/>
      <c r="S1930" s="226"/>
      <c r="T1930" s="226"/>
      <c r="U1930" s="226"/>
    </row>
    <row r="1931" spans="16:21" x14ac:dyDescent="0.35">
      <c r="P1931" s="226"/>
      <c r="Q1931" s="226"/>
      <c r="R1931" s="226"/>
      <c r="S1931" s="226"/>
      <c r="T1931" s="226"/>
      <c r="U1931" s="226"/>
    </row>
    <row r="1932" spans="16:21" x14ac:dyDescent="0.35">
      <c r="P1932" s="226"/>
      <c r="Q1932" s="226"/>
      <c r="R1932" s="226"/>
      <c r="S1932" s="226"/>
      <c r="T1932" s="226"/>
      <c r="U1932" s="226"/>
    </row>
    <row r="1933" spans="16:21" x14ac:dyDescent="0.35">
      <c r="P1933" s="226"/>
      <c r="Q1933" s="226"/>
      <c r="R1933" s="226"/>
      <c r="S1933" s="226"/>
      <c r="T1933" s="226"/>
      <c r="U1933" s="226"/>
    </row>
    <row r="1934" spans="16:21" x14ac:dyDescent="0.35">
      <c r="P1934" s="226"/>
      <c r="Q1934" s="226"/>
      <c r="R1934" s="226"/>
      <c r="S1934" s="226"/>
      <c r="T1934" s="226"/>
      <c r="U1934" s="226"/>
    </row>
    <row r="1935" spans="16:21" x14ac:dyDescent="0.35">
      <c r="P1935" s="226"/>
      <c r="Q1935" s="226"/>
      <c r="R1935" s="226"/>
      <c r="S1935" s="226"/>
      <c r="T1935" s="226"/>
      <c r="U1935" s="226"/>
    </row>
    <row r="1936" spans="16:21" x14ac:dyDescent="0.35">
      <c r="P1936" s="226"/>
      <c r="Q1936" s="226"/>
      <c r="R1936" s="226"/>
      <c r="S1936" s="226"/>
      <c r="T1936" s="226"/>
      <c r="U1936" s="226"/>
    </row>
    <row r="1937" spans="16:21" x14ac:dyDescent="0.35">
      <c r="P1937" s="226"/>
      <c r="Q1937" s="226"/>
      <c r="R1937" s="226"/>
      <c r="S1937" s="226"/>
      <c r="T1937" s="226"/>
      <c r="U1937" s="226"/>
    </row>
    <row r="1938" spans="16:21" x14ac:dyDescent="0.35">
      <c r="P1938" s="226"/>
      <c r="Q1938" s="226"/>
      <c r="R1938" s="226"/>
      <c r="S1938" s="226"/>
      <c r="T1938" s="226"/>
      <c r="U1938" s="226"/>
    </row>
    <row r="1939" spans="16:21" x14ac:dyDescent="0.35">
      <c r="P1939" s="226"/>
      <c r="Q1939" s="226"/>
      <c r="R1939" s="226"/>
      <c r="S1939" s="226"/>
      <c r="T1939" s="226"/>
      <c r="U1939" s="226"/>
    </row>
    <row r="1940" spans="16:21" x14ac:dyDescent="0.35">
      <c r="P1940" s="226"/>
      <c r="Q1940" s="226"/>
      <c r="R1940" s="226"/>
      <c r="S1940" s="226"/>
      <c r="T1940" s="226"/>
      <c r="U1940" s="226"/>
    </row>
    <row r="1941" spans="16:21" x14ac:dyDescent="0.35">
      <c r="P1941" s="226"/>
      <c r="Q1941" s="226"/>
      <c r="R1941" s="226"/>
      <c r="S1941" s="226"/>
      <c r="T1941" s="226"/>
      <c r="U1941" s="226"/>
    </row>
    <row r="1942" spans="16:21" x14ac:dyDescent="0.35">
      <c r="P1942" s="226"/>
      <c r="Q1942" s="226"/>
      <c r="R1942" s="226"/>
      <c r="S1942" s="226"/>
      <c r="T1942" s="226"/>
      <c r="U1942" s="226"/>
    </row>
    <row r="1943" spans="16:21" x14ac:dyDescent="0.35">
      <c r="P1943" s="226"/>
      <c r="Q1943" s="226"/>
      <c r="R1943" s="226"/>
      <c r="S1943" s="226"/>
      <c r="T1943" s="226"/>
      <c r="U1943" s="226"/>
    </row>
    <row r="1944" spans="16:21" x14ac:dyDescent="0.35">
      <c r="P1944" s="226"/>
      <c r="Q1944" s="226"/>
      <c r="R1944" s="226"/>
      <c r="S1944" s="226"/>
      <c r="T1944" s="226"/>
      <c r="U1944" s="226"/>
    </row>
    <row r="1945" spans="16:21" x14ac:dyDescent="0.35">
      <c r="P1945" s="226"/>
      <c r="Q1945" s="226"/>
      <c r="R1945" s="226"/>
      <c r="S1945" s="226"/>
      <c r="T1945" s="226"/>
      <c r="U1945" s="226"/>
    </row>
    <row r="1946" spans="16:21" x14ac:dyDescent="0.35">
      <c r="P1946" s="226"/>
      <c r="Q1946" s="226"/>
      <c r="R1946" s="226"/>
      <c r="S1946" s="226"/>
      <c r="T1946" s="226"/>
      <c r="U1946" s="226"/>
    </row>
    <row r="1947" spans="16:21" x14ac:dyDescent="0.35">
      <c r="P1947" s="226"/>
      <c r="Q1947" s="226"/>
      <c r="R1947" s="226"/>
      <c r="S1947" s="226"/>
      <c r="T1947" s="226"/>
      <c r="U1947" s="226"/>
    </row>
    <row r="1948" spans="16:21" x14ac:dyDescent="0.35">
      <c r="P1948" s="226"/>
      <c r="Q1948" s="226"/>
      <c r="R1948" s="226"/>
      <c r="S1948" s="226"/>
      <c r="T1948" s="226"/>
      <c r="U1948" s="226"/>
    </row>
    <row r="1949" spans="16:21" x14ac:dyDescent="0.35">
      <c r="P1949" s="226"/>
      <c r="Q1949" s="226"/>
      <c r="R1949" s="226"/>
      <c r="S1949" s="226"/>
      <c r="T1949" s="226"/>
      <c r="U1949" s="226"/>
    </row>
    <row r="1950" spans="16:21" x14ac:dyDescent="0.35">
      <c r="P1950" s="226"/>
      <c r="Q1950" s="226"/>
      <c r="R1950" s="226"/>
      <c r="S1950" s="226"/>
      <c r="T1950" s="226"/>
      <c r="U1950" s="226"/>
    </row>
    <row r="1951" spans="16:21" x14ac:dyDescent="0.35">
      <c r="P1951" s="226"/>
      <c r="Q1951" s="226"/>
      <c r="R1951" s="226"/>
      <c r="S1951" s="226"/>
      <c r="T1951" s="226"/>
      <c r="U1951" s="226"/>
    </row>
    <row r="1952" spans="16:21" x14ac:dyDescent="0.35">
      <c r="P1952" s="226"/>
      <c r="Q1952" s="226"/>
      <c r="R1952" s="226"/>
      <c r="S1952" s="226"/>
      <c r="T1952" s="226"/>
      <c r="U1952" s="226"/>
    </row>
    <row r="1953" spans="16:21" x14ac:dyDescent="0.35">
      <c r="P1953" s="226"/>
      <c r="Q1953" s="226"/>
      <c r="R1953" s="226"/>
      <c r="S1953" s="226"/>
      <c r="T1953" s="226"/>
      <c r="U1953" s="226"/>
    </row>
    <row r="1954" spans="16:21" x14ac:dyDescent="0.35">
      <c r="P1954" s="226"/>
      <c r="Q1954" s="226"/>
      <c r="R1954" s="226"/>
      <c r="S1954" s="226"/>
      <c r="T1954" s="226"/>
      <c r="U1954" s="226"/>
    </row>
    <row r="1955" spans="16:21" x14ac:dyDescent="0.35">
      <c r="P1955" s="226"/>
      <c r="Q1955" s="226"/>
      <c r="R1955" s="226"/>
      <c r="S1955" s="226"/>
      <c r="T1955" s="226"/>
      <c r="U1955" s="226"/>
    </row>
    <row r="1956" spans="16:21" x14ac:dyDescent="0.35">
      <c r="P1956" s="226"/>
      <c r="Q1956" s="226"/>
      <c r="R1956" s="226"/>
      <c r="S1956" s="226"/>
      <c r="T1956" s="226"/>
      <c r="U1956" s="226"/>
    </row>
    <row r="1957" spans="16:21" x14ac:dyDescent="0.35">
      <c r="P1957" s="226"/>
      <c r="Q1957" s="226"/>
      <c r="R1957" s="226"/>
      <c r="S1957" s="226"/>
      <c r="T1957" s="226"/>
      <c r="U1957" s="226"/>
    </row>
    <row r="1958" spans="16:21" x14ac:dyDescent="0.35">
      <c r="P1958" s="226"/>
      <c r="Q1958" s="226"/>
      <c r="R1958" s="226"/>
      <c r="S1958" s="226"/>
      <c r="T1958" s="226"/>
      <c r="U1958" s="226"/>
    </row>
    <row r="1959" spans="16:21" x14ac:dyDescent="0.35">
      <c r="P1959" s="226"/>
      <c r="Q1959" s="226"/>
      <c r="R1959" s="226"/>
      <c r="S1959" s="226"/>
      <c r="T1959" s="226"/>
      <c r="U1959" s="226"/>
    </row>
    <row r="1960" spans="16:21" x14ac:dyDescent="0.35">
      <c r="P1960" s="226"/>
      <c r="Q1960" s="226"/>
      <c r="R1960" s="226"/>
      <c r="S1960" s="226"/>
      <c r="T1960" s="226"/>
      <c r="U1960" s="226"/>
    </row>
    <row r="1961" spans="16:21" x14ac:dyDescent="0.35">
      <c r="P1961" s="226"/>
      <c r="Q1961" s="226"/>
      <c r="R1961" s="226"/>
      <c r="S1961" s="226"/>
      <c r="T1961" s="226"/>
      <c r="U1961" s="226"/>
    </row>
    <row r="1962" spans="16:21" x14ac:dyDescent="0.35">
      <c r="P1962" s="226"/>
      <c r="Q1962" s="226"/>
      <c r="R1962" s="226"/>
      <c r="S1962" s="226"/>
      <c r="T1962" s="226"/>
      <c r="U1962" s="226"/>
    </row>
    <row r="1963" spans="16:21" x14ac:dyDescent="0.35">
      <c r="P1963" s="226"/>
      <c r="Q1963" s="226"/>
      <c r="R1963" s="226"/>
      <c r="S1963" s="226"/>
      <c r="T1963" s="226"/>
      <c r="U1963" s="226"/>
    </row>
    <row r="1964" spans="16:21" x14ac:dyDescent="0.35">
      <c r="P1964" s="226"/>
      <c r="Q1964" s="226"/>
      <c r="R1964" s="226"/>
      <c r="S1964" s="226"/>
      <c r="T1964" s="226"/>
      <c r="U1964" s="226"/>
    </row>
    <row r="1965" spans="16:21" x14ac:dyDescent="0.35">
      <c r="P1965" s="226"/>
      <c r="Q1965" s="226"/>
      <c r="R1965" s="226"/>
      <c r="S1965" s="226"/>
      <c r="T1965" s="226"/>
      <c r="U1965" s="226"/>
    </row>
    <row r="1966" spans="16:21" x14ac:dyDescent="0.35">
      <c r="P1966" s="226"/>
      <c r="Q1966" s="226"/>
      <c r="R1966" s="226"/>
      <c r="S1966" s="226"/>
      <c r="T1966" s="226"/>
      <c r="U1966" s="226"/>
    </row>
    <row r="1967" spans="16:21" x14ac:dyDescent="0.35">
      <c r="P1967" s="226"/>
      <c r="Q1967" s="226"/>
      <c r="R1967" s="226"/>
      <c r="S1967" s="226"/>
      <c r="T1967" s="226"/>
      <c r="U1967" s="226"/>
    </row>
    <row r="1968" spans="16:21" x14ac:dyDescent="0.35">
      <c r="P1968" s="226"/>
      <c r="Q1968" s="226"/>
      <c r="R1968" s="226"/>
      <c r="S1968" s="226"/>
      <c r="T1968" s="226"/>
      <c r="U1968" s="226"/>
    </row>
    <row r="1969" spans="16:21" x14ac:dyDescent="0.35">
      <c r="P1969" s="226"/>
      <c r="Q1969" s="226"/>
      <c r="R1969" s="226"/>
      <c r="S1969" s="226"/>
      <c r="T1969" s="226"/>
      <c r="U1969" s="226"/>
    </row>
    <row r="1970" spans="16:21" x14ac:dyDescent="0.35">
      <c r="P1970" s="226"/>
      <c r="Q1970" s="226"/>
      <c r="R1970" s="226"/>
      <c r="S1970" s="226"/>
      <c r="T1970" s="226"/>
      <c r="U1970" s="226"/>
    </row>
    <row r="1971" spans="16:21" x14ac:dyDescent="0.35">
      <c r="P1971" s="226"/>
      <c r="Q1971" s="226"/>
      <c r="R1971" s="226"/>
      <c r="S1971" s="226"/>
      <c r="T1971" s="226"/>
      <c r="U1971" s="226"/>
    </row>
    <row r="1972" spans="16:21" x14ac:dyDescent="0.35">
      <c r="P1972" s="226"/>
      <c r="Q1972" s="226"/>
      <c r="R1972" s="226"/>
      <c r="S1972" s="226"/>
      <c r="T1972" s="226"/>
      <c r="U1972" s="226"/>
    </row>
    <row r="1973" spans="16:21" x14ac:dyDescent="0.35">
      <c r="P1973" s="226"/>
      <c r="Q1973" s="226"/>
      <c r="R1973" s="226"/>
      <c r="S1973" s="226"/>
      <c r="T1973" s="226"/>
      <c r="U1973" s="226"/>
    </row>
    <row r="1974" spans="16:21" x14ac:dyDescent="0.35">
      <c r="P1974" s="226"/>
      <c r="Q1974" s="226"/>
      <c r="R1974" s="226"/>
      <c r="S1974" s="226"/>
      <c r="T1974" s="226"/>
      <c r="U1974" s="226"/>
    </row>
    <row r="1975" spans="16:21" x14ac:dyDescent="0.35">
      <c r="P1975" s="226"/>
      <c r="Q1975" s="226"/>
      <c r="R1975" s="226"/>
      <c r="S1975" s="226"/>
      <c r="T1975" s="226"/>
      <c r="U1975" s="226"/>
    </row>
    <row r="1976" spans="16:21" x14ac:dyDescent="0.35">
      <c r="P1976" s="226"/>
      <c r="Q1976" s="226"/>
      <c r="R1976" s="226"/>
      <c r="S1976" s="226"/>
      <c r="T1976" s="226"/>
      <c r="U1976" s="226"/>
    </row>
    <row r="1977" spans="16:21" x14ac:dyDescent="0.35">
      <c r="P1977" s="226"/>
      <c r="Q1977" s="226"/>
      <c r="R1977" s="226"/>
      <c r="S1977" s="226"/>
      <c r="T1977" s="226"/>
      <c r="U1977" s="226"/>
    </row>
    <row r="1978" spans="16:21" x14ac:dyDescent="0.35">
      <c r="P1978" s="226"/>
      <c r="Q1978" s="226"/>
      <c r="R1978" s="226"/>
      <c r="S1978" s="226"/>
      <c r="T1978" s="226"/>
      <c r="U1978" s="226"/>
    </row>
    <row r="1979" spans="16:21" x14ac:dyDescent="0.35">
      <c r="P1979" s="226"/>
      <c r="Q1979" s="226"/>
      <c r="R1979" s="226"/>
      <c r="S1979" s="226"/>
      <c r="T1979" s="226"/>
      <c r="U1979" s="226"/>
    </row>
    <row r="1980" spans="16:21" x14ac:dyDescent="0.35">
      <c r="P1980" s="226"/>
      <c r="Q1980" s="226"/>
      <c r="R1980" s="226"/>
      <c r="S1980" s="226"/>
      <c r="T1980" s="226"/>
      <c r="U1980" s="226"/>
    </row>
    <row r="1981" spans="16:21" x14ac:dyDescent="0.35">
      <c r="P1981" s="226"/>
      <c r="Q1981" s="226"/>
      <c r="R1981" s="226"/>
      <c r="S1981" s="226"/>
      <c r="T1981" s="226"/>
      <c r="U1981" s="226"/>
    </row>
    <row r="1982" spans="16:21" x14ac:dyDescent="0.35">
      <c r="P1982" s="226"/>
      <c r="Q1982" s="226"/>
      <c r="R1982" s="226"/>
      <c r="S1982" s="226"/>
      <c r="T1982" s="226"/>
      <c r="U1982" s="226"/>
    </row>
    <row r="1983" spans="16:21" x14ac:dyDescent="0.35">
      <c r="P1983" s="226"/>
      <c r="Q1983" s="226"/>
      <c r="R1983" s="226"/>
      <c r="S1983" s="226"/>
      <c r="T1983" s="226"/>
      <c r="U1983" s="226"/>
    </row>
    <row r="1984" spans="16:21" x14ac:dyDescent="0.35">
      <c r="P1984" s="226"/>
      <c r="Q1984" s="226"/>
      <c r="R1984" s="226"/>
      <c r="S1984" s="226"/>
      <c r="T1984" s="226"/>
      <c r="U1984" s="226"/>
    </row>
    <row r="1985" spans="16:21" x14ac:dyDescent="0.35">
      <c r="P1985" s="226"/>
      <c r="Q1985" s="226"/>
      <c r="R1985" s="226"/>
      <c r="S1985" s="226"/>
      <c r="T1985" s="226"/>
      <c r="U1985" s="226"/>
    </row>
    <row r="1986" spans="16:21" x14ac:dyDescent="0.35">
      <c r="P1986" s="226"/>
      <c r="Q1986" s="226"/>
      <c r="R1986" s="226"/>
      <c r="S1986" s="226"/>
      <c r="T1986" s="226"/>
      <c r="U1986" s="226"/>
    </row>
    <row r="1987" spans="16:21" x14ac:dyDescent="0.35">
      <c r="P1987" s="226"/>
      <c r="Q1987" s="226"/>
      <c r="R1987" s="226"/>
      <c r="S1987" s="226"/>
      <c r="T1987" s="226"/>
      <c r="U1987" s="226"/>
    </row>
    <row r="1988" spans="16:21" x14ac:dyDescent="0.35">
      <c r="P1988" s="226"/>
      <c r="Q1988" s="226"/>
      <c r="R1988" s="226"/>
      <c r="S1988" s="226"/>
      <c r="T1988" s="226"/>
      <c r="U1988" s="226"/>
    </row>
    <row r="1989" spans="16:21" x14ac:dyDescent="0.35">
      <c r="P1989" s="226"/>
      <c r="Q1989" s="226"/>
      <c r="R1989" s="226"/>
      <c r="S1989" s="226"/>
      <c r="T1989" s="226"/>
      <c r="U1989" s="226"/>
    </row>
    <row r="1990" spans="16:21" x14ac:dyDescent="0.35">
      <c r="P1990" s="226"/>
      <c r="Q1990" s="226"/>
      <c r="R1990" s="226"/>
      <c r="S1990" s="226"/>
      <c r="T1990" s="226"/>
      <c r="U1990" s="226"/>
    </row>
    <row r="1991" spans="16:21" x14ac:dyDescent="0.35">
      <c r="P1991" s="226"/>
      <c r="Q1991" s="226"/>
      <c r="R1991" s="226"/>
      <c r="S1991" s="226"/>
      <c r="T1991" s="226"/>
      <c r="U1991" s="226"/>
    </row>
    <row r="1992" spans="16:21" x14ac:dyDescent="0.35">
      <c r="P1992" s="226"/>
      <c r="Q1992" s="226"/>
      <c r="R1992" s="226"/>
      <c r="S1992" s="226"/>
      <c r="T1992" s="226"/>
      <c r="U1992" s="226"/>
    </row>
    <row r="1993" spans="16:21" x14ac:dyDescent="0.35">
      <c r="P1993" s="226"/>
      <c r="Q1993" s="226"/>
      <c r="R1993" s="226"/>
      <c r="S1993" s="226"/>
      <c r="T1993" s="226"/>
      <c r="U1993" s="226"/>
    </row>
    <row r="1994" spans="16:21" x14ac:dyDescent="0.35">
      <c r="P1994" s="226"/>
      <c r="Q1994" s="226"/>
      <c r="R1994" s="226"/>
      <c r="S1994" s="226"/>
      <c r="T1994" s="226"/>
      <c r="U1994" s="226"/>
    </row>
    <row r="1995" spans="16:21" x14ac:dyDescent="0.35">
      <c r="P1995" s="226"/>
      <c r="Q1995" s="226"/>
      <c r="R1995" s="226"/>
      <c r="S1995" s="226"/>
      <c r="T1995" s="226"/>
      <c r="U1995" s="226"/>
    </row>
    <row r="1996" spans="16:21" x14ac:dyDescent="0.35">
      <c r="P1996" s="226"/>
      <c r="Q1996" s="226"/>
      <c r="R1996" s="226"/>
      <c r="S1996" s="226"/>
      <c r="T1996" s="226"/>
      <c r="U1996" s="226"/>
    </row>
    <row r="1997" spans="16:21" x14ac:dyDescent="0.35">
      <c r="P1997" s="226"/>
      <c r="Q1997" s="226"/>
      <c r="R1997" s="226"/>
      <c r="S1997" s="226"/>
      <c r="T1997" s="226"/>
      <c r="U1997" s="226"/>
    </row>
    <row r="1998" spans="16:21" x14ac:dyDescent="0.35">
      <c r="P1998" s="226"/>
      <c r="Q1998" s="226"/>
      <c r="R1998" s="226"/>
      <c r="S1998" s="226"/>
      <c r="T1998" s="226"/>
      <c r="U1998" s="226"/>
    </row>
    <row r="1999" spans="16:21" x14ac:dyDescent="0.35">
      <c r="P1999" s="226"/>
      <c r="Q1999" s="226"/>
      <c r="R1999" s="226"/>
      <c r="S1999" s="226"/>
      <c r="T1999" s="226"/>
      <c r="U1999" s="226"/>
    </row>
    <row r="2000" spans="16:21" x14ac:dyDescent="0.35">
      <c r="P2000" s="226"/>
      <c r="Q2000" s="226"/>
      <c r="R2000" s="226"/>
      <c r="S2000" s="226"/>
      <c r="T2000" s="226"/>
      <c r="U2000" s="226"/>
    </row>
    <row r="2001" spans="16:21" x14ac:dyDescent="0.35">
      <c r="P2001" s="226"/>
      <c r="Q2001" s="226"/>
      <c r="R2001" s="226"/>
      <c r="S2001" s="226"/>
      <c r="T2001" s="226"/>
      <c r="U2001" s="226"/>
    </row>
    <row r="2002" spans="16:21" x14ac:dyDescent="0.35">
      <c r="P2002" s="226"/>
      <c r="Q2002" s="226"/>
      <c r="R2002" s="226"/>
      <c r="S2002" s="226"/>
      <c r="T2002" s="226"/>
      <c r="U2002" s="226"/>
    </row>
    <row r="2003" spans="16:21" x14ac:dyDescent="0.35">
      <c r="P2003" s="226"/>
      <c r="Q2003" s="226"/>
      <c r="R2003" s="226"/>
      <c r="S2003" s="226"/>
      <c r="T2003" s="226"/>
      <c r="U2003" s="226"/>
    </row>
    <row r="2004" spans="16:21" x14ac:dyDescent="0.35">
      <c r="P2004" s="226"/>
      <c r="Q2004" s="226"/>
      <c r="R2004" s="226"/>
      <c r="S2004" s="226"/>
      <c r="T2004" s="226"/>
      <c r="U2004" s="226"/>
    </row>
    <row r="2005" spans="16:21" x14ac:dyDescent="0.35">
      <c r="P2005" s="226"/>
      <c r="Q2005" s="226"/>
      <c r="R2005" s="226"/>
      <c r="S2005" s="226"/>
      <c r="T2005" s="226"/>
      <c r="U2005" s="226"/>
    </row>
    <row r="2006" spans="16:21" x14ac:dyDescent="0.35">
      <c r="P2006" s="226"/>
      <c r="Q2006" s="226"/>
      <c r="R2006" s="226"/>
      <c r="S2006" s="226"/>
      <c r="T2006" s="226"/>
      <c r="U2006" s="226"/>
    </row>
    <row r="2007" spans="16:21" x14ac:dyDescent="0.35">
      <c r="P2007" s="226"/>
      <c r="Q2007" s="226"/>
      <c r="R2007" s="226"/>
      <c r="S2007" s="226"/>
      <c r="T2007" s="226"/>
      <c r="U2007" s="226"/>
    </row>
    <row r="2008" spans="16:21" x14ac:dyDescent="0.35">
      <c r="P2008" s="226"/>
      <c r="Q2008" s="226"/>
      <c r="R2008" s="226"/>
      <c r="S2008" s="226"/>
      <c r="T2008" s="226"/>
      <c r="U2008" s="226"/>
    </row>
    <row r="2009" spans="16:21" x14ac:dyDescent="0.35">
      <c r="P2009" s="226"/>
      <c r="Q2009" s="226"/>
      <c r="R2009" s="226"/>
      <c r="S2009" s="226"/>
      <c r="T2009" s="226"/>
      <c r="U2009" s="226"/>
    </row>
    <row r="2010" spans="16:21" x14ac:dyDescent="0.35">
      <c r="P2010" s="226"/>
      <c r="Q2010" s="226"/>
      <c r="R2010" s="226"/>
      <c r="S2010" s="226"/>
      <c r="T2010" s="226"/>
      <c r="U2010" s="226"/>
    </row>
    <row r="2011" spans="16:21" x14ac:dyDescent="0.35">
      <c r="P2011" s="226"/>
      <c r="Q2011" s="226"/>
      <c r="R2011" s="226"/>
      <c r="S2011" s="226"/>
      <c r="T2011" s="226"/>
      <c r="U2011" s="226"/>
    </row>
    <row r="2012" spans="16:21" x14ac:dyDescent="0.35">
      <c r="P2012" s="226"/>
      <c r="Q2012" s="226"/>
      <c r="R2012" s="226"/>
      <c r="S2012" s="226"/>
      <c r="T2012" s="226"/>
      <c r="U2012" s="226"/>
    </row>
    <row r="2013" spans="16:21" x14ac:dyDescent="0.35">
      <c r="P2013" s="226"/>
      <c r="Q2013" s="226"/>
      <c r="R2013" s="226"/>
      <c r="S2013" s="226"/>
      <c r="T2013" s="226"/>
      <c r="U2013" s="226"/>
    </row>
    <row r="2014" spans="16:21" x14ac:dyDescent="0.35">
      <c r="P2014" s="226"/>
      <c r="Q2014" s="226"/>
      <c r="R2014" s="226"/>
      <c r="S2014" s="226"/>
      <c r="T2014" s="226"/>
      <c r="U2014" s="226"/>
    </row>
    <row r="2015" spans="16:21" x14ac:dyDescent="0.35">
      <c r="P2015" s="226"/>
      <c r="Q2015" s="226"/>
      <c r="R2015" s="226"/>
      <c r="S2015" s="226"/>
      <c r="T2015" s="226"/>
      <c r="U2015" s="226"/>
    </row>
    <row r="2016" spans="16:21" x14ac:dyDescent="0.35">
      <c r="P2016" s="226"/>
      <c r="Q2016" s="226"/>
      <c r="R2016" s="226"/>
      <c r="S2016" s="226"/>
      <c r="T2016" s="226"/>
      <c r="U2016" s="226"/>
    </row>
    <row r="2017" spans="16:21" x14ac:dyDescent="0.35">
      <c r="P2017" s="226"/>
      <c r="Q2017" s="226"/>
      <c r="R2017" s="226"/>
      <c r="S2017" s="226"/>
      <c r="T2017" s="226"/>
      <c r="U2017" s="226"/>
    </row>
    <row r="2018" spans="16:21" x14ac:dyDescent="0.35">
      <c r="P2018" s="226"/>
      <c r="Q2018" s="226"/>
      <c r="R2018" s="226"/>
      <c r="S2018" s="226"/>
      <c r="T2018" s="226"/>
      <c r="U2018" s="226"/>
    </row>
    <row r="2019" spans="16:21" x14ac:dyDescent="0.35">
      <c r="P2019" s="226"/>
      <c r="Q2019" s="226"/>
      <c r="R2019" s="226"/>
      <c r="S2019" s="226"/>
      <c r="T2019" s="226"/>
      <c r="U2019" s="226"/>
    </row>
    <row r="2020" spans="16:21" x14ac:dyDescent="0.35">
      <c r="P2020" s="226"/>
      <c r="Q2020" s="226"/>
      <c r="R2020" s="226"/>
      <c r="S2020" s="226"/>
      <c r="T2020" s="226"/>
      <c r="U2020" s="226"/>
    </row>
    <row r="2021" spans="16:21" x14ac:dyDescent="0.35">
      <c r="P2021" s="226"/>
      <c r="Q2021" s="226"/>
      <c r="R2021" s="226"/>
      <c r="S2021" s="226"/>
      <c r="T2021" s="226"/>
      <c r="U2021" s="226"/>
    </row>
    <row r="2022" spans="16:21" x14ac:dyDescent="0.35">
      <c r="P2022" s="226"/>
      <c r="Q2022" s="226"/>
      <c r="R2022" s="226"/>
      <c r="S2022" s="226"/>
      <c r="T2022" s="226"/>
      <c r="U2022" s="226"/>
    </row>
    <row r="2023" spans="16:21" x14ac:dyDescent="0.35">
      <c r="P2023" s="226"/>
      <c r="Q2023" s="226"/>
      <c r="R2023" s="226"/>
      <c r="S2023" s="226"/>
      <c r="T2023" s="226"/>
      <c r="U2023" s="226"/>
    </row>
    <row r="2024" spans="16:21" x14ac:dyDescent="0.35">
      <c r="P2024" s="226"/>
      <c r="Q2024" s="226"/>
      <c r="R2024" s="226"/>
      <c r="S2024" s="226"/>
      <c r="T2024" s="226"/>
      <c r="U2024" s="226"/>
    </row>
    <row r="2025" spans="16:21" x14ac:dyDescent="0.35">
      <c r="P2025" s="226"/>
      <c r="Q2025" s="226"/>
      <c r="R2025" s="226"/>
      <c r="S2025" s="226"/>
      <c r="T2025" s="226"/>
      <c r="U2025" s="226"/>
    </row>
    <row r="2026" spans="16:21" x14ac:dyDescent="0.35">
      <c r="P2026" s="226"/>
      <c r="Q2026" s="226"/>
      <c r="R2026" s="226"/>
      <c r="S2026" s="226"/>
      <c r="T2026" s="226"/>
      <c r="U2026" s="226"/>
    </row>
    <row r="2027" spans="16:21" x14ac:dyDescent="0.35">
      <c r="P2027" s="226"/>
      <c r="Q2027" s="226"/>
      <c r="R2027" s="226"/>
      <c r="S2027" s="226"/>
      <c r="T2027" s="226"/>
      <c r="U2027" s="226"/>
    </row>
    <row r="2028" spans="16:21" x14ac:dyDescent="0.35">
      <c r="P2028" s="226"/>
      <c r="Q2028" s="226"/>
      <c r="R2028" s="226"/>
      <c r="S2028" s="226"/>
      <c r="T2028" s="226"/>
      <c r="U2028" s="226"/>
    </row>
    <row r="2029" spans="16:21" x14ac:dyDescent="0.35">
      <c r="P2029" s="226"/>
      <c r="Q2029" s="226"/>
      <c r="R2029" s="226"/>
      <c r="S2029" s="226"/>
      <c r="T2029" s="226"/>
      <c r="U2029" s="226"/>
    </row>
    <row r="2030" spans="16:21" x14ac:dyDescent="0.35">
      <c r="P2030" s="226"/>
      <c r="Q2030" s="226"/>
      <c r="R2030" s="226"/>
      <c r="S2030" s="226"/>
      <c r="T2030" s="226"/>
      <c r="U2030" s="226"/>
    </row>
    <row r="2031" spans="16:21" x14ac:dyDescent="0.35">
      <c r="P2031" s="226"/>
      <c r="Q2031" s="226"/>
      <c r="R2031" s="226"/>
      <c r="S2031" s="226"/>
      <c r="T2031" s="226"/>
      <c r="U2031" s="226"/>
    </row>
    <row r="2032" spans="16:21" x14ac:dyDescent="0.35">
      <c r="P2032" s="226"/>
      <c r="Q2032" s="226"/>
      <c r="R2032" s="226"/>
      <c r="S2032" s="226"/>
      <c r="T2032" s="226"/>
      <c r="U2032" s="226"/>
    </row>
    <row r="2033" spans="16:21" x14ac:dyDescent="0.35">
      <c r="P2033" s="226"/>
      <c r="Q2033" s="226"/>
      <c r="R2033" s="226"/>
      <c r="S2033" s="226"/>
      <c r="T2033" s="226"/>
      <c r="U2033" s="226"/>
    </row>
    <row r="2034" spans="16:21" x14ac:dyDescent="0.35">
      <c r="P2034" s="226"/>
      <c r="Q2034" s="226"/>
      <c r="R2034" s="226"/>
      <c r="S2034" s="226"/>
      <c r="T2034" s="226"/>
      <c r="U2034" s="226"/>
    </row>
    <row r="2035" spans="16:21" x14ac:dyDescent="0.35">
      <c r="P2035" s="226"/>
      <c r="Q2035" s="226"/>
      <c r="R2035" s="226"/>
      <c r="S2035" s="226"/>
      <c r="T2035" s="226"/>
      <c r="U2035" s="226"/>
    </row>
    <row r="2036" spans="16:21" x14ac:dyDescent="0.35">
      <c r="P2036" s="226"/>
      <c r="Q2036" s="226"/>
      <c r="R2036" s="226"/>
      <c r="S2036" s="226"/>
      <c r="T2036" s="226"/>
      <c r="U2036" s="226"/>
    </row>
    <row r="2037" spans="16:21" x14ac:dyDescent="0.35">
      <c r="P2037" s="226"/>
      <c r="Q2037" s="226"/>
      <c r="R2037" s="226"/>
      <c r="S2037" s="226"/>
      <c r="T2037" s="226"/>
      <c r="U2037" s="226"/>
    </row>
    <row r="2038" spans="16:21" x14ac:dyDescent="0.35">
      <c r="P2038" s="226"/>
      <c r="Q2038" s="226"/>
      <c r="R2038" s="226"/>
      <c r="S2038" s="226"/>
      <c r="T2038" s="226"/>
      <c r="U2038" s="226"/>
    </row>
    <row r="2039" spans="16:21" x14ac:dyDescent="0.35">
      <c r="P2039" s="226"/>
      <c r="Q2039" s="226"/>
      <c r="R2039" s="226"/>
      <c r="S2039" s="226"/>
      <c r="T2039" s="226"/>
      <c r="U2039" s="226"/>
    </row>
    <row r="2040" spans="16:21" x14ac:dyDescent="0.35">
      <c r="P2040" s="226"/>
      <c r="Q2040" s="226"/>
      <c r="R2040" s="226"/>
      <c r="S2040" s="226"/>
      <c r="T2040" s="226"/>
      <c r="U2040" s="226"/>
    </row>
    <row r="2041" spans="16:21" x14ac:dyDescent="0.35">
      <c r="P2041" s="226"/>
      <c r="Q2041" s="226"/>
      <c r="R2041" s="226"/>
      <c r="S2041" s="226"/>
      <c r="T2041" s="226"/>
      <c r="U2041" s="226"/>
    </row>
    <row r="2042" spans="16:21" x14ac:dyDescent="0.35">
      <c r="P2042" s="226"/>
      <c r="Q2042" s="226"/>
      <c r="R2042" s="226"/>
      <c r="S2042" s="226"/>
      <c r="T2042" s="226"/>
      <c r="U2042" s="226"/>
    </row>
    <row r="2043" spans="16:21" x14ac:dyDescent="0.35">
      <c r="P2043" s="226"/>
      <c r="Q2043" s="226"/>
      <c r="R2043" s="226"/>
      <c r="S2043" s="226"/>
      <c r="T2043" s="226"/>
      <c r="U2043" s="226"/>
    </row>
    <row r="2044" spans="16:21" x14ac:dyDescent="0.35">
      <c r="P2044" s="226"/>
      <c r="Q2044" s="226"/>
      <c r="R2044" s="226"/>
      <c r="S2044" s="226"/>
      <c r="T2044" s="226"/>
      <c r="U2044" s="226"/>
    </row>
    <row r="2045" spans="16:21" x14ac:dyDescent="0.35">
      <c r="P2045" s="226"/>
      <c r="Q2045" s="226"/>
      <c r="R2045" s="226"/>
      <c r="S2045" s="226"/>
      <c r="T2045" s="226"/>
      <c r="U2045" s="226"/>
    </row>
    <row r="2046" spans="16:21" x14ac:dyDescent="0.35">
      <c r="P2046" s="226"/>
      <c r="Q2046" s="226"/>
      <c r="R2046" s="226"/>
      <c r="S2046" s="226"/>
      <c r="T2046" s="226"/>
      <c r="U2046" s="226"/>
    </row>
    <row r="2047" spans="16:21" x14ac:dyDescent="0.35">
      <c r="P2047" s="226"/>
      <c r="Q2047" s="226"/>
      <c r="R2047" s="226"/>
      <c r="S2047" s="226"/>
      <c r="T2047" s="226"/>
      <c r="U2047" s="226"/>
    </row>
    <row r="2048" spans="16:21" x14ac:dyDescent="0.35">
      <c r="P2048" s="226"/>
      <c r="Q2048" s="226"/>
      <c r="R2048" s="226"/>
      <c r="S2048" s="226"/>
      <c r="T2048" s="226"/>
      <c r="U2048" s="226"/>
    </row>
    <row r="2049" spans="16:21" x14ac:dyDescent="0.35">
      <c r="P2049" s="226"/>
      <c r="Q2049" s="226"/>
      <c r="R2049" s="226"/>
      <c r="S2049" s="226"/>
      <c r="T2049" s="226"/>
      <c r="U2049" s="226"/>
    </row>
    <row r="2050" spans="16:21" x14ac:dyDescent="0.35">
      <c r="P2050" s="226"/>
      <c r="Q2050" s="226"/>
      <c r="R2050" s="226"/>
      <c r="S2050" s="226"/>
      <c r="T2050" s="226"/>
      <c r="U2050" s="226"/>
    </row>
    <row r="2051" spans="16:21" x14ac:dyDescent="0.35">
      <c r="P2051" s="226"/>
      <c r="Q2051" s="226"/>
      <c r="R2051" s="226"/>
      <c r="S2051" s="226"/>
      <c r="T2051" s="226"/>
      <c r="U2051" s="226"/>
    </row>
    <row r="2052" spans="16:21" x14ac:dyDescent="0.35">
      <c r="P2052" s="226"/>
      <c r="Q2052" s="226"/>
      <c r="R2052" s="226"/>
      <c r="S2052" s="226"/>
      <c r="T2052" s="226"/>
      <c r="U2052" s="226"/>
    </row>
    <row r="2053" spans="16:21" x14ac:dyDescent="0.35">
      <c r="P2053" s="226"/>
      <c r="Q2053" s="226"/>
      <c r="R2053" s="226"/>
      <c r="S2053" s="226"/>
      <c r="T2053" s="226"/>
      <c r="U2053" s="226"/>
    </row>
    <row r="2054" spans="16:21" x14ac:dyDescent="0.35">
      <c r="P2054" s="226"/>
      <c r="Q2054" s="226"/>
      <c r="R2054" s="226"/>
      <c r="S2054" s="226"/>
      <c r="T2054" s="226"/>
      <c r="U2054" s="226"/>
    </row>
    <row r="2055" spans="16:21" x14ac:dyDescent="0.35">
      <c r="P2055" s="226"/>
      <c r="Q2055" s="226"/>
      <c r="R2055" s="226"/>
      <c r="S2055" s="226"/>
      <c r="T2055" s="226"/>
      <c r="U2055" s="226"/>
    </row>
    <row r="2056" spans="16:21" x14ac:dyDescent="0.35">
      <c r="P2056" s="226"/>
      <c r="Q2056" s="226"/>
      <c r="R2056" s="226"/>
      <c r="S2056" s="226"/>
      <c r="T2056" s="226"/>
      <c r="U2056" s="226"/>
    </row>
    <row r="2057" spans="16:21" x14ac:dyDescent="0.35">
      <c r="P2057" s="226"/>
      <c r="Q2057" s="226"/>
      <c r="R2057" s="226"/>
      <c r="S2057" s="226"/>
      <c r="T2057" s="226"/>
      <c r="U2057" s="226"/>
    </row>
    <row r="2058" spans="16:21" x14ac:dyDescent="0.35">
      <c r="P2058" s="226"/>
      <c r="Q2058" s="226"/>
      <c r="R2058" s="226"/>
      <c r="S2058" s="226"/>
      <c r="T2058" s="226"/>
      <c r="U2058" s="226"/>
    </row>
    <row r="2059" spans="16:21" x14ac:dyDescent="0.35">
      <c r="P2059" s="226"/>
      <c r="Q2059" s="226"/>
      <c r="R2059" s="226"/>
      <c r="S2059" s="226"/>
      <c r="T2059" s="226"/>
      <c r="U2059" s="226"/>
    </row>
    <row r="2060" spans="16:21" x14ac:dyDescent="0.35">
      <c r="P2060" s="226"/>
      <c r="Q2060" s="226"/>
      <c r="R2060" s="226"/>
      <c r="S2060" s="226"/>
      <c r="T2060" s="226"/>
      <c r="U2060" s="226"/>
    </row>
    <row r="2061" spans="16:21" x14ac:dyDescent="0.35">
      <c r="P2061" s="226"/>
      <c r="Q2061" s="226"/>
      <c r="R2061" s="226"/>
      <c r="S2061" s="226"/>
      <c r="T2061" s="226"/>
      <c r="U2061" s="226"/>
    </row>
    <row r="2062" spans="16:21" x14ac:dyDescent="0.35">
      <c r="P2062" s="226"/>
      <c r="Q2062" s="226"/>
      <c r="R2062" s="226"/>
      <c r="S2062" s="226"/>
      <c r="T2062" s="226"/>
      <c r="U2062" s="226"/>
    </row>
    <row r="2063" spans="16:21" x14ac:dyDescent="0.35">
      <c r="P2063" s="226"/>
      <c r="Q2063" s="226"/>
      <c r="R2063" s="226"/>
      <c r="S2063" s="226"/>
      <c r="T2063" s="226"/>
      <c r="U2063" s="226"/>
    </row>
    <row r="2064" spans="16:21" x14ac:dyDescent="0.35">
      <c r="P2064" s="226"/>
      <c r="Q2064" s="226"/>
      <c r="R2064" s="226"/>
      <c r="S2064" s="226"/>
      <c r="T2064" s="226"/>
      <c r="U2064" s="226"/>
    </row>
    <row r="2065" spans="16:21" x14ac:dyDescent="0.35">
      <c r="P2065" s="226"/>
      <c r="Q2065" s="226"/>
      <c r="R2065" s="226"/>
      <c r="S2065" s="226"/>
      <c r="T2065" s="226"/>
      <c r="U2065" s="226"/>
    </row>
    <row r="2066" spans="16:21" x14ac:dyDescent="0.35">
      <c r="P2066" s="226"/>
      <c r="Q2066" s="226"/>
      <c r="R2066" s="226"/>
      <c r="S2066" s="226"/>
      <c r="T2066" s="226"/>
      <c r="U2066" s="226"/>
    </row>
    <row r="2067" spans="16:21" x14ac:dyDescent="0.35">
      <c r="P2067" s="226"/>
      <c r="Q2067" s="226"/>
      <c r="R2067" s="226"/>
      <c r="S2067" s="226"/>
      <c r="T2067" s="226"/>
      <c r="U2067" s="226"/>
    </row>
    <row r="2068" spans="16:21" x14ac:dyDescent="0.35">
      <c r="P2068" s="226"/>
      <c r="Q2068" s="226"/>
      <c r="R2068" s="226"/>
      <c r="S2068" s="226"/>
      <c r="T2068" s="226"/>
      <c r="U2068" s="226"/>
    </row>
    <row r="2069" spans="16:21" x14ac:dyDescent="0.35">
      <c r="P2069" s="226"/>
      <c r="Q2069" s="226"/>
      <c r="R2069" s="226"/>
      <c r="S2069" s="226"/>
      <c r="T2069" s="226"/>
      <c r="U2069" s="226"/>
    </row>
    <row r="2070" spans="16:21" x14ac:dyDescent="0.35">
      <c r="P2070" s="226"/>
      <c r="Q2070" s="226"/>
      <c r="R2070" s="226"/>
      <c r="S2070" s="226"/>
      <c r="T2070" s="226"/>
      <c r="U2070" s="226"/>
    </row>
    <row r="2071" spans="16:21" x14ac:dyDescent="0.35">
      <c r="P2071" s="226"/>
      <c r="Q2071" s="226"/>
      <c r="R2071" s="226"/>
      <c r="S2071" s="226"/>
      <c r="T2071" s="226"/>
      <c r="U2071" s="226"/>
    </row>
    <row r="2072" spans="16:21" x14ac:dyDescent="0.35">
      <c r="P2072" s="226"/>
      <c r="Q2072" s="226"/>
      <c r="R2072" s="226"/>
      <c r="S2072" s="226"/>
      <c r="T2072" s="226"/>
      <c r="U2072" s="226"/>
    </row>
    <row r="2073" spans="16:21" x14ac:dyDescent="0.35">
      <c r="P2073" s="226"/>
      <c r="Q2073" s="226"/>
      <c r="R2073" s="226"/>
      <c r="S2073" s="226"/>
      <c r="T2073" s="226"/>
      <c r="U2073" s="226"/>
    </row>
    <row r="2074" spans="16:21" x14ac:dyDescent="0.35">
      <c r="P2074" s="226"/>
      <c r="Q2074" s="226"/>
      <c r="R2074" s="226"/>
      <c r="S2074" s="226"/>
      <c r="T2074" s="226"/>
      <c r="U2074" s="226"/>
    </row>
    <row r="2075" spans="16:21" x14ac:dyDescent="0.35">
      <c r="P2075" s="226"/>
      <c r="Q2075" s="226"/>
      <c r="R2075" s="226"/>
      <c r="S2075" s="226"/>
      <c r="T2075" s="226"/>
      <c r="U2075" s="226"/>
    </row>
    <row r="2076" spans="16:21" x14ac:dyDescent="0.35">
      <c r="P2076" s="226"/>
      <c r="Q2076" s="226"/>
      <c r="R2076" s="226"/>
      <c r="S2076" s="226"/>
      <c r="T2076" s="226"/>
      <c r="U2076" s="226"/>
    </row>
    <row r="2077" spans="16:21" x14ac:dyDescent="0.35">
      <c r="P2077" s="226"/>
      <c r="Q2077" s="226"/>
      <c r="R2077" s="226"/>
      <c r="S2077" s="226"/>
      <c r="T2077" s="226"/>
      <c r="U2077" s="226"/>
    </row>
    <row r="2078" spans="16:21" x14ac:dyDescent="0.35">
      <c r="P2078" s="226"/>
      <c r="Q2078" s="226"/>
      <c r="R2078" s="226"/>
      <c r="S2078" s="226"/>
      <c r="T2078" s="226"/>
      <c r="U2078" s="226"/>
    </row>
    <row r="2079" spans="16:21" x14ac:dyDescent="0.35">
      <c r="P2079" s="226"/>
      <c r="Q2079" s="226"/>
      <c r="R2079" s="226"/>
      <c r="S2079" s="226"/>
      <c r="T2079" s="226"/>
      <c r="U2079" s="226"/>
    </row>
    <row r="2080" spans="16:21" x14ac:dyDescent="0.35">
      <c r="P2080" s="226"/>
      <c r="Q2080" s="226"/>
      <c r="R2080" s="226"/>
      <c r="S2080" s="226"/>
      <c r="T2080" s="226"/>
      <c r="U2080" s="226"/>
    </row>
    <row r="2081" spans="16:21" x14ac:dyDescent="0.35">
      <c r="P2081" s="226"/>
      <c r="Q2081" s="226"/>
      <c r="R2081" s="226"/>
      <c r="S2081" s="226"/>
      <c r="T2081" s="226"/>
      <c r="U2081" s="226"/>
    </row>
    <row r="2082" spans="16:21" x14ac:dyDescent="0.35">
      <c r="P2082" s="226"/>
      <c r="Q2082" s="226"/>
      <c r="R2082" s="226"/>
      <c r="S2082" s="226"/>
      <c r="T2082" s="226"/>
      <c r="U2082" s="226"/>
    </row>
    <row r="2083" spans="16:21" x14ac:dyDescent="0.35">
      <c r="P2083" s="226"/>
      <c r="Q2083" s="226"/>
      <c r="R2083" s="226"/>
      <c r="S2083" s="226"/>
      <c r="T2083" s="226"/>
      <c r="U2083" s="226"/>
    </row>
    <row r="2084" spans="16:21" x14ac:dyDescent="0.35">
      <c r="P2084" s="226"/>
      <c r="Q2084" s="226"/>
      <c r="R2084" s="226"/>
      <c r="S2084" s="226"/>
      <c r="T2084" s="226"/>
      <c r="U2084" s="226"/>
    </row>
    <row r="2085" spans="16:21" x14ac:dyDescent="0.35">
      <c r="P2085" s="226"/>
      <c r="Q2085" s="226"/>
      <c r="R2085" s="226"/>
      <c r="S2085" s="226"/>
      <c r="T2085" s="226"/>
      <c r="U2085" s="226"/>
    </row>
    <row r="2086" spans="16:21" x14ac:dyDescent="0.35">
      <c r="P2086" s="226"/>
      <c r="Q2086" s="226"/>
      <c r="R2086" s="226"/>
      <c r="S2086" s="226"/>
      <c r="T2086" s="226"/>
      <c r="U2086" s="226"/>
    </row>
    <row r="2087" spans="16:21" x14ac:dyDescent="0.35">
      <c r="P2087" s="226"/>
      <c r="Q2087" s="226"/>
      <c r="R2087" s="226"/>
      <c r="S2087" s="226"/>
      <c r="T2087" s="226"/>
      <c r="U2087" s="226"/>
    </row>
    <row r="2088" spans="16:21" x14ac:dyDescent="0.35">
      <c r="P2088" s="226"/>
      <c r="Q2088" s="226"/>
      <c r="R2088" s="226"/>
      <c r="S2088" s="226"/>
      <c r="T2088" s="226"/>
      <c r="U2088" s="226"/>
    </row>
    <row r="2089" spans="16:21" x14ac:dyDescent="0.35">
      <c r="P2089" s="226"/>
      <c r="Q2089" s="226"/>
      <c r="R2089" s="226"/>
      <c r="S2089" s="226"/>
      <c r="T2089" s="226"/>
      <c r="U2089" s="226"/>
    </row>
    <row r="2090" spans="16:21" x14ac:dyDescent="0.35">
      <c r="P2090" s="226"/>
      <c r="Q2090" s="226"/>
      <c r="R2090" s="226"/>
      <c r="S2090" s="226"/>
      <c r="T2090" s="226"/>
      <c r="U2090" s="226"/>
    </row>
    <row r="2091" spans="16:21" x14ac:dyDescent="0.35">
      <c r="P2091" s="226"/>
      <c r="Q2091" s="226"/>
      <c r="R2091" s="226"/>
      <c r="S2091" s="226"/>
      <c r="T2091" s="226"/>
      <c r="U2091" s="226"/>
    </row>
    <row r="2092" spans="16:21" x14ac:dyDescent="0.35">
      <c r="P2092" s="226"/>
      <c r="Q2092" s="226"/>
      <c r="R2092" s="226"/>
      <c r="S2092" s="226"/>
      <c r="T2092" s="226"/>
      <c r="U2092" s="226"/>
    </row>
    <row r="2093" spans="16:21" x14ac:dyDescent="0.35">
      <c r="P2093" s="226"/>
      <c r="Q2093" s="226"/>
      <c r="R2093" s="226"/>
      <c r="S2093" s="226"/>
      <c r="T2093" s="226"/>
      <c r="U2093" s="226"/>
    </row>
    <row r="2094" spans="16:21" x14ac:dyDescent="0.35">
      <c r="P2094" s="226"/>
      <c r="Q2094" s="226"/>
      <c r="R2094" s="226"/>
      <c r="S2094" s="226"/>
      <c r="T2094" s="226"/>
      <c r="U2094" s="226"/>
    </row>
    <row r="2095" spans="16:21" x14ac:dyDescent="0.35">
      <c r="P2095" s="226"/>
      <c r="Q2095" s="226"/>
      <c r="R2095" s="226"/>
      <c r="S2095" s="226"/>
      <c r="T2095" s="226"/>
      <c r="U2095" s="226"/>
    </row>
    <row r="2096" spans="16:21" x14ac:dyDescent="0.35">
      <c r="P2096" s="226"/>
      <c r="Q2096" s="226"/>
      <c r="R2096" s="226"/>
      <c r="S2096" s="226"/>
      <c r="T2096" s="226"/>
      <c r="U2096" s="226"/>
    </row>
    <row r="2097" spans="16:21" x14ac:dyDescent="0.35">
      <c r="P2097" s="226"/>
      <c r="Q2097" s="226"/>
      <c r="R2097" s="226"/>
      <c r="S2097" s="226"/>
      <c r="T2097" s="226"/>
      <c r="U2097" s="226"/>
    </row>
    <row r="2098" spans="16:21" x14ac:dyDescent="0.35">
      <c r="P2098" s="226"/>
      <c r="Q2098" s="226"/>
      <c r="R2098" s="226"/>
      <c r="S2098" s="226"/>
      <c r="T2098" s="226"/>
      <c r="U2098" s="226"/>
    </row>
    <row r="2099" spans="16:21" x14ac:dyDescent="0.35">
      <c r="P2099" s="226"/>
      <c r="Q2099" s="226"/>
      <c r="R2099" s="226"/>
      <c r="S2099" s="226"/>
      <c r="T2099" s="226"/>
      <c r="U2099" s="226"/>
    </row>
    <row r="2100" spans="16:21" x14ac:dyDescent="0.35">
      <c r="P2100" s="226"/>
      <c r="Q2100" s="226"/>
      <c r="R2100" s="226"/>
      <c r="S2100" s="226"/>
      <c r="T2100" s="226"/>
      <c r="U2100" s="226"/>
    </row>
    <row r="2101" spans="16:21" x14ac:dyDescent="0.35">
      <c r="P2101" s="226"/>
      <c r="Q2101" s="226"/>
      <c r="R2101" s="226"/>
      <c r="S2101" s="226"/>
      <c r="T2101" s="226"/>
      <c r="U2101" s="226"/>
    </row>
    <row r="2102" spans="16:21" x14ac:dyDescent="0.35">
      <c r="P2102" s="226"/>
      <c r="Q2102" s="226"/>
      <c r="R2102" s="226"/>
      <c r="S2102" s="226"/>
      <c r="T2102" s="226"/>
      <c r="U2102" s="226"/>
    </row>
    <row r="2103" spans="16:21" x14ac:dyDescent="0.35">
      <c r="P2103" s="226"/>
      <c r="Q2103" s="226"/>
      <c r="R2103" s="226"/>
      <c r="S2103" s="226"/>
      <c r="T2103" s="226"/>
      <c r="U2103" s="226"/>
    </row>
    <row r="2104" spans="16:21" x14ac:dyDescent="0.35">
      <c r="P2104" s="226"/>
      <c r="Q2104" s="226"/>
      <c r="R2104" s="226"/>
      <c r="S2104" s="226"/>
      <c r="T2104" s="226"/>
      <c r="U2104" s="226"/>
    </row>
    <row r="2105" spans="16:21" x14ac:dyDescent="0.35">
      <c r="P2105" s="226"/>
      <c r="Q2105" s="226"/>
      <c r="R2105" s="226"/>
      <c r="S2105" s="226"/>
      <c r="T2105" s="226"/>
      <c r="U2105" s="226"/>
    </row>
    <row r="2106" spans="16:21" x14ac:dyDescent="0.35">
      <c r="P2106" s="226"/>
      <c r="Q2106" s="226"/>
      <c r="R2106" s="226"/>
      <c r="S2106" s="226"/>
      <c r="T2106" s="226"/>
      <c r="U2106" s="226"/>
    </row>
    <row r="2107" spans="16:21" x14ac:dyDescent="0.35">
      <c r="P2107" s="226"/>
      <c r="Q2107" s="226"/>
      <c r="R2107" s="226"/>
      <c r="S2107" s="226"/>
      <c r="T2107" s="226"/>
      <c r="U2107" s="226"/>
    </row>
    <row r="2108" spans="16:21" x14ac:dyDescent="0.35">
      <c r="P2108" s="226"/>
      <c r="Q2108" s="226"/>
      <c r="R2108" s="226"/>
      <c r="S2108" s="226"/>
      <c r="T2108" s="226"/>
      <c r="U2108" s="226"/>
    </row>
    <row r="2109" spans="16:21" x14ac:dyDescent="0.35">
      <c r="P2109" s="226"/>
      <c r="Q2109" s="226"/>
      <c r="R2109" s="226"/>
      <c r="S2109" s="226"/>
      <c r="T2109" s="226"/>
      <c r="U2109" s="226"/>
    </row>
    <row r="2110" spans="16:21" x14ac:dyDescent="0.35">
      <c r="P2110" s="226"/>
      <c r="Q2110" s="226"/>
      <c r="R2110" s="226"/>
      <c r="S2110" s="226"/>
      <c r="T2110" s="226"/>
      <c r="U2110" s="226"/>
    </row>
    <row r="2111" spans="16:21" x14ac:dyDescent="0.35">
      <c r="P2111" s="226"/>
      <c r="Q2111" s="226"/>
      <c r="R2111" s="226"/>
      <c r="S2111" s="226"/>
      <c r="T2111" s="226"/>
      <c r="U2111" s="226"/>
    </row>
    <row r="2112" spans="16:21" x14ac:dyDescent="0.35">
      <c r="P2112" s="226"/>
      <c r="Q2112" s="226"/>
      <c r="R2112" s="226"/>
      <c r="S2112" s="226"/>
      <c r="T2112" s="226"/>
      <c r="U2112" s="226"/>
    </row>
    <row r="2113" spans="16:21" x14ac:dyDescent="0.35">
      <c r="P2113" s="226"/>
      <c r="Q2113" s="226"/>
      <c r="R2113" s="226"/>
      <c r="S2113" s="226"/>
      <c r="T2113" s="226"/>
      <c r="U2113" s="226"/>
    </row>
    <row r="2114" spans="16:21" x14ac:dyDescent="0.35">
      <c r="P2114" s="226"/>
      <c r="Q2114" s="226"/>
      <c r="R2114" s="226"/>
      <c r="S2114" s="226"/>
      <c r="T2114" s="226"/>
      <c r="U2114" s="226"/>
    </row>
    <row r="2115" spans="16:21" x14ac:dyDescent="0.35">
      <c r="P2115" s="226"/>
      <c r="Q2115" s="226"/>
      <c r="R2115" s="226"/>
      <c r="S2115" s="226"/>
      <c r="T2115" s="226"/>
      <c r="U2115" s="226"/>
    </row>
    <row r="2116" spans="16:21" x14ac:dyDescent="0.35">
      <c r="P2116" s="226"/>
      <c r="Q2116" s="226"/>
      <c r="R2116" s="226"/>
      <c r="S2116" s="226"/>
      <c r="T2116" s="226"/>
      <c r="U2116" s="226"/>
    </row>
    <row r="2117" spans="16:21" x14ac:dyDescent="0.35">
      <c r="P2117" s="226"/>
      <c r="Q2117" s="226"/>
      <c r="R2117" s="226"/>
      <c r="S2117" s="226"/>
      <c r="T2117" s="226"/>
      <c r="U2117" s="226"/>
    </row>
    <row r="2118" spans="16:21" x14ac:dyDescent="0.35">
      <c r="P2118" s="226"/>
      <c r="Q2118" s="226"/>
      <c r="R2118" s="226"/>
      <c r="S2118" s="226"/>
      <c r="T2118" s="226"/>
      <c r="U2118" s="226"/>
    </row>
    <row r="2119" spans="16:21" x14ac:dyDescent="0.35">
      <c r="P2119" s="226"/>
      <c r="Q2119" s="226"/>
      <c r="R2119" s="226"/>
      <c r="S2119" s="226"/>
      <c r="T2119" s="226"/>
      <c r="U2119" s="226"/>
    </row>
    <row r="2120" spans="16:21" x14ac:dyDescent="0.35">
      <c r="P2120" s="226"/>
      <c r="Q2120" s="226"/>
      <c r="R2120" s="226"/>
      <c r="S2120" s="226"/>
      <c r="T2120" s="226"/>
      <c r="U2120" s="226"/>
    </row>
    <row r="2121" spans="16:21" x14ac:dyDescent="0.35">
      <c r="P2121" s="226"/>
      <c r="Q2121" s="226"/>
      <c r="R2121" s="226"/>
      <c r="S2121" s="226"/>
      <c r="T2121" s="226"/>
      <c r="U2121" s="226"/>
    </row>
    <row r="2122" spans="16:21" x14ac:dyDescent="0.35">
      <c r="P2122" s="226"/>
      <c r="Q2122" s="226"/>
      <c r="R2122" s="226"/>
      <c r="S2122" s="226"/>
      <c r="T2122" s="226"/>
      <c r="U2122" s="226"/>
    </row>
    <row r="2123" spans="16:21" x14ac:dyDescent="0.35">
      <c r="P2123" s="226"/>
      <c r="Q2123" s="226"/>
      <c r="R2123" s="226"/>
      <c r="S2123" s="226"/>
      <c r="T2123" s="226"/>
      <c r="U2123" s="226"/>
    </row>
    <row r="2124" spans="16:21" x14ac:dyDescent="0.35">
      <c r="P2124" s="226"/>
      <c r="Q2124" s="226"/>
      <c r="R2124" s="226"/>
      <c r="S2124" s="226"/>
      <c r="T2124" s="226"/>
      <c r="U2124" s="226"/>
    </row>
    <row r="2125" spans="16:21" x14ac:dyDescent="0.35">
      <c r="P2125" s="226"/>
      <c r="Q2125" s="226"/>
      <c r="R2125" s="226"/>
      <c r="S2125" s="226"/>
      <c r="T2125" s="226"/>
      <c r="U2125" s="226"/>
    </row>
    <row r="2126" spans="16:21" x14ac:dyDescent="0.35">
      <c r="P2126" s="226"/>
      <c r="Q2126" s="226"/>
      <c r="R2126" s="226"/>
      <c r="S2126" s="226"/>
      <c r="T2126" s="226"/>
      <c r="U2126" s="226"/>
    </row>
    <row r="2127" spans="16:21" x14ac:dyDescent="0.35">
      <c r="P2127" s="226"/>
      <c r="Q2127" s="226"/>
      <c r="R2127" s="226"/>
      <c r="S2127" s="226"/>
      <c r="T2127" s="226"/>
      <c r="U2127" s="226"/>
    </row>
    <row r="2128" spans="16:21" x14ac:dyDescent="0.35">
      <c r="P2128" s="226"/>
      <c r="Q2128" s="226"/>
      <c r="R2128" s="226"/>
      <c r="S2128" s="226"/>
      <c r="T2128" s="226"/>
      <c r="U2128" s="226"/>
    </row>
    <row r="2129" spans="16:21" x14ac:dyDescent="0.35">
      <c r="P2129" s="226"/>
      <c r="Q2129" s="226"/>
      <c r="R2129" s="226"/>
      <c r="S2129" s="226"/>
      <c r="T2129" s="226"/>
      <c r="U2129" s="226"/>
    </row>
    <row r="2130" spans="16:21" x14ac:dyDescent="0.35">
      <c r="P2130" s="226"/>
      <c r="Q2130" s="226"/>
      <c r="R2130" s="226"/>
      <c r="S2130" s="226"/>
      <c r="T2130" s="226"/>
      <c r="U2130" s="226"/>
    </row>
    <row r="2131" spans="16:21" x14ac:dyDescent="0.35">
      <c r="P2131" s="226"/>
      <c r="Q2131" s="226"/>
      <c r="R2131" s="226"/>
      <c r="S2131" s="226"/>
      <c r="T2131" s="226"/>
      <c r="U2131" s="226"/>
    </row>
    <row r="2132" spans="16:21" x14ac:dyDescent="0.35">
      <c r="P2132" s="226"/>
      <c r="Q2132" s="226"/>
      <c r="R2132" s="226"/>
      <c r="S2132" s="226"/>
      <c r="T2132" s="226"/>
      <c r="U2132" s="226"/>
    </row>
    <row r="2133" spans="16:21" x14ac:dyDescent="0.35">
      <c r="P2133" s="226"/>
      <c r="Q2133" s="226"/>
      <c r="R2133" s="226"/>
      <c r="S2133" s="226"/>
      <c r="T2133" s="226"/>
      <c r="U2133" s="226"/>
    </row>
    <row r="2134" spans="16:21" x14ac:dyDescent="0.35">
      <c r="P2134" s="226"/>
      <c r="Q2134" s="226"/>
      <c r="R2134" s="226"/>
      <c r="S2134" s="226"/>
      <c r="T2134" s="226"/>
      <c r="U2134" s="226"/>
    </row>
    <row r="2135" spans="16:21" x14ac:dyDescent="0.35">
      <c r="P2135" s="226"/>
      <c r="Q2135" s="226"/>
      <c r="R2135" s="226"/>
      <c r="S2135" s="226"/>
      <c r="T2135" s="226"/>
      <c r="U2135" s="226"/>
    </row>
    <row r="2136" spans="16:21" x14ac:dyDescent="0.35">
      <c r="P2136" s="226"/>
      <c r="Q2136" s="226"/>
      <c r="R2136" s="226"/>
      <c r="S2136" s="226"/>
      <c r="T2136" s="226"/>
      <c r="U2136" s="226"/>
    </row>
    <row r="2137" spans="16:21" x14ac:dyDescent="0.35">
      <c r="P2137" s="226"/>
      <c r="Q2137" s="226"/>
      <c r="R2137" s="226"/>
      <c r="S2137" s="226"/>
      <c r="T2137" s="226"/>
      <c r="U2137" s="226"/>
    </row>
    <row r="2138" spans="16:21" x14ac:dyDescent="0.35">
      <c r="P2138" s="226"/>
      <c r="Q2138" s="226"/>
      <c r="R2138" s="226"/>
      <c r="S2138" s="226"/>
      <c r="T2138" s="226"/>
      <c r="U2138" s="226"/>
    </row>
    <row r="2139" spans="16:21" x14ac:dyDescent="0.35">
      <c r="P2139" s="226"/>
      <c r="Q2139" s="226"/>
      <c r="R2139" s="226"/>
      <c r="S2139" s="226"/>
      <c r="T2139" s="226"/>
      <c r="U2139" s="226"/>
    </row>
    <row r="2140" spans="16:21" x14ac:dyDescent="0.35">
      <c r="P2140" s="226"/>
      <c r="Q2140" s="226"/>
      <c r="R2140" s="226"/>
      <c r="S2140" s="226"/>
      <c r="T2140" s="226"/>
      <c r="U2140" s="226"/>
    </row>
    <row r="2141" spans="16:21" x14ac:dyDescent="0.35">
      <c r="P2141" s="226"/>
      <c r="Q2141" s="226"/>
      <c r="R2141" s="226"/>
      <c r="S2141" s="226"/>
      <c r="T2141" s="226"/>
      <c r="U2141" s="226"/>
    </row>
    <row r="2142" spans="16:21" x14ac:dyDescent="0.35">
      <c r="P2142" s="226"/>
      <c r="Q2142" s="226"/>
      <c r="R2142" s="226"/>
      <c r="S2142" s="226"/>
      <c r="T2142" s="226"/>
      <c r="U2142" s="226"/>
    </row>
    <row r="2143" spans="16:21" x14ac:dyDescent="0.35">
      <c r="P2143" s="226"/>
      <c r="Q2143" s="226"/>
      <c r="R2143" s="226"/>
      <c r="S2143" s="226"/>
      <c r="T2143" s="226"/>
      <c r="U2143" s="226"/>
    </row>
    <row r="2144" spans="16:21" x14ac:dyDescent="0.35">
      <c r="P2144" s="226"/>
      <c r="Q2144" s="226"/>
      <c r="R2144" s="226"/>
      <c r="S2144" s="226"/>
      <c r="T2144" s="226"/>
      <c r="U2144" s="226"/>
    </row>
    <row r="2145" spans="16:21" x14ac:dyDescent="0.35">
      <c r="P2145" s="226"/>
      <c r="Q2145" s="226"/>
      <c r="R2145" s="226"/>
      <c r="S2145" s="226"/>
      <c r="T2145" s="226"/>
      <c r="U2145" s="226"/>
    </row>
    <row r="2146" spans="16:21" x14ac:dyDescent="0.35">
      <c r="P2146" s="226"/>
      <c r="Q2146" s="226"/>
      <c r="R2146" s="226"/>
      <c r="S2146" s="226"/>
      <c r="T2146" s="226"/>
      <c r="U2146" s="226"/>
    </row>
    <row r="2147" spans="16:21" x14ac:dyDescent="0.35">
      <c r="P2147" s="226"/>
      <c r="Q2147" s="226"/>
      <c r="R2147" s="226"/>
      <c r="S2147" s="226"/>
      <c r="T2147" s="226"/>
      <c r="U2147" s="226"/>
    </row>
    <row r="2148" spans="16:21" x14ac:dyDescent="0.35">
      <c r="P2148" s="226"/>
      <c r="Q2148" s="226"/>
      <c r="R2148" s="226"/>
      <c r="S2148" s="226"/>
      <c r="T2148" s="226"/>
      <c r="U2148" s="226"/>
    </row>
    <row r="2149" spans="16:21" x14ac:dyDescent="0.35">
      <c r="P2149" s="226"/>
      <c r="Q2149" s="226"/>
      <c r="R2149" s="226"/>
      <c r="S2149" s="226"/>
      <c r="T2149" s="226"/>
      <c r="U2149" s="226"/>
    </row>
    <row r="2150" spans="16:21" x14ac:dyDescent="0.35">
      <c r="P2150" s="226"/>
      <c r="Q2150" s="226"/>
      <c r="R2150" s="226"/>
      <c r="S2150" s="226"/>
      <c r="T2150" s="226"/>
      <c r="U2150" s="226"/>
    </row>
    <row r="2151" spans="16:21" x14ac:dyDescent="0.35">
      <c r="P2151" s="226"/>
      <c r="Q2151" s="226"/>
      <c r="R2151" s="226"/>
      <c r="S2151" s="226"/>
      <c r="T2151" s="226"/>
      <c r="U2151" s="226"/>
    </row>
    <row r="2152" spans="16:21" x14ac:dyDescent="0.35">
      <c r="P2152" s="226"/>
      <c r="Q2152" s="226"/>
      <c r="R2152" s="226"/>
      <c r="S2152" s="226"/>
      <c r="T2152" s="226"/>
      <c r="U2152" s="226"/>
    </row>
    <row r="2153" spans="16:21" x14ac:dyDescent="0.35">
      <c r="P2153" s="226"/>
      <c r="Q2153" s="226"/>
      <c r="R2153" s="226"/>
      <c r="S2153" s="226"/>
      <c r="T2153" s="226"/>
      <c r="U2153" s="226"/>
    </row>
    <row r="2154" spans="16:21" x14ac:dyDescent="0.35">
      <c r="P2154" s="226"/>
      <c r="Q2154" s="226"/>
      <c r="R2154" s="226"/>
      <c r="S2154" s="226"/>
      <c r="T2154" s="226"/>
      <c r="U2154" s="226"/>
    </row>
    <row r="2155" spans="16:21" x14ac:dyDescent="0.35">
      <c r="P2155" s="226"/>
      <c r="Q2155" s="226"/>
      <c r="R2155" s="226"/>
      <c r="S2155" s="226"/>
      <c r="T2155" s="226"/>
      <c r="U2155" s="226"/>
    </row>
    <row r="2156" spans="16:21" x14ac:dyDescent="0.35">
      <c r="P2156" s="226"/>
      <c r="Q2156" s="226"/>
      <c r="R2156" s="226"/>
      <c r="S2156" s="226"/>
      <c r="T2156" s="226"/>
      <c r="U2156" s="226"/>
    </row>
    <row r="2157" spans="16:21" x14ac:dyDescent="0.35">
      <c r="P2157" s="226"/>
      <c r="Q2157" s="226"/>
      <c r="R2157" s="226"/>
      <c r="S2157" s="226"/>
      <c r="T2157" s="226"/>
      <c r="U2157" s="226"/>
    </row>
    <row r="2158" spans="16:21" x14ac:dyDescent="0.35">
      <c r="P2158" s="226"/>
      <c r="Q2158" s="226"/>
      <c r="R2158" s="226"/>
      <c r="S2158" s="226"/>
      <c r="T2158" s="226"/>
      <c r="U2158" s="226"/>
    </row>
    <row r="2159" spans="16:21" x14ac:dyDescent="0.35">
      <c r="P2159" s="226"/>
      <c r="Q2159" s="226"/>
      <c r="R2159" s="226"/>
      <c r="S2159" s="226"/>
      <c r="T2159" s="226"/>
      <c r="U2159" s="226"/>
    </row>
    <row r="2160" spans="16:21" x14ac:dyDescent="0.35">
      <c r="P2160" s="226"/>
      <c r="Q2160" s="226"/>
      <c r="R2160" s="226"/>
      <c r="S2160" s="226"/>
      <c r="T2160" s="226"/>
      <c r="U2160" s="226"/>
    </row>
    <row r="2161" spans="16:21" x14ac:dyDescent="0.35">
      <c r="P2161" s="226"/>
      <c r="Q2161" s="226"/>
      <c r="R2161" s="226"/>
      <c r="S2161" s="226"/>
      <c r="T2161" s="226"/>
      <c r="U2161" s="226"/>
    </row>
    <row r="2162" spans="16:21" x14ac:dyDescent="0.35">
      <c r="P2162" s="226"/>
      <c r="Q2162" s="226"/>
      <c r="R2162" s="226"/>
      <c r="S2162" s="226"/>
      <c r="T2162" s="226"/>
      <c r="U2162" s="226"/>
    </row>
    <row r="2163" spans="16:21" x14ac:dyDescent="0.35">
      <c r="P2163" s="226"/>
      <c r="Q2163" s="226"/>
      <c r="R2163" s="226"/>
      <c r="S2163" s="226"/>
      <c r="T2163" s="226"/>
      <c r="U2163" s="226"/>
    </row>
    <row r="2164" spans="16:21" x14ac:dyDescent="0.35">
      <c r="P2164" s="226"/>
      <c r="Q2164" s="226"/>
      <c r="R2164" s="226"/>
      <c r="S2164" s="226"/>
      <c r="T2164" s="226"/>
      <c r="U2164" s="226"/>
    </row>
    <row r="2165" spans="16:21" x14ac:dyDescent="0.35">
      <c r="P2165" s="226"/>
      <c r="Q2165" s="226"/>
      <c r="R2165" s="226"/>
      <c r="S2165" s="226"/>
      <c r="T2165" s="226"/>
      <c r="U2165" s="226"/>
    </row>
    <row r="2166" spans="16:21" x14ac:dyDescent="0.35">
      <c r="P2166" s="226"/>
      <c r="Q2166" s="226"/>
      <c r="R2166" s="226"/>
      <c r="S2166" s="226"/>
      <c r="T2166" s="226"/>
      <c r="U2166" s="226"/>
    </row>
    <row r="2167" spans="16:21" x14ac:dyDescent="0.35">
      <c r="P2167" s="226"/>
      <c r="Q2167" s="226"/>
      <c r="R2167" s="226"/>
      <c r="S2167" s="226"/>
      <c r="T2167" s="226"/>
      <c r="U2167" s="226"/>
    </row>
    <row r="2168" spans="16:21" x14ac:dyDescent="0.35">
      <c r="P2168" s="226"/>
      <c r="Q2168" s="226"/>
      <c r="R2168" s="226"/>
      <c r="S2168" s="226"/>
      <c r="T2168" s="226"/>
      <c r="U2168" s="226"/>
    </row>
    <row r="2169" spans="16:21" x14ac:dyDescent="0.35">
      <c r="P2169" s="226"/>
      <c r="Q2169" s="226"/>
      <c r="R2169" s="226"/>
      <c r="S2169" s="226"/>
      <c r="T2169" s="226"/>
      <c r="U2169" s="226"/>
    </row>
    <row r="2170" spans="16:21" x14ac:dyDescent="0.35">
      <c r="P2170" s="226"/>
      <c r="Q2170" s="226"/>
      <c r="R2170" s="226"/>
      <c r="S2170" s="226"/>
      <c r="T2170" s="226"/>
      <c r="U2170" s="226"/>
    </row>
    <row r="2171" spans="16:21" x14ac:dyDescent="0.35">
      <c r="P2171" s="226"/>
      <c r="Q2171" s="226"/>
      <c r="R2171" s="226"/>
      <c r="S2171" s="226"/>
      <c r="T2171" s="226"/>
      <c r="U2171" s="226"/>
    </row>
    <row r="2172" spans="16:21" x14ac:dyDescent="0.35">
      <c r="P2172" s="226"/>
      <c r="Q2172" s="226"/>
      <c r="R2172" s="226"/>
      <c r="S2172" s="226"/>
      <c r="T2172" s="226"/>
      <c r="U2172" s="226"/>
    </row>
    <row r="2173" spans="16:21" x14ac:dyDescent="0.35">
      <c r="P2173" s="226"/>
      <c r="Q2173" s="226"/>
      <c r="R2173" s="226"/>
      <c r="S2173" s="226"/>
      <c r="T2173" s="226"/>
      <c r="U2173" s="226"/>
    </row>
    <row r="2174" spans="16:21" x14ac:dyDescent="0.35">
      <c r="P2174" s="226"/>
      <c r="Q2174" s="226"/>
      <c r="R2174" s="226"/>
      <c r="S2174" s="226"/>
      <c r="T2174" s="226"/>
      <c r="U2174" s="226"/>
    </row>
    <row r="2175" spans="16:21" x14ac:dyDescent="0.35">
      <c r="P2175" s="226"/>
      <c r="Q2175" s="226"/>
      <c r="R2175" s="226"/>
      <c r="S2175" s="226"/>
      <c r="T2175" s="226"/>
      <c r="U2175" s="226"/>
    </row>
    <row r="2176" spans="16:21" x14ac:dyDescent="0.35">
      <c r="P2176" s="226"/>
      <c r="Q2176" s="226"/>
      <c r="R2176" s="226"/>
      <c r="S2176" s="226"/>
      <c r="T2176" s="226"/>
      <c r="U2176" s="226"/>
    </row>
    <row r="2177" spans="16:21" x14ac:dyDescent="0.35">
      <c r="P2177" s="226"/>
      <c r="Q2177" s="226"/>
      <c r="R2177" s="226"/>
      <c r="S2177" s="226"/>
      <c r="T2177" s="226"/>
      <c r="U2177" s="226"/>
    </row>
    <row r="2178" spans="16:21" x14ac:dyDescent="0.35">
      <c r="P2178" s="226"/>
      <c r="Q2178" s="226"/>
      <c r="R2178" s="226"/>
      <c r="S2178" s="226"/>
      <c r="T2178" s="226"/>
      <c r="U2178" s="226"/>
    </row>
    <row r="2179" spans="16:21" x14ac:dyDescent="0.35">
      <c r="P2179" s="226"/>
      <c r="Q2179" s="226"/>
      <c r="R2179" s="226"/>
      <c r="S2179" s="226"/>
      <c r="T2179" s="226"/>
      <c r="U2179" s="226"/>
    </row>
    <row r="2180" spans="16:21" x14ac:dyDescent="0.35">
      <c r="P2180" s="226"/>
      <c r="Q2180" s="226"/>
      <c r="R2180" s="226"/>
      <c r="S2180" s="226"/>
      <c r="T2180" s="226"/>
      <c r="U2180" s="226"/>
    </row>
    <row r="2181" spans="16:21" x14ac:dyDescent="0.35">
      <c r="P2181" s="226"/>
      <c r="Q2181" s="226"/>
      <c r="R2181" s="226"/>
      <c r="S2181" s="226"/>
      <c r="T2181" s="226"/>
      <c r="U2181" s="226"/>
    </row>
    <row r="2182" spans="16:21" x14ac:dyDescent="0.35">
      <c r="P2182" s="226"/>
      <c r="Q2182" s="226"/>
      <c r="R2182" s="226"/>
      <c r="S2182" s="226"/>
      <c r="T2182" s="226"/>
      <c r="U2182" s="226"/>
    </row>
    <row r="2183" spans="16:21" x14ac:dyDescent="0.35">
      <c r="P2183" s="226"/>
      <c r="Q2183" s="226"/>
      <c r="R2183" s="226"/>
      <c r="S2183" s="226"/>
      <c r="T2183" s="226"/>
      <c r="U2183" s="226"/>
    </row>
    <row r="2184" spans="16:21" x14ac:dyDescent="0.35">
      <c r="P2184" s="226"/>
      <c r="Q2184" s="226"/>
      <c r="R2184" s="226"/>
      <c r="S2184" s="226"/>
      <c r="T2184" s="226"/>
      <c r="U2184" s="226"/>
    </row>
    <row r="2185" spans="16:21" x14ac:dyDescent="0.35">
      <c r="P2185" s="226"/>
      <c r="Q2185" s="226"/>
      <c r="R2185" s="226"/>
      <c r="S2185" s="226"/>
      <c r="T2185" s="226"/>
      <c r="U2185" s="226"/>
    </row>
    <row r="2186" spans="16:21" x14ac:dyDescent="0.35">
      <c r="P2186" s="226"/>
      <c r="Q2186" s="226"/>
      <c r="R2186" s="226"/>
      <c r="S2186" s="226"/>
      <c r="T2186" s="226"/>
      <c r="U2186" s="226"/>
    </row>
    <row r="2187" spans="16:21" x14ac:dyDescent="0.35">
      <c r="P2187" s="226"/>
      <c r="Q2187" s="226"/>
      <c r="R2187" s="226"/>
      <c r="S2187" s="226"/>
      <c r="T2187" s="226"/>
      <c r="U2187" s="226"/>
    </row>
    <row r="2188" spans="16:21" x14ac:dyDescent="0.35">
      <c r="P2188" s="226"/>
      <c r="Q2188" s="226"/>
      <c r="R2188" s="226"/>
      <c r="S2188" s="226"/>
      <c r="T2188" s="226"/>
      <c r="U2188" s="226"/>
    </row>
    <row r="2189" spans="16:21" x14ac:dyDescent="0.35">
      <c r="P2189" s="226"/>
      <c r="Q2189" s="226"/>
      <c r="R2189" s="226"/>
      <c r="S2189" s="226"/>
      <c r="T2189" s="226"/>
      <c r="U2189" s="226"/>
    </row>
    <row r="2190" spans="16:21" x14ac:dyDescent="0.35">
      <c r="P2190" s="226"/>
      <c r="Q2190" s="226"/>
      <c r="R2190" s="226"/>
      <c r="S2190" s="226"/>
      <c r="T2190" s="226"/>
      <c r="U2190" s="226"/>
    </row>
    <row r="2191" spans="16:21" x14ac:dyDescent="0.35">
      <c r="P2191" s="226"/>
      <c r="Q2191" s="226"/>
      <c r="R2191" s="226"/>
      <c r="S2191" s="226"/>
      <c r="T2191" s="226"/>
      <c r="U2191" s="226"/>
    </row>
    <row r="2192" spans="16:21" x14ac:dyDescent="0.35">
      <c r="P2192" s="226"/>
      <c r="Q2192" s="226"/>
      <c r="R2192" s="226"/>
      <c r="S2192" s="226"/>
      <c r="T2192" s="226"/>
      <c r="U2192" s="226"/>
    </row>
    <row r="2193" spans="16:21" x14ac:dyDescent="0.35">
      <c r="P2193" s="226"/>
      <c r="Q2193" s="226"/>
      <c r="R2193" s="226"/>
      <c r="S2193" s="226"/>
      <c r="T2193" s="226"/>
      <c r="U2193" s="226"/>
    </row>
    <row r="2194" spans="16:21" x14ac:dyDescent="0.35">
      <c r="P2194" s="226"/>
      <c r="Q2194" s="226"/>
      <c r="R2194" s="226"/>
      <c r="S2194" s="226"/>
      <c r="T2194" s="226"/>
      <c r="U2194" s="226"/>
    </row>
    <row r="2195" spans="16:21" x14ac:dyDescent="0.35">
      <c r="P2195" s="226"/>
      <c r="Q2195" s="226"/>
      <c r="R2195" s="226"/>
      <c r="S2195" s="226"/>
      <c r="T2195" s="226"/>
      <c r="U2195" s="226"/>
    </row>
    <row r="2196" spans="16:21" x14ac:dyDescent="0.35">
      <c r="P2196" s="226"/>
      <c r="Q2196" s="226"/>
      <c r="R2196" s="226"/>
      <c r="S2196" s="226"/>
      <c r="T2196" s="226"/>
      <c r="U2196" s="226"/>
    </row>
    <row r="2197" spans="16:21" x14ac:dyDescent="0.35">
      <c r="P2197" s="226"/>
      <c r="Q2197" s="226"/>
      <c r="R2197" s="226"/>
      <c r="S2197" s="226"/>
      <c r="T2197" s="226"/>
      <c r="U2197" s="226"/>
    </row>
    <row r="2198" spans="16:21" x14ac:dyDescent="0.35">
      <c r="P2198" s="226"/>
      <c r="Q2198" s="226"/>
      <c r="R2198" s="226"/>
      <c r="S2198" s="226"/>
      <c r="T2198" s="226"/>
      <c r="U2198" s="226"/>
    </row>
    <row r="2199" spans="16:21" x14ac:dyDescent="0.35">
      <c r="P2199" s="226"/>
      <c r="Q2199" s="226"/>
      <c r="R2199" s="226"/>
      <c r="S2199" s="226"/>
      <c r="T2199" s="226"/>
      <c r="U2199" s="226"/>
    </row>
    <row r="2200" spans="16:21" x14ac:dyDescent="0.35">
      <c r="P2200" s="226"/>
      <c r="Q2200" s="226"/>
      <c r="R2200" s="226"/>
      <c r="S2200" s="226"/>
      <c r="T2200" s="226"/>
      <c r="U2200" s="226"/>
    </row>
    <row r="2201" spans="16:21" x14ac:dyDescent="0.35">
      <c r="P2201" s="226"/>
      <c r="Q2201" s="226"/>
      <c r="R2201" s="226"/>
      <c r="S2201" s="226"/>
      <c r="T2201" s="226"/>
      <c r="U2201" s="226"/>
    </row>
    <row r="2202" spans="16:21" x14ac:dyDescent="0.35">
      <c r="P2202" s="226"/>
      <c r="Q2202" s="226"/>
      <c r="R2202" s="226"/>
      <c r="S2202" s="226"/>
      <c r="T2202" s="226"/>
      <c r="U2202" s="226"/>
    </row>
    <row r="2203" spans="16:21" x14ac:dyDescent="0.35">
      <c r="P2203" s="226"/>
      <c r="Q2203" s="226"/>
      <c r="R2203" s="226"/>
      <c r="S2203" s="226"/>
      <c r="T2203" s="226"/>
      <c r="U2203" s="226"/>
    </row>
    <row r="2204" spans="16:21" x14ac:dyDescent="0.35">
      <c r="P2204" s="226"/>
      <c r="Q2204" s="226"/>
      <c r="R2204" s="226"/>
      <c r="S2204" s="226"/>
      <c r="T2204" s="226"/>
      <c r="U2204" s="226"/>
    </row>
    <row r="2205" spans="16:21" x14ac:dyDescent="0.35">
      <c r="P2205" s="226"/>
      <c r="Q2205" s="226"/>
      <c r="R2205" s="226"/>
      <c r="S2205" s="226"/>
      <c r="T2205" s="226"/>
      <c r="U2205" s="226"/>
    </row>
    <row r="2206" spans="16:21" x14ac:dyDescent="0.35">
      <c r="P2206" s="226"/>
      <c r="Q2206" s="226"/>
      <c r="R2206" s="226"/>
      <c r="S2206" s="226"/>
      <c r="T2206" s="226"/>
      <c r="U2206" s="226"/>
    </row>
    <row r="2207" spans="16:21" x14ac:dyDescent="0.35">
      <c r="P2207" s="226"/>
      <c r="Q2207" s="226"/>
      <c r="R2207" s="226"/>
      <c r="S2207" s="226"/>
      <c r="T2207" s="226"/>
      <c r="U2207" s="226"/>
    </row>
    <row r="2208" spans="16:21" x14ac:dyDescent="0.35">
      <c r="P2208" s="226"/>
      <c r="Q2208" s="226"/>
      <c r="R2208" s="226"/>
      <c r="S2208" s="226"/>
      <c r="T2208" s="226"/>
      <c r="U2208" s="226"/>
    </row>
    <row r="2209" spans="16:21" x14ac:dyDescent="0.35">
      <c r="P2209" s="226"/>
      <c r="Q2209" s="226"/>
      <c r="R2209" s="226"/>
      <c r="S2209" s="226"/>
      <c r="T2209" s="226"/>
      <c r="U2209" s="226"/>
    </row>
    <row r="2210" spans="16:21" x14ac:dyDescent="0.35">
      <c r="P2210" s="226"/>
      <c r="Q2210" s="226"/>
      <c r="R2210" s="226"/>
      <c r="S2210" s="226"/>
      <c r="T2210" s="226"/>
      <c r="U2210" s="226"/>
    </row>
    <row r="2211" spans="16:21" x14ac:dyDescent="0.35">
      <c r="P2211" s="226"/>
      <c r="Q2211" s="226"/>
      <c r="R2211" s="226"/>
      <c r="S2211" s="226"/>
      <c r="T2211" s="226"/>
      <c r="U2211" s="226"/>
    </row>
    <row r="2212" spans="16:21" x14ac:dyDescent="0.35">
      <c r="P2212" s="226"/>
      <c r="Q2212" s="226"/>
      <c r="R2212" s="226"/>
      <c r="S2212" s="226"/>
      <c r="T2212" s="226"/>
      <c r="U2212" s="226"/>
    </row>
    <row r="2213" spans="16:21" x14ac:dyDescent="0.35">
      <c r="P2213" s="226"/>
      <c r="Q2213" s="226"/>
      <c r="R2213" s="226"/>
      <c r="S2213" s="226"/>
      <c r="T2213" s="226"/>
      <c r="U2213" s="226"/>
    </row>
    <row r="2214" spans="16:21" x14ac:dyDescent="0.35">
      <c r="P2214" s="226"/>
      <c r="Q2214" s="226"/>
      <c r="R2214" s="226"/>
      <c r="S2214" s="226"/>
      <c r="T2214" s="226"/>
      <c r="U2214" s="226"/>
    </row>
    <row r="2215" spans="16:21" x14ac:dyDescent="0.35">
      <c r="P2215" s="226"/>
      <c r="Q2215" s="226"/>
      <c r="R2215" s="226"/>
      <c r="S2215" s="226"/>
      <c r="T2215" s="226"/>
      <c r="U2215" s="226"/>
    </row>
    <row r="2216" spans="16:21" x14ac:dyDescent="0.35">
      <c r="P2216" s="226"/>
      <c r="Q2216" s="226"/>
      <c r="R2216" s="226"/>
      <c r="S2216" s="226"/>
      <c r="T2216" s="226"/>
      <c r="U2216" s="226"/>
    </row>
    <row r="2217" spans="16:21" x14ac:dyDescent="0.35">
      <c r="P2217" s="226"/>
      <c r="Q2217" s="226"/>
      <c r="R2217" s="226"/>
      <c r="S2217" s="226"/>
      <c r="T2217" s="226"/>
      <c r="U2217" s="226"/>
    </row>
    <row r="2218" spans="16:21" x14ac:dyDescent="0.35">
      <c r="P2218" s="226"/>
      <c r="Q2218" s="226"/>
      <c r="R2218" s="226"/>
      <c r="S2218" s="226"/>
      <c r="T2218" s="226"/>
      <c r="U2218" s="226"/>
    </row>
    <row r="2219" spans="16:21" x14ac:dyDescent="0.35">
      <c r="P2219" s="226"/>
      <c r="Q2219" s="226"/>
      <c r="R2219" s="226"/>
      <c r="S2219" s="226"/>
      <c r="T2219" s="226"/>
      <c r="U2219" s="226"/>
    </row>
    <row r="2220" spans="16:21" x14ac:dyDescent="0.35">
      <c r="P2220" s="226"/>
      <c r="Q2220" s="226"/>
      <c r="R2220" s="226"/>
      <c r="S2220" s="226"/>
      <c r="T2220" s="226"/>
      <c r="U2220" s="226"/>
    </row>
    <row r="2221" spans="16:21" x14ac:dyDescent="0.35">
      <c r="P2221" s="226"/>
      <c r="Q2221" s="226"/>
      <c r="R2221" s="226"/>
      <c r="S2221" s="226"/>
      <c r="T2221" s="226"/>
      <c r="U2221" s="226"/>
    </row>
    <row r="2222" spans="16:21" x14ac:dyDescent="0.35">
      <c r="P2222" s="226"/>
      <c r="Q2222" s="226"/>
      <c r="R2222" s="226"/>
      <c r="S2222" s="226"/>
      <c r="T2222" s="226"/>
      <c r="U2222" s="226"/>
    </row>
    <row r="2223" spans="16:21" x14ac:dyDescent="0.35">
      <c r="P2223" s="226"/>
      <c r="Q2223" s="226"/>
      <c r="R2223" s="226"/>
      <c r="S2223" s="226"/>
      <c r="T2223" s="226"/>
      <c r="U2223" s="226"/>
    </row>
    <row r="2224" spans="16:21" x14ac:dyDescent="0.35">
      <c r="P2224" s="226"/>
      <c r="Q2224" s="226"/>
      <c r="R2224" s="226"/>
      <c r="S2224" s="226"/>
      <c r="T2224" s="226"/>
      <c r="U2224" s="226"/>
    </row>
    <row r="2225" spans="16:21" x14ac:dyDescent="0.35">
      <c r="P2225" s="226"/>
      <c r="Q2225" s="226"/>
      <c r="R2225" s="226"/>
      <c r="S2225" s="226"/>
      <c r="T2225" s="226"/>
      <c r="U2225" s="226"/>
    </row>
    <row r="2226" spans="16:21" x14ac:dyDescent="0.35">
      <c r="P2226" s="226"/>
      <c r="Q2226" s="226"/>
      <c r="R2226" s="226"/>
      <c r="S2226" s="226"/>
      <c r="T2226" s="226"/>
      <c r="U2226" s="226"/>
    </row>
    <row r="2227" spans="16:21" x14ac:dyDescent="0.35">
      <c r="P2227" s="226"/>
      <c r="Q2227" s="226"/>
      <c r="R2227" s="226"/>
      <c r="S2227" s="226"/>
      <c r="T2227" s="226"/>
      <c r="U2227" s="226"/>
    </row>
    <row r="2228" spans="16:21" x14ac:dyDescent="0.35">
      <c r="P2228" s="226"/>
      <c r="Q2228" s="226"/>
      <c r="R2228" s="226"/>
      <c r="S2228" s="226"/>
      <c r="T2228" s="226"/>
      <c r="U2228" s="226"/>
    </row>
    <row r="2229" spans="16:21" x14ac:dyDescent="0.35">
      <c r="P2229" s="226"/>
      <c r="Q2229" s="226"/>
      <c r="R2229" s="226"/>
      <c r="S2229" s="226"/>
      <c r="T2229" s="226"/>
      <c r="U2229" s="226"/>
    </row>
    <row r="2230" spans="16:21" x14ac:dyDescent="0.35">
      <c r="P2230" s="226"/>
      <c r="Q2230" s="226"/>
      <c r="R2230" s="226"/>
      <c r="S2230" s="226"/>
      <c r="T2230" s="226"/>
      <c r="U2230" s="226"/>
    </row>
    <row r="2231" spans="16:21" x14ac:dyDescent="0.35">
      <c r="P2231" s="226"/>
      <c r="Q2231" s="226"/>
      <c r="R2231" s="226"/>
      <c r="S2231" s="226"/>
      <c r="T2231" s="226"/>
      <c r="U2231" s="226"/>
    </row>
    <row r="2232" spans="16:21" x14ac:dyDescent="0.35">
      <c r="P2232" s="226"/>
      <c r="Q2232" s="226"/>
      <c r="R2232" s="226"/>
      <c r="S2232" s="226"/>
      <c r="T2232" s="226"/>
      <c r="U2232" s="226"/>
    </row>
    <row r="2233" spans="16:21" x14ac:dyDescent="0.35">
      <c r="P2233" s="226"/>
      <c r="Q2233" s="226"/>
      <c r="R2233" s="226"/>
      <c r="S2233" s="226"/>
      <c r="T2233" s="226"/>
      <c r="U2233" s="226"/>
    </row>
    <row r="2234" spans="16:21" x14ac:dyDescent="0.35">
      <c r="P2234" s="226"/>
      <c r="Q2234" s="226"/>
      <c r="R2234" s="226"/>
      <c r="S2234" s="226"/>
      <c r="T2234" s="226"/>
      <c r="U2234" s="226"/>
    </row>
    <row r="2235" spans="16:21" x14ac:dyDescent="0.35">
      <c r="P2235" s="226"/>
      <c r="Q2235" s="226"/>
      <c r="R2235" s="226"/>
      <c r="S2235" s="226"/>
      <c r="T2235" s="226"/>
      <c r="U2235" s="226"/>
    </row>
    <row r="2236" spans="16:21" x14ac:dyDescent="0.35">
      <c r="P2236" s="226"/>
      <c r="Q2236" s="226"/>
      <c r="R2236" s="226"/>
      <c r="S2236" s="226"/>
      <c r="T2236" s="226"/>
      <c r="U2236" s="226"/>
    </row>
    <row r="2237" spans="16:21" x14ac:dyDescent="0.35">
      <c r="P2237" s="226"/>
      <c r="Q2237" s="226"/>
      <c r="R2237" s="226"/>
      <c r="S2237" s="226"/>
      <c r="T2237" s="226"/>
      <c r="U2237" s="226"/>
    </row>
    <row r="2238" spans="16:21" x14ac:dyDescent="0.35">
      <c r="P2238" s="226"/>
      <c r="Q2238" s="226"/>
      <c r="R2238" s="226"/>
      <c r="S2238" s="226"/>
      <c r="T2238" s="226"/>
      <c r="U2238" s="226"/>
    </row>
    <row r="2239" spans="16:21" x14ac:dyDescent="0.35">
      <c r="P2239" s="226"/>
      <c r="Q2239" s="226"/>
      <c r="R2239" s="226"/>
      <c r="S2239" s="226"/>
      <c r="T2239" s="226"/>
      <c r="U2239" s="226"/>
    </row>
    <row r="2240" spans="16:21" x14ac:dyDescent="0.35">
      <c r="P2240" s="226"/>
      <c r="Q2240" s="226"/>
      <c r="R2240" s="226"/>
      <c r="S2240" s="226"/>
      <c r="T2240" s="226"/>
      <c r="U2240" s="226"/>
    </row>
    <row r="2241" spans="16:21" x14ac:dyDescent="0.35">
      <c r="P2241" s="226"/>
      <c r="Q2241" s="226"/>
      <c r="R2241" s="226"/>
      <c r="S2241" s="226"/>
      <c r="T2241" s="226"/>
      <c r="U2241" s="226"/>
    </row>
    <row r="2242" spans="16:21" x14ac:dyDescent="0.35">
      <c r="P2242" s="226"/>
      <c r="Q2242" s="226"/>
      <c r="R2242" s="226"/>
      <c r="S2242" s="226"/>
      <c r="T2242" s="226"/>
      <c r="U2242" s="226"/>
    </row>
    <row r="2243" spans="16:21" x14ac:dyDescent="0.35">
      <c r="P2243" s="226"/>
      <c r="Q2243" s="226"/>
      <c r="R2243" s="226"/>
      <c r="S2243" s="226"/>
      <c r="T2243" s="226"/>
      <c r="U2243" s="226"/>
    </row>
    <row r="2244" spans="16:21" x14ac:dyDescent="0.35">
      <c r="P2244" s="226"/>
      <c r="Q2244" s="226"/>
      <c r="R2244" s="226"/>
      <c r="S2244" s="226"/>
      <c r="T2244" s="226"/>
      <c r="U2244" s="226"/>
    </row>
    <row r="2245" spans="16:21" x14ac:dyDescent="0.35">
      <c r="P2245" s="226"/>
      <c r="Q2245" s="226"/>
      <c r="R2245" s="226"/>
      <c r="S2245" s="226"/>
      <c r="T2245" s="226"/>
      <c r="U2245" s="226"/>
    </row>
    <row r="2246" spans="16:21" x14ac:dyDescent="0.35">
      <c r="P2246" s="226"/>
      <c r="Q2246" s="226"/>
      <c r="R2246" s="226"/>
      <c r="S2246" s="226"/>
      <c r="T2246" s="226"/>
      <c r="U2246" s="226"/>
    </row>
    <row r="2247" spans="16:21" x14ac:dyDescent="0.35">
      <c r="P2247" s="226"/>
      <c r="Q2247" s="226"/>
      <c r="R2247" s="226"/>
      <c r="S2247" s="226"/>
      <c r="T2247" s="226"/>
      <c r="U2247" s="226"/>
    </row>
    <row r="2248" spans="16:21" x14ac:dyDescent="0.35">
      <c r="P2248" s="226"/>
      <c r="Q2248" s="226"/>
      <c r="R2248" s="226"/>
      <c r="S2248" s="226"/>
      <c r="T2248" s="226"/>
      <c r="U2248" s="226"/>
    </row>
    <row r="2249" spans="16:21" x14ac:dyDescent="0.35">
      <c r="P2249" s="226"/>
      <c r="Q2249" s="226"/>
      <c r="R2249" s="226"/>
      <c r="S2249" s="226"/>
      <c r="T2249" s="226"/>
      <c r="U2249" s="226"/>
    </row>
    <row r="2250" spans="16:21" x14ac:dyDescent="0.35">
      <c r="P2250" s="226"/>
      <c r="Q2250" s="226"/>
      <c r="R2250" s="226"/>
      <c r="S2250" s="226"/>
      <c r="T2250" s="226"/>
      <c r="U2250" s="226"/>
    </row>
    <row r="2251" spans="16:21" x14ac:dyDescent="0.35">
      <c r="P2251" s="226"/>
      <c r="Q2251" s="226"/>
      <c r="R2251" s="226"/>
      <c r="S2251" s="226"/>
      <c r="T2251" s="226"/>
      <c r="U2251" s="226"/>
    </row>
    <row r="2252" spans="16:21" x14ac:dyDescent="0.35">
      <c r="P2252" s="226"/>
      <c r="Q2252" s="226"/>
      <c r="R2252" s="226"/>
      <c r="S2252" s="226"/>
      <c r="T2252" s="226"/>
      <c r="U2252" s="226"/>
    </row>
    <row r="2253" spans="16:21" x14ac:dyDescent="0.35">
      <c r="P2253" s="226"/>
      <c r="Q2253" s="226"/>
      <c r="R2253" s="226"/>
      <c r="S2253" s="226"/>
      <c r="T2253" s="226"/>
      <c r="U2253" s="226"/>
    </row>
    <row r="2254" spans="16:21" x14ac:dyDescent="0.35">
      <c r="P2254" s="226"/>
      <c r="Q2254" s="226"/>
      <c r="R2254" s="226"/>
      <c r="S2254" s="226"/>
      <c r="T2254" s="226"/>
      <c r="U2254" s="226"/>
    </row>
    <row r="2255" spans="16:21" x14ac:dyDescent="0.35">
      <c r="P2255" s="226"/>
      <c r="Q2255" s="226"/>
      <c r="R2255" s="226"/>
      <c r="S2255" s="226"/>
      <c r="T2255" s="226"/>
      <c r="U2255" s="226"/>
    </row>
    <row r="2256" spans="16:21" x14ac:dyDescent="0.35">
      <c r="P2256" s="226"/>
      <c r="Q2256" s="226"/>
      <c r="R2256" s="226"/>
      <c r="S2256" s="226"/>
      <c r="T2256" s="226"/>
      <c r="U2256" s="226"/>
    </row>
    <row r="2257" spans="16:21" x14ac:dyDescent="0.35">
      <c r="P2257" s="226"/>
      <c r="Q2257" s="226"/>
      <c r="R2257" s="226"/>
      <c r="S2257" s="226"/>
      <c r="T2257" s="226"/>
      <c r="U2257" s="226"/>
    </row>
    <row r="2258" spans="16:21" x14ac:dyDescent="0.35">
      <c r="P2258" s="226"/>
      <c r="Q2258" s="226"/>
      <c r="R2258" s="226"/>
      <c r="S2258" s="226"/>
      <c r="T2258" s="226"/>
      <c r="U2258" s="226"/>
    </row>
    <row r="2259" spans="16:21" x14ac:dyDescent="0.35">
      <c r="P2259" s="226"/>
      <c r="Q2259" s="226"/>
      <c r="R2259" s="226"/>
      <c r="S2259" s="226"/>
      <c r="T2259" s="226"/>
      <c r="U2259" s="226"/>
    </row>
    <row r="2260" spans="16:21" x14ac:dyDescent="0.35">
      <c r="P2260" s="226"/>
      <c r="Q2260" s="226"/>
      <c r="R2260" s="226"/>
      <c r="S2260" s="226"/>
      <c r="T2260" s="226"/>
      <c r="U2260" s="226"/>
    </row>
    <row r="2261" spans="16:21" x14ac:dyDescent="0.35">
      <c r="P2261" s="226"/>
      <c r="Q2261" s="226"/>
      <c r="R2261" s="226"/>
      <c r="S2261" s="226"/>
      <c r="T2261" s="226"/>
      <c r="U2261" s="226"/>
    </row>
    <row r="2262" spans="16:21" x14ac:dyDescent="0.35">
      <c r="P2262" s="226"/>
      <c r="Q2262" s="226"/>
      <c r="R2262" s="226"/>
      <c r="S2262" s="226"/>
      <c r="T2262" s="226"/>
      <c r="U2262" s="226"/>
    </row>
    <row r="2263" spans="16:21" x14ac:dyDescent="0.35">
      <c r="P2263" s="226"/>
      <c r="Q2263" s="226"/>
      <c r="R2263" s="226"/>
      <c r="S2263" s="226"/>
      <c r="T2263" s="226"/>
      <c r="U2263" s="226"/>
    </row>
    <row r="2264" spans="16:21" x14ac:dyDescent="0.35">
      <c r="P2264" s="226"/>
      <c r="Q2264" s="226"/>
      <c r="R2264" s="226"/>
      <c r="S2264" s="226"/>
      <c r="T2264" s="226"/>
      <c r="U2264" s="226"/>
    </row>
    <row r="2265" spans="16:21" x14ac:dyDescent="0.35">
      <c r="P2265" s="226"/>
      <c r="Q2265" s="226"/>
      <c r="R2265" s="226"/>
      <c r="S2265" s="226"/>
      <c r="T2265" s="226"/>
      <c r="U2265" s="226"/>
    </row>
    <row r="2266" spans="16:21" x14ac:dyDescent="0.35">
      <c r="P2266" s="226"/>
      <c r="Q2266" s="226"/>
      <c r="R2266" s="226"/>
      <c r="S2266" s="226"/>
      <c r="T2266" s="226"/>
      <c r="U2266" s="226"/>
    </row>
    <row r="2267" spans="16:21" x14ac:dyDescent="0.35">
      <c r="P2267" s="226"/>
      <c r="Q2267" s="226"/>
      <c r="R2267" s="226"/>
      <c r="S2267" s="226"/>
      <c r="T2267" s="226"/>
      <c r="U2267" s="226"/>
    </row>
    <row r="2268" spans="16:21" x14ac:dyDescent="0.35">
      <c r="P2268" s="226"/>
      <c r="Q2268" s="226"/>
      <c r="R2268" s="226"/>
      <c r="S2268" s="226"/>
      <c r="T2268" s="226"/>
      <c r="U2268" s="226"/>
    </row>
    <row r="2269" spans="16:21" x14ac:dyDescent="0.35">
      <c r="P2269" s="226"/>
      <c r="Q2269" s="226"/>
      <c r="R2269" s="226"/>
      <c r="S2269" s="226"/>
      <c r="T2269" s="226"/>
      <c r="U2269" s="226"/>
    </row>
    <row r="2270" spans="16:21" x14ac:dyDescent="0.35">
      <c r="P2270" s="226"/>
      <c r="Q2270" s="226"/>
      <c r="R2270" s="226"/>
      <c r="S2270" s="226"/>
      <c r="T2270" s="226"/>
      <c r="U2270" s="226"/>
    </row>
    <row r="2271" spans="16:21" x14ac:dyDescent="0.35">
      <c r="P2271" s="226"/>
      <c r="Q2271" s="226"/>
      <c r="R2271" s="226"/>
      <c r="S2271" s="226"/>
      <c r="T2271" s="226"/>
      <c r="U2271" s="226"/>
    </row>
    <row r="2272" spans="16:21" x14ac:dyDescent="0.35">
      <c r="P2272" s="226"/>
      <c r="Q2272" s="226"/>
      <c r="R2272" s="226"/>
      <c r="S2272" s="226"/>
      <c r="T2272" s="226"/>
      <c r="U2272" s="226"/>
    </row>
    <row r="2273" spans="16:21" x14ac:dyDescent="0.35">
      <c r="P2273" s="226"/>
      <c r="Q2273" s="226"/>
      <c r="R2273" s="226"/>
      <c r="S2273" s="226"/>
      <c r="T2273" s="226"/>
      <c r="U2273" s="226"/>
    </row>
    <row r="2274" spans="16:21" x14ac:dyDescent="0.35">
      <c r="P2274" s="226"/>
      <c r="Q2274" s="226"/>
      <c r="R2274" s="226"/>
      <c r="S2274" s="226"/>
      <c r="T2274" s="226"/>
      <c r="U2274" s="226"/>
    </row>
    <row r="2275" spans="16:21" x14ac:dyDescent="0.35">
      <c r="P2275" s="226"/>
      <c r="Q2275" s="226"/>
      <c r="R2275" s="226"/>
      <c r="S2275" s="226"/>
      <c r="T2275" s="226"/>
      <c r="U2275" s="226"/>
    </row>
    <row r="2276" spans="16:21" x14ac:dyDescent="0.35">
      <c r="P2276" s="226"/>
      <c r="Q2276" s="226"/>
      <c r="R2276" s="226"/>
      <c r="S2276" s="226"/>
      <c r="T2276" s="226"/>
      <c r="U2276" s="226"/>
    </row>
    <row r="2277" spans="16:21" x14ac:dyDescent="0.35">
      <c r="P2277" s="226"/>
      <c r="Q2277" s="226"/>
      <c r="R2277" s="226"/>
      <c r="S2277" s="226"/>
      <c r="T2277" s="226"/>
      <c r="U2277" s="226"/>
    </row>
    <row r="2278" spans="16:21" x14ac:dyDescent="0.35">
      <c r="P2278" s="226"/>
      <c r="Q2278" s="226"/>
      <c r="R2278" s="226"/>
      <c r="S2278" s="226"/>
      <c r="T2278" s="226"/>
      <c r="U2278" s="226"/>
    </row>
    <row r="2279" spans="16:21" x14ac:dyDescent="0.35">
      <c r="P2279" s="226"/>
      <c r="Q2279" s="226"/>
      <c r="R2279" s="226"/>
      <c r="S2279" s="226"/>
      <c r="T2279" s="226"/>
      <c r="U2279" s="226"/>
    </row>
    <row r="2280" spans="16:21" x14ac:dyDescent="0.35">
      <c r="P2280" s="226"/>
      <c r="Q2280" s="226"/>
      <c r="R2280" s="226"/>
      <c r="S2280" s="226"/>
      <c r="T2280" s="226"/>
      <c r="U2280" s="226"/>
    </row>
    <row r="2281" spans="16:21" x14ac:dyDescent="0.35">
      <c r="P2281" s="226"/>
      <c r="Q2281" s="226"/>
      <c r="R2281" s="226"/>
      <c r="S2281" s="226"/>
      <c r="T2281" s="226"/>
      <c r="U2281" s="226"/>
    </row>
    <row r="2282" spans="16:21" x14ac:dyDescent="0.35">
      <c r="P2282" s="226"/>
      <c r="Q2282" s="226"/>
      <c r="R2282" s="226"/>
      <c r="S2282" s="226"/>
      <c r="T2282" s="226"/>
      <c r="U2282" s="226"/>
    </row>
    <row r="2283" spans="16:21" x14ac:dyDescent="0.35">
      <c r="P2283" s="226"/>
      <c r="Q2283" s="226"/>
      <c r="R2283" s="226"/>
      <c r="S2283" s="226"/>
      <c r="T2283" s="226"/>
      <c r="U2283" s="226"/>
    </row>
    <row r="2284" spans="16:21" x14ac:dyDescent="0.35">
      <c r="P2284" s="226"/>
      <c r="Q2284" s="226"/>
      <c r="R2284" s="226"/>
      <c r="S2284" s="226"/>
      <c r="T2284" s="226"/>
      <c r="U2284" s="226"/>
    </row>
    <row r="2285" spans="16:21" x14ac:dyDescent="0.35">
      <c r="P2285" s="226"/>
      <c r="Q2285" s="226"/>
      <c r="R2285" s="226"/>
      <c r="S2285" s="226"/>
      <c r="T2285" s="226"/>
      <c r="U2285" s="226"/>
    </row>
    <row r="2286" spans="16:21" x14ac:dyDescent="0.35">
      <c r="P2286" s="226"/>
      <c r="Q2286" s="226"/>
      <c r="R2286" s="226"/>
      <c r="S2286" s="226"/>
      <c r="T2286" s="226"/>
      <c r="U2286" s="226"/>
    </row>
    <row r="2287" spans="16:21" x14ac:dyDescent="0.35">
      <c r="P2287" s="226"/>
      <c r="Q2287" s="226"/>
      <c r="R2287" s="226"/>
      <c r="S2287" s="226"/>
      <c r="T2287" s="226"/>
      <c r="U2287" s="226"/>
    </row>
    <row r="2288" spans="16:21" x14ac:dyDescent="0.35">
      <c r="P2288" s="226"/>
      <c r="Q2288" s="226"/>
      <c r="R2288" s="226"/>
      <c r="S2288" s="226"/>
      <c r="T2288" s="226"/>
      <c r="U2288" s="226"/>
    </row>
    <row r="2289" spans="16:21" x14ac:dyDescent="0.35">
      <c r="P2289" s="226"/>
      <c r="Q2289" s="226"/>
      <c r="R2289" s="226"/>
      <c r="S2289" s="226"/>
      <c r="T2289" s="226"/>
      <c r="U2289" s="226"/>
    </row>
    <row r="2290" spans="16:21" x14ac:dyDescent="0.35">
      <c r="P2290" s="226"/>
      <c r="Q2290" s="226"/>
      <c r="R2290" s="226"/>
      <c r="S2290" s="226"/>
      <c r="T2290" s="226"/>
      <c r="U2290" s="226"/>
    </row>
    <row r="2291" spans="16:21" x14ac:dyDescent="0.35">
      <c r="P2291" s="226"/>
      <c r="Q2291" s="226"/>
      <c r="R2291" s="226"/>
      <c r="S2291" s="226"/>
      <c r="T2291" s="226"/>
      <c r="U2291" s="226"/>
    </row>
    <row r="2292" spans="16:21" x14ac:dyDescent="0.35">
      <c r="P2292" s="226"/>
      <c r="Q2292" s="226"/>
      <c r="R2292" s="226"/>
      <c r="S2292" s="226"/>
      <c r="T2292" s="226"/>
      <c r="U2292" s="226"/>
    </row>
    <row r="2293" spans="16:21" x14ac:dyDescent="0.35">
      <c r="P2293" s="226"/>
      <c r="Q2293" s="226"/>
      <c r="R2293" s="226"/>
      <c r="S2293" s="226"/>
      <c r="T2293" s="226"/>
      <c r="U2293" s="226"/>
    </row>
    <row r="2294" spans="16:21" x14ac:dyDescent="0.35">
      <c r="P2294" s="226"/>
      <c r="Q2294" s="226"/>
      <c r="R2294" s="226"/>
      <c r="S2294" s="226"/>
      <c r="T2294" s="226"/>
      <c r="U2294" s="226"/>
    </row>
    <row r="2295" spans="16:21" x14ac:dyDescent="0.35">
      <c r="P2295" s="226"/>
      <c r="Q2295" s="226"/>
      <c r="R2295" s="226"/>
      <c r="S2295" s="226"/>
      <c r="T2295" s="226"/>
      <c r="U2295" s="226"/>
    </row>
    <row r="2296" spans="16:21" x14ac:dyDescent="0.35">
      <c r="P2296" s="226"/>
      <c r="Q2296" s="226"/>
      <c r="R2296" s="226"/>
      <c r="S2296" s="226"/>
      <c r="T2296" s="226"/>
      <c r="U2296" s="226"/>
    </row>
    <row r="2297" spans="16:21" x14ac:dyDescent="0.35">
      <c r="P2297" s="226"/>
      <c r="Q2297" s="226"/>
      <c r="R2297" s="226"/>
      <c r="S2297" s="226"/>
      <c r="T2297" s="226"/>
      <c r="U2297" s="226"/>
    </row>
    <row r="2298" spans="16:21" x14ac:dyDescent="0.35">
      <c r="P2298" s="226"/>
      <c r="Q2298" s="226"/>
      <c r="R2298" s="226"/>
      <c r="S2298" s="226"/>
      <c r="T2298" s="226"/>
      <c r="U2298" s="226"/>
    </row>
    <row r="2299" spans="16:21" x14ac:dyDescent="0.35">
      <c r="P2299" s="226"/>
      <c r="Q2299" s="226"/>
      <c r="R2299" s="226"/>
      <c r="S2299" s="226"/>
      <c r="T2299" s="226"/>
      <c r="U2299" s="226"/>
    </row>
    <row r="2300" spans="16:21" x14ac:dyDescent="0.35">
      <c r="P2300" s="226"/>
      <c r="Q2300" s="226"/>
      <c r="R2300" s="226"/>
      <c r="S2300" s="226"/>
      <c r="T2300" s="226"/>
      <c r="U2300" s="226"/>
    </row>
    <row r="2301" spans="16:21" x14ac:dyDescent="0.35">
      <c r="P2301" s="226"/>
      <c r="Q2301" s="226"/>
      <c r="R2301" s="226"/>
      <c r="S2301" s="226"/>
      <c r="T2301" s="226"/>
      <c r="U2301" s="226"/>
    </row>
    <row r="2302" spans="16:21" x14ac:dyDescent="0.35">
      <c r="P2302" s="226"/>
      <c r="Q2302" s="226"/>
      <c r="R2302" s="226"/>
      <c r="S2302" s="226"/>
      <c r="T2302" s="226"/>
      <c r="U2302" s="226"/>
    </row>
    <row r="2303" spans="16:21" x14ac:dyDescent="0.35">
      <c r="P2303" s="226"/>
      <c r="Q2303" s="226"/>
      <c r="R2303" s="226"/>
      <c r="S2303" s="226"/>
      <c r="T2303" s="226"/>
      <c r="U2303" s="226"/>
    </row>
    <row r="2304" spans="16:21" x14ac:dyDescent="0.35">
      <c r="P2304" s="226"/>
      <c r="Q2304" s="226"/>
      <c r="R2304" s="226"/>
      <c r="S2304" s="226"/>
      <c r="T2304" s="226"/>
      <c r="U2304" s="226"/>
    </row>
    <row r="2305" spans="16:21" x14ac:dyDescent="0.35">
      <c r="P2305" s="226"/>
      <c r="Q2305" s="226"/>
      <c r="R2305" s="226"/>
      <c r="S2305" s="226"/>
      <c r="T2305" s="226"/>
      <c r="U2305" s="226"/>
    </row>
    <row r="2306" spans="16:21" x14ac:dyDescent="0.35">
      <c r="P2306" s="226"/>
      <c r="Q2306" s="226"/>
      <c r="R2306" s="226"/>
      <c r="S2306" s="226"/>
      <c r="T2306" s="226"/>
      <c r="U2306" s="226"/>
    </row>
    <row r="2307" spans="16:21" x14ac:dyDescent="0.35">
      <c r="P2307" s="226"/>
      <c r="Q2307" s="226"/>
      <c r="R2307" s="226"/>
      <c r="S2307" s="226"/>
      <c r="T2307" s="226"/>
      <c r="U2307" s="226"/>
    </row>
    <row r="2308" spans="16:21" x14ac:dyDescent="0.35">
      <c r="P2308" s="226"/>
      <c r="Q2308" s="226"/>
      <c r="R2308" s="226"/>
      <c r="S2308" s="226"/>
      <c r="T2308" s="226"/>
      <c r="U2308" s="226"/>
    </row>
    <row r="2309" spans="16:21" x14ac:dyDescent="0.35">
      <c r="P2309" s="226"/>
      <c r="Q2309" s="226"/>
      <c r="R2309" s="226"/>
      <c r="S2309" s="226"/>
      <c r="T2309" s="226"/>
      <c r="U2309" s="226"/>
    </row>
    <row r="2310" spans="16:21" x14ac:dyDescent="0.35">
      <c r="P2310" s="226"/>
      <c r="Q2310" s="226"/>
      <c r="R2310" s="226"/>
      <c r="S2310" s="226"/>
      <c r="T2310" s="226"/>
      <c r="U2310" s="226"/>
    </row>
    <row r="2311" spans="16:21" x14ac:dyDescent="0.35">
      <c r="P2311" s="226"/>
      <c r="Q2311" s="226"/>
      <c r="R2311" s="226"/>
      <c r="S2311" s="226"/>
      <c r="T2311" s="226"/>
      <c r="U2311" s="226"/>
    </row>
    <row r="2312" spans="16:21" x14ac:dyDescent="0.35">
      <c r="P2312" s="226"/>
      <c r="Q2312" s="226"/>
      <c r="R2312" s="226"/>
      <c r="S2312" s="226"/>
      <c r="T2312" s="226"/>
      <c r="U2312" s="226"/>
    </row>
    <row r="2313" spans="16:21" x14ac:dyDescent="0.35">
      <c r="P2313" s="226"/>
      <c r="Q2313" s="226"/>
      <c r="R2313" s="226"/>
      <c r="S2313" s="226"/>
      <c r="T2313" s="226"/>
      <c r="U2313" s="226"/>
    </row>
    <row r="2314" spans="16:21" x14ac:dyDescent="0.35">
      <c r="P2314" s="226"/>
      <c r="Q2314" s="226"/>
      <c r="R2314" s="226"/>
      <c r="S2314" s="226"/>
      <c r="T2314" s="226"/>
      <c r="U2314" s="226"/>
    </row>
    <row r="2315" spans="16:21" x14ac:dyDescent="0.35">
      <c r="P2315" s="226"/>
      <c r="Q2315" s="226"/>
      <c r="R2315" s="226"/>
      <c r="S2315" s="226"/>
      <c r="T2315" s="226"/>
      <c r="U2315" s="226"/>
    </row>
    <row r="2316" spans="16:21" x14ac:dyDescent="0.35">
      <c r="P2316" s="226"/>
      <c r="Q2316" s="226"/>
      <c r="R2316" s="226"/>
      <c r="S2316" s="226"/>
      <c r="T2316" s="226"/>
      <c r="U2316" s="226"/>
    </row>
    <row r="2317" spans="16:21" x14ac:dyDescent="0.35">
      <c r="P2317" s="226"/>
      <c r="Q2317" s="226"/>
      <c r="R2317" s="226"/>
      <c r="S2317" s="226"/>
      <c r="T2317" s="226"/>
      <c r="U2317" s="226"/>
    </row>
    <row r="2318" spans="16:21" x14ac:dyDescent="0.35">
      <c r="P2318" s="226"/>
      <c r="Q2318" s="226"/>
      <c r="R2318" s="226"/>
      <c r="S2318" s="226"/>
      <c r="T2318" s="226"/>
      <c r="U2318" s="226"/>
    </row>
    <row r="2319" spans="16:21" x14ac:dyDescent="0.35">
      <c r="P2319" s="226"/>
      <c r="Q2319" s="226"/>
      <c r="R2319" s="226"/>
      <c r="S2319" s="226"/>
      <c r="T2319" s="226"/>
      <c r="U2319" s="226"/>
    </row>
    <row r="2320" spans="16:21" x14ac:dyDescent="0.35">
      <c r="P2320" s="226"/>
      <c r="Q2320" s="226"/>
      <c r="R2320" s="226"/>
      <c r="S2320" s="226"/>
      <c r="T2320" s="226"/>
      <c r="U2320" s="226"/>
    </row>
    <row r="2321" spans="16:21" x14ac:dyDescent="0.35">
      <c r="P2321" s="226"/>
      <c r="Q2321" s="226"/>
      <c r="R2321" s="226"/>
      <c r="S2321" s="226"/>
      <c r="T2321" s="226"/>
      <c r="U2321" s="226"/>
    </row>
    <row r="2322" spans="16:21" x14ac:dyDescent="0.35">
      <c r="P2322" s="226"/>
      <c r="Q2322" s="226"/>
      <c r="R2322" s="226"/>
      <c r="S2322" s="226"/>
      <c r="T2322" s="226"/>
      <c r="U2322" s="226"/>
    </row>
    <row r="2323" spans="16:21" x14ac:dyDescent="0.35">
      <c r="P2323" s="226"/>
      <c r="Q2323" s="226"/>
      <c r="R2323" s="226"/>
      <c r="S2323" s="226"/>
      <c r="T2323" s="226"/>
      <c r="U2323" s="226"/>
    </row>
    <row r="2324" spans="16:21" x14ac:dyDescent="0.35">
      <c r="P2324" s="226"/>
      <c r="Q2324" s="226"/>
      <c r="R2324" s="226"/>
      <c r="S2324" s="226"/>
      <c r="T2324" s="226"/>
      <c r="U2324" s="226"/>
    </row>
    <row r="2325" spans="16:21" x14ac:dyDescent="0.35">
      <c r="P2325" s="226"/>
      <c r="Q2325" s="226"/>
      <c r="R2325" s="226"/>
      <c r="S2325" s="226"/>
      <c r="T2325" s="226"/>
      <c r="U2325" s="226"/>
    </row>
    <row r="2326" spans="16:21" x14ac:dyDescent="0.35">
      <c r="P2326" s="226"/>
      <c r="Q2326" s="226"/>
      <c r="R2326" s="226"/>
      <c r="S2326" s="226"/>
      <c r="T2326" s="226"/>
      <c r="U2326" s="226"/>
    </row>
    <row r="2327" spans="16:21" x14ac:dyDescent="0.35">
      <c r="P2327" s="226"/>
      <c r="Q2327" s="226"/>
      <c r="R2327" s="226"/>
      <c r="S2327" s="226"/>
      <c r="T2327" s="226"/>
      <c r="U2327" s="226"/>
    </row>
    <row r="2328" spans="16:21" x14ac:dyDescent="0.35">
      <c r="P2328" s="226"/>
      <c r="Q2328" s="226"/>
      <c r="R2328" s="226"/>
      <c r="S2328" s="226"/>
      <c r="T2328" s="226"/>
      <c r="U2328" s="226"/>
    </row>
    <row r="2329" spans="16:21" x14ac:dyDescent="0.35">
      <c r="P2329" s="226"/>
      <c r="Q2329" s="226"/>
      <c r="R2329" s="226"/>
      <c r="S2329" s="226"/>
      <c r="T2329" s="226"/>
      <c r="U2329" s="226"/>
    </row>
    <row r="2330" spans="16:21" x14ac:dyDescent="0.35">
      <c r="P2330" s="226"/>
      <c r="Q2330" s="226"/>
      <c r="R2330" s="226"/>
      <c r="S2330" s="226"/>
      <c r="T2330" s="226"/>
      <c r="U2330" s="226"/>
    </row>
    <row r="2331" spans="16:21" x14ac:dyDescent="0.35">
      <c r="P2331" s="226"/>
      <c r="Q2331" s="226"/>
      <c r="R2331" s="226"/>
      <c r="S2331" s="226"/>
      <c r="T2331" s="226"/>
      <c r="U2331" s="226"/>
    </row>
    <row r="2332" spans="16:21" x14ac:dyDescent="0.35">
      <c r="P2332" s="226"/>
      <c r="Q2332" s="226"/>
      <c r="R2332" s="226"/>
      <c r="S2332" s="226"/>
      <c r="T2332" s="226"/>
      <c r="U2332" s="226"/>
    </row>
    <row r="2333" spans="16:21" x14ac:dyDescent="0.35">
      <c r="P2333" s="226"/>
      <c r="Q2333" s="226"/>
      <c r="R2333" s="226"/>
      <c r="S2333" s="226"/>
      <c r="T2333" s="226"/>
      <c r="U2333" s="226"/>
    </row>
    <row r="2334" spans="16:21" x14ac:dyDescent="0.35">
      <c r="P2334" s="226"/>
      <c r="Q2334" s="226"/>
      <c r="R2334" s="226"/>
      <c r="S2334" s="226"/>
      <c r="T2334" s="226"/>
      <c r="U2334" s="226"/>
    </row>
    <row r="2335" spans="16:21" x14ac:dyDescent="0.35">
      <c r="P2335" s="226"/>
      <c r="Q2335" s="226"/>
      <c r="R2335" s="226"/>
      <c r="S2335" s="226"/>
      <c r="T2335" s="226"/>
      <c r="U2335" s="226"/>
    </row>
    <row r="2336" spans="16:21" x14ac:dyDescent="0.35">
      <c r="P2336" s="226"/>
      <c r="Q2336" s="226"/>
      <c r="R2336" s="226"/>
      <c r="S2336" s="226"/>
      <c r="T2336" s="226"/>
      <c r="U2336" s="226"/>
    </row>
    <row r="2337" spans="16:21" x14ac:dyDescent="0.35">
      <c r="P2337" s="226"/>
      <c r="Q2337" s="226"/>
      <c r="R2337" s="226"/>
      <c r="S2337" s="226"/>
      <c r="T2337" s="226"/>
      <c r="U2337" s="226"/>
    </row>
    <row r="2338" spans="16:21" x14ac:dyDescent="0.35">
      <c r="P2338" s="226"/>
      <c r="Q2338" s="226"/>
      <c r="R2338" s="226"/>
      <c r="S2338" s="226"/>
      <c r="T2338" s="226"/>
      <c r="U2338" s="226"/>
    </row>
    <row r="2339" spans="16:21" x14ac:dyDescent="0.35">
      <c r="P2339" s="226"/>
      <c r="Q2339" s="226"/>
      <c r="R2339" s="226"/>
      <c r="S2339" s="226"/>
      <c r="T2339" s="226"/>
      <c r="U2339" s="226"/>
    </row>
    <row r="2340" spans="16:21" x14ac:dyDescent="0.35">
      <c r="P2340" s="226"/>
      <c r="Q2340" s="226"/>
      <c r="R2340" s="226"/>
      <c r="S2340" s="226"/>
      <c r="T2340" s="226"/>
      <c r="U2340" s="226"/>
    </row>
    <row r="2341" spans="16:21" x14ac:dyDescent="0.35">
      <c r="P2341" s="226"/>
      <c r="Q2341" s="226"/>
      <c r="R2341" s="226"/>
      <c r="S2341" s="226"/>
      <c r="T2341" s="226"/>
      <c r="U2341" s="226"/>
    </row>
    <row r="2342" spans="16:21" x14ac:dyDescent="0.35">
      <c r="P2342" s="226"/>
      <c r="Q2342" s="226"/>
      <c r="R2342" s="226"/>
      <c r="S2342" s="226"/>
      <c r="T2342" s="226"/>
      <c r="U2342" s="226"/>
    </row>
    <row r="2343" spans="16:21" x14ac:dyDescent="0.35">
      <c r="P2343" s="226"/>
      <c r="Q2343" s="226"/>
      <c r="R2343" s="226"/>
      <c r="S2343" s="226"/>
      <c r="T2343" s="226"/>
      <c r="U2343" s="226"/>
    </row>
    <row r="2344" spans="16:21" x14ac:dyDescent="0.35">
      <c r="P2344" s="226"/>
      <c r="Q2344" s="226"/>
      <c r="R2344" s="226"/>
      <c r="S2344" s="226"/>
      <c r="T2344" s="226"/>
      <c r="U2344" s="226"/>
    </row>
    <row r="2345" spans="16:21" x14ac:dyDescent="0.35">
      <c r="P2345" s="226"/>
      <c r="Q2345" s="226"/>
      <c r="R2345" s="226"/>
      <c r="S2345" s="226"/>
      <c r="T2345" s="226"/>
      <c r="U2345" s="226"/>
    </row>
    <row r="2346" spans="16:21" x14ac:dyDescent="0.35">
      <c r="P2346" s="226"/>
      <c r="Q2346" s="226"/>
      <c r="R2346" s="226"/>
      <c r="S2346" s="226"/>
      <c r="T2346" s="226"/>
      <c r="U2346" s="226"/>
    </row>
    <row r="2347" spans="16:21" x14ac:dyDescent="0.35">
      <c r="P2347" s="226"/>
      <c r="Q2347" s="226"/>
      <c r="R2347" s="226"/>
      <c r="S2347" s="226"/>
      <c r="T2347" s="226"/>
      <c r="U2347" s="226"/>
    </row>
    <row r="2348" spans="16:21" x14ac:dyDescent="0.35">
      <c r="P2348" s="226"/>
      <c r="Q2348" s="226"/>
      <c r="R2348" s="226"/>
      <c r="S2348" s="226"/>
      <c r="T2348" s="226"/>
      <c r="U2348" s="226"/>
    </row>
    <row r="2349" spans="16:21" x14ac:dyDescent="0.35">
      <c r="P2349" s="226"/>
      <c r="Q2349" s="226"/>
      <c r="R2349" s="226"/>
      <c r="S2349" s="226"/>
      <c r="T2349" s="226"/>
      <c r="U2349" s="226"/>
    </row>
    <row r="2350" spans="16:21" x14ac:dyDescent="0.35">
      <c r="P2350" s="226"/>
      <c r="Q2350" s="226"/>
      <c r="R2350" s="226"/>
      <c r="S2350" s="226"/>
      <c r="T2350" s="226"/>
      <c r="U2350" s="226"/>
    </row>
    <row r="2351" spans="16:21" x14ac:dyDescent="0.35">
      <c r="P2351" s="226"/>
      <c r="Q2351" s="226"/>
      <c r="R2351" s="226"/>
      <c r="S2351" s="226"/>
      <c r="T2351" s="226"/>
      <c r="U2351" s="226"/>
    </row>
    <row r="2352" spans="16:21" x14ac:dyDescent="0.35">
      <c r="P2352" s="226"/>
      <c r="Q2352" s="226"/>
      <c r="R2352" s="226"/>
      <c r="S2352" s="226"/>
      <c r="T2352" s="226"/>
      <c r="U2352" s="226"/>
    </row>
    <row r="2353" spans="16:21" x14ac:dyDescent="0.35">
      <c r="P2353" s="226"/>
      <c r="Q2353" s="226"/>
      <c r="R2353" s="226"/>
      <c r="S2353" s="226"/>
      <c r="T2353" s="226"/>
      <c r="U2353" s="226"/>
    </row>
    <row r="2354" spans="16:21" x14ac:dyDescent="0.35">
      <c r="P2354" s="226"/>
      <c r="Q2354" s="226"/>
      <c r="R2354" s="226"/>
      <c r="S2354" s="226"/>
      <c r="T2354" s="226"/>
      <c r="U2354" s="226"/>
    </row>
    <row r="2355" spans="16:21" x14ac:dyDescent="0.35">
      <c r="P2355" s="226"/>
      <c r="Q2355" s="226"/>
      <c r="R2355" s="226"/>
      <c r="S2355" s="226"/>
      <c r="T2355" s="226"/>
      <c r="U2355" s="226"/>
    </row>
    <row r="2356" spans="16:21" x14ac:dyDescent="0.35">
      <c r="P2356" s="226"/>
      <c r="Q2356" s="226"/>
      <c r="R2356" s="226"/>
      <c r="S2356" s="226"/>
      <c r="T2356" s="226"/>
      <c r="U2356" s="226"/>
    </row>
    <row r="2357" spans="16:21" x14ac:dyDescent="0.35">
      <c r="P2357" s="226"/>
      <c r="Q2357" s="226"/>
      <c r="R2357" s="226"/>
      <c r="S2357" s="226"/>
      <c r="T2357" s="226"/>
      <c r="U2357" s="226"/>
    </row>
    <row r="2358" spans="16:21" x14ac:dyDescent="0.35">
      <c r="P2358" s="226"/>
      <c r="Q2358" s="226"/>
      <c r="R2358" s="226"/>
      <c r="S2358" s="226"/>
      <c r="T2358" s="226"/>
      <c r="U2358" s="226"/>
    </row>
    <row r="2359" spans="16:21" x14ac:dyDescent="0.35">
      <c r="P2359" s="226"/>
      <c r="Q2359" s="226"/>
      <c r="R2359" s="226"/>
      <c r="S2359" s="226"/>
      <c r="T2359" s="226"/>
      <c r="U2359" s="226"/>
    </row>
    <row r="2360" spans="16:21" x14ac:dyDescent="0.35">
      <c r="P2360" s="226"/>
      <c r="Q2360" s="226"/>
      <c r="R2360" s="226"/>
      <c r="S2360" s="226"/>
      <c r="T2360" s="226"/>
      <c r="U2360" s="226"/>
    </row>
    <row r="2361" spans="16:21" x14ac:dyDescent="0.35">
      <c r="P2361" s="226"/>
      <c r="Q2361" s="226"/>
      <c r="R2361" s="226"/>
      <c r="S2361" s="226"/>
      <c r="T2361" s="226"/>
      <c r="U2361" s="226"/>
    </row>
    <row r="2362" spans="16:21" x14ac:dyDescent="0.35">
      <c r="P2362" s="226"/>
      <c r="Q2362" s="226"/>
      <c r="R2362" s="226"/>
      <c r="S2362" s="226"/>
      <c r="T2362" s="226"/>
      <c r="U2362" s="226"/>
    </row>
    <row r="2363" spans="16:21" x14ac:dyDescent="0.35">
      <c r="P2363" s="226"/>
      <c r="Q2363" s="226"/>
      <c r="R2363" s="226"/>
      <c r="S2363" s="226"/>
      <c r="T2363" s="226"/>
      <c r="U2363" s="226"/>
    </row>
    <row r="2364" spans="16:21" x14ac:dyDescent="0.35">
      <c r="P2364" s="226"/>
      <c r="Q2364" s="226"/>
      <c r="R2364" s="226"/>
      <c r="S2364" s="226"/>
      <c r="T2364" s="226"/>
      <c r="U2364" s="226"/>
    </row>
    <row r="2365" spans="16:21" x14ac:dyDescent="0.35">
      <c r="P2365" s="226"/>
      <c r="Q2365" s="226"/>
      <c r="R2365" s="226"/>
      <c r="S2365" s="226"/>
      <c r="T2365" s="226"/>
      <c r="U2365" s="226"/>
    </row>
    <row r="2366" spans="16:21" x14ac:dyDescent="0.35">
      <c r="P2366" s="226"/>
      <c r="Q2366" s="226"/>
      <c r="R2366" s="226"/>
      <c r="S2366" s="226"/>
      <c r="T2366" s="226"/>
      <c r="U2366" s="226"/>
    </row>
    <row r="2367" spans="16:21" x14ac:dyDescent="0.35">
      <c r="P2367" s="226"/>
      <c r="Q2367" s="226"/>
      <c r="R2367" s="226"/>
      <c r="S2367" s="226"/>
      <c r="T2367" s="226"/>
      <c r="U2367" s="226"/>
    </row>
    <row r="2368" spans="16:21" x14ac:dyDescent="0.35">
      <c r="P2368" s="226"/>
      <c r="Q2368" s="226"/>
      <c r="R2368" s="226"/>
      <c r="S2368" s="226"/>
      <c r="T2368" s="226"/>
      <c r="U2368" s="226"/>
    </row>
    <row r="2369" spans="16:21" x14ac:dyDescent="0.35">
      <c r="P2369" s="226"/>
      <c r="Q2369" s="226"/>
      <c r="R2369" s="226"/>
      <c r="S2369" s="226"/>
      <c r="T2369" s="226"/>
      <c r="U2369" s="226"/>
    </row>
    <row r="2370" spans="16:21" x14ac:dyDescent="0.35">
      <c r="P2370" s="226"/>
      <c r="Q2370" s="226"/>
      <c r="R2370" s="226"/>
      <c r="S2370" s="226"/>
      <c r="T2370" s="226"/>
      <c r="U2370" s="226"/>
    </row>
    <row r="2371" spans="16:21" x14ac:dyDescent="0.35">
      <c r="P2371" s="226"/>
      <c r="Q2371" s="226"/>
      <c r="R2371" s="226"/>
      <c r="S2371" s="226"/>
      <c r="T2371" s="226"/>
      <c r="U2371" s="226"/>
    </row>
    <row r="2372" spans="16:21" x14ac:dyDescent="0.35">
      <c r="P2372" s="226"/>
      <c r="Q2372" s="226"/>
      <c r="R2372" s="226"/>
      <c r="S2372" s="226"/>
      <c r="T2372" s="226"/>
      <c r="U2372" s="226"/>
    </row>
    <row r="2373" spans="16:21" x14ac:dyDescent="0.35">
      <c r="P2373" s="226"/>
      <c r="Q2373" s="226"/>
      <c r="R2373" s="226"/>
      <c r="S2373" s="226"/>
      <c r="T2373" s="226"/>
      <c r="U2373" s="226"/>
    </row>
    <row r="2374" spans="16:21" x14ac:dyDescent="0.35">
      <c r="P2374" s="226"/>
      <c r="Q2374" s="226"/>
      <c r="R2374" s="226"/>
      <c r="S2374" s="226"/>
      <c r="T2374" s="226"/>
      <c r="U2374" s="226"/>
    </row>
    <row r="2375" spans="16:21" x14ac:dyDescent="0.35">
      <c r="P2375" s="226"/>
      <c r="Q2375" s="226"/>
      <c r="R2375" s="226"/>
      <c r="S2375" s="226"/>
      <c r="T2375" s="226"/>
      <c r="U2375" s="226"/>
    </row>
    <row r="2376" spans="16:21" x14ac:dyDescent="0.35">
      <c r="P2376" s="226"/>
      <c r="Q2376" s="226"/>
      <c r="R2376" s="226"/>
      <c r="S2376" s="226"/>
      <c r="T2376" s="226"/>
      <c r="U2376" s="226"/>
    </row>
    <row r="2377" spans="16:21" x14ac:dyDescent="0.35">
      <c r="P2377" s="226"/>
      <c r="Q2377" s="226"/>
      <c r="R2377" s="226"/>
      <c r="S2377" s="226"/>
      <c r="T2377" s="226"/>
      <c r="U2377" s="226"/>
    </row>
    <row r="2378" spans="16:21" x14ac:dyDescent="0.35">
      <c r="P2378" s="226"/>
      <c r="Q2378" s="226"/>
      <c r="R2378" s="226"/>
      <c r="S2378" s="226"/>
      <c r="T2378" s="226"/>
      <c r="U2378" s="226"/>
    </row>
    <row r="2379" spans="16:21" x14ac:dyDescent="0.35">
      <c r="P2379" s="226"/>
      <c r="Q2379" s="226"/>
      <c r="R2379" s="226"/>
      <c r="S2379" s="226"/>
      <c r="T2379" s="226"/>
      <c r="U2379" s="226"/>
    </row>
    <row r="2380" spans="16:21" x14ac:dyDescent="0.35">
      <c r="P2380" s="226"/>
      <c r="Q2380" s="226"/>
      <c r="R2380" s="226"/>
      <c r="S2380" s="226"/>
      <c r="T2380" s="226"/>
      <c r="U2380" s="226"/>
    </row>
    <row r="2381" spans="16:21" x14ac:dyDescent="0.35">
      <c r="P2381" s="226"/>
      <c r="Q2381" s="226"/>
      <c r="R2381" s="226"/>
      <c r="S2381" s="226"/>
      <c r="T2381" s="226"/>
      <c r="U2381" s="226"/>
    </row>
    <row r="2382" spans="16:21" x14ac:dyDescent="0.35">
      <c r="P2382" s="226"/>
      <c r="Q2382" s="226"/>
      <c r="R2382" s="226"/>
      <c r="S2382" s="226"/>
      <c r="T2382" s="226"/>
      <c r="U2382" s="226"/>
    </row>
    <row r="2383" spans="16:21" x14ac:dyDescent="0.35">
      <c r="P2383" s="226"/>
      <c r="Q2383" s="226"/>
      <c r="R2383" s="226"/>
      <c r="S2383" s="226"/>
      <c r="T2383" s="226"/>
      <c r="U2383" s="226"/>
    </row>
    <row r="2384" spans="16:21" x14ac:dyDescent="0.35">
      <c r="P2384" s="226"/>
      <c r="Q2384" s="226"/>
      <c r="R2384" s="226"/>
      <c r="S2384" s="226"/>
      <c r="T2384" s="226"/>
      <c r="U2384" s="226"/>
    </row>
    <row r="2385" spans="16:21" x14ac:dyDescent="0.35">
      <c r="P2385" s="226"/>
      <c r="Q2385" s="226"/>
      <c r="R2385" s="226"/>
      <c r="S2385" s="226"/>
      <c r="T2385" s="226"/>
      <c r="U2385" s="226"/>
    </row>
    <row r="2386" spans="16:21" x14ac:dyDescent="0.35">
      <c r="P2386" s="226"/>
      <c r="Q2386" s="226"/>
      <c r="R2386" s="226"/>
      <c r="S2386" s="226"/>
      <c r="T2386" s="226"/>
      <c r="U2386" s="226"/>
    </row>
    <row r="2387" spans="16:21" x14ac:dyDescent="0.35">
      <c r="P2387" s="226"/>
      <c r="Q2387" s="226"/>
      <c r="R2387" s="226"/>
      <c r="S2387" s="226"/>
      <c r="T2387" s="226"/>
      <c r="U2387" s="226"/>
    </row>
    <row r="2388" spans="16:21" x14ac:dyDescent="0.35">
      <c r="P2388" s="226"/>
      <c r="Q2388" s="226"/>
      <c r="R2388" s="226"/>
      <c r="S2388" s="226"/>
      <c r="T2388" s="226"/>
      <c r="U2388" s="226"/>
    </row>
    <row r="2389" spans="16:21" x14ac:dyDescent="0.35">
      <c r="P2389" s="226"/>
      <c r="Q2389" s="226"/>
      <c r="R2389" s="226"/>
      <c r="S2389" s="226"/>
      <c r="T2389" s="226"/>
      <c r="U2389" s="226"/>
    </row>
    <row r="2390" spans="16:21" x14ac:dyDescent="0.35">
      <c r="P2390" s="226"/>
      <c r="Q2390" s="226"/>
      <c r="R2390" s="226"/>
      <c r="S2390" s="226"/>
      <c r="T2390" s="226"/>
      <c r="U2390" s="226"/>
    </row>
    <row r="2391" spans="16:21" x14ac:dyDescent="0.35">
      <c r="P2391" s="226"/>
      <c r="Q2391" s="226"/>
      <c r="R2391" s="226"/>
      <c r="S2391" s="226"/>
      <c r="T2391" s="226"/>
      <c r="U2391" s="226"/>
    </row>
    <row r="2392" spans="16:21" x14ac:dyDescent="0.35">
      <c r="P2392" s="226"/>
      <c r="Q2392" s="226"/>
      <c r="R2392" s="226"/>
      <c r="S2392" s="226"/>
      <c r="T2392" s="226"/>
      <c r="U2392" s="226"/>
    </row>
    <row r="2393" spans="16:21" x14ac:dyDescent="0.35">
      <c r="P2393" s="226"/>
      <c r="Q2393" s="226"/>
      <c r="R2393" s="226"/>
      <c r="S2393" s="226"/>
      <c r="T2393" s="226"/>
      <c r="U2393" s="226"/>
    </row>
    <row r="2394" spans="16:21" x14ac:dyDescent="0.35">
      <c r="P2394" s="226"/>
      <c r="Q2394" s="226"/>
      <c r="R2394" s="226"/>
      <c r="S2394" s="226"/>
      <c r="T2394" s="226"/>
      <c r="U2394" s="226"/>
    </row>
    <row r="2395" spans="16:21" x14ac:dyDescent="0.35">
      <c r="P2395" s="226"/>
      <c r="Q2395" s="226"/>
      <c r="R2395" s="226"/>
      <c r="S2395" s="226"/>
      <c r="T2395" s="226"/>
      <c r="U2395" s="226"/>
    </row>
    <row r="2396" spans="16:21" x14ac:dyDescent="0.35">
      <c r="P2396" s="226"/>
      <c r="Q2396" s="226"/>
      <c r="R2396" s="226"/>
      <c r="S2396" s="226"/>
      <c r="T2396" s="226"/>
      <c r="U2396" s="226"/>
    </row>
    <row r="2397" spans="16:21" x14ac:dyDescent="0.35">
      <c r="P2397" s="226"/>
      <c r="Q2397" s="226"/>
      <c r="R2397" s="226"/>
      <c r="S2397" s="226"/>
      <c r="T2397" s="226"/>
      <c r="U2397" s="226"/>
    </row>
    <row r="2398" spans="16:21" x14ac:dyDescent="0.35">
      <c r="P2398" s="226"/>
      <c r="Q2398" s="226"/>
      <c r="R2398" s="226"/>
      <c r="S2398" s="226"/>
      <c r="T2398" s="226"/>
      <c r="U2398" s="226"/>
    </row>
    <row r="2399" spans="16:21" x14ac:dyDescent="0.35">
      <c r="P2399" s="226"/>
      <c r="Q2399" s="226"/>
      <c r="R2399" s="226"/>
      <c r="S2399" s="226"/>
      <c r="T2399" s="226"/>
      <c r="U2399" s="226"/>
    </row>
    <row r="2400" spans="16:21" x14ac:dyDescent="0.35">
      <c r="P2400" s="226"/>
      <c r="Q2400" s="226"/>
      <c r="R2400" s="226"/>
      <c r="S2400" s="226"/>
      <c r="T2400" s="226"/>
      <c r="U2400" s="226"/>
    </row>
    <row r="2401" spans="16:21" x14ac:dyDescent="0.35">
      <c r="P2401" s="226"/>
      <c r="Q2401" s="226"/>
      <c r="R2401" s="226"/>
      <c r="S2401" s="226"/>
      <c r="T2401" s="226"/>
      <c r="U2401" s="226"/>
    </row>
    <row r="2402" spans="16:21" x14ac:dyDescent="0.35">
      <c r="P2402" s="226"/>
      <c r="Q2402" s="226"/>
      <c r="R2402" s="226"/>
      <c r="S2402" s="226"/>
      <c r="T2402" s="226"/>
      <c r="U2402" s="226"/>
    </row>
    <row r="2403" spans="16:21" x14ac:dyDescent="0.35">
      <c r="P2403" s="226"/>
      <c r="Q2403" s="226"/>
      <c r="R2403" s="226"/>
      <c r="S2403" s="226"/>
      <c r="T2403" s="226"/>
      <c r="U2403" s="226"/>
    </row>
    <row r="2404" spans="16:21" x14ac:dyDescent="0.35">
      <c r="P2404" s="226"/>
      <c r="Q2404" s="226"/>
      <c r="R2404" s="226"/>
      <c r="S2404" s="226"/>
      <c r="T2404" s="226"/>
      <c r="U2404" s="226"/>
    </row>
    <row r="2405" spans="16:21" x14ac:dyDescent="0.35">
      <c r="P2405" s="226"/>
      <c r="Q2405" s="226"/>
      <c r="R2405" s="226"/>
      <c r="S2405" s="226"/>
      <c r="T2405" s="226"/>
      <c r="U2405" s="226"/>
    </row>
    <row r="2406" spans="16:21" x14ac:dyDescent="0.35">
      <c r="P2406" s="226"/>
      <c r="Q2406" s="226"/>
      <c r="R2406" s="226"/>
      <c r="S2406" s="226"/>
      <c r="T2406" s="226"/>
      <c r="U2406" s="226"/>
    </row>
    <row r="2407" spans="16:21" x14ac:dyDescent="0.35">
      <c r="P2407" s="226"/>
      <c r="Q2407" s="226"/>
      <c r="R2407" s="226"/>
      <c r="S2407" s="226"/>
      <c r="T2407" s="226"/>
      <c r="U2407" s="226"/>
    </row>
    <row r="2408" spans="16:21" x14ac:dyDescent="0.35">
      <c r="P2408" s="226"/>
      <c r="Q2408" s="226"/>
      <c r="R2408" s="226"/>
      <c r="S2408" s="226"/>
      <c r="T2408" s="226"/>
      <c r="U2408" s="226"/>
    </row>
    <row r="2409" spans="16:21" x14ac:dyDescent="0.35">
      <c r="P2409" s="226"/>
      <c r="Q2409" s="226"/>
      <c r="R2409" s="226"/>
      <c r="S2409" s="226"/>
      <c r="T2409" s="226"/>
      <c r="U2409" s="226"/>
    </row>
    <row r="2410" spans="16:21" x14ac:dyDescent="0.35">
      <c r="P2410" s="226"/>
      <c r="Q2410" s="226"/>
      <c r="R2410" s="226"/>
      <c r="S2410" s="226"/>
      <c r="T2410" s="226"/>
      <c r="U2410" s="226"/>
    </row>
    <row r="2411" spans="16:21" x14ac:dyDescent="0.35">
      <c r="P2411" s="226"/>
      <c r="Q2411" s="226"/>
      <c r="R2411" s="226"/>
      <c r="S2411" s="226"/>
      <c r="T2411" s="226"/>
      <c r="U2411" s="226"/>
    </row>
    <row r="2412" spans="16:21" x14ac:dyDescent="0.35">
      <c r="P2412" s="226"/>
      <c r="Q2412" s="226"/>
      <c r="R2412" s="226"/>
      <c r="S2412" s="226"/>
      <c r="T2412" s="226"/>
      <c r="U2412" s="226"/>
    </row>
    <row r="2413" spans="16:21" x14ac:dyDescent="0.35">
      <c r="P2413" s="226"/>
      <c r="Q2413" s="226"/>
      <c r="R2413" s="226"/>
      <c r="S2413" s="226"/>
      <c r="T2413" s="226"/>
      <c r="U2413" s="226"/>
    </row>
    <row r="2414" spans="16:21" x14ac:dyDescent="0.35">
      <c r="P2414" s="226"/>
      <c r="Q2414" s="226"/>
      <c r="R2414" s="226"/>
      <c r="S2414" s="226"/>
      <c r="T2414" s="226"/>
      <c r="U2414" s="226"/>
    </row>
    <row r="2415" spans="16:21" x14ac:dyDescent="0.35">
      <c r="P2415" s="226"/>
      <c r="Q2415" s="226"/>
      <c r="R2415" s="226"/>
      <c r="S2415" s="226"/>
      <c r="T2415" s="226"/>
      <c r="U2415" s="226"/>
    </row>
    <row r="2416" spans="16:21" x14ac:dyDescent="0.35">
      <c r="P2416" s="226"/>
      <c r="Q2416" s="226"/>
      <c r="R2416" s="226"/>
      <c r="S2416" s="226"/>
      <c r="T2416" s="226"/>
      <c r="U2416" s="226"/>
    </row>
    <row r="2417" spans="16:21" x14ac:dyDescent="0.35">
      <c r="P2417" s="226"/>
      <c r="Q2417" s="226"/>
      <c r="R2417" s="226"/>
      <c r="S2417" s="226"/>
      <c r="T2417" s="226"/>
      <c r="U2417" s="226"/>
    </row>
    <row r="2418" spans="16:21" x14ac:dyDescent="0.35">
      <c r="P2418" s="226"/>
      <c r="Q2418" s="226"/>
      <c r="R2418" s="226"/>
      <c r="S2418" s="226"/>
      <c r="T2418" s="226"/>
      <c r="U2418" s="226"/>
    </row>
    <row r="2419" spans="16:21" x14ac:dyDescent="0.35">
      <c r="P2419" s="226"/>
      <c r="Q2419" s="226"/>
      <c r="R2419" s="226"/>
      <c r="S2419" s="226"/>
      <c r="T2419" s="226"/>
      <c r="U2419" s="226"/>
    </row>
    <row r="2420" spans="16:21" x14ac:dyDescent="0.35">
      <c r="P2420" s="226"/>
      <c r="Q2420" s="226"/>
      <c r="R2420" s="226"/>
      <c r="S2420" s="226"/>
      <c r="T2420" s="226"/>
      <c r="U2420" s="226"/>
    </row>
    <row r="2421" spans="16:21" x14ac:dyDescent="0.35">
      <c r="P2421" s="226"/>
      <c r="Q2421" s="226"/>
      <c r="R2421" s="226"/>
      <c r="S2421" s="226"/>
      <c r="T2421" s="226"/>
      <c r="U2421" s="226"/>
    </row>
    <row r="2422" spans="16:21" x14ac:dyDescent="0.35">
      <c r="P2422" s="226"/>
      <c r="Q2422" s="226"/>
      <c r="R2422" s="226"/>
      <c r="S2422" s="226"/>
      <c r="T2422" s="226"/>
      <c r="U2422" s="226"/>
    </row>
    <row r="2423" spans="16:21" x14ac:dyDescent="0.35">
      <c r="P2423" s="226"/>
      <c r="Q2423" s="226"/>
      <c r="R2423" s="226"/>
      <c r="S2423" s="226"/>
      <c r="T2423" s="226"/>
      <c r="U2423" s="226"/>
    </row>
    <row r="2424" spans="16:21" x14ac:dyDescent="0.35">
      <c r="P2424" s="226"/>
      <c r="Q2424" s="226"/>
      <c r="R2424" s="226"/>
      <c r="S2424" s="226"/>
      <c r="T2424" s="226"/>
      <c r="U2424" s="226"/>
    </row>
    <row r="2425" spans="16:21" x14ac:dyDescent="0.35">
      <c r="P2425" s="226"/>
      <c r="Q2425" s="226"/>
      <c r="R2425" s="226"/>
      <c r="S2425" s="226"/>
      <c r="T2425" s="226"/>
      <c r="U2425" s="226"/>
    </row>
    <row r="2426" spans="16:21" x14ac:dyDescent="0.35">
      <c r="P2426" s="226"/>
      <c r="Q2426" s="226"/>
      <c r="R2426" s="226"/>
      <c r="S2426" s="226"/>
      <c r="T2426" s="226"/>
      <c r="U2426" s="226"/>
    </row>
    <row r="2427" spans="16:21" x14ac:dyDescent="0.35">
      <c r="P2427" s="226"/>
      <c r="Q2427" s="226"/>
      <c r="R2427" s="226"/>
      <c r="S2427" s="226"/>
      <c r="T2427" s="226"/>
      <c r="U2427" s="226"/>
    </row>
    <row r="2428" spans="16:21" x14ac:dyDescent="0.35">
      <c r="P2428" s="226"/>
      <c r="Q2428" s="226"/>
      <c r="R2428" s="226"/>
      <c r="S2428" s="226"/>
      <c r="T2428" s="226"/>
      <c r="U2428" s="226"/>
    </row>
    <row r="2429" spans="16:21" x14ac:dyDescent="0.35">
      <c r="P2429" s="226"/>
      <c r="Q2429" s="226"/>
      <c r="R2429" s="226"/>
      <c r="S2429" s="226"/>
      <c r="T2429" s="226"/>
      <c r="U2429" s="226"/>
    </row>
    <row r="2430" spans="16:21" x14ac:dyDescent="0.35">
      <c r="P2430" s="226"/>
      <c r="Q2430" s="226"/>
      <c r="R2430" s="226"/>
      <c r="S2430" s="226"/>
      <c r="T2430" s="226"/>
      <c r="U2430" s="226"/>
    </row>
    <row r="2431" spans="16:21" x14ac:dyDescent="0.35">
      <c r="P2431" s="226"/>
      <c r="Q2431" s="226"/>
      <c r="R2431" s="226"/>
      <c r="S2431" s="226"/>
      <c r="T2431" s="226"/>
      <c r="U2431" s="226"/>
    </row>
    <row r="2432" spans="16:21" x14ac:dyDescent="0.35">
      <c r="P2432" s="226"/>
      <c r="Q2432" s="226"/>
      <c r="R2432" s="226"/>
      <c r="S2432" s="226"/>
      <c r="T2432" s="226"/>
      <c r="U2432" s="226"/>
    </row>
    <row r="2433" spans="16:21" x14ac:dyDescent="0.35">
      <c r="P2433" s="226"/>
      <c r="Q2433" s="226"/>
      <c r="R2433" s="226"/>
      <c r="S2433" s="226"/>
      <c r="T2433" s="226"/>
      <c r="U2433" s="226"/>
    </row>
    <row r="2434" spans="16:21" x14ac:dyDescent="0.35">
      <c r="P2434" s="226"/>
      <c r="Q2434" s="226"/>
      <c r="R2434" s="226"/>
      <c r="S2434" s="226"/>
      <c r="T2434" s="226"/>
      <c r="U2434" s="226"/>
    </row>
    <row r="2435" spans="16:21" x14ac:dyDescent="0.35">
      <c r="P2435" s="226"/>
      <c r="Q2435" s="226"/>
      <c r="R2435" s="226"/>
      <c r="S2435" s="226"/>
      <c r="T2435" s="226"/>
      <c r="U2435" s="226"/>
    </row>
    <row r="2436" spans="16:21" x14ac:dyDescent="0.35">
      <c r="P2436" s="226"/>
      <c r="Q2436" s="226"/>
      <c r="R2436" s="226"/>
      <c r="S2436" s="226"/>
      <c r="T2436" s="226"/>
      <c r="U2436" s="226"/>
    </row>
    <row r="2437" spans="16:21" x14ac:dyDescent="0.35">
      <c r="P2437" s="226"/>
      <c r="Q2437" s="226"/>
      <c r="R2437" s="226"/>
      <c r="S2437" s="226"/>
      <c r="T2437" s="226"/>
      <c r="U2437" s="226"/>
    </row>
    <row r="2438" spans="16:21" x14ac:dyDescent="0.35">
      <c r="P2438" s="226"/>
      <c r="Q2438" s="226"/>
      <c r="R2438" s="226"/>
      <c r="S2438" s="226"/>
      <c r="T2438" s="226"/>
      <c r="U2438" s="226"/>
    </row>
    <row r="2439" spans="16:21" x14ac:dyDescent="0.35">
      <c r="P2439" s="226"/>
      <c r="Q2439" s="226"/>
      <c r="R2439" s="226"/>
      <c r="S2439" s="226"/>
      <c r="T2439" s="226"/>
      <c r="U2439" s="226"/>
    </row>
    <row r="2440" spans="16:21" x14ac:dyDescent="0.35">
      <c r="P2440" s="226"/>
      <c r="Q2440" s="226"/>
      <c r="R2440" s="226"/>
      <c r="S2440" s="226"/>
      <c r="T2440" s="226"/>
      <c r="U2440" s="226"/>
    </row>
    <row r="2441" spans="16:21" x14ac:dyDescent="0.35">
      <c r="P2441" s="226"/>
      <c r="Q2441" s="226"/>
      <c r="R2441" s="226"/>
      <c r="S2441" s="226"/>
      <c r="T2441" s="226"/>
      <c r="U2441" s="226"/>
    </row>
    <row r="2442" spans="16:21" x14ac:dyDescent="0.35">
      <c r="P2442" s="226"/>
      <c r="Q2442" s="226"/>
      <c r="R2442" s="226"/>
      <c r="S2442" s="226"/>
      <c r="T2442" s="226"/>
      <c r="U2442" s="226"/>
    </row>
    <row r="2443" spans="16:21" x14ac:dyDescent="0.35">
      <c r="P2443" s="226"/>
      <c r="Q2443" s="226"/>
      <c r="R2443" s="226"/>
      <c r="S2443" s="226"/>
      <c r="T2443" s="226"/>
      <c r="U2443" s="226"/>
    </row>
    <row r="2444" spans="16:21" x14ac:dyDescent="0.35">
      <c r="P2444" s="226"/>
      <c r="Q2444" s="226"/>
      <c r="R2444" s="226"/>
      <c r="S2444" s="226"/>
      <c r="T2444" s="226"/>
      <c r="U2444" s="226"/>
    </row>
    <row r="2445" spans="16:21" x14ac:dyDescent="0.35">
      <c r="P2445" s="226"/>
      <c r="Q2445" s="226"/>
      <c r="R2445" s="226"/>
      <c r="S2445" s="226"/>
      <c r="T2445" s="226"/>
      <c r="U2445" s="226"/>
    </row>
    <row r="2446" spans="16:21" x14ac:dyDescent="0.35">
      <c r="P2446" s="226"/>
      <c r="Q2446" s="226"/>
      <c r="R2446" s="226"/>
      <c r="S2446" s="226"/>
      <c r="T2446" s="226"/>
      <c r="U2446" s="226"/>
    </row>
    <row r="2447" spans="16:21" x14ac:dyDescent="0.35">
      <c r="P2447" s="226"/>
      <c r="Q2447" s="226"/>
      <c r="R2447" s="226"/>
      <c r="S2447" s="226"/>
      <c r="T2447" s="226"/>
      <c r="U2447" s="226"/>
    </row>
    <row r="2448" spans="16:21" x14ac:dyDescent="0.35">
      <c r="P2448" s="226"/>
      <c r="Q2448" s="226"/>
      <c r="R2448" s="226"/>
      <c r="S2448" s="226"/>
      <c r="T2448" s="226"/>
      <c r="U2448" s="226"/>
    </row>
    <row r="2449" spans="16:21" x14ac:dyDescent="0.35">
      <c r="P2449" s="226"/>
      <c r="Q2449" s="226"/>
      <c r="R2449" s="226"/>
      <c r="S2449" s="226"/>
      <c r="T2449" s="226"/>
      <c r="U2449" s="226"/>
    </row>
    <row r="2450" spans="16:21" x14ac:dyDescent="0.35">
      <c r="P2450" s="226"/>
      <c r="Q2450" s="226"/>
      <c r="R2450" s="226"/>
      <c r="S2450" s="226"/>
      <c r="T2450" s="226"/>
      <c r="U2450" s="226"/>
    </row>
    <row r="2451" spans="16:21" x14ac:dyDescent="0.35">
      <c r="P2451" s="226"/>
      <c r="Q2451" s="226"/>
      <c r="R2451" s="226"/>
      <c r="S2451" s="226"/>
      <c r="T2451" s="226"/>
      <c r="U2451" s="226"/>
    </row>
    <row r="2452" spans="16:21" x14ac:dyDescent="0.35">
      <c r="P2452" s="226"/>
      <c r="Q2452" s="226"/>
      <c r="R2452" s="226"/>
      <c r="S2452" s="226"/>
      <c r="T2452" s="226"/>
      <c r="U2452" s="226"/>
    </row>
    <row r="2453" spans="16:21" x14ac:dyDescent="0.35">
      <c r="P2453" s="226"/>
      <c r="Q2453" s="226"/>
      <c r="R2453" s="226"/>
      <c r="S2453" s="226"/>
      <c r="T2453" s="226"/>
      <c r="U2453" s="226"/>
    </row>
    <row r="2454" spans="16:21" x14ac:dyDescent="0.35">
      <c r="P2454" s="226"/>
      <c r="Q2454" s="226"/>
      <c r="R2454" s="226"/>
      <c r="S2454" s="226"/>
      <c r="T2454" s="226"/>
      <c r="U2454" s="226"/>
    </row>
    <row r="2455" spans="16:21" x14ac:dyDescent="0.35">
      <c r="P2455" s="226"/>
      <c r="Q2455" s="226"/>
      <c r="R2455" s="226"/>
      <c r="S2455" s="226"/>
      <c r="T2455" s="226"/>
      <c r="U2455" s="226"/>
    </row>
    <row r="2456" spans="16:21" x14ac:dyDescent="0.35">
      <c r="P2456" s="226"/>
      <c r="Q2456" s="226"/>
      <c r="R2456" s="226"/>
      <c r="S2456" s="226"/>
      <c r="T2456" s="226"/>
      <c r="U2456" s="226"/>
    </row>
    <row r="2457" spans="16:21" x14ac:dyDescent="0.35">
      <c r="P2457" s="226"/>
      <c r="Q2457" s="226"/>
      <c r="R2457" s="226"/>
      <c r="S2457" s="226"/>
      <c r="T2457" s="226"/>
      <c r="U2457" s="226"/>
    </row>
    <row r="2458" spans="16:21" x14ac:dyDescent="0.35">
      <c r="P2458" s="226"/>
      <c r="Q2458" s="226"/>
      <c r="R2458" s="226"/>
      <c r="S2458" s="226"/>
      <c r="T2458" s="226"/>
      <c r="U2458" s="226"/>
    </row>
    <row r="2459" spans="16:21" x14ac:dyDescent="0.35">
      <c r="P2459" s="226"/>
      <c r="Q2459" s="226"/>
      <c r="R2459" s="226"/>
      <c r="S2459" s="226"/>
      <c r="T2459" s="226"/>
      <c r="U2459" s="226"/>
    </row>
    <row r="2460" spans="16:21" x14ac:dyDescent="0.35">
      <c r="P2460" s="226"/>
      <c r="Q2460" s="226"/>
      <c r="R2460" s="226"/>
      <c r="S2460" s="226"/>
      <c r="T2460" s="226"/>
      <c r="U2460" s="226"/>
    </row>
    <row r="2461" spans="16:21" x14ac:dyDescent="0.35">
      <c r="P2461" s="226"/>
      <c r="Q2461" s="226"/>
      <c r="R2461" s="226"/>
      <c r="S2461" s="226"/>
      <c r="T2461" s="226"/>
      <c r="U2461" s="226"/>
    </row>
    <row r="2462" spans="16:21" x14ac:dyDescent="0.35">
      <c r="P2462" s="226"/>
      <c r="Q2462" s="226"/>
      <c r="R2462" s="226"/>
      <c r="S2462" s="226"/>
      <c r="T2462" s="226"/>
      <c r="U2462" s="226"/>
    </row>
    <row r="2463" spans="16:21" x14ac:dyDescent="0.35">
      <c r="P2463" s="226"/>
      <c r="Q2463" s="226"/>
      <c r="R2463" s="226"/>
      <c r="S2463" s="226"/>
      <c r="T2463" s="226"/>
      <c r="U2463" s="226"/>
    </row>
    <row r="2464" spans="16:21" x14ac:dyDescent="0.35">
      <c r="P2464" s="226"/>
      <c r="Q2464" s="226"/>
      <c r="R2464" s="226"/>
      <c r="S2464" s="226"/>
      <c r="T2464" s="226"/>
      <c r="U2464" s="226"/>
    </row>
    <row r="2465" spans="16:21" x14ac:dyDescent="0.35">
      <c r="P2465" s="226"/>
      <c r="Q2465" s="226"/>
      <c r="R2465" s="226"/>
      <c r="S2465" s="226"/>
      <c r="T2465" s="226"/>
      <c r="U2465" s="226"/>
    </row>
    <row r="2466" spans="16:21" x14ac:dyDescent="0.35">
      <c r="P2466" s="226"/>
      <c r="Q2466" s="226"/>
      <c r="R2466" s="226"/>
      <c r="S2466" s="226"/>
      <c r="T2466" s="226"/>
      <c r="U2466" s="226"/>
    </row>
    <row r="2467" spans="16:21" x14ac:dyDescent="0.35">
      <c r="P2467" s="226"/>
      <c r="Q2467" s="226"/>
      <c r="R2467" s="226"/>
      <c r="S2467" s="226"/>
      <c r="T2467" s="226"/>
      <c r="U2467" s="226"/>
    </row>
    <row r="2468" spans="16:21" x14ac:dyDescent="0.35">
      <c r="P2468" s="226"/>
      <c r="Q2468" s="226"/>
      <c r="R2468" s="226"/>
      <c r="S2468" s="226"/>
      <c r="T2468" s="226"/>
      <c r="U2468" s="226"/>
    </row>
    <row r="2469" spans="16:21" x14ac:dyDescent="0.35">
      <c r="P2469" s="226"/>
      <c r="Q2469" s="226"/>
      <c r="R2469" s="226"/>
      <c r="S2469" s="226"/>
      <c r="T2469" s="226"/>
      <c r="U2469" s="226"/>
    </row>
    <row r="2470" spans="16:21" x14ac:dyDescent="0.35">
      <c r="P2470" s="226"/>
      <c r="Q2470" s="226"/>
      <c r="R2470" s="226"/>
      <c r="S2470" s="226"/>
      <c r="T2470" s="226"/>
      <c r="U2470" s="226"/>
    </row>
    <row r="2471" spans="16:21" x14ac:dyDescent="0.35">
      <c r="P2471" s="226"/>
      <c r="Q2471" s="226"/>
      <c r="R2471" s="226"/>
      <c r="S2471" s="226"/>
      <c r="T2471" s="226"/>
      <c r="U2471" s="226"/>
    </row>
    <row r="2472" spans="16:21" x14ac:dyDescent="0.35">
      <c r="P2472" s="226"/>
      <c r="Q2472" s="226"/>
      <c r="R2472" s="226"/>
      <c r="S2472" s="226"/>
      <c r="T2472" s="226"/>
      <c r="U2472" s="226"/>
    </row>
    <row r="2473" spans="16:21" x14ac:dyDescent="0.35">
      <c r="P2473" s="226"/>
      <c r="Q2473" s="226"/>
      <c r="R2473" s="226"/>
      <c r="S2473" s="226"/>
      <c r="T2473" s="226"/>
      <c r="U2473" s="226"/>
    </row>
    <row r="2474" spans="16:21" x14ac:dyDescent="0.35">
      <c r="P2474" s="226"/>
      <c r="Q2474" s="226"/>
      <c r="R2474" s="226"/>
      <c r="S2474" s="226"/>
      <c r="T2474" s="226"/>
      <c r="U2474" s="226"/>
    </row>
    <row r="2475" spans="16:21" x14ac:dyDescent="0.35">
      <c r="P2475" s="226"/>
      <c r="Q2475" s="226"/>
      <c r="R2475" s="226"/>
      <c r="S2475" s="226"/>
      <c r="T2475" s="226"/>
      <c r="U2475" s="226"/>
    </row>
    <row r="2476" spans="16:21" x14ac:dyDescent="0.35">
      <c r="P2476" s="226"/>
      <c r="Q2476" s="226"/>
      <c r="R2476" s="226"/>
      <c r="S2476" s="226"/>
      <c r="T2476" s="226"/>
      <c r="U2476" s="226"/>
    </row>
    <row r="2477" spans="16:21" x14ac:dyDescent="0.35">
      <c r="P2477" s="226"/>
      <c r="Q2477" s="226"/>
      <c r="R2477" s="226"/>
      <c r="S2477" s="226"/>
      <c r="T2477" s="226"/>
      <c r="U2477" s="226"/>
    </row>
    <row r="2478" spans="16:21" x14ac:dyDescent="0.35">
      <c r="P2478" s="226"/>
      <c r="Q2478" s="226"/>
      <c r="R2478" s="226"/>
      <c r="S2478" s="226"/>
      <c r="T2478" s="226"/>
      <c r="U2478" s="226"/>
    </row>
    <row r="2479" spans="16:21" x14ac:dyDescent="0.35">
      <c r="P2479" s="226"/>
      <c r="Q2479" s="226"/>
      <c r="R2479" s="226"/>
      <c r="S2479" s="226"/>
      <c r="T2479" s="226"/>
      <c r="U2479" s="226"/>
    </row>
    <row r="2480" spans="16:21" x14ac:dyDescent="0.35">
      <c r="P2480" s="226"/>
      <c r="Q2480" s="226"/>
      <c r="R2480" s="226"/>
      <c r="S2480" s="226"/>
      <c r="T2480" s="226"/>
      <c r="U2480" s="226"/>
    </row>
    <row r="2481" spans="16:21" x14ac:dyDescent="0.35">
      <c r="P2481" s="226"/>
      <c r="Q2481" s="226"/>
      <c r="R2481" s="226"/>
      <c r="S2481" s="226"/>
      <c r="T2481" s="226"/>
      <c r="U2481" s="226"/>
    </row>
    <row r="2482" spans="16:21" x14ac:dyDescent="0.35">
      <c r="P2482" s="226"/>
      <c r="Q2482" s="226"/>
      <c r="R2482" s="226"/>
      <c r="S2482" s="226"/>
      <c r="T2482" s="226"/>
      <c r="U2482" s="226"/>
    </row>
    <row r="2483" spans="16:21" x14ac:dyDescent="0.35">
      <c r="P2483" s="226"/>
      <c r="Q2483" s="226"/>
      <c r="R2483" s="226"/>
      <c r="S2483" s="226"/>
      <c r="T2483" s="226"/>
      <c r="U2483" s="226"/>
    </row>
    <row r="2484" spans="16:21" x14ac:dyDescent="0.35">
      <c r="P2484" s="226"/>
      <c r="Q2484" s="226"/>
      <c r="R2484" s="226"/>
      <c r="S2484" s="226"/>
      <c r="T2484" s="226"/>
      <c r="U2484" s="226"/>
    </row>
    <row r="2485" spans="16:21" x14ac:dyDescent="0.35">
      <c r="P2485" s="226"/>
      <c r="Q2485" s="226"/>
      <c r="R2485" s="226"/>
      <c r="S2485" s="226"/>
      <c r="T2485" s="226"/>
      <c r="U2485" s="226"/>
    </row>
    <row r="2486" spans="16:21" x14ac:dyDescent="0.35">
      <c r="P2486" s="226"/>
      <c r="Q2486" s="226"/>
      <c r="R2486" s="226"/>
      <c r="S2486" s="226"/>
      <c r="T2486" s="226"/>
      <c r="U2486" s="226"/>
    </row>
    <row r="2487" spans="16:21" x14ac:dyDescent="0.35">
      <c r="P2487" s="226"/>
      <c r="Q2487" s="226"/>
      <c r="R2487" s="226"/>
      <c r="S2487" s="226"/>
      <c r="T2487" s="226"/>
      <c r="U2487" s="226"/>
    </row>
    <row r="2488" spans="16:21" x14ac:dyDescent="0.35">
      <c r="P2488" s="226"/>
      <c r="Q2488" s="226"/>
      <c r="R2488" s="226"/>
      <c r="S2488" s="226"/>
      <c r="T2488" s="226"/>
      <c r="U2488" s="226"/>
    </row>
    <row r="2489" spans="16:21" x14ac:dyDescent="0.35">
      <c r="P2489" s="226"/>
      <c r="Q2489" s="226"/>
      <c r="R2489" s="226"/>
      <c r="S2489" s="226"/>
      <c r="T2489" s="226"/>
      <c r="U2489" s="226"/>
    </row>
    <row r="2490" spans="16:21" x14ac:dyDescent="0.35">
      <c r="P2490" s="226"/>
      <c r="Q2490" s="226"/>
      <c r="R2490" s="226"/>
      <c r="S2490" s="226"/>
      <c r="T2490" s="226"/>
      <c r="U2490" s="226"/>
    </row>
    <row r="2491" spans="16:21" x14ac:dyDescent="0.35">
      <c r="P2491" s="226"/>
      <c r="Q2491" s="226"/>
      <c r="R2491" s="226"/>
      <c r="S2491" s="226"/>
      <c r="T2491" s="226"/>
      <c r="U2491" s="226"/>
    </row>
    <row r="2492" spans="16:21" x14ac:dyDescent="0.35">
      <c r="P2492" s="226"/>
      <c r="Q2492" s="226"/>
      <c r="R2492" s="226"/>
      <c r="S2492" s="226"/>
      <c r="T2492" s="226"/>
      <c r="U2492" s="226"/>
    </row>
    <row r="2493" spans="16:21" x14ac:dyDescent="0.35">
      <c r="P2493" s="226"/>
      <c r="Q2493" s="226"/>
      <c r="R2493" s="226"/>
      <c r="S2493" s="226"/>
      <c r="T2493" s="226"/>
      <c r="U2493" s="226"/>
    </row>
    <row r="2494" spans="16:21" x14ac:dyDescent="0.35">
      <c r="P2494" s="226"/>
      <c r="Q2494" s="226"/>
      <c r="R2494" s="226"/>
      <c r="S2494" s="226"/>
      <c r="T2494" s="226"/>
      <c r="U2494" s="226"/>
    </row>
    <row r="2495" spans="16:21" x14ac:dyDescent="0.35">
      <c r="P2495" s="226"/>
      <c r="Q2495" s="226"/>
      <c r="R2495" s="226"/>
      <c r="S2495" s="226"/>
      <c r="T2495" s="226"/>
      <c r="U2495" s="226"/>
    </row>
    <row r="2496" spans="16:21" x14ac:dyDescent="0.35">
      <c r="P2496" s="226"/>
      <c r="Q2496" s="226"/>
      <c r="R2496" s="226"/>
      <c r="S2496" s="226"/>
      <c r="T2496" s="226"/>
      <c r="U2496" s="226"/>
    </row>
    <row r="2497" spans="16:21" x14ac:dyDescent="0.35">
      <c r="P2497" s="226"/>
      <c r="Q2497" s="226"/>
      <c r="R2497" s="226"/>
      <c r="S2497" s="226"/>
      <c r="T2497" s="226"/>
      <c r="U2497" s="226"/>
    </row>
    <row r="2498" spans="16:21" x14ac:dyDescent="0.35">
      <c r="P2498" s="226"/>
      <c r="Q2498" s="226"/>
      <c r="R2498" s="226"/>
      <c r="S2498" s="226"/>
      <c r="T2498" s="226"/>
      <c r="U2498" s="226"/>
    </row>
    <row r="2499" spans="16:21" x14ac:dyDescent="0.35">
      <c r="P2499" s="226"/>
      <c r="Q2499" s="226"/>
      <c r="R2499" s="226"/>
      <c r="S2499" s="226"/>
      <c r="T2499" s="226"/>
      <c r="U2499" s="226"/>
    </row>
    <row r="2500" spans="16:21" x14ac:dyDescent="0.35">
      <c r="P2500" s="226"/>
      <c r="Q2500" s="226"/>
      <c r="R2500" s="226"/>
      <c r="S2500" s="226"/>
      <c r="T2500" s="226"/>
      <c r="U2500" s="226"/>
    </row>
    <row r="2501" spans="16:21" x14ac:dyDescent="0.35">
      <c r="P2501" s="226"/>
      <c r="Q2501" s="226"/>
      <c r="R2501" s="226"/>
      <c r="S2501" s="226"/>
      <c r="T2501" s="226"/>
      <c r="U2501" s="226"/>
    </row>
    <row r="2502" spans="16:21" x14ac:dyDescent="0.35">
      <c r="P2502" s="226"/>
      <c r="Q2502" s="226"/>
      <c r="R2502" s="226"/>
      <c r="S2502" s="226"/>
      <c r="T2502" s="226"/>
      <c r="U2502" s="226"/>
    </row>
    <row r="2503" spans="16:21" x14ac:dyDescent="0.35">
      <c r="P2503" s="226"/>
      <c r="Q2503" s="226"/>
      <c r="R2503" s="226"/>
      <c r="S2503" s="226"/>
      <c r="T2503" s="226"/>
      <c r="U2503" s="226"/>
    </row>
    <row r="2504" spans="16:21" x14ac:dyDescent="0.35">
      <c r="P2504" s="226"/>
      <c r="Q2504" s="226"/>
      <c r="R2504" s="226"/>
      <c r="S2504" s="226"/>
      <c r="T2504" s="226"/>
      <c r="U2504" s="226"/>
    </row>
    <row r="2505" spans="16:21" x14ac:dyDescent="0.35">
      <c r="P2505" s="226"/>
      <c r="Q2505" s="226"/>
      <c r="R2505" s="226"/>
      <c r="S2505" s="226"/>
      <c r="T2505" s="226"/>
      <c r="U2505" s="226"/>
    </row>
    <row r="2506" spans="16:21" x14ac:dyDescent="0.35">
      <c r="P2506" s="226"/>
      <c r="Q2506" s="226"/>
      <c r="R2506" s="226"/>
      <c r="S2506" s="226"/>
      <c r="T2506" s="226"/>
      <c r="U2506" s="226"/>
    </row>
    <row r="2507" spans="16:21" x14ac:dyDescent="0.35">
      <c r="P2507" s="226"/>
      <c r="Q2507" s="226"/>
      <c r="R2507" s="226"/>
      <c r="S2507" s="226"/>
      <c r="T2507" s="226"/>
      <c r="U2507" s="226"/>
    </row>
    <row r="2508" spans="16:21" x14ac:dyDescent="0.35">
      <c r="P2508" s="226"/>
      <c r="Q2508" s="226"/>
      <c r="R2508" s="226"/>
      <c r="S2508" s="226"/>
      <c r="T2508" s="226"/>
      <c r="U2508" s="226"/>
    </row>
    <row r="2509" spans="16:21" x14ac:dyDescent="0.35">
      <c r="P2509" s="226"/>
      <c r="Q2509" s="226"/>
      <c r="R2509" s="226"/>
      <c r="S2509" s="226"/>
      <c r="T2509" s="226"/>
      <c r="U2509" s="226"/>
    </row>
    <row r="2510" spans="16:21" x14ac:dyDescent="0.35">
      <c r="P2510" s="226"/>
      <c r="Q2510" s="226"/>
      <c r="R2510" s="226"/>
      <c r="S2510" s="226"/>
      <c r="T2510" s="226"/>
      <c r="U2510" s="226"/>
    </row>
    <row r="2511" spans="16:21" x14ac:dyDescent="0.35">
      <c r="P2511" s="226"/>
      <c r="Q2511" s="226"/>
      <c r="R2511" s="226"/>
      <c r="S2511" s="226"/>
      <c r="T2511" s="226"/>
      <c r="U2511" s="226"/>
    </row>
    <row r="2512" spans="16:21" x14ac:dyDescent="0.35">
      <c r="P2512" s="226"/>
      <c r="Q2512" s="226"/>
      <c r="R2512" s="226"/>
      <c r="S2512" s="226"/>
      <c r="T2512" s="226"/>
      <c r="U2512" s="226"/>
    </row>
    <row r="2513" spans="16:21" x14ac:dyDescent="0.35">
      <c r="P2513" s="226"/>
      <c r="Q2513" s="226"/>
      <c r="R2513" s="226"/>
      <c r="S2513" s="226"/>
      <c r="T2513" s="226"/>
      <c r="U2513" s="226"/>
    </row>
    <row r="2514" spans="16:21" x14ac:dyDescent="0.35">
      <c r="P2514" s="226"/>
      <c r="Q2514" s="226"/>
      <c r="R2514" s="226"/>
      <c r="S2514" s="226"/>
      <c r="T2514" s="226"/>
      <c r="U2514" s="226"/>
    </row>
    <row r="2515" spans="16:21" x14ac:dyDescent="0.35">
      <c r="P2515" s="226"/>
      <c r="Q2515" s="226"/>
      <c r="R2515" s="226"/>
      <c r="S2515" s="226"/>
      <c r="T2515" s="226"/>
      <c r="U2515" s="226"/>
    </row>
    <row r="2516" spans="16:21" x14ac:dyDescent="0.35">
      <c r="P2516" s="226"/>
      <c r="Q2516" s="226"/>
      <c r="R2516" s="226"/>
      <c r="S2516" s="226"/>
      <c r="T2516" s="226"/>
      <c r="U2516" s="226"/>
    </row>
    <row r="2517" spans="16:21" x14ac:dyDescent="0.35">
      <c r="P2517" s="226"/>
      <c r="Q2517" s="226"/>
      <c r="R2517" s="226"/>
      <c r="S2517" s="226"/>
      <c r="T2517" s="226"/>
      <c r="U2517" s="226"/>
    </row>
    <row r="2518" spans="16:21" x14ac:dyDescent="0.35">
      <c r="P2518" s="226"/>
      <c r="Q2518" s="226"/>
      <c r="R2518" s="226"/>
      <c r="S2518" s="226"/>
      <c r="T2518" s="226"/>
      <c r="U2518" s="226"/>
    </row>
    <row r="2519" spans="16:21" x14ac:dyDescent="0.35">
      <c r="P2519" s="226"/>
      <c r="Q2519" s="226"/>
      <c r="R2519" s="226"/>
      <c r="S2519" s="226"/>
      <c r="T2519" s="226"/>
      <c r="U2519" s="226"/>
    </row>
    <row r="2520" spans="16:21" x14ac:dyDescent="0.35">
      <c r="P2520" s="226"/>
      <c r="Q2520" s="226"/>
      <c r="R2520" s="226"/>
      <c r="S2520" s="226"/>
      <c r="T2520" s="226"/>
      <c r="U2520" s="226"/>
    </row>
    <row r="2521" spans="16:21" x14ac:dyDescent="0.35">
      <c r="P2521" s="226"/>
      <c r="Q2521" s="226"/>
      <c r="R2521" s="226"/>
      <c r="S2521" s="226"/>
      <c r="T2521" s="226"/>
      <c r="U2521" s="226"/>
    </row>
    <row r="2522" spans="16:21" x14ac:dyDescent="0.35">
      <c r="P2522" s="226"/>
      <c r="Q2522" s="226"/>
      <c r="R2522" s="226"/>
      <c r="S2522" s="226"/>
      <c r="T2522" s="226"/>
      <c r="U2522" s="226"/>
    </row>
    <row r="2523" spans="16:21" x14ac:dyDescent="0.35">
      <c r="P2523" s="226"/>
      <c r="Q2523" s="226"/>
      <c r="R2523" s="226"/>
      <c r="S2523" s="226"/>
      <c r="T2523" s="226"/>
      <c r="U2523" s="226"/>
    </row>
    <row r="2524" spans="16:21" x14ac:dyDescent="0.35">
      <c r="P2524" s="226"/>
      <c r="Q2524" s="226"/>
      <c r="R2524" s="226"/>
      <c r="S2524" s="226"/>
      <c r="T2524" s="226"/>
      <c r="U2524" s="226"/>
    </row>
    <row r="2525" spans="16:21" x14ac:dyDescent="0.35">
      <c r="P2525" s="226"/>
      <c r="Q2525" s="226"/>
      <c r="R2525" s="226"/>
      <c r="S2525" s="226"/>
      <c r="T2525" s="226"/>
      <c r="U2525" s="226"/>
    </row>
    <row r="2526" spans="16:21" x14ac:dyDescent="0.35">
      <c r="P2526" s="226"/>
      <c r="Q2526" s="226"/>
      <c r="R2526" s="226"/>
      <c r="S2526" s="226"/>
      <c r="T2526" s="226"/>
      <c r="U2526" s="226"/>
    </row>
    <row r="2527" spans="16:21" x14ac:dyDescent="0.35">
      <c r="P2527" s="226"/>
      <c r="Q2527" s="226"/>
      <c r="R2527" s="226"/>
      <c r="S2527" s="226"/>
      <c r="T2527" s="226"/>
      <c r="U2527" s="226"/>
    </row>
    <row r="2528" spans="16:21" x14ac:dyDescent="0.35">
      <c r="P2528" s="226"/>
      <c r="Q2528" s="226"/>
      <c r="R2528" s="226"/>
      <c r="S2528" s="226"/>
      <c r="T2528" s="226"/>
      <c r="U2528" s="226"/>
    </row>
    <row r="2529" spans="16:21" x14ac:dyDescent="0.35">
      <c r="P2529" s="226"/>
      <c r="Q2529" s="226"/>
      <c r="R2529" s="226"/>
      <c r="S2529" s="226"/>
      <c r="T2529" s="226"/>
      <c r="U2529" s="226"/>
    </row>
    <row r="2530" spans="16:21" x14ac:dyDescent="0.35">
      <c r="P2530" s="226"/>
      <c r="Q2530" s="226"/>
      <c r="R2530" s="226"/>
      <c r="S2530" s="226"/>
      <c r="T2530" s="226"/>
      <c r="U2530" s="226"/>
    </row>
    <row r="2531" spans="16:21" x14ac:dyDescent="0.35">
      <c r="P2531" s="226"/>
      <c r="Q2531" s="226"/>
      <c r="R2531" s="226"/>
      <c r="S2531" s="226"/>
      <c r="T2531" s="226"/>
      <c r="U2531" s="226"/>
    </row>
    <row r="2532" spans="16:21" x14ac:dyDescent="0.35">
      <c r="P2532" s="226"/>
      <c r="Q2532" s="226"/>
      <c r="R2532" s="226"/>
      <c r="S2532" s="226"/>
      <c r="T2532" s="226"/>
      <c r="U2532" s="226"/>
    </row>
    <row r="2533" spans="16:21" x14ac:dyDescent="0.35">
      <c r="P2533" s="226"/>
      <c r="Q2533" s="226"/>
      <c r="R2533" s="226"/>
      <c r="S2533" s="226"/>
      <c r="T2533" s="226"/>
      <c r="U2533" s="226"/>
    </row>
    <row r="2534" spans="16:21" x14ac:dyDescent="0.35">
      <c r="P2534" s="226"/>
      <c r="Q2534" s="226"/>
      <c r="R2534" s="226"/>
      <c r="S2534" s="226"/>
      <c r="T2534" s="226"/>
      <c r="U2534" s="226"/>
    </row>
    <row r="2535" spans="16:21" x14ac:dyDescent="0.35">
      <c r="P2535" s="226"/>
      <c r="Q2535" s="226"/>
      <c r="R2535" s="226"/>
      <c r="S2535" s="226"/>
      <c r="T2535" s="226"/>
      <c r="U2535" s="226"/>
    </row>
    <row r="2536" spans="16:21" x14ac:dyDescent="0.35">
      <c r="P2536" s="226"/>
      <c r="Q2536" s="226"/>
      <c r="R2536" s="226"/>
      <c r="S2536" s="226"/>
      <c r="T2536" s="226"/>
      <c r="U2536" s="226"/>
    </row>
    <row r="2537" spans="16:21" x14ac:dyDescent="0.35">
      <c r="P2537" s="226"/>
      <c r="Q2537" s="226"/>
      <c r="R2537" s="226"/>
      <c r="S2537" s="226"/>
      <c r="T2537" s="226"/>
      <c r="U2537" s="226"/>
    </row>
    <row r="2538" spans="16:21" x14ac:dyDescent="0.35">
      <c r="P2538" s="226"/>
      <c r="Q2538" s="226"/>
      <c r="R2538" s="226"/>
      <c r="S2538" s="226"/>
      <c r="T2538" s="226"/>
      <c r="U2538" s="226"/>
    </row>
    <row r="2539" spans="16:21" x14ac:dyDescent="0.35">
      <c r="P2539" s="226"/>
      <c r="Q2539" s="226"/>
      <c r="R2539" s="226"/>
      <c r="S2539" s="226"/>
      <c r="T2539" s="226"/>
      <c r="U2539" s="226"/>
    </row>
    <row r="2540" spans="16:21" x14ac:dyDescent="0.35">
      <c r="P2540" s="226"/>
      <c r="Q2540" s="226"/>
      <c r="R2540" s="226"/>
      <c r="S2540" s="226"/>
      <c r="T2540" s="226"/>
      <c r="U2540" s="226"/>
    </row>
    <row r="2541" spans="16:21" x14ac:dyDescent="0.35">
      <c r="P2541" s="226"/>
      <c r="Q2541" s="226"/>
      <c r="R2541" s="226"/>
      <c r="S2541" s="226"/>
      <c r="T2541" s="226"/>
      <c r="U2541" s="226"/>
    </row>
    <row r="2542" spans="16:21" x14ac:dyDescent="0.35">
      <c r="P2542" s="226"/>
      <c r="Q2542" s="226"/>
      <c r="R2542" s="226"/>
      <c r="S2542" s="226"/>
      <c r="T2542" s="226"/>
      <c r="U2542" s="226"/>
    </row>
    <row r="2543" spans="16:21" x14ac:dyDescent="0.35">
      <c r="P2543" s="226"/>
      <c r="Q2543" s="226"/>
      <c r="R2543" s="226"/>
      <c r="S2543" s="226"/>
      <c r="T2543" s="226"/>
      <c r="U2543" s="226"/>
    </row>
    <row r="2544" spans="16:21" x14ac:dyDescent="0.35">
      <c r="P2544" s="226"/>
      <c r="Q2544" s="226"/>
      <c r="R2544" s="226"/>
      <c r="S2544" s="226"/>
      <c r="T2544" s="226"/>
      <c r="U2544" s="226"/>
    </row>
    <row r="2545" spans="16:21" x14ac:dyDescent="0.35">
      <c r="P2545" s="226"/>
      <c r="Q2545" s="226"/>
      <c r="R2545" s="226"/>
      <c r="S2545" s="226"/>
      <c r="T2545" s="226"/>
      <c r="U2545" s="226"/>
    </row>
    <row r="2546" spans="16:21" x14ac:dyDescent="0.35">
      <c r="P2546" s="226"/>
      <c r="Q2546" s="226"/>
      <c r="R2546" s="226"/>
      <c r="S2546" s="226"/>
      <c r="T2546" s="226"/>
      <c r="U2546" s="226"/>
    </row>
    <row r="2547" spans="16:21" x14ac:dyDescent="0.35">
      <c r="P2547" s="226"/>
      <c r="Q2547" s="226"/>
      <c r="R2547" s="226"/>
      <c r="S2547" s="226"/>
      <c r="T2547" s="226"/>
      <c r="U2547" s="226"/>
    </row>
    <row r="2548" spans="16:21" x14ac:dyDescent="0.35">
      <c r="P2548" s="226"/>
      <c r="Q2548" s="226"/>
      <c r="R2548" s="226"/>
      <c r="S2548" s="226"/>
      <c r="T2548" s="226"/>
      <c r="U2548" s="226"/>
    </row>
    <row r="2549" spans="16:21" x14ac:dyDescent="0.35">
      <c r="P2549" s="226"/>
      <c r="Q2549" s="226"/>
      <c r="R2549" s="226"/>
      <c r="S2549" s="226"/>
      <c r="T2549" s="226"/>
      <c r="U2549" s="226"/>
    </row>
    <row r="2550" spans="16:21" x14ac:dyDescent="0.35">
      <c r="P2550" s="226"/>
      <c r="Q2550" s="226"/>
      <c r="R2550" s="226"/>
      <c r="S2550" s="226"/>
      <c r="T2550" s="226"/>
      <c r="U2550" s="226"/>
    </row>
    <row r="2551" spans="16:21" x14ac:dyDescent="0.35">
      <c r="P2551" s="226"/>
      <c r="Q2551" s="226"/>
      <c r="R2551" s="226"/>
      <c r="S2551" s="226"/>
      <c r="T2551" s="226"/>
      <c r="U2551" s="226"/>
    </row>
    <row r="2552" spans="16:21" x14ac:dyDescent="0.35">
      <c r="P2552" s="226"/>
      <c r="Q2552" s="226"/>
      <c r="R2552" s="226"/>
      <c r="S2552" s="226"/>
      <c r="T2552" s="226"/>
      <c r="U2552" s="226"/>
    </row>
    <row r="2553" spans="16:21" x14ac:dyDescent="0.35">
      <c r="P2553" s="226"/>
      <c r="Q2553" s="226"/>
      <c r="R2553" s="226"/>
      <c r="S2553" s="226"/>
      <c r="T2553" s="226"/>
      <c r="U2553" s="226"/>
    </row>
    <row r="2554" spans="16:21" x14ac:dyDescent="0.35">
      <c r="P2554" s="226"/>
      <c r="Q2554" s="226"/>
      <c r="R2554" s="226"/>
      <c r="S2554" s="226"/>
      <c r="T2554" s="226"/>
      <c r="U2554" s="226"/>
    </row>
    <row r="2555" spans="16:21" x14ac:dyDescent="0.35">
      <c r="P2555" s="226"/>
      <c r="Q2555" s="226"/>
      <c r="R2555" s="226"/>
      <c r="S2555" s="226"/>
      <c r="T2555" s="226"/>
      <c r="U2555" s="226"/>
    </row>
    <row r="2556" spans="16:21" x14ac:dyDescent="0.35">
      <c r="P2556" s="226"/>
      <c r="Q2556" s="226"/>
      <c r="R2556" s="226"/>
      <c r="S2556" s="226"/>
      <c r="T2556" s="226"/>
      <c r="U2556" s="226"/>
    </row>
    <row r="2557" spans="16:21" x14ac:dyDescent="0.35">
      <c r="P2557" s="226"/>
      <c r="Q2557" s="226"/>
      <c r="R2557" s="226"/>
      <c r="S2557" s="226"/>
      <c r="T2557" s="226"/>
      <c r="U2557" s="226"/>
    </row>
    <row r="2558" spans="16:21" x14ac:dyDescent="0.35">
      <c r="P2558" s="226"/>
      <c r="Q2558" s="226"/>
      <c r="R2558" s="226"/>
      <c r="S2558" s="226"/>
      <c r="T2558" s="226"/>
      <c r="U2558" s="226"/>
    </row>
    <row r="2559" spans="16:21" x14ac:dyDescent="0.35">
      <c r="P2559" s="226"/>
      <c r="Q2559" s="226"/>
      <c r="R2559" s="226"/>
      <c r="S2559" s="226"/>
      <c r="T2559" s="226"/>
      <c r="U2559" s="226"/>
    </row>
    <row r="2560" spans="16:21" x14ac:dyDescent="0.35">
      <c r="P2560" s="226"/>
      <c r="Q2560" s="226"/>
      <c r="R2560" s="226"/>
      <c r="S2560" s="226"/>
      <c r="T2560" s="226"/>
      <c r="U2560" s="226"/>
    </row>
    <row r="2561" spans="16:21" x14ac:dyDescent="0.35">
      <c r="P2561" s="226"/>
      <c r="Q2561" s="226"/>
      <c r="R2561" s="226"/>
      <c r="S2561" s="226"/>
      <c r="T2561" s="226"/>
      <c r="U2561" s="226"/>
    </row>
    <row r="2562" spans="16:21" x14ac:dyDescent="0.35">
      <c r="P2562" s="226"/>
      <c r="Q2562" s="226"/>
      <c r="R2562" s="226"/>
      <c r="S2562" s="226"/>
      <c r="T2562" s="226"/>
      <c r="U2562" s="226"/>
    </row>
    <row r="2563" spans="16:21" x14ac:dyDescent="0.35">
      <c r="P2563" s="226"/>
      <c r="Q2563" s="226"/>
      <c r="R2563" s="226"/>
      <c r="S2563" s="226"/>
      <c r="T2563" s="226"/>
      <c r="U2563" s="226"/>
    </row>
    <row r="2564" spans="16:21" x14ac:dyDescent="0.35">
      <c r="P2564" s="226"/>
      <c r="Q2564" s="226"/>
      <c r="R2564" s="226"/>
      <c r="S2564" s="226"/>
      <c r="T2564" s="226"/>
      <c r="U2564" s="226"/>
    </row>
    <row r="2565" spans="16:21" x14ac:dyDescent="0.35">
      <c r="P2565" s="226"/>
      <c r="Q2565" s="226"/>
      <c r="R2565" s="226"/>
      <c r="S2565" s="226"/>
      <c r="T2565" s="226"/>
      <c r="U2565" s="226"/>
    </row>
    <row r="2566" spans="16:21" x14ac:dyDescent="0.35">
      <c r="P2566" s="226"/>
      <c r="Q2566" s="226"/>
      <c r="R2566" s="226"/>
      <c r="S2566" s="226"/>
      <c r="T2566" s="226"/>
      <c r="U2566" s="226"/>
    </row>
    <row r="2567" spans="16:21" x14ac:dyDescent="0.35">
      <c r="P2567" s="226"/>
      <c r="Q2567" s="226"/>
      <c r="R2567" s="226"/>
      <c r="S2567" s="226"/>
      <c r="T2567" s="226"/>
      <c r="U2567" s="226"/>
    </row>
    <row r="2568" spans="16:21" x14ac:dyDescent="0.35">
      <c r="P2568" s="226"/>
      <c r="Q2568" s="226"/>
      <c r="R2568" s="226"/>
      <c r="S2568" s="226"/>
      <c r="T2568" s="226"/>
      <c r="U2568" s="226"/>
    </row>
    <row r="2569" spans="16:21" x14ac:dyDescent="0.35">
      <c r="P2569" s="226"/>
      <c r="Q2569" s="226"/>
      <c r="R2569" s="226"/>
      <c r="S2569" s="226"/>
      <c r="T2569" s="226"/>
      <c r="U2569" s="226"/>
    </row>
    <row r="2570" spans="16:21" x14ac:dyDescent="0.35">
      <c r="P2570" s="226"/>
      <c r="Q2570" s="226"/>
      <c r="R2570" s="226"/>
      <c r="S2570" s="226"/>
      <c r="T2570" s="226"/>
      <c r="U2570" s="226"/>
    </row>
    <row r="2571" spans="16:21" x14ac:dyDescent="0.35">
      <c r="P2571" s="226"/>
      <c r="Q2571" s="226"/>
      <c r="R2571" s="226"/>
      <c r="S2571" s="226"/>
      <c r="T2571" s="226"/>
      <c r="U2571" s="226"/>
    </row>
    <row r="2572" spans="16:21" x14ac:dyDescent="0.35">
      <c r="P2572" s="226"/>
      <c r="Q2572" s="226"/>
      <c r="R2572" s="226"/>
      <c r="S2572" s="226"/>
      <c r="T2572" s="226"/>
      <c r="U2572" s="226"/>
    </row>
    <row r="2573" spans="16:21" x14ac:dyDescent="0.35">
      <c r="P2573" s="226"/>
      <c r="Q2573" s="226"/>
      <c r="R2573" s="226"/>
      <c r="S2573" s="226"/>
      <c r="T2573" s="226"/>
      <c r="U2573" s="226"/>
    </row>
    <row r="2574" spans="16:21" x14ac:dyDescent="0.35">
      <c r="P2574" s="226"/>
      <c r="Q2574" s="226"/>
      <c r="R2574" s="226"/>
      <c r="S2574" s="226"/>
      <c r="T2574" s="226"/>
      <c r="U2574" s="226"/>
    </row>
    <row r="2575" spans="16:21" x14ac:dyDescent="0.35">
      <c r="P2575" s="226"/>
      <c r="Q2575" s="226"/>
      <c r="R2575" s="226"/>
      <c r="S2575" s="226"/>
      <c r="T2575" s="226"/>
      <c r="U2575" s="226"/>
    </row>
    <row r="2576" spans="16:21" x14ac:dyDescent="0.35">
      <c r="P2576" s="226"/>
      <c r="Q2576" s="226"/>
      <c r="R2576" s="226"/>
      <c r="S2576" s="226"/>
      <c r="T2576" s="226"/>
      <c r="U2576" s="226"/>
    </row>
    <row r="2577" spans="16:21" x14ac:dyDescent="0.35">
      <c r="P2577" s="226"/>
      <c r="Q2577" s="226"/>
      <c r="R2577" s="226"/>
      <c r="S2577" s="226"/>
      <c r="T2577" s="226"/>
      <c r="U2577" s="226"/>
    </row>
    <row r="2578" spans="16:21" x14ac:dyDescent="0.35">
      <c r="P2578" s="226"/>
      <c r="Q2578" s="226"/>
      <c r="R2578" s="226"/>
      <c r="S2578" s="226"/>
      <c r="T2578" s="226"/>
      <c r="U2578" s="226"/>
    </row>
    <row r="2579" spans="16:21" x14ac:dyDescent="0.35">
      <c r="P2579" s="226"/>
      <c r="Q2579" s="226"/>
      <c r="R2579" s="226"/>
      <c r="S2579" s="226"/>
      <c r="T2579" s="226"/>
      <c r="U2579" s="226"/>
    </row>
    <row r="2580" spans="16:21" x14ac:dyDescent="0.35">
      <c r="P2580" s="226"/>
      <c r="Q2580" s="226"/>
      <c r="R2580" s="226"/>
      <c r="S2580" s="226"/>
      <c r="T2580" s="226"/>
      <c r="U2580" s="226"/>
    </row>
    <row r="2581" spans="16:21" x14ac:dyDescent="0.35">
      <c r="P2581" s="226"/>
      <c r="Q2581" s="226"/>
      <c r="R2581" s="226"/>
      <c r="S2581" s="226"/>
      <c r="T2581" s="226"/>
      <c r="U2581" s="226"/>
    </row>
    <row r="2582" spans="16:21" x14ac:dyDescent="0.35">
      <c r="P2582" s="226"/>
      <c r="Q2582" s="226"/>
      <c r="R2582" s="226"/>
      <c r="S2582" s="226"/>
      <c r="T2582" s="226"/>
      <c r="U2582" s="226"/>
    </row>
    <row r="2583" spans="16:21" x14ac:dyDescent="0.35">
      <c r="P2583" s="226"/>
      <c r="Q2583" s="226"/>
      <c r="R2583" s="226"/>
      <c r="S2583" s="226"/>
      <c r="T2583" s="226"/>
      <c r="U2583" s="226"/>
    </row>
    <row r="2584" spans="16:21" x14ac:dyDescent="0.35">
      <c r="P2584" s="226"/>
      <c r="Q2584" s="226"/>
      <c r="R2584" s="226"/>
      <c r="S2584" s="226"/>
      <c r="T2584" s="226"/>
      <c r="U2584" s="226"/>
    </row>
    <row r="2585" spans="16:21" x14ac:dyDescent="0.35">
      <c r="P2585" s="226"/>
      <c r="Q2585" s="226"/>
      <c r="R2585" s="226"/>
      <c r="S2585" s="226"/>
      <c r="T2585" s="226"/>
      <c r="U2585" s="226"/>
    </row>
    <row r="2586" spans="16:21" x14ac:dyDescent="0.35">
      <c r="P2586" s="226"/>
      <c r="Q2586" s="226"/>
      <c r="R2586" s="226"/>
      <c r="S2586" s="226"/>
      <c r="T2586" s="226"/>
      <c r="U2586" s="226"/>
    </row>
    <row r="2587" spans="16:21" x14ac:dyDescent="0.35">
      <c r="P2587" s="226"/>
      <c r="Q2587" s="226"/>
      <c r="R2587" s="226"/>
      <c r="S2587" s="226"/>
      <c r="T2587" s="226"/>
      <c r="U2587" s="226"/>
    </row>
    <row r="2588" spans="16:21" x14ac:dyDescent="0.35">
      <c r="P2588" s="226"/>
      <c r="Q2588" s="226"/>
      <c r="R2588" s="226"/>
      <c r="S2588" s="226"/>
      <c r="T2588" s="226"/>
      <c r="U2588" s="226"/>
    </row>
    <row r="2589" spans="16:21" x14ac:dyDescent="0.35">
      <c r="P2589" s="226"/>
      <c r="Q2589" s="226"/>
      <c r="R2589" s="226"/>
      <c r="S2589" s="226"/>
      <c r="T2589" s="226"/>
      <c r="U2589" s="226"/>
    </row>
    <row r="2590" spans="16:21" x14ac:dyDescent="0.35">
      <c r="P2590" s="226"/>
      <c r="Q2590" s="226"/>
      <c r="R2590" s="226"/>
      <c r="S2590" s="226"/>
      <c r="T2590" s="226"/>
      <c r="U2590" s="226"/>
    </row>
    <row r="2591" spans="16:21" x14ac:dyDescent="0.35">
      <c r="P2591" s="226"/>
      <c r="Q2591" s="226"/>
      <c r="R2591" s="226"/>
      <c r="S2591" s="226"/>
      <c r="T2591" s="226"/>
      <c r="U2591" s="226"/>
    </row>
    <row r="2592" spans="16:21" x14ac:dyDescent="0.35">
      <c r="P2592" s="226"/>
      <c r="Q2592" s="226"/>
      <c r="R2592" s="226"/>
      <c r="S2592" s="226"/>
      <c r="T2592" s="226"/>
      <c r="U2592" s="226"/>
    </row>
    <row r="2593" spans="16:21" x14ac:dyDescent="0.35">
      <c r="P2593" s="226"/>
      <c r="Q2593" s="226"/>
      <c r="R2593" s="226"/>
      <c r="S2593" s="226"/>
      <c r="T2593" s="226"/>
      <c r="U2593" s="226"/>
    </row>
    <row r="2594" spans="16:21" x14ac:dyDescent="0.35">
      <c r="P2594" s="226"/>
      <c r="Q2594" s="226"/>
      <c r="R2594" s="226"/>
      <c r="S2594" s="226"/>
      <c r="T2594" s="226"/>
      <c r="U2594" s="226"/>
    </row>
    <row r="2595" spans="16:21" x14ac:dyDescent="0.35">
      <c r="P2595" s="226"/>
      <c r="Q2595" s="226"/>
      <c r="R2595" s="226"/>
      <c r="S2595" s="226"/>
      <c r="T2595" s="226"/>
      <c r="U2595" s="226"/>
    </row>
    <row r="2596" spans="16:21" x14ac:dyDescent="0.35">
      <c r="P2596" s="226"/>
      <c r="Q2596" s="226"/>
      <c r="R2596" s="226"/>
      <c r="S2596" s="226"/>
      <c r="T2596" s="226"/>
      <c r="U2596" s="226"/>
    </row>
    <row r="2597" spans="16:21" x14ac:dyDescent="0.35">
      <c r="P2597" s="226"/>
      <c r="Q2597" s="226"/>
      <c r="R2597" s="226"/>
      <c r="S2597" s="226"/>
      <c r="T2597" s="226"/>
      <c r="U2597" s="226"/>
    </row>
    <row r="2598" spans="16:21" x14ac:dyDescent="0.35">
      <c r="P2598" s="226"/>
      <c r="Q2598" s="226"/>
      <c r="R2598" s="226"/>
      <c r="S2598" s="226"/>
      <c r="T2598" s="226"/>
      <c r="U2598" s="226"/>
    </row>
    <row r="2599" spans="16:21" x14ac:dyDescent="0.35">
      <c r="P2599" s="226"/>
      <c r="Q2599" s="226"/>
      <c r="R2599" s="226"/>
      <c r="S2599" s="226"/>
      <c r="T2599" s="226"/>
      <c r="U2599" s="226"/>
    </row>
    <row r="2600" spans="16:21" x14ac:dyDescent="0.35">
      <c r="P2600" s="226"/>
      <c r="Q2600" s="226"/>
      <c r="R2600" s="226"/>
      <c r="S2600" s="226"/>
      <c r="T2600" s="226"/>
      <c r="U2600" s="226"/>
    </row>
    <row r="2601" spans="16:21" x14ac:dyDescent="0.35">
      <c r="P2601" s="226"/>
      <c r="Q2601" s="226"/>
      <c r="R2601" s="226"/>
      <c r="S2601" s="226"/>
      <c r="T2601" s="226"/>
      <c r="U2601" s="226"/>
    </row>
    <row r="2602" spans="16:21" x14ac:dyDescent="0.35">
      <c r="P2602" s="226"/>
      <c r="Q2602" s="226"/>
      <c r="R2602" s="226"/>
      <c r="S2602" s="226"/>
      <c r="T2602" s="226"/>
      <c r="U2602" s="226"/>
    </row>
    <row r="2603" spans="16:21" x14ac:dyDescent="0.35">
      <c r="P2603" s="226"/>
      <c r="Q2603" s="226"/>
      <c r="R2603" s="226"/>
      <c r="S2603" s="226"/>
      <c r="T2603" s="226"/>
      <c r="U2603" s="226"/>
    </row>
    <row r="2604" spans="16:21" x14ac:dyDescent="0.35">
      <c r="P2604" s="226"/>
      <c r="Q2604" s="226"/>
      <c r="R2604" s="226"/>
      <c r="S2604" s="226"/>
      <c r="T2604" s="226"/>
      <c r="U2604" s="226"/>
    </row>
    <row r="2605" spans="16:21" x14ac:dyDescent="0.35">
      <c r="P2605" s="226"/>
      <c r="Q2605" s="226"/>
      <c r="R2605" s="226"/>
      <c r="S2605" s="226"/>
      <c r="T2605" s="226"/>
      <c r="U2605" s="226"/>
    </row>
    <row r="2606" spans="16:21" x14ac:dyDescent="0.35">
      <c r="P2606" s="226"/>
      <c r="Q2606" s="226"/>
      <c r="R2606" s="226"/>
      <c r="S2606" s="226"/>
      <c r="T2606" s="226"/>
      <c r="U2606" s="226"/>
    </row>
    <row r="2607" spans="16:21" x14ac:dyDescent="0.35">
      <c r="P2607" s="226"/>
      <c r="Q2607" s="226"/>
      <c r="R2607" s="226"/>
      <c r="S2607" s="226"/>
      <c r="T2607" s="226"/>
      <c r="U2607" s="226"/>
    </row>
    <row r="2608" spans="16:21" x14ac:dyDescent="0.35">
      <c r="P2608" s="226"/>
      <c r="Q2608" s="226"/>
      <c r="R2608" s="226"/>
      <c r="S2608" s="226"/>
      <c r="T2608" s="226"/>
      <c r="U2608" s="226"/>
    </row>
    <row r="2609" spans="16:21" x14ac:dyDescent="0.35">
      <c r="P2609" s="226"/>
      <c r="Q2609" s="226"/>
      <c r="R2609" s="226"/>
      <c r="S2609" s="226"/>
      <c r="T2609" s="226"/>
      <c r="U2609" s="226"/>
    </row>
    <row r="2610" spans="16:21" x14ac:dyDescent="0.35">
      <c r="P2610" s="226"/>
      <c r="Q2610" s="226"/>
      <c r="R2610" s="226"/>
      <c r="S2610" s="226"/>
      <c r="T2610" s="226"/>
      <c r="U2610" s="226"/>
    </row>
    <row r="2611" spans="16:21" x14ac:dyDescent="0.35">
      <c r="P2611" s="226"/>
      <c r="Q2611" s="226"/>
      <c r="R2611" s="226"/>
      <c r="S2611" s="226"/>
      <c r="T2611" s="226"/>
      <c r="U2611" s="226"/>
    </row>
    <row r="2612" spans="16:21" x14ac:dyDescent="0.35">
      <c r="P2612" s="226"/>
      <c r="Q2612" s="226"/>
      <c r="R2612" s="226"/>
      <c r="S2612" s="226"/>
      <c r="T2612" s="226"/>
      <c r="U2612" s="226"/>
    </row>
    <row r="2613" spans="16:21" x14ac:dyDescent="0.35">
      <c r="P2613" s="226"/>
      <c r="Q2613" s="226"/>
      <c r="R2613" s="226"/>
      <c r="S2613" s="226"/>
      <c r="T2613" s="226"/>
      <c r="U2613" s="226"/>
    </row>
    <row r="2614" spans="16:21" x14ac:dyDescent="0.35">
      <c r="P2614" s="226"/>
      <c r="Q2614" s="226"/>
      <c r="R2614" s="226"/>
      <c r="S2614" s="226"/>
      <c r="T2614" s="226"/>
      <c r="U2614" s="226"/>
    </row>
    <row r="2615" spans="16:21" x14ac:dyDescent="0.35">
      <c r="P2615" s="226"/>
      <c r="Q2615" s="226"/>
      <c r="R2615" s="226"/>
      <c r="S2615" s="226"/>
      <c r="T2615" s="226"/>
      <c r="U2615" s="226"/>
    </row>
    <row r="2616" spans="16:21" x14ac:dyDescent="0.35">
      <c r="P2616" s="226"/>
      <c r="Q2616" s="226"/>
      <c r="R2616" s="226"/>
      <c r="S2616" s="226"/>
      <c r="T2616" s="226"/>
      <c r="U2616" s="226"/>
    </row>
    <row r="2617" spans="16:21" x14ac:dyDescent="0.35">
      <c r="P2617" s="226"/>
      <c r="Q2617" s="226"/>
      <c r="R2617" s="226"/>
      <c r="S2617" s="226"/>
      <c r="T2617" s="226"/>
      <c r="U2617" s="226"/>
    </row>
    <row r="2618" spans="16:21" x14ac:dyDescent="0.35">
      <c r="P2618" s="226"/>
      <c r="Q2618" s="226"/>
      <c r="R2618" s="226"/>
      <c r="S2618" s="226"/>
      <c r="T2618" s="226"/>
      <c r="U2618" s="226"/>
    </row>
    <row r="2619" spans="16:21" x14ac:dyDescent="0.35">
      <c r="P2619" s="226"/>
      <c r="Q2619" s="226"/>
      <c r="R2619" s="226"/>
      <c r="S2619" s="226"/>
      <c r="T2619" s="226"/>
      <c r="U2619" s="226"/>
    </row>
    <row r="2620" spans="16:21" x14ac:dyDescent="0.35">
      <c r="P2620" s="226"/>
      <c r="Q2620" s="226"/>
      <c r="R2620" s="226"/>
      <c r="S2620" s="226"/>
      <c r="T2620" s="226"/>
      <c r="U2620" s="226"/>
    </row>
    <row r="2621" spans="16:21" x14ac:dyDescent="0.35">
      <c r="P2621" s="226"/>
      <c r="Q2621" s="226"/>
      <c r="R2621" s="226"/>
      <c r="S2621" s="226"/>
      <c r="T2621" s="226"/>
      <c r="U2621" s="226"/>
    </row>
    <row r="2622" spans="16:21" x14ac:dyDescent="0.35">
      <c r="P2622" s="226"/>
      <c r="Q2622" s="226"/>
      <c r="R2622" s="226"/>
      <c r="S2622" s="226"/>
      <c r="T2622" s="226"/>
      <c r="U2622" s="226"/>
    </row>
    <row r="2623" spans="16:21" x14ac:dyDescent="0.35">
      <c r="P2623" s="226"/>
      <c r="Q2623" s="226"/>
      <c r="R2623" s="226"/>
      <c r="S2623" s="226"/>
      <c r="T2623" s="226"/>
      <c r="U2623" s="226"/>
    </row>
    <row r="2624" spans="16:21" x14ac:dyDescent="0.35">
      <c r="P2624" s="226"/>
      <c r="Q2624" s="226"/>
      <c r="R2624" s="226"/>
      <c r="S2624" s="226"/>
      <c r="T2624" s="226"/>
      <c r="U2624" s="226"/>
    </row>
    <row r="2625" spans="16:21" x14ac:dyDescent="0.35">
      <c r="P2625" s="226"/>
      <c r="Q2625" s="226"/>
      <c r="R2625" s="226"/>
      <c r="S2625" s="226"/>
      <c r="T2625" s="226"/>
      <c r="U2625" s="226"/>
    </row>
    <row r="2626" spans="16:21" x14ac:dyDescent="0.35">
      <c r="P2626" s="226"/>
      <c r="Q2626" s="226"/>
      <c r="R2626" s="226"/>
      <c r="S2626" s="226"/>
      <c r="T2626" s="226"/>
      <c r="U2626" s="226"/>
    </row>
    <row r="2627" spans="16:21" x14ac:dyDescent="0.35">
      <c r="P2627" s="226"/>
      <c r="Q2627" s="226"/>
      <c r="R2627" s="226"/>
      <c r="S2627" s="226"/>
      <c r="T2627" s="226"/>
      <c r="U2627" s="226"/>
    </row>
    <row r="2628" spans="16:21" x14ac:dyDescent="0.35">
      <c r="P2628" s="226"/>
      <c r="Q2628" s="226"/>
      <c r="R2628" s="226"/>
      <c r="S2628" s="226"/>
      <c r="T2628" s="226"/>
      <c r="U2628" s="226"/>
    </row>
    <row r="2629" spans="16:21" x14ac:dyDescent="0.35">
      <c r="P2629" s="226"/>
      <c r="Q2629" s="226"/>
      <c r="R2629" s="226"/>
      <c r="S2629" s="226"/>
      <c r="T2629" s="226"/>
      <c r="U2629" s="226"/>
    </row>
    <row r="2630" spans="16:21" x14ac:dyDescent="0.35">
      <c r="P2630" s="226"/>
      <c r="Q2630" s="226"/>
      <c r="R2630" s="226"/>
      <c r="S2630" s="226"/>
      <c r="T2630" s="226"/>
      <c r="U2630" s="226"/>
    </row>
    <row r="2631" spans="16:21" x14ac:dyDescent="0.35">
      <c r="P2631" s="226"/>
      <c r="Q2631" s="226"/>
      <c r="R2631" s="226"/>
      <c r="S2631" s="226"/>
      <c r="T2631" s="226"/>
      <c r="U2631" s="226"/>
    </row>
    <row r="2632" spans="16:21" x14ac:dyDescent="0.35">
      <c r="P2632" s="226"/>
      <c r="Q2632" s="226"/>
      <c r="R2632" s="226"/>
      <c r="S2632" s="226"/>
      <c r="T2632" s="226"/>
      <c r="U2632" s="226"/>
    </row>
    <row r="2633" spans="16:21" x14ac:dyDescent="0.35">
      <c r="P2633" s="226"/>
      <c r="Q2633" s="226"/>
      <c r="R2633" s="226"/>
      <c r="S2633" s="226"/>
      <c r="T2633" s="226"/>
      <c r="U2633" s="226"/>
    </row>
    <row r="2634" spans="16:21" x14ac:dyDescent="0.35">
      <c r="P2634" s="226"/>
      <c r="Q2634" s="226"/>
      <c r="R2634" s="226"/>
      <c r="S2634" s="226"/>
      <c r="T2634" s="226"/>
      <c r="U2634" s="226"/>
    </row>
    <row r="2635" spans="16:21" x14ac:dyDescent="0.35">
      <c r="P2635" s="226"/>
      <c r="Q2635" s="226"/>
      <c r="R2635" s="226"/>
      <c r="S2635" s="226"/>
      <c r="T2635" s="226"/>
      <c r="U2635" s="226"/>
    </row>
    <row r="2636" spans="16:21" x14ac:dyDescent="0.35">
      <c r="P2636" s="226"/>
      <c r="Q2636" s="226"/>
      <c r="R2636" s="226"/>
      <c r="S2636" s="226"/>
      <c r="T2636" s="226"/>
      <c r="U2636" s="226"/>
    </row>
    <row r="2637" spans="16:21" x14ac:dyDescent="0.35">
      <c r="P2637" s="226"/>
      <c r="Q2637" s="226"/>
      <c r="R2637" s="226"/>
      <c r="S2637" s="226"/>
      <c r="T2637" s="226"/>
      <c r="U2637" s="226"/>
    </row>
    <row r="2638" spans="16:21" x14ac:dyDescent="0.35">
      <c r="P2638" s="226"/>
      <c r="Q2638" s="226"/>
      <c r="R2638" s="226"/>
      <c r="S2638" s="226"/>
      <c r="T2638" s="226"/>
      <c r="U2638" s="226"/>
    </row>
    <row r="2639" spans="16:21" x14ac:dyDescent="0.35">
      <c r="P2639" s="226"/>
      <c r="Q2639" s="226"/>
      <c r="R2639" s="226"/>
      <c r="S2639" s="226"/>
      <c r="T2639" s="226"/>
      <c r="U2639" s="226"/>
    </row>
    <row r="2640" spans="16:21" x14ac:dyDescent="0.35">
      <c r="P2640" s="226"/>
      <c r="Q2640" s="226"/>
      <c r="R2640" s="226"/>
      <c r="S2640" s="226"/>
      <c r="T2640" s="226"/>
      <c r="U2640" s="226"/>
    </row>
    <row r="2641" spans="16:21" x14ac:dyDescent="0.35">
      <c r="P2641" s="226"/>
      <c r="Q2641" s="226"/>
      <c r="R2641" s="226"/>
      <c r="S2641" s="226"/>
      <c r="T2641" s="226"/>
      <c r="U2641" s="226"/>
    </row>
    <row r="2642" spans="16:21" x14ac:dyDescent="0.35">
      <c r="P2642" s="226"/>
      <c r="Q2642" s="226"/>
      <c r="R2642" s="226"/>
      <c r="S2642" s="226"/>
      <c r="T2642" s="226"/>
      <c r="U2642" s="226"/>
    </row>
    <row r="2643" spans="16:21" x14ac:dyDescent="0.35">
      <c r="P2643" s="226"/>
      <c r="Q2643" s="226"/>
      <c r="R2643" s="226"/>
      <c r="S2643" s="226"/>
      <c r="T2643" s="226"/>
      <c r="U2643" s="226"/>
    </row>
    <row r="2644" spans="16:21" x14ac:dyDescent="0.35">
      <c r="P2644" s="226"/>
      <c r="Q2644" s="226"/>
      <c r="R2644" s="226"/>
      <c r="S2644" s="226"/>
      <c r="T2644" s="226"/>
      <c r="U2644" s="226"/>
    </row>
    <row r="2645" spans="16:21" x14ac:dyDescent="0.35">
      <c r="P2645" s="226"/>
      <c r="Q2645" s="226"/>
      <c r="R2645" s="226"/>
      <c r="S2645" s="226"/>
      <c r="T2645" s="226"/>
      <c r="U2645" s="226"/>
    </row>
    <row r="2646" spans="16:21" x14ac:dyDescent="0.35">
      <c r="P2646" s="226"/>
      <c r="Q2646" s="226"/>
      <c r="R2646" s="226"/>
      <c r="S2646" s="226"/>
      <c r="T2646" s="226"/>
      <c r="U2646" s="226"/>
    </row>
    <row r="2647" spans="16:21" x14ac:dyDescent="0.35">
      <c r="P2647" s="226"/>
      <c r="Q2647" s="226"/>
      <c r="R2647" s="226"/>
      <c r="S2647" s="226"/>
      <c r="T2647" s="226"/>
      <c r="U2647" s="226"/>
    </row>
    <row r="2648" spans="16:21" x14ac:dyDescent="0.35">
      <c r="P2648" s="226"/>
      <c r="Q2648" s="226"/>
      <c r="R2648" s="226"/>
      <c r="S2648" s="226"/>
      <c r="T2648" s="226"/>
      <c r="U2648" s="226"/>
    </row>
    <row r="2649" spans="16:21" x14ac:dyDescent="0.35">
      <c r="P2649" s="226"/>
      <c r="Q2649" s="226"/>
      <c r="R2649" s="226"/>
      <c r="S2649" s="226"/>
      <c r="T2649" s="226"/>
      <c r="U2649" s="226"/>
    </row>
    <row r="2650" spans="16:21" x14ac:dyDescent="0.35">
      <c r="P2650" s="226"/>
      <c r="Q2650" s="226"/>
      <c r="R2650" s="226"/>
      <c r="S2650" s="226"/>
      <c r="T2650" s="226"/>
      <c r="U2650" s="226"/>
    </row>
    <row r="2651" spans="16:21" x14ac:dyDescent="0.35">
      <c r="P2651" s="226"/>
      <c r="Q2651" s="226"/>
      <c r="R2651" s="226"/>
      <c r="S2651" s="226"/>
      <c r="T2651" s="226"/>
      <c r="U2651" s="226"/>
    </row>
    <row r="2652" spans="16:21" x14ac:dyDescent="0.35">
      <c r="P2652" s="226"/>
      <c r="Q2652" s="226"/>
      <c r="R2652" s="226"/>
      <c r="S2652" s="226"/>
      <c r="T2652" s="226"/>
      <c r="U2652" s="226"/>
    </row>
    <row r="2653" spans="16:21" x14ac:dyDescent="0.35">
      <c r="P2653" s="226"/>
      <c r="Q2653" s="226"/>
      <c r="R2653" s="226"/>
      <c r="S2653" s="226"/>
      <c r="T2653" s="226"/>
      <c r="U2653" s="226"/>
    </row>
    <row r="2654" spans="16:21" x14ac:dyDescent="0.35">
      <c r="P2654" s="226"/>
      <c r="Q2654" s="226"/>
      <c r="R2654" s="226"/>
      <c r="S2654" s="226"/>
      <c r="T2654" s="226"/>
      <c r="U2654" s="226"/>
    </row>
    <row r="2655" spans="16:21" x14ac:dyDescent="0.35">
      <c r="P2655" s="226"/>
      <c r="Q2655" s="226"/>
      <c r="R2655" s="226"/>
      <c r="S2655" s="226"/>
      <c r="T2655" s="226"/>
      <c r="U2655" s="226"/>
    </row>
    <row r="2656" spans="16:21" x14ac:dyDescent="0.35">
      <c r="P2656" s="226"/>
      <c r="Q2656" s="226"/>
      <c r="R2656" s="226"/>
      <c r="S2656" s="226"/>
      <c r="T2656" s="226"/>
      <c r="U2656" s="226"/>
    </row>
    <row r="2657" spans="16:21" x14ac:dyDescent="0.35">
      <c r="P2657" s="226"/>
      <c r="Q2657" s="226"/>
      <c r="R2657" s="226"/>
      <c r="S2657" s="226"/>
      <c r="T2657" s="226"/>
      <c r="U2657" s="226"/>
    </row>
    <row r="2658" spans="16:21" x14ac:dyDescent="0.35">
      <c r="P2658" s="226"/>
      <c r="Q2658" s="226"/>
      <c r="R2658" s="226"/>
      <c r="S2658" s="226"/>
      <c r="T2658" s="226"/>
      <c r="U2658" s="226"/>
    </row>
    <row r="2659" spans="16:21" x14ac:dyDescent="0.35">
      <c r="P2659" s="226"/>
      <c r="Q2659" s="226"/>
      <c r="R2659" s="226"/>
      <c r="S2659" s="226"/>
      <c r="T2659" s="226"/>
      <c r="U2659" s="226"/>
    </row>
    <row r="2660" spans="16:21" x14ac:dyDescent="0.35">
      <c r="P2660" s="226"/>
      <c r="Q2660" s="226"/>
      <c r="R2660" s="226"/>
      <c r="S2660" s="226"/>
      <c r="T2660" s="226"/>
      <c r="U2660" s="226"/>
    </row>
    <row r="2661" spans="16:21" x14ac:dyDescent="0.35">
      <c r="P2661" s="226"/>
      <c r="Q2661" s="226"/>
      <c r="R2661" s="226"/>
      <c r="S2661" s="226"/>
      <c r="T2661" s="226"/>
      <c r="U2661" s="226"/>
    </row>
    <row r="2662" spans="16:21" x14ac:dyDescent="0.35">
      <c r="P2662" s="226"/>
      <c r="Q2662" s="226"/>
      <c r="R2662" s="226"/>
      <c r="S2662" s="226"/>
      <c r="T2662" s="226"/>
      <c r="U2662" s="226"/>
    </row>
    <row r="2663" spans="16:21" x14ac:dyDescent="0.35">
      <c r="P2663" s="226"/>
      <c r="Q2663" s="226"/>
      <c r="R2663" s="226"/>
      <c r="S2663" s="226"/>
      <c r="T2663" s="226"/>
      <c r="U2663" s="226"/>
    </row>
    <row r="2664" spans="16:21" x14ac:dyDescent="0.35">
      <c r="P2664" s="226"/>
      <c r="Q2664" s="226"/>
      <c r="R2664" s="226"/>
      <c r="S2664" s="226"/>
      <c r="T2664" s="226"/>
      <c r="U2664" s="226"/>
    </row>
    <row r="2665" spans="16:21" x14ac:dyDescent="0.35">
      <c r="P2665" s="226"/>
      <c r="Q2665" s="226"/>
      <c r="R2665" s="226"/>
      <c r="S2665" s="226"/>
      <c r="T2665" s="226"/>
      <c r="U2665" s="226"/>
    </row>
    <row r="2666" spans="16:21" x14ac:dyDescent="0.35">
      <c r="P2666" s="226"/>
      <c r="Q2666" s="226"/>
      <c r="R2666" s="226"/>
      <c r="S2666" s="226"/>
      <c r="T2666" s="226"/>
      <c r="U2666" s="226"/>
    </row>
    <row r="2667" spans="16:21" x14ac:dyDescent="0.35">
      <c r="P2667" s="226"/>
      <c r="Q2667" s="226"/>
      <c r="R2667" s="226"/>
      <c r="S2667" s="226"/>
      <c r="T2667" s="226"/>
      <c r="U2667" s="226"/>
    </row>
    <row r="2668" spans="16:21" x14ac:dyDescent="0.35">
      <c r="P2668" s="226"/>
      <c r="Q2668" s="226"/>
      <c r="R2668" s="226"/>
      <c r="S2668" s="226"/>
      <c r="T2668" s="226"/>
      <c r="U2668" s="226"/>
    </row>
    <row r="2669" spans="16:21" x14ac:dyDescent="0.35">
      <c r="P2669" s="226"/>
      <c r="Q2669" s="226"/>
      <c r="R2669" s="226"/>
      <c r="S2669" s="226"/>
      <c r="T2669" s="226"/>
      <c r="U2669" s="226"/>
    </row>
    <row r="2670" spans="16:21" x14ac:dyDescent="0.35">
      <c r="P2670" s="226"/>
      <c r="Q2670" s="226"/>
      <c r="R2670" s="226"/>
      <c r="S2670" s="226"/>
      <c r="T2670" s="226"/>
      <c r="U2670" s="226"/>
    </row>
    <row r="2671" spans="16:21" x14ac:dyDescent="0.35">
      <c r="P2671" s="226"/>
      <c r="Q2671" s="226"/>
      <c r="R2671" s="226"/>
      <c r="S2671" s="226"/>
      <c r="T2671" s="226"/>
      <c r="U2671" s="226"/>
    </row>
    <row r="2672" spans="16:21" x14ac:dyDescent="0.35">
      <c r="P2672" s="226"/>
      <c r="Q2672" s="226"/>
      <c r="R2672" s="226"/>
      <c r="S2672" s="226"/>
      <c r="T2672" s="226"/>
      <c r="U2672" s="226"/>
    </row>
    <row r="2673" spans="16:21" x14ac:dyDescent="0.35">
      <c r="P2673" s="226"/>
      <c r="Q2673" s="226"/>
      <c r="R2673" s="226"/>
      <c r="S2673" s="226"/>
      <c r="T2673" s="226"/>
      <c r="U2673" s="226"/>
    </row>
    <row r="2674" spans="16:21" x14ac:dyDescent="0.35">
      <c r="P2674" s="226"/>
      <c r="Q2674" s="226"/>
      <c r="R2674" s="226"/>
      <c r="S2674" s="226"/>
      <c r="T2674" s="226"/>
      <c r="U2674" s="226"/>
    </row>
    <row r="2675" spans="16:21" x14ac:dyDescent="0.35">
      <c r="P2675" s="226"/>
      <c r="Q2675" s="226"/>
      <c r="R2675" s="226"/>
      <c r="S2675" s="226"/>
      <c r="T2675" s="226"/>
      <c r="U2675" s="226"/>
    </row>
    <row r="2676" spans="16:21" x14ac:dyDescent="0.35">
      <c r="P2676" s="226"/>
      <c r="Q2676" s="226"/>
      <c r="R2676" s="226"/>
      <c r="S2676" s="226"/>
      <c r="T2676" s="226"/>
      <c r="U2676" s="226"/>
    </row>
    <row r="2677" spans="16:21" x14ac:dyDescent="0.35">
      <c r="P2677" s="226"/>
      <c r="Q2677" s="226"/>
      <c r="R2677" s="226"/>
      <c r="S2677" s="226"/>
      <c r="T2677" s="226"/>
      <c r="U2677" s="226"/>
    </row>
    <row r="2678" spans="16:21" x14ac:dyDescent="0.35">
      <c r="P2678" s="226"/>
      <c r="Q2678" s="226"/>
      <c r="R2678" s="226"/>
      <c r="S2678" s="226"/>
      <c r="T2678" s="226"/>
      <c r="U2678" s="226"/>
    </row>
    <row r="2679" spans="16:21" x14ac:dyDescent="0.35">
      <c r="P2679" s="226"/>
      <c r="Q2679" s="226"/>
      <c r="R2679" s="226"/>
      <c r="S2679" s="226"/>
      <c r="T2679" s="226"/>
      <c r="U2679" s="226"/>
    </row>
    <row r="2680" spans="16:21" x14ac:dyDescent="0.35">
      <c r="P2680" s="226"/>
      <c r="Q2680" s="226"/>
      <c r="R2680" s="226"/>
      <c r="S2680" s="226"/>
      <c r="T2680" s="226"/>
      <c r="U2680" s="226"/>
    </row>
    <row r="2681" spans="16:21" x14ac:dyDescent="0.35">
      <c r="P2681" s="226"/>
      <c r="Q2681" s="226"/>
      <c r="R2681" s="226"/>
      <c r="S2681" s="226"/>
      <c r="T2681" s="226"/>
      <c r="U2681" s="226"/>
    </row>
    <row r="2682" spans="16:21" x14ac:dyDescent="0.35">
      <c r="P2682" s="226"/>
      <c r="Q2682" s="226"/>
      <c r="R2682" s="226"/>
      <c r="S2682" s="226"/>
      <c r="T2682" s="226"/>
      <c r="U2682" s="226"/>
    </row>
    <row r="2683" spans="16:21" x14ac:dyDescent="0.35">
      <c r="P2683" s="226"/>
      <c r="Q2683" s="226"/>
      <c r="R2683" s="226"/>
      <c r="S2683" s="226"/>
      <c r="T2683" s="226"/>
      <c r="U2683" s="226"/>
    </row>
    <row r="2684" spans="16:21" x14ac:dyDescent="0.35">
      <c r="P2684" s="226"/>
      <c r="Q2684" s="226"/>
      <c r="R2684" s="226"/>
      <c r="S2684" s="226"/>
      <c r="T2684" s="226"/>
      <c r="U2684" s="226"/>
    </row>
    <row r="2685" spans="16:21" x14ac:dyDescent="0.35">
      <c r="P2685" s="226"/>
      <c r="Q2685" s="226"/>
      <c r="R2685" s="226"/>
      <c r="S2685" s="226"/>
      <c r="T2685" s="226"/>
      <c r="U2685" s="226"/>
    </row>
    <row r="2686" spans="16:21" x14ac:dyDescent="0.35">
      <c r="P2686" s="226"/>
      <c r="Q2686" s="226"/>
      <c r="R2686" s="226"/>
      <c r="S2686" s="226"/>
      <c r="T2686" s="226"/>
      <c r="U2686" s="226"/>
    </row>
    <row r="2687" spans="16:21" x14ac:dyDescent="0.35">
      <c r="P2687" s="226"/>
      <c r="Q2687" s="226"/>
      <c r="R2687" s="226"/>
      <c r="S2687" s="226"/>
      <c r="T2687" s="226"/>
      <c r="U2687" s="226"/>
    </row>
    <row r="2688" spans="16:21" x14ac:dyDescent="0.35">
      <c r="P2688" s="226"/>
      <c r="Q2688" s="226"/>
      <c r="R2688" s="226"/>
      <c r="S2688" s="226"/>
      <c r="T2688" s="226"/>
      <c r="U2688" s="226"/>
    </row>
    <row r="2689" spans="16:21" x14ac:dyDescent="0.35">
      <c r="P2689" s="226"/>
      <c r="Q2689" s="226"/>
      <c r="R2689" s="226"/>
      <c r="S2689" s="226"/>
      <c r="T2689" s="226"/>
      <c r="U2689" s="226"/>
    </row>
    <row r="2690" spans="16:21" x14ac:dyDescent="0.35">
      <c r="P2690" s="226"/>
      <c r="Q2690" s="226"/>
      <c r="R2690" s="226"/>
      <c r="S2690" s="226"/>
      <c r="T2690" s="226"/>
      <c r="U2690" s="226"/>
    </row>
    <row r="2691" spans="16:21" x14ac:dyDescent="0.35">
      <c r="P2691" s="226"/>
      <c r="Q2691" s="226"/>
      <c r="R2691" s="226"/>
      <c r="S2691" s="226"/>
      <c r="T2691" s="226"/>
      <c r="U2691" s="226"/>
    </row>
    <row r="2692" spans="16:21" x14ac:dyDescent="0.35">
      <c r="P2692" s="226"/>
      <c r="Q2692" s="226"/>
      <c r="R2692" s="226"/>
      <c r="S2692" s="226"/>
      <c r="T2692" s="226"/>
      <c r="U2692" s="226"/>
    </row>
    <row r="2693" spans="16:21" x14ac:dyDescent="0.35">
      <c r="P2693" s="226"/>
      <c r="Q2693" s="226"/>
      <c r="R2693" s="226"/>
      <c r="S2693" s="226"/>
      <c r="T2693" s="226"/>
      <c r="U2693" s="226"/>
    </row>
    <row r="2694" spans="16:21" x14ac:dyDescent="0.35">
      <c r="P2694" s="226"/>
      <c r="Q2694" s="226"/>
      <c r="R2694" s="226"/>
      <c r="S2694" s="226"/>
      <c r="T2694" s="226"/>
      <c r="U2694" s="226"/>
    </row>
    <row r="2695" spans="16:21" x14ac:dyDescent="0.35">
      <c r="P2695" s="226"/>
      <c r="Q2695" s="226"/>
      <c r="R2695" s="226"/>
      <c r="S2695" s="226"/>
      <c r="T2695" s="226"/>
      <c r="U2695" s="226"/>
    </row>
    <row r="2696" spans="16:21" x14ac:dyDescent="0.35">
      <c r="P2696" s="226"/>
      <c r="Q2696" s="226"/>
      <c r="R2696" s="226"/>
      <c r="S2696" s="226"/>
      <c r="T2696" s="226"/>
      <c r="U2696" s="226"/>
    </row>
    <row r="2697" spans="16:21" x14ac:dyDescent="0.35">
      <c r="P2697" s="226"/>
      <c r="Q2697" s="226"/>
      <c r="R2697" s="226"/>
      <c r="S2697" s="226"/>
      <c r="T2697" s="226"/>
      <c r="U2697" s="226"/>
    </row>
    <row r="2698" spans="16:21" x14ac:dyDescent="0.35">
      <c r="P2698" s="226"/>
      <c r="Q2698" s="226"/>
      <c r="R2698" s="226"/>
      <c r="S2698" s="226"/>
      <c r="T2698" s="226"/>
      <c r="U2698" s="226"/>
    </row>
    <row r="2699" spans="16:21" x14ac:dyDescent="0.35">
      <c r="P2699" s="226"/>
      <c r="Q2699" s="226"/>
      <c r="R2699" s="226"/>
      <c r="S2699" s="226"/>
      <c r="T2699" s="226"/>
      <c r="U2699" s="226"/>
    </row>
    <row r="2700" spans="16:21" x14ac:dyDescent="0.35">
      <c r="P2700" s="226"/>
      <c r="Q2700" s="226"/>
      <c r="R2700" s="226"/>
      <c r="S2700" s="226"/>
      <c r="T2700" s="226"/>
      <c r="U2700" s="226"/>
    </row>
    <row r="2701" spans="16:21" x14ac:dyDescent="0.35">
      <c r="P2701" s="226"/>
      <c r="Q2701" s="226"/>
      <c r="R2701" s="226"/>
      <c r="S2701" s="226"/>
      <c r="T2701" s="226"/>
      <c r="U2701" s="226"/>
    </row>
    <row r="2702" spans="16:21" x14ac:dyDescent="0.35">
      <c r="P2702" s="226"/>
      <c r="Q2702" s="226"/>
      <c r="R2702" s="226"/>
      <c r="S2702" s="226"/>
      <c r="T2702" s="226"/>
      <c r="U2702" s="226"/>
    </row>
    <row r="2703" spans="16:21" x14ac:dyDescent="0.35">
      <c r="P2703" s="226"/>
      <c r="Q2703" s="226"/>
      <c r="R2703" s="226"/>
      <c r="S2703" s="226"/>
      <c r="T2703" s="226"/>
      <c r="U2703" s="226"/>
    </row>
    <row r="2704" spans="16:21" x14ac:dyDescent="0.35">
      <c r="P2704" s="226"/>
      <c r="Q2704" s="226"/>
      <c r="R2704" s="226"/>
      <c r="S2704" s="226"/>
      <c r="T2704" s="226"/>
      <c r="U2704" s="226"/>
    </row>
    <row r="2705" spans="16:21" x14ac:dyDescent="0.35">
      <c r="P2705" s="226"/>
      <c r="Q2705" s="226"/>
      <c r="R2705" s="226"/>
      <c r="S2705" s="226"/>
      <c r="T2705" s="226"/>
      <c r="U2705" s="226"/>
    </row>
    <row r="2706" spans="16:21" x14ac:dyDescent="0.35">
      <c r="P2706" s="226"/>
      <c r="Q2706" s="226"/>
      <c r="R2706" s="226"/>
      <c r="S2706" s="226"/>
      <c r="T2706" s="226"/>
      <c r="U2706" s="226"/>
    </row>
    <row r="2707" spans="16:21" x14ac:dyDescent="0.35">
      <c r="P2707" s="226"/>
      <c r="Q2707" s="226"/>
      <c r="R2707" s="226"/>
      <c r="S2707" s="226"/>
      <c r="T2707" s="226"/>
      <c r="U2707" s="226"/>
    </row>
    <row r="2708" spans="16:21" x14ac:dyDescent="0.35">
      <c r="P2708" s="226"/>
      <c r="Q2708" s="226"/>
      <c r="R2708" s="226"/>
      <c r="S2708" s="226"/>
      <c r="T2708" s="226"/>
      <c r="U2708" s="226"/>
    </row>
    <row r="2709" spans="16:21" x14ac:dyDescent="0.35">
      <c r="P2709" s="226"/>
      <c r="Q2709" s="226"/>
      <c r="R2709" s="226"/>
      <c r="S2709" s="226"/>
      <c r="T2709" s="226"/>
      <c r="U2709" s="226"/>
    </row>
    <row r="2710" spans="16:21" x14ac:dyDescent="0.35">
      <c r="P2710" s="226"/>
      <c r="Q2710" s="226"/>
      <c r="R2710" s="226"/>
      <c r="S2710" s="226"/>
      <c r="T2710" s="226"/>
      <c r="U2710" s="226"/>
    </row>
    <row r="2711" spans="16:21" x14ac:dyDescent="0.35">
      <c r="P2711" s="226"/>
      <c r="Q2711" s="226"/>
      <c r="R2711" s="226"/>
      <c r="S2711" s="226"/>
      <c r="T2711" s="226"/>
      <c r="U2711" s="226"/>
    </row>
    <row r="2712" spans="16:21" x14ac:dyDescent="0.35">
      <c r="P2712" s="226"/>
      <c r="Q2712" s="226"/>
      <c r="R2712" s="226"/>
      <c r="S2712" s="226"/>
      <c r="T2712" s="226"/>
      <c r="U2712" s="226"/>
    </row>
    <row r="2713" spans="16:21" x14ac:dyDescent="0.35">
      <c r="P2713" s="226"/>
      <c r="Q2713" s="226"/>
      <c r="R2713" s="226"/>
      <c r="S2713" s="226"/>
      <c r="T2713" s="226"/>
      <c r="U2713" s="226"/>
    </row>
    <row r="2714" spans="16:21" x14ac:dyDescent="0.35">
      <c r="P2714" s="226"/>
      <c r="Q2714" s="226"/>
      <c r="R2714" s="226"/>
      <c r="S2714" s="226"/>
      <c r="T2714" s="226"/>
      <c r="U2714" s="226"/>
    </row>
    <row r="2715" spans="16:21" x14ac:dyDescent="0.35">
      <c r="P2715" s="226"/>
      <c r="Q2715" s="226"/>
      <c r="R2715" s="226"/>
      <c r="S2715" s="226"/>
      <c r="T2715" s="226"/>
      <c r="U2715" s="226"/>
    </row>
    <row r="2716" spans="16:21" x14ac:dyDescent="0.35">
      <c r="P2716" s="226"/>
      <c r="Q2716" s="226"/>
      <c r="R2716" s="226"/>
      <c r="S2716" s="226"/>
      <c r="T2716" s="226"/>
      <c r="U2716" s="226"/>
    </row>
    <row r="2717" spans="16:21" x14ac:dyDescent="0.35">
      <c r="P2717" s="226"/>
      <c r="Q2717" s="226"/>
      <c r="R2717" s="226"/>
      <c r="S2717" s="226"/>
      <c r="T2717" s="226"/>
      <c r="U2717" s="226"/>
    </row>
    <row r="2718" spans="16:21" x14ac:dyDescent="0.35">
      <c r="P2718" s="226"/>
      <c r="Q2718" s="226"/>
      <c r="R2718" s="226"/>
      <c r="S2718" s="226"/>
      <c r="T2718" s="226"/>
      <c r="U2718" s="226"/>
    </row>
    <row r="2719" spans="16:21" x14ac:dyDescent="0.35">
      <c r="P2719" s="226"/>
      <c r="Q2719" s="226"/>
      <c r="R2719" s="226"/>
      <c r="S2719" s="226"/>
      <c r="T2719" s="226"/>
      <c r="U2719" s="226"/>
    </row>
    <row r="2720" spans="16:21" x14ac:dyDescent="0.35">
      <c r="P2720" s="226"/>
      <c r="Q2720" s="226"/>
      <c r="R2720" s="226"/>
      <c r="S2720" s="226"/>
      <c r="T2720" s="226"/>
      <c r="U2720" s="226"/>
    </row>
    <row r="2721" spans="16:21" x14ac:dyDescent="0.35">
      <c r="P2721" s="226"/>
      <c r="Q2721" s="226"/>
      <c r="R2721" s="226"/>
      <c r="S2721" s="226"/>
      <c r="T2721" s="226"/>
      <c r="U2721" s="226"/>
    </row>
    <row r="2722" spans="16:21" x14ac:dyDescent="0.35">
      <c r="P2722" s="226"/>
      <c r="Q2722" s="226"/>
      <c r="R2722" s="226"/>
      <c r="S2722" s="226"/>
      <c r="T2722" s="226"/>
      <c r="U2722" s="226"/>
    </row>
    <row r="2723" spans="16:21" x14ac:dyDescent="0.35">
      <c r="P2723" s="226"/>
      <c r="Q2723" s="226"/>
      <c r="R2723" s="226"/>
      <c r="S2723" s="226"/>
      <c r="T2723" s="226"/>
      <c r="U2723" s="226"/>
    </row>
    <row r="2724" spans="16:21" x14ac:dyDescent="0.35">
      <c r="P2724" s="226"/>
      <c r="Q2724" s="226"/>
      <c r="R2724" s="226"/>
      <c r="S2724" s="226"/>
      <c r="T2724" s="226"/>
      <c r="U2724" s="226"/>
    </row>
    <row r="2725" spans="16:21" x14ac:dyDescent="0.35">
      <c r="P2725" s="226"/>
      <c r="Q2725" s="226"/>
      <c r="R2725" s="226"/>
      <c r="S2725" s="226"/>
      <c r="T2725" s="226"/>
      <c r="U2725" s="226"/>
    </row>
    <row r="2726" spans="16:21" x14ac:dyDescent="0.35">
      <c r="P2726" s="226"/>
      <c r="Q2726" s="226"/>
      <c r="R2726" s="226"/>
      <c r="S2726" s="226"/>
      <c r="T2726" s="226"/>
      <c r="U2726" s="226"/>
    </row>
    <row r="2727" spans="16:21" x14ac:dyDescent="0.35">
      <c r="P2727" s="226"/>
      <c r="Q2727" s="226"/>
      <c r="R2727" s="226"/>
      <c r="S2727" s="226"/>
      <c r="T2727" s="226"/>
      <c r="U2727" s="226"/>
    </row>
    <row r="2728" spans="16:21" x14ac:dyDescent="0.35">
      <c r="P2728" s="226"/>
      <c r="Q2728" s="226"/>
      <c r="R2728" s="226"/>
      <c r="S2728" s="226"/>
      <c r="T2728" s="226"/>
      <c r="U2728" s="226"/>
    </row>
    <row r="2729" spans="16:21" x14ac:dyDescent="0.35">
      <c r="P2729" s="226"/>
      <c r="Q2729" s="226"/>
      <c r="R2729" s="226"/>
      <c r="S2729" s="226"/>
      <c r="T2729" s="226"/>
      <c r="U2729" s="226"/>
    </row>
    <row r="2730" spans="16:21" x14ac:dyDescent="0.35">
      <c r="P2730" s="226"/>
      <c r="Q2730" s="226"/>
      <c r="R2730" s="226"/>
      <c r="S2730" s="226"/>
      <c r="T2730" s="226"/>
      <c r="U2730" s="226"/>
    </row>
    <row r="2731" spans="16:21" x14ac:dyDescent="0.35">
      <c r="P2731" s="226"/>
      <c r="Q2731" s="226"/>
      <c r="R2731" s="226"/>
      <c r="S2731" s="226"/>
      <c r="T2731" s="226"/>
      <c r="U2731" s="226"/>
    </row>
    <row r="2732" spans="16:21" x14ac:dyDescent="0.35">
      <c r="P2732" s="226"/>
      <c r="Q2732" s="226"/>
      <c r="R2732" s="226"/>
      <c r="S2732" s="226"/>
      <c r="T2732" s="226"/>
      <c r="U2732" s="226"/>
    </row>
    <row r="2733" spans="16:21" x14ac:dyDescent="0.35">
      <c r="P2733" s="226"/>
      <c r="Q2733" s="226"/>
      <c r="R2733" s="226"/>
      <c r="S2733" s="226"/>
      <c r="T2733" s="226"/>
      <c r="U2733" s="226"/>
    </row>
    <row r="2734" spans="16:21" x14ac:dyDescent="0.35">
      <c r="P2734" s="226"/>
      <c r="Q2734" s="226"/>
      <c r="R2734" s="226"/>
      <c r="S2734" s="226"/>
      <c r="T2734" s="226"/>
      <c r="U2734" s="226"/>
    </row>
    <row r="2735" spans="16:21" x14ac:dyDescent="0.35">
      <c r="P2735" s="226"/>
      <c r="Q2735" s="226"/>
      <c r="R2735" s="226"/>
      <c r="S2735" s="226"/>
      <c r="T2735" s="226"/>
      <c r="U2735" s="226"/>
    </row>
    <row r="2736" spans="16:21" x14ac:dyDescent="0.35">
      <c r="P2736" s="226"/>
      <c r="Q2736" s="226"/>
      <c r="R2736" s="226"/>
      <c r="S2736" s="226"/>
      <c r="T2736" s="226"/>
      <c r="U2736" s="226"/>
    </row>
    <row r="2737" spans="16:21" x14ac:dyDescent="0.35">
      <c r="P2737" s="226"/>
      <c r="Q2737" s="226"/>
      <c r="R2737" s="226"/>
      <c r="S2737" s="226"/>
      <c r="T2737" s="226"/>
      <c r="U2737" s="226"/>
    </row>
    <row r="2738" spans="16:21" x14ac:dyDescent="0.35">
      <c r="P2738" s="226"/>
      <c r="Q2738" s="226"/>
      <c r="R2738" s="226"/>
      <c r="S2738" s="226"/>
      <c r="T2738" s="226"/>
      <c r="U2738" s="226"/>
    </row>
    <row r="2739" spans="16:21" x14ac:dyDescent="0.35">
      <c r="P2739" s="226"/>
      <c r="Q2739" s="226"/>
      <c r="R2739" s="226"/>
      <c r="S2739" s="226"/>
      <c r="T2739" s="226"/>
      <c r="U2739" s="226"/>
    </row>
    <row r="2740" spans="16:21" x14ac:dyDescent="0.35">
      <c r="P2740" s="226"/>
      <c r="Q2740" s="226"/>
      <c r="R2740" s="226"/>
      <c r="S2740" s="226"/>
      <c r="T2740" s="226"/>
      <c r="U2740" s="226"/>
    </row>
    <row r="2741" spans="16:21" x14ac:dyDescent="0.35">
      <c r="P2741" s="226"/>
      <c r="Q2741" s="226"/>
      <c r="R2741" s="226"/>
      <c r="S2741" s="226"/>
      <c r="T2741" s="226"/>
      <c r="U2741" s="226"/>
    </row>
    <row r="2742" spans="16:21" x14ac:dyDescent="0.35">
      <c r="P2742" s="226"/>
      <c r="Q2742" s="226"/>
      <c r="R2742" s="226"/>
      <c r="S2742" s="226"/>
      <c r="T2742" s="226"/>
      <c r="U2742" s="226"/>
    </row>
    <row r="2743" spans="16:21" x14ac:dyDescent="0.35">
      <c r="P2743" s="226"/>
      <c r="Q2743" s="226"/>
      <c r="R2743" s="226"/>
      <c r="S2743" s="226"/>
      <c r="T2743" s="226"/>
      <c r="U2743" s="226"/>
    </row>
    <row r="2744" spans="16:21" x14ac:dyDescent="0.35">
      <c r="P2744" s="226"/>
      <c r="Q2744" s="226"/>
      <c r="R2744" s="226"/>
      <c r="S2744" s="226"/>
      <c r="T2744" s="226"/>
      <c r="U2744" s="226"/>
    </row>
    <row r="2745" spans="16:21" x14ac:dyDescent="0.35">
      <c r="P2745" s="226"/>
      <c r="Q2745" s="226"/>
      <c r="R2745" s="226"/>
      <c r="S2745" s="226"/>
      <c r="T2745" s="226"/>
      <c r="U2745" s="226"/>
    </row>
    <row r="2746" spans="16:21" x14ac:dyDescent="0.35">
      <c r="P2746" s="226"/>
      <c r="Q2746" s="226"/>
      <c r="R2746" s="226"/>
      <c r="S2746" s="226"/>
      <c r="T2746" s="226"/>
      <c r="U2746" s="226"/>
    </row>
    <row r="2747" spans="16:21" x14ac:dyDescent="0.35">
      <c r="P2747" s="226"/>
      <c r="Q2747" s="226"/>
      <c r="R2747" s="226"/>
      <c r="S2747" s="226"/>
      <c r="T2747" s="226"/>
      <c r="U2747" s="226"/>
    </row>
    <row r="2748" spans="16:21" x14ac:dyDescent="0.35">
      <c r="P2748" s="226"/>
      <c r="Q2748" s="226"/>
      <c r="R2748" s="226"/>
      <c r="S2748" s="226"/>
      <c r="T2748" s="226"/>
      <c r="U2748" s="226"/>
    </row>
    <row r="2749" spans="16:21" x14ac:dyDescent="0.35">
      <c r="P2749" s="226"/>
      <c r="Q2749" s="226"/>
      <c r="R2749" s="226"/>
      <c r="S2749" s="226"/>
      <c r="T2749" s="226"/>
      <c r="U2749" s="226"/>
    </row>
    <row r="2750" spans="16:21" x14ac:dyDescent="0.35">
      <c r="P2750" s="226"/>
      <c r="Q2750" s="226"/>
      <c r="R2750" s="226"/>
      <c r="S2750" s="226"/>
      <c r="T2750" s="226"/>
      <c r="U2750" s="226"/>
    </row>
    <row r="2751" spans="16:21" x14ac:dyDescent="0.35">
      <c r="P2751" s="226"/>
      <c r="Q2751" s="226"/>
      <c r="R2751" s="226"/>
      <c r="S2751" s="226"/>
      <c r="T2751" s="226"/>
      <c r="U2751" s="226"/>
    </row>
    <row r="2752" spans="16:21" x14ac:dyDescent="0.35">
      <c r="P2752" s="226"/>
      <c r="Q2752" s="226"/>
      <c r="R2752" s="226"/>
      <c r="S2752" s="226"/>
      <c r="T2752" s="226"/>
      <c r="U2752" s="226"/>
    </row>
    <row r="2753" spans="16:21" x14ac:dyDescent="0.35">
      <c r="P2753" s="226"/>
      <c r="Q2753" s="226"/>
      <c r="R2753" s="226"/>
      <c r="S2753" s="226"/>
      <c r="T2753" s="226"/>
      <c r="U2753" s="226"/>
    </row>
    <row r="2754" spans="16:21" x14ac:dyDescent="0.35">
      <c r="P2754" s="226"/>
      <c r="Q2754" s="226"/>
      <c r="R2754" s="226"/>
      <c r="S2754" s="226"/>
      <c r="T2754" s="226"/>
      <c r="U2754" s="226"/>
    </row>
    <row r="2755" spans="16:21" x14ac:dyDescent="0.35">
      <c r="P2755" s="226"/>
      <c r="Q2755" s="226"/>
      <c r="R2755" s="226"/>
      <c r="S2755" s="226"/>
      <c r="T2755" s="226"/>
      <c r="U2755" s="226"/>
    </row>
    <row r="2756" spans="16:21" x14ac:dyDescent="0.35">
      <c r="P2756" s="226"/>
      <c r="Q2756" s="226"/>
      <c r="R2756" s="226"/>
      <c r="S2756" s="226"/>
      <c r="T2756" s="226"/>
      <c r="U2756" s="226"/>
    </row>
    <row r="2757" spans="16:21" x14ac:dyDescent="0.35">
      <c r="P2757" s="226"/>
      <c r="Q2757" s="226"/>
      <c r="R2757" s="226"/>
      <c r="S2757" s="226"/>
      <c r="T2757" s="226"/>
      <c r="U2757" s="226"/>
    </row>
    <row r="2758" spans="16:21" x14ac:dyDescent="0.35">
      <c r="P2758" s="226"/>
      <c r="Q2758" s="226"/>
      <c r="R2758" s="226"/>
      <c r="S2758" s="226"/>
      <c r="T2758" s="226"/>
      <c r="U2758" s="226"/>
    </row>
    <row r="2759" spans="16:21" x14ac:dyDescent="0.35">
      <c r="P2759" s="226"/>
      <c r="Q2759" s="226"/>
      <c r="R2759" s="226"/>
      <c r="S2759" s="226"/>
      <c r="T2759" s="226"/>
      <c r="U2759" s="226"/>
    </row>
    <row r="2760" spans="16:21" x14ac:dyDescent="0.35">
      <c r="P2760" s="226"/>
      <c r="Q2760" s="226"/>
      <c r="R2760" s="226"/>
      <c r="S2760" s="226"/>
      <c r="T2760" s="226"/>
      <c r="U2760" s="226"/>
    </row>
    <row r="2761" spans="16:21" x14ac:dyDescent="0.35">
      <c r="P2761" s="226"/>
      <c r="Q2761" s="226"/>
      <c r="R2761" s="226"/>
      <c r="S2761" s="226"/>
      <c r="T2761" s="226"/>
      <c r="U2761" s="226"/>
    </row>
    <row r="2762" spans="16:21" x14ac:dyDescent="0.35">
      <c r="P2762" s="226"/>
      <c r="Q2762" s="226"/>
      <c r="R2762" s="226"/>
      <c r="S2762" s="226"/>
      <c r="T2762" s="226"/>
      <c r="U2762" s="226"/>
    </row>
    <row r="2763" spans="16:21" x14ac:dyDescent="0.35">
      <c r="P2763" s="226"/>
      <c r="Q2763" s="226"/>
      <c r="R2763" s="226"/>
      <c r="S2763" s="226"/>
      <c r="T2763" s="226"/>
      <c r="U2763" s="226"/>
    </row>
    <row r="2764" spans="16:21" x14ac:dyDescent="0.35">
      <c r="P2764" s="226"/>
      <c r="Q2764" s="226"/>
      <c r="R2764" s="226"/>
      <c r="S2764" s="226"/>
      <c r="T2764" s="226"/>
      <c r="U2764" s="226"/>
    </row>
    <row r="2765" spans="16:21" x14ac:dyDescent="0.35">
      <c r="P2765" s="226"/>
      <c r="Q2765" s="226"/>
      <c r="R2765" s="226"/>
      <c r="S2765" s="226"/>
      <c r="T2765" s="226"/>
      <c r="U2765" s="226"/>
    </row>
    <row r="2766" spans="16:21" x14ac:dyDescent="0.35">
      <c r="P2766" s="226"/>
      <c r="Q2766" s="226"/>
      <c r="R2766" s="226"/>
      <c r="S2766" s="226"/>
      <c r="T2766" s="226"/>
      <c r="U2766" s="226"/>
    </row>
    <row r="2767" spans="16:21" x14ac:dyDescent="0.35">
      <c r="P2767" s="226"/>
      <c r="Q2767" s="226"/>
      <c r="R2767" s="226"/>
      <c r="S2767" s="226"/>
      <c r="T2767" s="226"/>
      <c r="U2767" s="226"/>
    </row>
    <row r="2768" spans="16:21" x14ac:dyDescent="0.35">
      <c r="P2768" s="226"/>
      <c r="Q2768" s="226"/>
      <c r="R2768" s="226"/>
      <c r="S2768" s="226"/>
      <c r="T2768" s="226"/>
      <c r="U2768" s="226"/>
    </row>
    <row r="2769" spans="16:21" x14ac:dyDescent="0.35">
      <c r="P2769" s="226"/>
      <c r="Q2769" s="226"/>
      <c r="R2769" s="226"/>
      <c r="S2769" s="226"/>
      <c r="T2769" s="226"/>
      <c r="U2769" s="226"/>
    </row>
    <row r="2770" spans="16:21" x14ac:dyDescent="0.35">
      <c r="P2770" s="226"/>
      <c r="Q2770" s="226"/>
      <c r="R2770" s="226"/>
      <c r="S2770" s="226"/>
      <c r="T2770" s="226"/>
      <c r="U2770" s="226"/>
    </row>
    <row r="2771" spans="16:21" x14ac:dyDescent="0.35">
      <c r="P2771" s="226"/>
      <c r="Q2771" s="226"/>
      <c r="R2771" s="226"/>
      <c r="S2771" s="226"/>
      <c r="T2771" s="226"/>
      <c r="U2771" s="226"/>
    </row>
    <row r="2772" spans="16:21" x14ac:dyDescent="0.35">
      <c r="P2772" s="226"/>
      <c r="Q2772" s="226"/>
      <c r="R2772" s="226"/>
      <c r="S2772" s="226"/>
      <c r="T2772" s="226"/>
      <c r="U2772" s="226"/>
    </row>
    <row r="2773" spans="16:21" x14ac:dyDescent="0.35">
      <c r="P2773" s="226"/>
      <c r="Q2773" s="226"/>
      <c r="R2773" s="226"/>
      <c r="S2773" s="226"/>
      <c r="T2773" s="226"/>
      <c r="U2773" s="226"/>
    </row>
    <row r="2774" spans="16:21" x14ac:dyDescent="0.35">
      <c r="P2774" s="226"/>
      <c r="Q2774" s="226"/>
      <c r="R2774" s="226"/>
      <c r="S2774" s="226"/>
      <c r="T2774" s="226"/>
      <c r="U2774" s="226"/>
    </row>
    <row r="2775" spans="16:21" x14ac:dyDescent="0.35">
      <c r="P2775" s="226"/>
      <c r="Q2775" s="226"/>
      <c r="R2775" s="226"/>
      <c r="S2775" s="226"/>
      <c r="T2775" s="226"/>
      <c r="U2775" s="226"/>
    </row>
    <row r="2776" spans="16:21" x14ac:dyDescent="0.35">
      <c r="P2776" s="226"/>
      <c r="Q2776" s="226"/>
      <c r="R2776" s="226"/>
      <c r="S2776" s="226"/>
      <c r="T2776" s="226"/>
      <c r="U2776" s="226"/>
    </row>
    <row r="2777" spans="16:21" x14ac:dyDescent="0.35">
      <c r="P2777" s="226"/>
      <c r="Q2777" s="226"/>
      <c r="R2777" s="226"/>
      <c r="S2777" s="226"/>
      <c r="T2777" s="226"/>
      <c r="U2777" s="226"/>
    </row>
    <row r="2778" spans="16:21" x14ac:dyDescent="0.35">
      <c r="P2778" s="226"/>
      <c r="Q2778" s="226"/>
      <c r="R2778" s="226"/>
      <c r="S2778" s="226"/>
      <c r="T2778" s="226"/>
      <c r="U2778" s="226"/>
    </row>
    <row r="2779" spans="16:21" x14ac:dyDescent="0.35">
      <c r="P2779" s="226"/>
      <c r="Q2779" s="226"/>
      <c r="R2779" s="226"/>
      <c r="S2779" s="226"/>
      <c r="T2779" s="226"/>
      <c r="U2779" s="226"/>
    </row>
    <row r="2780" spans="16:21" x14ac:dyDescent="0.35">
      <c r="P2780" s="226"/>
      <c r="Q2780" s="226"/>
      <c r="R2780" s="226"/>
      <c r="S2780" s="226"/>
      <c r="T2780" s="226"/>
      <c r="U2780" s="226"/>
    </row>
    <row r="2781" spans="16:21" x14ac:dyDescent="0.35">
      <c r="P2781" s="226"/>
      <c r="Q2781" s="226"/>
      <c r="R2781" s="226"/>
      <c r="S2781" s="226"/>
      <c r="T2781" s="226"/>
      <c r="U2781" s="226"/>
    </row>
    <row r="2782" spans="16:21" x14ac:dyDescent="0.35">
      <c r="P2782" s="226"/>
      <c r="Q2782" s="226"/>
      <c r="R2782" s="226"/>
      <c r="S2782" s="226"/>
      <c r="T2782" s="226"/>
      <c r="U2782" s="226"/>
    </row>
    <row r="2783" spans="16:21" x14ac:dyDescent="0.35">
      <c r="P2783" s="226"/>
      <c r="Q2783" s="226"/>
      <c r="R2783" s="226"/>
      <c r="S2783" s="226"/>
      <c r="T2783" s="226"/>
      <c r="U2783" s="226"/>
    </row>
    <row r="2784" spans="16:21" x14ac:dyDescent="0.35">
      <c r="P2784" s="226"/>
      <c r="Q2784" s="226"/>
      <c r="R2784" s="226"/>
      <c r="S2784" s="226"/>
      <c r="T2784" s="226"/>
      <c r="U2784" s="226"/>
    </row>
    <row r="2785" spans="16:21" x14ac:dyDescent="0.35">
      <c r="P2785" s="226"/>
      <c r="Q2785" s="226"/>
      <c r="R2785" s="226"/>
      <c r="S2785" s="226"/>
      <c r="T2785" s="226"/>
      <c r="U2785" s="226"/>
    </row>
    <row r="2786" spans="16:21" x14ac:dyDescent="0.35">
      <c r="P2786" s="226"/>
      <c r="Q2786" s="226"/>
      <c r="R2786" s="226"/>
      <c r="S2786" s="226"/>
      <c r="T2786" s="226"/>
      <c r="U2786" s="226"/>
    </row>
    <row r="2787" spans="16:21" x14ac:dyDescent="0.35">
      <c r="P2787" s="226"/>
      <c r="Q2787" s="226"/>
      <c r="R2787" s="226"/>
      <c r="S2787" s="226"/>
      <c r="T2787" s="226"/>
      <c r="U2787" s="226"/>
    </row>
    <row r="2788" spans="16:21" x14ac:dyDescent="0.35">
      <c r="P2788" s="226"/>
      <c r="Q2788" s="226"/>
      <c r="R2788" s="226"/>
      <c r="S2788" s="226"/>
      <c r="T2788" s="226"/>
      <c r="U2788" s="226"/>
    </row>
    <row r="2789" spans="16:21" x14ac:dyDescent="0.35">
      <c r="P2789" s="226"/>
      <c r="Q2789" s="226"/>
      <c r="R2789" s="226"/>
      <c r="S2789" s="226"/>
      <c r="T2789" s="226"/>
      <c r="U2789" s="226"/>
    </row>
    <row r="2790" spans="16:21" x14ac:dyDescent="0.35">
      <c r="P2790" s="226"/>
      <c r="Q2790" s="226"/>
      <c r="R2790" s="226"/>
      <c r="S2790" s="226"/>
      <c r="T2790" s="226"/>
      <c r="U2790" s="226"/>
    </row>
    <row r="2791" spans="16:21" x14ac:dyDescent="0.35">
      <c r="P2791" s="226"/>
      <c r="Q2791" s="226"/>
      <c r="R2791" s="226"/>
      <c r="S2791" s="226"/>
      <c r="T2791" s="226"/>
      <c r="U2791" s="226"/>
    </row>
    <row r="2792" spans="16:21" x14ac:dyDescent="0.35">
      <c r="P2792" s="226"/>
      <c r="Q2792" s="226"/>
      <c r="R2792" s="226"/>
      <c r="S2792" s="226"/>
      <c r="T2792" s="226"/>
      <c r="U2792" s="226"/>
    </row>
    <row r="2793" spans="16:21" x14ac:dyDescent="0.35">
      <c r="P2793" s="226"/>
      <c r="Q2793" s="226"/>
      <c r="R2793" s="226"/>
      <c r="S2793" s="226"/>
      <c r="T2793" s="226"/>
      <c r="U2793" s="226"/>
    </row>
    <row r="2794" spans="16:21" x14ac:dyDescent="0.35">
      <c r="P2794" s="226"/>
      <c r="Q2794" s="226"/>
      <c r="R2794" s="226"/>
      <c r="S2794" s="226"/>
      <c r="T2794" s="226"/>
      <c r="U2794" s="226"/>
    </row>
    <row r="2795" spans="16:21" x14ac:dyDescent="0.35">
      <c r="P2795" s="226"/>
      <c r="Q2795" s="226"/>
      <c r="R2795" s="226"/>
      <c r="S2795" s="226"/>
      <c r="T2795" s="226"/>
      <c r="U2795" s="226"/>
    </row>
    <row r="2796" spans="16:21" x14ac:dyDescent="0.35">
      <c r="P2796" s="226"/>
      <c r="Q2796" s="226"/>
      <c r="R2796" s="226"/>
      <c r="S2796" s="226"/>
      <c r="T2796" s="226"/>
      <c r="U2796" s="226"/>
    </row>
    <row r="2797" spans="16:21" x14ac:dyDescent="0.35">
      <c r="P2797" s="226"/>
      <c r="Q2797" s="226"/>
      <c r="R2797" s="226"/>
      <c r="S2797" s="226"/>
      <c r="T2797" s="226"/>
      <c r="U2797" s="226"/>
    </row>
    <row r="2798" spans="16:21" x14ac:dyDescent="0.35">
      <c r="P2798" s="226"/>
      <c r="Q2798" s="226"/>
      <c r="R2798" s="226"/>
      <c r="S2798" s="226"/>
      <c r="T2798" s="226"/>
      <c r="U2798" s="226"/>
    </row>
    <row r="2799" spans="16:21" x14ac:dyDescent="0.35">
      <c r="P2799" s="226"/>
      <c r="Q2799" s="226"/>
      <c r="R2799" s="226"/>
      <c r="S2799" s="226"/>
      <c r="T2799" s="226"/>
      <c r="U2799" s="226"/>
    </row>
    <row r="2800" spans="16:21" x14ac:dyDescent="0.35">
      <c r="P2800" s="226"/>
      <c r="Q2800" s="226"/>
      <c r="R2800" s="226"/>
      <c r="S2800" s="226"/>
      <c r="T2800" s="226"/>
      <c r="U2800" s="226"/>
    </row>
    <row r="2801" spans="16:21" x14ac:dyDescent="0.35">
      <c r="P2801" s="226"/>
      <c r="Q2801" s="226"/>
      <c r="R2801" s="226"/>
      <c r="S2801" s="226"/>
      <c r="T2801" s="226"/>
      <c r="U2801" s="226"/>
    </row>
    <row r="2802" spans="16:21" x14ac:dyDescent="0.35">
      <c r="P2802" s="226"/>
      <c r="Q2802" s="226"/>
      <c r="R2802" s="226"/>
      <c r="S2802" s="226"/>
      <c r="T2802" s="226"/>
      <c r="U2802" s="226"/>
    </row>
    <row r="2803" spans="16:21" x14ac:dyDescent="0.35">
      <c r="P2803" s="226"/>
      <c r="Q2803" s="226"/>
      <c r="R2803" s="226"/>
      <c r="S2803" s="226"/>
      <c r="T2803" s="226"/>
      <c r="U2803" s="226"/>
    </row>
    <row r="2804" spans="16:21" x14ac:dyDescent="0.35">
      <c r="P2804" s="226"/>
      <c r="Q2804" s="226"/>
      <c r="R2804" s="226"/>
      <c r="S2804" s="226"/>
      <c r="T2804" s="226"/>
      <c r="U2804" s="226"/>
    </row>
    <row r="2805" spans="16:21" x14ac:dyDescent="0.35">
      <c r="P2805" s="226"/>
      <c r="Q2805" s="226"/>
      <c r="R2805" s="226"/>
      <c r="S2805" s="226"/>
      <c r="T2805" s="226"/>
      <c r="U2805" s="226"/>
    </row>
    <row r="2806" spans="16:21" x14ac:dyDescent="0.35">
      <c r="P2806" s="226"/>
      <c r="Q2806" s="226"/>
      <c r="R2806" s="226"/>
      <c r="S2806" s="226"/>
      <c r="T2806" s="226"/>
      <c r="U2806" s="226"/>
    </row>
    <row r="2807" spans="16:21" x14ac:dyDescent="0.35">
      <c r="P2807" s="226"/>
      <c r="Q2807" s="226"/>
      <c r="R2807" s="226"/>
      <c r="S2807" s="226"/>
      <c r="T2807" s="226"/>
      <c r="U2807" s="226"/>
    </row>
    <row r="2808" spans="16:21" x14ac:dyDescent="0.35">
      <c r="P2808" s="226"/>
      <c r="Q2808" s="226"/>
      <c r="R2808" s="226"/>
      <c r="S2808" s="226"/>
      <c r="T2808" s="226"/>
      <c r="U2808" s="226"/>
    </row>
    <row r="2809" spans="16:21" x14ac:dyDescent="0.35">
      <c r="P2809" s="226"/>
      <c r="Q2809" s="226"/>
      <c r="R2809" s="226"/>
      <c r="S2809" s="226"/>
      <c r="T2809" s="226"/>
      <c r="U2809" s="226"/>
    </row>
    <row r="2810" spans="16:21" x14ac:dyDescent="0.35">
      <c r="P2810" s="226"/>
      <c r="Q2810" s="226"/>
      <c r="R2810" s="226"/>
      <c r="S2810" s="226"/>
      <c r="T2810" s="226"/>
      <c r="U2810" s="226"/>
    </row>
    <row r="2811" spans="16:21" x14ac:dyDescent="0.35">
      <c r="P2811" s="226"/>
      <c r="Q2811" s="226"/>
      <c r="R2811" s="226"/>
      <c r="S2811" s="226"/>
      <c r="T2811" s="226"/>
      <c r="U2811" s="226"/>
    </row>
    <row r="2812" spans="16:21" x14ac:dyDescent="0.35">
      <c r="P2812" s="226"/>
      <c r="Q2812" s="226"/>
      <c r="R2812" s="226"/>
      <c r="S2812" s="226"/>
      <c r="T2812" s="226"/>
      <c r="U2812" s="226"/>
    </row>
    <row r="2813" spans="16:21" x14ac:dyDescent="0.35">
      <c r="P2813" s="226"/>
      <c r="Q2813" s="226"/>
      <c r="R2813" s="226"/>
      <c r="S2813" s="226"/>
      <c r="T2813" s="226"/>
      <c r="U2813" s="226"/>
    </row>
    <row r="2814" spans="16:21" x14ac:dyDescent="0.35">
      <c r="P2814" s="226"/>
      <c r="Q2814" s="226"/>
      <c r="R2814" s="226"/>
      <c r="S2814" s="226"/>
      <c r="T2814" s="226"/>
      <c r="U2814" s="226"/>
    </row>
    <row r="2815" spans="16:21" x14ac:dyDescent="0.35">
      <c r="P2815" s="226"/>
      <c r="Q2815" s="226"/>
      <c r="R2815" s="226"/>
      <c r="S2815" s="226"/>
      <c r="T2815" s="226"/>
      <c r="U2815" s="226"/>
    </row>
    <row r="2816" spans="16:21" x14ac:dyDescent="0.35">
      <c r="P2816" s="226"/>
      <c r="Q2816" s="226"/>
      <c r="R2816" s="226"/>
      <c r="S2816" s="226"/>
      <c r="T2816" s="226"/>
      <c r="U2816" s="226"/>
    </row>
    <row r="2817" spans="16:21" x14ac:dyDescent="0.35">
      <c r="P2817" s="226"/>
      <c r="Q2817" s="226"/>
      <c r="R2817" s="226"/>
      <c r="S2817" s="226"/>
      <c r="T2817" s="226"/>
      <c r="U2817" s="226"/>
    </row>
    <row r="2818" spans="16:21" x14ac:dyDescent="0.35">
      <c r="P2818" s="226"/>
      <c r="Q2818" s="226"/>
      <c r="R2818" s="226"/>
      <c r="S2818" s="226"/>
      <c r="T2818" s="226"/>
      <c r="U2818" s="226"/>
    </row>
    <row r="2819" spans="16:21" x14ac:dyDescent="0.35">
      <c r="P2819" s="226"/>
      <c r="Q2819" s="226"/>
      <c r="R2819" s="226"/>
      <c r="S2819" s="226"/>
      <c r="T2819" s="226"/>
      <c r="U2819" s="226"/>
    </row>
    <row r="2820" spans="16:21" x14ac:dyDescent="0.35">
      <c r="P2820" s="226"/>
      <c r="Q2820" s="226"/>
      <c r="R2820" s="226"/>
      <c r="S2820" s="226"/>
      <c r="T2820" s="226"/>
      <c r="U2820" s="226"/>
    </row>
    <row r="2821" spans="16:21" x14ac:dyDescent="0.35">
      <c r="P2821" s="226"/>
      <c r="Q2821" s="226"/>
      <c r="R2821" s="226"/>
      <c r="S2821" s="226"/>
      <c r="T2821" s="226"/>
      <c r="U2821" s="226"/>
    </row>
    <row r="2822" spans="16:21" x14ac:dyDescent="0.35">
      <c r="P2822" s="226"/>
      <c r="Q2822" s="226"/>
      <c r="R2822" s="226"/>
      <c r="S2822" s="226"/>
      <c r="T2822" s="226"/>
      <c r="U2822" s="226"/>
    </row>
    <row r="2823" spans="16:21" x14ac:dyDescent="0.35">
      <c r="P2823" s="226"/>
      <c r="Q2823" s="226"/>
      <c r="R2823" s="226"/>
      <c r="S2823" s="226"/>
      <c r="T2823" s="226"/>
      <c r="U2823" s="226"/>
    </row>
    <row r="2824" spans="16:21" x14ac:dyDescent="0.35">
      <c r="P2824" s="226"/>
      <c r="Q2824" s="226"/>
      <c r="R2824" s="226"/>
      <c r="S2824" s="226"/>
      <c r="T2824" s="226"/>
      <c r="U2824" s="226"/>
    </row>
    <row r="2825" spans="16:21" x14ac:dyDescent="0.35">
      <c r="P2825" s="226"/>
      <c r="Q2825" s="226"/>
      <c r="R2825" s="226"/>
      <c r="S2825" s="226"/>
      <c r="T2825" s="226"/>
      <c r="U2825" s="226"/>
    </row>
    <row r="2826" spans="16:21" x14ac:dyDescent="0.35">
      <c r="P2826" s="226"/>
      <c r="Q2826" s="226"/>
      <c r="R2826" s="226"/>
      <c r="S2826" s="226"/>
      <c r="T2826" s="226"/>
      <c r="U2826" s="226"/>
    </row>
    <row r="2827" spans="16:21" x14ac:dyDescent="0.35">
      <c r="P2827" s="226"/>
      <c r="Q2827" s="226"/>
      <c r="R2827" s="226"/>
      <c r="S2827" s="226"/>
      <c r="T2827" s="226"/>
      <c r="U2827" s="226"/>
    </row>
    <row r="2828" spans="16:21" x14ac:dyDescent="0.35">
      <c r="P2828" s="226"/>
      <c r="Q2828" s="226"/>
      <c r="R2828" s="226"/>
      <c r="S2828" s="226"/>
      <c r="T2828" s="226"/>
      <c r="U2828" s="226"/>
    </row>
    <row r="2829" spans="16:21" x14ac:dyDescent="0.35">
      <c r="P2829" s="226"/>
      <c r="Q2829" s="226"/>
      <c r="R2829" s="226"/>
      <c r="S2829" s="226"/>
      <c r="T2829" s="226"/>
      <c r="U2829" s="226"/>
    </row>
    <row r="2830" spans="16:21" x14ac:dyDescent="0.35">
      <c r="P2830" s="226"/>
      <c r="Q2830" s="226"/>
      <c r="R2830" s="226"/>
      <c r="S2830" s="226"/>
      <c r="T2830" s="226"/>
      <c r="U2830" s="226"/>
    </row>
    <row r="2831" spans="16:21" x14ac:dyDescent="0.35">
      <c r="P2831" s="226"/>
      <c r="Q2831" s="226"/>
      <c r="R2831" s="226"/>
      <c r="S2831" s="226"/>
      <c r="T2831" s="226"/>
      <c r="U2831" s="226"/>
    </row>
    <row r="2832" spans="16:21" x14ac:dyDescent="0.35">
      <c r="P2832" s="226"/>
      <c r="Q2832" s="226"/>
      <c r="R2832" s="226"/>
      <c r="S2832" s="226"/>
      <c r="T2832" s="226"/>
      <c r="U2832" s="226"/>
    </row>
    <row r="2833" spans="16:21" x14ac:dyDescent="0.35">
      <c r="P2833" s="226"/>
      <c r="Q2833" s="226"/>
      <c r="R2833" s="226"/>
      <c r="S2833" s="226"/>
      <c r="T2833" s="226"/>
      <c r="U2833" s="226"/>
    </row>
    <row r="2834" spans="16:21" x14ac:dyDescent="0.35">
      <c r="P2834" s="226"/>
      <c r="Q2834" s="226"/>
      <c r="R2834" s="226"/>
      <c r="S2834" s="226"/>
      <c r="T2834" s="226"/>
      <c r="U2834" s="226"/>
    </row>
    <row r="2835" spans="16:21" x14ac:dyDescent="0.35">
      <c r="P2835" s="226"/>
      <c r="Q2835" s="226"/>
      <c r="R2835" s="226"/>
      <c r="S2835" s="226"/>
      <c r="T2835" s="226"/>
      <c r="U2835" s="226"/>
    </row>
    <row r="2836" spans="16:21" x14ac:dyDescent="0.35">
      <c r="P2836" s="226"/>
      <c r="Q2836" s="226"/>
      <c r="R2836" s="226"/>
      <c r="S2836" s="226"/>
      <c r="T2836" s="226"/>
      <c r="U2836" s="226"/>
    </row>
    <row r="2837" spans="16:21" x14ac:dyDescent="0.35">
      <c r="P2837" s="226"/>
      <c r="Q2837" s="226"/>
      <c r="R2837" s="226"/>
      <c r="S2837" s="226"/>
      <c r="T2837" s="226"/>
      <c r="U2837" s="226"/>
    </row>
    <row r="2838" spans="16:21" x14ac:dyDescent="0.35">
      <c r="P2838" s="226"/>
      <c r="Q2838" s="226"/>
      <c r="R2838" s="226"/>
      <c r="S2838" s="226"/>
      <c r="T2838" s="226"/>
      <c r="U2838" s="226"/>
    </row>
    <row r="2839" spans="16:21" x14ac:dyDescent="0.35">
      <c r="P2839" s="226"/>
      <c r="Q2839" s="226"/>
      <c r="R2839" s="226"/>
      <c r="S2839" s="226"/>
      <c r="T2839" s="226"/>
      <c r="U2839" s="226"/>
    </row>
    <row r="2840" spans="16:21" x14ac:dyDescent="0.35">
      <c r="P2840" s="226"/>
      <c r="Q2840" s="226"/>
      <c r="R2840" s="226"/>
      <c r="S2840" s="226"/>
      <c r="T2840" s="226"/>
      <c r="U2840" s="226"/>
    </row>
    <row r="2841" spans="16:21" x14ac:dyDescent="0.35">
      <c r="P2841" s="226"/>
      <c r="Q2841" s="226"/>
      <c r="R2841" s="226"/>
      <c r="S2841" s="226"/>
      <c r="T2841" s="226"/>
      <c r="U2841" s="226"/>
    </row>
    <row r="2842" spans="16:21" x14ac:dyDescent="0.35">
      <c r="P2842" s="226"/>
      <c r="Q2842" s="226"/>
      <c r="R2842" s="226"/>
      <c r="S2842" s="226"/>
      <c r="T2842" s="226"/>
      <c r="U2842" s="226"/>
    </row>
    <row r="2843" spans="16:21" x14ac:dyDescent="0.35">
      <c r="P2843" s="226"/>
      <c r="Q2843" s="226"/>
      <c r="R2843" s="226"/>
      <c r="S2843" s="226"/>
      <c r="T2843" s="226"/>
      <c r="U2843" s="226"/>
    </row>
    <row r="2844" spans="16:21" x14ac:dyDescent="0.35">
      <c r="P2844" s="226"/>
      <c r="Q2844" s="226"/>
      <c r="R2844" s="226"/>
      <c r="S2844" s="226"/>
      <c r="T2844" s="226"/>
      <c r="U2844" s="226"/>
    </row>
    <row r="2845" spans="16:21" x14ac:dyDescent="0.35">
      <c r="P2845" s="226"/>
      <c r="Q2845" s="226"/>
      <c r="R2845" s="226"/>
      <c r="S2845" s="226"/>
      <c r="T2845" s="226"/>
      <c r="U2845" s="226"/>
    </row>
    <row r="2846" spans="16:21" x14ac:dyDescent="0.35">
      <c r="P2846" s="226"/>
      <c r="Q2846" s="226"/>
      <c r="R2846" s="226"/>
      <c r="S2846" s="226"/>
      <c r="T2846" s="226"/>
      <c r="U2846" s="226"/>
    </row>
    <row r="2847" spans="16:21" x14ac:dyDescent="0.35">
      <c r="P2847" s="226"/>
      <c r="Q2847" s="226"/>
      <c r="R2847" s="226"/>
      <c r="S2847" s="226"/>
      <c r="T2847" s="226"/>
      <c r="U2847" s="226"/>
    </row>
    <row r="2848" spans="16:21" x14ac:dyDescent="0.35">
      <c r="P2848" s="226"/>
      <c r="Q2848" s="226"/>
      <c r="R2848" s="226"/>
      <c r="S2848" s="226"/>
      <c r="T2848" s="226"/>
      <c r="U2848" s="226"/>
    </row>
    <row r="2849" spans="16:21" x14ac:dyDescent="0.35">
      <c r="P2849" s="226"/>
      <c r="Q2849" s="226"/>
      <c r="R2849" s="226"/>
      <c r="S2849" s="226"/>
      <c r="T2849" s="226"/>
      <c r="U2849" s="226"/>
    </row>
    <row r="2850" spans="16:21" x14ac:dyDescent="0.35">
      <c r="P2850" s="226"/>
      <c r="Q2850" s="226"/>
      <c r="R2850" s="226"/>
      <c r="S2850" s="226"/>
      <c r="T2850" s="226"/>
      <c r="U2850" s="226"/>
    </row>
    <row r="2851" spans="16:21" x14ac:dyDescent="0.35">
      <c r="P2851" s="226"/>
      <c r="Q2851" s="226"/>
      <c r="R2851" s="226"/>
      <c r="S2851" s="226"/>
      <c r="T2851" s="226"/>
      <c r="U2851" s="226"/>
    </row>
    <row r="2852" spans="16:21" x14ac:dyDescent="0.35">
      <c r="P2852" s="226"/>
      <c r="Q2852" s="226"/>
      <c r="R2852" s="226"/>
      <c r="S2852" s="226"/>
      <c r="T2852" s="226"/>
      <c r="U2852" s="226"/>
    </row>
    <row r="2853" spans="16:21" x14ac:dyDescent="0.35">
      <c r="P2853" s="226"/>
      <c r="Q2853" s="226"/>
      <c r="R2853" s="226"/>
      <c r="S2853" s="226"/>
      <c r="T2853" s="226"/>
      <c r="U2853" s="226"/>
    </row>
    <row r="2854" spans="16:21" x14ac:dyDescent="0.35">
      <c r="P2854" s="226"/>
      <c r="Q2854" s="226"/>
      <c r="R2854" s="226"/>
      <c r="S2854" s="226"/>
      <c r="T2854" s="226"/>
      <c r="U2854" s="226"/>
    </row>
    <row r="2855" spans="16:21" x14ac:dyDescent="0.35">
      <c r="P2855" s="226"/>
      <c r="Q2855" s="226"/>
      <c r="R2855" s="226"/>
      <c r="S2855" s="226"/>
      <c r="T2855" s="226"/>
      <c r="U2855" s="226"/>
    </row>
    <row r="2856" spans="16:21" x14ac:dyDescent="0.35">
      <c r="P2856" s="226"/>
      <c r="Q2856" s="226"/>
      <c r="R2856" s="226"/>
      <c r="S2856" s="226"/>
      <c r="T2856" s="226"/>
      <c r="U2856" s="226"/>
    </row>
    <row r="2857" spans="16:21" x14ac:dyDescent="0.35">
      <c r="P2857" s="226"/>
      <c r="Q2857" s="226"/>
      <c r="R2857" s="226"/>
      <c r="S2857" s="226"/>
      <c r="T2857" s="226"/>
      <c r="U2857" s="226"/>
    </row>
    <row r="2858" spans="16:21" x14ac:dyDescent="0.35">
      <c r="P2858" s="226"/>
      <c r="Q2858" s="226"/>
      <c r="R2858" s="226"/>
      <c r="S2858" s="226"/>
      <c r="T2858" s="226"/>
      <c r="U2858" s="226"/>
    </row>
    <row r="2859" spans="16:21" x14ac:dyDescent="0.35">
      <c r="P2859" s="226"/>
      <c r="Q2859" s="226"/>
      <c r="R2859" s="226"/>
      <c r="S2859" s="226"/>
      <c r="T2859" s="226"/>
      <c r="U2859" s="226"/>
    </row>
    <row r="2860" spans="16:21" x14ac:dyDescent="0.35">
      <c r="P2860" s="226"/>
      <c r="Q2860" s="226"/>
      <c r="R2860" s="226"/>
      <c r="S2860" s="226"/>
      <c r="T2860" s="226"/>
      <c r="U2860" s="226"/>
    </row>
    <row r="2861" spans="16:21" x14ac:dyDescent="0.35">
      <c r="P2861" s="226"/>
      <c r="Q2861" s="226"/>
      <c r="R2861" s="226"/>
      <c r="S2861" s="226"/>
      <c r="T2861" s="226"/>
      <c r="U2861" s="226"/>
    </row>
    <row r="2862" spans="16:21" x14ac:dyDescent="0.35">
      <c r="P2862" s="226"/>
      <c r="Q2862" s="226"/>
      <c r="R2862" s="226"/>
      <c r="S2862" s="226"/>
      <c r="T2862" s="226"/>
      <c r="U2862" s="226"/>
    </row>
    <row r="2863" spans="16:21" x14ac:dyDescent="0.35">
      <c r="P2863" s="226"/>
      <c r="Q2863" s="226"/>
      <c r="R2863" s="226"/>
      <c r="S2863" s="226"/>
      <c r="T2863" s="226"/>
      <c r="U2863" s="226"/>
    </row>
    <row r="2864" spans="16:21" x14ac:dyDescent="0.35">
      <c r="P2864" s="226"/>
      <c r="Q2864" s="226"/>
      <c r="R2864" s="226"/>
      <c r="S2864" s="226"/>
      <c r="T2864" s="226"/>
      <c r="U2864" s="226"/>
    </row>
    <row r="2865" spans="16:21" x14ac:dyDescent="0.35">
      <c r="P2865" s="226"/>
      <c r="Q2865" s="226"/>
      <c r="R2865" s="226"/>
      <c r="S2865" s="226"/>
      <c r="T2865" s="226"/>
      <c r="U2865" s="226"/>
    </row>
    <row r="2866" spans="16:21" x14ac:dyDescent="0.35">
      <c r="P2866" s="226"/>
      <c r="Q2866" s="226"/>
      <c r="R2866" s="226"/>
      <c r="S2866" s="226"/>
      <c r="T2866" s="226"/>
      <c r="U2866" s="226"/>
    </row>
    <row r="2867" spans="16:21" x14ac:dyDescent="0.35">
      <c r="P2867" s="226"/>
      <c r="Q2867" s="226"/>
      <c r="R2867" s="226"/>
      <c r="S2867" s="226"/>
      <c r="T2867" s="226"/>
      <c r="U2867" s="226"/>
    </row>
    <row r="2868" spans="16:21" x14ac:dyDescent="0.35">
      <c r="P2868" s="226"/>
      <c r="Q2868" s="226"/>
      <c r="R2868" s="226"/>
      <c r="S2868" s="226"/>
      <c r="T2868" s="226"/>
      <c r="U2868" s="226"/>
    </row>
    <row r="2869" spans="16:21" x14ac:dyDescent="0.35">
      <c r="P2869" s="226"/>
      <c r="Q2869" s="226"/>
      <c r="R2869" s="226"/>
      <c r="S2869" s="226"/>
      <c r="T2869" s="226"/>
      <c r="U2869" s="226"/>
    </row>
    <row r="2870" spans="16:21" x14ac:dyDescent="0.35">
      <c r="P2870" s="226"/>
      <c r="Q2870" s="226"/>
      <c r="R2870" s="226"/>
      <c r="S2870" s="226"/>
      <c r="T2870" s="226"/>
      <c r="U2870" s="226"/>
    </row>
    <row r="2871" spans="16:21" x14ac:dyDescent="0.35">
      <c r="P2871" s="226"/>
      <c r="Q2871" s="226"/>
      <c r="R2871" s="226"/>
      <c r="S2871" s="226"/>
      <c r="T2871" s="226"/>
      <c r="U2871" s="226"/>
    </row>
    <row r="2872" spans="16:21" x14ac:dyDescent="0.35">
      <c r="P2872" s="226"/>
      <c r="Q2872" s="226"/>
      <c r="R2872" s="226"/>
      <c r="S2872" s="226"/>
      <c r="T2872" s="226"/>
      <c r="U2872" s="226"/>
    </row>
    <row r="2873" spans="16:21" x14ac:dyDescent="0.35">
      <c r="P2873" s="226"/>
      <c r="Q2873" s="226"/>
      <c r="R2873" s="226"/>
      <c r="S2873" s="226"/>
      <c r="T2873" s="226"/>
      <c r="U2873" s="226"/>
    </row>
    <row r="2874" spans="16:21" x14ac:dyDescent="0.35">
      <c r="P2874" s="226"/>
      <c r="Q2874" s="226"/>
      <c r="R2874" s="226"/>
      <c r="S2874" s="226"/>
      <c r="T2874" s="226"/>
      <c r="U2874" s="226"/>
    </row>
    <row r="2875" spans="16:21" x14ac:dyDescent="0.35">
      <c r="P2875" s="226"/>
      <c r="Q2875" s="226"/>
      <c r="R2875" s="226"/>
      <c r="S2875" s="226"/>
      <c r="T2875" s="226"/>
      <c r="U2875" s="226"/>
    </row>
    <row r="2876" spans="16:21" x14ac:dyDescent="0.35">
      <c r="P2876" s="226"/>
      <c r="Q2876" s="226"/>
      <c r="R2876" s="226"/>
      <c r="S2876" s="226"/>
      <c r="T2876" s="226"/>
      <c r="U2876" s="226"/>
    </row>
    <row r="2877" spans="16:21" x14ac:dyDescent="0.35">
      <c r="P2877" s="226"/>
      <c r="Q2877" s="226"/>
      <c r="R2877" s="226"/>
      <c r="S2877" s="226"/>
      <c r="T2877" s="226"/>
      <c r="U2877" s="226"/>
    </row>
    <row r="2878" spans="16:21" x14ac:dyDescent="0.35">
      <c r="P2878" s="226"/>
      <c r="Q2878" s="226"/>
      <c r="R2878" s="226"/>
      <c r="S2878" s="226"/>
      <c r="T2878" s="226"/>
      <c r="U2878" s="226"/>
    </row>
    <row r="2879" spans="16:21" x14ac:dyDescent="0.35">
      <c r="P2879" s="226"/>
      <c r="Q2879" s="226"/>
      <c r="R2879" s="226"/>
      <c r="S2879" s="226"/>
      <c r="T2879" s="226"/>
      <c r="U2879" s="226"/>
    </row>
    <row r="2880" spans="16:21" x14ac:dyDescent="0.35">
      <c r="P2880" s="226"/>
      <c r="Q2880" s="226"/>
      <c r="R2880" s="226"/>
      <c r="S2880" s="226"/>
      <c r="T2880" s="226"/>
      <c r="U2880" s="226"/>
    </row>
    <row r="2881" spans="16:21" x14ac:dyDescent="0.35">
      <c r="P2881" s="226"/>
      <c r="Q2881" s="226"/>
      <c r="R2881" s="226"/>
      <c r="S2881" s="226"/>
      <c r="T2881" s="226"/>
      <c r="U2881" s="226"/>
    </row>
    <row r="2882" spans="16:21" x14ac:dyDescent="0.35">
      <c r="P2882" s="226"/>
      <c r="Q2882" s="226"/>
      <c r="R2882" s="226"/>
      <c r="S2882" s="226"/>
      <c r="T2882" s="226"/>
      <c r="U2882" s="226"/>
    </row>
    <row r="2883" spans="16:21" x14ac:dyDescent="0.35">
      <c r="P2883" s="226"/>
      <c r="Q2883" s="226"/>
      <c r="R2883" s="226"/>
      <c r="S2883" s="226"/>
      <c r="T2883" s="226"/>
      <c r="U2883" s="226"/>
    </row>
    <row r="2884" spans="16:21" x14ac:dyDescent="0.35">
      <c r="P2884" s="226"/>
      <c r="Q2884" s="226"/>
      <c r="R2884" s="226"/>
      <c r="S2884" s="226"/>
      <c r="T2884" s="226"/>
      <c r="U2884" s="226"/>
    </row>
    <row r="2885" spans="16:21" x14ac:dyDescent="0.35">
      <c r="P2885" s="226"/>
      <c r="Q2885" s="226"/>
      <c r="R2885" s="226"/>
      <c r="S2885" s="226"/>
      <c r="T2885" s="226"/>
      <c r="U2885" s="226"/>
    </row>
    <row r="2886" spans="16:21" x14ac:dyDescent="0.35">
      <c r="P2886" s="226"/>
      <c r="Q2886" s="226"/>
      <c r="R2886" s="226"/>
      <c r="S2886" s="226"/>
      <c r="T2886" s="226"/>
      <c r="U2886" s="226"/>
    </row>
    <row r="2887" spans="16:21" x14ac:dyDescent="0.35">
      <c r="P2887" s="226"/>
      <c r="Q2887" s="226"/>
      <c r="R2887" s="226"/>
      <c r="S2887" s="226"/>
      <c r="T2887" s="226"/>
      <c r="U2887" s="226"/>
    </row>
    <row r="2888" spans="16:21" x14ac:dyDescent="0.35">
      <c r="P2888" s="226"/>
      <c r="Q2888" s="226"/>
      <c r="R2888" s="226"/>
      <c r="S2888" s="226"/>
      <c r="T2888" s="226"/>
      <c r="U2888" s="226"/>
    </row>
    <row r="2889" spans="16:21" x14ac:dyDescent="0.35">
      <c r="P2889" s="226"/>
      <c r="Q2889" s="226"/>
      <c r="R2889" s="226"/>
      <c r="S2889" s="226"/>
      <c r="T2889" s="226"/>
      <c r="U2889" s="226"/>
    </row>
    <row r="2890" spans="16:21" x14ac:dyDescent="0.35">
      <c r="P2890" s="226"/>
      <c r="Q2890" s="226"/>
      <c r="R2890" s="226"/>
      <c r="S2890" s="226"/>
      <c r="T2890" s="226"/>
      <c r="U2890" s="226"/>
    </row>
    <row r="2891" spans="16:21" x14ac:dyDescent="0.35">
      <c r="P2891" s="226"/>
      <c r="Q2891" s="226"/>
      <c r="R2891" s="226"/>
      <c r="S2891" s="226"/>
      <c r="T2891" s="226"/>
      <c r="U2891" s="226"/>
    </row>
    <row r="2892" spans="16:21" x14ac:dyDescent="0.35">
      <c r="P2892" s="226"/>
      <c r="Q2892" s="226"/>
      <c r="R2892" s="226"/>
      <c r="S2892" s="226"/>
      <c r="T2892" s="226"/>
      <c r="U2892" s="226"/>
    </row>
    <row r="2893" spans="16:21" x14ac:dyDescent="0.35">
      <c r="P2893" s="226"/>
      <c r="Q2893" s="226"/>
      <c r="R2893" s="226"/>
      <c r="S2893" s="226"/>
      <c r="T2893" s="226"/>
      <c r="U2893" s="226"/>
    </row>
    <row r="2894" spans="16:21" x14ac:dyDescent="0.35">
      <c r="P2894" s="226"/>
      <c r="Q2894" s="226"/>
      <c r="R2894" s="226"/>
      <c r="S2894" s="226"/>
      <c r="T2894" s="226"/>
      <c r="U2894" s="226"/>
    </row>
    <row r="2895" spans="16:21" x14ac:dyDescent="0.35">
      <c r="P2895" s="226"/>
      <c r="Q2895" s="226"/>
      <c r="R2895" s="226"/>
      <c r="S2895" s="226"/>
      <c r="T2895" s="226"/>
      <c r="U2895" s="226"/>
    </row>
    <row r="2896" spans="16:21" x14ac:dyDescent="0.35">
      <c r="P2896" s="226"/>
      <c r="Q2896" s="226"/>
      <c r="R2896" s="226"/>
      <c r="S2896" s="226"/>
      <c r="T2896" s="226"/>
      <c r="U2896" s="226"/>
    </row>
    <row r="2897" spans="16:21" x14ac:dyDescent="0.35">
      <c r="P2897" s="226"/>
      <c r="Q2897" s="226"/>
      <c r="R2897" s="226"/>
      <c r="S2897" s="226"/>
      <c r="T2897" s="226"/>
      <c r="U2897" s="226"/>
    </row>
    <row r="2898" spans="16:21" x14ac:dyDescent="0.35">
      <c r="P2898" s="226"/>
      <c r="Q2898" s="226"/>
      <c r="R2898" s="226"/>
      <c r="S2898" s="226"/>
      <c r="T2898" s="226"/>
      <c r="U2898" s="226"/>
    </row>
    <row r="2899" spans="16:21" x14ac:dyDescent="0.35">
      <c r="P2899" s="226"/>
      <c r="Q2899" s="226"/>
      <c r="R2899" s="226"/>
      <c r="S2899" s="226"/>
      <c r="T2899" s="226"/>
      <c r="U2899" s="226"/>
    </row>
    <row r="2900" spans="16:21" x14ac:dyDescent="0.35">
      <c r="P2900" s="226"/>
      <c r="Q2900" s="226"/>
      <c r="R2900" s="226"/>
      <c r="S2900" s="226"/>
      <c r="T2900" s="226"/>
      <c r="U2900" s="226"/>
    </row>
    <row r="2901" spans="16:21" x14ac:dyDescent="0.35">
      <c r="P2901" s="226"/>
      <c r="Q2901" s="226"/>
      <c r="R2901" s="226"/>
      <c r="S2901" s="226"/>
      <c r="T2901" s="226"/>
      <c r="U2901" s="226"/>
    </row>
    <row r="2902" spans="16:21" x14ac:dyDescent="0.35">
      <c r="P2902" s="226"/>
      <c r="Q2902" s="226"/>
      <c r="R2902" s="226"/>
      <c r="S2902" s="226"/>
      <c r="T2902" s="226"/>
      <c r="U2902" s="226"/>
    </row>
    <row r="2903" spans="16:21" x14ac:dyDescent="0.35">
      <c r="P2903" s="226"/>
      <c r="Q2903" s="226"/>
      <c r="R2903" s="226"/>
      <c r="S2903" s="226"/>
      <c r="T2903" s="226"/>
      <c r="U2903" s="226"/>
    </row>
    <row r="2904" spans="16:21" x14ac:dyDescent="0.35">
      <c r="P2904" s="226"/>
      <c r="Q2904" s="226"/>
      <c r="R2904" s="226"/>
      <c r="S2904" s="226"/>
      <c r="T2904" s="226"/>
      <c r="U2904" s="226"/>
    </row>
    <row r="2905" spans="16:21" x14ac:dyDescent="0.35">
      <c r="P2905" s="226"/>
      <c r="Q2905" s="226"/>
      <c r="R2905" s="226"/>
      <c r="S2905" s="226"/>
      <c r="T2905" s="226"/>
      <c r="U2905" s="226"/>
    </row>
    <row r="2906" spans="16:21" x14ac:dyDescent="0.35">
      <c r="P2906" s="226"/>
      <c r="Q2906" s="226"/>
      <c r="R2906" s="226"/>
      <c r="S2906" s="226"/>
      <c r="T2906" s="226"/>
      <c r="U2906" s="226"/>
    </row>
    <row r="2907" spans="16:21" x14ac:dyDescent="0.35">
      <c r="P2907" s="226"/>
      <c r="Q2907" s="226"/>
      <c r="R2907" s="226"/>
      <c r="S2907" s="226"/>
      <c r="T2907" s="226"/>
      <c r="U2907" s="226"/>
    </row>
    <row r="2908" spans="16:21" x14ac:dyDescent="0.35">
      <c r="P2908" s="226"/>
      <c r="Q2908" s="226"/>
      <c r="R2908" s="226"/>
      <c r="S2908" s="226"/>
      <c r="T2908" s="226"/>
      <c r="U2908" s="226"/>
    </row>
    <row r="2909" spans="16:21" x14ac:dyDescent="0.35">
      <c r="P2909" s="226"/>
      <c r="Q2909" s="226"/>
      <c r="R2909" s="226"/>
      <c r="S2909" s="226"/>
      <c r="T2909" s="226"/>
      <c r="U2909" s="226"/>
    </row>
    <row r="2910" spans="16:21" x14ac:dyDescent="0.35">
      <c r="P2910" s="226"/>
      <c r="Q2910" s="226"/>
      <c r="R2910" s="226"/>
      <c r="S2910" s="226"/>
      <c r="T2910" s="226"/>
      <c r="U2910" s="226"/>
    </row>
    <row r="2911" spans="16:21" x14ac:dyDescent="0.35">
      <c r="P2911" s="226"/>
      <c r="Q2911" s="226"/>
      <c r="R2911" s="226"/>
      <c r="S2911" s="226"/>
      <c r="T2911" s="226"/>
      <c r="U2911" s="226"/>
    </row>
    <row r="2912" spans="16:21" x14ac:dyDescent="0.35">
      <c r="P2912" s="226"/>
      <c r="Q2912" s="226"/>
      <c r="R2912" s="226"/>
      <c r="S2912" s="226"/>
      <c r="T2912" s="226"/>
      <c r="U2912" s="226"/>
    </row>
    <row r="2913" spans="16:21" x14ac:dyDescent="0.35">
      <c r="P2913" s="226"/>
      <c r="Q2913" s="226"/>
      <c r="R2913" s="226"/>
      <c r="S2913" s="226"/>
      <c r="T2913" s="226"/>
      <c r="U2913" s="226"/>
    </row>
    <row r="2914" spans="16:21" x14ac:dyDescent="0.35">
      <c r="P2914" s="226"/>
      <c r="Q2914" s="226"/>
      <c r="R2914" s="226"/>
      <c r="S2914" s="226"/>
      <c r="T2914" s="226"/>
      <c r="U2914" s="226"/>
    </row>
    <row r="2915" spans="16:21" x14ac:dyDescent="0.35">
      <c r="P2915" s="226"/>
      <c r="Q2915" s="226"/>
      <c r="R2915" s="226"/>
      <c r="S2915" s="226"/>
      <c r="T2915" s="226"/>
      <c r="U2915" s="226"/>
    </row>
    <row r="2916" spans="16:21" x14ac:dyDescent="0.35">
      <c r="P2916" s="226"/>
      <c r="Q2916" s="226"/>
      <c r="R2916" s="226"/>
      <c r="S2916" s="226"/>
      <c r="T2916" s="226"/>
      <c r="U2916" s="226"/>
    </row>
    <row r="2917" spans="16:21" x14ac:dyDescent="0.35">
      <c r="P2917" s="226"/>
      <c r="Q2917" s="226"/>
      <c r="R2917" s="226"/>
      <c r="S2917" s="226"/>
      <c r="T2917" s="226"/>
      <c r="U2917" s="226"/>
    </row>
    <row r="2918" spans="16:21" x14ac:dyDescent="0.35">
      <c r="P2918" s="226"/>
      <c r="Q2918" s="226"/>
      <c r="R2918" s="226"/>
      <c r="S2918" s="226"/>
      <c r="T2918" s="226"/>
      <c r="U2918" s="226"/>
    </row>
    <row r="2919" spans="16:21" x14ac:dyDescent="0.35">
      <c r="P2919" s="226"/>
      <c r="Q2919" s="226"/>
      <c r="R2919" s="226"/>
      <c r="S2919" s="226"/>
      <c r="T2919" s="226"/>
      <c r="U2919" s="226"/>
    </row>
    <row r="2920" spans="16:21" x14ac:dyDescent="0.35">
      <c r="P2920" s="226"/>
      <c r="Q2920" s="226"/>
      <c r="R2920" s="226"/>
      <c r="S2920" s="226"/>
      <c r="T2920" s="226"/>
      <c r="U2920" s="226"/>
    </row>
    <row r="2921" spans="16:21" x14ac:dyDescent="0.35">
      <c r="P2921" s="226"/>
      <c r="Q2921" s="226"/>
      <c r="R2921" s="226"/>
      <c r="S2921" s="226"/>
      <c r="T2921" s="226"/>
      <c r="U2921" s="226"/>
    </row>
    <row r="2922" spans="16:21" x14ac:dyDescent="0.35">
      <c r="P2922" s="226"/>
      <c r="Q2922" s="226"/>
      <c r="R2922" s="226"/>
      <c r="S2922" s="226"/>
      <c r="T2922" s="226"/>
      <c r="U2922" s="226"/>
    </row>
    <row r="2923" spans="16:21" x14ac:dyDescent="0.35">
      <c r="P2923" s="226"/>
      <c r="Q2923" s="226"/>
      <c r="R2923" s="226"/>
      <c r="S2923" s="226"/>
      <c r="T2923" s="226"/>
      <c r="U2923" s="226"/>
    </row>
    <row r="2924" spans="16:21" x14ac:dyDescent="0.35">
      <c r="P2924" s="226"/>
      <c r="Q2924" s="226"/>
      <c r="R2924" s="226"/>
      <c r="S2924" s="226"/>
      <c r="T2924" s="226"/>
      <c r="U2924" s="226"/>
    </row>
    <row r="2925" spans="16:21" x14ac:dyDescent="0.35">
      <c r="P2925" s="226"/>
      <c r="Q2925" s="226"/>
      <c r="R2925" s="226"/>
      <c r="S2925" s="226"/>
      <c r="T2925" s="226"/>
      <c r="U2925" s="226"/>
    </row>
    <row r="2926" spans="16:21" x14ac:dyDescent="0.35">
      <c r="P2926" s="226"/>
      <c r="Q2926" s="226"/>
      <c r="R2926" s="226"/>
      <c r="S2926" s="226"/>
      <c r="T2926" s="226"/>
      <c r="U2926" s="226"/>
    </row>
    <row r="2927" spans="16:21" x14ac:dyDescent="0.35">
      <c r="P2927" s="226"/>
      <c r="Q2927" s="226"/>
      <c r="R2927" s="226"/>
      <c r="S2927" s="226"/>
      <c r="T2927" s="226"/>
      <c r="U2927" s="226"/>
    </row>
    <row r="2928" spans="16:21" x14ac:dyDescent="0.35">
      <c r="P2928" s="226"/>
      <c r="Q2928" s="226"/>
      <c r="R2928" s="226"/>
      <c r="S2928" s="226"/>
      <c r="T2928" s="226"/>
      <c r="U2928" s="226"/>
    </row>
    <row r="2929" spans="16:21" x14ac:dyDescent="0.35">
      <c r="P2929" s="226"/>
      <c r="Q2929" s="226"/>
      <c r="R2929" s="226"/>
      <c r="S2929" s="226"/>
      <c r="T2929" s="226"/>
      <c r="U2929" s="226"/>
    </row>
    <row r="2930" spans="16:21" x14ac:dyDescent="0.35">
      <c r="P2930" s="226"/>
      <c r="Q2930" s="226"/>
      <c r="R2930" s="226"/>
      <c r="S2930" s="226"/>
      <c r="T2930" s="226"/>
      <c r="U2930" s="226"/>
    </row>
    <row r="2931" spans="16:21" x14ac:dyDescent="0.35">
      <c r="P2931" s="226"/>
      <c r="Q2931" s="226"/>
      <c r="R2931" s="226"/>
      <c r="S2931" s="226"/>
      <c r="T2931" s="226"/>
      <c r="U2931" s="226"/>
    </row>
    <row r="2932" spans="16:21" x14ac:dyDescent="0.35">
      <c r="P2932" s="226"/>
      <c r="Q2932" s="226"/>
      <c r="R2932" s="226"/>
      <c r="S2932" s="226"/>
      <c r="T2932" s="226"/>
      <c r="U2932" s="226"/>
    </row>
    <row r="2933" spans="16:21" x14ac:dyDescent="0.35">
      <c r="P2933" s="226"/>
      <c r="Q2933" s="226"/>
      <c r="R2933" s="226"/>
      <c r="S2933" s="226"/>
      <c r="T2933" s="226"/>
      <c r="U2933" s="226"/>
    </row>
    <row r="2934" spans="16:21" x14ac:dyDescent="0.35">
      <c r="P2934" s="226"/>
      <c r="Q2934" s="226"/>
      <c r="R2934" s="226"/>
      <c r="S2934" s="226"/>
      <c r="T2934" s="226"/>
      <c r="U2934" s="226"/>
    </row>
    <row r="2935" spans="16:21" x14ac:dyDescent="0.35">
      <c r="P2935" s="226"/>
      <c r="Q2935" s="226"/>
      <c r="R2935" s="226"/>
      <c r="S2935" s="226"/>
      <c r="T2935" s="226"/>
      <c r="U2935" s="226"/>
    </row>
    <row r="2936" spans="16:21" x14ac:dyDescent="0.35">
      <c r="P2936" s="226"/>
      <c r="Q2936" s="226"/>
      <c r="R2936" s="226"/>
      <c r="S2936" s="226"/>
      <c r="T2936" s="226"/>
      <c r="U2936" s="226"/>
    </row>
    <row r="2937" spans="16:21" x14ac:dyDescent="0.35">
      <c r="P2937" s="226"/>
      <c r="Q2937" s="226"/>
      <c r="R2937" s="226"/>
      <c r="S2937" s="226"/>
      <c r="T2937" s="226"/>
      <c r="U2937" s="226"/>
    </row>
    <row r="2938" spans="16:21" x14ac:dyDescent="0.35">
      <c r="P2938" s="226"/>
      <c r="Q2938" s="226"/>
      <c r="R2938" s="226"/>
      <c r="S2938" s="226"/>
      <c r="T2938" s="226"/>
      <c r="U2938" s="226"/>
    </row>
    <row r="2939" spans="16:21" x14ac:dyDescent="0.35">
      <c r="P2939" s="226"/>
      <c r="Q2939" s="226"/>
      <c r="R2939" s="226"/>
      <c r="S2939" s="226"/>
      <c r="T2939" s="226"/>
      <c r="U2939" s="226"/>
    </row>
    <row r="2940" spans="16:21" x14ac:dyDescent="0.35">
      <c r="P2940" s="226"/>
      <c r="Q2940" s="226"/>
      <c r="R2940" s="226"/>
      <c r="S2940" s="226"/>
      <c r="T2940" s="226"/>
      <c r="U2940" s="226"/>
    </row>
    <row r="2941" spans="16:21" x14ac:dyDescent="0.35">
      <c r="P2941" s="226"/>
      <c r="Q2941" s="226"/>
      <c r="R2941" s="226"/>
      <c r="S2941" s="226"/>
      <c r="T2941" s="226"/>
      <c r="U2941" s="226"/>
    </row>
    <row r="2942" spans="16:21" x14ac:dyDescent="0.35">
      <c r="P2942" s="226"/>
      <c r="Q2942" s="226"/>
      <c r="R2942" s="226"/>
      <c r="S2942" s="226"/>
      <c r="T2942" s="226"/>
      <c r="U2942" s="226"/>
    </row>
    <row r="2943" spans="16:21" x14ac:dyDescent="0.35">
      <c r="P2943" s="226"/>
      <c r="Q2943" s="226"/>
      <c r="R2943" s="226"/>
      <c r="S2943" s="226"/>
      <c r="T2943" s="226"/>
      <c r="U2943" s="226"/>
    </row>
    <row r="2944" spans="16:21" x14ac:dyDescent="0.35">
      <c r="P2944" s="226"/>
      <c r="Q2944" s="226"/>
      <c r="R2944" s="226"/>
      <c r="S2944" s="226"/>
      <c r="T2944" s="226"/>
      <c r="U2944" s="226"/>
    </row>
    <row r="2945" spans="16:21" x14ac:dyDescent="0.35">
      <c r="P2945" s="226"/>
      <c r="Q2945" s="226"/>
      <c r="R2945" s="226"/>
      <c r="S2945" s="226"/>
      <c r="T2945" s="226"/>
      <c r="U2945" s="226"/>
    </row>
    <row r="2946" spans="16:21" x14ac:dyDescent="0.35">
      <c r="P2946" s="226"/>
      <c r="Q2946" s="226"/>
      <c r="R2946" s="226"/>
      <c r="S2946" s="226"/>
      <c r="T2946" s="226"/>
      <c r="U2946" s="226"/>
    </row>
    <row r="2947" spans="16:21" x14ac:dyDescent="0.35">
      <c r="P2947" s="226"/>
      <c r="Q2947" s="226"/>
      <c r="R2947" s="226"/>
      <c r="S2947" s="226"/>
      <c r="T2947" s="226"/>
      <c r="U2947" s="226"/>
    </row>
    <row r="2948" spans="16:21" x14ac:dyDescent="0.35">
      <c r="P2948" s="226"/>
      <c r="Q2948" s="226"/>
      <c r="R2948" s="226"/>
      <c r="S2948" s="226"/>
      <c r="T2948" s="226"/>
      <c r="U2948" s="226"/>
    </row>
    <row r="2949" spans="16:21" x14ac:dyDescent="0.35">
      <c r="P2949" s="226"/>
      <c r="Q2949" s="226"/>
      <c r="R2949" s="226"/>
      <c r="S2949" s="226"/>
      <c r="T2949" s="226"/>
      <c r="U2949" s="226"/>
    </row>
    <row r="2950" spans="16:21" x14ac:dyDescent="0.35">
      <c r="P2950" s="226"/>
      <c r="Q2950" s="226"/>
      <c r="R2950" s="226"/>
      <c r="S2950" s="226"/>
      <c r="T2950" s="226"/>
      <c r="U2950" s="226"/>
    </row>
    <row r="2951" spans="16:21" x14ac:dyDescent="0.35">
      <c r="P2951" s="226"/>
      <c r="Q2951" s="226"/>
      <c r="R2951" s="226"/>
      <c r="S2951" s="226"/>
      <c r="T2951" s="226"/>
      <c r="U2951" s="226"/>
    </row>
    <row r="2952" spans="16:21" x14ac:dyDescent="0.35">
      <c r="P2952" s="226"/>
      <c r="Q2952" s="226"/>
      <c r="R2952" s="226"/>
      <c r="S2952" s="226"/>
      <c r="T2952" s="226"/>
      <c r="U2952" s="226"/>
    </row>
    <row r="2953" spans="16:21" x14ac:dyDescent="0.35">
      <c r="P2953" s="226"/>
      <c r="Q2953" s="226"/>
      <c r="R2953" s="226"/>
      <c r="S2953" s="226"/>
      <c r="T2953" s="226"/>
      <c r="U2953" s="226"/>
    </row>
    <row r="2954" spans="16:21" x14ac:dyDescent="0.35">
      <c r="P2954" s="226"/>
      <c r="Q2954" s="226"/>
      <c r="R2954" s="226"/>
      <c r="S2954" s="226"/>
      <c r="T2954" s="226"/>
      <c r="U2954" s="226"/>
    </row>
    <row r="2955" spans="16:21" x14ac:dyDescent="0.35">
      <c r="P2955" s="226"/>
      <c r="Q2955" s="226"/>
      <c r="R2955" s="226"/>
      <c r="S2955" s="226"/>
      <c r="T2955" s="226"/>
      <c r="U2955" s="226"/>
    </row>
    <row r="2956" spans="16:21" x14ac:dyDescent="0.35">
      <c r="P2956" s="226"/>
      <c r="Q2956" s="226"/>
      <c r="R2956" s="226"/>
      <c r="S2956" s="226"/>
      <c r="T2956" s="226"/>
      <c r="U2956" s="226"/>
    </row>
    <row r="2957" spans="16:21" x14ac:dyDescent="0.35">
      <c r="P2957" s="226"/>
      <c r="Q2957" s="226"/>
      <c r="R2957" s="226"/>
      <c r="S2957" s="226"/>
      <c r="T2957" s="226"/>
      <c r="U2957" s="226"/>
    </row>
    <row r="2958" spans="16:21" x14ac:dyDescent="0.35">
      <c r="P2958" s="226"/>
      <c r="Q2958" s="226"/>
      <c r="R2958" s="226"/>
      <c r="S2958" s="226"/>
      <c r="T2958" s="226"/>
      <c r="U2958" s="226"/>
    </row>
    <row r="2959" spans="16:21" x14ac:dyDescent="0.35">
      <c r="P2959" s="226"/>
      <c r="Q2959" s="226"/>
      <c r="R2959" s="226"/>
      <c r="S2959" s="226"/>
      <c r="T2959" s="226"/>
      <c r="U2959" s="226"/>
    </row>
    <row r="2960" spans="16:21" x14ac:dyDescent="0.35">
      <c r="P2960" s="226"/>
      <c r="Q2960" s="226"/>
      <c r="R2960" s="226"/>
      <c r="S2960" s="226"/>
      <c r="T2960" s="226"/>
      <c r="U2960" s="226"/>
    </row>
    <row r="2961" spans="16:21" x14ac:dyDescent="0.35">
      <c r="P2961" s="226"/>
      <c r="Q2961" s="226"/>
      <c r="R2961" s="226"/>
      <c r="S2961" s="226"/>
      <c r="T2961" s="226"/>
      <c r="U2961" s="226"/>
    </row>
    <row r="2962" spans="16:21" x14ac:dyDescent="0.35">
      <c r="P2962" s="226"/>
      <c r="Q2962" s="226"/>
      <c r="R2962" s="226"/>
      <c r="S2962" s="226"/>
      <c r="T2962" s="226"/>
      <c r="U2962" s="226"/>
    </row>
    <row r="2963" spans="16:21" x14ac:dyDescent="0.35">
      <c r="P2963" s="226"/>
      <c r="Q2963" s="226"/>
      <c r="R2963" s="226"/>
      <c r="S2963" s="226"/>
      <c r="T2963" s="226"/>
      <c r="U2963" s="226"/>
    </row>
    <row r="2964" spans="16:21" x14ac:dyDescent="0.35">
      <c r="P2964" s="226"/>
      <c r="Q2964" s="226"/>
      <c r="R2964" s="226"/>
      <c r="S2964" s="226"/>
      <c r="T2964" s="226"/>
      <c r="U2964" s="226"/>
    </row>
    <row r="2965" spans="16:21" x14ac:dyDescent="0.35">
      <c r="P2965" s="226"/>
      <c r="Q2965" s="226"/>
      <c r="R2965" s="226"/>
      <c r="S2965" s="226"/>
      <c r="T2965" s="226"/>
      <c r="U2965" s="226"/>
    </row>
    <row r="2966" spans="16:21" x14ac:dyDescent="0.35">
      <c r="P2966" s="226"/>
      <c r="Q2966" s="226"/>
      <c r="R2966" s="226"/>
      <c r="S2966" s="226"/>
      <c r="T2966" s="226"/>
      <c r="U2966" s="226"/>
    </row>
    <row r="2967" spans="16:21" x14ac:dyDescent="0.35">
      <c r="P2967" s="226"/>
      <c r="Q2967" s="226"/>
      <c r="R2967" s="226"/>
      <c r="S2967" s="226"/>
      <c r="T2967" s="226"/>
      <c r="U2967" s="226"/>
    </row>
    <row r="2968" spans="16:21" x14ac:dyDescent="0.35">
      <c r="P2968" s="226"/>
      <c r="Q2968" s="226"/>
      <c r="R2968" s="226"/>
      <c r="S2968" s="226"/>
      <c r="T2968" s="226"/>
      <c r="U2968" s="226"/>
    </row>
    <row r="2969" spans="16:21" x14ac:dyDescent="0.35">
      <c r="P2969" s="226"/>
      <c r="Q2969" s="226"/>
      <c r="R2969" s="226"/>
      <c r="S2969" s="226"/>
      <c r="T2969" s="226"/>
      <c r="U2969" s="226"/>
    </row>
    <row r="2970" spans="16:21" x14ac:dyDescent="0.35">
      <c r="P2970" s="226"/>
      <c r="Q2970" s="226"/>
      <c r="R2970" s="226"/>
      <c r="S2970" s="226"/>
      <c r="T2970" s="226"/>
      <c r="U2970" s="226"/>
    </row>
    <row r="2971" spans="16:21" x14ac:dyDescent="0.35">
      <c r="P2971" s="226"/>
      <c r="Q2971" s="226"/>
      <c r="R2971" s="226"/>
      <c r="S2971" s="226"/>
      <c r="T2971" s="226"/>
      <c r="U2971" s="226"/>
    </row>
    <row r="2972" spans="16:21" x14ac:dyDescent="0.35">
      <c r="P2972" s="226"/>
      <c r="Q2972" s="226"/>
      <c r="R2972" s="226"/>
      <c r="S2972" s="226"/>
      <c r="T2972" s="226"/>
      <c r="U2972" s="226"/>
    </row>
    <row r="2973" spans="16:21" x14ac:dyDescent="0.35">
      <c r="P2973" s="226"/>
      <c r="Q2973" s="226"/>
      <c r="R2973" s="226"/>
      <c r="S2973" s="226"/>
      <c r="T2973" s="226"/>
      <c r="U2973" s="226"/>
    </row>
    <row r="2974" spans="16:21" x14ac:dyDescent="0.35">
      <c r="P2974" s="226"/>
      <c r="Q2974" s="226"/>
      <c r="R2974" s="226"/>
      <c r="S2974" s="226"/>
      <c r="T2974" s="226"/>
      <c r="U2974" s="226"/>
    </row>
    <row r="2975" spans="16:21" x14ac:dyDescent="0.35">
      <c r="P2975" s="226"/>
      <c r="Q2975" s="226"/>
      <c r="R2975" s="226"/>
      <c r="S2975" s="226"/>
      <c r="T2975" s="226"/>
      <c r="U2975" s="226"/>
    </row>
    <row r="2976" spans="16:21" x14ac:dyDescent="0.35">
      <c r="P2976" s="226"/>
      <c r="Q2976" s="226"/>
      <c r="R2976" s="226"/>
      <c r="S2976" s="226"/>
      <c r="T2976" s="226"/>
      <c r="U2976" s="226"/>
    </row>
    <row r="2977" spans="16:21" x14ac:dyDescent="0.35">
      <c r="P2977" s="226"/>
      <c r="Q2977" s="226"/>
      <c r="R2977" s="226"/>
      <c r="S2977" s="226"/>
      <c r="T2977" s="226"/>
      <c r="U2977" s="226"/>
    </row>
    <row r="2978" spans="16:21" x14ac:dyDescent="0.35">
      <c r="P2978" s="226"/>
      <c r="Q2978" s="226"/>
      <c r="R2978" s="226"/>
      <c r="S2978" s="226"/>
      <c r="T2978" s="226"/>
      <c r="U2978" s="226"/>
    </row>
    <row r="2979" spans="16:21" x14ac:dyDescent="0.35">
      <c r="P2979" s="226"/>
      <c r="Q2979" s="226"/>
      <c r="R2979" s="226"/>
      <c r="S2979" s="226"/>
      <c r="T2979" s="226"/>
      <c r="U2979" s="226"/>
    </row>
    <row r="2980" spans="16:21" x14ac:dyDescent="0.35">
      <c r="P2980" s="226"/>
      <c r="Q2980" s="226"/>
      <c r="R2980" s="226"/>
      <c r="S2980" s="226"/>
      <c r="T2980" s="226"/>
      <c r="U2980" s="226"/>
    </row>
    <row r="2981" spans="16:21" x14ac:dyDescent="0.35">
      <c r="P2981" s="226"/>
      <c r="Q2981" s="226"/>
      <c r="R2981" s="226"/>
      <c r="S2981" s="226"/>
      <c r="T2981" s="226"/>
      <c r="U2981" s="226"/>
    </row>
    <row r="2982" spans="16:21" x14ac:dyDescent="0.35">
      <c r="P2982" s="226"/>
      <c r="Q2982" s="226"/>
      <c r="R2982" s="226"/>
      <c r="S2982" s="226"/>
      <c r="T2982" s="226"/>
      <c r="U2982" s="226"/>
    </row>
    <row r="2983" spans="16:21" x14ac:dyDescent="0.35">
      <c r="P2983" s="226"/>
      <c r="Q2983" s="226"/>
      <c r="R2983" s="226"/>
      <c r="S2983" s="226"/>
      <c r="T2983" s="226"/>
      <c r="U2983" s="226"/>
    </row>
    <row r="2984" spans="16:21" x14ac:dyDescent="0.35">
      <c r="P2984" s="226"/>
      <c r="Q2984" s="226"/>
      <c r="R2984" s="226"/>
      <c r="S2984" s="226"/>
      <c r="T2984" s="226"/>
      <c r="U2984" s="226"/>
    </row>
    <row r="2985" spans="16:21" x14ac:dyDescent="0.35">
      <c r="P2985" s="226"/>
      <c r="Q2985" s="226"/>
      <c r="R2985" s="226"/>
      <c r="S2985" s="226"/>
      <c r="T2985" s="226"/>
      <c r="U2985" s="226"/>
    </row>
    <row r="2986" spans="16:21" x14ac:dyDescent="0.35">
      <c r="P2986" s="226"/>
      <c r="Q2986" s="226"/>
      <c r="R2986" s="226"/>
      <c r="S2986" s="226"/>
      <c r="T2986" s="226"/>
      <c r="U2986" s="226"/>
    </row>
    <row r="2987" spans="16:21" x14ac:dyDescent="0.35">
      <c r="P2987" s="226"/>
      <c r="Q2987" s="226"/>
      <c r="R2987" s="226"/>
      <c r="S2987" s="226"/>
      <c r="T2987" s="226"/>
      <c r="U2987" s="226"/>
    </row>
    <row r="2988" spans="16:21" x14ac:dyDescent="0.35">
      <c r="P2988" s="226"/>
      <c r="Q2988" s="226"/>
      <c r="R2988" s="226"/>
      <c r="S2988" s="226"/>
      <c r="T2988" s="226"/>
      <c r="U2988" s="226"/>
    </row>
    <row r="2989" spans="16:21" x14ac:dyDescent="0.35">
      <c r="P2989" s="226"/>
      <c r="Q2989" s="226"/>
      <c r="R2989" s="226"/>
      <c r="S2989" s="226"/>
      <c r="T2989" s="226"/>
      <c r="U2989" s="226"/>
    </row>
    <row r="2990" spans="16:21" x14ac:dyDescent="0.35">
      <c r="P2990" s="226"/>
      <c r="Q2990" s="226"/>
      <c r="R2990" s="226"/>
      <c r="S2990" s="226"/>
      <c r="T2990" s="226"/>
      <c r="U2990" s="226"/>
    </row>
    <row r="2991" spans="16:21" x14ac:dyDescent="0.35">
      <c r="P2991" s="226"/>
      <c r="Q2991" s="226"/>
      <c r="R2991" s="226"/>
      <c r="S2991" s="226"/>
      <c r="T2991" s="226"/>
      <c r="U2991" s="226"/>
    </row>
    <row r="2992" spans="16:21" x14ac:dyDescent="0.35">
      <c r="P2992" s="226"/>
      <c r="Q2992" s="226"/>
      <c r="R2992" s="226"/>
      <c r="S2992" s="226"/>
      <c r="T2992" s="226"/>
      <c r="U2992" s="226"/>
    </row>
    <row r="2993" spans="16:21" x14ac:dyDescent="0.35">
      <c r="P2993" s="226"/>
      <c r="Q2993" s="226"/>
      <c r="R2993" s="226"/>
      <c r="S2993" s="226"/>
      <c r="T2993" s="226"/>
      <c r="U2993" s="226"/>
    </row>
    <row r="2994" spans="16:21" x14ac:dyDescent="0.35">
      <c r="P2994" s="226"/>
      <c r="Q2994" s="226"/>
      <c r="R2994" s="226"/>
      <c r="S2994" s="226"/>
      <c r="T2994" s="226"/>
      <c r="U2994" s="226"/>
    </row>
    <row r="2995" spans="16:21" x14ac:dyDescent="0.35">
      <c r="P2995" s="226"/>
      <c r="Q2995" s="226"/>
      <c r="R2995" s="226"/>
      <c r="S2995" s="226"/>
      <c r="T2995" s="226"/>
      <c r="U2995" s="226"/>
    </row>
    <row r="2996" spans="16:21" x14ac:dyDescent="0.35">
      <c r="P2996" s="226"/>
      <c r="Q2996" s="226"/>
      <c r="R2996" s="226"/>
      <c r="S2996" s="226"/>
      <c r="T2996" s="226"/>
      <c r="U2996" s="226"/>
    </row>
    <row r="2997" spans="16:21" x14ac:dyDescent="0.35">
      <c r="P2997" s="226"/>
      <c r="Q2997" s="226"/>
      <c r="R2997" s="226"/>
      <c r="S2997" s="226"/>
      <c r="T2997" s="226"/>
      <c r="U2997" s="226"/>
    </row>
    <row r="2998" spans="16:21" x14ac:dyDescent="0.35">
      <c r="P2998" s="226"/>
      <c r="Q2998" s="226"/>
      <c r="R2998" s="226"/>
      <c r="S2998" s="226"/>
      <c r="T2998" s="226"/>
      <c r="U2998" s="226"/>
    </row>
    <row r="2999" spans="16:21" x14ac:dyDescent="0.35">
      <c r="P2999" s="226"/>
      <c r="Q2999" s="226"/>
      <c r="R2999" s="226"/>
      <c r="S2999" s="226"/>
      <c r="T2999" s="226"/>
      <c r="U2999" s="226"/>
    </row>
    <row r="3000" spans="16:21" x14ac:dyDescent="0.35">
      <c r="P3000" s="226"/>
      <c r="Q3000" s="226"/>
      <c r="R3000" s="226"/>
      <c r="S3000" s="226"/>
      <c r="T3000" s="226"/>
      <c r="U3000" s="226"/>
    </row>
    <row r="3001" spans="16:21" x14ac:dyDescent="0.35">
      <c r="P3001" s="226"/>
      <c r="Q3001" s="226"/>
      <c r="R3001" s="226"/>
      <c r="S3001" s="226"/>
      <c r="T3001" s="226"/>
      <c r="U3001" s="226"/>
    </row>
    <row r="3002" spans="16:21" x14ac:dyDescent="0.35">
      <c r="P3002" s="226"/>
      <c r="Q3002" s="226"/>
      <c r="R3002" s="226"/>
      <c r="S3002" s="226"/>
      <c r="T3002" s="226"/>
      <c r="U3002" s="226"/>
    </row>
    <row r="3003" spans="16:21" x14ac:dyDescent="0.35">
      <c r="P3003" s="226"/>
      <c r="Q3003" s="226"/>
      <c r="R3003" s="226"/>
      <c r="S3003" s="226"/>
      <c r="T3003" s="226"/>
      <c r="U3003" s="226"/>
    </row>
    <row r="3004" spans="16:21" x14ac:dyDescent="0.35">
      <c r="P3004" s="226"/>
      <c r="Q3004" s="226"/>
      <c r="R3004" s="226"/>
      <c r="S3004" s="226"/>
      <c r="T3004" s="226"/>
      <c r="U3004" s="226"/>
    </row>
    <row r="3005" spans="16:21" x14ac:dyDescent="0.35">
      <c r="P3005" s="226"/>
      <c r="Q3005" s="226"/>
      <c r="R3005" s="226"/>
      <c r="S3005" s="226"/>
      <c r="T3005" s="226"/>
      <c r="U3005" s="226"/>
    </row>
    <row r="3006" spans="16:21" x14ac:dyDescent="0.35">
      <c r="P3006" s="226"/>
      <c r="Q3006" s="226"/>
      <c r="R3006" s="226"/>
      <c r="S3006" s="226"/>
      <c r="T3006" s="226"/>
      <c r="U3006" s="226"/>
    </row>
    <row r="3007" spans="16:21" x14ac:dyDescent="0.35">
      <c r="P3007" s="226"/>
      <c r="Q3007" s="226"/>
      <c r="R3007" s="226"/>
      <c r="S3007" s="226"/>
      <c r="T3007" s="226"/>
      <c r="U3007" s="226"/>
    </row>
    <row r="3008" spans="16:21" x14ac:dyDescent="0.35">
      <c r="P3008" s="226"/>
      <c r="Q3008" s="226"/>
      <c r="R3008" s="226"/>
      <c r="S3008" s="226"/>
      <c r="T3008" s="226"/>
      <c r="U3008" s="226"/>
    </row>
    <row r="3009" spans="16:21" x14ac:dyDescent="0.35">
      <c r="P3009" s="226"/>
      <c r="Q3009" s="226"/>
      <c r="R3009" s="226"/>
      <c r="S3009" s="226"/>
      <c r="T3009" s="226"/>
      <c r="U3009" s="226"/>
    </row>
    <row r="3010" spans="16:21" x14ac:dyDescent="0.35">
      <c r="P3010" s="226"/>
      <c r="Q3010" s="226"/>
      <c r="R3010" s="226"/>
      <c r="S3010" s="226"/>
      <c r="T3010" s="226"/>
      <c r="U3010" s="226"/>
    </row>
    <row r="3011" spans="16:21" x14ac:dyDescent="0.35">
      <c r="P3011" s="226"/>
      <c r="Q3011" s="226"/>
      <c r="R3011" s="226"/>
      <c r="S3011" s="226"/>
      <c r="T3011" s="226"/>
      <c r="U3011" s="226"/>
    </row>
    <row r="3012" spans="16:21" x14ac:dyDescent="0.35">
      <c r="P3012" s="226"/>
      <c r="Q3012" s="226"/>
      <c r="R3012" s="226"/>
      <c r="S3012" s="226"/>
      <c r="T3012" s="226"/>
      <c r="U3012" s="226"/>
    </row>
    <row r="3013" spans="16:21" x14ac:dyDescent="0.35">
      <c r="P3013" s="226"/>
      <c r="Q3013" s="226"/>
      <c r="R3013" s="226"/>
      <c r="S3013" s="226"/>
      <c r="T3013" s="226"/>
      <c r="U3013" s="226"/>
    </row>
    <row r="3014" spans="16:21" x14ac:dyDescent="0.35">
      <c r="P3014" s="226"/>
      <c r="Q3014" s="226"/>
      <c r="R3014" s="226"/>
      <c r="S3014" s="226"/>
      <c r="T3014" s="226"/>
      <c r="U3014" s="226"/>
    </row>
    <row r="3015" spans="16:21" x14ac:dyDescent="0.35">
      <c r="P3015" s="226"/>
      <c r="Q3015" s="226"/>
      <c r="R3015" s="226"/>
      <c r="S3015" s="226"/>
      <c r="T3015" s="226"/>
      <c r="U3015" s="226"/>
    </row>
    <row r="3016" spans="16:21" x14ac:dyDescent="0.35">
      <c r="P3016" s="226"/>
      <c r="Q3016" s="226"/>
      <c r="R3016" s="226"/>
      <c r="S3016" s="226"/>
      <c r="T3016" s="226"/>
      <c r="U3016" s="226"/>
    </row>
    <row r="3017" spans="16:21" x14ac:dyDescent="0.35">
      <c r="P3017" s="226"/>
      <c r="Q3017" s="226"/>
      <c r="R3017" s="226"/>
      <c r="S3017" s="226"/>
      <c r="T3017" s="226"/>
      <c r="U3017" s="226"/>
    </row>
    <row r="3018" spans="16:21" x14ac:dyDescent="0.35">
      <c r="P3018" s="226"/>
      <c r="Q3018" s="226"/>
      <c r="R3018" s="226"/>
      <c r="S3018" s="226"/>
      <c r="T3018" s="226"/>
      <c r="U3018" s="226"/>
    </row>
    <row r="3019" spans="16:21" x14ac:dyDescent="0.35">
      <c r="P3019" s="226"/>
      <c r="Q3019" s="226"/>
      <c r="R3019" s="226"/>
      <c r="S3019" s="226"/>
      <c r="T3019" s="226"/>
      <c r="U3019" s="226"/>
    </row>
    <row r="3020" spans="16:21" x14ac:dyDescent="0.35">
      <c r="P3020" s="226"/>
      <c r="Q3020" s="226"/>
      <c r="R3020" s="226"/>
      <c r="S3020" s="226"/>
      <c r="T3020" s="226"/>
      <c r="U3020" s="226"/>
    </row>
    <row r="3021" spans="16:21" x14ac:dyDescent="0.35">
      <c r="P3021" s="226"/>
      <c r="Q3021" s="226"/>
      <c r="R3021" s="226"/>
      <c r="S3021" s="226"/>
      <c r="T3021" s="226"/>
      <c r="U3021" s="226"/>
    </row>
    <row r="3022" spans="16:21" x14ac:dyDescent="0.35">
      <c r="P3022" s="226"/>
      <c r="Q3022" s="226"/>
      <c r="R3022" s="226"/>
      <c r="S3022" s="226"/>
      <c r="T3022" s="226"/>
      <c r="U3022" s="226"/>
    </row>
    <row r="3023" spans="16:21" x14ac:dyDescent="0.35">
      <c r="P3023" s="226"/>
      <c r="Q3023" s="226"/>
      <c r="R3023" s="226"/>
      <c r="S3023" s="226"/>
      <c r="T3023" s="226"/>
      <c r="U3023" s="226"/>
    </row>
    <row r="3024" spans="16:21" x14ac:dyDescent="0.35">
      <c r="P3024" s="226"/>
      <c r="Q3024" s="226"/>
      <c r="R3024" s="226"/>
      <c r="S3024" s="226"/>
      <c r="T3024" s="226"/>
      <c r="U3024" s="226"/>
    </row>
    <row r="3025" spans="16:21" x14ac:dyDescent="0.35">
      <c r="P3025" s="226"/>
      <c r="Q3025" s="226"/>
      <c r="R3025" s="226"/>
      <c r="S3025" s="226"/>
      <c r="T3025" s="226"/>
      <c r="U3025" s="226"/>
    </row>
    <row r="3026" spans="16:21" x14ac:dyDescent="0.35">
      <c r="P3026" s="226"/>
      <c r="Q3026" s="226"/>
      <c r="R3026" s="226"/>
      <c r="S3026" s="226"/>
      <c r="T3026" s="226"/>
      <c r="U3026" s="226"/>
    </row>
    <row r="3027" spans="16:21" x14ac:dyDescent="0.35">
      <c r="P3027" s="226"/>
      <c r="Q3027" s="226"/>
      <c r="R3027" s="226"/>
      <c r="S3027" s="226"/>
      <c r="T3027" s="226"/>
      <c r="U3027" s="226"/>
    </row>
    <row r="3028" spans="16:21" x14ac:dyDescent="0.35">
      <c r="P3028" s="226"/>
      <c r="Q3028" s="226"/>
      <c r="R3028" s="226"/>
      <c r="S3028" s="226"/>
      <c r="T3028" s="226"/>
      <c r="U3028" s="226"/>
    </row>
    <row r="3029" spans="16:21" x14ac:dyDescent="0.35">
      <c r="P3029" s="226"/>
      <c r="Q3029" s="226"/>
      <c r="R3029" s="226"/>
      <c r="S3029" s="226"/>
      <c r="T3029" s="226"/>
      <c r="U3029" s="226"/>
    </row>
    <row r="3030" spans="16:21" x14ac:dyDescent="0.35">
      <c r="P3030" s="226"/>
      <c r="Q3030" s="226"/>
      <c r="R3030" s="226"/>
      <c r="S3030" s="226"/>
      <c r="T3030" s="226"/>
      <c r="U3030" s="226"/>
    </row>
    <row r="3031" spans="16:21" x14ac:dyDescent="0.35">
      <c r="P3031" s="226"/>
      <c r="Q3031" s="226"/>
      <c r="R3031" s="226"/>
      <c r="S3031" s="226"/>
      <c r="T3031" s="226"/>
      <c r="U3031" s="226"/>
    </row>
    <row r="3032" spans="16:21" x14ac:dyDescent="0.35">
      <c r="P3032" s="226"/>
      <c r="Q3032" s="226"/>
      <c r="R3032" s="226"/>
      <c r="S3032" s="226"/>
      <c r="T3032" s="226"/>
      <c r="U3032" s="226"/>
    </row>
    <row r="3033" spans="16:21" x14ac:dyDescent="0.35">
      <c r="P3033" s="226"/>
      <c r="Q3033" s="226"/>
      <c r="R3033" s="226"/>
      <c r="S3033" s="226"/>
      <c r="T3033" s="226"/>
      <c r="U3033" s="226"/>
    </row>
    <row r="3034" spans="16:21" x14ac:dyDescent="0.35">
      <c r="P3034" s="226"/>
      <c r="Q3034" s="226"/>
      <c r="R3034" s="226"/>
      <c r="S3034" s="226"/>
      <c r="T3034" s="226"/>
      <c r="U3034" s="226"/>
    </row>
    <row r="3035" spans="16:21" x14ac:dyDescent="0.35">
      <c r="P3035" s="226"/>
      <c r="Q3035" s="226"/>
      <c r="R3035" s="226"/>
      <c r="S3035" s="226"/>
      <c r="T3035" s="226"/>
      <c r="U3035" s="226"/>
    </row>
    <row r="3036" spans="16:21" x14ac:dyDescent="0.35">
      <c r="P3036" s="226"/>
      <c r="Q3036" s="226"/>
      <c r="R3036" s="226"/>
      <c r="S3036" s="226"/>
      <c r="T3036" s="226"/>
      <c r="U3036" s="226"/>
    </row>
    <row r="3037" spans="16:21" x14ac:dyDescent="0.35">
      <c r="P3037" s="226"/>
      <c r="Q3037" s="226"/>
      <c r="R3037" s="226"/>
      <c r="S3037" s="226"/>
      <c r="T3037" s="226"/>
      <c r="U3037" s="226"/>
    </row>
    <row r="3038" spans="16:21" x14ac:dyDescent="0.35">
      <c r="P3038" s="226"/>
      <c r="Q3038" s="226"/>
      <c r="R3038" s="226"/>
      <c r="S3038" s="226"/>
      <c r="T3038" s="226"/>
      <c r="U3038" s="226"/>
    </row>
    <row r="3039" spans="16:21" x14ac:dyDescent="0.35">
      <c r="P3039" s="226"/>
      <c r="Q3039" s="226"/>
      <c r="R3039" s="226"/>
      <c r="S3039" s="226"/>
      <c r="T3039" s="226"/>
      <c r="U3039" s="226"/>
    </row>
    <row r="3040" spans="16:21" x14ac:dyDescent="0.35">
      <c r="P3040" s="226"/>
      <c r="Q3040" s="226"/>
      <c r="R3040" s="226"/>
      <c r="S3040" s="226"/>
      <c r="T3040" s="226"/>
      <c r="U3040" s="226"/>
    </row>
    <row r="3041" spans="16:21" x14ac:dyDescent="0.35">
      <c r="P3041" s="226"/>
      <c r="Q3041" s="226"/>
      <c r="R3041" s="226"/>
      <c r="S3041" s="226"/>
      <c r="T3041" s="226"/>
      <c r="U3041" s="226"/>
    </row>
    <row r="3042" spans="16:21" x14ac:dyDescent="0.35">
      <c r="P3042" s="226"/>
      <c r="Q3042" s="226"/>
      <c r="R3042" s="226"/>
      <c r="S3042" s="226"/>
      <c r="T3042" s="226"/>
      <c r="U3042" s="226"/>
    </row>
    <row r="3043" spans="16:21" x14ac:dyDescent="0.35">
      <c r="P3043" s="226"/>
      <c r="Q3043" s="226"/>
      <c r="R3043" s="226"/>
      <c r="S3043" s="226"/>
      <c r="T3043" s="226"/>
      <c r="U3043" s="226"/>
    </row>
    <row r="3044" spans="16:21" x14ac:dyDescent="0.35">
      <c r="P3044" s="226"/>
      <c r="Q3044" s="226"/>
      <c r="R3044" s="226"/>
      <c r="S3044" s="226"/>
      <c r="T3044" s="226"/>
      <c r="U3044" s="226"/>
    </row>
    <row r="3045" spans="16:21" x14ac:dyDescent="0.35">
      <c r="P3045" s="226"/>
      <c r="Q3045" s="226"/>
      <c r="R3045" s="226"/>
      <c r="S3045" s="226"/>
      <c r="T3045" s="226"/>
      <c r="U3045" s="226"/>
    </row>
    <row r="3046" spans="16:21" x14ac:dyDescent="0.35">
      <c r="P3046" s="226"/>
      <c r="Q3046" s="226"/>
      <c r="R3046" s="226"/>
      <c r="S3046" s="226"/>
      <c r="T3046" s="226"/>
      <c r="U3046" s="226"/>
    </row>
    <row r="3047" spans="16:21" x14ac:dyDescent="0.35">
      <c r="P3047" s="226"/>
      <c r="Q3047" s="226"/>
      <c r="R3047" s="226"/>
      <c r="S3047" s="226"/>
      <c r="T3047" s="226"/>
      <c r="U3047" s="226"/>
    </row>
    <row r="3048" spans="16:21" x14ac:dyDescent="0.35">
      <c r="P3048" s="226"/>
      <c r="Q3048" s="226"/>
      <c r="R3048" s="226"/>
      <c r="S3048" s="226"/>
      <c r="T3048" s="226"/>
      <c r="U3048" s="226"/>
    </row>
    <row r="3049" spans="16:21" x14ac:dyDescent="0.35">
      <c r="P3049" s="226"/>
      <c r="Q3049" s="226"/>
      <c r="R3049" s="226"/>
      <c r="S3049" s="226"/>
      <c r="T3049" s="226"/>
      <c r="U3049" s="226"/>
    </row>
    <row r="3050" spans="16:21" x14ac:dyDescent="0.35">
      <c r="P3050" s="226"/>
      <c r="Q3050" s="226"/>
      <c r="R3050" s="226"/>
      <c r="S3050" s="226"/>
      <c r="T3050" s="226"/>
      <c r="U3050" s="226"/>
    </row>
    <row r="3051" spans="16:21" x14ac:dyDescent="0.35">
      <c r="P3051" s="226"/>
      <c r="Q3051" s="226"/>
      <c r="R3051" s="226"/>
      <c r="S3051" s="226"/>
      <c r="T3051" s="226"/>
      <c r="U3051" s="226"/>
    </row>
    <row r="3052" spans="16:21" x14ac:dyDescent="0.35">
      <c r="P3052" s="226"/>
      <c r="Q3052" s="226"/>
      <c r="R3052" s="226"/>
      <c r="S3052" s="226"/>
      <c r="T3052" s="226"/>
      <c r="U3052" s="226"/>
    </row>
    <row r="3053" spans="16:21" x14ac:dyDescent="0.35">
      <c r="P3053" s="226"/>
      <c r="Q3053" s="226"/>
      <c r="R3053" s="226"/>
      <c r="S3053" s="226"/>
      <c r="T3053" s="226"/>
      <c r="U3053" s="226"/>
    </row>
    <row r="3054" spans="16:21" x14ac:dyDescent="0.35">
      <c r="P3054" s="226"/>
      <c r="Q3054" s="226"/>
      <c r="R3054" s="226"/>
      <c r="S3054" s="226"/>
      <c r="T3054" s="226"/>
      <c r="U3054" s="226"/>
    </row>
    <row r="3055" spans="16:21" x14ac:dyDescent="0.35">
      <c r="P3055" s="226"/>
      <c r="Q3055" s="226"/>
      <c r="R3055" s="226"/>
      <c r="S3055" s="226"/>
      <c r="T3055" s="226"/>
      <c r="U3055" s="226"/>
    </row>
    <row r="3056" spans="16:21" x14ac:dyDescent="0.35">
      <c r="P3056" s="226"/>
      <c r="Q3056" s="226"/>
      <c r="R3056" s="226"/>
      <c r="S3056" s="226"/>
      <c r="T3056" s="226"/>
      <c r="U3056" s="226"/>
    </row>
    <row r="3057" spans="16:21" x14ac:dyDescent="0.35">
      <c r="P3057" s="226"/>
      <c r="Q3057" s="226"/>
      <c r="R3057" s="226"/>
      <c r="S3057" s="226"/>
      <c r="T3057" s="226"/>
      <c r="U3057" s="226"/>
    </row>
    <row r="3058" spans="16:21" x14ac:dyDescent="0.35">
      <c r="P3058" s="226"/>
      <c r="Q3058" s="226"/>
      <c r="R3058" s="226"/>
      <c r="S3058" s="226"/>
      <c r="T3058" s="226"/>
      <c r="U3058" s="226"/>
    </row>
    <row r="3059" spans="16:21" x14ac:dyDescent="0.35">
      <c r="P3059" s="226"/>
      <c r="Q3059" s="226"/>
      <c r="R3059" s="226"/>
      <c r="S3059" s="226"/>
      <c r="T3059" s="226"/>
      <c r="U3059" s="226"/>
    </row>
    <row r="3060" spans="16:21" x14ac:dyDescent="0.35">
      <c r="P3060" s="226"/>
      <c r="Q3060" s="226"/>
      <c r="R3060" s="226"/>
      <c r="S3060" s="226"/>
      <c r="T3060" s="226"/>
      <c r="U3060" s="226"/>
    </row>
    <row r="3061" spans="16:21" x14ac:dyDescent="0.35">
      <c r="P3061" s="226"/>
      <c r="Q3061" s="226"/>
      <c r="R3061" s="226"/>
      <c r="S3061" s="226"/>
      <c r="T3061" s="226"/>
      <c r="U3061" s="226"/>
    </row>
    <row r="3062" spans="16:21" x14ac:dyDescent="0.35">
      <c r="P3062" s="226"/>
      <c r="Q3062" s="226"/>
      <c r="R3062" s="226"/>
      <c r="S3062" s="226"/>
      <c r="T3062" s="226"/>
      <c r="U3062" s="226"/>
    </row>
    <row r="3063" spans="16:21" x14ac:dyDescent="0.35">
      <c r="P3063" s="226"/>
      <c r="Q3063" s="226"/>
      <c r="R3063" s="226"/>
      <c r="S3063" s="226"/>
      <c r="T3063" s="226"/>
      <c r="U3063" s="226"/>
    </row>
    <row r="3064" spans="16:21" x14ac:dyDescent="0.35">
      <c r="P3064" s="226"/>
      <c r="Q3064" s="226"/>
      <c r="R3064" s="226"/>
      <c r="S3064" s="226"/>
      <c r="T3064" s="226"/>
      <c r="U3064" s="226"/>
    </row>
    <row r="3065" spans="16:21" x14ac:dyDescent="0.35">
      <c r="P3065" s="226"/>
      <c r="Q3065" s="226"/>
      <c r="R3065" s="226"/>
      <c r="S3065" s="226"/>
      <c r="T3065" s="226"/>
      <c r="U3065" s="226"/>
    </row>
    <row r="3066" spans="16:21" x14ac:dyDescent="0.35">
      <c r="P3066" s="226"/>
      <c r="Q3066" s="226"/>
      <c r="R3066" s="226"/>
      <c r="S3066" s="226"/>
      <c r="T3066" s="226"/>
      <c r="U3066" s="226"/>
    </row>
    <row r="3067" spans="16:21" x14ac:dyDescent="0.35">
      <c r="P3067" s="226"/>
      <c r="Q3067" s="226"/>
      <c r="R3067" s="226"/>
      <c r="S3067" s="226"/>
      <c r="T3067" s="226"/>
      <c r="U3067" s="226"/>
    </row>
    <row r="3068" spans="16:21" x14ac:dyDescent="0.35">
      <c r="P3068" s="226"/>
      <c r="Q3068" s="226"/>
      <c r="R3068" s="226"/>
      <c r="S3068" s="226"/>
      <c r="T3068" s="226"/>
      <c r="U3068" s="226"/>
    </row>
    <row r="3069" spans="16:21" x14ac:dyDescent="0.35">
      <c r="P3069" s="226"/>
      <c r="Q3069" s="226"/>
      <c r="R3069" s="226"/>
      <c r="S3069" s="226"/>
      <c r="T3069" s="226"/>
      <c r="U3069" s="226"/>
    </row>
    <row r="3070" spans="16:21" x14ac:dyDescent="0.35">
      <c r="P3070" s="226"/>
      <c r="Q3070" s="226"/>
      <c r="R3070" s="226"/>
      <c r="S3070" s="226"/>
      <c r="T3070" s="226"/>
      <c r="U3070" s="226"/>
    </row>
    <row r="3071" spans="16:21" x14ac:dyDescent="0.35">
      <c r="P3071" s="226"/>
      <c r="Q3071" s="226"/>
      <c r="R3071" s="226"/>
      <c r="S3071" s="226"/>
      <c r="T3071" s="226"/>
      <c r="U3071" s="226"/>
    </row>
    <row r="3072" spans="16:21" x14ac:dyDescent="0.35">
      <c r="P3072" s="226"/>
      <c r="Q3072" s="226"/>
      <c r="R3072" s="226"/>
      <c r="S3072" s="226"/>
      <c r="T3072" s="226"/>
      <c r="U3072" s="226"/>
    </row>
    <row r="3073" spans="16:21" x14ac:dyDescent="0.35">
      <c r="P3073" s="226"/>
      <c r="Q3073" s="226"/>
      <c r="R3073" s="226"/>
      <c r="S3073" s="226"/>
      <c r="T3073" s="226"/>
      <c r="U3073" s="226"/>
    </row>
    <row r="3074" spans="16:21" x14ac:dyDescent="0.35">
      <c r="P3074" s="226"/>
      <c r="Q3074" s="226"/>
      <c r="R3074" s="226"/>
      <c r="S3074" s="226"/>
      <c r="T3074" s="226"/>
      <c r="U3074" s="226"/>
    </row>
    <row r="3075" spans="16:21" x14ac:dyDescent="0.35">
      <c r="P3075" s="226"/>
      <c r="Q3075" s="226"/>
      <c r="R3075" s="226"/>
      <c r="S3075" s="226"/>
      <c r="T3075" s="226"/>
      <c r="U3075" s="226"/>
    </row>
    <row r="3076" spans="16:21" x14ac:dyDescent="0.35">
      <c r="P3076" s="226"/>
      <c r="Q3076" s="226"/>
      <c r="R3076" s="226"/>
      <c r="S3076" s="226"/>
      <c r="T3076" s="226"/>
      <c r="U3076" s="226"/>
    </row>
    <row r="3077" spans="16:21" x14ac:dyDescent="0.35">
      <c r="P3077" s="226"/>
      <c r="Q3077" s="226"/>
      <c r="R3077" s="226"/>
      <c r="S3077" s="226"/>
      <c r="T3077" s="226"/>
      <c r="U3077" s="226"/>
    </row>
    <row r="3078" spans="16:21" x14ac:dyDescent="0.35">
      <c r="P3078" s="226"/>
      <c r="Q3078" s="226"/>
      <c r="R3078" s="226"/>
      <c r="S3078" s="226"/>
      <c r="T3078" s="226"/>
      <c r="U3078" s="226"/>
    </row>
    <row r="3079" spans="16:21" x14ac:dyDescent="0.35">
      <c r="P3079" s="226"/>
      <c r="Q3079" s="226"/>
      <c r="R3079" s="226"/>
      <c r="S3079" s="226"/>
      <c r="T3079" s="226"/>
      <c r="U3079" s="226"/>
    </row>
    <row r="3080" spans="16:21" x14ac:dyDescent="0.35">
      <c r="P3080" s="226"/>
      <c r="Q3080" s="226"/>
      <c r="R3080" s="226"/>
      <c r="S3080" s="226"/>
      <c r="T3080" s="226"/>
      <c r="U3080" s="226"/>
    </row>
    <row r="3081" spans="16:21" x14ac:dyDescent="0.35">
      <c r="P3081" s="226"/>
      <c r="Q3081" s="226"/>
      <c r="R3081" s="226"/>
      <c r="S3081" s="226"/>
      <c r="T3081" s="226"/>
      <c r="U3081" s="226"/>
    </row>
    <row r="3082" spans="16:21" x14ac:dyDescent="0.35">
      <c r="P3082" s="226"/>
      <c r="Q3082" s="226"/>
      <c r="R3082" s="226"/>
      <c r="S3082" s="226"/>
      <c r="T3082" s="226"/>
      <c r="U3082" s="226"/>
    </row>
    <row r="3083" spans="16:21" x14ac:dyDescent="0.35">
      <c r="P3083" s="226"/>
      <c r="Q3083" s="226"/>
      <c r="R3083" s="226"/>
      <c r="S3083" s="226"/>
      <c r="T3083" s="226"/>
      <c r="U3083" s="226"/>
    </row>
    <row r="3084" spans="16:21" x14ac:dyDescent="0.35">
      <c r="P3084" s="226"/>
      <c r="Q3084" s="226"/>
      <c r="R3084" s="226"/>
      <c r="S3084" s="226"/>
      <c r="T3084" s="226"/>
      <c r="U3084" s="226"/>
    </row>
    <row r="3085" spans="16:21" x14ac:dyDescent="0.35">
      <c r="P3085" s="226"/>
      <c r="Q3085" s="226"/>
      <c r="R3085" s="226"/>
      <c r="S3085" s="226"/>
      <c r="T3085" s="226"/>
      <c r="U3085" s="226"/>
    </row>
    <row r="3086" spans="16:21" x14ac:dyDescent="0.35">
      <c r="P3086" s="226"/>
      <c r="Q3086" s="226"/>
      <c r="R3086" s="226"/>
      <c r="S3086" s="226"/>
      <c r="T3086" s="226"/>
      <c r="U3086" s="226"/>
    </row>
    <row r="3087" spans="16:21" x14ac:dyDescent="0.35">
      <c r="P3087" s="226"/>
      <c r="Q3087" s="226"/>
      <c r="R3087" s="226"/>
      <c r="S3087" s="226"/>
      <c r="T3087" s="226"/>
      <c r="U3087" s="226"/>
    </row>
    <row r="3088" spans="16:21" x14ac:dyDescent="0.35">
      <c r="P3088" s="226"/>
      <c r="Q3088" s="226"/>
      <c r="R3088" s="226"/>
      <c r="S3088" s="226"/>
      <c r="T3088" s="226"/>
      <c r="U3088" s="226"/>
    </row>
    <row r="3089" spans="16:21" x14ac:dyDescent="0.35">
      <c r="P3089" s="226"/>
      <c r="Q3089" s="226"/>
      <c r="R3089" s="226"/>
      <c r="S3089" s="226"/>
      <c r="T3089" s="226"/>
      <c r="U3089" s="226"/>
    </row>
    <row r="3090" spans="16:21" x14ac:dyDescent="0.35">
      <c r="P3090" s="226"/>
      <c r="Q3090" s="226"/>
      <c r="R3090" s="226"/>
      <c r="S3090" s="226"/>
      <c r="T3090" s="226"/>
      <c r="U3090" s="226"/>
    </row>
    <row r="3091" spans="16:21" x14ac:dyDescent="0.35">
      <c r="P3091" s="226"/>
      <c r="Q3091" s="226"/>
      <c r="R3091" s="226"/>
      <c r="S3091" s="226"/>
      <c r="T3091" s="226"/>
      <c r="U3091" s="226"/>
    </row>
    <row r="3092" spans="16:21" x14ac:dyDescent="0.35">
      <c r="P3092" s="226"/>
      <c r="Q3092" s="226"/>
      <c r="R3092" s="226"/>
      <c r="S3092" s="226"/>
      <c r="T3092" s="226"/>
      <c r="U3092" s="226"/>
    </row>
    <row r="3093" spans="16:21" x14ac:dyDescent="0.35">
      <c r="P3093" s="226"/>
      <c r="Q3093" s="226"/>
      <c r="R3093" s="226"/>
      <c r="S3093" s="226"/>
      <c r="T3093" s="226"/>
      <c r="U3093" s="226"/>
    </row>
    <row r="3094" spans="16:21" x14ac:dyDescent="0.35">
      <c r="P3094" s="226"/>
      <c r="Q3094" s="226"/>
      <c r="R3094" s="226"/>
      <c r="S3094" s="226"/>
      <c r="T3094" s="226"/>
      <c r="U3094" s="226"/>
    </row>
    <row r="3095" spans="16:21" x14ac:dyDescent="0.35">
      <c r="P3095" s="226"/>
      <c r="Q3095" s="226"/>
      <c r="R3095" s="226"/>
      <c r="S3095" s="226"/>
      <c r="T3095" s="226"/>
      <c r="U3095" s="226"/>
    </row>
    <row r="3096" spans="16:21" x14ac:dyDescent="0.35">
      <c r="P3096" s="226"/>
      <c r="Q3096" s="226"/>
      <c r="R3096" s="226"/>
      <c r="S3096" s="226"/>
      <c r="T3096" s="226"/>
      <c r="U3096" s="226"/>
    </row>
    <row r="3097" spans="16:21" x14ac:dyDescent="0.35">
      <c r="P3097" s="226"/>
      <c r="Q3097" s="226"/>
      <c r="R3097" s="226"/>
      <c r="S3097" s="226"/>
      <c r="T3097" s="226"/>
      <c r="U3097" s="226"/>
    </row>
    <row r="3098" spans="16:21" x14ac:dyDescent="0.35">
      <c r="P3098" s="226"/>
      <c r="Q3098" s="226"/>
      <c r="R3098" s="226"/>
      <c r="S3098" s="226"/>
      <c r="T3098" s="226"/>
      <c r="U3098" s="226"/>
    </row>
    <row r="3099" spans="16:21" x14ac:dyDescent="0.35">
      <c r="P3099" s="226"/>
      <c r="Q3099" s="226"/>
      <c r="R3099" s="226"/>
      <c r="S3099" s="226"/>
      <c r="T3099" s="226"/>
      <c r="U3099" s="226"/>
    </row>
    <row r="3100" spans="16:21" x14ac:dyDescent="0.35">
      <c r="P3100" s="226"/>
      <c r="Q3100" s="226"/>
      <c r="R3100" s="226"/>
      <c r="S3100" s="226"/>
      <c r="T3100" s="226"/>
      <c r="U3100" s="226"/>
    </row>
    <row r="3101" spans="16:21" x14ac:dyDescent="0.35">
      <c r="P3101" s="226"/>
      <c r="Q3101" s="226"/>
      <c r="R3101" s="226"/>
      <c r="S3101" s="226"/>
      <c r="T3101" s="226"/>
      <c r="U3101" s="226"/>
    </row>
    <row r="3102" spans="16:21" x14ac:dyDescent="0.35">
      <c r="P3102" s="226"/>
      <c r="Q3102" s="226"/>
      <c r="R3102" s="226"/>
      <c r="S3102" s="226"/>
      <c r="T3102" s="226"/>
      <c r="U3102" s="226"/>
    </row>
    <row r="3103" spans="16:21" x14ac:dyDescent="0.35">
      <c r="P3103" s="226"/>
      <c r="Q3103" s="226"/>
      <c r="R3103" s="226"/>
      <c r="S3103" s="226"/>
      <c r="T3103" s="226"/>
      <c r="U3103" s="226"/>
    </row>
    <row r="3104" spans="16:21" x14ac:dyDescent="0.35">
      <c r="P3104" s="226"/>
      <c r="Q3104" s="226"/>
      <c r="R3104" s="226"/>
      <c r="S3104" s="226"/>
      <c r="T3104" s="226"/>
      <c r="U3104" s="226"/>
    </row>
    <row r="3105" spans="16:21" x14ac:dyDescent="0.35">
      <c r="P3105" s="226"/>
      <c r="Q3105" s="226"/>
      <c r="R3105" s="226"/>
      <c r="S3105" s="226"/>
      <c r="T3105" s="226"/>
      <c r="U3105" s="226"/>
    </row>
    <row r="3106" spans="16:21" x14ac:dyDescent="0.35">
      <c r="P3106" s="226"/>
      <c r="Q3106" s="226"/>
      <c r="R3106" s="226"/>
      <c r="S3106" s="226"/>
      <c r="T3106" s="226"/>
      <c r="U3106" s="226"/>
    </row>
    <row r="3107" spans="16:21" x14ac:dyDescent="0.35">
      <c r="P3107" s="226"/>
      <c r="Q3107" s="226"/>
      <c r="R3107" s="226"/>
      <c r="S3107" s="226"/>
      <c r="T3107" s="226"/>
      <c r="U3107" s="226"/>
    </row>
    <row r="3108" spans="16:21" x14ac:dyDescent="0.35">
      <c r="P3108" s="226"/>
      <c r="Q3108" s="226"/>
      <c r="R3108" s="226"/>
      <c r="S3108" s="226"/>
      <c r="T3108" s="226"/>
      <c r="U3108" s="226"/>
    </row>
    <row r="3109" spans="16:21" x14ac:dyDescent="0.35">
      <c r="P3109" s="226"/>
      <c r="Q3109" s="226"/>
      <c r="R3109" s="226"/>
      <c r="S3109" s="226"/>
      <c r="T3109" s="226"/>
      <c r="U3109" s="226"/>
    </row>
    <row r="3110" spans="16:21" x14ac:dyDescent="0.35">
      <c r="P3110" s="226"/>
      <c r="Q3110" s="226"/>
      <c r="R3110" s="226"/>
      <c r="S3110" s="226"/>
      <c r="T3110" s="226"/>
      <c r="U3110" s="226"/>
    </row>
    <row r="3111" spans="16:21" x14ac:dyDescent="0.35">
      <c r="P3111" s="226"/>
      <c r="Q3111" s="226"/>
      <c r="R3111" s="226"/>
      <c r="S3111" s="226"/>
      <c r="T3111" s="226"/>
      <c r="U3111" s="226"/>
    </row>
    <row r="3112" spans="16:21" x14ac:dyDescent="0.35">
      <c r="P3112" s="226"/>
      <c r="Q3112" s="226"/>
      <c r="R3112" s="226"/>
      <c r="S3112" s="226"/>
      <c r="T3112" s="226"/>
      <c r="U3112" s="226"/>
    </row>
    <row r="3113" spans="16:21" x14ac:dyDescent="0.35">
      <c r="P3113" s="226"/>
      <c r="Q3113" s="226"/>
      <c r="R3113" s="226"/>
      <c r="S3113" s="226"/>
      <c r="T3113" s="226"/>
      <c r="U3113" s="226"/>
    </row>
    <row r="3114" spans="16:21" x14ac:dyDescent="0.35">
      <c r="P3114" s="226"/>
      <c r="Q3114" s="226"/>
      <c r="R3114" s="226"/>
      <c r="S3114" s="226"/>
      <c r="T3114" s="226"/>
      <c r="U3114" s="226"/>
    </row>
    <row r="3115" spans="16:21" x14ac:dyDescent="0.35">
      <c r="P3115" s="226"/>
      <c r="Q3115" s="226"/>
      <c r="R3115" s="226"/>
      <c r="S3115" s="226"/>
      <c r="T3115" s="226"/>
      <c r="U3115" s="226"/>
    </row>
    <row r="3116" spans="16:21" x14ac:dyDescent="0.35">
      <c r="P3116" s="226"/>
      <c r="Q3116" s="226"/>
      <c r="R3116" s="226"/>
      <c r="S3116" s="226"/>
      <c r="T3116" s="226"/>
      <c r="U3116" s="226"/>
    </row>
    <row r="3117" spans="16:21" x14ac:dyDescent="0.35">
      <c r="P3117" s="226"/>
      <c r="Q3117" s="226"/>
      <c r="R3117" s="226"/>
      <c r="S3117" s="226"/>
      <c r="T3117" s="226"/>
      <c r="U3117" s="226"/>
    </row>
    <row r="3118" spans="16:21" x14ac:dyDescent="0.35">
      <c r="P3118" s="226"/>
      <c r="Q3118" s="226"/>
      <c r="R3118" s="226"/>
      <c r="S3118" s="226"/>
      <c r="T3118" s="226"/>
      <c r="U3118" s="226"/>
    </row>
    <row r="3119" spans="16:21" x14ac:dyDescent="0.35">
      <c r="P3119" s="226"/>
      <c r="Q3119" s="226"/>
      <c r="R3119" s="226"/>
      <c r="S3119" s="226"/>
      <c r="T3119" s="226"/>
      <c r="U3119" s="226"/>
    </row>
    <row r="3120" spans="16:21" x14ac:dyDescent="0.35">
      <c r="P3120" s="226"/>
      <c r="Q3120" s="226"/>
      <c r="R3120" s="226"/>
      <c r="S3120" s="226"/>
      <c r="T3120" s="226"/>
      <c r="U3120" s="226"/>
    </row>
    <row r="3121" spans="16:21" x14ac:dyDescent="0.35">
      <c r="P3121" s="226"/>
      <c r="Q3121" s="226"/>
      <c r="R3121" s="226"/>
      <c r="S3121" s="226"/>
      <c r="T3121" s="226"/>
      <c r="U3121" s="226"/>
    </row>
    <row r="3122" spans="16:21" x14ac:dyDescent="0.35">
      <c r="P3122" s="226"/>
      <c r="Q3122" s="226"/>
      <c r="R3122" s="226"/>
      <c r="S3122" s="226"/>
      <c r="T3122" s="226"/>
      <c r="U3122" s="226"/>
    </row>
    <row r="3123" spans="16:21" x14ac:dyDescent="0.35">
      <c r="P3123" s="226"/>
      <c r="Q3123" s="226"/>
      <c r="R3123" s="226"/>
      <c r="S3123" s="226"/>
      <c r="T3123" s="226"/>
      <c r="U3123" s="226"/>
    </row>
    <row r="3124" spans="16:21" x14ac:dyDescent="0.35">
      <c r="P3124" s="226"/>
      <c r="Q3124" s="226"/>
      <c r="R3124" s="226"/>
      <c r="S3124" s="226"/>
      <c r="T3124" s="226"/>
      <c r="U3124" s="226"/>
    </row>
    <row r="3125" spans="16:21" x14ac:dyDescent="0.35">
      <c r="P3125" s="226"/>
      <c r="Q3125" s="226"/>
      <c r="R3125" s="226"/>
      <c r="S3125" s="226"/>
      <c r="T3125" s="226"/>
      <c r="U3125" s="226"/>
    </row>
    <row r="3126" spans="16:21" x14ac:dyDescent="0.35">
      <c r="P3126" s="226"/>
      <c r="Q3126" s="226"/>
      <c r="R3126" s="226"/>
      <c r="S3126" s="226"/>
      <c r="T3126" s="226"/>
      <c r="U3126" s="226"/>
    </row>
    <row r="3127" spans="16:21" x14ac:dyDescent="0.35">
      <c r="P3127" s="226"/>
      <c r="Q3127" s="226"/>
      <c r="R3127" s="226"/>
      <c r="S3127" s="226"/>
      <c r="T3127" s="226"/>
      <c r="U3127" s="226"/>
    </row>
    <row r="3128" spans="16:21" x14ac:dyDescent="0.35">
      <c r="P3128" s="226"/>
      <c r="Q3128" s="226"/>
      <c r="R3128" s="226"/>
      <c r="S3128" s="226"/>
      <c r="T3128" s="226"/>
      <c r="U3128" s="226"/>
    </row>
    <row r="3129" spans="16:21" x14ac:dyDescent="0.35">
      <c r="P3129" s="226"/>
      <c r="Q3129" s="226"/>
      <c r="R3129" s="226"/>
      <c r="S3129" s="226"/>
      <c r="T3129" s="226"/>
      <c r="U3129" s="226"/>
    </row>
    <row r="3130" spans="16:21" x14ac:dyDescent="0.35">
      <c r="P3130" s="226"/>
      <c r="Q3130" s="226"/>
      <c r="R3130" s="226"/>
      <c r="S3130" s="226"/>
      <c r="T3130" s="226"/>
      <c r="U3130" s="226"/>
    </row>
    <row r="3131" spans="16:21" x14ac:dyDescent="0.35">
      <c r="P3131" s="226"/>
      <c r="Q3131" s="226"/>
      <c r="R3131" s="226"/>
      <c r="S3131" s="226"/>
      <c r="T3131" s="226"/>
      <c r="U3131" s="226"/>
    </row>
    <row r="3132" spans="16:21" x14ac:dyDescent="0.35">
      <c r="P3132" s="226"/>
      <c r="Q3132" s="226"/>
      <c r="R3132" s="226"/>
      <c r="S3132" s="226"/>
      <c r="T3132" s="226"/>
      <c r="U3132" s="226"/>
    </row>
    <row r="3133" spans="16:21" x14ac:dyDescent="0.35">
      <c r="P3133" s="226"/>
      <c r="Q3133" s="226"/>
      <c r="R3133" s="226"/>
      <c r="S3133" s="226"/>
      <c r="T3133" s="226"/>
      <c r="U3133" s="226"/>
    </row>
    <row r="3134" spans="16:21" x14ac:dyDescent="0.35">
      <c r="P3134" s="226"/>
      <c r="Q3134" s="226"/>
      <c r="R3134" s="226"/>
      <c r="S3134" s="226"/>
      <c r="T3134" s="226"/>
      <c r="U3134" s="226"/>
    </row>
    <row r="3135" spans="16:21" x14ac:dyDescent="0.35">
      <c r="P3135" s="226"/>
      <c r="Q3135" s="226"/>
      <c r="R3135" s="226"/>
      <c r="S3135" s="226"/>
      <c r="T3135" s="226"/>
      <c r="U3135" s="226"/>
    </row>
    <row r="3136" spans="16:21" x14ac:dyDescent="0.35">
      <c r="P3136" s="226"/>
      <c r="Q3136" s="226"/>
      <c r="R3136" s="226"/>
      <c r="S3136" s="226"/>
      <c r="T3136" s="226"/>
      <c r="U3136" s="226"/>
    </row>
    <row r="3137" spans="16:21" x14ac:dyDescent="0.35">
      <c r="P3137" s="226"/>
      <c r="Q3137" s="226"/>
      <c r="R3137" s="226"/>
      <c r="S3137" s="226"/>
      <c r="T3137" s="226"/>
      <c r="U3137" s="226"/>
    </row>
    <row r="3138" spans="16:21" x14ac:dyDescent="0.35">
      <c r="P3138" s="226"/>
      <c r="Q3138" s="226"/>
      <c r="R3138" s="226"/>
      <c r="S3138" s="226"/>
      <c r="T3138" s="226"/>
      <c r="U3138" s="226"/>
    </row>
    <row r="3139" spans="16:21" x14ac:dyDescent="0.35">
      <c r="P3139" s="226"/>
      <c r="Q3139" s="226"/>
      <c r="R3139" s="226"/>
      <c r="S3139" s="226"/>
      <c r="T3139" s="226"/>
      <c r="U3139" s="226"/>
    </row>
    <row r="3140" spans="16:21" x14ac:dyDescent="0.35">
      <c r="P3140" s="226"/>
      <c r="Q3140" s="226"/>
      <c r="R3140" s="226"/>
      <c r="S3140" s="226"/>
      <c r="T3140" s="226"/>
      <c r="U3140" s="226"/>
    </row>
    <row r="3141" spans="16:21" x14ac:dyDescent="0.35">
      <c r="P3141" s="226"/>
      <c r="Q3141" s="226"/>
      <c r="R3141" s="226"/>
      <c r="S3141" s="226"/>
      <c r="T3141" s="226"/>
      <c r="U3141" s="226"/>
    </row>
    <row r="3142" spans="16:21" x14ac:dyDescent="0.35">
      <c r="P3142" s="226"/>
      <c r="Q3142" s="226"/>
      <c r="R3142" s="226"/>
      <c r="S3142" s="226"/>
      <c r="T3142" s="226"/>
      <c r="U3142" s="226"/>
    </row>
    <row r="3143" spans="16:21" x14ac:dyDescent="0.35">
      <c r="P3143" s="226"/>
      <c r="Q3143" s="226"/>
      <c r="R3143" s="226"/>
      <c r="S3143" s="226"/>
      <c r="T3143" s="226"/>
      <c r="U3143" s="226"/>
    </row>
    <row r="3144" spans="16:21" x14ac:dyDescent="0.35">
      <c r="P3144" s="226"/>
      <c r="Q3144" s="226"/>
      <c r="R3144" s="226"/>
      <c r="S3144" s="226"/>
      <c r="T3144" s="226"/>
      <c r="U3144" s="226"/>
    </row>
    <row r="3145" spans="16:21" x14ac:dyDescent="0.35">
      <c r="P3145" s="226"/>
      <c r="Q3145" s="226"/>
      <c r="R3145" s="226"/>
      <c r="S3145" s="226"/>
      <c r="T3145" s="226"/>
      <c r="U3145" s="226"/>
    </row>
    <row r="3146" spans="16:21" x14ac:dyDescent="0.35">
      <c r="P3146" s="226"/>
      <c r="Q3146" s="226"/>
      <c r="R3146" s="226"/>
      <c r="S3146" s="226"/>
      <c r="T3146" s="226"/>
      <c r="U3146" s="226"/>
    </row>
    <row r="3147" spans="16:21" x14ac:dyDescent="0.35">
      <c r="P3147" s="226"/>
      <c r="Q3147" s="226"/>
      <c r="R3147" s="226"/>
      <c r="S3147" s="226"/>
      <c r="T3147" s="226"/>
      <c r="U3147" s="226"/>
    </row>
    <row r="3148" spans="16:21" x14ac:dyDescent="0.35">
      <c r="P3148" s="226"/>
      <c r="Q3148" s="226"/>
      <c r="R3148" s="226"/>
      <c r="S3148" s="226"/>
      <c r="T3148" s="226"/>
      <c r="U3148" s="226"/>
    </row>
    <row r="3149" spans="16:21" x14ac:dyDescent="0.35">
      <c r="P3149" s="226"/>
      <c r="Q3149" s="226"/>
      <c r="R3149" s="226"/>
      <c r="S3149" s="226"/>
      <c r="T3149" s="226"/>
      <c r="U3149" s="226"/>
    </row>
    <row r="3150" spans="16:21" x14ac:dyDescent="0.35">
      <c r="P3150" s="226"/>
      <c r="Q3150" s="226"/>
      <c r="R3150" s="226"/>
      <c r="S3150" s="226"/>
      <c r="T3150" s="226"/>
      <c r="U3150" s="226"/>
    </row>
    <row r="3151" spans="16:21" x14ac:dyDescent="0.35">
      <c r="P3151" s="226"/>
      <c r="Q3151" s="226"/>
      <c r="R3151" s="226"/>
      <c r="S3151" s="226"/>
      <c r="T3151" s="226"/>
      <c r="U3151" s="226"/>
    </row>
    <row r="3152" spans="16:21" x14ac:dyDescent="0.35">
      <c r="P3152" s="226"/>
      <c r="Q3152" s="226"/>
      <c r="R3152" s="226"/>
      <c r="S3152" s="226"/>
      <c r="T3152" s="226"/>
      <c r="U3152" s="226"/>
    </row>
    <row r="3153" spans="16:21" x14ac:dyDescent="0.35">
      <c r="P3153" s="226"/>
      <c r="Q3153" s="226"/>
      <c r="R3153" s="226"/>
      <c r="S3153" s="226"/>
      <c r="T3153" s="226"/>
      <c r="U3153" s="226"/>
    </row>
    <row r="3154" spans="16:21" x14ac:dyDescent="0.35">
      <c r="P3154" s="226"/>
      <c r="Q3154" s="226"/>
      <c r="R3154" s="226"/>
      <c r="S3154" s="226"/>
      <c r="T3154" s="226"/>
      <c r="U3154" s="226"/>
    </row>
    <row r="3155" spans="16:21" x14ac:dyDescent="0.35">
      <c r="P3155" s="226"/>
      <c r="Q3155" s="226"/>
      <c r="R3155" s="226"/>
      <c r="S3155" s="226"/>
      <c r="T3155" s="226"/>
      <c r="U3155" s="226"/>
    </row>
    <row r="3156" spans="16:21" x14ac:dyDescent="0.35">
      <c r="P3156" s="226"/>
      <c r="Q3156" s="226"/>
      <c r="R3156" s="226"/>
      <c r="S3156" s="226"/>
      <c r="T3156" s="226"/>
      <c r="U3156" s="226"/>
    </row>
    <row r="3157" spans="16:21" x14ac:dyDescent="0.35">
      <c r="P3157" s="226"/>
      <c r="Q3157" s="226"/>
      <c r="R3157" s="226"/>
      <c r="S3157" s="226"/>
      <c r="T3157" s="226"/>
      <c r="U3157" s="226"/>
    </row>
    <row r="3158" spans="16:21" x14ac:dyDescent="0.35">
      <c r="P3158" s="226"/>
      <c r="Q3158" s="226"/>
      <c r="R3158" s="226"/>
      <c r="S3158" s="226"/>
      <c r="T3158" s="226"/>
      <c r="U3158" s="226"/>
    </row>
    <row r="3159" spans="16:21" x14ac:dyDescent="0.35">
      <c r="P3159" s="226"/>
      <c r="Q3159" s="226"/>
      <c r="R3159" s="226"/>
      <c r="S3159" s="226"/>
      <c r="T3159" s="226"/>
      <c r="U3159" s="226"/>
    </row>
    <row r="3160" spans="16:21" x14ac:dyDescent="0.35">
      <c r="P3160" s="226"/>
      <c r="Q3160" s="226"/>
      <c r="R3160" s="226"/>
      <c r="S3160" s="226"/>
      <c r="T3160" s="226"/>
      <c r="U3160" s="226"/>
    </row>
    <row r="3161" spans="16:21" x14ac:dyDescent="0.35">
      <c r="P3161" s="226"/>
      <c r="Q3161" s="226"/>
      <c r="R3161" s="226"/>
      <c r="S3161" s="226"/>
      <c r="T3161" s="226"/>
      <c r="U3161" s="226"/>
    </row>
    <row r="3162" spans="16:21" x14ac:dyDescent="0.35">
      <c r="P3162" s="226"/>
      <c r="Q3162" s="226"/>
      <c r="R3162" s="226"/>
      <c r="S3162" s="226"/>
      <c r="T3162" s="226"/>
      <c r="U3162" s="226"/>
    </row>
    <row r="3163" spans="16:21" x14ac:dyDescent="0.35">
      <c r="P3163" s="226"/>
      <c r="Q3163" s="226"/>
      <c r="R3163" s="226"/>
      <c r="S3163" s="226"/>
      <c r="T3163" s="226"/>
      <c r="U3163" s="226"/>
    </row>
    <row r="3164" spans="16:21" x14ac:dyDescent="0.35">
      <c r="P3164" s="226"/>
      <c r="Q3164" s="226"/>
      <c r="R3164" s="226"/>
      <c r="S3164" s="226"/>
      <c r="T3164" s="226"/>
      <c r="U3164" s="226"/>
    </row>
    <row r="3165" spans="16:21" x14ac:dyDescent="0.35">
      <c r="P3165" s="226"/>
      <c r="Q3165" s="226"/>
      <c r="R3165" s="226"/>
      <c r="S3165" s="226"/>
      <c r="T3165" s="226"/>
      <c r="U3165" s="226"/>
    </row>
    <row r="3166" spans="16:21" x14ac:dyDescent="0.35">
      <c r="P3166" s="226"/>
      <c r="Q3166" s="226"/>
      <c r="R3166" s="226"/>
      <c r="S3166" s="226"/>
      <c r="T3166" s="226"/>
      <c r="U3166" s="226"/>
    </row>
    <row r="3167" spans="16:21" x14ac:dyDescent="0.35">
      <c r="P3167" s="226"/>
      <c r="Q3167" s="226"/>
      <c r="R3167" s="226"/>
      <c r="S3167" s="226"/>
      <c r="T3167" s="226"/>
      <c r="U3167" s="226"/>
    </row>
    <row r="3168" spans="16:21" x14ac:dyDescent="0.35">
      <c r="P3168" s="226"/>
      <c r="Q3168" s="226"/>
      <c r="R3168" s="226"/>
      <c r="S3168" s="226"/>
      <c r="T3168" s="226"/>
      <c r="U3168" s="226"/>
    </row>
    <row r="3169" spans="16:21" x14ac:dyDescent="0.35">
      <c r="P3169" s="226"/>
      <c r="Q3169" s="226"/>
      <c r="R3169" s="226"/>
      <c r="S3169" s="226"/>
      <c r="T3169" s="226"/>
      <c r="U3169" s="226"/>
    </row>
    <row r="3170" spans="16:21" x14ac:dyDescent="0.35">
      <c r="P3170" s="226"/>
      <c r="Q3170" s="226"/>
      <c r="R3170" s="226"/>
      <c r="S3170" s="226"/>
      <c r="T3170" s="226"/>
      <c r="U3170" s="226"/>
    </row>
    <row r="3171" spans="16:21" x14ac:dyDescent="0.35">
      <c r="P3171" s="226"/>
      <c r="Q3171" s="226"/>
      <c r="R3171" s="226"/>
      <c r="S3171" s="226"/>
      <c r="T3171" s="226"/>
      <c r="U3171" s="226"/>
    </row>
    <row r="3172" spans="16:21" x14ac:dyDescent="0.35">
      <c r="P3172" s="226"/>
      <c r="Q3172" s="226"/>
      <c r="R3172" s="226"/>
      <c r="S3172" s="226"/>
      <c r="T3172" s="226"/>
      <c r="U3172" s="226"/>
    </row>
    <row r="3173" spans="16:21" x14ac:dyDescent="0.35">
      <c r="P3173" s="226"/>
      <c r="Q3173" s="226"/>
      <c r="R3173" s="226"/>
      <c r="S3173" s="226"/>
      <c r="T3173" s="226"/>
      <c r="U3173" s="226"/>
    </row>
    <row r="3174" spans="16:21" x14ac:dyDescent="0.35">
      <c r="P3174" s="226"/>
      <c r="Q3174" s="226"/>
      <c r="R3174" s="226"/>
      <c r="S3174" s="226"/>
      <c r="T3174" s="226"/>
      <c r="U3174" s="226"/>
    </row>
    <row r="3175" spans="16:21" x14ac:dyDescent="0.35">
      <c r="P3175" s="226"/>
      <c r="Q3175" s="226"/>
      <c r="R3175" s="226"/>
      <c r="S3175" s="226"/>
      <c r="T3175" s="226"/>
      <c r="U3175" s="226"/>
    </row>
    <row r="3176" spans="16:21" x14ac:dyDescent="0.35">
      <c r="P3176" s="226"/>
      <c r="Q3176" s="226"/>
      <c r="R3176" s="226"/>
      <c r="S3176" s="226"/>
      <c r="T3176" s="226"/>
      <c r="U3176" s="226"/>
    </row>
    <row r="3177" spans="16:21" x14ac:dyDescent="0.35">
      <c r="P3177" s="226"/>
      <c r="Q3177" s="226"/>
      <c r="R3177" s="226"/>
      <c r="S3177" s="226"/>
      <c r="T3177" s="226"/>
      <c r="U3177" s="226"/>
    </row>
    <row r="3178" spans="16:21" x14ac:dyDescent="0.35">
      <c r="P3178" s="226"/>
      <c r="Q3178" s="226"/>
      <c r="R3178" s="226"/>
      <c r="S3178" s="226"/>
      <c r="T3178" s="226"/>
      <c r="U3178" s="226"/>
    </row>
    <row r="3179" spans="16:21" x14ac:dyDescent="0.35">
      <c r="P3179" s="226"/>
      <c r="Q3179" s="226"/>
      <c r="R3179" s="226"/>
      <c r="S3179" s="226"/>
      <c r="T3179" s="226"/>
      <c r="U3179" s="226"/>
    </row>
    <row r="3180" spans="16:21" x14ac:dyDescent="0.35">
      <c r="P3180" s="226"/>
      <c r="Q3180" s="226"/>
      <c r="R3180" s="226"/>
      <c r="S3180" s="226"/>
      <c r="T3180" s="226"/>
      <c r="U3180" s="226"/>
    </row>
    <row r="3181" spans="16:21" x14ac:dyDescent="0.35">
      <c r="P3181" s="226"/>
      <c r="Q3181" s="226"/>
      <c r="R3181" s="226"/>
      <c r="S3181" s="226"/>
      <c r="T3181" s="226"/>
      <c r="U3181" s="226"/>
    </row>
    <row r="3182" spans="16:21" x14ac:dyDescent="0.35">
      <c r="P3182" s="226"/>
      <c r="Q3182" s="226"/>
      <c r="R3182" s="226"/>
      <c r="S3182" s="226"/>
      <c r="T3182" s="226"/>
      <c r="U3182" s="226"/>
    </row>
    <row r="3183" spans="16:21" x14ac:dyDescent="0.35">
      <c r="P3183" s="226"/>
      <c r="Q3183" s="226"/>
      <c r="R3183" s="226"/>
      <c r="S3183" s="226"/>
      <c r="T3183" s="226"/>
      <c r="U3183" s="226"/>
    </row>
    <row r="3184" spans="16:21" x14ac:dyDescent="0.35">
      <c r="P3184" s="226"/>
      <c r="Q3184" s="226"/>
      <c r="R3184" s="226"/>
      <c r="S3184" s="226"/>
      <c r="T3184" s="226"/>
      <c r="U3184" s="226"/>
    </row>
    <row r="3185" spans="16:21" x14ac:dyDescent="0.35">
      <c r="P3185" s="226"/>
      <c r="Q3185" s="226"/>
      <c r="R3185" s="226"/>
      <c r="S3185" s="226"/>
      <c r="T3185" s="226"/>
      <c r="U3185" s="226"/>
    </row>
    <row r="3186" spans="16:21" x14ac:dyDescent="0.35">
      <c r="P3186" s="226"/>
      <c r="Q3186" s="226"/>
      <c r="R3186" s="226"/>
      <c r="S3186" s="226"/>
      <c r="T3186" s="226"/>
      <c r="U3186" s="226"/>
    </row>
    <row r="3187" spans="16:21" x14ac:dyDescent="0.35">
      <c r="P3187" s="226"/>
      <c r="Q3187" s="226"/>
      <c r="R3187" s="226"/>
      <c r="S3187" s="226"/>
      <c r="T3187" s="226"/>
      <c r="U3187" s="226"/>
    </row>
    <row r="3188" spans="16:21" x14ac:dyDescent="0.35">
      <c r="P3188" s="226"/>
      <c r="Q3188" s="226"/>
      <c r="R3188" s="226"/>
      <c r="S3188" s="226"/>
      <c r="T3188" s="226"/>
      <c r="U3188" s="226"/>
    </row>
    <row r="3189" spans="16:21" x14ac:dyDescent="0.35">
      <c r="P3189" s="226"/>
      <c r="Q3189" s="226"/>
      <c r="R3189" s="226"/>
      <c r="S3189" s="226"/>
      <c r="T3189" s="226"/>
      <c r="U3189" s="226"/>
    </row>
    <row r="3190" spans="16:21" x14ac:dyDescent="0.35">
      <c r="P3190" s="226"/>
      <c r="Q3190" s="226"/>
      <c r="R3190" s="226"/>
      <c r="S3190" s="226"/>
      <c r="T3190" s="226"/>
      <c r="U3190" s="226"/>
    </row>
    <row r="3191" spans="16:21" x14ac:dyDescent="0.35">
      <c r="P3191" s="226"/>
      <c r="Q3191" s="226"/>
      <c r="R3191" s="226"/>
      <c r="S3191" s="226"/>
      <c r="T3191" s="226"/>
      <c r="U3191" s="226"/>
    </row>
    <row r="3192" spans="16:21" x14ac:dyDescent="0.35">
      <c r="P3192" s="226"/>
      <c r="Q3192" s="226"/>
      <c r="R3192" s="226"/>
      <c r="S3192" s="226"/>
      <c r="T3192" s="226"/>
      <c r="U3192" s="226"/>
    </row>
    <row r="3193" spans="16:21" x14ac:dyDescent="0.35">
      <c r="P3193" s="226"/>
      <c r="Q3193" s="226"/>
      <c r="R3193" s="226"/>
      <c r="S3193" s="226"/>
      <c r="T3193" s="226"/>
      <c r="U3193" s="226"/>
    </row>
    <row r="3194" spans="16:21" x14ac:dyDescent="0.35">
      <c r="P3194" s="226"/>
      <c r="Q3194" s="226"/>
      <c r="R3194" s="226"/>
      <c r="S3194" s="226"/>
      <c r="T3194" s="226"/>
      <c r="U3194" s="226"/>
    </row>
    <row r="3195" spans="16:21" x14ac:dyDescent="0.35">
      <c r="P3195" s="226"/>
      <c r="Q3195" s="226"/>
      <c r="R3195" s="226"/>
      <c r="S3195" s="226"/>
      <c r="T3195" s="226"/>
      <c r="U3195" s="226"/>
    </row>
    <row r="3196" spans="16:21" x14ac:dyDescent="0.35">
      <c r="P3196" s="226"/>
      <c r="Q3196" s="226"/>
      <c r="R3196" s="226"/>
      <c r="S3196" s="226"/>
      <c r="T3196" s="226"/>
      <c r="U3196" s="226"/>
    </row>
    <row r="3197" spans="16:21" x14ac:dyDescent="0.35">
      <c r="P3197" s="226"/>
      <c r="Q3197" s="226"/>
      <c r="R3197" s="226"/>
      <c r="S3197" s="226"/>
      <c r="T3197" s="226"/>
      <c r="U3197" s="226"/>
    </row>
    <row r="3198" spans="16:21" x14ac:dyDescent="0.35">
      <c r="P3198" s="226"/>
      <c r="Q3198" s="226"/>
      <c r="R3198" s="226"/>
      <c r="S3198" s="226"/>
      <c r="T3198" s="226"/>
      <c r="U3198" s="226"/>
    </row>
    <row r="3199" spans="16:21" x14ac:dyDescent="0.35">
      <c r="P3199" s="226"/>
      <c r="Q3199" s="226"/>
      <c r="R3199" s="226"/>
      <c r="S3199" s="226"/>
      <c r="T3199" s="226"/>
      <c r="U3199" s="226"/>
    </row>
    <row r="3200" spans="16:21" x14ac:dyDescent="0.35">
      <c r="P3200" s="226"/>
      <c r="Q3200" s="226"/>
      <c r="R3200" s="226"/>
      <c r="S3200" s="226"/>
      <c r="T3200" s="226"/>
      <c r="U3200" s="226"/>
    </row>
    <row r="3201" spans="16:21" x14ac:dyDescent="0.35">
      <c r="P3201" s="226"/>
      <c r="Q3201" s="226"/>
      <c r="R3201" s="226"/>
      <c r="S3201" s="226"/>
      <c r="T3201" s="226"/>
      <c r="U3201" s="226"/>
    </row>
    <row r="3202" spans="16:21" x14ac:dyDescent="0.35">
      <c r="P3202" s="226"/>
      <c r="Q3202" s="226"/>
      <c r="R3202" s="226"/>
      <c r="S3202" s="226"/>
      <c r="T3202" s="226"/>
      <c r="U3202" s="226"/>
    </row>
    <row r="3203" spans="16:21" x14ac:dyDescent="0.35">
      <c r="P3203" s="226"/>
      <c r="Q3203" s="226"/>
      <c r="R3203" s="226"/>
      <c r="S3203" s="226"/>
      <c r="T3203" s="226"/>
      <c r="U3203" s="226"/>
    </row>
    <row r="3204" spans="16:21" x14ac:dyDescent="0.35">
      <c r="P3204" s="226"/>
      <c r="Q3204" s="226"/>
      <c r="R3204" s="226"/>
      <c r="S3204" s="226"/>
      <c r="T3204" s="226"/>
      <c r="U3204" s="226"/>
    </row>
    <row r="3205" spans="16:21" x14ac:dyDescent="0.35">
      <c r="P3205" s="226"/>
      <c r="Q3205" s="226"/>
      <c r="R3205" s="226"/>
      <c r="S3205" s="226"/>
      <c r="T3205" s="226"/>
      <c r="U3205" s="226"/>
    </row>
    <row r="3206" spans="16:21" x14ac:dyDescent="0.35">
      <c r="P3206" s="226"/>
      <c r="Q3206" s="226"/>
      <c r="R3206" s="226"/>
      <c r="S3206" s="226"/>
      <c r="T3206" s="226"/>
      <c r="U3206" s="226"/>
    </row>
    <row r="3207" spans="16:21" x14ac:dyDescent="0.35">
      <c r="P3207" s="226"/>
      <c r="Q3207" s="226"/>
      <c r="R3207" s="226"/>
      <c r="S3207" s="226"/>
      <c r="T3207" s="226"/>
      <c r="U3207" s="226"/>
    </row>
    <row r="3208" spans="16:21" x14ac:dyDescent="0.35">
      <c r="P3208" s="226"/>
      <c r="Q3208" s="226"/>
      <c r="R3208" s="226"/>
      <c r="S3208" s="226"/>
      <c r="T3208" s="226"/>
      <c r="U3208" s="226"/>
    </row>
    <row r="3209" spans="16:21" x14ac:dyDescent="0.35">
      <c r="P3209" s="226"/>
      <c r="Q3209" s="226"/>
      <c r="R3209" s="226"/>
      <c r="S3209" s="226"/>
      <c r="T3209" s="226"/>
      <c r="U3209" s="226"/>
    </row>
    <row r="3210" spans="16:21" x14ac:dyDescent="0.35">
      <c r="P3210" s="226"/>
      <c r="Q3210" s="226"/>
      <c r="R3210" s="226"/>
      <c r="S3210" s="226"/>
      <c r="T3210" s="226"/>
      <c r="U3210" s="226"/>
    </row>
    <row r="3211" spans="16:21" x14ac:dyDescent="0.35">
      <c r="P3211" s="226"/>
      <c r="Q3211" s="226"/>
      <c r="R3211" s="226"/>
      <c r="S3211" s="226"/>
      <c r="T3211" s="226"/>
      <c r="U3211" s="226"/>
    </row>
    <row r="3212" spans="16:21" x14ac:dyDescent="0.35">
      <c r="P3212" s="226"/>
      <c r="Q3212" s="226"/>
      <c r="R3212" s="226"/>
      <c r="S3212" s="226"/>
      <c r="T3212" s="226"/>
      <c r="U3212" s="226"/>
    </row>
    <row r="3213" spans="16:21" x14ac:dyDescent="0.35">
      <c r="P3213" s="226"/>
      <c r="Q3213" s="226"/>
      <c r="R3213" s="226"/>
      <c r="S3213" s="226"/>
      <c r="T3213" s="226"/>
      <c r="U3213" s="226"/>
    </row>
    <row r="3214" spans="16:21" x14ac:dyDescent="0.35">
      <c r="P3214" s="226"/>
      <c r="Q3214" s="226"/>
      <c r="R3214" s="226"/>
      <c r="S3214" s="226"/>
      <c r="T3214" s="226"/>
      <c r="U3214" s="226"/>
    </row>
    <row r="3215" spans="16:21" x14ac:dyDescent="0.35">
      <c r="P3215" s="226"/>
      <c r="Q3215" s="226"/>
      <c r="R3215" s="226"/>
      <c r="S3215" s="226"/>
      <c r="T3215" s="226"/>
      <c r="U3215" s="226"/>
    </row>
    <row r="3216" spans="16:21" x14ac:dyDescent="0.35">
      <c r="P3216" s="226"/>
      <c r="Q3216" s="226"/>
      <c r="R3216" s="226"/>
      <c r="S3216" s="226"/>
      <c r="T3216" s="226"/>
      <c r="U3216" s="226"/>
    </row>
    <row r="3217" spans="16:21" x14ac:dyDescent="0.35">
      <c r="P3217" s="226"/>
      <c r="Q3217" s="226"/>
      <c r="R3217" s="226"/>
      <c r="S3217" s="226"/>
      <c r="T3217" s="226"/>
      <c r="U3217" s="226"/>
    </row>
    <row r="3218" spans="16:21" x14ac:dyDescent="0.35">
      <c r="P3218" s="226"/>
      <c r="Q3218" s="226"/>
      <c r="R3218" s="226"/>
      <c r="S3218" s="226"/>
      <c r="T3218" s="226"/>
      <c r="U3218" s="226"/>
    </row>
    <row r="3219" spans="16:21" x14ac:dyDescent="0.35">
      <c r="P3219" s="226"/>
      <c r="Q3219" s="226"/>
      <c r="R3219" s="226"/>
      <c r="S3219" s="226"/>
      <c r="T3219" s="226"/>
      <c r="U3219" s="226"/>
    </row>
    <row r="3220" spans="16:21" x14ac:dyDescent="0.35">
      <c r="P3220" s="226"/>
      <c r="Q3220" s="226"/>
      <c r="R3220" s="226"/>
      <c r="S3220" s="226"/>
      <c r="T3220" s="226"/>
      <c r="U3220" s="226"/>
    </row>
    <row r="3221" spans="16:21" x14ac:dyDescent="0.35">
      <c r="P3221" s="226"/>
      <c r="Q3221" s="226"/>
      <c r="R3221" s="226"/>
      <c r="S3221" s="226"/>
      <c r="T3221" s="226"/>
      <c r="U3221" s="226"/>
    </row>
    <row r="3222" spans="16:21" x14ac:dyDescent="0.35">
      <c r="P3222" s="226"/>
      <c r="Q3222" s="226"/>
      <c r="R3222" s="226"/>
      <c r="S3222" s="226"/>
      <c r="T3222" s="226"/>
      <c r="U3222" s="226"/>
    </row>
    <row r="3223" spans="16:21" x14ac:dyDescent="0.35">
      <c r="P3223" s="226"/>
      <c r="Q3223" s="226"/>
      <c r="R3223" s="226"/>
      <c r="S3223" s="226"/>
      <c r="T3223" s="226"/>
      <c r="U3223" s="226"/>
    </row>
    <row r="3224" spans="16:21" x14ac:dyDescent="0.35">
      <c r="P3224" s="226"/>
      <c r="Q3224" s="226"/>
      <c r="R3224" s="226"/>
      <c r="S3224" s="226"/>
      <c r="T3224" s="226"/>
      <c r="U3224" s="226"/>
    </row>
    <row r="3225" spans="16:21" x14ac:dyDescent="0.35">
      <c r="P3225" s="226"/>
      <c r="Q3225" s="226"/>
      <c r="R3225" s="226"/>
      <c r="S3225" s="226"/>
      <c r="T3225" s="226"/>
      <c r="U3225" s="226"/>
    </row>
    <row r="3226" spans="16:21" x14ac:dyDescent="0.35">
      <c r="P3226" s="226"/>
      <c r="Q3226" s="226"/>
      <c r="R3226" s="226"/>
      <c r="S3226" s="226"/>
      <c r="T3226" s="226"/>
      <c r="U3226" s="226"/>
    </row>
    <row r="3227" spans="16:21" x14ac:dyDescent="0.35">
      <c r="P3227" s="226"/>
      <c r="Q3227" s="226"/>
      <c r="R3227" s="226"/>
      <c r="S3227" s="226"/>
      <c r="T3227" s="226"/>
      <c r="U3227" s="226"/>
    </row>
    <row r="3228" spans="16:21" x14ac:dyDescent="0.35">
      <c r="P3228" s="226"/>
      <c r="Q3228" s="226"/>
      <c r="R3228" s="226"/>
      <c r="S3228" s="226"/>
      <c r="T3228" s="226"/>
      <c r="U3228" s="226"/>
    </row>
    <row r="3229" spans="16:21" x14ac:dyDescent="0.35">
      <c r="P3229" s="226"/>
      <c r="Q3229" s="226"/>
      <c r="R3229" s="226"/>
      <c r="S3229" s="226"/>
      <c r="T3229" s="226"/>
      <c r="U3229" s="226"/>
    </row>
    <row r="3230" spans="16:21" x14ac:dyDescent="0.35">
      <c r="P3230" s="226"/>
      <c r="Q3230" s="226"/>
      <c r="R3230" s="226"/>
      <c r="S3230" s="226"/>
      <c r="T3230" s="226"/>
      <c r="U3230" s="226"/>
    </row>
    <row r="3231" spans="16:21" x14ac:dyDescent="0.35">
      <c r="P3231" s="226"/>
      <c r="Q3231" s="226"/>
      <c r="R3231" s="226"/>
      <c r="S3231" s="226"/>
      <c r="T3231" s="226"/>
      <c r="U3231" s="226"/>
    </row>
    <row r="3232" spans="16:21" x14ac:dyDescent="0.35">
      <c r="P3232" s="226"/>
      <c r="Q3232" s="226"/>
      <c r="R3232" s="226"/>
      <c r="S3232" s="226"/>
      <c r="T3232" s="226"/>
      <c r="U3232" s="226"/>
    </row>
    <row r="3233" spans="16:21" x14ac:dyDescent="0.35">
      <c r="P3233" s="226"/>
      <c r="Q3233" s="226"/>
      <c r="R3233" s="226"/>
      <c r="S3233" s="226"/>
      <c r="T3233" s="226"/>
      <c r="U3233" s="226"/>
    </row>
    <row r="3234" spans="16:21" x14ac:dyDescent="0.35">
      <c r="P3234" s="226"/>
      <c r="Q3234" s="226"/>
      <c r="R3234" s="226"/>
      <c r="S3234" s="226"/>
      <c r="T3234" s="226"/>
      <c r="U3234" s="226"/>
    </row>
    <row r="3235" spans="16:21" x14ac:dyDescent="0.35">
      <c r="P3235" s="226"/>
      <c r="Q3235" s="226"/>
      <c r="R3235" s="226"/>
      <c r="S3235" s="226"/>
      <c r="T3235" s="226"/>
      <c r="U3235" s="226"/>
    </row>
    <row r="3236" spans="16:21" x14ac:dyDescent="0.35">
      <c r="P3236" s="226"/>
      <c r="Q3236" s="226"/>
      <c r="R3236" s="226"/>
      <c r="S3236" s="226"/>
      <c r="T3236" s="226"/>
      <c r="U3236" s="226"/>
    </row>
    <row r="3237" spans="16:21" x14ac:dyDescent="0.35">
      <c r="P3237" s="226"/>
      <c r="Q3237" s="226"/>
      <c r="R3237" s="226"/>
      <c r="S3237" s="226"/>
      <c r="T3237" s="226"/>
      <c r="U3237" s="226"/>
    </row>
    <row r="3238" spans="16:21" x14ac:dyDescent="0.35">
      <c r="P3238" s="226"/>
      <c r="Q3238" s="226"/>
      <c r="R3238" s="226"/>
      <c r="S3238" s="226"/>
      <c r="T3238" s="226"/>
      <c r="U3238" s="226"/>
    </row>
    <row r="3239" spans="16:21" x14ac:dyDescent="0.35">
      <c r="P3239" s="226"/>
      <c r="Q3239" s="226"/>
      <c r="R3239" s="226"/>
      <c r="S3239" s="226"/>
      <c r="T3239" s="226"/>
      <c r="U3239" s="226"/>
    </row>
    <row r="3240" spans="16:21" x14ac:dyDescent="0.35">
      <c r="P3240" s="226"/>
      <c r="Q3240" s="226"/>
      <c r="R3240" s="226"/>
      <c r="S3240" s="226"/>
      <c r="T3240" s="226"/>
      <c r="U3240" s="226"/>
    </row>
    <row r="3241" spans="16:21" x14ac:dyDescent="0.35">
      <c r="P3241" s="226"/>
      <c r="Q3241" s="226"/>
      <c r="R3241" s="226"/>
      <c r="S3241" s="226"/>
      <c r="T3241" s="226"/>
      <c r="U3241" s="226"/>
    </row>
    <row r="3242" spans="16:21" x14ac:dyDescent="0.35">
      <c r="P3242" s="226"/>
      <c r="Q3242" s="226"/>
      <c r="R3242" s="226"/>
      <c r="S3242" s="226"/>
      <c r="T3242" s="226"/>
      <c r="U3242" s="226"/>
    </row>
    <row r="3243" spans="16:21" x14ac:dyDescent="0.35">
      <c r="P3243" s="226"/>
      <c r="Q3243" s="226"/>
      <c r="R3243" s="226"/>
      <c r="S3243" s="226"/>
      <c r="T3243" s="226"/>
      <c r="U3243" s="226"/>
    </row>
    <row r="3244" spans="16:21" x14ac:dyDescent="0.35">
      <c r="P3244" s="226"/>
      <c r="Q3244" s="226"/>
      <c r="R3244" s="226"/>
      <c r="S3244" s="226"/>
      <c r="T3244" s="226"/>
      <c r="U3244" s="226"/>
    </row>
    <row r="3245" spans="16:21" x14ac:dyDescent="0.35">
      <c r="P3245" s="226"/>
      <c r="Q3245" s="226"/>
      <c r="R3245" s="226"/>
      <c r="S3245" s="226"/>
      <c r="T3245" s="226"/>
      <c r="U3245" s="226"/>
    </row>
    <row r="3246" spans="16:21" x14ac:dyDescent="0.35">
      <c r="P3246" s="226"/>
      <c r="Q3246" s="226"/>
      <c r="R3246" s="226"/>
      <c r="S3246" s="226"/>
      <c r="T3246" s="226"/>
      <c r="U3246" s="226"/>
    </row>
    <row r="3247" spans="16:21" x14ac:dyDescent="0.35">
      <c r="P3247" s="226"/>
      <c r="Q3247" s="226"/>
      <c r="R3247" s="226"/>
      <c r="S3247" s="226"/>
      <c r="T3247" s="226"/>
      <c r="U3247" s="226"/>
    </row>
    <row r="3248" spans="16:21" x14ac:dyDescent="0.35">
      <c r="P3248" s="226"/>
      <c r="Q3248" s="226"/>
      <c r="R3248" s="226"/>
      <c r="S3248" s="226"/>
      <c r="T3248" s="226"/>
      <c r="U3248" s="226"/>
    </row>
    <row r="3249" spans="16:21" x14ac:dyDescent="0.35">
      <c r="P3249" s="226"/>
      <c r="Q3249" s="226"/>
      <c r="R3249" s="226"/>
      <c r="S3249" s="226"/>
      <c r="T3249" s="226"/>
      <c r="U3249" s="226"/>
    </row>
    <row r="3250" spans="16:21" x14ac:dyDescent="0.35">
      <c r="P3250" s="226"/>
      <c r="Q3250" s="226"/>
      <c r="R3250" s="226"/>
      <c r="S3250" s="226"/>
      <c r="T3250" s="226"/>
      <c r="U3250" s="226"/>
    </row>
    <row r="3251" spans="16:21" x14ac:dyDescent="0.35">
      <c r="P3251" s="226"/>
      <c r="Q3251" s="226"/>
      <c r="R3251" s="226"/>
      <c r="S3251" s="226"/>
      <c r="T3251" s="226"/>
      <c r="U3251" s="226"/>
    </row>
    <row r="3252" spans="16:21" x14ac:dyDescent="0.35">
      <c r="P3252" s="226"/>
      <c r="Q3252" s="226"/>
      <c r="R3252" s="226"/>
      <c r="S3252" s="226"/>
      <c r="T3252" s="226"/>
      <c r="U3252" s="226"/>
    </row>
    <row r="3253" spans="16:21" x14ac:dyDescent="0.35">
      <c r="P3253" s="226"/>
      <c r="Q3253" s="226"/>
      <c r="R3253" s="226"/>
      <c r="S3253" s="226"/>
      <c r="T3253" s="226"/>
      <c r="U3253" s="226"/>
    </row>
    <row r="3254" spans="16:21" x14ac:dyDescent="0.35">
      <c r="P3254" s="226"/>
      <c r="Q3254" s="226"/>
      <c r="R3254" s="226"/>
      <c r="S3254" s="226"/>
      <c r="T3254" s="226"/>
      <c r="U3254" s="226"/>
    </row>
    <row r="3255" spans="16:21" x14ac:dyDescent="0.35">
      <c r="P3255" s="226"/>
      <c r="Q3255" s="226"/>
      <c r="R3255" s="226"/>
      <c r="S3255" s="226"/>
      <c r="T3255" s="226"/>
      <c r="U3255" s="226"/>
    </row>
    <row r="3256" spans="16:21" x14ac:dyDescent="0.35">
      <c r="P3256" s="226"/>
      <c r="Q3256" s="226"/>
      <c r="R3256" s="226"/>
      <c r="S3256" s="226"/>
      <c r="T3256" s="226"/>
      <c r="U3256" s="226"/>
    </row>
    <row r="3257" spans="16:21" x14ac:dyDescent="0.35">
      <c r="P3257" s="226"/>
      <c r="Q3257" s="226"/>
      <c r="R3257" s="226"/>
      <c r="S3257" s="226"/>
      <c r="T3257" s="226"/>
      <c r="U3257" s="226"/>
    </row>
    <row r="3258" spans="16:21" x14ac:dyDescent="0.35">
      <c r="P3258" s="226"/>
      <c r="Q3258" s="226"/>
      <c r="R3258" s="226"/>
      <c r="S3258" s="226"/>
      <c r="T3258" s="226"/>
      <c r="U3258" s="226"/>
    </row>
    <row r="3259" spans="16:21" x14ac:dyDescent="0.35">
      <c r="P3259" s="226"/>
      <c r="Q3259" s="226"/>
      <c r="R3259" s="226"/>
      <c r="S3259" s="226"/>
      <c r="T3259" s="226"/>
      <c r="U3259" s="226"/>
    </row>
    <row r="3260" spans="16:21" x14ac:dyDescent="0.35">
      <c r="P3260" s="226"/>
      <c r="Q3260" s="226"/>
      <c r="R3260" s="226"/>
      <c r="S3260" s="226"/>
      <c r="T3260" s="226"/>
      <c r="U3260" s="226"/>
    </row>
    <row r="3261" spans="16:21" x14ac:dyDescent="0.35">
      <c r="P3261" s="226"/>
      <c r="Q3261" s="226"/>
      <c r="R3261" s="226"/>
      <c r="S3261" s="226"/>
      <c r="T3261" s="226"/>
      <c r="U3261" s="226"/>
    </row>
    <row r="3262" spans="16:21" x14ac:dyDescent="0.35">
      <c r="P3262" s="226"/>
      <c r="Q3262" s="226"/>
      <c r="R3262" s="226"/>
      <c r="S3262" s="226"/>
      <c r="T3262" s="226"/>
      <c r="U3262" s="226"/>
    </row>
    <row r="3263" spans="16:21" x14ac:dyDescent="0.35">
      <c r="P3263" s="226"/>
      <c r="Q3263" s="226"/>
      <c r="R3263" s="226"/>
      <c r="S3263" s="226"/>
      <c r="T3263" s="226"/>
      <c r="U3263" s="226"/>
    </row>
    <row r="3264" spans="16:21" x14ac:dyDescent="0.35">
      <c r="P3264" s="226"/>
      <c r="Q3264" s="226"/>
      <c r="R3264" s="226"/>
      <c r="S3264" s="226"/>
      <c r="T3264" s="226"/>
      <c r="U3264" s="226"/>
    </row>
    <row r="3265" spans="16:21" x14ac:dyDescent="0.35">
      <c r="P3265" s="226"/>
      <c r="Q3265" s="226"/>
      <c r="R3265" s="226"/>
      <c r="S3265" s="226"/>
      <c r="T3265" s="226"/>
      <c r="U3265" s="226"/>
    </row>
    <row r="3266" spans="16:21" x14ac:dyDescent="0.35">
      <c r="P3266" s="226"/>
      <c r="Q3266" s="226"/>
      <c r="R3266" s="226"/>
      <c r="S3266" s="226"/>
      <c r="T3266" s="226"/>
      <c r="U3266" s="226"/>
    </row>
    <row r="3267" spans="16:21" x14ac:dyDescent="0.35">
      <c r="P3267" s="226"/>
      <c r="Q3267" s="226"/>
      <c r="R3267" s="226"/>
      <c r="S3267" s="226"/>
      <c r="T3267" s="226"/>
      <c r="U3267" s="226"/>
    </row>
    <row r="3268" spans="16:21" x14ac:dyDescent="0.35">
      <c r="P3268" s="226"/>
      <c r="Q3268" s="226"/>
      <c r="R3268" s="226"/>
      <c r="S3268" s="226"/>
      <c r="T3268" s="226"/>
      <c r="U3268" s="226"/>
    </row>
    <row r="3269" spans="16:21" x14ac:dyDescent="0.35">
      <c r="P3269" s="226"/>
      <c r="Q3269" s="226"/>
      <c r="R3269" s="226"/>
      <c r="S3269" s="226"/>
      <c r="T3269" s="226"/>
      <c r="U3269" s="226"/>
    </row>
    <row r="3270" spans="16:21" x14ac:dyDescent="0.35">
      <c r="P3270" s="226"/>
      <c r="Q3270" s="226"/>
      <c r="R3270" s="226"/>
      <c r="S3270" s="226"/>
      <c r="T3270" s="226"/>
      <c r="U3270" s="226"/>
    </row>
    <row r="3271" spans="16:21" x14ac:dyDescent="0.35">
      <c r="P3271" s="226"/>
      <c r="Q3271" s="226"/>
      <c r="R3271" s="226"/>
      <c r="S3271" s="226"/>
      <c r="T3271" s="226"/>
      <c r="U3271" s="226"/>
    </row>
    <row r="3272" spans="16:21" x14ac:dyDescent="0.35">
      <c r="P3272" s="226"/>
      <c r="Q3272" s="226"/>
      <c r="R3272" s="226"/>
      <c r="S3272" s="226"/>
      <c r="T3272" s="226"/>
      <c r="U3272" s="226"/>
    </row>
    <row r="3273" spans="16:21" x14ac:dyDescent="0.35">
      <c r="P3273" s="226"/>
      <c r="Q3273" s="226"/>
      <c r="R3273" s="226"/>
      <c r="S3273" s="226"/>
      <c r="T3273" s="226"/>
      <c r="U3273" s="226"/>
    </row>
    <row r="3274" spans="16:21" x14ac:dyDescent="0.35">
      <c r="P3274" s="226"/>
      <c r="Q3274" s="226"/>
      <c r="R3274" s="226"/>
      <c r="S3274" s="226"/>
      <c r="T3274" s="226"/>
      <c r="U3274" s="226"/>
    </row>
    <row r="3275" spans="16:21" x14ac:dyDescent="0.35">
      <c r="P3275" s="226"/>
      <c r="Q3275" s="226"/>
      <c r="R3275" s="226"/>
      <c r="S3275" s="226"/>
      <c r="T3275" s="226"/>
      <c r="U3275" s="226"/>
    </row>
    <row r="3276" spans="16:21" x14ac:dyDescent="0.35">
      <c r="P3276" s="226"/>
      <c r="Q3276" s="226"/>
      <c r="R3276" s="226"/>
      <c r="S3276" s="226"/>
      <c r="T3276" s="226"/>
      <c r="U3276" s="226"/>
    </row>
    <row r="3277" spans="16:21" x14ac:dyDescent="0.35">
      <c r="P3277" s="226"/>
      <c r="Q3277" s="226"/>
      <c r="R3277" s="226"/>
      <c r="S3277" s="226"/>
      <c r="T3277" s="226"/>
      <c r="U3277" s="226"/>
    </row>
    <row r="3278" spans="16:21" x14ac:dyDescent="0.35">
      <c r="P3278" s="226"/>
      <c r="Q3278" s="226"/>
      <c r="R3278" s="226"/>
      <c r="S3278" s="226"/>
      <c r="T3278" s="226"/>
      <c r="U3278" s="226"/>
    </row>
    <row r="3279" spans="16:21" x14ac:dyDescent="0.35">
      <c r="P3279" s="226"/>
      <c r="Q3279" s="226"/>
      <c r="R3279" s="226"/>
      <c r="S3279" s="226"/>
      <c r="T3279" s="226"/>
      <c r="U3279" s="226"/>
    </row>
    <row r="3280" spans="16:21" x14ac:dyDescent="0.35">
      <c r="P3280" s="226"/>
      <c r="Q3280" s="226"/>
      <c r="R3280" s="226"/>
      <c r="S3280" s="226"/>
      <c r="T3280" s="226"/>
      <c r="U3280" s="226"/>
    </row>
    <row r="3281" spans="16:21" x14ac:dyDescent="0.35">
      <c r="P3281" s="226"/>
      <c r="Q3281" s="226"/>
      <c r="R3281" s="226"/>
      <c r="S3281" s="226"/>
      <c r="T3281" s="226"/>
      <c r="U3281" s="226"/>
    </row>
    <row r="3282" spans="16:21" x14ac:dyDescent="0.35">
      <c r="P3282" s="226"/>
      <c r="Q3282" s="226"/>
      <c r="R3282" s="226"/>
      <c r="S3282" s="226"/>
      <c r="T3282" s="226"/>
      <c r="U3282" s="226"/>
    </row>
    <row r="3283" spans="16:21" x14ac:dyDescent="0.35">
      <c r="P3283" s="226"/>
      <c r="Q3283" s="226"/>
      <c r="R3283" s="226"/>
      <c r="S3283" s="226"/>
      <c r="T3283" s="226"/>
      <c r="U3283" s="226"/>
    </row>
    <row r="3284" spans="16:21" x14ac:dyDescent="0.35">
      <c r="P3284" s="226"/>
      <c r="Q3284" s="226"/>
      <c r="R3284" s="226"/>
      <c r="S3284" s="226"/>
      <c r="T3284" s="226"/>
      <c r="U3284" s="226"/>
    </row>
    <row r="3285" spans="16:21" x14ac:dyDescent="0.35">
      <c r="P3285" s="226"/>
      <c r="Q3285" s="226"/>
      <c r="R3285" s="226"/>
      <c r="S3285" s="226"/>
      <c r="T3285" s="226"/>
      <c r="U3285" s="226"/>
    </row>
    <row r="3286" spans="16:21" x14ac:dyDescent="0.35">
      <c r="P3286" s="226"/>
      <c r="Q3286" s="226"/>
      <c r="R3286" s="226"/>
      <c r="S3286" s="226"/>
      <c r="T3286" s="226"/>
      <c r="U3286" s="226"/>
    </row>
    <row r="3287" spans="16:21" x14ac:dyDescent="0.35">
      <c r="P3287" s="226"/>
      <c r="Q3287" s="226"/>
      <c r="R3287" s="226"/>
      <c r="S3287" s="226"/>
      <c r="T3287" s="226"/>
      <c r="U3287" s="226"/>
    </row>
    <row r="3288" spans="16:21" x14ac:dyDescent="0.35">
      <c r="P3288" s="226"/>
      <c r="Q3288" s="226"/>
      <c r="R3288" s="226"/>
      <c r="S3288" s="226"/>
      <c r="T3288" s="226"/>
      <c r="U3288" s="226"/>
    </row>
    <row r="3289" spans="16:21" x14ac:dyDescent="0.35">
      <c r="P3289" s="226"/>
      <c r="Q3289" s="226"/>
      <c r="R3289" s="226"/>
      <c r="S3289" s="226"/>
      <c r="T3289" s="226"/>
      <c r="U3289" s="226"/>
    </row>
    <row r="3290" spans="16:21" x14ac:dyDescent="0.35">
      <c r="P3290" s="226"/>
      <c r="Q3290" s="226"/>
      <c r="R3290" s="226"/>
      <c r="S3290" s="226"/>
      <c r="T3290" s="226"/>
      <c r="U3290" s="226"/>
    </row>
    <row r="3291" spans="16:21" x14ac:dyDescent="0.35">
      <c r="P3291" s="226"/>
      <c r="Q3291" s="226"/>
      <c r="R3291" s="226"/>
      <c r="S3291" s="226"/>
      <c r="T3291" s="226"/>
      <c r="U3291" s="226"/>
    </row>
    <row r="3292" spans="16:21" x14ac:dyDescent="0.35">
      <c r="P3292" s="226"/>
      <c r="Q3292" s="226"/>
      <c r="R3292" s="226"/>
      <c r="S3292" s="226"/>
      <c r="T3292" s="226"/>
      <c r="U3292" s="226"/>
    </row>
    <row r="3293" spans="16:21" x14ac:dyDescent="0.35">
      <c r="P3293" s="226"/>
      <c r="Q3293" s="226"/>
      <c r="R3293" s="226"/>
      <c r="S3293" s="226"/>
      <c r="T3293" s="226"/>
      <c r="U3293" s="226"/>
    </row>
    <row r="3294" spans="16:21" x14ac:dyDescent="0.35">
      <c r="P3294" s="226"/>
      <c r="Q3294" s="226"/>
      <c r="R3294" s="226"/>
      <c r="S3294" s="226"/>
      <c r="T3294" s="226"/>
      <c r="U3294" s="226"/>
    </row>
    <row r="3295" spans="16:21" x14ac:dyDescent="0.35">
      <c r="P3295" s="226"/>
      <c r="Q3295" s="226"/>
      <c r="R3295" s="226"/>
      <c r="S3295" s="226"/>
      <c r="T3295" s="226"/>
      <c r="U3295" s="226"/>
    </row>
    <row r="3296" spans="16:21" x14ac:dyDescent="0.35">
      <c r="P3296" s="226"/>
      <c r="Q3296" s="226"/>
      <c r="R3296" s="226"/>
      <c r="S3296" s="226"/>
      <c r="T3296" s="226"/>
      <c r="U3296" s="226"/>
    </row>
    <row r="3297" spans="16:21" x14ac:dyDescent="0.35">
      <c r="P3297" s="226"/>
      <c r="Q3297" s="226"/>
      <c r="R3297" s="226"/>
      <c r="S3297" s="226"/>
      <c r="T3297" s="226"/>
      <c r="U3297" s="226"/>
    </row>
    <row r="3298" spans="16:21" x14ac:dyDescent="0.35">
      <c r="P3298" s="226"/>
      <c r="Q3298" s="226"/>
      <c r="R3298" s="226"/>
      <c r="S3298" s="226"/>
      <c r="T3298" s="226"/>
      <c r="U3298" s="226"/>
    </row>
    <row r="3299" spans="16:21" x14ac:dyDescent="0.35">
      <c r="P3299" s="226"/>
      <c r="Q3299" s="226"/>
      <c r="R3299" s="226"/>
      <c r="S3299" s="226"/>
      <c r="T3299" s="226"/>
      <c r="U3299" s="226"/>
    </row>
    <row r="3300" spans="16:21" x14ac:dyDescent="0.35">
      <c r="P3300" s="226"/>
      <c r="Q3300" s="226"/>
      <c r="R3300" s="226"/>
      <c r="S3300" s="226"/>
      <c r="T3300" s="226"/>
      <c r="U3300" s="226"/>
    </row>
    <row r="3301" spans="16:21" x14ac:dyDescent="0.35">
      <c r="P3301" s="226"/>
      <c r="Q3301" s="226"/>
      <c r="R3301" s="226"/>
      <c r="S3301" s="226"/>
      <c r="T3301" s="226"/>
      <c r="U3301" s="226"/>
    </row>
    <row r="3302" spans="16:21" x14ac:dyDescent="0.35">
      <c r="P3302" s="226"/>
      <c r="Q3302" s="226"/>
      <c r="R3302" s="226"/>
      <c r="S3302" s="226"/>
      <c r="T3302" s="226"/>
      <c r="U3302" s="226"/>
    </row>
    <row r="3303" spans="16:21" x14ac:dyDescent="0.35">
      <c r="P3303" s="226"/>
      <c r="Q3303" s="226"/>
      <c r="R3303" s="226"/>
      <c r="S3303" s="226"/>
      <c r="T3303" s="226"/>
      <c r="U3303" s="226"/>
    </row>
    <row r="3304" spans="16:21" x14ac:dyDescent="0.35">
      <c r="P3304" s="226"/>
      <c r="Q3304" s="226"/>
      <c r="R3304" s="226"/>
      <c r="S3304" s="226"/>
      <c r="T3304" s="226"/>
      <c r="U3304" s="226"/>
    </row>
    <row r="3305" spans="16:21" x14ac:dyDescent="0.35">
      <c r="P3305" s="226"/>
      <c r="Q3305" s="226"/>
      <c r="R3305" s="226"/>
      <c r="S3305" s="226"/>
      <c r="T3305" s="226"/>
      <c r="U3305" s="226"/>
    </row>
    <row r="3306" spans="16:21" x14ac:dyDescent="0.35">
      <c r="P3306" s="226"/>
      <c r="Q3306" s="226"/>
      <c r="R3306" s="226"/>
      <c r="S3306" s="226"/>
      <c r="T3306" s="226"/>
      <c r="U3306" s="226"/>
    </row>
    <row r="3307" spans="16:21" x14ac:dyDescent="0.35">
      <c r="P3307" s="226"/>
      <c r="Q3307" s="226"/>
      <c r="R3307" s="226"/>
      <c r="S3307" s="226"/>
      <c r="T3307" s="226"/>
      <c r="U3307" s="226"/>
    </row>
    <row r="3308" spans="16:21" x14ac:dyDescent="0.35">
      <c r="P3308" s="226"/>
      <c r="Q3308" s="226"/>
      <c r="R3308" s="226"/>
      <c r="S3308" s="226"/>
      <c r="T3308" s="226"/>
      <c r="U3308" s="226"/>
    </row>
    <row r="3309" spans="16:21" x14ac:dyDescent="0.35">
      <c r="P3309" s="226"/>
      <c r="Q3309" s="226"/>
      <c r="R3309" s="226"/>
      <c r="S3309" s="226"/>
      <c r="T3309" s="226"/>
      <c r="U3309" s="226"/>
    </row>
    <row r="3310" spans="16:21" x14ac:dyDescent="0.35">
      <c r="P3310" s="226"/>
      <c r="Q3310" s="226"/>
      <c r="R3310" s="226"/>
      <c r="S3310" s="226"/>
      <c r="T3310" s="226"/>
      <c r="U3310" s="226"/>
    </row>
    <row r="3311" spans="16:21" x14ac:dyDescent="0.35">
      <c r="P3311" s="226"/>
      <c r="Q3311" s="226"/>
      <c r="R3311" s="226"/>
      <c r="S3311" s="226"/>
      <c r="T3311" s="226"/>
      <c r="U3311" s="226"/>
    </row>
    <row r="3312" spans="16:21" x14ac:dyDescent="0.35">
      <c r="P3312" s="226"/>
      <c r="Q3312" s="226"/>
      <c r="R3312" s="226"/>
      <c r="S3312" s="226"/>
      <c r="T3312" s="226"/>
      <c r="U3312" s="226"/>
    </row>
    <row r="3313" spans="16:21" x14ac:dyDescent="0.35">
      <c r="P3313" s="226"/>
      <c r="Q3313" s="226"/>
      <c r="R3313" s="226"/>
      <c r="S3313" s="226"/>
      <c r="T3313" s="226"/>
      <c r="U3313" s="226"/>
    </row>
    <row r="3314" spans="16:21" x14ac:dyDescent="0.35">
      <c r="P3314" s="226"/>
      <c r="Q3314" s="226"/>
      <c r="R3314" s="226"/>
      <c r="S3314" s="226"/>
      <c r="T3314" s="226"/>
      <c r="U3314" s="226"/>
    </row>
    <row r="3315" spans="16:21" x14ac:dyDescent="0.35">
      <c r="P3315" s="226"/>
      <c r="Q3315" s="226"/>
      <c r="R3315" s="226"/>
      <c r="S3315" s="226"/>
      <c r="T3315" s="226"/>
      <c r="U3315" s="226"/>
    </row>
    <row r="3316" spans="16:21" x14ac:dyDescent="0.35">
      <c r="P3316" s="226"/>
      <c r="Q3316" s="226"/>
      <c r="R3316" s="226"/>
      <c r="S3316" s="226"/>
      <c r="T3316" s="226"/>
      <c r="U3316" s="226"/>
    </row>
    <row r="3317" spans="16:21" x14ac:dyDescent="0.35">
      <c r="P3317" s="226"/>
      <c r="Q3317" s="226"/>
      <c r="R3317" s="226"/>
      <c r="S3317" s="226"/>
      <c r="T3317" s="226"/>
      <c r="U3317" s="226"/>
    </row>
    <row r="3318" spans="16:21" x14ac:dyDescent="0.35">
      <c r="P3318" s="226"/>
      <c r="Q3318" s="226"/>
      <c r="R3318" s="226"/>
      <c r="S3318" s="226"/>
      <c r="T3318" s="226"/>
      <c r="U3318" s="226"/>
    </row>
    <row r="3319" spans="16:21" x14ac:dyDescent="0.35">
      <c r="P3319" s="226"/>
      <c r="Q3319" s="226"/>
      <c r="R3319" s="226"/>
      <c r="S3319" s="226"/>
      <c r="T3319" s="226"/>
      <c r="U3319" s="226"/>
    </row>
    <row r="3320" spans="16:21" x14ac:dyDescent="0.35">
      <c r="P3320" s="226"/>
      <c r="Q3320" s="226"/>
      <c r="R3320" s="226"/>
      <c r="S3320" s="226"/>
      <c r="T3320" s="226"/>
      <c r="U3320" s="226"/>
    </row>
    <row r="3321" spans="16:21" x14ac:dyDescent="0.35">
      <c r="P3321" s="226"/>
      <c r="Q3321" s="226"/>
      <c r="R3321" s="226"/>
      <c r="S3321" s="226"/>
      <c r="T3321" s="226"/>
      <c r="U3321" s="226"/>
    </row>
    <row r="3322" spans="16:21" x14ac:dyDescent="0.35">
      <c r="P3322" s="226"/>
      <c r="Q3322" s="226"/>
      <c r="R3322" s="226"/>
      <c r="S3322" s="226"/>
      <c r="T3322" s="226"/>
      <c r="U3322" s="226"/>
    </row>
    <row r="3323" spans="16:21" x14ac:dyDescent="0.35">
      <c r="P3323" s="226"/>
      <c r="Q3323" s="226"/>
      <c r="R3323" s="226"/>
      <c r="S3323" s="226"/>
      <c r="T3323" s="226"/>
      <c r="U3323" s="226"/>
    </row>
    <row r="3324" spans="16:21" x14ac:dyDescent="0.35">
      <c r="P3324" s="226"/>
      <c r="Q3324" s="226"/>
      <c r="R3324" s="226"/>
      <c r="S3324" s="226"/>
      <c r="T3324" s="226"/>
      <c r="U3324" s="226"/>
    </row>
    <row r="3325" spans="16:21" x14ac:dyDescent="0.35">
      <c r="P3325" s="226"/>
      <c r="Q3325" s="226"/>
      <c r="R3325" s="226"/>
      <c r="S3325" s="226"/>
      <c r="T3325" s="226"/>
      <c r="U3325" s="226"/>
    </row>
    <row r="3326" spans="16:21" x14ac:dyDescent="0.35">
      <c r="P3326" s="226"/>
      <c r="Q3326" s="226"/>
      <c r="R3326" s="226"/>
      <c r="S3326" s="226"/>
      <c r="T3326" s="226"/>
      <c r="U3326" s="226"/>
    </row>
    <row r="3327" spans="16:21" x14ac:dyDescent="0.35">
      <c r="P3327" s="226"/>
      <c r="Q3327" s="226"/>
      <c r="R3327" s="226"/>
      <c r="S3327" s="226"/>
      <c r="T3327" s="226"/>
      <c r="U3327" s="226"/>
    </row>
    <row r="3328" spans="16:21" x14ac:dyDescent="0.35">
      <c r="P3328" s="226"/>
      <c r="Q3328" s="226"/>
      <c r="R3328" s="226"/>
      <c r="S3328" s="226"/>
      <c r="T3328" s="226"/>
      <c r="U3328" s="226"/>
    </row>
    <row r="3329" spans="16:21" x14ac:dyDescent="0.35">
      <c r="P3329" s="226"/>
      <c r="Q3329" s="226"/>
      <c r="R3329" s="226"/>
      <c r="S3329" s="226"/>
      <c r="T3329" s="226"/>
      <c r="U3329" s="226"/>
    </row>
    <row r="3330" spans="16:21" x14ac:dyDescent="0.35">
      <c r="P3330" s="226"/>
      <c r="Q3330" s="226"/>
      <c r="R3330" s="226"/>
      <c r="S3330" s="226"/>
      <c r="T3330" s="226"/>
      <c r="U3330" s="226"/>
    </row>
    <row r="3331" spans="16:21" x14ac:dyDescent="0.35">
      <c r="P3331" s="226"/>
      <c r="Q3331" s="226"/>
      <c r="R3331" s="226"/>
      <c r="S3331" s="226"/>
      <c r="T3331" s="226"/>
      <c r="U3331" s="226"/>
    </row>
    <row r="3332" spans="16:21" x14ac:dyDescent="0.35">
      <c r="P3332" s="226"/>
      <c r="Q3332" s="226"/>
      <c r="R3332" s="226"/>
      <c r="S3332" s="226"/>
      <c r="T3332" s="226"/>
      <c r="U3332" s="226"/>
    </row>
    <row r="3333" spans="16:21" x14ac:dyDescent="0.35">
      <c r="P3333" s="226"/>
      <c r="Q3333" s="226"/>
      <c r="R3333" s="226"/>
      <c r="S3333" s="226"/>
      <c r="T3333" s="226"/>
      <c r="U3333" s="226"/>
    </row>
    <row r="3334" spans="16:21" x14ac:dyDescent="0.35">
      <c r="P3334" s="226"/>
      <c r="Q3334" s="226"/>
      <c r="R3334" s="226"/>
      <c r="S3334" s="226"/>
      <c r="T3334" s="226"/>
      <c r="U3334" s="226"/>
    </row>
    <row r="3335" spans="16:21" x14ac:dyDescent="0.35">
      <c r="P3335" s="226"/>
      <c r="Q3335" s="226"/>
      <c r="R3335" s="226"/>
      <c r="S3335" s="226"/>
      <c r="T3335" s="226"/>
      <c r="U3335" s="226"/>
    </row>
    <row r="3336" spans="16:21" x14ac:dyDescent="0.35">
      <c r="P3336" s="226"/>
      <c r="Q3336" s="226"/>
      <c r="R3336" s="226"/>
      <c r="S3336" s="226"/>
      <c r="T3336" s="226"/>
      <c r="U3336" s="226"/>
    </row>
    <row r="3337" spans="16:21" x14ac:dyDescent="0.35">
      <c r="P3337" s="226"/>
      <c r="Q3337" s="226"/>
      <c r="R3337" s="226"/>
      <c r="S3337" s="226"/>
      <c r="T3337" s="226"/>
      <c r="U3337" s="226"/>
    </row>
    <row r="3338" spans="16:21" x14ac:dyDescent="0.35">
      <c r="P3338" s="226"/>
      <c r="Q3338" s="226"/>
      <c r="R3338" s="226"/>
      <c r="S3338" s="226"/>
      <c r="T3338" s="226"/>
      <c r="U3338" s="226"/>
    </row>
    <row r="3339" spans="16:21" x14ac:dyDescent="0.35">
      <c r="P3339" s="226"/>
      <c r="Q3339" s="226"/>
      <c r="R3339" s="226"/>
      <c r="S3339" s="226"/>
      <c r="T3339" s="226"/>
      <c r="U3339" s="226"/>
    </row>
    <row r="3340" spans="16:21" x14ac:dyDescent="0.35">
      <c r="P3340" s="226"/>
      <c r="Q3340" s="226"/>
      <c r="R3340" s="226"/>
      <c r="S3340" s="226"/>
      <c r="T3340" s="226"/>
      <c r="U3340" s="226"/>
    </row>
    <row r="3341" spans="16:21" x14ac:dyDescent="0.35">
      <c r="P3341" s="226"/>
      <c r="Q3341" s="226"/>
      <c r="R3341" s="226"/>
      <c r="S3341" s="226"/>
      <c r="T3341" s="226"/>
      <c r="U3341" s="226"/>
    </row>
    <row r="3342" spans="16:21" x14ac:dyDescent="0.35">
      <c r="P3342" s="226"/>
      <c r="Q3342" s="226"/>
      <c r="R3342" s="226"/>
      <c r="S3342" s="226"/>
      <c r="T3342" s="226"/>
      <c r="U3342" s="226"/>
    </row>
    <row r="3343" spans="16:21" x14ac:dyDescent="0.35">
      <c r="P3343" s="226"/>
      <c r="Q3343" s="226"/>
      <c r="R3343" s="226"/>
      <c r="S3343" s="226"/>
      <c r="T3343" s="226"/>
      <c r="U3343" s="226"/>
    </row>
    <row r="3344" spans="16:21" x14ac:dyDescent="0.35">
      <c r="P3344" s="226"/>
      <c r="Q3344" s="226"/>
      <c r="R3344" s="226"/>
      <c r="S3344" s="226"/>
      <c r="T3344" s="226"/>
      <c r="U3344" s="226"/>
    </row>
    <row r="3345" spans="16:21" x14ac:dyDescent="0.35">
      <c r="P3345" s="226"/>
      <c r="Q3345" s="226"/>
      <c r="R3345" s="226"/>
      <c r="S3345" s="226"/>
      <c r="T3345" s="226"/>
      <c r="U3345" s="226"/>
    </row>
    <row r="3346" spans="16:21" x14ac:dyDescent="0.35">
      <c r="P3346" s="226"/>
      <c r="Q3346" s="226"/>
      <c r="R3346" s="226"/>
      <c r="S3346" s="226"/>
      <c r="T3346" s="226"/>
      <c r="U3346" s="226"/>
    </row>
    <row r="3347" spans="16:21" x14ac:dyDescent="0.35">
      <c r="P3347" s="226"/>
      <c r="Q3347" s="226"/>
      <c r="R3347" s="226"/>
      <c r="S3347" s="226"/>
      <c r="T3347" s="226"/>
      <c r="U3347" s="226"/>
    </row>
    <row r="3348" spans="16:21" x14ac:dyDescent="0.35">
      <c r="P3348" s="226"/>
      <c r="Q3348" s="226"/>
      <c r="R3348" s="226"/>
      <c r="S3348" s="226"/>
      <c r="T3348" s="226"/>
      <c r="U3348" s="226"/>
    </row>
    <row r="3349" spans="16:21" x14ac:dyDescent="0.35">
      <c r="P3349" s="226"/>
      <c r="Q3349" s="226"/>
      <c r="R3349" s="226"/>
      <c r="S3349" s="226"/>
      <c r="T3349" s="226"/>
      <c r="U3349" s="226"/>
    </row>
    <row r="3350" spans="16:21" x14ac:dyDescent="0.35">
      <c r="P3350" s="226"/>
      <c r="Q3350" s="226"/>
      <c r="R3350" s="226"/>
      <c r="S3350" s="226"/>
      <c r="T3350" s="226"/>
      <c r="U3350" s="226"/>
    </row>
    <row r="3351" spans="16:21" x14ac:dyDescent="0.35">
      <c r="P3351" s="226"/>
      <c r="Q3351" s="226"/>
      <c r="R3351" s="226"/>
      <c r="S3351" s="226"/>
      <c r="T3351" s="226"/>
      <c r="U3351" s="226"/>
    </row>
    <row r="3352" spans="16:21" x14ac:dyDescent="0.35">
      <c r="P3352" s="226"/>
      <c r="Q3352" s="226"/>
      <c r="R3352" s="226"/>
      <c r="S3352" s="226"/>
      <c r="T3352" s="226"/>
      <c r="U3352" s="226"/>
    </row>
    <row r="3353" spans="16:21" x14ac:dyDescent="0.35">
      <c r="P3353" s="226"/>
      <c r="Q3353" s="226"/>
      <c r="R3353" s="226"/>
      <c r="S3353" s="226"/>
      <c r="T3353" s="226"/>
      <c r="U3353" s="226"/>
    </row>
    <row r="3354" spans="16:21" x14ac:dyDescent="0.35">
      <c r="P3354" s="226"/>
      <c r="Q3354" s="226"/>
      <c r="R3354" s="226"/>
      <c r="S3354" s="226"/>
      <c r="T3354" s="226"/>
      <c r="U3354" s="226"/>
    </row>
    <row r="3355" spans="16:21" x14ac:dyDescent="0.35">
      <c r="P3355" s="226"/>
      <c r="Q3355" s="226"/>
      <c r="R3355" s="226"/>
      <c r="S3355" s="226"/>
      <c r="T3355" s="226"/>
      <c r="U3355" s="226"/>
    </row>
    <row r="3356" spans="16:21" x14ac:dyDescent="0.35">
      <c r="P3356" s="226"/>
      <c r="Q3356" s="226"/>
      <c r="R3356" s="226"/>
      <c r="S3356" s="226"/>
      <c r="T3356" s="226"/>
      <c r="U3356" s="226"/>
    </row>
    <row r="3357" spans="16:21" x14ac:dyDescent="0.35">
      <c r="P3357" s="226"/>
      <c r="Q3357" s="226"/>
      <c r="R3357" s="226"/>
      <c r="S3357" s="226"/>
      <c r="T3357" s="226"/>
      <c r="U3357" s="226"/>
    </row>
    <row r="3358" spans="16:21" x14ac:dyDescent="0.35">
      <c r="P3358" s="226"/>
      <c r="Q3358" s="226"/>
      <c r="R3358" s="226"/>
      <c r="S3358" s="226"/>
      <c r="T3358" s="226"/>
      <c r="U3358" s="226"/>
    </row>
    <row r="3359" spans="16:21" x14ac:dyDescent="0.35">
      <c r="P3359" s="226"/>
      <c r="Q3359" s="226"/>
      <c r="R3359" s="226"/>
      <c r="S3359" s="226"/>
      <c r="T3359" s="226"/>
      <c r="U3359" s="226"/>
    </row>
    <row r="3360" spans="16:21" x14ac:dyDescent="0.35">
      <c r="P3360" s="226"/>
      <c r="Q3360" s="226"/>
      <c r="R3360" s="226"/>
      <c r="S3360" s="226"/>
      <c r="T3360" s="226"/>
      <c r="U3360" s="226"/>
    </row>
    <row r="3361" spans="16:21" x14ac:dyDescent="0.35">
      <c r="P3361" s="226"/>
      <c r="Q3361" s="226"/>
      <c r="R3361" s="226"/>
      <c r="S3361" s="226"/>
      <c r="T3361" s="226"/>
      <c r="U3361" s="226"/>
    </row>
    <row r="3362" spans="16:21" x14ac:dyDescent="0.35">
      <c r="P3362" s="226"/>
      <c r="Q3362" s="226"/>
      <c r="R3362" s="226"/>
      <c r="S3362" s="226"/>
      <c r="T3362" s="226"/>
      <c r="U3362" s="226"/>
    </row>
    <row r="3363" spans="16:21" x14ac:dyDescent="0.35">
      <c r="P3363" s="226"/>
      <c r="Q3363" s="226"/>
      <c r="R3363" s="226"/>
      <c r="S3363" s="226"/>
      <c r="T3363" s="226"/>
      <c r="U3363" s="226"/>
    </row>
    <row r="3364" spans="16:21" x14ac:dyDescent="0.35">
      <c r="P3364" s="226"/>
      <c r="Q3364" s="226"/>
      <c r="R3364" s="226"/>
      <c r="S3364" s="226"/>
      <c r="T3364" s="226"/>
      <c r="U3364" s="226"/>
    </row>
    <row r="3365" spans="16:21" x14ac:dyDescent="0.35">
      <c r="P3365" s="226"/>
      <c r="Q3365" s="226"/>
      <c r="R3365" s="226"/>
      <c r="S3365" s="226"/>
      <c r="T3365" s="226"/>
      <c r="U3365" s="226"/>
    </row>
    <row r="3366" spans="16:21" x14ac:dyDescent="0.35">
      <c r="P3366" s="226"/>
      <c r="Q3366" s="226"/>
      <c r="R3366" s="226"/>
      <c r="S3366" s="226"/>
      <c r="T3366" s="226"/>
      <c r="U3366" s="226"/>
    </row>
    <row r="3367" spans="16:21" x14ac:dyDescent="0.35">
      <c r="P3367" s="226"/>
      <c r="Q3367" s="226"/>
      <c r="R3367" s="226"/>
      <c r="S3367" s="226"/>
      <c r="T3367" s="226"/>
      <c r="U3367" s="226"/>
    </row>
    <row r="3368" spans="16:21" x14ac:dyDescent="0.35">
      <c r="P3368" s="226"/>
      <c r="Q3368" s="226"/>
      <c r="R3368" s="226"/>
      <c r="S3368" s="226"/>
      <c r="T3368" s="226"/>
      <c r="U3368" s="226"/>
    </row>
    <row r="3369" spans="16:21" x14ac:dyDescent="0.35">
      <c r="P3369" s="226"/>
      <c r="Q3369" s="226"/>
      <c r="R3369" s="226"/>
      <c r="S3369" s="226"/>
      <c r="T3369" s="226"/>
      <c r="U3369" s="226"/>
    </row>
    <row r="3370" spans="16:21" x14ac:dyDescent="0.35">
      <c r="P3370" s="226"/>
      <c r="Q3370" s="226"/>
      <c r="R3370" s="226"/>
      <c r="S3370" s="226"/>
      <c r="T3370" s="226"/>
      <c r="U3370" s="226"/>
    </row>
    <row r="3371" spans="16:21" x14ac:dyDescent="0.35">
      <c r="P3371" s="226"/>
      <c r="Q3371" s="226"/>
      <c r="R3371" s="226"/>
      <c r="S3371" s="226"/>
      <c r="T3371" s="226"/>
      <c r="U3371" s="226"/>
    </row>
    <row r="3372" spans="16:21" x14ac:dyDescent="0.35">
      <c r="P3372" s="226"/>
      <c r="Q3372" s="226"/>
      <c r="R3372" s="226"/>
      <c r="S3372" s="226"/>
      <c r="T3372" s="226"/>
      <c r="U3372" s="226"/>
    </row>
    <row r="3373" spans="16:21" x14ac:dyDescent="0.35">
      <c r="P3373" s="226"/>
      <c r="Q3373" s="226"/>
      <c r="R3373" s="226"/>
      <c r="S3373" s="226"/>
      <c r="T3373" s="226"/>
      <c r="U3373" s="226"/>
    </row>
    <row r="3374" spans="16:21" x14ac:dyDescent="0.35">
      <c r="P3374" s="226"/>
      <c r="Q3374" s="226"/>
      <c r="R3374" s="226"/>
      <c r="S3374" s="226"/>
      <c r="T3374" s="226"/>
      <c r="U3374" s="226"/>
    </row>
    <row r="3375" spans="16:21" x14ac:dyDescent="0.35">
      <c r="P3375" s="226"/>
      <c r="Q3375" s="226"/>
      <c r="R3375" s="226"/>
      <c r="S3375" s="226"/>
      <c r="T3375" s="226"/>
      <c r="U3375" s="226"/>
    </row>
    <row r="3376" spans="16:21" x14ac:dyDescent="0.35">
      <c r="P3376" s="226"/>
      <c r="Q3376" s="226"/>
      <c r="R3376" s="226"/>
      <c r="S3376" s="226"/>
      <c r="T3376" s="226"/>
      <c r="U3376" s="226"/>
    </row>
    <row r="3377" spans="16:21" x14ac:dyDescent="0.35">
      <c r="P3377" s="226"/>
      <c r="Q3377" s="226"/>
      <c r="R3377" s="226"/>
      <c r="S3377" s="226"/>
      <c r="T3377" s="226"/>
      <c r="U3377" s="226"/>
    </row>
    <row r="3378" spans="16:21" x14ac:dyDescent="0.35">
      <c r="P3378" s="226"/>
      <c r="Q3378" s="226"/>
      <c r="R3378" s="226"/>
      <c r="S3378" s="226"/>
      <c r="T3378" s="226"/>
      <c r="U3378" s="226"/>
    </row>
    <row r="3379" spans="16:21" x14ac:dyDescent="0.35">
      <c r="P3379" s="226"/>
      <c r="Q3379" s="226"/>
      <c r="R3379" s="226"/>
      <c r="S3379" s="226"/>
      <c r="T3379" s="226"/>
      <c r="U3379" s="226"/>
    </row>
    <row r="3380" spans="16:21" x14ac:dyDescent="0.35">
      <c r="P3380" s="226"/>
      <c r="Q3380" s="226"/>
      <c r="R3380" s="226"/>
      <c r="S3380" s="226"/>
      <c r="T3380" s="226"/>
      <c r="U3380" s="226"/>
    </row>
    <row r="3381" spans="16:21" x14ac:dyDescent="0.35">
      <c r="P3381" s="226"/>
      <c r="Q3381" s="226"/>
      <c r="R3381" s="226"/>
      <c r="S3381" s="226"/>
      <c r="T3381" s="226"/>
      <c r="U3381" s="226"/>
    </row>
    <row r="3382" spans="16:21" x14ac:dyDescent="0.35">
      <c r="P3382" s="226"/>
      <c r="Q3382" s="226"/>
      <c r="R3382" s="226"/>
      <c r="S3382" s="226"/>
      <c r="T3382" s="226"/>
      <c r="U3382" s="226"/>
    </row>
    <row r="3383" spans="16:21" x14ac:dyDescent="0.35">
      <c r="P3383" s="226"/>
      <c r="Q3383" s="226"/>
      <c r="R3383" s="226"/>
      <c r="S3383" s="226"/>
      <c r="T3383" s="226"/>
      <c r="U3383" s="226"/>
    </row>
    <row r="3384" spans="16:21" x14ac:dyDescent="0.35">
      <c r="P3384" s="226"/>
      <c r="Q3384" s="226"/>
      <c r="R3384" s="226"/>
      <c r="S3384" s="226"/>
      <c r="T3384" s="226"/>
      <c r="U3384" s="226"/>
    </row>
    <row r="3385" spans="16:21" x14ac:dyDescent="0.35">
      <c r="P3385" s="226"/>
      <c r="Q3385" s="226"/>
      <c r="R3385" s="226"/>
      <c r="S3385" s="226"/>
      <c r="T3385" s="226"/>
      <c r="U3385" s="226"/>
    </row>
    <row r="3386" spans="16:21" x14ac:dyDescent="0.35">
      <c r="P3386" s="226"/>
      <c r="Q3386" s="226"/>
      <c r="R3386" s="226"/>
      <c r="S3386" s="226"/>
      <c r="T3386" s="226"/>
      <c r="U3386" s="226"/>
    </row>
    <row r="3387" spans="16:21" x14ac:dyDescent="0.35">
      <c r="P3387" s="226"/>
      <c r="Q3387" s="226"/>
      <c r="R3387" s="226"/>
      <c r="S3387" s="226"/>
      <c r="T3387" s="226"/>
      <c r="U3387" s="226"/>
    </row>
    <row r="3388" spans="16:21" x14ac:dyDescent="0.35">
      <c r="P3388" s="226"/>
      <c r="Q3388" s="226"/>
      <c r="R3388" s="226"/>
      <c r="S3388" s="226"/>
      <c r="T3388" s="226"/>
      <c r="U3388" s="226"/>
    </row>
    <row r="3389" spans="16:21" x14ac:dyDescent="0.35">
      <c r="P3389" s="226"/>
      <c r="Q3389" s="226"/>
      <c r="R3389" s="226"/>
      <c r="S3389" s="226"/>
      <c r="T3389" s="226"/>
      <c r="U3389" s="226"/>
    </row>
    <row r="3390" spans="16:21" x14ac:dyDescent="0.35">
      <c r="P3390" s="226"/>
      <c r="Q3390" s="226"/>
      <c r="R3390" s="226"/>
      <c r="S3390" s="226"/>
      <c r="T3390" s="226"/>
      <c r="U3390" s="226"/>
    </row>
    <row r="3391" spans="16:21" x14ac:dyDescent="0.35">
      <c r="P3391" s="226"/>
      <c r="Q3391" s="226"/>
      <c r="R3391" s="226"/>
      <c r="S3391" s="226"/>
      <c r="T3391" s="226"/>
      <c r="U3391" s="226"/>
    </row>
    <row r="3392" spans="16:21" x14ac:dyDescent="0.35">
      <c r="P3392" s="226"/>
      <c r="Q3392" s="226"/>
      <c r="R3392" s="226"/>
      <c r="S3392" s="226"/>
      <c r="T3392" s="226"/>
      <c r="U3392" s="226"/>
    </row>
    <row r="3393" spans="16:21" x14ac:dyDescent="0.35">
      <c r="P3393" s="226"/>
      <c r="Q3393" s="226"/>
      <c r="R3393" s="226"/>
      <c r="S3393" s="226"/>
      <c r="T3393" s="226"/>
      <c r="U3393" s="226"/>
    </row>
    <row r="3394" spans="16:21" x14ac:dyDescent="0.35">
      <c r="P3394" s="226"/>
      <c r="Q3394" s="226"/>
      <c r="R3394" s="226"/>
      <c r="S3394" s="226"/>
      <c r="T3394" s="226"/>
      <c r="U3394" s="226"/>
    </row>
    <row r="3395" spans="16:21" x14ac:dyDescent="0.35">
      <c r="P3395" s="226"/>
      <c r="Q3395" s="226"/>
      <c r="R3395" s="226"/>
      <c r="S3395" s="226"/>
      <c r="T3395" s="226"/>
      <c r="U3395" s="226"/>
    </row>
    <row r="3396" spans="16:21" x14ac:dyDescent="0.35">
      <c r="P3396" s="226"/>
      <c r="Q3396" s="226"/>
      <c r="R3396" s="226"/>
      <c r="S3396" s="226"/>
      <c r="T3396" s="226"/>
      <c r="U3396" s="226"/>
    </row>
    <row r="3397" spans="16:21" x14ac:dyDescent="0.35">
      <c r="P3397" s="226"/>
      <c r="Q3397" s="226"/>
      <c r="R3397" s="226"/>
      <c r="S3397" s="226"/>
      <c r="T3397" s="226"/>
      <c r="U3397" s="226"/>
    </row>
    <row r="3398" spans="16:21" x14ac:dyDescent="0.35">
      <c r="P3398" s="226"/>
      <c r="Q3398" s="226"/>
      <c r="R3398" s="226"/>
      <c r="S3398" s="226"/>
      <c r="T3398" s="226"/>
      <c r="U3398" s="226"/>
    </row>
    <row r="3399" spans="16:21" x14ac:dyDescent="0.35">
      <c r="P3399" s="226"/>
      <c r="Q3399" s="226"/>
      <c r="R3399" s="226"/>
      <c r="S3399" s="226"/>
      <c r="T3399" s="226"/>
      <c r="U3399" s="226"/>
    </row>
    <row r="3400" spans="16:21" x14ac:dyDescent="0.35">
      <c r="P3400" s="226"/>
      <c r="Q3400" s="226"/>
      <c r="R3400" s="226"/>
      <c r="S3400" s="226"/>
      <c r="T3400" s="226"/>
      <c r="U3400" s="226"/>
    </row>
    <row r="3401" spans="16:21" x14ac:dyDescent="0.35">
      <c r="P3401" s="226"/>
      <c r="Q3401" s="226"/>
      <c r="R3401" s="226"/>
      <c r="S3401" s="226"/>
      <c r="T3401" s="226"/>
      <c r="U3401" s="226"/>
    </row>
    <row r="3402" spans="16:21" x14ac:dyDescent="0.35">
      <c r="P3402" s="226"/>
      <c r="Q3402" s="226"/>
      <c r="R3402" s="226"/>
      <c r="S3402" s="226"/>
      <c r="T3402" s="226"/>
      <c r="U3402" s="226"/>
    </row>
    <row r="3403" spans="16:21" x14ac:dyDescent="0.35">
      <c r="P3403" s="226"/>
      <c r="Q3403" s="226"/>
      <c r="R3403" s="226"/>
      <c r="S3403" s="226"/>
      <c r="T3403" s="226"/>
      <c r="U3403" s="226"/>
    </row>
    <row r="3404" spans="16:21" x14ac:dyDescent="0.35">
      <c r="P3404" s="226"/>
      <c r="Q3404" s="226"/>
      <c r="R3404" s="226"/>
      <c r="S3404" s="226"/>
      <c r="T3404" s="226"/>
      <c r="U3404" s="226"/>
    </row>
    <row r="3405" spans="16:21" x14ac:dyDescent="0.35">
      <c r="P3405" s="226"/>
      <c r="Q3405" s="226"/>
      <c r="R3405" s="226"/>
      <c r="S3405" s="226"/>
      <c r="T3405" s="226"/>
      <c r="U3405" s="226"/>
    </row>
    <row r="3406" spans="16:21" x14ac:dyDescent="0.35">
      <c r="P3406" s="226"/>
      <c r="Q3406" s="226"/>
      <c r="R3406" s="226"/>
      <c r="S3406" s="226"/>
      <c r="T3406" s="226"/>
      <c r="U3406" s="226"/>
    </row>
    <row r="3407" spans="16:21" x14ac:dyDescent="0.35">
      <c r="P3407" s="226"/>
      <c r="Q3407" s="226"/>
      <c r="R3407" s="226"/>
      <c r="S3407" s="226"/>
      <c r="T3407" s="226"/>
      <c r="U3407" s="226"/>
    </row>
    <row r="3408" spans="16:21" x14ac:dyDescent="0.35">
      <c r="P3408" s="226"/>
      <c r="Q3408" s="226"/>
      <c r="R3408" s="226"/>
      <c r="S3408" s="226"/>
      <c r="T3408" s="226"/>
      <c r="U3408" s="226"/>
    </row>
    <row r="3409" spans="16:21" x14ac:dyDescent="0.35">
      <c r="P3409" s="226"/>
      <c r="Q3409" s="226"/>
      <c r="R3409" s="226"/>
      <c r="S3409" s="226"/>
      <c r="T3409" s="226"/>
      <c r="U3409" s="226"/>
    </row>
    <row r="3410" spans="16:21" x14ac:dyDescent="0.35">
      <c r="P3410" s="226"/>
      <c r="Q3410" s="226"/>
      <c r="R3410" s="226"/>
      <c r="S3410" s="226"/>
      <c r="T3410" s="226"/>
      <c r="U3410" s="226"/>
    </row>
    <row r="3411" spans="16:21" x14ac:dyDescent="0.35">
      <c r="P3411" s="226"/>
      <c r="Q3411" s="226"/>
      <c r="R3411" s="226"/>
      <c r="S3411" s="226"/>
      <c r="T3411" s="226"/>
      <c r="U3411" s="226"/>
    </row>
    <row r="3412" spans="16:21" x14ac:dyDescent="0.35">
      <c r="P3412" s="226"/>
      <c r="Q3412" s="226"/>
      <c r="R3412" s="226"/>
      <c r="S3412" s="226"/>
      <c r="T3412" s="226"/>
      <c r="U3412" s="226"/>
    </row>
    <row r="3413" spans="16:21" x14ac:dyDescent="0.35">
      <c r="P3413" s="226"/>
      <c r="Q3413" s="226"/>
      <c r="R3413" s="226"/>
      <c r="S3413" s="226"/>
      <c r="T3413" s="226"/>
      <c r="U3413" s="226"/>
    </row>
    <row r="3414" spans="16:21" x14ac:dyDescent="0.35">
      <c r="P3414" s="226"/>
      <c r="Q3414" s="226"/>
      <c r="R3414" s="226"/>
      <c r="S3414" s="226"/>
      <c r="T3414" s="226"/>
      <c r="U3414" s="226"/>
    </row>
    <row r="3415" spans="16:21" x14ac:dyDescent="0.35">
      <c r="P3415" s="226"/>
      <c r="Q3415" s="226"/>
      <c r="R3415" s="226"/>
      <c r="S3415" s="226"/>
      <c r="T3415" s="226"/>
      <c r="U3415" s="226"/>
    </row>
    <row r="3416" spans="16:21" x14ac:dyDescent="0.35">
      <c r="P3416" s="226"/>
      <c r="Q3416" s="226"/>
      <c r="R3416" s="226"/>
      <c r="S3416" s="226"/>
      <c r="T3416" s="226"/>
      <c r="U3416" s="226"/>
    </row>
    <row r="3417" spans="16:21" x14ac:dyDescent="0.35">
      <c r="P3417" s="226"/>
      <c r="Q3417" s="226"/>
      <c r="R3417" s="226"/>
      <c r="S3417" s="226"/>
      <c r="T3417" s="226"/>
      <c r="U3417" s="226"/>
    </row>
    <row r="3418" spans="16:21" x14ac:dyDescent="0.35">
      <c r="P3418" s="226"/>
      <c r="Q3418" s="226"/>
      <c r="R3418" s="226"/>
      <c r="S3418" s="226"/>
      <c r="T3418" s="226"/>
      <c r="U3418" s="226"/>
    </row>
    <row r="3419" spans="16:21" x14ac:dyDescent="0.35">
      <c r="P3419" s="226"/>
      <c r="Q3419" s="226"/>
      <c r="R3419" s="226"/>
      <c r="S3419" s="226"/>
      <c r="T3419" s="226"/>
      <c r="U3419" s="226"/>
    </row>
    <row r="3420" spans="16:21" x14ac:dyDescent="0.35">
      <c r="P3420" s="226"/>
      <c r="Q3420" s="226"/>
      <c r="R3420" s="226"/>
      <c r="S3420" s="226"/>
      <c r="T3420" s="226"/>
      <c r="U3420" s="226"/>
    </row>
    <row r="3421" spans="16:21" x14ac:dyDescent="0.35">
      <c r="P3421" s="226"/>
      <c r="Q3421" s="226"/>
      <c r="R3421" s="226"/>
      <c r="S3421" s="226"/>
      <c r="T3421" s="226"/>
      <c r="U3421" s="226"/>
    </row>
    <row r="3422" spans="16:21" x14ac:dyDescent="0.35">
      <c r="P3422" s="226"/>
      <c r="Q3422" s="226"/>
      <c r="R3422" s="226"/>
      <c r="S3422" s="226"/>
      <c r="T3422" s="226"/>
      <c r="U3422" s="226"/>
    </row>
    <row r="3423" spans="16:21" x14ac:dyDescent="0.35">
      <c r="P3423" s="226"/>
      <c r="Q3423" s="226"/>
      <c r="R3423" s="226"/>
      <c r="S3423" s="226"/>
      <c r="T3423" s="226"/>
      <c r="U3423" s="226"/>
    </row>
    <row r="3424" spans="16:21" x14ac:dyDescent="0.35">
      <c r="P3424" s="226"/>
      <c r="Q3424" s="226"/>
      <c r="R3424" s="226"/>
      <c r="S3424" s="226"/>
      <c r="T3424" s="226"/>
      <c r="U3424" s="226"/>
    </row>
    <row r="3425" spans="16:21" x14ac:dyDescent="0.35">
      <c r="P3425" s="226"/>
      <c r="Q3425" s="226"/>
      <c r="R3425" s="226"/>
      <c r="S3425" s="226"/>
      <c r="T3425" s="226"/>
      <c r="U3425" s="226"/>
    </row>
    <row r="3426" spans="16:21" x14ac:dyDescent="0.35">
      <c r="P3426" s="226"/>
      <c r="Q3426" s="226"/>
      <c r="R3426" s="226"/>
      <c r="S3426" s="226"/>
      <c r="T3426" s="226"/>
      <c r="U3426" s="226"/>
    </row>
    <row r="3427" spans="16:21" x14ac:dyDescent="0.35">
      <c r="P3427" s="226"/>
      <c r="Q3427" s="226"/>
      <c r="R3427" s="226"/>
      <c r="S3427" s="226"/>
      <c r="T3427" s="226"/>
      <c r="U3427" s="226"/>
    </row>
    <row r="3428" spans="16:21" x14ac:dyDescent="0.35">
      <c r="P3428" s="226"/>
      <c r="Q3428" s="226"/>
      <c r="R3428" s="226"/>
      <c r="S3428" s="226"/>
      <c r="T3428" s="226"/>
      <c r="U3428" s="226"/>
    </row>
    <row r="3429" spans="16:21" x14ac:dyDescent="0.35">
      <c r="P3429" s="226"/>
      <c r="Q3429" s="226"/>
      <c r="R3429" s="226"/>
      <c r="S3429" s="226"/>
      <c r="T3429" s="226"/>
      <c r="U3429" s="226"/>
    </row>
    <row r="3430" spans="16:21" x14ac:dyDescent="0.35">
      <c r="P3430" s="226"/>
      <c r="Q3430" s="226"/>
      <c r="R3430" s="226"/>
      <c r="S3430" s="226"/>
      <c r="T3430" s="226"/>
      <c r="U3430" s="226"/>
    </row>
    <row r="3431" spans="16:21" x14ac:dyDescent="0.35">
      <c r="P3431" s="226"/>
      <c r="Q3431" s="226"/>
      <c r="R3431" s="226"/>
      <c r="S3431" s="226"/>
      <c r="T3431" s="226"/>
      <c r="U3431" s="226"/>
    </row>
    <row r="3432" spans="16:21" x14ac:dyDescent="0.35">
      <c r="P3432" s="226"/>
      <c r="Q3432" s="226"/>
      <c r="R3432" s="226"/>
      <c r="S3432" s="226"/>
      <c r="T3432" s="226"/>
      <c r="U3432" s="226"/>
    </row>
    <row r="3433" spans="16:21" x14ac:dyDescent="0.35">
      <c r="P3433" s="226"/>
      <c r="Q3433" s="226"/>
      <c r="R3433" s="226"/>
      <c r="S3433" s="226"/>
      <c r="T3433" s="226"/>
      <c r="U3433" s="226"/>
    </row>
    <row r="3434" spans="16:21" x14ac:dyDescent="0.35">
      <c r="P3434" s="226"/>
      <c r="Q3434" s="226"/>
      <c r="R3434" s="226"/>
      <c r="S3434" s="226"/>
      <c r="T3434" s="226"/>
      <c r="U3434" s="226"/>
    </row>
    <row r="3435" spans="16:21" x14ac:dyDescent="0.35">
      <c r="P3435" s="226"/>
      <c r="Q3435" s="226"/>
      <c r="R3435" s="226"/>
      <c r="S3435" s="226"/>
      <c r="T3435" s="226"/>
      <c r="U3435" s="226"/>
    </row>
    <row r="3436" spans="16:21" x14ac:dyDescent="0.35">
      <c r="P3436" s="226"/>
      <c r="Q3436" s="226"/>
      <c r="R3436" s="226"/>
      <c r="S3436" s="226"/>
      <c r="T3436" s="226"/>
      <c r="U3436" s="226"/>
    </row>
    <row r="3437" spans="16:21" x14ac:dyDescent="0.35">
      <c r="P3437" s="226"/>
      <c r="Q3437" s="226"/>
      <c r="R3437" s="226"/>
      <c r="S3437" s="226"/>
      <c r="T3437" s="226"/>
      <c r="U3437" s="226"/>
    </row>
    <row r="3438" spans="16:21" x14ac:dyDescent="0.35">
      <c r="P3438" s="226"/>
      <c r="Q3438" s="226"/>
      <c r="R3438" s="226"/>
      <c r="S3438" s="226"/>
      <c r="T3438" s="226"/>
      <c r="U3438" s="226"/>
    </row>
    <row r="3439" spans="16:21" x14ac:dyDescent="0.35">
      <c r="P3439" s="226"/>
      <c r="Q3439" s="226"/>
      <c r="R3439" s="226"/>
      <c r="S3439" s="226"/>
      <c r="T3439" s="226"/>
      <c r="U3439" s="226"/>
    </row>
    <row r="3440" spans="16:21" x14ac:dyDescent="0.35">
      <c r="P3440" s="226"/>
      <c r="Q3440" s="226"/>
      <c r="R3440" s="226"/>
      <c r="S3440" s="226"/>
      <c r="T3440" s="226"/>
      <c r="U3440" s="226"/>
    </row>
    <row r="3441" spans="16:21" x14ac:dyDescent="0.35">
      <c r="P3441" s="226"/>
      <c r="Q3441" s="226"/>
      <c r="R3441" s="226"/>
      <c r="S3441" s="226"/>
      <c r="T3441" s="226"/>
      <c r="U3441" s="226"/>
    </row>
    <row r="3442" spans="16:21" x14ac:dyDescent="0.35">
      <c r="P3442" s="226"/>
      <c r="Q3442" s="226"/>
      <c r="R3442" s="226"/>
      <c r="S3442" s="226"/>
      <c r="T3442" s="226"/>
      <c r="U3442" s="226"/>
    </row>
    <row r="3443" spans="16:21" x14ac:dyDescent="0.35">
      <c r="P3443" s="226"/>
      <c r="Q3443" s="226"/>
      <c r="R3443" s="226"/>
      <c r="S3443" s="226"/>
      <c r="T3443" s="226"/>
      <c r="U3443" s="226"/>
    </row>
    <row r="3444" spans="16:21" x14ac:dyDescent="0.35">
      <c r="P3444" s="226"/>
      <c r="Q3444" s="226"/>
      <c r="R3444" s="226"/>
      <c r="S3444" s="226"/>
      <c r="T3444" s="226"/>
      <c r="U3444" s="226"/>
    </row>
    <row r="3445" spans="16:21" x14ac:dyDescent="0.35">
      <c r="P3445" s="226"/>
      <c r="Q3445" s="226"/>
      <c r="R3445" s="226"/>
      <c r="S3445" s="226"/>
      <c r="T3445" s="226"/>
      <c r="U3445" s="226"/>
    </row>
    <row r="3446" spans="16:21" x14ac:dyDescent="0.35">
      <c r="P3446" s="226"/>
      <c r="Q3446" s="226"/>
      <c r="R3446" s="226"/>
      <c r="S3446" s="226"/>
      <c r="T3446" s="226"/>
      <c r="U3446" s="226"/>
    </row>
    <row r="3447" spans="16:21" x14ac:dyDescent="0.35">
      <c r="P3447" s="226"/>
      <c r="Q3447" s="226"/>
      <c r="R3447" s="226"/>
      <c r="S3447" s="226"/>
      <c r="T3447" s="226"/>
      <c r="U3447" s="226"/>
    </row>
    <row r="3448" spans="16:21" x14ac:dyDescent="0.35">
      <c r="P3448" s="226"/>
      <c r="Q3448" s="226"/>
      <c r="R3448" s="226"/>
      <c r="S3448" s="226"/>
      <c r="T3448" s="226"/>
      <c r="U3448" s="226"/>
    </row>
    <row r="3449" spans="16:21" x14ac:dyDescent="0.35">
      <c r="P3449" s="226"/>
      <c r="Q3449" s="226"/>
      <c r="R3449" s="226"/>
      <c r="S3449" s="226"/>
      <c r="T3449" s="226"/>
      <c r="U3449" s="226"/>
    </row>
    <row r="3450" spans="16:21" x14ac:dyDescent="0.35">
      <c r="P3450" s="226"/>
      <c r="Q3450" s="226"/>
      <c r="R3450" s="226"/>
      <c r="S3450" s="226"/>
      <c r="T3450" s="226"/>
      <c r="U3450" s="226"/>
    </row>
    <row r="3451" spans="16:21" x14ac:dyDescent="0.35">
      <c r="P3451" s="226"/>
      <c r="Q3451" s="226"/>
      <c r="R3451" s="226"/>
      <c r="S3451" s="226"/>
      <c r="T3451" s="226"/>
      <c r="U3451" s="226"/>
    </row>
    <row r="3452" spans="16:21" x14ac:dyDescent="0.35">
      <c r="P3452" s="226"/>
      <c r="Q3452" s="226"/>
      <c r="R3452" s="226"/>
      <c r="S3452" s="226"/>
      <c r="T3452" s="226"/>
      <c r="U3452" s="226"/>
    </row>
    <row r="3453" spans="16:21" x14ac:dyDescent="0.35">
      <c r="P3453" s="226"/>
      <c r="Q3453" s="226"/>
      <c r="R3453" s="226"/>
      <c r="S3453" s="226"/>
      <c r="T3453" s="226"/>
      <c r="U3453" s="226"/>
    </row>
    <row r="3454" spans="16:21" x14ac:dyDescent="0.35">
      <c r="P3454" s="226"/>
      <c r="Q3454" s="226"/>
      <c r="R3454" s="226"/>
      <c r="S3454" s="226"/>
      <c r="T3454" s="226"/>
      <c r="U3454" s="226"/>
    </row>
    <row r="3455" spans="16:21" x14ac:dyDescent="0.35">
      <c r="P3455" s="226"/>
      <c r="Q3455" s="226"/>
      <c r="R3455" s="226"/>
      <c r="S3455" s="226"/>
      <c r="T3455" s="226"/>
      <c r="U3455" s="226"/>
    </row>
    <row r="3456" spans="16:21" x14ac:dyDescent="0.35">
      <c r="P3456" s="226"/>
      <c r="Q3456" s="226"/>
      <c r="R3456" s="226"/>
      <c r="S3456" s="226"/>
      <c r="T3456" s="226"/>
      <c r="U3456" s="226"/>
    </row>
    <row r="3457" spans="16:21" x14ac:dyDescent="0.35">
      <c r="P3457" s="226"/>
      <c r="Q3457" s="226"/>
      <c r="R3457" s="226"/>
      <c r="S3457" s="226"/>
      <c r="T3457" s="226"/>
      <c r="U3457" s="226"/>
    </row>
    <row r="3458" spans="16:21" x14ac:dyDescent="0.35">
      <c r="P3458" s="226"/>
      <c r="Q3458" s="226"/>
      <c r="R3458" s="226"/>
      <c r="S3458" s="226"/>
      <c r="T3458" s="226"/>
      <c r="U3458" s="226"/>
    </row>
    <row r="3459" spans="16:21" x14ac:dyDescent="0.35">
      <c r="P3459" s="226"/>
      <c r="Q3459" s="226"/>
      <c r="R3459" s="226"/>
      <c r="S3459" s="226"/>
      <c r="T3459" s="226"/>
      <c r="U3459" s="226"/>
    </row>
    <row r="3460" spans="16:21" x14ac:dyDescent="0.35">
      <c r="P3460" s="226"/>
      <c r="Q3460" s="226"/>
      <c r="R3460" s="226"/>
      <c r="S3460" s="226"/>
      <c r="T3460" s="226"/>
      <c r="U3460" s="226"/>
    </row>
    <row r="3461" spans="16:21" x14ac:dyDescent="0.35">
      <c r="P3461" s="226"/>
      <c r="Q3461" s="226"/>
      <c r="R3461" s="226"/>
      <c r="S3461" s="226"/>
      <c r="T3461" s="226"/>
      <c r="U3461" s="226"/>
    </row>
    <row r="3462" spans="16:21" x14ac:dyDescent="0.35">
      <c r="P3462" s="226"/>
      <c r="Q3462" s="226"/>
      <c r="R3462" s="226"/>
      <c r="S3462" s="226"/>
      <c r="T3462" s="226"/>
      <c r="U3462" s="226"/>
    </row>
    <row r="3463" spans="16:21" x14ac:dyDescent="0.35">
      <c r="P3463" s="226"/>
      <c r="Q3463" s="226"/>
      <c r="R3463" s="226"/>
      <c r="S3463" s="226"/>
      <c r="T3463" s="226"/>
      <c r="U3463" s="226"/>
    </row>
    <row r="3464" spans="16:21" x14ac:dyDescent="0.35">
      <c r="P3464" s="226"/>
      <c r="Q3464" s="226"/>
      <c r="R3464" s="226"/>
      <c r="S3464" s="226"/>
      <c r="T3464" s="226"/>
      <c r="U3464" s="226"/>
    </row>
    <row r="3465" spans="16:21" x14ac:dyDescent="0.35">
      <c r="P3465" s="226"/>
      <c r="Q3465" s="226"/>
      <c r="R3465" s="226"/>
      <c r="S3465" s="226"/>
      <c r="T3465" s="226"/>
      <c r="U3465" s="226"/>
    </row>
    <row r="3466" spans="16:21" x14ac:dyDescent="0.35">
      <c r="P3466" s="226"/>
      <c r="Q3466" s="226"/>
      <c r="R3466" s="226"/>
      <c r="S3466" s="226"/>
      <c r="T3466" s="226"/>
      <c r="U3466" s="226"/>
    </row>
    <row r="3467" spans="16:21" x14ac:dyDescent="0.35">
      <c r="P3467" s="226"/>
      <c r="Q3467" s="226"/>
      <c r="R3467" s="226"/>
      <c r="S3467" s="226"/>
      <c r="T3467" s="226"/>
      <c r="U3467" s="226"/>
    </row>
    <row r="3468" spans="16:21" x14ac:dyDescent="0.35">
      <c r="P3468" s="226"/>
      <c r="Q3468" s="226"/>
      <c r="R3468" s="226"/>
      <c r="S3468" s="226"/>
      <c r="T3468" s="226"/>
      <c r="U3468" s="226"/>
    </row>
    <row r="3469" spans="16:21" x14ac:dyDescent="0.35">
      <c r="P3469" s="226"/>
      <c r="Q3469" s="226"/>
      <c r="R3469" s="226"/>
      <c r="S3469" s="226"/>
      <c r="T3469" s="226"/>
      <c r="U3469" s="226"/>
    </row>
    <row r="3470" spans="16:21" x14ac:dyDescent="0.35">
      <c r="P3470" s="226"/>
      <c r="Q3470" s="226"/>
      <c r="R3470" s="226"/>
      <c r="S3470" s="226"/>
      <c r="T3470" s="226"/>
      <c r="U3470" s="226"/>
    </row>
    <row r="3471" spans="16:21" x14ac:dyDescent="0.35">
      <c r="P3471" s="226"/>
      <c r="Q3471" s="226"/>
      <c r="R3471" s="226"/>
      <c r="S3471" s="226"/>
      <c r="T3471" s="226"/>
      <c r="U3471" s="226"/>
    </row>
    <row r="3472" spans="16:21" x14ac:dyDescent="0.35">
      <c r="P3472" s="226"/>
      <c r="Q3472" s="226"/>
      <c r="R3472" s="226"/>
      <c r="S3472" s="226"/>
      <c r="T3472" s="226"/>
      <c r="U3472" s="226"/>
    </row>
    <row r="3473" spans="16:21" x14ac:dyDescent="0.35">
      <c r="P3473" s="226"/>
      <c r="Q3473" s="226"/>
      <c r="R3473" s="226"/>
      <c r="S3473" s="226"/>
      <c r="T3473" s="226"/>
      <c r="U3473" s="226"/>
    </row>
    <row r="3474" spans="16:21" x14ac:dyDescent="0.35">
      <c r="P3474" s="226"/>
      <c r="Q3474" s="226"/>
      <c r="R3474" s="226"/>
      <c r="S3474" s="226"/>
      <c r="T3474" s="226"/>
      <c r="U3474" s="226"/>
    </row>
    <row r="3475" spans="16:21" x14ac:dyDescent="0.35">
      <c r="P3475" s="226"/>
      <c r="Q3475" s="226"/>
      <c r="R3475" s="226"/>
      <c r="S3475" s="226"/>
      <c r="T3475" s="226"/>
      <c r="U3475" s="226"/>
    </row>
    <row r="3476" spans="16:21" x14ac:dyDescent="0.35">
      <c r="P3476" s="226"/>
      <c r="Q3476" s="226"/>
      <c r="R3476" s="226"/>
      <c r="S3476" s="226"/>
      <c r="T3476" s="226"/>
      <c r="U3476" s="226"/>
    </row>
    <row r="3477" spans="16:21" x14ac:dyDescent="0.35">
      <c r="P3477" s="226"/>
      <c r="Q3477" s="226"/>
      <c r="R3477" s="226"/>
      <c r="S3477" s="226"/>
      <c r="T3477" s="226"/>
      <c r="U3477" s="226"/>
    </row>
    <row r="3478" spans="16:21" x14ac:dyDescent="0.35">
      <c r="P3478" s="226"/>
      <c r="Q3478" s="226"/>
      <c r="R3478" s="226"/>
      <c r="S3478" s="226"/>
      <c r="T3478" s="226"/>
      <c r="U3478" s="226"/>
    </row>
    <row r="3479" spans="16:21" x14ac:dyDescent="0.35">
      <c r="P3479" s="226"/>
      <c r="Q3479" s="226"/>
      <c r="R3479" s="226"/>
      <c r="S3479" s="226"/>
      <c r="T3479" s="226"/>
      <c r="U3479" s="226"/>
    </row>
    <row r="3480" spans="16:21" x14ac:dyDescent="0.35">
      <c r="P3480" s="226"/>
      <c r="Q3480" s="226"/>
      <c r="R3480" s="226"/>
      <c r="S3480" s="226"/>
      <c r="T3480" s="226"/>
      <c r="U3480" s="226"/>
    </row>
    <row r="3481" spans="16:21" x14ac:dyDescent="0.35">
      <c r="P3481" s="226"/>
      <c r="Q3481" s="226"/>
      <c r="R3481" s="226"/>
      <c r="S3481" s="226"/>
      <c r="T3481" s="226"/>
      <c r="U3481" s="226"/>
    </row>
    <row r="3482" spans="16:21" x14ac:dyDescent="0.35">
      <c r="P3482" s="226"/>
      <c r="Q3482" s="226"/>
      <c r="R3482" s="226"/>
      <c r="S3482" s="226"/>
      <c r="T3482" s="226"/>
      <c r="U3482" s="226"/>
    </row>
    <row r="3483" spans="16:21" x14ac:dyDescent="0.35">
      <c r="P3483" s="226"/>
      <c r="Q3483" s="226"/>
      <c r="R3483" s="226"/>
      <c r="S3483" s="226"/>
      <c r="T3483" s="226"/>
      <c r="U3483" s="226"/>
    </row>
    <row r="3484" spans="16:21" x14ac:dyDescent="0.35">
      <c r="P3484" s="226"/>
      <c r="Q3484" s="226"/>
      <c r="R3484" s="226"/>
      <c r="S3484" s="226"/>
      <c r="T3484" s="226"/>
      <c r="U3484" s="226"/>
    </row>
    <row r="3485" spans="16:21" x14ac:dyDescent="0.35">
      <c r="P3485" s="226"/>
      <c r="Q3485" s="226"/>
      <c r="R3485" s="226"/>
      <c r="S3485" s="226"/>
      <c r="T3485" s="226"/>
      <c r="U3485" s="226"/>
    </row>
    <row r="3486" spans="16:21" x14ac:dyDescent="0.35">
      <c r="P3486" s="226"/>
      <c r="Q3486" s="226"/>
      <c r="R3486" s="226"/>
      <c r="S3486" s="226"/>
      <c r="T3486" s="226"/>
      <c r="U3486" s="226"/>
    </row>
    <row r="3487" spans="16:21" x14ac:dyDescent="0.35">
      <c r="P3487" s="226"/>
      <c r="Q3487" s="226"/>
      <c r="R3487" s="226"/>
      <c r="S3487" s="226"/>
      <c r="T3487" s="226"/>
      <c r="U3487" s="226"/>
    </row>
    <row r="3488" spans="16:21" x14ac:dyDescent="0.35">
      <c r="P3488" s="226"/>
      <c r="Q3488" s="226"/>
      <c r="R3488" s="226"/>
      <c r="S3488" s="226"/>
      <c r="T3488" s="226"/>
      <c r="U3488" s="226"/>
    </row>
    <row r="3489" spans="16:21" x14ac:dyDescent="0.35">
      <c r="P3489" s="226"/>
      <c r="Q3489" s="226"/>
      <c r="R3489" s="226"/>
      <c r="S3489" s="226"/>
      <c r="T3489" s="226"/>
      <c r="U3489" s="226"/>
    </row>
    <row r="3490" spans="16:21" x14ac:dyDescent="0.35">
      <c r="P3490" s="226"/>
      <c r="Q3490" s="226"/>
      <c r="R3490" s="226"/>
      <c r="S3490" s="226"/>
      <c r="T3490" s="226"/>
      <c r="U3490" s="226"/>
    </row>
    <row r="3491" spans="16:21" x14ac:dyDescent="0.35">
      <c r="P3491" s="226"/>
      <c r="Q3491" s="226"/>
      <c r="R3491" s="226"/>
      <c r="S3491" s="226"/>
      <c r="T3491" s="226"/>
      <c r="U3491" s="226"/>
    </row>
    <row r="3492" spans="16:21" x14ac:dyDescent="0.35">
      <c r="P3492" s="226"/>
      <c r="Q3492" s="226"/>
      <c r="R3492" s="226"/>
      <c r="S3492" s="226"/>
      <c r="T3492" s="226"/>
      <c r="U3492" s="226"/>
    </row>
    <row r="3493" spans="16:21" x14ac:dyDescent="0.35">
      <c r="P3493" s="226"/>
      <c r="Q3493" s="226"/>
      <c r="R3493" s="226"/>
      <c r="S3493" s="226"/>
      <c r="T3493" s="226"/>
      <c r="U3493" s="226"/>
    </row>
    <row r="3494" spans="16:21" x14ac:dyDescent="0.35">
      <c r="P3494" s="226"/>
      <c r="Q3494" s="226"/>
      <c r="R3494" s="226"/>
      <c r="S3494" s="226"/>
      <c r="T3494" s="226"/>
      <c r="U3494" s="226"/>
    </row>
    <row r="3495" spans="16:21" x14ac:dyDescent="0.35">
      <c r="P3495" s="226"/>
      <c r="Q3495" s="226"/>
      <c r="R3495" s="226"/>
      <c r="S3495" s="226"/>
      <c r="T3495" s="226"/>
      <c r="U3495" s="226"/>
    </row>
    <row r="3496" spans="16:21" x14ac:dyDescent="0.35">
      <c r="P3496" s="226"/>
      <c r="Q3496" s="226"/>
      <c r="R3496" s="226"/>
      <c r="S3496" s="226"/>
      <c r="T3496" s="226"/>
      <c r="U3496" s="226"/>
    </row>
    <row r="3497" spans="16:21" x14ac:dyDescent="0.35">
      <c r="P3497" s="226"/>
      <c r="Q3497" s="226"/>
      <c r="R3497" s="226"/>
      <c r="S3497" s="226"/>
      <c r="T3497" s="226"/>
      <c r="U3497" s="226"/>
    </row>
    <row r="3498" spans="16:21" x14ac:dyDescent="0.35">
      <c r="P3498" s="226"/>
      <c r="Q3498" s="226"/>
      <c r="R3498" s="226"/>
      <c r="S3498" s="226"/>
      <c r="T3498" s="226"/>
      <c r="U3498" s="226"/>
    </row>
    <row r="3499" spans="16:21" x14ac:dyDescent="0.35">
      <c r="P3499" s="226"/>
      <c r="Q3499" s="226"/>
      <c r="R3499" s="226"/>
      <c r="S3499" s="226"/>
      <c r="T3499" s="226"/>
      <c r="U3499" s="226"/>
    </row>
    <row r="3500" spans="16:21" x14ac:dyDescent="0.35">
      <c r="P3500" s="226"/>
      <c r="Q3500" s="226"/>
      <c r="R3500" s="226"/>
      <c r="S3500" s="226"/>
      <c r="T3500" s="226"/>
      <c r="U3500" s="226"/>
    </row>
    <row r="3501" spans="16:21" x14ac:dyDescent="0.35">
      <c r="P3501" s="226"/>
      <c r="Q3501" s="226"/>
      <c r="R3501" s="226"/>
      <c r="S3501" s="226"/>
      <c r="T3501" s="226"/>
      <c r="U3501" s="226"/>
    </row>
    <row r="3502" spans="16:21" x14ac:dyDescent="0.35">
      <c r="P3502" s="226"/>
      <c r="Q3502" s="226"/>
      <c r="R3502" s="226"/>
      <c r="S3502" s="226"/>
      <c r="T3502" s="226"/>
      <c r="U3502" s="226"/>
    </row>
    <row r="3503" spans="16:21" x14ac:dyDescent="0.35">
      <c r="P3503" s="226"/>
      <c r="Q3503" s="226"/>
      <c r="R3503" s="226"/>
      <c r="S3503" s="226"/>
      <c r="T3503" s="226"/>
      <c r="U3503" s="226"/>
    </row>
    <row r="3504" spans="16:21" x14ac:dyDescent="0.35">
      <c r="P3504" s="226"/>
      <c r="Q3504" s="226"/>
      <c r="R3504" s="226"/>
      <c r="S3504" s="226"/>
      <c r="T3504" s="226"/>
      <c r="U3504" s="226"/>
    </row>
    <row r="3505" spans="16:21" x14ac:dyDescent="0.35">
      <c r="P3505" s="226"/>
      <c r="Q3505" s="226"/>
      <c r="R3505" s="226"/>
      <c r="S3505" s="226"/>
      <c r="T3505" s="226"/>
      <c r="U3505" s="226"/>
    </row>
    <row r="3506" spans="16:21" x14ac:dyDescent="0.35">
      <c r="P3506" s="226"/>
      <c r="Q3506" s="226"/>
      <c r="R3506" s="226"/>
      <c r="S3506" s="226"/>
      <c r="T3506" s="226"/>
      <c r="U3506" s="226"/>
    </row>
    <row r="3507" spans="16:21" x14ac:dyDescent="0.35">
      <c r="P3507" s="226"/>
      <c r="Q3507" s="226"/>
      <c r="R3507" s="226"/>
      <c r="S3507" s="226"/>
      <c r="T3507" s="226"/>
      <c r="U3507" s="226"/>
    </row>
    <row r="3508" spans="16:21" x14ac:dyDescent="0.35">
      <c r="P3508" s="226"/>
      <c r="Q3508" s="226"/>
      <c r="R3508" s="226"/>
      <c r="S3508" s="226"/>
      <c r="T3508" s="226"/>
      <c r="U3508" s="226"/>
    </row>
    <row r="3509" spans="16:21" x14ac:dyDescent="0.35">
      <c r="P3509" s="226"/>
      <c r="Q3509" s="226"/>
      <c r="R3509" s="226"/>
      <c r="S3509" s="226"/>
      <c r="T3509" s="226"/>
      <c r="U3509" s="226"/>
    </row>
    <row r="3510" spans="16:21" x14ac:dyDescent="0.35">
      <c r="P3510" s="226"/>
      <c r="Q3510" s="226"/>
      <c r="R3510" s="226"/>
      <c r="S3510" s="226"/>
      <c r="T3510" s="226"/>
      <c r="U3510" s="226"/>
    </row>
    <row r="3511" spans="16:21" x14ac:dyDescent="0.35">
      <c r="P3511" s="226"/>
      <c r="Q3511" s="226"/>
      <c r="R3511" s="226"/>
      <c r="S3511" s="226"/>
      <c r="T3511" s="226"/>
      <c r="U3511" s="226"/>
    </row>
    <row r="3512" spans="16:21" x14ac:dyDescent="0.35">
      <c r="P3512" s="226"/>
      <c r="Q3512" s="226"/>
      <c r="R3512" s="226"/>
      <c r="S3512" s="226"/>
      <c r="T3512" s="226"/>
      <c r="U3512" s="226"/>
    </row>
    <row r="3513" spans="16:21" x14ac:dyDescent="0.35">
      <c r="P3513" s="226"/>
      <c r="Q3513" s="226"/>
      <c r="R3513" s="226"/>
      <c r="S3513" s="226"/>
      <c r="T3513" s="226"/>
      <c r="U3513" s="226"/>
    </row>
    <row r="3514" spans="16:21" x14ac:dyDescent="0.35">
      <c r="P3514" s="226"/>
      <c r="Q3514" s="226"/>
      <c r="R3514" s="226"/>
      <c r="S3514" s="226"/>
      <c r="T3514" s="226"/>
      <c r="U3514" s="226"/>
    </row>
    <row r="3515" spans="16:21" x14ac:dyDescent="0.35">
      <c r="P3515" s="226"/>
      <c r="Q3515" s="226"/>
      <c r="R3515" s="226"/>
      <c r="S3515" s="226"/>
      <c r="T3515" s="226"/>
      <c r="U3515" s="226"/>
    </row>
    <row r="3516" spans="16:21" x14ac:dyDescent="0.35">
      <c r="P3516" s="226"/>
      <c r="Q3516" s="226"/>
      <c r="R3516" s="226"/>
      <c r="S3516" s="226"/>
      <c r="T3516" s="226"/>
      <c r="U3516" s="226"/>
    </row>
    <row r="3517" spans="16:21" x14ac:dyDescent="0.35">
      <c r="P3517" s="226"/>
      <c r="Q3517" s="226"/>
      <c r="R3517" s="226"/>
      <c r="S3517" s="226"/>
      <c r="T3517" s="226"/>
      <c r="U3517" s="226"/>
    </row>
    <row r="3518" spans="16:21" x14ac:dyDescent="0.35">
      <c r="P3518" s="226"/>
      <c r="Q3518" s="226"/>
      <c r="R3518" s="226"/>
      <c r="S3518" s="226"/>
      <c r="T3518" s="226"/>
      <c r="U3518" s="226"/>
    </row>
    <row r="3519" spans="16:21" x14ac:dyDescent="0.35">
      <c r="P3519" s="226"/>
      <c r="Q3519" s="226"/>
      <c r="R3519" s="226"/>
      <c r="S3519" s="226"/>
      <c r="T3519" s="226"/>
      <c r="U3519" s="226"/>
    </row>
    <row r="3520" spans="16:21" x14ac:dyDescent="0.35">
      <c r="P3520" s="226"/>
      <c r="Q3520" s="226"/>
      <c r="R3520" s="226"/>
      <c r="S3520" s="226"/>
      <c r="T3520" s="226"/>
      <c r="U3520" s="226"/>
    </row>
    <row r="3521" spans="16:21" x14ac:dyDescent="0.35">
      <c r="P3521" s="226"/>
      <c r="Q3521" s="226"/>
      <c r="R3521" s="226"/>
      <c r="S3521" s="226"/>
      <c r="T3521" s="226"/>
      <c r="U3521" s="226"/>
    </row>
    <row r="3522" spans="16:21" x14ac:dyDescent="0.35">
      <c r="P3522" s="226"/>
      <c r="Q3522" s="226"/>
      <c r="R3522" s="226"/>
      <c r="S3522" s="226"/>
      <c r="T3522" s="226"/>
      <c r="U3522" s="226"/>
    </row>
    <row r="3523" spans="16:21" x14ac:dyDescent="0.35">
      <c r="P3523" s="226"/>
      <c r="Q3523" s="226"/>
      <c r="R3523" s="226"/>
      <c r="S3523" s="226"/>
      <c r="T3523" s="226"/>
      <c r="U3523" s="226"/>
    </row>
    <row r="3524" spans="16:21" x14ac:dyDescent="0.35">
      <c r="P3524" s="226"/>
      <c r="Q3524" s="226"/>
      <c r="R3524" s="226"/>
      <c r="S3524" s="226"/>
      <c r="T3524" s="226"/>
      <c r="U3524" s="226"/>
    </row>
    <row r="3525" spans="16:21" x14ac:dyDescent="0.35">
      <c r="P3525" s="226"/>
      <c r="Q3525" s="226"/>
      <c r="R3525" s="226"/>
      <c r="S3525" s="226"/>
      <c r="T3525" s="226"/>
      <c r="U3525" s="226"/>
    </row>
    <row r="3526" spans="16:21" x14ac:dyDescent="0.35">
      <c r="P3526" s="226"/>
      <c r="Q3526" s="226"/>
      <c r="R3526" s="226"/>
      <c r="S3526" s="226"/>
      <c r="T3526" s="226"/>
      <c r="U3526" s="226"/>
    </row>
    <row r="3527" spans="16:21" x14ac:dyDescent="0.35">
      <c r="P3527" s="226"/>
      <c r="Q3527" s="226"/>
      <c r="R3527" s="226"/>
      <c r="S3527" s="226"/>
      <c r="T3527" s="226"/>
      <c r="U3527" s="226"/>
    </row>
    <row r="3528" spans="16:21" x14ac:dyDescent="0.35">
      <c r="P3528" s="226"/>
      <c r="Q3528" s="226"/>
      <c r="R3528" s="226"/>
      <c r="S3528" s="226"/>
      <c r="T3528" s="226"/>
      <c r="U3528" s="226"/>
    </row>
    <row r="3529" spans="16:21" x14ac:dyDescent="0.35">
      <c r="P3529" s="226"/>
      <c r="Q3529" s="226"/>
      <c r="R3529" s="226"/>
      <c r="S3529" s="226"/>
      <c r="T3529" s="226"/>
      <c r="U3529" s="226"/>
    </row>
    <row r="3530" spans="16:21" x14ac:dyDescent="0.35">
      <c r="P3530" s="226"/>
      <c r="Q3530" s="226"/>
      <c r="R3530" s="226"/>
      <c r="S3530" s="226"/>
      <c r="T3530" s="226"/>
      <c r="U3530" s="226"/>
    </row>
    <row r="3531" spans="16:21" x14ac:dyDescent="0.35">
      <c r="P3531" s="226"/>
      <c r="Q3531" s="226"/>
      <c r="R3531" s="226"/>
      <c r="S3531" s="226"/>
      <c r="T3531" s="226"/>
      <c r="U3531" s="226"/>
    </row>
    <row r="3532" spans="16:21" x14ac:dyDescent="0.35">
      <c r="P3532" s="226"/>
      <c r="Q3532" s="226"/>
      <c r="R3532" s="226"/>
      <c r="S3532" s="226"/>
      <c r="T3532" s="226"/>
      <c r="U3532" s="226"/>
    </row>
    <row r="3533" spans="16:21" x14ac:dyDescent="0.35">
      <c r="P3533" s="226"/>
      <c r="Q3533" s="226"/>
      <c r="R3533" s="226"/>
      <c r="S3533" s="226"/>
      <c r="T3533" s="226"/>
      <c r="U3533" s="226"/>
    </row>
    <row r="3534" spans="16:21" x14ac:dyDescent="0.35">
      <c r="P3534" s="226"/>
      <c r="Q3534" s="226"/>
      <c r="R3534" s="226"/>
      <c r="S3534" s="226"/>
      <c r="T3534" s="226"/>
      <c r="U3534" s="226"/>
    </row>
    <row r="3535" spans="16:21" x14ac:dyDescent="0.35">
      <c r="P3535" s="226"/>
      <c r="Q3535" s="226"/>
      <c r="R3535" s="226"/>
      <c r="S3535" s="226"/>
      <c r="T3535" s="226"/>
      <c r="U3535" s="226"/>
    </row>
    <row r="3536" spans="16:21" x14ac:dyDescent="0.35">
      <c r="P3536" s="226"/>
      <c r="Q3536" s="226"/>
      <c r="R3536" s="226"/>
      <c r="S3536" s="226"/>
      <c r="T3536" s="226"/>
      <c r="U3536" s="226"/>
    </row>
    <row r="3537" spans="16:21" x14ac:dyDescent="0.35">
      <c r="P3537" s="226"/>
      <c r="Q3537" s="226"/>
      <c r="R3537" s="226"/>
      <c r="S3537" s="226"/>
      <c r="T3537" s="226"/>
      <c r="U3537" s="226"/>
    </row>
    <row r="3538" spans="16:21" x14ac:dyDescent="0.35">
      <c r="P3538" s="226"/>
      <c r="Q3538" s="226"/>
      <c r="R3538" s="226"/>
      <c r="S3538" s="226"/>
      <c r="T3538" s="226"/>
      <c r="U3538" s="226"/>
    </row>
    <row r="3539" spans="16:21" x14ac:dyDescent="0.35">
      <c r="P3539" s="226"/>
      <c r="Q3539" s="226"/>
      <c r="R3539" s="226"/>
      <c r="S3539" s="226"/>
      <c r="T3539" s="226"/>
      <c r="U3539" s="226"/>
    </row>
    <row r="3540" spans="16:21" x14ac:dyDescent="0.35">
      <c r="P3540" s="226"/>
      <c r="Q3540" s="226"/>
      <c r="R3540" s="226"/>
      <c r="S3540" s="226"/>
      <c r="T3540" s="226"/>
      <c r="U3540" s="226"/>
    </row>
    <row r="3541" spans="16:21" x14ac:dyDescent="0.35">
      <c r="P3541" s="226"/>
      <c r="Q3541" s="226"/>
      <c r="R3541" s="226"/>
      <c r="S3541" s="226"/>
      <c r="T3541" s="226"/>
      <c r="U3541" s="226"/>
    </row>
    <row r="3542" spans="16:21" x14ac:dyDescent="0.35">
      <c r="P3542" s="226"/>
      <c r="Q3542" s="226"/>
      <c r="R3542" s="226"/>
      <c r="S3542" s="226"/>
      <c r="T3542" s="226"/>
      <c r="U3542" s="226"/>
    </row>
    <row r="3543" spans="16:21" x14ac:dyDescent="0.35">
      <c r="P3543" s="226"/>
      <c r="Q3543" s="226"/>
      <c r="R3543" s="226"/>
      <c r="S3543" s="226"/>
      <c r="T3543" s="226"/>
      <c r="U3543" s="226"/>
    </row>
    <row r="3544" spans="16:21" x14ac:dyDescent="0.35">
      <c r="P3544" s="226"/>
      <c r="Q3544" s="226"/>
      <c r="R3544" s="226"/>
      <c r="S3544" s="226"/>
      <c r="T3544" s="226"/>
      <c r="U3544" s="226"/>
    </row>
    <row r="3545" spans="16:21" x14ac:dyDescent="0.35">
      <c r="P3545" s="226"/>
      <c r="Q3545" s="226"/>
      <c r="R3545" s="226"/>
      <c r="S3545" s="226"/>
      <c r="T3545" s="226"/>
      <c r="U3545" s="226"/>
    </row>
    <row r="3546" spans="16:21" x14ac:dyDescent="0.35">
      <c r="P3546" s="226"/>
      <c r="Q3546" s="226"/>
      <c r="R3546" s="226"/>
      <c r="S3546" s="226"/>
      <c r="T3546" s="226"/>
      <c r="U3546" s="226"/>
    </row>
    <row r="3547" spans="16:21" x14ac:dyDescent="0.35">
      <c r="P3547" s="226"/>
      <c r="Q3547" s="226"/>
      <c r="R3547" s="226"/>
      <c r="S3547" s="226"/>
      <c r="T3547" s="226"/>
      <c r="U3547" s="226"/>
    </row>
    <row r="3548" spans="16:21" x14ac:dyDescent="0.35">
      <c r="P3548" s="226"/>
      <c r="Q3548" s="226"/>
      <c r="R3548" s="226"/>
      <c r="S3548" s="226"/>
      <c r="T3548" s="226"/>
      <c r="U3548" s="226"/>
    </row>
    <row r="3549" spans="16:21" x14ac:dyDescent="0.35">
      <c r="P3549" s="226"/>
      <c r="Q3549" s="226"/>
      <c r="R3549" s="226"/>
      <c r="S3549" s="226"/>
      <c r="T3549" s="226"/>
      <c r="U3549" s="226"/>
    </row>
    <row r="3550" spans="16:21" x14ac:dyDescent="0.35">
      <c r="P3550" s="226"/>
      <c r="Q3550" s="226"/>
      <c r="R3550" s="226"/>
      <c r="S3550" s="226"/>
      <c r="T3550" s="226"/>
      <c r="U3550" s="226"/>
    </row>
    <row r="3551" spans="16:21" x14ac:dyDescent="0.35">
      <c r="P3551" s="226"/>
      <c r="Q3551" s="226"/>
      <c r="R3551" s="226"/>
      <c r="S3551" s="226"/>
      <c r="T3551" s="226"/>
      <c r="U3551" s="226"/>
    </row>
    <row r="3552" spans="16:21" x14ac:dyDescent="0.35">
      <c r="P3552" s="226"/>
      <c r="Q3552" s="226"/>
      <c r="R3552" s="226"/>
      <c r="S3552" s="226"/>
      <c r="T3552" s="226"/>
      <c r="U3552" s="226"/>
    </row>
    <row r="3553" spans="16:21" x14ac:dyDescent="0.35">
      <c r="P3553" s="226"/>
      <c r="Q3553" s="226"/>
      <c r="R3553" s="226"/>
      <c r="S3553" s="226"/>
      <c r="T3553" s="226"/>
      <c r="U3553" s="226"/>
    </row>
    <row r="3554" spans="16:21" x14ac:dyDescent="0.35">
      <c r="P3554" s="226"/>
      <c r="Q3554" s="226"/>
      <c r="R3554" s="226"/>
      <c r="S3554" s="226"/>
      <c r="T3554" s="226"/>
      <c r="U3554" s="226"/>
    </row>
    <row r="3555" spans="16:21" x14ac:dyDescent="0.35">
      <c r="P3555" s="226"/>
      <c r="Q3555" s="226"/>
      <c r="R3555" s="226"/>
      <c r="S3555" s="226"/>
      <c r="T3555" s="226"/>
      <c r="U3555" s="226"/>
    </row>
    <row r="3556" spans="16:21" x14ac:dyDescent="0.35">
      <c r="P3556" s="226"/>
      <c r="Q3556" s="226"/>
      <c r="R3556" s="226"/>
      <c r="S3556" s="226"/>
      <c r="T3556" s="226"/>
      <c r="U3556" s="226"/>
    </row>
    <row r="3557" spans="16:21" x14ac:dyDescent="0.35">
      <c r="P3557" s="226"/>
      <c r="Q3557" s="226"/>
      <c r="R3557" s="226"/>
      <c r="S3557" s="226"/>
      <c r="T3557" s="226"/>
      <c r="U3557" s="226"/>
    </row>
    <row r="3558" spans="16:21" x14ac:dyDescent="0.35">
      <c r="P3558" s="226"/>
      <c r="Q3558" s="226"/>
      <c r="R3558" s="226"/>
      <c r="S3558" s="226"/>
      <c r="T3558" s="226"/>
      <c r="U3558" s="226"/>
    </row>
    <row r="3559" spans="16:21" x14ac:dyDescent="0.35">
      <c r="P3559" s="226"/>
      <c r="Q3559" s="226"/>
      <c r="R3559" s="226"/>
      <c r="S3559" s="226"/>
      <c r="T3559" s="226"/>
      <c r="U3559" s="226"/>
    </row>
    <row r="3560" spans="16:21" x14ac:dyDescent="0.35">
      <c r="P3560" s="226"/>
      <c r="Q3560" s="226"/>
      <c r="R3560" s="226"/>
      <c r="S3560" s="226"/>
      <c r="T3560" s="226"/>
      <c r="U3560" s="226"/>
    </row>
    <row r="3561" spans="16:21" x14ac:dyDescent="0.35">
      <c r="P3561" s="226"/>
      <c r="Q3561" s="226"/>
      <c r="R3561" s="226"/>
      <c r="S3561" s="226"/>
      <c r="T3561" s="226"/>
      <c r="U3561" s="226"/>
    </row>
    <row r="3562" spans="16:21" x14ac:dyDescent="0.35">
      <c r="P3562" s="226"/>
      <c r="Q3562" s="226"/>
      <c r="R3562" s="226"/>
      <c r="S3562" s="226"/>
      <c r="T3562" s="226"/>
      <c r="U3562" s="226"/>
    </row>
    <row r="3563" spans="16:21" x14ac:dyDescent="0.35">
      <c r="P3563" s="226"/>
      <c r="Q3563" s="226"/>
      <c r="R3563" s="226"/>
      <c r="S3563" s="226"/>
      <c r="T3563" s="226"/>
      <c r="U3563" s="226"/>
    </row>
    <row r="3564" spans="16:21" x14ac:dyDescent="0.35">
      <c r="P3564" s="226"/>
      <c r="Q3564" s="226"/>
      <c r="R3564" s="226"/>
      <c r="S3564" s="226"/>
      <c r="T3564" s="226"/>
      <c r="U3564" s="226"/>
    </row>
    <row r="3565" spans="16:21" x14ac:dyDescent="0.35">
      <c r="P3565" s="226"/>
      <c r="Q3565" s="226"/>
      <c r="R3565" s="226"/>
      <c r="S3565" s="226"/>
      <c r="T3565" s="226"/>
      <c r="U3565" s="226"/>
    </row>
    <row r="3566" spans="16:21" x14ac:dyDescent="0.35">
      <c r="P3566" s="226"/>
      <c r="Q3566" s="226"/>
      <c r="R3566" s="226"/>
      <c r="S3566" s="226"/>
      <c r="T3566" s="226"/>
      <c r="U3566" s="226"/>
    </row>
    <row r="3567" spans="16:21" x14ac:dyDescent="0.35">
      <c r="P3567" s="226"/>
      <c r="Q3567" s="226"/>
      <c r="R3567" s="226"/>
      <c r="S3567" s="226"/>
      <c r="T3567" s="226"/>
      <c r="U3567" s="226"/>
    </row>
    <row r="3568" spans="16:21" x14ac:dyDescent="0.35">
      <c r="P3568" s="226"/>
      <c r="Q3568" s="226"/>
      <c r="R3568" s="226"/>
      <c r="S3568" s="226"/>
      <c r="T3568" s="226"/>
      <c r="U3568" s="226"/>
    </row>
    <row r="3569" spans="16:21" x14ac:dyDescent="0.35">
      <c r="P3569" s="226"/>
      <c r="Q3569" s="226"/>
      <c r="R3569" s="226"/>
      <c r="S3569" s="226"/>
      <c r="T3569" s="226"/>
      <c r="U3569" s="226"/>
    </row>
    <row r="3570" spans="16:21" x14ac:dyDescent="0.35">
      <c r="P3570" s="226"/>
      <c r="Q3570" s="226"/>
      <c r="R3570" s="226"/>
      <c r="S3570" s="226"/>
      <c r="T3570" s="226"/>
      <c r="U3570" s="226"/>
    </row>
    <row r="3571" spans="16:21" x14ac:dyDescent="0.35">
      <c r="P3571" s="226"/>
      <c r="Q3571" s="226"/>
      <c r="R3571" s="226"/>
      <c r="S3571" s="226"/>
      <c r="T3571" s="226"/>
      <c r="U3571" s="226"/>
    </row>
    <row r="3572" spans="16:21" x14ac:dyDescent="0.35">
      <c r="P3572" s="226"/>
      <c r="Q3572" s="226"/>
      <c r="R3572" s="226"/>
      <c r="S3572" s="226"/>
      <c r="T3572" s="226"/>
      <c r="U3572" s="226"/>
    </row>
    <row r="3573" spans="16:21" x14ac:dyDescent="0.35">
      <c r="P3573" s="226"/>
      <c r="Q3573" s="226"/>
      <c r="R3573" s="226"/>
      <c r="S3573" s="226"/>
      <c r="T3573" s="226"/>
      <c r="U3573" s="226"/>
    </row>
    <row r="3574" spans="16:21" x14ac:dyDescent="0.35">
      <c r="P3574" s="226"/>
      <c r="Q3574" s="226"/>
      <c r="R3574" s="226"/>
      <c r="S3574" s="226"/>
      <c r="T3574" s="226"/>
      <c r="U3574" s="226"/>
    </row>
    <row r="3575" spans="16:21" x14ac:dyDescent="0.35">
      <c r="P3575" s="226"/>
      <c r="Q3575" s="226"/>
      <c r="R3575" s="226"/>
      <c r="S3575" s="226"/>
      <c r="T3575" s="226"/>
      <c r="U3575" s="226"/>
    </row>
    <row r="3576" spans="16:21" x14ac:dyDescent="0.35">
      <c r="P3576" s="226"/>
      <c r="Q3576" s="226"/>
      <c r="R3576" s="226"/>
      <c r="S3576" s="226"/>
      <c r="T3576" s="226"/>
      <c r="U3576" s="226"/>
    </row>
    <row r="3577" spans="16:21" x14ac:dyDescent="0.35">
      <c r="P3577" s="226"/>
      <c r="Q3577" s="226"/>
      <c r="R3577" s="226"/>
      <c r="S3577" s="226"/>
      <c r="T3577" s="226"/>
      <c r="U3577" s="226"/>
    </row>
    <row r="3578" spans="16:21" x14ac:dyDescent="0.35">
      <c r="P3578" s="226"/>
      <c r="Q3578" s="226"/>
      <c r="R3578" s="226"/>
      <c r="S3578" s="226"/>
      <c r="T3578" s="226"/>
      <c r="U3578" s="226"/>
    </row>
    <row r="3579" spans="16:21" x14ac:dyDescent="0.35">
      <c r="P3579" s="226"/>
      <c r="Q3579" s="226"/>
      <c r="R3579" s="226"/>
      <c r="S3579" s="226"/>
      <c r="T3579" s="226"/>
      <c r="U3579" s="226"/>
    </row>
    <row r="3580" spans="16:21" x14ac:dyDescent="0.35">
      <c r="P3580" s="226"/>
      <c r="Q3580" s="226"/>
      <c r="R3580" s="226"/>
      <c r="S3580" s="226"/>
      <c r="T3580" s="226"/>
      <c r="U3580" s="226"/>
    </row>
    <row r="3581" spans="16:21" x14ac:dyDescent="0.35">
      <c r="P3581" s="226"/>
      <c r="Q3581" s="226"/>
      <c r="R3581" s="226"/>
      <c r="S3581" s="226"/>
      <c r="T3581" s="226"/>
      <c r="U3581" s="226"/>
    </row>
    <row r="3582" spans="16:21" x14ac:dyDescent="0.35">
      <c r="P3582" s="226"/>
      <c r="Q3582" s="226"/>
      <c r="R3582" s="226"/>
      <c r="S3582" s="226"/>
      <c r="T3582" s="226"/>
      <c r="U3582" s="226"/>
    </row>
    <row r="3583" spans="16:21" x14ac:dyDescent="0.35">
      <c r="P3583" s="226"/>
      <c r="Q3583" s="226"/>
      <c r="R3583" s="226"/>
      <c r="S3583" s="226"/>
      <c r="T3583" s="226"/>
      <c r="U3583" s="226"/>
    </row>
    <row r="3584" spans="16:21" x14ac:dyDescent="0.35">
      <c r="P3584" s="226"/>
      <c r="Q3584" s="226"/>
      <c r="R3584" s="226"/>
      <c r="S3584" s="226"/>
      <c r="T3584" s="226"/>
      <c r="U3584" s="226"/>
    </row>
    <row r="3585" spans="16:21" x14ac:dyDescent="0.35">
      <c r="P3585" s="226"/>
      <c r="Q3585" s="226"/>
      <c r="R3585" s="226"/>
      <c r="S3585" s="226"/>
      <c r="T3585" s="226"/>
      <c r="U3585" s="226"/>
    </row>
    <row r="3586" spans="16:21" x14ac:dyDescent="0.35">
      <c r="P3586" s="226"/>
      <c r="Q3586" s="226"/>
      <c r="R3586" s="226"/>
      <c r="S3586" s="226"/>
      <c r="T3586" s="226"/>
      <c r="U3586" s="226"/>
    </row>
    <row r="3587" spans="16:21" x14ac:dyDescent="0.35">
      <c r="P3587" s="226"/>
      <c r="Q3587" s="226"/>
      <c r="R3587" s="226"/>
      <c r="S3587" s="226"/>
      <c r="T3587" s="226"/>
      <c r="U3587" s="226"/>
    </row>
    <row r="3588" spans="16:21" x14ac:dyDescent="0.35">
      <c r="P3588" s="226"/>
      <c r="Q3588" s="226"/>
      <c r="R3588" s="226"/>
      <c r="S3588" s="226"/>
      <c r="T3588" s="226"/>
      <c r="U3588" s="226"/>
    </row>
    <row r="3589" spans="16:21" x14ac:dyDescent="0.35">
      <c r="P3589" s="226"/>
      <c r="Q3589" s="226"/>
      <c r="R3589" s="226"/>
      <c r="S3589" s="226"/>
      <c r="T3589" s="226"/>
      <c r="U3589" s="226"/>
    </row>
    <row r="3590" spans="16:21" x14ac:dyDescent="0.35">
      <c r="P3590" s="226"/>
      <c r="Q3590" s="226"/>
      <c r="R3590" s="226"/>
      <c r="S3590" s="226"/>
      <c r="T3590" s="226"/>
      <c r="U3590" s="226"/>
    </row>
    <row r="3591" spans="16:21" x14ac:dyDescent="0.35">
      <c r="P3591" s="226"/>
      <c r="Q3591" s="226"/>
      <c r="R3591" s="226"/>
      <c r="S3591" s="226"/>
      <c r="T3591" s="226"/>
      <c r="U3591" s="226"/>
    </row>
    <row r="3592" spans="16:21" x14ac:dyDescent="0.35">
      <c r="P3592" s="226"/>
      <c r="Q3592" s="226"/>
      <c r="R3592" s="226"/>
      <c r="S3592" s="226"/>
      <c r="T3592" s="226"/>
      <c r="U3592" s="226"/>
    </row>
    <row r="3593" spans="16:21" x14ac:dyDescent="0.35">
      <c r="P3593" s="226"/>
      <c r="Q3593" s="226"/>
      <c r="R3593" s="226"/>
      <c r="S3593" s="226"/>
      <c r="T3593" s="226"/>
      <c r="U3593" s="226"/>
    </row>
    <row r="3594" spans="16:21" x14ac:dyDescent="0.35">
      <c r="P3594" s="226"/>
      <c r="Q3594" s="226"/>
      <c r="R3594" s="226"/>
      <c r="S3594" s="226"/>
      <c r="T3594" s="226"/>
      <c r="U3594" s="226"/>
    </row>
    <row r="3595" spans="16:21" x14ac:dyDescent="0.35">
      <c r="P3595" s="226"/>
      <c r="Q3595" s="226"/>
      <c r="R3595" s="226"/>
      <c r="S3595" s="226"/>
      <c r="T3595" s="226"/>
      <c r="U3595" s="226"/>
    </row>
    <row r="3596" spans="16:21" x14ac:dyDescent="0.35">
      <c r="P3596" s="226"/>
      <c r="Q3596" s="226"/>
      <c r="R3596" s="226"/>
      <c r="S3596" s="226"/>
      <c r="T3596" s="226"/>
      <c r="U3596" s="226"/>
    </row>
    <row r="3597" spans="16:21" x14ac:dyDescent="0.35">
      <c r="P3597" s="226"/>
      <c r="Q3597" s="226"/>
      <c r="R3597" s="226"/>
      <c r="S3597" s="226"/>
      <c r="T3597" s="226"/>
      <c r="U3597" s="226"/>
    </row>
    <row r="3598" spans="16:21" x14ac:dyDescent="0.35">
      <c r="P3598" s="226"/>
      <c r="Q3598" s="226"/>
      <c r="R3598" s="226"/>
      <c r="S3598" s="226"/>
      <c r="T3598" s="226"/>
      <c r="U3598" s="226"/>
    </row>
    <row r="3599" spans="16:21" x14ac:dyDescent="0.35">
      <c r="P3599" s="226"/>
      <c r="Q3599" s="226"/>
      <c r="R3599" s="226"/>
      <c r="S3599" s="226"/>
      <c r="T3599" s="226"/>
      <c r="U3599" s="226"/>
    </row>
    <row r="3600" spans="16:21" x14ac:dyDescent="0.35">
      <c r="P3600" s="226"/>
      <c r="Q3600" s="226"/>
      <c r="R3600" s="226"/>
      <c r="S3600" s="226"/>
      <c r="T3600" s="226"/>
      <c r="U3600" s="226"/>
    </row>
    <row r="3601" spans="16:21" x14ac:dyDescent="0.35">
      <c r="P3601" s="226"/>
      <c r="Q3601" s="226"/>
      <c r="R3601" s="226"/>
      <c r="S3601" s="226"/>
      <c r="T3601" s="226"/>
      <c r="U3601" s="226"/>
    </row>
    <row r="3602" spans="16:21" x14ac:dyDescent="0.35">
      <c r="P3602" s="226"/>
      <c r="Q3602" s="226"/>
      <c r="R3602" s="226"/>
      <c r="S3602" s="226"/>
      <c r="T3602" s="226"/>
      <c r="U3602" s="226"/>
    </row>
    <row r="3603" spans="16:21" x14ac:dyDescent="0.35">
      <c r="P3603" s="226"/>
      <c r="Q3603" s="226"/>
      <c r="R3603" s="226"/>
      <c r="S3603" s="226"/>
      <c r="T3603" s="226"/>
      <c r="U3603" s="226"/>
    </row>
    <row r="3604" spans="16:21" x14ac:dyDescent="0.35">
      <c r="P3604" s="226"/>
      <c r="Q3604" s="226"/>
      <c r="R3604" s="226"/>
      <c r="S3604" s="226"/>
      <c r="T3604" s="226"/>
      <c r="U3604" s="226"/>
    </row>
    <row r="3605" spans="16:21" x14ac:dyDescent="0.35">
      <c r="P3605" s="226"/>
      <c r="Q3605" s="226"/>
      <c r="R3605" s="226"/>
      <c r="S3605" s="226"/>
      <c r="T3605" s="226"/>
      <c r="U3605" s="226"/>
    </row>
    <row r="3606" spans="16:21" x14ac:dyDescent="0.35">
      <c r="P3606" s="226"/>
      <c r="Q3606" s="226"/>
      <c r="R3606" s="226"/>
      <c r="S3606" s="226"/>
      <c r="T3606" s="226"/>
      <c r="U3606" s="226"/>
    </row>
    <row r="3607" spans="16:21" x14ac:dyDescent="0.35">
      <c r="P3607" s="226"/>
      <c r="Q3607" s="226"/>
      <c r="R3607" s="226"/>
      <c r="S3607" s="226"/>
      <c r="T3607" s="226"/>
      <c r="U3607" s="226"/>
    </row>
    <row r="3608" spans="16:21" x14ac:dyDescent="0.35">
      <c r="P3608" s="226"/>
      <c r="Q3608" s="226"/>
      <c r="R3608" s="226"/>
      <c r="S3608" s="226"/>
      <c r="T3608" s="226"/>
      <c r="U3608" s="226"/>
    </row>
    <row r="3609" spans="16:21" x14ac:dyDescent="0.35">
      <c r="P3609" s="226"/>
      <c r="Q3609" s="226"/>
      <c r="R3609" s="226"/>
      <c r="S3609" s="226"/>
      <c r="T3609" s="226"/>
      <c r="U3609" s="226"/>
    </row>
    <row r="3610" spans="16:21" x14ac:dyDescent="0.35">
      <c r="P3610" s="226"/>
      <c r="Q3610" s="226"/>
      <c r="R3610" s="226"/>
      <c r="S3610" s="226"/>
      <c r="T3610" s="226"/>
      <c r="U3610" s="226"/>
    </row>
    <row r="3611" spans="16:21" x14ac:dyDescent="0.35">
      <c r="P3611" s="226"/>
      <c r="Q3611" s="226"/>
      <c r="R3611" s="226"/>
      <c r="S3611" s="226"/>
      <c r="T3611" s="226"/>
      <c r="U3611" s="226"/>
    </row>
    <row r="3612" spans="16:21" x14ac:dyDescent="0.35">
      <c r="P3612" s="226"/>
      <c r="Q3612" s="226"/>
      <c r="R3612" s="226"/>
      <c r="S3612" s="226"/>
      <c r="T3612" s="226"/>
      <c r="U3612" s="226"/>
    </row>
    <row r="3613" spans="16:21" x14ac:dyDescent="0.35">
      <c r="P3613" s="226"/>
      <c r="Q3613" s="226"/>
      <c r="R3613" s="226"/>
      <c r="S3613" s="226"/>
      <c r="T3613" s="226"/>
      <c r="U3613" s="226"/>
    </row>
    <row r="3614" spans="16:21" x14ac:dyDescent="0.35">
      <c r="P3614" s="226"/>
      <c r="Q3614" s="226"/>
      <c r="R3614" s="226"/>
      <c r="S3614" s="226"/>
      <c r="T3614" s="226"/>
      <c r="U3614" s="226"/>
    </row>
    <row r="3615" spans="16:21" x14ac:dyDescent="0.35">
      <c r="P3615" s="226"/>
      <c r="Q3615" s="226"/>
      <c r="R3615" s="226"/>
      <c r="S3615" s="226"/>
      <c r="T3615" s="226"/>
      <c r="U3615" s="226"/>
    </row>
    <row r="3616" spans="16:21" x14ac:dyDescent="0.35">
      <c r="P3616" s="226"/>
      <c r="Q3616" s="226"/>
      <c r="R3616" s="226"/>
      <c r="S3616" s="226"/>
      <c r="T3616" s="226"/>
      <c r="U3616" s="226"/>
    </row>
    <row r="3617" spans="16:21" x14ac:dyDescent="0.35">
      <c r="P3617" s="226"/>
      <c r="Q3617" s="226"/>
      <c r="R3617" s="226"/>
      <c r="S3617" s="226"/>
      <c r="T3617" s="226"/>
      <c r="U3617" s="226"/>
    </row>
    <row r="3618" spans="16:21" x14ac:dyDescent="0.35">
      <c r="P3618" s="226"/>
      <c r="Q3618" s="226"/>
      <c r="R3618" s="226"/>
      <c r="S3618" s="226"/>
      <c r="T3618" s="226"/>
      <c r="U3618" s="226"/>
    </row>
    <row r="3619" spans="16:21" x14ac:dyDescent="0.35">
      <c r="P3619" s="226"/>
      <c r="Q3619" s="226"/>
      <c r="R3619" s="226"/>
      <c r="S3619" s="226"/>
      <c r="T3619" s="226"/>
      <c r="U3619" s="226"/>
    </row>
    <row r="3620" spans="16:21" x14ac:dyDescent="0.35">
      <c r="P3620" s="226"/>
      <c r="Q3620" s="226"/>
      <c r="R3620" s="226"/>
      <c r="S3620" s="226"/>
      <c r="T3620" s="226"/>
      <c r="U3620" s="226"/>
    </row>
    <row r="3621" spans="16:21" x14ac:dyDescent="0.35">
      <c r="P3621" s="226"/>
      <c r="Q3621" s="226"/>
      <c r="R3621" s="226"/>
      <c r="S3621" s="226"/>
      <c r="T3621" s="226"/>
      <c r="U3621" s="226"/>
    </row>
    <row r="3622" spans="16:21" x14ac:dyDescent="0.35">
      <c r="P3622" s="226"/>
      <c r="Q3622" s="226"/>
      <c r="R3622" s="226"/>
      <c r="S3622" s="226"/>
      <c r="T3622" s="226"/>
      <c r="U3622" s="226"/>
    </row>
    <row r="3623" spans="16:21" x14ac:dyDescent="0.35">
      <c r="P3623" s="226"/>
      <c r="Q3623" s="226"/>
      <c r="R3623" s="226"/>
      <c r="S3623" s="226"/>
      <c r="T3623" s="226"/>
      <c r="U3623" s="226"/>
    </row>
    <row r="3624" spans="16:21" x14ac:dyDescent="0.35">
      <c r="P3624" s="226"/>
      <c r="Q3624" s="226"/>
      <c r="R3624" s="226"/>
      <c r="S3624" s="226"/>
      <c r="T3624" s="226"/>
      <c r="U3624" s="226"/>
    </row>
    <row r="3625" spans="16:21" x14ac:dyDescent="0.35">
      <c r="P3625" s="226"/>
      <c r="Q3625" s="226"/>
      <c r="R3625" s="226"/>
      <c r="S3625" s="226"/>
      <c r="T3625" s="226"/>
      <c r="U3625" s="226"/>
    </row>
    <row r="3626" spans="16:21" x14ac:dyDescent="0.35">
      <c r="P3626" s="226"/>
      <c r="Q3626" s="226"/>
      <c r="R3626" s="226"/>
      <c r="S3626" s="226"/>
      <c r="T3626" s="226"/>
      <c r="U3626" s="226"/>
    </row>
    <row r="3627" spans="16:21" x14ac:dyDescent="0.35">
      <c r="P3627" s="226"/>
      <c r="Q3627" s="226"/>
      <c r="R3627" s="226"/>
      <c r="S3627" s="226"/>
      <c r="T3627" s="226"/>
      <c r="U3627" s="226"/>
    </row>
    <row r="3628" spans="16:21" x14ac:dyDescent="0.35">
      <c r="P3628" s="226"/>
      <c r="Q3628" s="226"/>
      <c r="R3628" s="226"/>
      <c r="S3628" s="226"/>
      <c r="T3628" s="226"/>
      <c r="U3628" s="226"/>
    </row>
    <row r="3629" spans="16:21" x14ac:dyDescent="0.35">
      <c r="P3629" s="226"/>
      <c r="Q3629" s="226"/>
      <c r="R3629" s="226"/>
      <c r="S3629" s="226"/>
      <c r="T3629" s="226"/>
      <c r="U3629" s="226"/>
    </row>
    <row r="3630" spans="16:21" x14ac:dyDescent="0.35">
      <c r="P3630" s="226"/>
      <c r="Q3630" s="226"/>
      <c r="R3630" s="226"/>
      <c r="S3630" s="226"/>
      <c r="T3630" s="226"/>
      <c r="U3630" s="226"/>
    </row>
    <row r="3631" spans="16:21" x14ac:dyDescent="0.35">
      <c r="P3631" s="226"/>
      <c r="Q3631" s="226"/>
      <c r="R3631" s="226"/>
      <c r="S3631" s="226"/>
      <c r="T3631" s="226"/>
      <c r="U3631" s="226"/>
    </row>
    <row r="3632" spans="16:21" x14ac:dyDescent="0.35">
      <c r="P3632" s="226"/>
      <c r="Q3632" s="226"/>
      <c r="R3632" s="226"/>
      <c r="S3632" s="226"/>
      <c r="T3632" s="226"/>
      <c r="U3632" s="226"/>
    </row>
    <row r="3633" spans="16:21" x14ac:dyDescent="0.35">
      <c r="P3633" s="226"/>
      <c r="Q3633" s="226"/>
      <c r="R3633" s="226"/>
      <c r="S3633" s="226"/>
      <c r="T3633" s="226"/>
      <c r="U3633" s="226"/>
    </row>
    <row r="3634" spans="16:21" x14ac:dyDescent="0.35">
      <c r="P3634" s="226"/>
      <c r="Q3634" s="226"/>
      <c r="R3634" s="226"/>
      <c r="S3634" s="226"/>
      <c r="T3634" s="226"/>
      <c r="U3634" s="226"/>
    </row>
    <row r="3635" spans="16:21" x14ac:dyDescent="0.35">
      <c r="P3635" s="226"/>
      <c r="Q3635" s="226"/>
      <c r="R3635" s="226"/>
      <c r="S3635" s="226"/>
      <c r="T3635" s="226"/>
      <c r="U3635" s="226"/>
    </row>
    <row r="3636" spans="16:21" x14ac:dyDescent="0.35">
      <c r="P3636" s="226"/>
      <c r="Q3636" s="226"/>
      <c r="R3636" s="226"/>
      <c r="S3636" s="226"/>
      <c r="T3636" s="226"/>
      <c r="U3636" s="226"/>
    </row>
    <row r="3637" spans="16:21" x14ac:dyDescent="0.35">
      <c r="P3637" s="226"/>
      <c r="Q3637" s="226"/>
      <c r="R3637" s="226"/>
      <c r="S3637" s="226"/>
      <c r="T3637" s="226"/>
      <c r="U3637" s="226"/>
    </row>
    <row r="3638" spans="16:21" x14ac:dyDescent="0.35">
      <c r="P3638" s="226"/>
      <c r="Q3638" s="226"/>
      <c r="R3638" s="226"/>
      <c r="S3638" s="226"/>
      <c r="T3638" s="226"/>
      <c r="U3638" s="226"/>
    </row>
    <row r="3639" spans="16:21" x14ac:dyDescent="0.35">
      <c r="P3639" s="226"/>
      <c r="Q3639" s="226"/>
      <c r="R3639" s="226"/>
      <c r="S3639" s="226"/>
      <c r="T3639" s="226"/>
      <c r="U3639" s="226"/>
    </row>
    <row r="3640" spans="16:21" x14ac:dyDescent="0.35">
      <c r="P3640" s="226"/>
      <c r="Q3640" s="226"/>
      <c r="R3640" s="226"/>
      <c r="S3640" s="226"/>
      <c r="T3640" s="226"/>
      <c r="U3640" s="226"/>
    </row>
    <row r="3641" spans="16:21" x14ac:dyDescent="0.35">
      <c r="P3641" s="226"/>
      <c r="Q3641" s="226"/>
      <c r="R3641" s="226"/>
      <c r="S3641" s="226"/>
      <c r="T3641" s="226"/>
      <c r="U3641" s="226"/>
    </row>
    <row r="3642" spans="16:21" x14ac:dyDescent="0.35">
      <c r="P3642" s="226"/>
      <c r="Q3642" s="226"/>
      <c r="R3642" s="226"/>
      <c r="S3642" s="226"/>
      <c r="T3642" s="226"/>
      <c r="U3642" s="226"/>
    </row>
    <row r="3643" spans="16:21" x14ac:dyDescent="0.35">
      <c r="P3643" s="226"/>
      <c r="Q3643" s="226"/>
      <c r="R3643" s="226"/>
      <c r="S3643" s="226"/>
      <c r="T3643" s="226"/>
      <c r="U3643" s="226"/>
    </row>
    <row r="3644" spans="16:21" x14ac:dyDescent="0.35">
      <c r="P3644" s="226"/>
      <c r="Q3644" s="226"/>
      <c r="R3644" s="226"/>
      <c r="S3644" s="226"/>
      <c r="T3644" s="226"/>
      <c r="U3644" s="226"/>
    </row>
    <row r="3645" spans="16:21" x14ac:dyDescent="0.35">
      <c r="P3645" s="226"/>
      <c r="Q3645" s="226"/>
      <c r="R3645" s="226"/>
      <c r="S3645" s="226"/>
      <c r="T3645" s="226"/>
      <c r="U3645" s="226"/>
    </row>
    <row r="3646" spans="16:21" x14ac:dyDescent="0.35">
      <c r="P3646" s="226"/>
      <c r="Q3646" s="226"/>
      <c r="R3646" s="226"/>
      <c r="S3646" s="226"/>
      <c r="T3646" s="226"/>
      <c r="U3646" s="226"/>
    </row>
    <row r="3647" spans="16:21" x14ac:dyDescent="0.35">
      <c r="P3647" s="226"/>
      <c r="Q3647" s="226"/>
      <c r="R3647" s="226"/>
      <c r="S3647" s="226"/>
      <c r="T3647" s="226"/>
      <c r="U3647" s="226"/>
    </row>
    <row r="3648" spans="16:21" x14ac:dyDescent="0.35">
      <c r="P3648" s="226"/>
      <c r="Q3648" s="226"/>
      <c r="R3648" s="226"/>
      <c r="S3648" s="226"/>
      <c r="T3648" s="226"/>
      <c r="U3648" s="226"/>
    </row>
    <row r="3649" spans="16:21" x14ac:dyDescent="0.35">
      <c r="P3649" s="226"/>
      <c r="Q3649" s="226"/>
      <c r="R3649" s="226"/>
      <c r="S3649" s="226"/>
      <c r="T3649" s="226"/>
      <c r="U3649" s="226"/>
    </row>
    <row r="3650" spans="16:21" x14ac:dyDescent="0.35">
      <c r="P3650" s="226"/>
      <c r="Q3650" s="226"/>
      <c r="R3650" s="226"/>
      <c r="S3650" s="226"/>
      <c r="T3650" s="226"/>
      <c r="U3650" s="226"/>
    </row>
    <row r="3651" spans="16:21" x14ac:dyDescent="0.35">
      <c r="P3651" s="226"/>
      <c r="Q3651" s="226"/>
      <c r="R3651" s="226"/>
      <c r="S3651" s="226"/>
      <c r="T3651" s="226"/>
      <c r="U3651" s="226"/>
    </row>
    <row r="3652" spans="16:21" x14ac:dyDescent="0.35">
      <c r="P3652" s="226"/>
      <c r="Q3652" s="226"/>
      <c r="R3652" s="226"/>
      <c r="S3652" s="226"/>
      <c r="T3652" s="226"/>
      <c r="U3652" s="226"/>
    </row>
    <row r="3653" spans="16:21" x14ac:dyDescent="0.35">
      <c r="P3653" s="226"/>
      <c r="Q3653" s="226"/>
      <c r="R3653" s="226"/>
      <c r="S3653" s="226"/>
      <c r="T3653" s="226"/>
      <c r="U3653" s="226"/>
    </row>
    <row r="3654" spans="16:21" x14ac:dyDescent="0.35">
      <c r="P3654" s="226"/>
      <c r="Q3654" s="226"/>
      <c r="R3654" s="226"/>
      <c r="S3654" s="226"/>
      <c r="T3654" s="226"/>
      <c r="U3654" s="226"/>
    </row>
    <row r="3655" spans="16:21" x14ac:dyDescent="0.35">
      <c r="P3655" s="226"/>
      <c r="Q3655" s="226"/>
      <c r="R3655" s="226"/>
      <c r="S3655" s="226"/>
      <c r="T3655" s="226"/>
      <c r="U3655" s="226"/>
    </row>
    <row r="3656" spans="16:21" x14ac:dyDescent="0.35">
      <c r="P3656" s="226"/>
      <c r="Q3656" s="226"/>
      <c r="R3656" s="226"/>
      <c r="S3656" s="226"/>
      <c r="T3656" s="226"/>
      <c r="U3656" s="226"/>
    </row>
    <row r="3657" spans="16:21" x14ac:dyDescent="0.35">
      <c r="P3657" s="226"/>
      <c r="Q3657" s="226"/>
      <c r="R3657" s="226"/>
      <c r="S3657" s="226"/>
      <c r="T3657" s="226"/>
      <c r="U3657" s="226"/>
    </row>
    <row r="3658" spans="16:21" x14ac:dyDescent="0.35">
      <c r="P3658" s="226"/>
      <c r="Q3658" s="226"/>
      <c r="R3658" s="226"/>
      <c r="S3658" s="226"/>
      <c r="T3658" s="226"/>
      <c r="U3658" s="226"/>
    </row>
    <row r="3659" spans="16:21" x14ac:dyDescent="0.35">
      <c r="P3659" s="226"/>
      <c r="Q3659" s="226"/>
      <c r="R3659" s="226"/>
      <c r="S3659" s="226"/>
      <c r="T3659" s="226"/>
      <c r="U3659" s="226"/>
    </row>
    <row r="3660" spans="16:21" x14ac:dyDescent="0.35">
      <c r="P3660" s="226"/>
      <c r="Q3660" s="226"/>
      <c r="R3660" s="226"/>
      <c r="S3660" s="226"/>
      <c r="T3660" s="226"/>
      <c r="U3660" s="226"/>
    </row>
    <row r="3661" spans="16:21" x14ac:dyDescent="0.35">
      <c r="P3661" s="226"/>
      <c r="Q3661" s="226"/>
      <c r="R3661" s="226"/>
      <c r="S3661" s="226"/>
      <c r="T3661" s="226"/>
      <c r="U3661" s="226"/>
    </row>
    <row r="3662" spans="16:21" x14ac:dyDescent="0.35">
      <c r="P3662" s="226"/>
      <c r="Q3662" s="226"/>
      <c r="R3662" s="226"/>
      <c r="S3662" s="226"/>
      <c r="T3662" s="226"/>
      <c r="U3662" s="226"/>
    </row>
    <row r="3663" spans="16:21" x14ac:dyDescent="0.35">
      <c r="P3663" s="226"/>
      <c r="Q3663" s="226"/>
      <c r="R3663" s="226"/>
      <c r="S3663" s="226"/>
      <c r="T3663" s="226"/>
      <c r="U3663" s="226"/>
    </row>
    <row r="3664" spans="16:21" x14ac:dyDescent="0.35">
      <c r="P3664" s="226"/>
      <c r="Q3664" s="226"/>
      <c r="R3664" s="226"/>
      <c r="S3664" s="226"/>
      <c r="T3664" s="226"/>
      <c r="U3664" s="226"/>
    </row>
    <row r="3665" spans="16:21" x14ac:dyDescent="0.35">
      <c r="P3665" s="226"/>
      <c r="Q3665" s="226"/>
      <c r="R3665" s="226"/>
      <c r="S3665" s="226"/>
      <c r="T3665" s="226"/>
      <c r="U3665" s="226"/>
    </row>
    <row r="3666" spans="16:21" x14ac:dyDescent="0.35">
      <c r="P3666" s="226"/>
      <c r="Q3666" s="226"/>
      <c r="R3666" s="226"/>
      <c r="S3666" s="226"/>
      <c r="T3666" s="226"/>
      <c r="U3666" s="226"/>
    </row>
    <row r="3667" spans="16:21" x14ac:dyDescent="0.35">
      <c r="P3667" s="226"/>
      <c r="Q3667" s="226"/>
      <c r="R3667" s="226"/>
      <c r="S3667" s="226"/>
      <c r="T3667" s="226"/>
      <c r="U3667" s="226"/>
    </row>
    <row r="3668" spans="16:21" x14ac:dyDescent="0.35">
      <c r="P3668" s="226"/>
      <c r="Q3668" s="226"/>
      <c r="R3668" s="226"/>
      <c r="S3668" s="226"/>
      <c r="T3668" s="226"/>
      <c r="U3668" s="226"/>
    </row>
    <row r="3669" spans="16:21" x14ac:dyDescent="0.35">
      <c r="P3669" s="226"/>
      <c r="Q3669" s="226"/>
      <c r="R3669" s="226"/>
      <c r="S3669" s="226"/>
      <c r="T3669" s="226"/>
      <c r="U3669" s="226"/>
    </row>
    <row r="3670" spans="16:21" x14ac:dyDescent="0.35">
      <c r="P3670" s="226"/>
      <c r="Q3670" s="226"/>
      <c r="R3670" s="226"/>
      <c r="S3670" s="226"/>
      <c r="T3670" s="226"/>
      <c r="U3670" s="226"/>
    </row>
    <row r="3671" spans="16:21" x14ac:dyDescent="0.35">
      <c r="P3671" s="226"/>
      <c r="Q3671" s="226"/>
      <c r="R3671" s="226"/>
      <c r="S3671" s="226"/>
      <c r="T3671" s="226"/>
      <c r="U3671" s="226"/>
    </row>
    <row r="3672" spans="16:21" x14ac:dyDescent="0.35">
      <c r="P3672" s="226"/>
      <c r="Q3672" s="226"/>
      <c r="R3672" s="226"/>
      <c r="S3672" s="226"/>
      <c r="T3672" s="226"/>
      <c r="U3672" s="226"/>
    </row>
    <row r="3673" spans="16:21" x14ac:dyDescent="0.35">
      <c r="P3673" s="226"/>
      <c r="Q3673" s="226"/>
      <c r="R3673" s="226"/>
      <c r="S3673" s="226"/>
      <c r="T3673" s="226"/>
      <c r="U3673" s="226"/>
    </row>
    <row r="3674" spans="16:21" x14ac:dyDescent="0.35">
      <c r="P3674" s="226"/>
      <c r="Q3674" s="226"/>
      <c r="R3674" s="226"/>
      <c r="S3674" s="226"/>
      <c r="T3674" s="226"/>
      <c r="U3674" s="226"/>
    </row>
    <row r="3675" spans="16:21" x14ac:dyDescent="0.35">
      <c r="P3675" s="226"/>
      <c r="Q3675" s="226"/>
      <c r="R3675" s="226"/>
      <c r="S3675" s="226"/>
      <c r="T3675" s="226"/>
      <c r="U3675" s="226"/>
    </row>
    <row r="3676" spans="16:21" x14ac:dyDescent="0.35">
      <c r="P3676" s="226"/>
      <c r="Q3676" s="226"/>
      <c r="R3676" s="226"/>
      <c r="S3676" s="226"/>
      <c r="T3676" s="226"/>
      <c r="U3676" s="226"/>
    </row>
    <row r="3677" spans="16:21" x14ac:dyDescent="0.35">
      <c r="P3677" s="226"/>
      <c r="Q3677" s="226"/>
      <c r="R3677" s="226"/>
      <c r="S3677" s="226"/>
      <c r="T3677" s="226"/>
      <c r="U3677" s="226"/>
    </row>
    <row r="3678" spans="16:21" x14ac:dyDescent="0.35">
      <c r="P3678" s="226"/>
      <c r="Q3678" s="226"/>
      <c r="R3678" s="226"/>
      <c r="S3678" s="226"/>
      <c r="T3678" s="226"/>
      <c r="U3678" s="226"/>
    </row>
    <row r="3679" spans="16:21" x14ac:dyDescent="0.35">
      <c r="P3679" s="226"/>
      <c r="Q3679" s="226"/>
      <c r="R3679" s="226"/>
      <c r="S3679" s="226"/>
      <c r="T3679" s="226"/>
      <c r="U3679" s="226"/>
    </row>
    <row r="3680" spans="16:21" x14ac:dyDescent="0.35">
      <c r="P3680" s="226"/>
      <c r="Q3680" s="226"/>
      <c r="R3680" s="226"/>
      <c r="S3680" s="226"/>
      <c r="T3680" s="226"/>
      <c r="U3680" s="226"/>
    </row>
    <row r="3681" spans="16:21" x14ac:dyDescent="0.35">
      <c r="P3681" s="226"/>
      <c r="Q3681" s="226"/>
      <c r="R3681" s="226"/>
      <c r="S3681" s="226"/>
      <c r="T3681" s="226"/>
      <c r="U3681" s="226"/>
    </row>
    <row r="3682" spans="16:21" x14ac:dyDescent="0.35">
      <c r="P3682" s="226"/>
      <c r="Q3682" s="226"/>
      <c r="R3682" s="226"/>
      <c r="S3682" s="226"/>
      <c r="T3682" s="226"/>
      <c r="U3682" s="226"/>
    </row>
    <row r="3683" spans="16:21" x14ac:dyDescent="0.35">
      <c r="P3683" s="226"/>
      <c r="Q3683" s="226"/>
      <c r="R3683" s="226"/>
      <c r="S3683" s="226"/>
      <c r="T3683" s="226"/>
      <c r="U3683" s="226"/>
    </row>
    <row r="3684" spans="16:21" x14ac:dyDescent="0.35">
      <c r="P3684" s="226"/>
      <c r="Q3684" s="226"/>
      <c r="R3684" s="226"/>
      <c r="S3684" s="226"/>
      <c r="T3684" s="226"/>
      <c r="U3684" s="226"/>
    </row>
    <row r="3685" spans="16:21" x14ac:dyDescent="0.35">
      <c r="P3685" s="226"/>
      <c r="Q3685" s="226"/>
      <c r="R3685" s="226"/>
      <c r="S3685" s="226"/>
      <c r="T3685" s="226"/>
      <c r="U3685" s="226"/>
    </row>
    <row r="3686" spans="16:21" x14ac:dyDescent="0.35">
      <c r="P3686" s="226"/>
      <c r="Q3686" s="226"/>
      <c r="R3686" s="226"/>
      <c r="S3686" s="226"/>
      <c r="T3686" s="226"/>
      <c r="U3686" s="226"/>
    </row>
    <row r="3687" spans="16:21" x14ac:dyDescent="0.35">
      <c r="P3687" s="226"/>
      <c r="Q3687" s="226"/>
      <c r="R3687" s="226"/>
      <c r="S3687" s="226"/>
      <c r="T3687" s="226"/>
      <c r="U3687" s="226"/>
    </row>
    <row r="3688" spans="16:21" x14ac:dyDescent="0.35">
      <c r="P3688" s="226"/>
      <c r="Q3688" s="226"/>
      <c r="R3688" s="226"/>
      <c r="S3688" s="226"/>
      <c r="T3688" s="226"/>
      <c r="U3688" s="226"/>
    </row>
    <row r="3689" spans="16:21" x14ac:dyDescent="0.35">
      <c r="P3689" s="226"/>
      <c r="Q3689" s="226"/>
      <c r="R3689" s="226"/>
      <c r="S3689" s="226"/>
      <c r="T3689" s="226"/>
      <c r="U3689" s="226"/>
    </row>
    <row r="3690" spans="16:21" x14ac:dyDescent="0.35">
      <c r="P3690" s="226"/>
      <c r="Q3690" s="226"/>
      <c r="R3690" s="226"/>
      <c r="S3690" s="226"/>
      <c r="T3690" s="226"/>
      <c r="U3690" s="226"/>
    </row>
    <row r="3691" spans="16:21" x14ac:dyDescent="0.35">
      <c r="P3691" s="226"/>
      <c r="Q3691" s="226"/>
      <c r="R3691" s="226"/>
      <c r="S3691" s="226"/>
      <c r="T3691" s="226"/>
      <c r="U3691" s="226"/>
    </row>
    <row r="3692" spans="16:21" x14ac:dyDescent="0.35">
      <c r="P3692" s="226"/>
      <c r="Q3692" s="226"/>
      <c r="R3692" s="226"/>
      <c r="S3692" s="226"/>
      <c r="T3692" s="226"/>
      <c r="U3692" s="226"/>
    </row>
    <row r="3693" spans="16:21" x14ac:dyDescent="0.35">
      <c r="P3693" s="226"/>
      <c r="Q3693" s="226"/>
      <c r="R3693" s="226"/>
      <c r="S3693" s="226"/>
      <c r="T3693" s="226"/>
      <c r="U3693" s="226"/>
    </row>
    <row r="3694" spans="16:21" x14ac:dyDescent="0.35">
      <c r="P3694" s="226"/>
      <c r="Q3694" s="226"/>
      <c r="R3694" s="226"/>
      <c r="S3694" s="226"/>
      <c r="T3694" s="226"/>
      <c r="U3694" s="226"/>
    </row>
    <row r="3695" spans="16:21" x14ac:dyDescent="0.35">
      <c r="P3695" s="226"/>
      <c r="Q3695" s="226"/>
      <c r="R3695" s="226"/>
      <c r="S3695" s="226"/>
      <c r="T3695" s="226"/>
      <c r="U3695" s="226"/>
    </row>
    <row r="3696" spans="16:21" x14ac:dyDescent="0.35">
      <c r="P3696" s="226"/>
      <c r="Q3696" s="226"/>
      <c r="R3696" s="226"/>
      <c r="S3696" s="226"/>
      <c r="T3696" s="226"/>
      <c r="U3696" s="226"/>
    </row>
    <row r="3697" spans="16:21" x14ac:dyDescent="0.35">
      <c r="P3697" s="226"/>
      <c r="Q3697" s="226"/>
      <c r="R3697" s="226"/>
      <c r="S3697" s="226"/>
      <c r="T3697" s="226"/>
      <c r="U3697" s="226"/>
    </row>
    <row r="3698" spans="16:21" x14ac:dyDescent="0.35">
      <c r="P3698" s="226"/>
      <c r="Q3698" s="226"/>
      <c r="R3698" s="226"/>
      <c r="S3698" s="226"/>
      <c r="T3698" s="226"/>
      <c r="U3698" s="226"/>
    </row>
    <row r="3699" spans="16:21" x14ac:dyDescent="0.35">
      <c r="P3699" s="226"/>
      <c r="Q3699" s="226"/>
      <c r="R3699" s="226"/>
      <c r="S3699" s="226"/>
      <c r="T3699" s="226"/>
      <c r="U3699" s="226"/>
    </row>
    <row r="3700" spans="16:21" x14ac:dyDescent="0.35">
      <c r="P3700" s="226"/>
      <c r="Q3700" s="226"/>
      <c r="R3700" s="226"/>
      <c r="S3700" s="226"/>
      <c r="T3700" s="226"/>
      <c r="U3700" s="226"/>
    </row>
    <row r="3701" spans="16:21" x14ac:dyDescent="0.35">
      <c r="P3701" s="226"/>
      <c r="Q3701" s="226"/>
      <c r="R3701" s="226"/>
      <c r="S3701" s="226"/>
      <c r="T3701" s="226"/>
      <c r="U3701" s="226"/>
    </row>
    <row r="3702" spans="16:21" x14ac:dyDescent="0.35">
      <c r="P3702" s="226"/>
      <c r="Q3702" s="226"/>
      <c r="R3702" s="226"/>
      <c r="S3702" s="226"/>
      <c r="T3702" s="226"/>
      <c r="U3702" s="226"/>
    </row>
    <row r="3703" spans="16:21" x14ac:dyDescent="0.35">
      <c r="P3703" s="226"/>
      <c r="Q3703" s="226"/>
      <c r="R3703" s="226"/>
      <c r="S3703" s="226"/>
      <c r="T3703" s="226"/>
      <c r="U3703" s="226"/>
    </row>
    <row r="3704" spans="16:21" x14ac:dyDescent="0.35">
      <c r="P3704" s="226"/>
      <c r="Q3704" s="226"/>
      <c r="R3704" s="226"/>
      <c r="S3704" s="226"/>
      <c r="T3704" s="226"/>
      <c r="U3704" s="226"/>
    </row>
    <row r="3705" spans="16:21" x14ac:dyDescent="0.35">
      <c r="P3705" s="226"/>
      <c r="Q3705" s="226"/>
      <c r="R3705" s="226"/>
      <c r="S3705" s="226"/>
      <c r="T3705" s="226"/>
      <c r="U3705" s="226"/>
    </row>
    <row r="3706" spans="16:21" x14ac:dyDescent="0.35">
      <c r="P3706" s="226"/>
      <c r="Q3706" s="226"/>
      <c r="R3706" s="226"/>
      <c r="S3706" s="226"/>
      <c r="T3706" s="226"/>
      <c r="U3706" s="226"/>
    </row>
    <row r="3707" spans="16:21" x14ac:dyDescent="0.35">
      <c r="P3707" s="226"/>
      <c r="Q3707" s="226"/>
      <c r="R3707" s="226"/>
      <c r="S3707" s="226"/>
      <c r="T3707" s="226"/>
      <c r="U3707" s="226"/>
    </row>
    <row r="3708" spans="16:21" x14ac:dyDescent="0.35">
      <c r="P3708" s="226"/>
      <c r="Q3708" s="226"/>
      <c r="R3708" s="226"/>
      <c r="S3708" s="226"/>
      <c r="T3708" s="226"/>
      <c r="U3708" s="226"/>
    </row>
    <row r="3709" spans="16:21" x14ac:dyDescent="0.35">
      <c r="P3709" s="226"/>
      <c r="Q3709" s="226"/>
      <c r="R3709" s="226"/>
      <c r="S3709" s="226"/>
      <c r="T3709" s="226"/>
      <c r="U3709" s="226"/>
    </row>
    <row r="3710" spans="16:21" x14ac:dyDescent="0.35">
      <c r="P3710" s="226"/>
      <c r="Q3710" s="226"/>
      <c r="R3710" s="226"/>
      <c r="S3710" s="226"/>
      <c r="T3710" s="226"/>
      <c r="U3710" s="226"/>
    </row>
    <row r="3711" spans="16:21" x14ac:dyDescent="0.35">
      <c r="P3711" s="226"/>
      <c r="Q3711" s="226"/>
      <c r="R3711" s="226"/>
      <c r="S3711" s="226"/>
      <c r="T3711" s="226"/>
      <c r="U3711" s="226"/>
    </row>
    <row r="3712" spans="16:21" x14ac:dyDescent="0.35">
      <c r="P3712" s="226"/>
      <c r="Q3712" s="226"/>
      <c r="R3712" s="226"/>
      <c r="S3712" s="226"/>
      <c r="T3712" s="226"/>
      <c r="U3712" s="226"/>
    </row>
    <row r="3713" spans="16:21" x14ac:dyDescent="0.35">
      <c r="P3713" s="226"/>
      <c r="Q3713" s="226"/>
      <c r="R3713" s="226"/>
      <c r="S3713" s="226"/>
      <c r="T3713" s="226"/>
      <c r="U3713" s="226"/>
    </row>
    <row r="3714" spans="16:21" x14ac:dyDescent="0.35">
      <c r="P3714" s="226"/>
      <c r="Q3714" s="226"/>
      <c r="R3714" s="226"/>
      <c r="S3714" s="226"/>
      <c r="T3714" s="226"/>
      <c r="U3714" s="226"/>
    </row>
    <row r="3715" spans="16:21" x14ac:dyDescent="0.35">
      <c r="P3715" s="226"/>
      <c r="Q3715" s="226"/>
      <c r="R3715" s="226"/>
      <c r="S3715" s="226"/>
      <c r="T3715" s="226"/>
      <c r="U3715" s="226"/>
    </row>
    <row r="3716" spans="16:21" x14ac:dyDescent="0.35">
      <c r="P3716" s="226"/>
      <c r="Q3716" s="226"/>
      <c r="R3716" s="226"/>
      <c r="S3716" s="226"/>
      <c r="T3716" s="226"/>
      <c r="U3716" s="226"/>
    </row>
    <row r="3717" spans="16:21" x14ac:dyDescent="0.35">
      <c r="P3717" s="226"/>
      <c r="Q3717" s="226"/>
      <c r="R3717" s="226"/>
      <c r="S3717" s="226"/>
      <c r="T3717" s="226"/>
      <c r="U3717" s="226"/>
    </row>
    <row r="3718" spans="16:21" x14ac:dyDescent="0.35">
      <c r="P3718" s="226"/>
      <c r="Q3718" s="226"/>
      <c r="R3718" s="226"/>
      <c r="S3718" s="226"/>
      <c r="T3718" s="226"/>
      <c r="U3718" s="226"/>
    </row>
    <row r="3719" spans="16:21" x14ac:dyDescent="0.35">
      <c r="P3719" s="226"/>
      <c r="Q3719" s="226"/>
      <c r="R3719" s="226"/>
      <c r="S3719" s="226"/>
      <c r="T3719" s="226"/>
      <c r="U3719" s="226"/>
    </row>
    <row r="3720" spans="16:21" x14ac:dyDescent="0.35">
      <c r="P3720" s="226"/>
      <c r="Q3720" s="226"/>
      <c r="R3720" s="226"/>
      <c r="S3720" s="226"/>
      <c r="T3720" s="226"/>
      <c r="U3720" s="226"/>
    </row>
    <row r="3721" spans="16:21" x14ac:dyDescent="0.35">
      <c r="P3721" s="226"/>
      <c r="Q3721" s="226"/>
      <c r="R3721" s="226"/>
      <c r="S3721" s="226"/>
      <c r="T3721" s="226"/>
      <c r="U3721" s="226"/>
    </row>
    <row r="3722" spans="16:21" x14ac:dyDescent="0.35">
      <c r="P3722" s="226"/>
      <c r="Q3722" s="226"/>
      <c r="R3722" s="226"/>
      <c r="S3722" s="226"/>
      <c r="T3722" s="226"/>
      <c r="U3722" s="226"/>
    </row>
    <row r="3723" spans="16:21" x14ac:dyDescent="0.35">
      <c r="P3723" s="226"/>
      <c r="Q3723" s="226"/>
      <c r="R3723" s="226"/>
      <c r="S3723" s="226"/>
      <c r="T3723" s="226"/>
      <c r="U3723" s="226"/>
    </row>
    <row r="3724" spans="16:21" x14ac:dyDescent="0.35">
      <c r="P3724" s="226"/>
      <c r="Q3724" s="226"/>
      <c r="R3724" s="226"/>
      <c r="S3724" s="226"/>
      <c r="T3724" s="226"/>
      <c r="U3724" s="226"/>
    </row>
    <row r="3725" spans="16:21" x14ac:dyDescent="0.35">
      <c r="P3725" s="226"/>
      <c r="Q3725" s="226"/>
      <c r="R3725" s="226"/>
      <c r="S3725" s="226"/>
      <c r="T3725" s="226"/>
      <c r="U3725" s="226"/>
    </row>
    <row r="3726" spans="16:21" x14ac:dyDescent="0.35">
      <c r="P3726" s="226"/>
      <c r="Q3726" s="226"/>
      <c r="R3726" s="226"/>
      <c r="S3726" s="226"/>
      <c r="T3726" s="226"/>
      <c r="U3726" s="226"/>
    </row>
    <row r="3727" spans="16:21" x14ac:dyDescent="0.35">
      <c r="P3727" s="226"/>
      <c r="Q3727" s="226"/>
      <c r="R3727" s="226"/>
      <c r="S3727" s="226"/>
      <c r="T3727" s="226"/>
      <c r="U3727" s="226"/>
    </row>
    <row r="3728" spans="16:21" x14ac:dyDescent="0.35">
      <c r="P3728" s="226"/>
      <c r="Q3728" s="226"/>
      <c r="R3728" s="226"/>
      <c r="S3728" s="226"/>
      <c r="T3728" s="226"/>
      <c r="U3728" s="226"/>
    </row>
    <row r="3729" spans="16:21" x14ac:dyDescent="0.35">
      <c r="P3729" s="226"/>
      <c r="Q3729" s="226"/>
      <c r="R3729" s="226"/>
      <c r="S3729" s="226"/>
      <c r="T3729" s="226"/>
      <c r="U3729" s="226"/>
    </row>
    <row r="3730" spans="16:21" x14ac:dyDescent="0.35">
      <c r="P3730" s="226"/>
      <c r="Q3730" s="226"/>
      <c r="R3730" s="226"/>
      <c r="S3730" s="226"/>
      <c r="T3730" s="226"/>
      <c r="U3730" s="226"/>
    </row>
    <row r="3731" spans="16:21" x14ac:dyDescent="0.35">
      <c r="P3731" s="226"/>
      <c r="Q3731" s="226"/>
      <c r="R3731" s="226"/>
      <c r="S3731" s="226"/>
      <c r="T3731" s="226"/>
      <c r="U3731" s="226"/>
    </row>
    <row r="3732" spans="16:21" x14ac:dyDescent="0.35">
      <c r="P3732" s="226"/>
      <c r="Q3732" s="226"/>
      <c r="R3732" s="226"/>
      <c r="S3732" s="226"/>
      <c r="T3732" s="226"/>
      <c r="U3732" s="226"/>
    </row>
    <row r="3733" spans="16:21" x14ac:dyDescent="0.35">
      <c r="P3733" s="226"/>
      <c r="Q3733" s="226"/>
      <c r="R3733" s="226"/>
      <c r="S3733" s="226"/>
      <c r="T3733" s="226"/>
      <c r="U3733" s="226"/>
    </row>
    <row r="3734" spans="16:21" x14ac:dyDescent="0.35">
      <c r="P3734" s="226"/>
      <c r="Q3734" s="226"/>
      <c r="R3734" s="226"/>
      <c r="S3734" s="226"/>
      <c r="T3734" s="226"/>
      <c r="U3734" s="226"/>
    </row>
    <row r="3735" spans="16:21" x14ac:dyDescent="0.35">
      <c r="P3735" s="226"/>
      <c r="Q3735" s="226"/>
      <c r="R3735" s="226"/>
      <c r="S3735" s="226"/>
      <c r="T3735" s="226"/>
      <c r="U3735" s="226"/>
    </row>
    <row r="3736" spans="16:21" x14ac:dyDescent="0.35">
      <c r="P3736" s="226"/>
      <c r="Q3736" s="226"/>
      <c r="R3736" s="226"/>
      <c r="S3736" s="226"/>
      <c r="T3736" s="226"/>
      <c r="U3736" s="226"/>
    </row>
    <row r="3737" spans="16:21" x14ac:dyDescent="0.35">
      <c r="P3737" s="226"/>
      <c r="Q3737" s="226"/>
      <c r="R3737" s="226"/>
      <c r="S3737" s="226"/>
      <c r="T3737" s="226"/>
      <c r="U3737" s="226"/>
    </row>
    <row r="3738" spans="16:21" x14ac:dyDescent="0.35">
      <c r="P3738" s="226"/>
      <c r="Q3738" s="226"/>
      <c r="R3738" s="226"/>
      <c r="S3738" s="226"/>
      <c r="T3738" s="226"/>
      <c r="U3738" s="226"/>
    </row>
    <row r="3739" spans="16:21" x14ac:dyDescent="0.35">
      <c r="P3739" s="226"/>
      <c r="Q3739" s="226"/>
      <c r="R3739" s="226"/>
      <c r="S3739" s="226"/>
      <c r="T3739" s="226"/>
      <c r="U3739" s="226"/>
    </row>
    <row r="3740" spans="16:21" x14ac:dyDescent="0.35">
      <c r="P3740" s="226"/>
      <c r="Q3740" s="226"/>
      <c r="R3740" s="226"/>
      <c r="S3740" s="226"/>
      <c r="T3740" s="226"/>
      <c r="U3740" s="226"/>
    </row>
    <row r="3741" spans="16:21" x14ac:dyDescent="0.35">
      <c r="P3741" s="226"/>
      <c r="Q3741" s="226"/>
      <c r="R3741" s="226"/>
      <c r="S3741" s="226"/>
      <c r="T3741" s="226"/>
      <c r="U3741" s="226"/>
    </row>
    <row r="3742" spans="16:21" x14ac:dyDescent="0.35">
      <c r="P3742" s="226"/>
      <c r="Q3742" s="226"/>
      <c r="R3742" s="226"/>
      <c r="S3742" s="226"/>
      <c r="T3742" s="226"/>
      <c r="U3742" s="226"/>
    </row>
    <row r="3743" spans="16:21" x14ac:dyDescent="0.35">
      <c r="P3743" s="226"/>
      <c r="Q3743" s="226"/>
      <c r="R3743" s="226"/>
      <c r="S3743" s="226"/>
      <c r="T3743" s="226"/>
      <c r="U3743" s="226"/>
    </row>
    <row r="3744" spans="16:21" x14ac:dyDescent="0.35">
      <c r="P3744" s="226"/>
      <c r="Q3744" s="226"/>
      <c r="R3744" s="226"/>
      <c r="S3744" s="226"/>
      <c r="T3744" s="226"/>
      <c r="U3744" s="226"/>
    </row>
    <row r="3745" spans="16:21" x14ac:dyDescent="0.35">
      <c r="P3745" s="226"/>
      <c r="Q3745" s="226"/>
      <c r="R3745" s="226"/>
      <c r="S3745" s="226"/>
      <c r="T3745" s="226"/>
      <c r="U3745" s="226"/>
    </row>
    <row r="3746" spans="16:21" x14ac:dyDescent="0.35">
      <c r="P3746" s="226"/>
      <c r="Q3746" s="226"/>
      <c r="R3746" s="226"/>
      <c r="S3746" s="226"/>
      <c r="T3746" s="226"/>
      <c r="U3746" s="226"/>
    </row>
    <row r="3747" spans="16:21" x14ac:dyDescent="0.35">
      <c r="P3747" s="226"/>
      <c r="Q3747" s="226"/>
      <c r="R3747" s="226"/>
      <c r="S3747" s="226"/>
      <c r="T3747" s="226"/>
      <c r="U3747" s="226"/>
    </row>
    <row r="3748" spans="16:21" x14ac:dyDescent="0.35">
      <c r="P3748" s="226"/>
      <c r="Q3748" s="226"/>
      <c r="R3748" s="226"/>
      <c r="S3748" s="226"/>
      <c r="T3748" s="226"/>
      <c r="U3748" s="226"/>
    </row>
    <row r="3749" spans="16:21" x14ac:dyDescent="0.35">
      <c r="P3749" s="226"/>
      <c r="Q3749" s="226"/>
      <c r="R3749" s="226"/>
      <c r="S3749" s="226"/>
      <c r="T3749" s="226"/>
      <c r="U3749" s="226"/>
    </row>
    <row r="3750" spans="16:21" x14ac:dyDescent="0.35">
      <c r="P3750" s="226"/>
      <c r="Q3750" s="226"/>
      <c r="R3750" s="226"/>
      <c r="S3750" s="226"/>
      <c r="T3750" s="226"/>
      <c r="U3750" s="226"/>
    </row>
    <row r="3751" spans="16:21" x14ac:dyDescent="0.35">
      <c r="P3751" s="226"/>
      <c r="Q3751" s="226"/>
      <c r="R3751" s="226"/>
      <c r="S3751" s="226"/>
      <c r="T3751" s="226"/>
      <c r="U3751" s="226"/>
    </row>
    <row r="3752" spans="16:21" x14ac:dyDescent="0.35">
      <c r="P3752" s="226"/>
      <c r="Q3752" s="226"/>
      <c r="R3752" s="226"/>
      <c r="S3752" s="226"/>
      <c r="T3752" s="226"/>
      <c r="U3752" s="226"/>
    </row>
    <row r="3753" spans="16:21" x14ac:dyDescent="0.35">
      <c r="P3753" s="226"/>
      <c r="Q3753" s="226"/>
      <c r="R3753" s="226"/>
      <c r="S3753" s="226"/>
      <c r="T3753" s="226"/>
      <c r="U3753" s="226"/>
    </row>
    <row r="3754" spans="16:21" x14ac:dyDescent="0.35">
      <c r="P3754" s="226"/>
      <c r="Q3754" s="226"/>
      <c r="R3754" s="226"/>
      <c r="S3754" s="226"/>
      <c r="T3754" s="226"/>
      <c r="U3754" s="226"/>
    </row>
    <row r="3755" spans="16:21" x14ac:dyDescent="0.35">
      <c r="P3755" s="226"/>
      <c r="Q3755" s="226"/>
      <c r="R3755" s="226"/>
      <c r="S3755" s="226"/>
      <c r="T3755" s="226"/>
      <c r="U3755" s="226"/>
    </row>
    <row r="3756" spans="16:21" x14ac:dyDescent="0.35">
      <c r="P3756" s="226"/>
      <c r="Q3756" s="226"/>
      <c r="R3756" s="226"/>
      <c r="S3756" s="226"/>
      <c r="T3756" s="226"/>
      <c r="U3756" s="226"/>
    </row>
    <row r="3757" spans="16:21" x14ac:dyDescent="0.35">
      <c r="P3757" s="226"/>
      <c r="Q3757" s="226"/>
      <c r="R3757" s="226"/>
      <c r="S3757" s="226"/>
      <c r="T3757" s="226"/>
      <c r="U3757" s="226"/>
    </row>
    <row r="3758" spans="16:21" x14ac:dyDescent="0.35">
      <c r="P3758" s="226"/>
      <c r="Q3758" s="226"/>
      <c r="R3758" s="226"/>
      <c r="S3758" s="226"/>
      <c r="T3758" s="226"/>
      <c r="U3758" s="226"/>
    </row>
    <row r="3759" spans="16:21" x14ac:dyDescent="0.35">
      <c r="P3759" s="226"/>
      <c r="Q3759" s="226"/>
      <c r="R3759" s="226"/>
      <c r="S3759" s="226"/>
      <c r="T3759" s="226"/>
      <c r="U3759" s="226"/>
    </row>
    <row r="3760" spans="16:21" x14ac:dyDescent="0.35">
      <c r="P3760" s="226"/>
      <c r="Q3760" s="226"/>
      <c r="R3760" s="226"/>
      <c r="S3760" s="226"/>
      <c r="T3760" s="226"/>
      <c r="U3760" s="226"/>
    </row>
    <row r="3761" spans="16:21" x14ac:dyDescent="0.35">
      <c r="P3761" s="226"/>
      <c r="Q3761" s="226"/>
      <c r="R3761" s="226"/>
      <c r="S3761" s="226"/>
      <c r="T3761" s="226"/>
      <c r="U3761" s="226"/>
    </row>
    <row r="3762" spans="16:21" x14ac:dyDescent="0.35">
      <c r="P3762" s="226"/>
      <c r="Q3762" s="226"/>
      <c r="R3762" s="226"/>
      <c r="S3762" s="226"/>
      <c r="T3762" s="226"/>
      <c r="U3762" s="226"/>
    </row>
    <row r="3763" spans="16:21" x14ac:dyDescent="0.35">
      <c r="P3763" s="226"/>
      <c r="Q3763" s="226"/>
      <c r="R3763" s="226"/>
      <c r="S3763" s="226"/>
      <c r="T3763" s="226"/>
      <c r="U3763" s="226"/>
    </row>
    <row r="3764" spans="16:21" x14ac:dyDescent="0.35">
      <c r="P3764" s="226"/>
      <c r="Q3764" s="226"/>
      <c r="R3764" s="226"/>
      <c r="S3764" s="226"/>
      <c r="T3764" s="226"/>
      <c r="U3764" s="226"/>
    </row>
    <row r="3765" spans="16:21" x14ac:dyDescent="0.35">
      <c r="P3765" s="226"/>
      <c r="Q3765" s="226"/>
      <c r="R3765" s="226"/>
      <c r="S3765" s="226"/>
      <c r="T3765" s="226"/>
      <c r="U3765" s="226"/>
    </row>
    <row r="3766" spans="16:21" x14ac:dyDescent="0.35">
      <c r="P3766" s="226"/>
      <c r="Q3766" s="226"/>
      <c r="R3766" s="226"/>
      <c r="S3766" s="226"/>
      <c r="T3766" s="226"/>
      <c r="U3766" s="226"/>
    </row>
    <row r="3767" spans="16:21" x14ac:dyDescent="0.35">
      <c r="P3767" s="226"/>
      <c r="Q3767" s="226"/>
      <c r="R3767" s="226"/>
      <c r="S3767" s="226"/>
      <c r="T3767" s="226"/>
      <c r="U3767" s="226"/>
    </row>
    <row r="3768" spans="16:21" x14ac:dyDescent="0.35">
      <c r="P3768" s="226"/>
      <c r="Q3768" s="226"/>
      <c r="R3768" s="226"/>
      <c r="S3768" s="226"/>
      <c r="T3768" s="226"/>
      <c r="U3768" s="226"/>
    </row>
    <row r="3769" spans="16:21" x14ac:dyDescent="0.35">
      <c r="P3769" s="226"/>
      <c r="Q3769" s="226"/>
      <c r="R3769" s="226"/>
      <c r="S3769" s="226"/>
      <c r="T3769" s="226"/>
      <c r="U3769" s="226"/>
    </row>
    <row r="3770" spans="16:21" x14ac:dyDescent="0.35">
      <c r="P3770" s="226"/>
      <c r="Q3770" s="226"/>
      <c r="R3770" s="226"/>
      <c r="S3770" s="226"/>
      <c r="T3770" s="226"/>
      <c r="U3770" s="226"/>
    </row>
    <row r="3771" spans="16:21" x14ac:dyDescent="0.35">
      <c r="P3771" s="226"/>
      <c r="Q3771" s="226"/>
      <c r="R3771" s="226"/>
      <c r="S3771" s="226"/>
      <c r="T3771" s="226"/>
      <c r="U3771" s="226"/>
    </row>
    <row r="3772" spans="16:21" x14ac:dyDescent="0.35">
      <c r="P3772" s="226"/>
      <c r="Q3772" s="226"/>
      <c r="R3772" s="226"/>
      <c r="S3772" s="226"/>
      <c r="T3772" s="226"/>
      <c r="U3772" s="226"/>
    </row>
    <row r="3773" spans="16:21" x14ac:dyDescent="0.35">
      <c r="P3773" s="226"/>
      <c r="Q3773" s="226"/>
      <c r="R3773" s="226"/>
      <c r="S3773" s="226"/>
      <c r="T3773" s="226"/>
      <c r="U3773" s="226"/>
    </row>
    <row r="3774" spans="16:21" x14ac:dyDescent="0.35">
      <c r="P3774" s="226"/>
      <c r="Q3774" s="226"/>
      <c r="R3774" s="226"/>
      <c r="S3774" s="226"/>
      <c r="T3774" s="226"/>
      <c r="U3774" s="226"/>
    </row>
    <row r="3775" spans="16:21" x14ac:dyDescent="0.35">
      <c r="P3775" s="226"/>
      <c r="Q3775" s="226"/>
      <c r="R3775" s="226"/>
      <c r="S3775" s="226"/>
      <c r="T3775" s="226"/>
      <c r="U3775" s="226"/>
    </row>
    <row r="3776" spans="16:21" x14ac:dyDescent="0.35">
      <c r="P3776" s="226"/>
      <c r="Q3776" s="226"/>
      <c r="R3776" s="226"/>
      <c r="S3776" s="226"/>
      <c r="T3776" s="226"/>
      <c r="U3776" s="226"/>
    </row>
    <row r="3777" spans="16:21" x14ac:dyDescent="0.35">
      <c r="P3777" s="226"/>
      <c r="Q3777" s="226"/>
      <c r="R3777" s="226"/>
      <c r="S3777" s="226"/>
      <c r="T3777" s="226"/>
      <c r="U3777" s="226"/>
    </row>
    <row r="3778" spans="16:21" x14ac:dyDescent="0.35">
      <c r="P3778" s="226"/>
      <c r="Q3778" s="226"/>
      <c r="R3778" s="226"/>
      <c r="S3778" s="226"/>
      <c r="T3778" s="226"/>
      <c r="U3778" s="226"/>
    </row>
    <row r="3779" spans="16:21" x14ac:dyDescent="0.35">
      <c r="P3779" s="226"/>
      <c r="Q3779" s="226"/>
      <c r="R3779" s="226"/>
      <c r="S3779" s="226"/>
      <c r="T3779" s="226"/>
      <c r="U3779" s="226"/>
    </row>
    <row r="3780" spans="16:21" x14ac:dyDescent="0.35">
      <c r="P3780" s="226"/>
      <c r="Q3780" s="226"/>
      <c r="R3780" s="226"/>
      <c r="S3780" s="226"/>
      <c r="T3780" s="226"/>
      <c r="U3780" s="226"/>
    </row>
    <row r="3781" spans="16:21" x14ac:dyDescent="0.35">
      <c r="P3781" s="226"/>
      <c r="Q3781" s="226"/>
      <c r="R3781" s="226"/>
      <c r="S3781" s="226"/>
      <c r="T3781" s="226"/>
      <c r="U3781" s="226"/>
    </row>
    <row r="3782" spans="16:21" x14ac:dyDescent="0.35">
      <c r="P3782" s="226"/>
      <c r="Q3782" s="226"/>
      <c r="R3782" s="226"/>
      <c r="S3782" s="226"/>
      <c r="T3782" s="226"/>
      <c r="U3782" s="226"/>
    </row>
    <row r="3783" spans="16:21" x14ac:dyDescent="0.35">
      <c r="P3783" s="226"/>
      <c r="Q3783" s="226"/>
      <c r="R3783" s="226"/>
      <c r="S3783" s="226"/>
      <c r="T3783" s="226"/>
      <c r="U3783" s="226"/>
    </row>
    <row r="3784" spans="16:21" x14ac:dyDescent="0.35">
      <c r="P3784" s="226"/>
      <c r="Q3784" s="226"/>
      <c r="R3784" s="226"/>
      <c r="S3784" s="226"/>
      <c r="T3784" s="226"/>
      <c r="U3784" s="226"/>
    </row>
    <row r="3785" spans="16:21" x14ac:dyDescent="0.35">
      <c r="P3785" s="226"/>
      <c r="Q3785" s="226"/>
      <c r="R3785" s="226"/>
      <c r="S3785" s="226"/>
      <c r="T3785" s="226"/>
      <c r="U3785" s="226"/>
    </row>
    <row r="3786" spans="16:21" x14ac:dyDescent="0.35">
      <c r="P3786" s="226"/>
      <c r="Q3786" s="226"/>
      <c r="R3786" s="226"/>
      <c r="S3786" s="226"/>
      <c r="T3786" s="226"/>
      <c r="U3786" s="226"/>
    </row>
    <row r="3787" spans="16:21" x14ac:dyDescent="0.35">
      <c r="P3787" s="226"/>
      <c r="Q3787" s="226"/>
      <c r="R3787" s="226"/>
      <c r="S3787" s="226"/>
      <c r="T3787" s="226"/>
      <c r="U3787" s="226"/>
    </row>
    <row r="3788" spans="16:21" x14ac:dyDescent="0.35">
      <c r="P3788" s="226"/>
      <c r="Q3788" s="226"/>
      <c r="R3788" s="226"/>
      <c r="S3788" s="226"/>
      <c r="T3788" s="226"/>
      <c r="U3788" s="226"/>
    </row>
    <row r="3789" spans="16:21" x14ac:dyDescent="0.35">
      <c r="P3789" s="226"/>
      <c r="Q3789" s="226"/>
      <c r="R3789" s="226"/>
      <c r="S3789" s="226"/>
      <c r="T3789" s="226"/>
      <c r="U3789" s="226"/>
    </row>
    <row r="3790" spans="16:21" x14ac:dyDescent="0.35">
      <c r="P3790" s="226"/>
      <c r="Q3790" s="226"/>
      <c r="R3790" s="226"/>
      <c r="S3790" s="226"/>
      <c r="T3790" s="226"/>
      <c r="U3790" s="226"/>
    </row>
    <row r="3791" spans="16:21" x14ac:dyDescent="0.35">
      <c r="P3791" s="226"/>
      <c r="Q3791" s="226"/>
      <c r="R3791" s="226"/>
      <c r="S3791" s="226"/>
      <c r="T3791" s="226"/>
      <c r="U3791" s="226"/>
    </row>
    <row r="3792" spans="16:21" x14ac:dyDescent="0.35">
      <c r="P3792" s="226"/>
      <c r="Q3792" s="226"/>
      <c r="R3792" s="226"/>
      <c r="S3792" s="226"/>
      <c r="T3792" s="226"/>
      <c r="U3792" s="226"/>
    </row>
    <row r="3793" spans="16:21" x14ac:dyDescent="0.35">
      <c r="P3793" s="226"/>
      <c r="Q3793" s="226"/>
      <c r="R3793" s="226"/>
      <c r="S3793" s="226"/>
      <c r="T3793" s="226"/>
      <c r="U3793" s="226"/>
    </row>
    <row r="3794" spans="16:21" x14ac:dyDescent="0.35">
      <c r="P3794" s="226"/>
      <c r="Q3794" s="226"/>
      <c r="R3794" s="226"/>
      <c r="S3794" s="226"/>
      <c r="T3794" s="226"/>
      <c r="U3794" s="226"/>
    </row>
    <row r="3795" spans="16:21" x14ac:dyDescent="0.35">
      <c r="P3795" s="226"/>
      <c r="Q3795" s="226"/>
      <c r="R3795" s="226"/>
      <c r="S3795" s="226"/>
      <c r="T3795" s="226"/>
      <c r="U3795" s="226"/>
    </row>
    <row r="3796" spans="16:21" x14ac:dyDescent="0.35">
      <c r="P3796" s="226"/>
      <c r="Q3796" s="226"/>
      <c r="R3796" s="226"/>
      <c r="S3796" s="226"/>
      <c r="T3796" s="226"/>
      <c r="U3796" s="226"/>
    </row>
    <row r="3797" spans="16:21" x14ac:dyDescent="0.35">
      <c r="P3797" s="226"/>
      <c r="Q3797" s="226"/>
      <c r="R3797" s="226"/>
      <c r="S3797" s="226"/>
      <c r="T3797" s="226"/>
      <c r="U3797" s="226"/>
    </row>
    <row r="3798" spans="16:21" x14ac:dyDescent="0.35">
      <c r="P3798" s="226"/>
      <c r="Q3798" s="226"/>
      <c r="R3798" s="226"/>
      <c r="S3798" s="226"/>
      <c r="T3798" s="226"/>
      <c r="U3798" s="226"/>
    </row>
    <row r="3799" spans="16:21" x14ac:dyDescent="0.35">
      <c r="P3799" s="226"/>
      <c r="Q3799" s="226"/>
      <c r="R3799" s="226"/>
      <c r="S3799" s="226"/>
      <c r="T3799" s="226"/>
      <c r="U3799" s="226"/>
    </row>
    <row r="3800" spans="16:21" x14ac:dyDescent="0.35">
      <c r="P3800" s="226"/>
      <c r="Q3800" s="226"/>
      <c r="R3800" s="226"/>
      <c r="S3800" s="226"/>
      <c r="T3800" s="226"/>
      <c r="U3800" s="226"/>
    </row>
    <row r="3801" spans="16:21" x14ac:dyDescent="0.35">
      <c r="P3801" s="226"/>
      <c r="Q3801" s="226"/>
      <c r="R3801" s="226"/>
      <c r="S3801" s="226"/>
      <c r="T3801" s="226"/>
      <c r="U3801" s="226"/>
    </row>
    <row r="3802" spans="16:21" x14ac:dyDescent="0.35">
      <c r="P3802" s="226"/>
      <c r="Q3802" s="226"/>
      <c r="R3802" s="226"/>
      <c r="S3802" s="226"/>
      <c r="T3802" s="226"/>
      <c r="U3802" s="226"/>
    </row>
    <row r="3803" spans="16:21" x14ac:dyDescent="0.35">
      <c r="P3803" s="226"/>
      <c r="Q3803" s="226"/>
      <c r="R3803" s="226"/>
      <c r="S3803" s="226"/>
      <c r="T3803" s="226"/>
      <c r="U3803" s="226"/>
    </row>
    <row r="3804" spans="16:21" x14ac:dyDescent="0.35">
      <c r="P3804" s="226"/>
      <c r="Q3804" s="226"/>
      <c r="R3804" s="226"/>
      <c r="S3804" s="226"/>
      <c r="T3804" s="226"/>
      <c r="U3804" s="226"/>
    </row>
    <row r="3805" spans="16:21" x14ac:dyDescent="0.35">
      <c r="P3805" s="226"/>
      <c r="Q3805" s="226"/>
      <c r="R3805" s="226"/>
      <c r="S3805" s="226"/>
      <c r="T3805" s="226"/>
      <c r="U3805" s="226"/>
    </row>
    <row r="3806" spans="16:21" x14ac:dyDescent="0.35">
      <c r="P3806" s="226"/>
      <c r="Q3806" s="226"/>
      <c r="R3806" s="226"/>
      <c r="S3806" s="226"/>
      <c r="T3806" s="226"/>
      <c r="U3806" s="226"/>
    </row>
    <row r="3807" spans="16:21" x14ac:dyDescent="0.35">
      <c r="P3807" s="226"/>
      <c r="Q3807" s="226"/>
      <c r="R3807" s="226"/>
      <c r="S3807" s="226"/>
      <c r="T3807" s="226"/>
      <c r="U3807" s="226"/>
    </row>
    <row r="3808" spans="16:21" x14ac:dyDescent="0.35">
      <c r="P3808" s="226"/>
      <c r="Q3808" s="226"/>
      <c r="R3808" s="226"/>
      <c r="S3808" s="226"/>
      <c r="T3808" s="226"/>
      <c r="U3808" s="226"/>
    </row>
    <row r="3809" spans="16:21" x14ac:dyDescent="0.35">
      <c r="P3809" s="226"/>
      <c r="Q3809" s="226"/>
      <c r="R3809" s="226"/>
      <c r="S3809" s="226"/>
      <c r="T3809" s="226"/>
      <c r="U3809" s="226"/>
    </row>
    <row r="3810" spans="16:21" x14ac:dyDescent="0.35">
      <c r="P3810" s="226"/>
      <c r="Q3810" s="226"/>
      <c r="R3810" s="226"/>
      <c r="S3810" s="226"/>
      <c r="T3810" s="226"/>
      <c r="U3810" s="226"/>
    </row>
    <row r="3811" spans="16:21" x14ac:dyDescent="0.35">
      <c r="P3811" s="226"/>
      <c r="Q3811" s="226"/>
      <c r="R3811" s="226"/>
      <c r="S3811" s="226"/>
      <c r="T3811" s="226"/>
      <c r="U3811" s="226"/>
    </row>
    <row r="3812" spans="16:21" x14ac:dyDescent="0.35">
      <c r="P3812" s="226"/>
      <c r="Q3812" s="226"/>
      <c r="R3812" s="226"/>
      <c r="S3812" s="226"/>
      <c r="T3812" s="226"/>
      <c r="U3812" s="226"/>
    </row>
    <row r="3813" spans="16:21" x14ac:dyDescent="0.35">
      <c r="P3813" s="226"/>
      <c r="Q3813" s="226"/>
      <c r="R3813" s="226"/>
      <c r="S3813" s="226"/>
      <c r="T3813" s="226"/>
      <c r="U3813" s="226"/>
    </row>
    <row r="3814" spans="16:21" x14ac:dyDescent="0.35">
      <c r="P3814" s="226"/>
      <c r="Q3814" s="226"/>
      <c r="R3814" s="226"/>
      <c r="S3814" s="226"/>
      <c r="T3814" s="226"/>
      <c r="U3814" s="226"/>
    </row>
    <row r="3815" spans="16:21" x14ac:dyDescent="0.35">
      <c r="P3815" s="226"/>
      <c r="Q3815" s="226"/>
      <c r="R3815" s="226"/>
      <c r="S3815" s="226"/>
      <c r="T3815" s="226"/>
      <c r="U3815" s="226"/>
    </row>
    <row r="3816" spans="16:21" x14ac:dyDescent="0.35">
      <c r="P3816" s="226"/>
      <c r="Q3816" s="226"/>
      <c r="R3816" s="226"/>
      <c r="S3816" s="226"/>
      <c r="T3816" s="226"/>
      <c r="U3816" s="226"/>
    </row>
    <row r="3817" spans="16:21" x14ac:dyDescent="0.35">
      <c r="P3817" s="226"/>
      <c r="Q3817" s="226"/>
      <c r="R3817" s="226"/>
      <c r="S3817" s="226"/>
      <c r="T3817" s="226"/>
      <c r="U3817" s="226"/>
    </row>
    <row r="3818" spans="16:21" x14ac:dyDescent="0.35">
      <c r="P3818" s="226"/>
      <c r="Q3818" s="226"/>
      <c r="R3818" s="226"/>
      <c r="S3818" s="226"/>
      <c r="T3818" s="226"/>
      <c r="U3818" s="226"/>
    </row>
    <row r="3819" spans="16:21" x14ac:dyDescent="0.35">
      <c r="P3819" s="226"/>
      <c r="Q3819" s="226"/>
      <c r="R3819" s="226"/>
      <c r="S3819" s="226"/>
      <c r="T3819" s="226"/>
      <c r="U3819" s="226"/>
    </row>
    <row r="3820" spans="16:21" x14ac:dyDescent="0.35">
      <c r="P3820" s="226"/>
      <c r="Q3820" s="226"/>
      <c r="R3820" s="226"/>
      <c r="S3820" s="226"/>
      <c r="T3820" s="226"/>
      <c r="U3820" s="226"/>
    </row>
    <row r="3821" spans="16:21" x14ac:dyDescent="0.35">
      <c r="P3821" s="226"/>
      <c r="Q3821" s="226"/>
      <c r="R3821" s="226"/>
      <c r="S3821" s="226"/>
      <c r="T3821" s="226"/>
      <c r="U3821" s="226"/>
    </row>
    <row r="3822" spans="16:21" x14ac:dyDescent="0.35">
      <c r="P3822" s="226"/>
      <c r="Q3822" s="226"/>
      <c r="R3822" s="226"/>
      <c r="S3822" s="226"/>
      <c r="T3822" s="226"/>
      <c r="U3822" s="226"/>
    </row>
    <row r="3823" spans="16:21" x14ac:dyDescent="0.35">
      <c r="P3823" s="226"/>
      <c r="Q3823" s="226"/>
      <c r="R3823" s="226"/>
      <c r="S3823" s="226"/>
      <c r="T3823" s="226"/>
      <c r="U3823" s="226"/>
    </row>
    <row r="3824" spans="16:21" x14ac:dyDescent="0.35">
      <c r="P3824" s="226"/>
      <c r="Q3824" s="226"/>
      <c r="R3824" s="226"/>
      <c r="S3824" s="226"/>
      <c r="T3824" s="226"/>
      <c r="U3824" s="226"/>
    </row>
    <row r="3825" spans="16:21" x14ac:dyDescent="0.35">
      <c r="P3825" s="226"/>
      <c r="Q3825" s="226"/>
      <c r="R3825" s="226"/>
      <c r="S3825" s="226"/>
      <c r="T3825" s="226"/>
      <c r="U3825" s="226"/>
    </row>
    <row r="3826" spans="16:21" x14ac:dyDescent="0.35">
      <c r="P3826" s="226"/>
      <c r="Q3826" s="226"/>
      <c r="R3826" s="226"/>
      <c r="S3826" s="226"/>
      <c r="T3826" s="226"/>
      <c r="U3826" s="226"/>
    </row>
    <row r="3827" spans="16:21" x14ac:dyDescent="0.35">
      <c r="P3827" s="226"/>
      <c r="Q3827" s="226"/>
      <c r="R3827" s="226"/>
      <c r="S3827" s="226"/>
      <c r="T3827" s="226"/>
      <c r="U3827" s="226"/>
    </row>
    <row r="3828" spans="16:21" x14ac:dyDescent="0.35">
      <c r="P3828" s="226"/>
      <c r="Q3828" s="226"/>
      <c r="R3828" s="226"/>
      <c r="S3828" s="226"/>
      <c r="T3828" s="226"/>
      <c r="U3828" s="226"/>
    </row>
    <row r="3829" spans="16:21" x14ac:dyDescent="0.35">
      <c r="P3829" s="226"/>
      <c r="Q3829" s="226"/>
      <c r="R3829" s="226"/>
      <c r="S3829" s="226"/>
      <c r="T3829" s="226"/>
      <c r="U3829" s="226"/>
    </row>
    <row r="3830" spans="16:21" x14ac:dyDescent="0.35">
      <c r="P3830" s="226"/>
      <c r="Q3830" s="226"/>
      <c r="R3830" s="226"/>
      <c r="S3830" s="226"/>
      <c r="T3830" s="226"/>
      <c r="U3830" s="226"/>
    </row>
    <row r="3831" spans="16:21" x14ac:dyDescent="0.35">
      <c r="P3831" s="226"/>
      <c r="Q3831" s="226"/>
      <c r="R3831" s="226"/>
      <c r="S3831" s="226"/>
      <c r="T3831" s="226"/>
      <c r="U3831" s="226"/>
    </row>
    <row r="3832" spans="16:21" x14ac:dyDescent="0.35">
      <c r="P3832" s="226"/>
      <c r="Q3832" s="226"/>
      <c r="R3832" s="226"/>
      <c r="S3832" s="226"/>
      <c r="T3832" s="226"/>
      <c r="U3832" s="226"/>
    </row>
    <row r="3833" spans="16:21" x14ac:dyDescent="0.35">
      <c r="P3833" s="226"/>
      <c r="Q3833" s="226"/>
      <c r="R3833" s="226"/>
      <c r="S3833" s="226"/>
      <c r="T3833" s="226"/>
      <c r="U3833" s="226"/>
    </row>
    <row r="3834" spans="16:21" x14ac:dyDescent="0.35">
      <c r="P3834" s="226"/>
      <c r="Q3834" s="226"/>
      <c r="R3834" s="226"/>
      <c r="S3834" s="226"/>
      <c r="T3834" s="226"/>
      <c r="U3834" s="226"/>
    </row>
    <row r="3835" spans="16:21" x14ac:dyDescent="0.35">
      <c r="P3835" s="226"/>
      <c r="Q3835" s="226"/>
      <c r="R3835" s="226"/>
      <c r="S3835" s="226"/>
      <c r="T3835" s="226"/>
      <c r="U3835" s="226"/>
    </row>
    <row r="3836" spans="16:21" x14ac:dyDescent="0.35">
      <c r="P3836" s="226"/>
      <c r="Q3836" s="226"/>
      <c r="R3836" s="226"/>
      <c r="S3836" s="226"/>
      <c r="T3836" s="226"/>
      <c r="U3836" s="226"/>
    </row>
    <row r="3837" spans="16:21" x14ac:dyDescent="0.35">
      <c r="P3837" s="226"/>
      <c r="Q3837" s="226"/>
      <c r="R3837" s="226"/>
      <c r="S3837" s="226"/>
      <c r="T3837" s="226"/>
      <c r="U3837" s="226"/>
    </row>
    <row r="3838" spans="16:21" x14ac:dyDescent="0.35">
      <c r="P3838" s="226"/>
      <c r="Q3838" s="226"/>
      <c r="R3838" s="226"/>
      <c r="S3838" s="226"/>
      <c r="T3838" s="226"/>
      <c r="U3838" s="226"/>
    </row>
    <row r="3839" spans="16:21" x14ac:dyDescent="0.35">
      <c r="P3839" s="226"/>
      <c r="Q3839" s="226"/>
      <c r="R3839" s="226"/>
      <c r="S3839" s="226"/>
      <c r="T3839" s="226"/>
      <c r="U3839" s="226"/>
    </row>
    <row r="3840" spans="16:21" x14ac:dyDescent="0.35">
      <c r="P3840" s="226"/>
      <c r="Q3840" s="226"/>
      <c r="R3840" s="226"/>
      <c r="S3840" s="226"/>
      <c r="T3840" s="226"/>
      <c r="U3840" s="226"/>
    </row>
    <row r="3841" spans="16:21" x14ac:dyDescent="0.35">
      <c r="P3841" s="226"/>
      <c r="Q3841" s="226"/>
      <c r="R3841" s="226"/>
      <c r="S3841" s="226"/>
      <c r="T3841" s="226"/>
      <c r="U3841" s="226"/>
    </row>
    <row r="3842" spans="16:21" x14ac:dyDescent="0.35">
      <c r="P3842" s="226"/>
      <c r="Q3842" s="226"/>
      <c r="R3842" s="226"/>
      <c r="S3842" s="226"/>
      <c r="T3842" s="226"/>
      <c r="U3842" s="226"/>
    </row>
    <row r="3843" spans="16:21" x14ac:dyDescent="0.35">
      <c r="P3843" s="226"/>
      <c r="Q3843" s="226"/>
      <c r="R3843" s="226"/>
      <c r="S3843" s="226"/>
      <c r="T3843" s="226"/>
      <c r="U3843" s="226"/>
    </row>
    <row r="3844" spans="16:21" x14ac:dyDescent="0.35">
      <c r="P3844" s="226"/>
      <c r="Q3844" s="226"/>
      <c r="R3844" s="226"/>
      <c r="S3844" s="226"/>
      <c r="T3844" s="226"/>
      <c r="U3844" s="226"/>
    </row>
    <row r="3845" spans="16:21" x14ac:dyDescent="0.35">
      <c r="P3845" s="226"/>
      <c r="Q3845" s="226"/>
      <c r="R3845" s="226"/>
      <c r="S3845" s="226"/>
      <c r="T3845" s="226"/>
      <c r="U3845" s="226"/>
    </row>
    <row r="3846" spans="16:21" x14ac:dyDescent="0.35">
      <c r="P3846" s="226"/>
      <c r="Q3846" s="226"/>
      <c r="R3846" s="226"/>
      <c r="S3846" s="226"/>
      <c r="T3846" s="226"/>
      <c r="U3846" s="226"/>
    </row>
    <row r="3847" spans="16:21" x14ac:dyDescent="0.35">
      <c r="P3847" s="226"/>
      <c r="Q3847" s="226"/>
      <c r="R3847" s="226"/>
      <c r="S3847" s="226"/>
      <c r="T3847" s="226"/>
      <c r="U3847" s="226"/>
    </row>
    <row r="3848" spans="16:21" x14ac:dyDescent="0.35">
      <c r="P3848" s="226"/>
      <c r="Q3848" s="226"/>
      <c r="R3848" s="226"/>
      <c r="S3848" s="226"/>
      <c r="T3848" s="226"/>
      <c r="U3848" s="226"/>
    </row>
    <row r="3849" spans="16:21" x14ac:dyDescent="0.35">
      <c r="P3849" s="226"/>
      <c r="Q3849" s="226"/>
      <c r="R3849" s="226"/>
      <c r="S3849" s="226"/>
      <c r="T3849" s="226"/>
      <c r="U3849" s="226"/>
    </row>
    <row r="3850" spans="16:21" x14ac:dyDescent="0.35">
      <c r="P3850" s="226"/>
      <c r="Q3850" s="226"/>
      <c r="R3850" s="226"/>
      <c r="S3850" s="226"/>
      <c r="T3850" s="226"/>
      <c r="U3850" s="226"/>
    </row>
    <row r="3851" spans="16:21" x14ac:dyDescent="0.35">
      <c r="P3851" s="226"/>
      <c r="Q3851" s="226"/>
      <c r="R3851" s="226"/>
      <c r="S3851" s="226"/>
      <c r="T3851" s="226"/>
      <c r="U3851" s="226"/>
    </row>
    <row r="3852" spans="16:21" x14ac:dyDescent="0.35">
      <c r="P3852" s="226"/>
      <c r="Q3852" s="226"/>
      <c r="R3852" s="226"/>
      <c r="S3852" s="226"/>
      <c r="T3852" s="226"/>
      <c r="U3852" s="226"/>
    </row>
    <row r="3853" spans="16:21" x14ac:dyDescent="0.35">
      <c r="P3853" s="226"/>
      <c r="Q3853" s="226"/>
      <c r="R3853" s="226"/>
      <c r="S3853" s="226"/>
      <c r="T3853" s="226"/>
      <c r="U3853" s="226"/>
    </row>
    <row r="3854" spans="16:21" x14ac:dyDescent="0.35">
      <c r="P3854" s="226"/>
      <c r="Q3854" s="226"/>
      <c r="R3854" s="226"/>
      <c r="S3854" s="226"/>
      <c r="T3854" s="226"/>
      <c r="U3854" s="226"/>
    </row>
    <row r="3855" spans="16:21" x14ac:dyDescent="0.35">
      <c r="P3855" s="226"/>
      <c r="Q3855" s="226"/>
      <c r="R3855" s="226"/>
      <c r="S3855" s="226"/>
      <c r="T3855" s="226"/>
      <c r="U3855" s="226"/>
    </row>
    <row r="3856" spans="16:21" x14ac:dyDescent="0.35">
      <c r="P3856" s="226"/>
      <c r="Q3856" s="226"/>
      <c r="R3856" s="226"/>
      <c r="S3856" s="226"/>
      <c r="T3856" s="226"/>
      <c r="U3856" s="226"/>
    </row>
    <row r="3857" spans="16:21" x14ac:dyDescent="0.35">
      <c r="P3857" s="226"/>
      <c r="Q3857" s="226"/>
      <c r="R3857" s="226"/>
      <c r="S3857" s="226"/>
      <c r="T3857" s="226"/>
      <c r="U3857" s="226"/>
    </row>
    <row r="3858" spans="16:21" x14ac:dyDescent="0.35">
      <c r="P3858" s="226"/>
      <c r="Q3858" s="226"/>
      <c r="R3858" s="226"/>
      <c r="S3858" s="226"/>
      <c r="T3858" s="226"/>
      <c r="U3858" s="226"/>
    </row>
    <row r="3859" spans="16:21" x14ac:dyDescent="0.35">
      <c r="P3859" s="226"/>
      <c r="Q3859" s="226"/>
      <c r="R3859" s="226"/>
      <c r="S3859" s="226"/>
      <c r="T3859" s="226"/>
      <c r="U3859" s="226"/>
    </row>
    <row r="3860" spans="16:21" x14ac:dyDescent="0.35">
      <c r="P3860" s="226"/>
      <c r="Q3860" s="226"/>
      <c r="R3860" s="226"/>
      <c r="S3860" s="226"/>
      <c r="T3860" s="226"/>
      <c r="U3860" s="226"/>
    </row>
    <row r="3861" spans="16:21" x14ac:dyDescent="0.35">
      <c r="P3861" s="226"/>
      <c r="Q3861" s="226"/>
      <c r="R3861" s="226"/>
      <c r="S3861" s="226"/>
      <c r="T3861" s="226"/>
      <c r="U3861" s="226"/>
    </row>
    <row r="3862" spans="16:21" x14ac:dyDescent="0.35">
      <c r="P3862" s="226"/>
      <c r="Q3862" s="226"/>
      <c r="R3862" s="226"/>
      <c r="S3862" s="226"/>
      <c r="T3862" s="226"/>
      <c r="U3862" s="226"/>
    </row>
    <row r="3863" spans="16:21" x14ac:dyDescent="0.35">
      <c r="P3863" s="226"/>
      <c r="Q3863" s="226"/>
      <c r="R3863" s="226"/>
      <c r="S3863" s="226"/>
      <c r="T3863" s="226"/>
      <c r="U3863" s="226"/>
    </row>
    <row r="3864" spans="16:21" x14ac:dyDescent="0.35">
      <c r="P3864" s="226"/>
      <c r="Q3864" s="226"/>
      <c r="R3864" s="226"/>
      <c r="S3864" s="226"/>
      <c r="T3864" s="226"/>
      <c r="U3864" s="226"/>
    </row>
    <row r="3865" spans="16:21" x14ac:dyDescent="0.35">
      <c r="P3865" s="226"/>
      <c r="Q3865" s="226"/>
      <c r="R3865" s="226"/>
      <c r="S3865" s="226"/>
      <c r="T3865" s="226"/>
      <c r="U3865" s="226"/>
    </row>
    <row r="3866" spans="16:21" x14ac:dyDescent="0.35">
      <c r="P3866" s="226"/>
      <c r="Q3866" s="226"/>
      <c r="R3866" s="226"/>
      <c r="S3866" s="226"/>
      <c r="T3866" s="226"/>
      <c r="U3866" s="226"/>
    </row>
    <row r="3867" spans="16:21" x14ac:dyDescent="0.35">
      <c r="P3867" s="226"/>
      <c r="Q3867" s="226"/>
      <c r="R3867" s="226"/>
      <c r="S3867" s="226"/>
      <c r="T3867" s="226"/>
      <c r="U3867" s="226"/>
    </row>
    <row r="3868" spans="16:21" x14ac:dyDescent="0.35">
      <c r="P3868" s="226"/>
      <c r="Q3868" s="226"/>
      <c r="R3868" s="226"/>
      <c r="S3868" s="226"/>
      <c r="T3868" s="226"/>
      <c r="U3868" s="226"/>
    </row>
    <row r="3869" spans="16:21" x14ac:dyDescent="0.35">
      <c r="P3869" s="226"/>
      <c r="Q3869" s="226"/>
      <c r="R3869" s="226"/>
      <c r="S3869" s="226"/>
      <c r="T3869" s="226"/>
      <c r="U3869" s="226"/>
    </row>
    <row r="3870" spans="16:21" x14ac:dyDescent="0.35">
      <c r="P3870" s="226"/>
      <c r="Q3870" s="226"/>
      <c r="R3870" s="226"/>
      <c r="S3870" s="226"/>
      <c r="T3870" s="226"/>
      <c r="U3870" s="226"/>
    </row>
    <row r="3871" spans="16:21" x14ac:dyDescent="0.35">
      <c r="P3871" s="226"/>
      <c r="Q3871" s="226"/>
      <c r="R3871" s="226"/>
      <c r="S3871" s="226"/>
      <c r="T3871" s="226"/>
      <c r="U3871" s="226"/>
    </row>
    <row r="3872" spans="16:21" x14ac:dyDescent="0.35">
      <c r="P3872" s="226"/>
      <c r="Q3872" s="226"/>
      <c r="R3872" s="226"/>
      <c r="S3872" s="226"/>
      <c r="T3872" s="226"/>
      <c r="U3872" s="226"/>
    </row>
    <row r="3873" spans="16:21" x14ac:dyDescent="0.35">
      <c r="P3873" s="226"/>
      <c r="Q3873" s="226"/>
      <c r="R3873" s="226"/>
      <c r="S3873" s="226"/>
      <c r="T3873" s="226"/>
      <c r="U3873" s="226"/>
    </row>
    <row r="3874" spans="16:21" x14ac:dyDescent="0.35">
      <c r="P3874" s="226"/>
      <c r="Q3874" s="226"/>
      <c r="R3874" s="226"/>
      <c r="S3874" s="226"/>
      <c r="T3874" s="226"/>
      <c r="U3874" s="226"/>
    </row>
    <row r="3875" spans="16:21" x14ac:dyDescent="0.35">
      <c r="P3875" s="226"/>
      <c r="Q3875" s="226"/>
      <c r="R3875" s="226"/>
      <c r="S3875" s="226"/>
      <c r="T3875" s="226"/>
      <c r="U3875" s="226"/>
    </row>
    <row r="3876" spans="16:21" x14ac:dyDescent="0.35">
      <c r="P3876" s="226"/>
      <c r="Q3876" s="226"/>
      <c r="R3876" s="226"/>
      <c r="S3876" s="226"/>
      <c r="T3876" s="226"/>
      <c r="U3876" s="226"/>
    </row>
    <row r="3877" spans="16:21" x14ac:dyDescent="0.35">
      <c r="P3877" s="226"/>
      <c r="Q3877" s="226"/>
      <c r="R3877" s="226"/>
      <c r="S3877" s="226"/>
      <c r="T3877" s="226"/>
      <c r="U3877" s="226"/>
    </row>
    <row r="3878" spans="16:21" x14ac:dyDescent="0.35">
      <c r="P3878" s="226"/>
      <c r="Q3878" s="226"/>
      <c r="R3878" s="226"/>
      <c r="S3878" s="226"/>
      <c r="T3878" s="226"/>
      <c r="U3878" s="226"/>
    </row>
    <row r="3879" spans="16:21" x14ac:dyDescent="0.35">
      <c r="P3879" s="226"/>
      <c r="Q3879" s="226"/>
      <c r="R3879" s="226"/>
      <c r="S3879" s="226"/>
      <c r="T3879" s="226"/>
      <c r="U3879" s="226"/>
    </row>
    <row r="3880" spans="16:21" x14ac:dyDescent="0.35">
      <c r="P3880" s="226"/>
      <c r="Q3880" s="226"/>
      <c r="R3880" s="226"/>
      <c r="S3880" s="226"/>
      <c r="T3880" s="226"/>
      <c r="U3880" s="226"/>
    </row>
    <row r="3881" spans="16:21" x14ac:dyDescent="0.35">
      <c r="P3881" s="226"/>
      <c r="Q3881" s="226"/>
      <c r="R3881" s="226"/>
      <c r="S3881" s="226"/>
      <c r="T3881" s="226"/>
      <c r="U3881" s="226"/>
    </row>
    <row r="3882" spans="16:21" x14ac:dyDescent="0.35">
      <c r="P3882" s="226"/>
      <c r="Q3882" s="226"/>
      <c r="R3882" s="226"/>
      <c r="S3882" s="226"/>
      <c r="T3882" s="226"/>
      <c r="U3882" s="226"/>
    </row>
    <row r="3883" spans="16:21" x14ac:dyDescent="0.35">
      <c r="P3883" s="226"/>
      <c r="Q3883" s="226"/>
      <c r="R3883" s="226"/>
      <c r="S3883" s="226"/>
      <c r="T3883" s="226"/>
      <c r="U3883" s="226"/>
    </row>
    <row r="3884" spans="16:21" x14ac:dyDescent="0.35">
      <c r="P3884" s="226"/>
      <c r="Q3884" s="226"/>
      <c r="R3884" s="226"/>
      <c r="S3884" s="226"/>
      <c r="T3884" s="226"/>
      <c r="U3884" s="226"/>
    </row>
    <row r="3885" spans="16:21" x14ac:dyDescent="0.35">
      <c r="P3885" s="226"/>
      <c r="Q3885" s="226"/>
      <c r="R3885" s="226"/>
      <c r="S3885" s="226"/>
      <c r="T3885" s="226"/>
      <c r="U3885" s="226"/>
    </row>
    <row r="3886" spans="16:21" x14ac:dyDescent="0.35">
      <c r="P3886" s="226"/>
      <c r="Q3886" s="226"/>
      <c r="R3886" s="226"/>
      <c r="S3886" s="226"/>
      <c r="T3886" s="226"/>
      <c r="U3886" s="226"/>
    </row>
    <row r="3887" spans="16:21" x14ac:dyDescent="0.35">
      <c r="P3887" s="226"/>
      <c r="Q3887" s="226"/>
      <c r="R3887" s="226"/>
      <c r="S3887" s="226"/>
      <c r="T3887" s="226"/>
      <c r="U3887" s="226"/>
    </row>
    <row r="3888" spans="16:21" x14ac:dyDescent="0.35">
      <c r="P3888" s="226"/>
      <c r="Q3888" s="226"/>
      <c r="R3888" s="226"/>
      <c r="S3888" s="226"/>
      <c r="T3888" s="226"/>
      <c r="U3888" s="226"/>
    </row>
    <row r="3889" spans="16:21" x14ac:dyDescent="0.35">
      <c r="P3889" s="226"/>
      <c r="Q3889" s="226"/>
      <c r="R3889" s="226"/>
      <c r="S3889" s="226"/>
      <c r="T3889" s="226"/>
      <c r="U3889" s="226"/>
    </row>
    <row r="3890" spans="16:21" x14ac:dyDescent="0.35">
      <c r="P3890" s="226"/>
      <c r="Q3890" s="226"/>
      <c r="R3890" s="226"/>
      <c r="S3890" s="226"/>
      <c r="T3890" s="226"/>
      <c r="U3890" s="226"/>
    </row>
    <row r="3891" spans="16:21" x14ac:dyDescent="0.35">
      <c r="P3891" s="226"/>
      <c r="Q3891" s="226"/>
      <c r="R3891" s="226"/>
      <c r="S3891" s="226"/>
      <c r="T3891" s="226"/>
      <c r="U3891" s="226"/>
    </row>
    <row r="3892" spans="16:21" x14ac:dyDescent="0.35">
      <c r="P3892" s="226"/>
      <c r="Q3892" s="226"/>
      <c r="R3892" s="226"/>
      <c r="S3892" s="226"/>
      <c r="T3892" s="226"/>
      <c r="U3892" s="226"/>
    </row>
    <row r="3893" spans="16:21" x14ac:dyDescent="0.35">
      <c r="P3893" s="226"/>
      <c r="Q3893" s="226"/>
      <c r="R3893" s="226"/>
      <c r="S3893" s="226"/>
      <c r="T3893" s="226"/>
      <c r="U3893" s="226"/>
    </row>
    <row r="3894" spans="16:21" x14ac:dyDescent="0.35">
      <c r="P3894" s="226"/>
      <c r="Q3894" s="226"/>
      <c r="R3894" s="226"/>
      <c r="S3894" s="226"/>
      <c r="T3894" s="226"/>
      <c r="U3894" s="226"/>
    </row>
    <row r="3895" spans="16:21" x14ac:dyDescent="0.35">
      <c r="P3895" s="226"/>
      <c r="Q3895" s="226"/>
      <c r="R3895" s="226"/>
      <c r="S3895" s="226"/>
      <c r="T3895" s="226"/>
      <c r="U3895" s="226"/>
    </row>
    <row r="3896" spans="16:21" x14ac:dyDescent="0.35">
      <c r="P3896" s="226"/>
      <c r="Q3896" s="226"/>
      <c r="R3896" s="226"/>
      <c r="S3896" s="226"/>
      <c r="T3896" s="226"/>
      <c r="U3896" s="226"/>
    </row>
    <row r="3897" spans="16:21" x14ac:dyDescent="0.35">
      <c r="P3897" s="226"/>
      <c r="Q3897" s="226"/>
      <c r="R3897" s="226"/>
      <c r="S3897" s="226"/>
      <c r="T3897" s="226"/>
      <c r="U3897" s="226"/>
    </row>
    <row r="3898" spans="16:21" x14ac:dyDescent="0.35">
      <c r="P3898" s="226"/>
      <c r="Q3898" s="226"/>
      <c r="R3898" s="226"/>
      <c r="S3898" s="226"/>
      <c r="T3898" s="226"/>
      <c r="U3898" s="226"/>
    </row>
    <row r="3899" spans="16:21" x14ac:dyDescent="0.35">
      <c r="P3899" s="226"/>
      <c r="Q3899" s="226"/>
      <c r="R3899" s="226"/>
      <c r="S3899" s="226"/>
      <c r="T3899" s="226"/>
      <c r="U3899" s="226"/>
    </row>
    <row r="3900" spans="16:21" x14ac:dyDescent="0.35">
      <c r="P3900" s="226"/>
      <c r="Q3900" s="226"/>
      <c r="R3900" s="226"/>
      <c r="S3900" s="226"/>
      <c r="T3900" s="226"/>
      <c r="U3900" s="226"/>
    </row>
    <row r="3901" spans="16:21" x14ac:dyDescent="0.35">
      <c r="P3901" s="226"/>
      <c r="Q3901" s="226"/>
      <c r="R3901" s="226"/>
      <c r="S3901" s="226"/>
      <c r="T3901" s="226"/>
      <c r="U3901" s="226"/>
    </row>
    <row r="3902" spans="16:21" x14ac:dyDescent="0.35">
      <c r="P3902" s="226"/>
      <c r="Q3902" s="226"/>
      <c r="R3902" s="226"/>
      <c r="S3902" s="226"/>
      <c r="T3902" s="226"/>
      <c r="U3902" s="226"/>
    </row>
    <row r="3903" spans="16:21" x14ac:dyDescent="0.35">
      <c r="P3903" s="226"/>
      <c r="Q3903" s="226"/>
      <c r="R3903" s="226"/>
      <c r="S3903" s="226"/>
      <c r="T3903" s="226"/>
      <c r="U3903" s="226"/>
    </row>
    <row r="3904" spans="16:21" x14ac:dyDescent="0.35">
      <c r="P3904" s="226"/>
      <c r="Q3904" s="226"/>
      <c r="R3904" s="226"/>
      <c r="S3904" s="226"/>
      <c r="T3904" s="226"/>
      <c r="U3904" s="226"/>
    </row>
    <row r="3905" spans="16:21" x14ac:dyDescent="0.35">
      <c r="P3905" s="226"/>
      <c r="Q3905" s="226"/>
      <c r="R3905" s="226"/>
      <c r="S3905" s="226"/>
      <c r="T3905" s="226"/>
      <c r="U3905" s="226"/>
    </row>
    <row r="3906" spans="16:21" x14ac:dyDescent="0.35">
      <c r="P3906" s="226"/>
      <c r="Q3906" s="226"/>
      <c r="R3906" s="226"/>
      <c r="S3906" s="226"/>
      <c r="T3906" s="226"/>
      <c r="U3906" s="226"/>
    </row>
    <row r="3907" spans="16:21" x14ac:dyDescent="0.35">
      <c r="P3907" s="226"/>
      <c r="Q3907" s="226"/>
      <c r="R3907" s="226"/>
      <c r="S3907" s="226"/>
      <c r="T3907" s="226"/>
      <c r="U3907" s="226"/>
    </row>
    <row r="3908" spans="16:21" x14ac:dyDescent="0.35">
      <c r="P3908" s="226"/>
      <c r="Q3908" s="226"/>
      <c r="R3908" s="226"/>
      <c r="S3908" s="226"/>
      <c r="T3908" s="226"/>
      <c r="U3908" s="226"/>
    </row>
    <row r="3909" spans="16:21" x14ac:dyDescent="0.35">
      <c r="P3909" s="226"/>
      <c r="Q3909" s="226"/>
      <c r="R3909" s="226"/>
      <c r="S3909" s="226"/>
      <c r="T3909" s="226"/>
      <c r="U3909" s="226"/>
    </row>
    <row r="3910" spans="16:21" x14ac:dyDescent="0.35">
      <c r="P3910" s="226"/>
      <c r="Q3910" s="226"/>
      <c r="R3910" s="226"/>
      <c r="S3910" s="226"/>
      <c r="T3910" s="226"/>
      <c r="U3910" s="226"/>
    </row>
    <row r="3911" spans="16:21" x14ac:dyDescent="0.35">
      <c r="P3911" s="226"/>
      <c r="Q3911" s="226"/>
      <c r="R3911" s="226"/>
      <c r="S3911" s="226"/>
      <c r="T3911" s="226"/>
      <c r="U3911" s="226"/>
    </row>
    <row r="3912" spans="16:21" x14ac:dyDescent="0.35">
      <c r="P3912" s="226"/>
      <c r="Q3912" s="226"/>
      <c r="R3912" s="226"/>
      <c r="S3912" s="226"/>
      <c r="T3912" s="226"/>
      <c r="U3912" s="226"/>
    </row>
    <row r="3913" spans="16:21" x14ac:dyDescent="0.35">
      <c r="P3913" s="226"/>
      <c r="Q3913" s="226"/>
      <c r="R3913" s="226"/>
      <c r="S3913" s="226"/>
      <c r="T3913" s="226"/>
      <c r="U3913" s="226"/>
    </row>
    <row r="3914" spans="16:21" x14ac:dyDescent="0.35">
      <c r="P3914" s="226"/>
      <c r="Q3914" s="226"/>
      <c r="R3914" s="226"/>
      <c r="S3914" s="226"/>
      <c r="T3914" s="226"/>
      <c r="U3914" s="226"/>
    </row>
    <row r="3915" spans="16:21" x14ac:dyDescent="0.35">
      <c r="P3915" s="226"/>
      <c r="Q3915" s="226"/>
      <c r="R3915" s="226"/>
      <c r="S3915" s="226"/>
      <c r="T3915" s="226"/>
      <c r="U3915" s="226"/>
    </row>
    <row r="3916" spans="16:21" x14ac:dyDescent="0.35">
      <c r="P3916" s="226"/>
      <c r="Q3916" s="226"/>
      <c r="R3916" s="226"/>
      <c r="S3916" s="226"/>
      <c r="T3916" s="226"/>
      <c r="U3916" s="226"/>
    </row>
    <row r="3917" spans="16:21" x14ac:dyDescent="0.35">
      <c r="P3917" s="226"/>
      <c r="Q3917" s="226"/>
      <c r="R3917" s="226"/>
      <c r="S3917" s="226"/>
      <c r="T3917" s="226"/>
      <c r="U3917" s="226"/>
    </row>
    <row r="3918" spans="16:21" x14ac:dyDescent="0.35">
      <c r="P3918" s="226"/>
      <c r="Q3918" s="226"/>
      <c r="R3918" s="226"/>
      <c r="S3918" s="226"/>
      <c r="T3918" s="226"/>
      <c r="U3918" s="226"/>
    </row>
    <row r="3919" spans="16:21" x14ac:dyDescent="0.35">
      <c r="P3919" s="226"/>
      <c r="Q3919" s="226"/>
      <c r="R3919" s="226"/>
      <c r="S3919" s="226"/>
      <c r="T3919" s="226"/>
      <c r="U3919" s="226"/>
    </row>
    <row r="3920" spans="16:21" x14ac:dyDescent="0.35">
      <c r="P3920" s="226"/>
      <c r="Q3920" s="226"/>
      <c r="R3920" s="226"/>
      <c r="S3920" s="226"/>
      <c r="T3920" s="226"/>
      <c r="U3920" s="226"/>
    </row>
    <row r="3921" spans="16:21" x14ac:dyDescent="0.35">
      <c r="P3921" s="226"/>
      <c r="Q3921" s="226"/>
      <c r="R3921" s="226"/>
      <c r="S3921" s="226"/>
      <c r="T3921" s="226"/>
      <c r="U3921" s="226"/>
    </row>
    <row r="3922" spans="16:21" x14ac:dyDescent="0.35">
      <c r="P3922" s="226"/>
      <c r="Q3922" s="226"/>
      <c r="R3922" s="226"/>
      <c r="S3922" s="226"/>
      <c r="T3922" s="226"/>
      <c r="U3922" s="226"/>
    </row>
    <row r="3923" spans="16:21" x14ac:dyDescent="0.35">
      <c r="P3923" s="226"/>
      <c r="Q3923" s="226"/>
      <c r="R3923" s="226"/>
      <c r="S3923" s="226"/>
      <c r="T3923" s="226"/>
      <c r="U3923" s="226"/>
    </row>
    <row r="3924" spans="16:21" x14ac:dyDescent="0.35">
      <c r="P3924" s="226"/>
      <c r="Q3924" s="226"/>
      <c r="R3924" s="226"/>
      <c r="S3924" s="226"/>
      <c r="T3924" s="226"/>
      <c r="U3924" s="226"/>
    </row>
    <row r="3925" spans="16:21" x14ac:dyDescent="0.35">
      <c r="P3925" s="226"/>
      <c r="Q3925" s="226"/>
      <c r="R3925" s="226"/>
      <c r="S3925" s="226"/>
      <c r="T3925" s="226"/>
      <c r="U3925" s="226"/>
    </row>
    <row r="3926" spans="16:21" x14ac:dyDescent="0.35">
      <c r="P3926" s="226"/>
      <c r="Q3926" s="226"/>
      <c r="R3926" s="226"/>
      <c r="S3926" s="226"/>
      <c r="T3926" s="226"/>
      <c r="U3926" s="226"/>
    </row>
    <row r="3927" spans="16:21" x14ac:dyDescent="0.35">
      <c r="P3927" s="226"/>
      <c r="Q3927" s="226"/>
      <c r="R3927" s="226"/>
      <c r="S3927" s="226"/>
      <c r="T3927" s="226"/>
      <c r="U3927" s="226"/>
    </row>
    <row r="3928" spans="16:21" x14ac:dyDescent="0.35">
      <c r="P3928" s="226"/>
      <c r="Q3928" s="226"/>
      <c r="R3928" s="226"/>
      <c r="S3928" s="226"/>
      <c r="T3928" s="226"/>
      <c r="U3928" s="226"/>
    </row>
    <row r="3929" spans="16:21" x14ac:dyDescent="0.35">
      <c r="P3929" s="226"/>
      <c r="Q3929" s="226"/>
      <c r="R3929" s="226"/>
      <c r="S3929" s="226"/>
      <c r="T3929" s="226"/>
      <c r="U3929" s="226"/>
    </row>
    <row r="3930" spans="16:21" x14ac:dyDescent="0.35">
      <c r="P3930" s="226"/>
      <c r="Q3930" s="226"/>
      <c r="R3930" s="226"/>
      <c r="S3930" s="226"/>
      <c r="T3930" s="226"/>
      <c r="U3930" s="226"/>
    </row>
    <row r="3931" spans="16:21" x14ac:dyDescent="0.35">
      <c r="P3931" s="226"/>
      <c r="Q3931" s="226"/>
      <c r="R3931" s="226"/>
      <c r="S3931" s="226"/>
      <c r="T3931" s="226"/>
      <c r="U3931" s="226"/>
    </row>
    <row r="3932" spans="16:21" x14ac:dyDescent="0.35">
      <c r="P3932" s="226"/>
      <c r="Q3932" s="226"/>
      <c r="R3932" s="226"/>
      <c r="S3932" s="226"/>
      <c r="T3932" s="226"/>
      <c r="U3932" s="226"/>
    </row>
    <row r="3933" spans="16:21" x14ac:dyDescent="0.35">
      <c r="P3933" s="226"/>
      <c r="Q3933" s="226"/>
      <c r="R3933" s="226"/>
      <c r="S3933" s="226"/>
      <c r="T3933" s="226"/>
      <c r="U3933" s="226"/>
    </row>
    <row r="3934" spans="16:21" x14ac:dyDescent="0.35">
      <c r="P3934" s="226"/>
      <c r="Q3934" s="226"/>
      <c r="R3934" s="226"/>
      <c r="S3934" s="226"/>
      <c r="T3934" s="226"/>
      <c r="U3934" s="226"/>
    </row>
    <row r="3935" spans="16:21" x14ac:dyDescent="0.35">
      <c r="P3935" s="226"/>
      <c r="Q3935" s="226"/>
      <c r="R3935" s="226"/>
      <c r="S3935" s="226"/>
      <c r="T3935" s="226"/>
      <c r="U3935" s="226"/>
    </row>
    <row r="3936" spans="16:21" x14ac:dyDescent="0.35">
      <c r="P3936" s="226"/>
      <c r="Q3936" s="226"/>
      <c r="R3936" s="226"/>
      <c r="S3936" s="226"/>
      <c r="T3936" s="226"/>
      <c r="U3936" s="226"/>
    </row>
    <row r="3937" spans="16:21" x14ac:dyDescent="0.35">
      <c r="P3937" s="226"/>
      <c r="Q3937" s="226"/>
      <c r="R3937" s="226"/>
      <c r="S3937" s="226"/>
      <c r="T3937" s="226"/>
      <c r="U3937" s="226"/>
    </row>
    <row r="3938" spans="16:21" x14ac:dyDescent="0.35">
      <c r="P3938" s="226"/>
      <c r="Q3938" s="226"/>
      <c r="R3938" s="226"/>
      <c r="S3938" s="226"/>
      <c r="T3938" s="226"/>
      <c r="U3938" s="226"/>
    </row>
    <row r="3939" spans="16:21" x14ac:dyDescent="0.35">
      <c r="P3939" s="226"/>
      <c r="Q3939" s="226"/>
      <c r="R3939" s="226"/>
      <c r="S3939" s="226"/>
      <c r="T3939" s="226"/>
      <c r="U3939" s="226"/>
    </row>
    <row r="3940" spans="16:21" x14ac:dyDescent="0.35">
      <c r="P3940" s="226"/>
      <c r="Q3940" s="226"/>
      <c r="R3940" s="226"/>
      <c r="S3940" s="226"/>
      <c r="T3940" s="226"/>
      <c r="U3940" s="226"/>
    </row>
    <row r="3941" spans="16:21" x14ac:dyDescent="0.35">
      <c r="P3941" s="226"/>
      <c r="Q3941" s="226"/>
      <c r="R3941" s="226"/>
      <c r="S3941" s="226"/>
      <c r="T3941" s="226"/>
      <c r="U3941" s="226"/>
    </row>
    <row r="3942" spans="16:21" x14ac:dyDescent="0.35">
      <c r="P3942" s="226"/>
      <c r="Q3942" s="226"/>
      <c r="R3942" s="226"/>
      <c r="S3942" s="226"/>
      <c r="T3942" s="226"/>
      <c r="U3942" s="226"/>
    </row>
    <row r="3943" spans="16:21" x14ac:dyDescent="0.35">
      <c r="P3943" s="226"/>
      <c r="Q3943" s="226"/>
      <c r="R3943" s="226"/>
      <c r="S3943" s="226"/>
      <c r="T3943" s="226"/>
      <c r="U3943" s="226"/>
    </row>
    <row r="3944" spans="16:21" x14ac:dyDescent="0.35">
      <c r="P3944" s="226"/>
      <c r="Q3944" s="226"/>
      <c r="R3944" s="226"/>
      <c r="S3944" s="226"/>
      <c r="T3944" s="226"/>
      <c r="U3944" s="226"/>
    </row>
    <row r="3945" spans="16:21" x14ac:dyDescent="0.35">
      <c r="P3945" s="226"/>
      <c r="Q3945" s="226"/>
      <c r="R3945" s="226"/>
      <c r="S3945" s="226"/>
      <c r="T3945" s="226"/>
      <c r="U3945" s="226"/>
    </row>
    <row r="3946" spans="16:21" x14ac:dyDescent="0.35">
      <c r="P3946" s="226"/>
      <c r="Q3946" s="226"/>
      <c r="R3946" s="226"/>
      <c r="S3946" s="226"/>
      <c r="T3946" s="226"/>
      <c r="U3946" s="226"/>
    </row>
    <row r="3947" spans="16:21" x14ac:dyDescent="0.35">
      <c r="P3947" s="226"/>
      <c r="Q3947" s="226"/>
      <c r="R3947" s="226"/>
      <c r="S3947" s="226"/>
      <c r="T3947" s="226"/>
      <c r="U3947" s="226"/>
    </row>
    <row r="3948" spans="16:21" x14ac:dyDescent="0.35">
      <c r="P3948" s="226"/>
      <c r="Q3948" s="226"/>
      <c r="R3948" s="226"/>
      <c r="S3948" s="226"/>
      <c r="T3948" s="226"/>
      <c r="U3948" s="226"/>
    </row>
    <row r="3949" spans="16:21" x14ac:dyDescent="0.35">
      <c r="P3949" s="226"/>
      <c r="Q3949" s="226"/>
      <c r="R3949" s="226"/>
      <c r="S3949" s="226"/>
      <c r="T3949" s="226"/>
      <c r="U3949" s="226"/>
    </row>
    <row r="3950" spans="16:21" x14ac:dyDescent="0.35">
      <c r="P3950" s="226"/>
      <c r="Q3950" s="226"/>
      <c r="R3950" s="226"/>
      <c r="S3950" s="226"/>
      <c r="T3950" s="226"/>
      <c r="U3950" s="226"/>
    </row>
    <row r="3951" spans="16:21" x14ac:dyDescent="0.35">
      <c r="P3951" s="226"/>
      <c r="Q3951" s="226"/>
      <c r="R3951" s="226"/>
      <c r="S3951" s="226"/>
      <c r="T3951" s="226"/>
      <c r="U3951" s="226"/>
    </row>
    <row r="3952" spans="16:21" x14ac:dyDescent="0.35">
      <c r="P3952" s="226"/>
      <c r="Q3952" s="226"/>
      <c r="R3952" s="226"/>
      <c r="S3952" s="226"/>
      <c r="T3952" s="226"/>
      <c r="U3952" s="226"/>
    </row>
    <row r="3953" spans="16:21" x14ac:dyDescent="0.35">
      <c r="P3953" s="226"/>
      <c r="Q3953" s="226"/>
      <c r="R3953" s="226"/>
      <c r="S3953" s="226"/>
      <c r="T3953" s="226"/>
      <c r="U3953" s="226"/>
    </row>
    <row r="3954" spans="16:21" x14ac:dyDescent="0.35">
      <c r="P3954" s="226"/>
      <c r="Q3954" s="226"/>
      <c r="R3954" s="226"/>
      <c r="S3954" s="226"/>
      <c r="T3954" s="226"/>
      <c r="U3954" s="226"/>
    </row>
    <row r="3955" spans="16:21" x14ac:dyDescent="0.35">
      <c r="P3955" s="226"/>
      <c r="Q3955" s="226"/>
      <c r="R3955" s="226"/>
      <c r="S3955" s="226"/>
      <c r="T3955" s="226"/>
      <c r="U3955" s="226"/>
    </row>
    <row r="3956" spans="16:21" x14ac:dyDescent="0.35">
      <c r="P3956" s="226"/>
      <c r="Q3956" s="226"/>
      <c r="R3956" s="226"/>
      <c r="S3956" s="226"/>
      <c r="T3956" s="226"/>
      <c r="U3956" s="226"/>
    </row>
    <row r="3957" spans="16:21" x14ac:dyDescent="0.35">
      <c r="P3957" s="226"/>
      <c r="Q3957" s="226"/>
      <c r="R3957" s="226"/>
      <c r="S3957" s="226"/>
      <c r="T3957" s="226"/>
      <c r="U3957" s="226"/>
    </row>
    <row r="3958" spans="16:21" x14ac:dyDescent="0.35">
      <c r="P3958" s="226"/>
      <c r="Q3958" s="226"/>
      <c r="R3958" s="226"/>
      <c r="S3958" s="226"/>
      <c r="T3958" s="226"/>
      <c r="U3958" s="226"/>
    </row>
    <row r="3959" spans="16:21" x14ac:dyDescent="0.35">
      <c r="P3959" s="226"/>
      <c r="Q3959" s="226"/>
      <c r="R3959" s="226"/>
      <c r="S3959" s="226"/>
      <c r="T3959" s="226"/>
      <c r="U3959" s="226"/>
    </row>
    <row r="3960" spans="16:21" x14ac:dyDescent="0.35">
      <c r="P3960" s="226"/>
      <c r="Q3960" s="226"/>
      <c r="R3960" s="226"/>
      <c r="S3960" s="226"/>
      <c r="T3960" s="226"/>
      <c r="U3960" s="226"/>
    </row>
    <row r="3961" spans="16:21" x14ac:dyDescent="0.35">
      <c r="P3961" s="226"/>
      <c r="Q3961" s="226"/>
      <c r="R3961" s="226"/>
      <c r="S3961" s="226"/>
      <c r="T3961" s="226"/>
      <c r="U3961" s="226"/>
    </row>
    <row r="3962" spans="16:21" x14ac:dyDescent="0.35">
      <c r="P3962" s="226"/>
      <c r="Q3962" s="226"/>
      <c r="R3962" s="226"/>
      <c r="S3962" s="226"/>
      <c r="T3962" s="226"/>
      <c r="U3962" s="226"/>
    </row>
    <row r="3963" spans="16:21" x14ac:dyDescent="0.35">
      <c r="P3963" s="226"/>
      <c r="Q3963" s="226"/>
      <c r="R3963" s="226"/>
      <c r="S3963" s="226"/>
      <c r="T3963" s="226"/>
      <c r="U3963" s="226"/>
    </row>
    <row r="3964" spans="16:21" x14ac:dyDescent="0.35">
      <c r="P3964" s="226"/>
      <c r="Q3964" s="226"/>
      <c r="R3964" s="226"/>
      <c r="S3964" s="226"/>
      <c r="T3964" s="226"/>
      <c r="U3964" s="226"/>
    </row>
    <row r="3965" spans="16:21" x14ac:dyDescent="0.35">
      <c r="P3965" s="226"/>
      <c r="Q3965" s="226"/>
      <c r="R3965" s="226"/>
      <c r="S3965" s="226"/>
      <c r="T3965" s="226"/>
      <c r="U3965" s="226"/>
    </row>
    <row r="3966" spans="16:21" x14ac:dyDescent="0.35">
      <c r="P3966" s="226"/>
      <c r="Q3966" s="226"/>
      <c r="R3966" s="226"/>
      <c r="S3966" s="226"/>
      <c r="T3966" s="226"/>
      <c r="U3966" s="226"/>
    </row>
    <row r="3967" spans="16:21" x14ac:dyDescent="0.35">
      <c r="P3967" s="226"/>
      <c r="Q3967" s="226"/>
      <c r="R3967" s="226"/>
      <c r="S3967" s="226"/>
      <c r="T3967" s="226"/>
      <c r="U3967" s="226"/>
    </row>
    <row r="3968" spans="16:21" x14ac:dyDescent="0.35">
      <c r="P3968" s="226"/>
      <c r="Q3968" s="226"/>
      <c r="R3968" s="226"/>
      <c r="S3968" s="226"/>
      <c r="T3968" s="226"/>
      <c r="U3968" s="226"/>
    </row>
    <row r="3969" spans="16:21" x14ac:dyDescent="0.35">
      <c r="P3969" s="226"/>
      <c r="Q3969" s="226"/>
      <c r="R3969" s="226"/>
      <c r="S3969" s="226"/>
      <c r="T3969" s="226"/>
      <c r="U3969" s="226"/>
    </row>
    <row r="3970" spans="16:21" x14ac:dyDescent="0.35">
      <c r="P3970" s="226"/>
      <c r="Q3970" s="226"/>
      <c r="R3970" s="226"/>
      <c r="S3970" s="226"/>
      <c r="T3970" s="226"/>
      <c r="U3970" s="226"/>
    </row>
    <row r="3971" spans="16:21" x14ac:dyDescent="0.35">
      <c r="P3971" s="226"/>
      <c r="Q3971" s="226"/>
      <c r="R3971" s="226"/>
      <c r="S3971" s="226"/>
      <c r="T3971" s="226"/>
      <c r="U3971" s="226"/>
    </row>
    <row r="3972" spans="16:21" x14ac:dyDescent="0.35">
      <c r="P3972" s="226"/>
      <c r="Q3972" s="226"/>
      <c r="R3972" s="226"/>
      <c r="S3972" s="226"/>
      <c r="T3972" s="226"/>
      <c r="U3972" s="226"/>
    </row>
    <row r="3973" spans="16:21" x14ac:dyDescent="0.35">
      <c r="P3973" s="226"/>
      <c r="Q3973" s="226"/>
      <c r="R3973" s="226"/>
      <c r="S3973" s="226"/>
      <c r="T3973" s="226"/>
      <c r="U3973" s="226"/>
    </row>
    <row r="3974" spans="16:21" x14ac:dyDescent="0.35">
      <c r="P3974" s="226"/>
      <c r="Q3974" s="226"/>
      <c r="R3974" s="226"/>
      <c r="S3974" s="226"/>
      <c r="T3974" s="226"/>
      <c r="U3974" s="226"/>
    </row>
    <row r="3975" spans="16:21" x14ac:dyDescent="0.35">
      <c r="P3975" s="226"/>
      <c r="Q3975" s="226"/>
      <c r="R3975" s="226"/>
      <c r="S3975" s="226"/>
      <c r="T3975" s="226"/>
      <c r="U3975" s="226"/>
    </row>
    <row r="3976" spans="16:21" x14ac:dyDescent="0.35">
      <c r="P3976" s="226"/>
      <c r="Q3976" s="226"/>
      <c r="R3976" s="226"/>
      <c r="S3976" s="226"/>
      <c r="T3976" s="226"/>
      <c r="U3976" s="226"/>
    </row>
    <row r="3977" spans="16:21" x14ac:dyDescent="0.35">
      <c r="P3977" s="226"/>
      <c r="Q3977" s="226"/>
      <c r="R3977" s="226"/>
      <c r="S3977" s="226"/>
      <c r="T3977" s="226"/>
      <c r="U3977" s="226"/>
    </row>
    <row r="3978" spans="16:21" x14ac:dyDescent="0.35">
      <c r="P3978" s="226"/>
      <c r="Q3978" s="226"/>
      <c r="R3978" s="226"/>
      <c r="S3978" s="226"/>
      <c r="T3978" s="226"/>
      <c r="U3978" s="226"/>
    </row>
    <row r="3979" spans="16:21" x14ac:dyDescent="0.35">
      <c r="P3979" s="226"/>
      <c r="Q3979" s="226"/>
      <c r="R3979" s="226"/>
      <c r="S3979" s="226"/>
      <c r="T3979" s="226"/>
      <c r="U3979" s="226"/>
    </row>
    <row r="3980" spans="16:21" x14ac:dyDescent="0.35">
      <c r="P3980" s="226"/>
      <c r="Q3980" s="226"/>
      <c r="R3980" s="226"/>
      <c r="S3980" s="226"/>
      <c r="T3980" s="226"/>
      <c r="U3980" s="226"/>
    </row>
    <row r="3981" spans="16:21" x14ac:dyDescent="0.35">
      <c r="P3981" s="226"/>
      <c r="Q3981" s="226"/>
      <c r="R3981" s="226"/>
      <c r="S3981" s="226"/>
      <c r="T3981" s="226"/>
      <c r="U3981" s="226"/>
    </row>
    <row r="3982" spans="16:21" x14ac:dyDescent="0.35">
      <c r="P3982" s="226"/>
      <c r="Q3982" s="226"/>
      <c r="R3982" s="226"/>
      <c r="S3982" s="226"/>
      <c r="T3982" s="226"/>
      <c r="U3982" s="226"/>
    </row>
    <row r="3983" spans="16:21" x14ac:dyDescent="0.35">
      <c r="P3983" s="226"/>
      <c r="Q3983" s="226"/>
      <c r="R3983" s="226"/>
      <c r="S3983" s="226"/>
      <c r="T3983" s="226"/>
      <c r="U3983" s="226"/>
    </row>
    <row r="3984" spans="16:21" x14ac:dyDescent="0.35">
      <c r="P3984" s="226"/>
      <c r="Q3984" s="226"/>
      <c r="R3984" s="226"/>
      <c r="S3984" s="226"/>
      <c r="T3984" s="226"/>
      <c r="U3984" s="226"/>
    </row>
    <row r="3985" spans="16:21" x14ac:dyDescent="0.35">
      <c r="P3985" s="226"/>
      <c r="Q3985" s="226"/>
      <c r="R3985" s="226"/>
      <c r="S3985" s="226"/>
      <c r="T3985" s="226"/>
      <c r="U3985" s="226"/>
    </row>
    <row r="3986" spans="16:21" x14ac:dyDescent="0.35">
      <c r="P3986" s="226"/>
      <c r="Q3986" s="226"/>
      <c r="R3986" s="226"/>
      <c r="S3986" s="226"/>
      <c r="T3986" s="226"/>
      <c r="U3986" s="226"/>
    </row>
    <row r="3987" spans="16:21" x14ac:dyDescent="0.35">
      <c r="P3987" s="226"/>
      <c r="Q3987" s="226"/>
      <c r="R3987" s="226"/>
      <c r="S3987" s="226"/>
      <c r="T3987" s="226"/>
      <c r="U3987" s="226"/>
    </row>
    <row r="3988" spans="16:21" x14ac:dyDescent="0.35">
      <c r="P3988" s="226"/>
      <c r="Q3988" s="226"/>
      <c r="R3988" s="226"/>
      <c r="S3988" s="226"/>
      <c r="T3988" s="226"/>
      <c r="U3988" s="226"/>
    </row>
    <row r="3989" spans="16:21" x14ac:dyDescent="0.35">
      <c r="P3989" s="226"/>
      <c r="Q3989" s="226"/>
      <c r="R3989" s="226"/>
      <c r="S3989" s="226"/>
      <c r="T3989" s="226"/>
      <c r="U3989" s="226"/>
    </row>
    <row r="3990" spans="16:21" x14ac:dyDescent="0.35">
      <c r="P3990" s="226"/>
      <c r="Q3990" s="226"/>
      <c r="R3990" s="226"/>
      <c r="S3990" s="226"/>
      <c r="T3990" s="226"/>
      <c r="U3990" s="226"/>
    </row>
    <row r="3991" spans="16:21" x14ac:dyDescent="0.35">
      <c r="P3991" s="226"/>
      <c r="Q3991" s="226"/>
      <c r="R3991" s="226"/>
      <c r="S3991" s="226"/>
      <c r="T3991" s="226"/>
      <c r="U3991" s="226"/>
    </row>
    <row r="3992" spans="16:21" x14ac:dyDescent="0.35">
      <c r="P3992" s="226"/>
      <c r="Q3992" s="226"/>
      <c r="R3992" s="226"/>
      <c r="S3992" s="226"/>
      <c r="T3992" s="226"/>
      <c r="U3992" s="226"/>
    </row>
    <row r="3993" spans="16:21" x14ac:dyDescent="0.35">
      <c r="P3993" s="226"/>
      <c r="Q3993" s="226"/>
      <c r="R3993" s="226"/>
      <c r="S3993" s="226"/>
      <c r="T3993" s="226"/>
      <c r="U3993" s="226"/>
    </row>
    <row r="3994" spans="16:21" x14ac:dyDescent="0.35">
      <c r="P3994" s="226"/>
      <c r="Q3994" s="226"/>
      <c r="R3994" s="226"/>
      <c r="S3994" s="226"/>
      <c r="T3994" s="226"/>
      <c r="U3994" s="226"/>
    </row>
    <row r="3995" spans="16:21" x14ac:dyDescent="0.35">
      <c r="P3995" s="226"/>
      <c r="Q3995" s="226"/>
      <c r="R3995" s="226"/>
      <c r="S3995" s="226"/>
      <c r="T3995" s="226"/>
      <c r="U3995" s="226"/>
    </row>
    <row r="3996" spans="16:21" x14ac:dyDescent="0.35">
      <c r="P3996" s="226"/>
      <c r="Q3996" s="226"/>
      <c r="R3996" s="226"/>
      <c r="S3996" s="226"/>
      <c r="T3996" s="226"/>
      <c r="U3996" s="226"/>
    </row>
    <row r="3997" spans="16:21" x14ac:dyDescent="0.35">
      <c r="P3997" s="226"/>
      <c r="Q3997" s="226"/>
      <c r="R3997" s="226"/>
      <c r="S3997" s="226"/>
      <c r="T3997" s="226"/>
      <c r="U3997" s="226"/>
    </row>
    <row r="3998" spans="16:21" x14ac:dyDescent="0.35">
      <c r="P3998" s="226"/>
      <c r="Q3998" s="226"/>
      <c r="R3998" s="226"/>
      <c r="S3998" s="226"/>
      <c r="T3998" s="226"/>
      <c r="U3998" s="226"/>
    </row>
    <row r="3999" spans="16:21" x14ac:dyDescent="0.35">
      <c r="P3999" s="226"/>
      <c r="Q3999" s="226"/>
      <c r="R3999" s="226"/>
      <c r="S3999" s="226"/>
      <c r="T3999" s="226"/>
      <c r="U3999" s="226"/>
    </row>
    <row r="4000" spans="16:21" x14ac:dyDescent="0.35">
      <c r="P4000" s="226"/>
      <c r="Q4000" s="226"/>
      <c r="R4000" s="226"/>
      <c r="S4000" s="226"/>
      <c r="T4000" s="226"/>
      <c r="U4000" s="226"/>
    </row>
    <row r="4001" spans="16:21" x14ac:dyDescent="0.35">
      <c r="P4001" s="226"/>
      <c r="Q4001" s="226"/>
      <c r="R4001" s="226"/>
      <c r="S4001" s="226"/>
      <c r="T4001" s="226"/>
      <c r="U4001" s="226"/>
    </row>
    <row r="4002" spans="16:21" x14ac:dyDescent="0.35">
      <c r="P4002" s="226"/>
      <c r="Q4002" s="226"/>
      <c r="R4002" s="226"/>
      <c r="S4002" s="226"/>
      <c r="T4002" s="226"/>
      <c r="U4002" s="226"/>
    </row>
    <row r="4003" spans="16:21" x14ac:dyDescent="0.35">
      <c r="P4003" s="226"/>
      <c r="Q4003" s="226"/>
      <c r="R4003" s="226"/>
      <c r="S4003" s="226"/>
      <c r="T4003" s="226"/>
      <c r="U4003" s="226"/>
    </row>
    <row r="4004" spans="16:21" x14ac:dyDescent="0.35">
      <c r="P4004" s="226"/>
      <c r="Q4004" s="226"/>
      <c r="R4004" s="226"/>
      <c r="S4004" s="226"/>
      <c r="T4004" s="226"/>
      <c r="U4004" s="226"/>
    </row>
    <row r="4005" spans="16:21" x14ac:dyDescent="0.35">
      <c r="P4005" s="226"/>
      <c r="Q4005" s="226"/>
      <c r="R4005" s="226"/>
      <c r="S4005" s="226"/>
      <c r="T4005" s="226"/>
      <c r="U4005" s="226"/>
    </row>
    <row r="4006" spans="16:21" x14ac:dyDescent="0.35">
      <c r="P4006" s="226"/>
      <c r="Q4006" s="226"/>
      <c r="R4006" s="226"/>
      <c r="S4006" s="226"/>
      <c r="T4006" s="226"/>
      <c r="U4006" s="226"/>
    </row>
    <row r="4007" spans="16:21" x14ac:dyDescent="0.35">
      <c r="P4007" s="226"/>
      <c r="Q4007" s="226"/>
      <c r="R4007" s="226"/>
      <c r="S4007" s="226"/>
      <c r="T4007" s="226"/>
      <c r="U4007" s="226"/>
    </row>
    <row r="4008" spans="16:21" x14ac:dyDescent="0.35">
      <c r="P4008" s="226"/>
      <c r="Q4008" s="226"/>
      <c r="R4008" s="226"/>
      <c r="S4008" s="226"/>
      <c r="T4008" s="226"/>
      <c r="U4008" s="226"/>
    </row>
    <row r="4009" spans="16:21" x14ac:dyDescent="0.35">
      <c r="P4009" s="226"/>
      <c r="Q4009" s="226"/>
      <c r="R4009" s="226"/>
      <c r="S4009" s="226"/>
      <c r="T4009" s="226"/>
      <c r="U4009" s="226"/>
    </row>
    <row r="4010" spans="16:21" x14ac:dyDescent="0.35">
      <c r="P4010" s="226"/>
      <c r="Q4010" s="226"/>
      <c r="R4010" s="226"/>
      <c r="S4010" s="226"/>
      <c r="T4010" s="226"/>
      <c r="U4010" s="226"/>
    </row>
    <row r="4011" spans="16:21" x14ac:dyDescent="0.35">
      <c r="P4011" s="226"/>
      <c r="Q4011" s="226"/>
      <c r="R4011" s="226"/>
      <c r="S4011" s="226"/>
      <c r="T4011" s="226"/>
      <c r="U4011" s="226"/>
    </row>
    <row r="4012" spans="16:21" x14ac:dyDescent="0.35">
      <c r="P4012" s="226"/>
      <c r="Q4012" s="226"/>
      <c r="R4012" s="226"/>
      <c r="S4012" s="226"/>
      <c r="T4012" s="226"/>
      <c r="U4012" s="226"/>
    </row>
    <row r="4013" spans="16:21" x14ac:dyDescent="0.35">
      <c r="P4013" s="226"/>
      <c r="Q4013" s="226"/>
      <c r="R4013" s="226"/>
      <c r="S4013" s="226"/>
      <c r="T4013" s="226"/>
      <c r="U4013" s="226"/>
    </row>
    <row r="4014" spans="16:21" x14ac:dyDescent="0.35">
      <c r="P4014" s="226"/>
      <c r="Q4014" s="226"/>
      <c r="R4014" s="226"/>
      <c r="S4014" s="226"/>
      <c r="T4014" s="226"/>
      <c r="U4014" s="226"/>
    </row>
    <row r="4015" spans="16:21" x14ac:dyDescent="0.35">
      <c r="P4015" s="226"/>
      <c r="Q4015" s="226"/>
      <c r="R4015" s="226"/>
      <c r="S4015" s="226"/>
      <c r="T4015" s="226"/>
      <c r="U4015" s="226"/>
    </row>
    <row r="4016" spans="16:21" x14ac:dyDescent="0.35">
      <c r="P4016" s="226"/>
      <c r="Q4016" s="226"/>
      <c r="R4016" s="226"/>
      <c r="S4016" s="226"/>
      <c r="T4016" s="226"/>
      <c r="U4016" s="226"/>
    </row>
    <row r="4017" spans="16:21" x14ac:dyDescent="0.35">
      <c r="P4017" s="226"/>
      <c r="Q4017" s="226"/>
      <c r="R4017" s="226"/>
      <c r="S4017" s="226"/>
      <c r="T4017" s="226"/>
      <c r="U4017" s="226"/>
    </row>
    <row r="4018" spans="16:21" x14ac:dyDescent="0.35">
      <c r="P4018" s="226"/>
      <c r="Q4018" s="226"/>
      <c r="R4018" s="226"/>
      <c r="S4018" s="226"/>
      <c r="T4018" s="226"/>
      <c r="U4018" s="226"/>
    </row>
    <row r="4019" spans="16:21" x14ac:dyDescent="0.35">
      <c r="P4019" s="226"/>
      <c r="Q4019" s="226"/>
      <c r="R4019" s="226"/>
      <c r="S4019" s="226"/>
      <c r="T4019" s="226"/>
      <c r="U4019" s="226"/>
    </row>
    <row r="4020" spans="16:21" x14ac:dyDescent="0.35">
      <c r="P4020" s="226"/>
      <c r="Q4020" s="226"/>
      <c r="R4020" s="226"/>
      <c r="S4020" s="226"/>
      <c r="T4020" s="226"/>
      <c r="U4020" s="226"/>
    </row>
    <row r="4021" spans="16:21" x14ac:dyDescent="0.35">
      <c r="P4021" s="226"/>
      <c r="Q4021" s="226"/>
      <c r="R4021" s="226"/>
      <c r="S4021" s="226"/>
      <c r="T4021" s="226"/>
      <c r="U4021" s="226"/>
    </row>
    <row r="4022" spans="16:21" x14ac:dyDescent="0.35">
      <c r="P4022" s="226"/>
      <c r="Q4022" s="226"/>
      <c r="R4022" s="226"/>
      <c r="S4022" s="226"/>
      <c r="T4022" s="226"/>
      <c r="U4022" s="226"/>
    </row>
    <row r="4023" spans="16:21" x14ac:dyDescent="0.35">
      <c r="P4023" s="226"/>
      <c r="Q4023" s="226"/>
      <c r="R4023" s="226"/>
      <c r="S4023" s="226"/>
      <c r="T4023" s="226"/>
      <c r="U4023" s="226"/>
    </row>
    <row r="4024" spans="16:21" x14ac:dyDescent="0.35">
      <c r="P4024" s="226"/>
      <c r="Q4024" s="226"/>
      <c r="R4024" s="226"/>
      <c r="S4024" s="226"/>
      <c r="T4024" s="226"/>
      <c r="U4024" s="226"/>
    </row>
    <row r="4025" spans="16:21" x14ac:dyDescent="0.35">
      <c r="P4025" s="226"/>
      <c r="Q4025" s="226"/>
      <c r="R4025" s="226"/>
      <c r="S4025" s="226"/>
      <c r="T4025" s="226"/>
      <c r="U4025" s="226"/>
    </row>
    <row r="4026" spans="16:21" x14ac:dyDescent="0.35">
      <c r="P4026" s="226"/>
      <c r="Q4026" s="226"/>
      <c r="R4026" s="226"/>
      <c r="S4026" s="226"/>
      <c r="T4026" s="226"/>
      <c r="U4026" s="226"/>
    </row>
    <row r="4027" spans="16:21" x14ac:dyDescent="0.35">
      <c r="P4027" s="226"/>
      <c r="Q4027" s="226"/>
      <c r="R4027" s="226"/>
      <c r="S4027" s="226"/>
      <c r="T4027" s="226"/>
      <c r="U4027" s="226"/>
    </row>
    <row r="4028" spans="16:21" x14ac:dyDescent="0.35">
      <c r="P4028" s="226"/>
      <c r="Q4028" s="226"/>
      <c r="R4028" s="226"/>
      <c r="S4028" s="226"/>
      <c r="T4028" s="226"/>
      <c r="U4028" s="226"/>
    </row>
    <row r="4029" spans="16:21" x14ac:dyDescent="0.35">
      <c r="P4029" s="226"/>
      <c r="Q4029" s="226"/>
      <c r="R4029" s="226"/>
      <c r="S4029" s="226"/>
      <c r="T4029" s="226"/>
      <c r="U4029" s="226"/>
    </row>
    <row r="4030" spans="16:21" x14ac:dyDescent="0.35">
      <c r="P4030" s="226"/>
      <c r="Q4030" s="226"/>
      <c r="R4030" s="226"/>
      <c r="S4030" s="226"/>
      <c r="T4030" s="226"/>
      <c r="U4030" s="226"/>
    </row>
    <row r="4031" spans="16:21" x14ac:dyDescent="0.35">
      <c r="P4031" s="226"/>
      <c r="Q4031" s="226"/>
      <c r="R4031" s="226"/>
      <c r="S4031" s="226"/>
      <c r="T4031" s="226"/>
      <c r="U4031" s="226"/>
    </row>
    <row r="4032" spans="16:21" x14ac:dyDescent="0.35">
      <c r="P4032" s="226"/>
      <c r="Q4032" s="226"/>
      <c r="R4032" s="226"/>
      <c r="S4032" s="226"/>
      <c r="T4032" s="226"/>
      <c r="U4032" s="226"/>
    </row>
    <row r="4033" spans="16:21" x14ac:dyDescent="0.35">
      <c r="P4033" s="226"/>
      <c r="Q4033" s="226"/>
      <c r="R4033" s="226"/>
      <c r="S4033" s="226"/>
      <c r="T4033" s="226"/>
      <c r="U4033" s="226"/>
    </row>
    <row r="4034" spans="16:21" x14ac:dyDescent="0.35">
      <c r="P4034" s="226"/>
      <c r="Q4034" s="226"/>
      <c r="R4034" s="226"/>
      <c r="S4034" s="226"/>
      <c r="T4034" s="226"/>
      <c r="U4034" s="226"/>
    </row>
    <row r="4035" spans="16:21" x14ac:dyDescent="0.35">
      <c r="P4035" s="226"/>
      <c r="Q4035" s="226"/>
      <c r="R4035" s="226"/>
      <c r="S4035" s="226"/>
      <c r="T4035" s="226"/>
      <c r="U4035" s="226"/>
    </row>
    <row r="4036" spans="16:21" x14ac:dyDescent="0.35">
      <c r="P4036" s="226"/>
      <c r="Q4036" s="226"/>
      <c r="R4036" s="226"/>
      <c r="S4036" s="226"/>
      <c r="T4036" s="226"/>
      <c r="U4036" s="226"/>
    </row>
    <row r="4037" spans="16:21" x14ac:dyDescent="0.35">
      <c r="P4037" s="226"/>
      <c r="Q4037" s="226"/>
      <c r="R4037" s="226"/>
      <c r="S4037" s="226"/>
      <c r="T4037" s="226"/>
      <c r="U4037" s="226"/>
    </row>
    <row r="4038" spans="16:21" x14ac:dyDescent="0.35">
      <c r="P4038" s="226"/>
      <c r="Q4038" s="226"/>
      <c r="R4038" s="226"/>
      <c r="S4038" s="226"/>
      <c r="T4038" s="226"/>
      <c r="U4038" s="226"/>
    </row>
    <row r="4039" spans="16:21" x14ac:dyDescent="0.35">
      <c r="P4039" s="226"/>
      <c r="Q4039" s="226"/>
      <c r="R4039" s="226"/>
      <c r="S4039" s="226"/>
      <c r="T4039" s="226"/>
      <c r="U4039" s="226"/>
    </row>
    <row r="4040" spans="16:21" x14ac:dyDescent="0.35">
      <c r="P4040" s="226"/>
      <c r="Q4040" s="226"/>
      <c r="R4040" s="226"/>
      <c r="S4040" s="226"/>
      <c r="T4040" s="226"/>
      <c r="U4040" s="226"/>
    </row>
    <row r="4041" spans="16:21" x14ac:dyDescent="0.35">
      <c r="P4041" s="226"/>
      <c r="Q4041" s="226"/>
      <c r="R4041" s="226"/>
      <c r="S4041" s="226"/>
      <c r="T4041" s="226"/>
      <c r="U4041" s="226"/>
    </row>
    <row r="4042" spans="16:21" x14ac:dyDescent="0.35">
      <c r="P4042" s="226"/>
      <c r="Q4042" s="226"/>
      <c r="R4042" s="226"/>
      <c r="S4042" s="226"/>
      <c r="T4042" s="226"/>
      <c r="U4042" s="226"/>
    </row>
    <row r="4043" spans="16:21" x14ac:dyDescent="0.35">
      <c r="P4043" s="226"/>
      <c r="Q4043" s="226"/>
      <c r="R4043" s="226"/>
      <c r="S4043" s="226"/>
      <c r="T4043" s="226"/>
      <c r="U4043" s="226"/>
    </row>
    <row r="4044" spans="16:21" x14ac:dyDescent="0.35">
      <c r="P4044" s="226"/>
      <c r="Q4044" s="226"/>
      <c r="R4044" s="226"/>
      <c r="S4044" s="226"/>
      <c r="T4044" s="226"/>
      <c r="U4044" s="226"/>
    </row>
    <row r="4045" spans="16:21" x14ac:dyDescent="0.35">
      <c r="P4045" s="226"/>
      <c r="Q4045" s="226"/>
      <c r="R4045" s="226"/>
      <c r="S4045" s="226"/>
      <c r="T4045" s="226"/>
      <c r="U4045" s="226"/>
    </row>
    <row r="4046" spans="16:21" x14ac:dyDescent="0.35">
      <c r="P4046" s="226"/>
      <c r="Q4046" s="226"/>
      <c r="R4046" s="226"/>
      <c r="S4046" s="226"/>
      <c r="T4046" s="226"/>
      <c r="U4046" s="226"/>
    </row>
    <row r="4047" spans="16:21" x14ac:dyDescent="0.35">
      <c r="P4047" s="226"/>
      <c r="Q4047" s="226"/>
      <c r="R4047" s="226"/>
      <c r="S4047" s="226"/>
      <c r="T4047" s="226"/>
      <c r="U4047" s="226"/>
    </row>
    <row r="4048" spans="16:21" x14ac:dyDescent="0.35">
      <c r="P4048" s="226"/>
      <c r="Q4048" s="226"/>
      <c r="R4048" s="226"/>
      <c r="S4048" s="226"/>
      <c r="T4048" s="226"/>
      <c r="U4048" s="226"/>
    </row>
    <row r="4049" spans="16:21" x14ac:dyDescent="0.35">
      <c r="P4049" s="226"/>
      <c r="Q4049" s="226"/>
      <c r="R4049" s="226"/>
      <c r="S4049" s="226"/>
      <c r="T4049" s="226"/>
      <c r="U4049" s="226"/>
    </row>
    <row r="4050" spans="16:21" x14ac:dyDescent="0.35">
      <c r="P4050" s="226"/>
      <c r="Q4050" s="226"/>
      <c r="R4050" s="226"/>
      <c r="S4050" s="226"/>
      <c r="T4050" s="226"/>
      <c r="U4050" s="226"/>
    </row>
    <row r="4051" spans="16:21" x14ac:dyDescent="0.35">
      <c r="P4051" s="226"/>
      <c r="Q4051" s="226"/>
      <c r="R4051" s="226"/>
      <c r="S4051" s="226"/>
      <c r="T4051" s="226"/>
      <c r="U4051" s="226"/>
    </row>
    <row r="4052" spans="16:21" x14ac:dyDescent="0.35">
      <c r="P4052" s="226"/>
      <c r="Q4052" s="226"/>
      <c r="R4052" s="226"/>
      <c r="S4052" s="226"/>
      <c r="T4052" s="226"/>
      <c r="U4052" s="226"/>
    </row>
    <row r="4053" spans="16:21" x14ac:dyDescent="0.35">
      <c r="P4053" s="226"/>
      <c r="Q4053" s="226"/>
      <c r="R4053" s="226"/>
      <c r="S4053" s="226"/>
      <c r="T4053" s="226"/>
      <c r="U4053" s="226"/>
    </row>
    <row r="4054" spans="16:21" x14ac:dyDescent="0.35">
      <c r="P4054" s="226"/>
      <c r="Q4054" s="226"/>
      <c r="R4054" s="226"/>
      <c r="S4054" s="226"/>
      <c r="T4054" s="226"/>
      <c r="U4054" s="226"/>
    </row>
    <row r="4055" spans="16:21" x14ac:dyDescent="0.35">
      <c r="P4055" s="226"/>
      <c r="Q4055" s="226"/>
      <c r="R4055" s="226"/>
      <c r="S4055" s="226"/>
      <c r="T4055" s="226"/>
      <c r="U4055" s="226"/>
    </row>
    <row r="4056" spans="16:21" x14ac:dyDescent="0.35">
      <c r="P4056" s="226"/>
      <c r="Q4056" s="226"/>
      <c r="R4056" s="226"/>
      <c r="S4056" s="226"/>
      <c r="T4056" s="226"/>
      <c r="U4056" s="226"/>
    </row>
    <row r="4057" spans="16:21" x14ac:dyDescent="0.35">
      <c r="P4057" s="226"/>
      <c r="Q4057" s="226"/>
      <c r="R4057" s="226"/>
      <c r="S4057" s="226"/>
      <c r="T4057" s="226"/>
      <c r="U4057" s="226"/>
    </row>
    <row r="4058" spans="16:21" x14ac:dyDescent="0.35">
      <c r="P4058" s="226"/>
      <c r="Q4058" s="226"/>
      <c r="R4058" s="226"/>
      <c r="S4058" s="226"/>
      <c r="T4058" s="226"/>
      <c r="U4058" s="226"/>
    </row>
    <row r="4059" spans="16:21" x14ac:dyDescent="0.35">
      <c r="P4059" s="226"/>
      <c r="Q4059" s="226"/>
      <c r="R4059" s="226"/>
      <c r="S4059" s="226"/>
      <c r="T4059" s="226"/>
      <c r="U4059" s="226"/>
    </row>
    <row r="4060" spans="16:21" x14ac:dyDescent="0.35">
      <c r="P4060" s="226"/>
      <c r="Q4060" s="226"/>
      <c r="R4060" s="226"/>
      <c r="S4060" s="226"/>
      <c r="T4060" s="226"/>
      <c r="U4060" s="226"/>
    </row>
    <row r="4061" spans="16:21" x14ac:dyDescent="0.35">
      <c r="P4061" s="226"/>
      <c r="Q4061" s="226"/>
      <c r="R4061" s="226"/>
      <c r="S4061" s="226"/>
      <c r="T4061" s="226"/>
      <c r="U4061" s="226"/>
    </row>
    <row r="4062" spans="16:21" x14ac:dyDescent="0.35">
      <c r="P4062" s="226"/>
      <c r="Q4062" s="226"/>
      <c r="R4062" s="226"/>
      <c r="S4062" s="226"/>
      <c r="T4062" s="226"/>
      <c r="U4062" s="226"/>
    </row>
    <row r="4063" spans="16:21" x14ac:dyDescent="0.35">
      <c r="P4063" s="226"/>
      <c r="Q4063" s="226"/>
      <c r="R4063" s="226"/>
      <c r="S4063" s="226"/>
      <c r="T4063" s="226"/>
      <c r="U4063" s="226"/>
    </row>
    <row r="4064" spans="16:21" x14ac:dyDescent="0.35">
      <c r="P4064" s="226"/>
      <c r="Q4064" s="226"/>
      <c r="R4064" s="226"/>
      <c r="S4064" s="226"/>
      <c r="T4064" s="226"/>
      <c r="U4064" s="226"/>
    </row>
    <row r="4065" spans="16:21" x14ac:dyDescent="0.35">
      <c r="P4065" s="226"/>
      <c r="Q4065" s="226"/>
      <c r="R4065" s="226"/>
      <c r="S4065" s="226"/>
      <c r="T4065" s="226"/>
      <c r="U4065" s="226"/>
    </row>
    <row r="4066" spans="16:21" x14ac:dyDescent="0.35">
      <c r="P4066" s="226"/>
      <c r="Q4066" s="226"/>
      <c r="R4066" s="226"/>
      <c r="S4066" s="226"/>
      <c r="T4066" s="226"/>
      <c r="U4066" s="226"/>
    </row>
    <row r="4067" spans="16:21" x14ac:dyDescent="0.35">
      <c r="P4067" s="226"/>
      <c r="Q4067" s="226"/>
      <c r="R4067" s="226"/>
      <c r="S4067" s="226"/>
      <c r="T4067" s="226"/>
      <c r="U4067" s="226"/>
    </row>
    <row r="4068" spans="16:21" x14ac:dyDescent="0.35">
      <c r="P4068" s="226"/>
      <c r="Q4068" s="226"/>
      <c r="R4068" s="226"/>
      <c r="S4068" s="226"/>
      <c r="T4068" s="226"/>
      <c r="U4068" s="226"/>
    </row>
    <row r="4069" spans="16:21" x14ac:dyDescent="0.35">
      <c r="P4069" s="226"/>
      <c r="Q4069" s="226"/>
      <c r="R4069" s="226"/>
      <c r="S4069" s="226"/>
      <c r="T4069" s="226"/>
      <c r="U4069" s="226"/>
    </row>
    <row r="4070" spans="16:21" x14ac:dyDescent="0.35">
      <c r="P4070" s="226"/>
      <c r="Q4070" s="226"/>
      <c r="R4070" s="226"/>
      <c r="S4070" s="226"/>
      <c r="T4070" s="226"/>
      <c r="U4070" s="226"/>
    </row>
    <row r="4071" spans="16:21" x14ac:dyDescent="0.35">
      <c r="P4071" s="226"/>
      <c r="Q4071" s="226"/>
      <c r="R4071" s="226"/>
      <c r="S4071" s="226"/>
      <c r="T4071" s="226"/>
      <c r="U4071" s="226"/>
    </row>
    <row r="4072" spans="16:21" x14ac:dyDescent="0.35">
      <c r="P4072" s="226"/>
      <c r="Q4072" s="226"/>
      <c r="R4072" s="226"/>
      <c r="S4072" s="226"/>
      <c r="T4072" s="226"/>
      <c r="U4072" s="226"/>
    </row>
    <row r="4073" spans="16:21" x14ac:dyDescent="0.35">
      <c r="P4073" s="226"/>
      <c r="Q4073" s="226"/>
      <c r="R4073" s="226"/>
      <c r="S4073" s="226"/>
      <c r="T4073" s="226"/>
      <c r="U4073" s="226"/>
    </row>
    <row r="4074" spans="16:21" x14ac:dyDescent="0.35">
      <c r="P4074" s="226"/>
      <c r="Q4074" s="226"/>
      <c r="R4074" s="226"/>
      <c r="S4074" s="226"/>
      <c r="T4074" s="226"/>
      <c r="U4074" s="226"/>
    </row>
    <row r="4075" spans="16:21" x14ac:dyDescent="0.35">
      <c r="P4075" s="226"/>
      <c r="Q4075" s="226"/>
      <c r="R4075" s="226"/>
      <c r="S4075" s="226"/>
      <c r="T4075" s="226"/>
      <c r="U4075" s="226"/>
    </row>
    <row r="4076" spans="16:21" x14ac:dyDescent="0.35">
      <c r="P4076" s="226"/>
      <c r="Q4076" s="226"/>
      <c r="R4076" s="226"/>
      <c r="S4076" s="226"/>
      <c r="T4076" s="226"/>
      <c r="U4076" s="226"/>
    </row>
    <row r="4077" spans="16:21" x14ac:dyDescent="0.35">
      <c r="P4077" s="226"/>
      <c r="Q4077" s="226"/>
      <c r="R4077" s="226"/>
      <c r="S4077" s="226"/>
      <c r="T4077" s="226"/>
      <c r="U4077" s="226"/>
    </row>
    <row r="4078" spans="16:21" x14ac:dyDescent="0.35">
      <c r="P4078" s="226"/>
      <c r="Q4078" s="226"/>
      <c r="R4078" s="226"/>
      <c r="S4078" s="226"/>
      <c r="T4078" s="226"/>
      <c r="U4078" s="226"/>
    </row>
    <row r="4079" spans="16:21" x14ac:dyDescent="0.35">
      <c r="P4079" s="226"/>
      <c r="Q4079" s="226"/>
      <c r="R4079" s="226"/>
      <c r="S4079" s="226"/>
      <c r="T4079" s="226"/>
      <c r="U4079" s="226"/>
    </row>
    <row r="4080" spans="16:21" x14ac:dyDescent="0.35">
      <c r="P4080" s="226"/>
      <c r="Q4080" s="226"/>
      <c r="R4080" s="226"/>
      <c r="S4080" s="226"/>
      <c r="T4080" s="226"/>
      <c r="U4080" s="226"/>
    </row>
    <row r="4081" spans="16:21" x14ac:dyDescent="0.35">
      <c r="P4081" s="226"/>
      <c r="Q4081" s="226"/>
      <c r="R4081" s="226"/>
      <c r="S4081" s="226"/>
      <c r="T4081" s="226"/>
      <c r="U4081" s="226"/>
    </row>
    <row r="4082" spans="16:21" x14ac:dyDescent="0.35">
      <c r="P4082" s="226"/>
      <c r="Q4082" s="226"/>
      <c r="R4082" s="226"/>
      <c r="S4082" s="226"/>
      <c r="T4082" s="226"/>
      <c r="U4082" s="226"/>
    </row>
    <row r="4083" spans="16:21" x14ac:dyDescent="0.35">
      <c r="P4083" s="226"/>
      <c r="Q4083" s="226"/>
      <c r="R4083" s="226"/>
      <c r="S4083" s="226"/>
      <c r="T4083" s="226"/>
      <c r="U4083" s="226"/>
    </row>
    <row r="4084" spans="16:21" x14ac:dyDescent="0.35">
      <c r="P4084" s="226"/>
      <c r="Q4084" s="226"/>
      <c r="R4084" s="226"/>
      <c r="S4084" s="226"/>
      <c r="T4084" s="226"/>
      <c r="U4084" s="226"/>
    </row>
    <row r="4085" spans="16:21" x14ac:dyDescent="0.35">
      <c r="P4085" s="226"/>
      <c r="Q4085" s="226"/>
      <c r="R4085" s="226"/>
      <c r="S4085" s="226"/>
      <c r="T4085" s="226"/>
      <c r="U4085" s="226"/>
    </row>
    <row r="4086" spans="16:21" x14ac:dyDescent="0.35">
      <c r="P4086" s="226"/>
      <c r="Q4086" s="226"/>
      <c r="R4086" s="226"/>
      <c r="S4086" s="226"/>
      <c r="T4086" s="226"/>
      <c r="U4086" s="226"/>
    </row>
    <row r="4087" spans="16:21" x14ac:dyDescent="0.35">
      <c r="P4087" s="226"/>
      <c r="Q4087" s="226"/>
      <c r="R4087" s="226"/>
      <c r="S4087" s="226"/>
      <c r="T4087" s="226"/>
      <c r="U4087" s="226"/>
    </row>
    <row r="4088" spans="16:21" x14ac:dyDescent="0.35">
      <c r="P4088" s="226"/>
      <c r="Q4088" s="226"/>
      <c r="R4088" s="226"/>
      <c r="S4088" s="226"/>
      <c r="T4088" s="226"/>
      <c r="U4088" s="226"/>
    </row>
    <row r="4089" spans="16:21" x14ac:dyDescent="0.35">
      <c r="P4089" s="226"/>
      <c r="Q4089" s="226"/>
      <c r="R4089" s="226"/>
      <c r="S4089" s="226"/>
      <c r="T4089" s="226"/>
      <c r="U4089" s="226"/>
    </row>
    <row r="4090" spans="16:21" x14ac:dyDescent="0.35">
      <c r="P4090" s="226"/>
      <c r="Q4090" s="226"/>
      <c r="R4090" s="226"/>
      <c r="S4090" s="226"/>
      <c r="T4090" s="226"/>
      <c r="U4090" s="226"/>
    </row>
    <row r="4091" spans="16:21" x14ac:dyDescent="0.35">
      <c r="P4091" s="226"/>
      <c r="Q4091" s="226"/>
      <c r="R4091" s="226"/>
      <c r="S4091" s="226"/>
      <c r="T4091" s="226"/>
      <c r="U4091" s="226"/>
    </row>
    <row r="4092" spans="16:21" x14ac:dyDescent="0.35">
      <c r="P4092" s="226"/>
      <c r="Q4092" s="226"/>
      <c r="R4092" s="226"/>
      <c r="S4092" s="226"/>
      <c r="T4092" s="226"/>
      <c r="U4092" s="226"/>
    </row>
    <row r="4093" spans="16:21" x14ac:dyDescent="0.35">
      <c r="P4093" s="226"/>
      <c r="Q4093" s="226"/>
      <c r="R4093" s="226"/>
      <c r="S4093" s="226"/>
      <c r="T4093" s="226"/>
      <c r="U4093" s="226"/>
    </row>
    <row r="4094" spans="16:21" x14ac:dyDescent="0.35">
      <c r="P4094" s="226"/>
      <c r="Q4094" s="226"/>
      <c r="R4094" s="226"/>
      <c r="S4094" s="226"/>
      <c r="T4094" s="226"/>
      <c r="U4094" s="226"/>
    </row>
    <row r="4095" spans="16:21" x14ac:dyDescent="0.35">
      <c r="P4095" s="226"/>
      <c r="Q4095" s="226"/>
      <c r="R4095" s="226"/>
      <c r="S4095" s="226"/>
      <c r="T4095" s="226"/>
      <c r="U4095" s="226"/>
    </row>
    <row r="4096" spans="16:21" x14ac:dyDescent="0.35">
      <c r="P4096" s="226"/>
      <c r="Q4096" s="226"/>
      <c r="R4096" s="226"/>
      <c r="S4096" s="226"/>
      <c r="T4096" s="226"/>
      <c r="U4096" s="226"/>
    </row>
    <row r="4097" spans="16:21" x14ac:dyDescent="0.35">
      <c r="P4097" s="226"/>
      <c r="Q4097" s="226"/>
      <c r="R4097" s="226"/>
      <c r="S4097" s="226"/>
      <c r="T4097" s="226"/>
      <c r="U4097" s="226"/>
    </row>
    <row r="4098" spans="16:21" x14ac:dyDescent="0.35">
      <c r="P4098" s="226"/>
      <c r="Q4098" s="226"/>
      <c r="R4098" s="226"/>
      <c r="S4098" s="226"/>
      <c r="T4098" s="226"/>
      <c r="U4098" s="226"/>
    </row>
    <row r="4099" spans="16:21" x14ac:dyDescent="0.35">
      <c r="P4099" s="226"/>
      <c r="Q4099" s="226"/>
      <c r="R4099" s="226"/>
      <c r="S4099" s="226"/>
      <c r="T4099" s="226"/>
      <c r="U4099" s="226"/>
    </row>
    <row r="4100" spans="16:21" x14ac:dyDescent="0.35">
      <c r="P4100" s="226"/>
      <c r="Q4100" s="226"/>
      <c r="R4100" s="226"/>
      <c r="S4100" s="226"/>
      <c r="T4100" s="226"/>
      <c r="U4100" s="226"/>
    </row>
    <row r="4101" spans="16:21" x14ac:dyDescent="0.35">
      <c r="P4101" s="226"/>
      <c r="Q4101" s="226"/>
      <c r="R4101" s="226"/>
      <c r="S4101" s="226"/>
      <c r="T4101" s="226"/>
      <c r="U4101" s="226"/>
    </row>
    <row r="4102" spans="16:21" x14ac:dyDescent="0.35">
      <c r="P4102" s="226"/>
      <c r="Q4102" s="226"/>
      <c r="R4102" s="226"/>
      <c r="S4102" s="226"/>
      <c r="T4102" s="226"/>
      <c r="U4102" s="226"/>
    </row>
    <row r="4103" spans="16:21" x14ac:dyDescent="0.35">
      <c r="P4103" s="226"/>
      <c r="Q4103" s="226"/>
      <c r="R4103" s="226"/>
      <c r="S4103" s="226"/>
      <c r="T4103" s="226"/>
      <c r="U4103" s="226"/>
    </row>
    <row r="4104" spans="16:21" x14ac:dyDescent="0.35">
      <c r="P4104" s="226"/>
      <c r="Q4104" s="226"/>
      <c r="R4104" s="226"/>
      <c r="S4104" s="226"/>
      <c r="T4104" s="226"/>
      <c r="U4104" s="226"/>
    </row>
    <row r="4105" spans="16:21" x14ac:dyDescent="0.35">
      <c r="P4105" s="226"/>
      <c r="Q4105" s="226"/>
      <c r="R4105" s="226"/>
      <c r="S4105" s="226"/>
      <c r="T4105" s="226"/>
      <c r="U4105" s="226"/>
    </row>
    <row r="4106" spans="16:21" x14ac:dyDescent="0.35">
      <c r="P4106" s="226"/>
      <c r="Q4106" s="226"/>
      <c r="R4106" s="226"/>
      <c r="S4106" s="226"/>
      <c r="T4106" s="226"/>
      <c r="U4106" s="226"/>
    </row>
    <row r="4107" spans="16:21" x14ac:dyDescent="0.35">
      <c r="P4107" s="226"/>
      <c r="Q4107" s="226"/>
      <c r="R4107" s="226"/>
      <c r="S4107" s="226"/>
      <c r="T4107" s="226"/>
      <c r="U4107" s="226"/>
    </row>
    <row r="4108" spans="16:21" x14ac:dyDescent="0.35">
      <c r="P4108" s="226"/>
      <c r="Q4108" s="226"/>
      <c r="R4108" s="226"/>
      <c r="S4108" s="226"/>
      <c r="T4108" s="226"/>
      <c r="U4108" s="226"/>
    </row>
    <row r="4109" spans="16:21" x14ac:dyDescent="0.35">
      <c r="P4109" s="226"/>
      <c r="Q4109" s="226"/>
      <c r="R4109" s="226"/>
      <c r="S4109" s="226"/>
      <c r="T4109" s="226"/>
      <c r="U4109" s="226"/>
    </row>
    <row r="4110" spans="16:21" x14ac:dyDescent="0.35">
      <c r="P4110" s="226"/>
      <c r="Q4110" s="226"/>
      <c r="R4110" s="226"/>
      <c r="S4110" s="226"/>
      <c r="T4110" s="226"/>
      <c r="U4110" s="226"/>
    </row>
    <row r="4111" spans="16:21" x14ac:dyDescent="0.35">
      <c r="P4111" s="226"/>
      <c r="Q4111" s="226"/>
      <c r="R4111" s="226"/>
      <c r="S4111" s="226"/>
      <c r="T4111" s="226"/>
      <c r="U4111" s="226"/>
    </row>
    <row r="4112" spans="16:21" x14ac:dyDescent="0.35">
      <c r="P4112" s="226"/>
      <c r="Q4112" s="226"/>
      <c r="R4112" s="226"/>
      <c r="S4112" s="226"/>
      <c r="T4112" s="226"/>
      <c r="U4112" s="226"/>
    </row>
    <row r="4113" spans="16:21" x14ac:dyDescent="0.35">
      <c r="P4113" s="226"/>
      <c r="Q4113" s="226"/>
      <c r="R4113" s="226"/>
      <c r="S4113" s="226"/>
      <c r="T4113" s="226"/>
      <c r="U4113" s="226"/>
    </row>
    <row r="4114" spans="16:21" x14ac:dyDescent="0.35">
      <c r="P4114" s="226"/>
      <c r="Q4114" s="226"/>
      <c r="R4114" s="226"/>
      <c r="S4114" s="226"/>
      <c r="T4114" s="226"/>
      <c r="U4114" s="226"/>
    </row>
    <row r="4115" spans="16:21" x14ac:dyDescent="0.35">
      <c r="P4115" s="226"/>
      <c r="Q4115" s="226"/>
      <c r="R4115" s="226"/>
      <c r="S4115" s="226"/>
      <c r="T4115" s="226"/>
      <c r="U4115" s="226"/>
    </row>
    <row r="4116" spans="16:21" x14ac:dyDescent="0.35">
      <c r="P4116" s="226"/>
      <c r="Q4116" s="226"/>
      <c r="R4116" s="226"/>
      <c r="S4116" s="226"/>
      <c r="T4116" s="226"/>
      <c r="U4116" s="226"/>
    </row>
    <row r="4117" spans="16:21" x14ac:dyDescent="0.35">
      <c r="P4117" s="226"/>
      <c r="Q4117" s="226"/>
      <c r="R4117" s="226"/>
      <c r="S4117" s="226"/>
      <c r="T4117" s="226"/>
      <c r="U4117" s="226"/>
    </row>
    <row r="4118" spans="16:21" x14ac:dyDescent="0.35">
      <c r="P4118" s="226"/>
      <c r="Q4118" s="226"/>
      <c r="R4118" s="226"/>
      <c r="S4118" s="226"/>
      <c r="T4118" s="226"/>
      <c r="U4118" s="226"/>
    </row>
    <row r="4119" spans="16:21" x14ac:dyDescent="0.35">
      <c r="P4119" s="226"/>
      <c r="Q4119" s="226"/>
      <c r="R4119" s="226"/>
      <c r="S4119" s="226"/>
      <c r="T4119" s="226"/>
      <c r="U4119" s="226"/>
    </row>
    <row r="4120" spans="16:21" x14ac:dyDescent="0.35">
      <c r="P4120" s="226"/>
      <c r="Q4120" s="226"/>
      <c r="R4120" s="226"/>
      <c r="S4120" s="226"/>
      <c r="T4120" s="226"/>
      <c r="U4120" s="226"/>
    </row>
    <row r="4121" spans="16:21" x14ac:dyDescent="0.35">
      <c r="P4121" s="226"/>
      <c r="Q4121" s="226"/>
      <c r="R4121" s="226"/>
      <c r="S4121" s="226"/>
      <c r="T4121" s="226"/>
      <c r="U4121" s="226"/>
    </row>
    <row r="4122" spans="16:21" x14ac:dyDescent="0.35">
      <c r="P4122" s="226"/>
      <c r="Q4122" s="226"/>
      <c r="R4122" s="226"/>
      <c r="S4122" s="226"/>
      <c r="T4122" s="226"/>
      <c r="U4122" s="226"/>
    </row>
    <row r="4123" spans="16:21" x14ac:dyDescent="0.35">
      <c r="P4123" s="226"/>
      <c r="Q4123" s="226"/>
      <c r="R4123" s="226"/>
      <c r="S4123" s="226"/>
      <c r="T4123" s="226"/>
      <c r="U4123" s="226"/>
    </row>
    <row r="4124" spans="16:21" x14ac:dyDescent="0.35">
      <c r="P4124" s="226"/>
      <c r="Q4124" s="226"/>
      <c r="R4124" s="226"/>
      <c r="S4124" s="226"/>
      <c r="T4124" s="226"/>
      <c r="U4124" s="226"/>
    </row>
    <row r="4125" spans="16:21" x14ac:dyDescent="0.35">
      <c r="P4125" s="226"/>
      <c r="Q4125" s="226"/>
      <c r="R4125" s="226"/>
      <c r="S4125" s="226"/>
      <c r="T4125" s="226"/>
      <c r="U4125" s="226"/>
    </row>
    <row r="4126" spans="16:21" x14ac:dyDescent="0.35">
      <c r="P4126" s="226"/>
      <c r="Q4126" s="226"/>
      <c r="R4126" s="226"/>
      <c r="S4126" s="226"/>
      <c r="T4126" s="226"/>
      <c r="U4126" s="226"/>
    </row>
    <row r="4127" spans="16:21" x14ac:dyDescent="0.35">
      <c r="P4127" s="226"/>
      <c r="Q4127" s="226"/>
      <c r="R4127" s="226"/>
      <c r="S4127" s="226"/>
      <c r="T4127" s="226"/>
      <c r="U4127" s="226"/>
    </row>
    <row r="4128" spans="16:21" x14ac:dyDescent="0.35">
      <c r="P4128" s="226"/>
      <c r="Q4128" s="226"/>
      <c r="R4128" s="226"/>
      <c r="S4128" s="226"/>
      <c r="T4128" s="226"/>
      <c r="U4128" s="226"/>
    </row>
    <row r="4129" spans="16:21" x14ac:dyDescent="0.35">
      <c r="P4129" s="226"/>
      <c r="Q4129" s="226"/>
      <c r="R4129" s="226"/>
      <c r="S4129" s="226"/>
      <c r="T4129" s="226"/>
      <c r="U4129" s="226"/>
    </row>
    <row r="4130" spans="16:21" x14ac:dyDescent="0.35">
      <c r="P4130" s="226"/>
      <c r="Q4130" s="226"/>
      <c r="R4130" s="226"/>
      <c r="S4130" s="226"/>
      <c r="T4130" s="226"/>
      <c r="U4130" s="226"/>
    </row>
    <row r="4131" spans="16:21" x14ac:dyDescent="0.35">
      <c r="P4131" s="226"/>
      <c r="Q4131" s="226"/>
      <c r="R4131" s="226"/>
      <c r="S4131" s="226"/>
      <c r="T4131" s="226"/>
      <c r="U4131" s="226"/>
    </row>
    <row r="4132" spans="16:21" x14ac:dyDescent="0.35">
      <c r="P4132" s="226"/>
      <c r="Q4132" s="226"/>
      <c r="R4132" s="226"/>
      <c r="S4132" s="226"/>
      <c r="T4132" s="226"/>
      <c r="U4132" s="226"/>
    </row>
    <row r="4133" spans="16:21" x14ac:dyDescent="0.35">
      <c r="P4133" s="226"/>
      <c r="Q4133" s="226"/>
      <c r="R4133" s="226"/>
      <c r="S4133" s="226"/>
      <c r="T4133" s="226"/>
      <c r="U4133" s="226"/>
    </row>
    <row r="4134" spans="16:21" x14ac:dyDescent="0.35">
      <c r="P4134" s="226"/>
      <c r="Q4134" s="226"/>
      <c r="R4134" s="226"/>
      <c r="S4134" s="226"/>
      <c r="T4134" s="226"/>
      <c r="U4134" s="226"/>
    </row>
    <row r="4135" spans="16:21" x14ac:dyDescent="0.35">
      <c r="P4135" s="226"/>
      <c r="Q4135" s="226"/>
      <c r="R4135" s="226"/>
      <c r="S4135" s="226"/>
      <c r="T4135" s="226"/>
      <c r="U4135" s="226"/>
    </row>
    <row r="4136" spans="16:21" x14ac:dyDescent="0.35">
      <c r="P4136" s="226"/>
      <c r="Q4136" s="226"/>
      <c r="R4136" s="226"/>
      <c r="S4136" s="226"/>
      <c r="T4136" s="226"/>
      <c r="U4136" s="226"/>
    </row>
    <row r="4137" spans="16:21" x14ac:dyDescent="0.35">
      <c r="P4137" s="226"/>
      <c r="Q4137" s="226"/>
      <c r="R4137" s="226"/>
      <c r="S4137" s="226"/>
      <c r="T4137" s="226"/>
      <c r="U4137" s="226"/>
    </row>
    <row r="4138" spans="16:21" x14ac:dyDescent="0.35">
      <c r="P4138" s="226"/>
      <c r="Q4138" s="226"/>
      <c r="R4138" s="226"/>
      <c r="S4138" s="226"/>
      <c r="T4138" s="226"/>
      <c r="U4138" s="226"/>
    </row>
    <row r="4139" spans="16:21" x14ac:dyDescent="0.35">
      <c r="P4139" s="226"/>
      <c r="Q4139" s="226"/>
      <c r="R4139" s="226"/>
      <c r="S4139" s="226"/>
      <c r="T4139" s="226"/>
      <c r="U4139" s="226"/>
    </row>
    <row r="4140" spans="16:21" x14ac:dyDescent="0.35">
      <c r="P4140" s="226"/>
      <c r="Q4140" s="226"/>
      <c r="R4140" s="226"/>
      <c r="S4140" s="226"/>
      <c r="T4140" s="226"/>
      <c r="U4140" s="226"/>
    </row>
    <row r="4141" spans="16:21" x14ac:dyDescent="0.35">
      <c r="P4141" s="226"/>
      <c r="Q4141" s="226"/>
      <c r="R4141" s="226"/>
      <c r="S4141" s="226"/>
      <c r="T4141" s="226"/>
      <c r="U4141" s="226"/>
    </row>
    <row r="4142" spans="16:21" x14ac:dyDescent="0.35">
      <c r="P4142" s="226"/>
      <c r="Q4142" s="226"/>
      <c r="R4142" s="226"/>
      <c r="S4142" s="226"/>
      <c r="T4142" s="226"/>
      <c r="U4142" s="226"/>
    </row>
    <row r="4143" spans="16:21" x14ac:dyDescent="0.35">
      <c r="P4143" s="226"/>
      <c r="Q4143" s="226"/>
      <c r="R4143" s="226"/>
      <c r="S4143" s="226"/>
      <c r="T4143" s="226"/>
      <c r="U4143" s="226"/>
    </row>
    <row r="4144" spans="16:21" x14ac:dyDescent="0.35">
      <c r="P4144" s="226"/>
      <c r="Q4144" s="226"/>
      <c r="R4144" s="226"/>
      <c r="S4144" s="226"/>
      <c r="T4144" s="226"/>
      <c r="U4144" s="226"/>
    </row>
    <row r="4145" spans="16:21" x14ac:dyDescent="0.35">
      <c r="P4145" s="226"/>
      <c r="Q4145" s="226"/>
      <c r="R4145" s="226"/>
      <c r="S4145" s="226"/>
      <c r="T4145" s="226"/>
      <c r="U4145" s="226"/>
    </row>
    <row r="4146" spans="16:21" x14ac:dyDescent="0.35">
      <c r="P4146" s="226"/>
      <c r="Q4146" s="226"/>
      <c r="R4146" s="226"/>
      <c r="S4146" s="226"/>
      <c r="T4146" s="226"/>
      <c r="U4146" s="226"/>
    </row>
    <row r="4147" spans="16:21" x14ac:dyDescent="0.35">
      <c r="P4147" s="226"/>
      <c r="Q4147" s="226"/>
      <c r="R4147" s="226"/>
      <c r="S4147" s="226"/>
      <c r="T4147" s="226"/>
      <c r="U4147" s="226"/>
    </row>
    <row r="4148" spans="16:21" x14ac:dyDescent="0.35">
      <c r="P4148" s="226"/>
      <c r="Q4148" s="226"/>
      <c r="R4148" s="226"/>
      <c r="S4148" s="226"/>
      <c r="T4148" s="226"/>
      <c r="U4148" s="226"/>
    </row>
    <row r="4149" spans="16:21" x14ac:dyDescent="0.35">
      <c r="P4149" s="226"/>
      <c r="Q4149" s="226"/>
      <c r="R4149" s="226"/>
      <c r="S4149" s="226"/>
      <c r="T4149" s="226"/>
      <c r="U4149" s="226"/>
    </row>
    <row r="4150" spans="16:21" x14ac:dyDescent="0.35">
      <c r="P4150" s="226"/>
      <c r="Q4150" s="226"/>
      <c r="R4150" s="226"/>
      <c r="S4150" s="226"/>
      <c r="T4150" s="226"/>
      <c r="U4150" s="226"/>
    </row>
    <row r="4151" spans="16:21" x14ac:dyDescent="0.35">
      <c r="P4151" s="226"/>
      <c r="Q4151" s="226"/>
      <c r="R4151" s="226"/>
      <c r="S4151" s="226"/>
      <c r="T4151" s="226"/>
      <c r="U4151" s="226"/>
    </row>
    <row r="4152" spans="16:21" x14ac:dyDescent="0.35">
      <c r="P4152" s="226"/>
      <c r="Q4152" s="226"/>
      <c r="R4152" s="226"/>
      <c r="S4152" s="226"/>
      <c r="T4152" s="226"/>
      <c r="U4152" s="226"/>
    </row>
    <row r="4153" spans="16:21" x14ac:dyDescent="0.35">
      <c r="P4153" s="226"/>
      <c r="Q4153" s="226"/>
      <c r="R4153" s="226"/>
      <c r="S4153" s="226"/>
      <c r="T4153" s="226"/>
      <c r="U4153" s="226"/>
    </row>
    <row r="4154" spans="16:21" x14ac:dyDescent="0.35">
      <c r="P4154" s="226"/>
      <c r="Q4154" s="226"/>
      <c r="R4154" s="226"/>
      <c r="S4154" s="226"/>
      <c r="T4154" s="226"/>
      <c r="U4154" s="226"/>
    </row>
    <row r="4155" spans="16:21" x14ac:dyDescent="0.35">
      <c r="P4155" s="226"/>
      <c r="Q4155" s="226"/>
      <c r="R4155" s="226"/>
      <c r="S4155" s="226"/>
      <c r="T4155" s="226"/>
      <c r="U4155" s="226"/>
    </row>
    <row r="4156" spans="16:21" x14ac:dyDescent="0.35">
      <c r="P4156" s="226"/>
      <c r="Q4156" s="226"/>
      <c r="R4156" s="226"/>
      <c r="S4156" s="226"/>
      <c r="T4156" s="226"/>
      <c r="U4156" s="226"/>
    </row>
    <row r="4157" spans="16:21" x14ac:dyDescent="0.35">
      <c r="P4157" s="226"/>
      <c r="Q4157" s="226"/>
      <c r="R4157" s="226"/>
      <c r="S4157" s="226"/>
      <c r="T4157" s="226"/>
      <c r="U4157" s="226"/>
    </row>
    <row r="4158" spans="16:21" x14ac:dyDescent="0.35">
      <c r="P4158" s="226"/>
      <c r="Q4158" s="226"/>
      <c r="R4158" s="226"/>
      <c r="S4158" s="226"/>
      <c r="T4158" s="226"/>
      <c r="U4158" s="226"/>
    </row>
    <row r="4159" spans="16:21" x14ac:dyDescent="0.35">
      <c r="P4159" s="226"/>
      <c r="Q4159" s="226"/>
      <c r="R4159" s="226"/>
      <c r="S4159" s="226"/>
      <c r="T4159" s="226"/>
      <c r="U4159" s="226"/>
    </row>
    <row r="4160" spans="16:21" x14ac:dyDescent="0.35">
      <c r="P4160" s="226"/>
      <c r="Q4160" s="226"/>
      <c r="R4160" s="226"/>
      <c r="S4160" s="226"/>
      <c r="T4160" s="226"/>
      <c r="U4160" s="226"/>
    </row>
    <row r="4161" spans="16:21" x14ac:dyDescent="0.35">
      <c r="P4161" s="226"/>
      <c r="Q4161" s="226"/>
      <c r="R4161" s="226"/>
      <c r="S4161" s="226"/>
      <c r="T4161" s="226"/>
      <c r="U4161" s="226"/>
    </row>
    <row r="4162" spans="16:21" x14ac:dyDescent="0.35">
      <c r="P4162" s="226"/>
      <c r="Q4162" s="226"/>
      <c r="R4162" s="226"/>
      <c r="S4162" s="226"/>
      <c r="T4162" s="226"/>
      <c r="U4162" s="226"/>
    </row>
    <row r="4163" spans="16:21" x14ac:dyDescent="0.35">
      <c r="P4163" s="226"/>
      <c r="Q4163" s="226"/>
      <c r="R4163" s="226"/>
      <c r="S4163" s="226"/>
      <c r="T4163" s="226"/>
      <c r="U4163" s="226"/>
    </row>
    <row r="4164" spans="16:21" x14ac:dyDescent="0.35">
      <c r="P4164" s="226"/>
      <c r="Q4164" s="226"/>
      <c r="R4164" s="226"/>
      <c r="S4164" s="226"/>
      <c r="T4164" s="226"/>
      <c r="U4164" s="226"/>
    </row>
    <row r="4165" spans="16:21" x14ac:dyDescent="0.35">
      <c r="P4165" s="226"/>
      <c r="Q4165" s="226"/>
      <c r="R4165" s="226"/>
      <c r="S4165" s="226"/>
      <c r="T4165" s="226"/>
      <c r="U4165" s="226"/>
    </row>
    <row r="4166" spans="16:21" x14ac:dyDescent="0.35">
      <c r="P4166" s="226"/>
      <c r="Q4166" s="226"/>
      <c r="R4166" s="226"/>
      <c r="S4166" s="226"/>
      <c r="T4166" s="226"/>
      <c r="U4166" s="226"/>
    </row>
    <row r="4167" spans="16:21" x14ac:dyDescent="0.35">
      <c r="P4167" s="226"/>
      <c r="Q4167" s="226"/>
      <c r="R4167" s="226"/>
      <c r="S4167" s="226"/>
      <c r="T4167" s="226"/>
      <c r="U4167" s="226"/>
    </row>
    <row r="4168" spans="16:21" x14ac:dyDescent="0.35">
      <c r="P4168" s="226"/>
      <c r="Q4168" s="226"/>
      <c r="R4168" s="226"/>
      <c r="S4168" s="226"/>
      <c r="T4168" s="226"/>
      <c r="U4168" s="226"/>
    </row>
    <row r="4169" spans="16:21" x14ac:dyDescent="0.35">
      <c r="P4169" s="226"/>
      <c r="Q4169" s="226"/>
      <c r="R4169" s="226"/>
      <c r="S4169" s="226"/>
      <c r="T4169" s="226"/>
      <c r="U4169" s="226"/>
    </row>
    <row r="4170" spans="16:21" x14ac:dyDescent="0.35">
      <c r="P4170" s="226"/>
      <c r="Q4170" s="226"/>
      <c r="R4170" s="226"/>
      <c r="S4170" s="226"/>
      <c r="T4170" s="226"/>
      <c r="U4170" s="226"/>
    </row>
    <row r="4171" spans="16:21" x14ac:dyDescent="0.35">
      <c r="P4171" s="226"/>
      <c r="Q4171" s="226"/>
      <c r="R4171" s="226"/>
      <c r="S4171" s="226"/>
      <c r="T4171" s="226"/>
      <c r="U4171" s="226"/>
    </row>
    <row r="4172" spans="16:21" x14ac:dyDescent="0.35">
      <c r="P4172" s="226"/>
      <c r="Q4172" s="226"/>
      <c r="R4172" s="226"/>
      <c r="S4172" s="226"/>
      <c r="T4172" s="226"/>
      <c r="U4172" s="226"/>
    </row>
    <row r="4173" spans="16:21" x14ac:dyDescent="0.35">
      <c r="P4173" s="226"/>
      <c r="Q4173" s="226"/>
      <c r="R4173" s="226"/>
      <c r="S4173" s="226"/>
      <c r="T4173" s="226"/>
      <c r="U4173" s="226"/>
    </row>
    <row r="4174" spans="16:21" x14ac:dyDescent="0.35">
      <c r="P4174" s="226"/>
      <c r="Q4174" s="226"/>
      <c r="R4174" s="226"/>
      <c r="S4174" s="226"/>
      <c r="T4174" s="226"/>
      <c r="U4174" s="226"/>
    </row>
    <row r="4175" spans="16:21" x14ac:dyDescent="0.35">
      <c r="P4175" s="226"/>
      <c r="Q4175" s="226"/>
      <c r="R4175" s="226"/>
      <c r="S4175" s="226"/>
      <c r="T4175" s="226"/>
      <c r="U4175" s="226"/>
    </row>
    <row r="4176" spans="16:21" x14ac:dyDescent="0.35">
      <c r="P4176" s="226"/>
      <c r="Q4176" s="226"/>
      <c r="R4176" s="226"/>
      <c r="S4176" s="226"/>
      <c r="T4176" s="226"/>
      <c r="U4176" s="226"/>
    </row>
    <row r="4177" spans="16:21" x14ac:dyDescent="0.35">
      <c r="P4177" s="226"/>
      <c r="Q4177" s="226"/>
      <c r="R4177" s="226"/>
      <c r="S4177" s="226"/>
      <c r="T4177" s="226"/>
      <c r="U4177" s="226"/>
    </row>
    <row r="4178" spans="16:21" x14ac:dyDescent="0.35">
      <c r="P4178" s="226"/>
      <c r="Q4178" s="226"/>
      <c r="R4178" s="226"/>
      <c r="S4178" s="226"/>
      <c r="T4178" s="226"/>
      <c r="U4178" s="226"/>
    </row>
    <row r="4179" spans="16:21" x14ac:dyDescent="0.35">
      <c r="P4179" s="226"/>
      <c r="Q4179" s="226"/>
      <c r="R4179" s="226"/>
      <c r="S4179" s="226"/>
      <c r="T4179" s="226"/>
      <c r="U4179" s="226"/>
    </row>
    <row r="4180" spans="16:21" x14ac:dyDescent="0.35">
      <c r="P4180" s="226"/>
      <c r="Q4180" s="226"/>
      <c r="R4180" s="226"/>
      <c r="S4180" s="226"/>
      <c r="T4180" s="226"/>
      <c r="U4180" s="226"/>
    </row>
    <row r="4181" spans="16:21" x14ac:dyDescent="0.35">
      <c r="P4181" s="226"/>
      <c r="Q4181" s="226"/>
      <c r="R4181" s="226"/>
      <c r="S4181" s="226"/>
      <c r="T4181" s="226"/>
      <c r="U4181" s="226"/>
    </row>
    <row r="4182" spans="16:21" x14ac:dyDescent="0.35">
      <c r="P4182" s="226"/>
      <c r="Q4182" s="226"/>
      <c r="R4182" s="226"/>
      <c r="S4182" s="226"/>
      <c r="T4182" s="226"/>
      <c r="U4182" s="226"/>
    </row>
    <row r="4183" spans="16:21" x14ac:dyDescent="0.35">
      <c r="P4183" s="226"/>
      <c r="Q4183" s="226"/>
      <c r="R4183" s="226"/>
      <c r="S4183" s="226"/>
      <c r="T4183" s="226"/>
      <c r="U4183" s="226"/>
    </row>
    <row r="4184" spans="16:21" x14ac:dyDescent="0.35">
      <c r="P4184" s="226"/>
      <c r="Q4184" s="226"/>
      <c r="R4184" s="226"/>
      <c r="S4184" s="226"/>
      <c r="T4184" s="226"/>
      <c r="U4184" s="226"/>
    </row>
    <row r="4185" spans="16:21" x14ac:dyDescent="0.35">
      <c r="P4185" s="226"/>
      <c r="Q4185" s="226"/>
      <c r="R4185" s="226"/>
      <c r="S4185" s="226"/>
      <c r="T4185" s="226"/>
      <c r="U4185" s="226"/>
    </row>
    <row r="4186" spans="16:21" x14ac:dyDescent="0.35">
      <c r="P4186" s="226"/>
      <c r="Q4186" s="226"/>
      <c r="R4186" s="226"/>
      <c r="S4186" s="226"/>
      <c r="T4186" s="226"/>
      <c r="U4186" s="226"/>
    </row>
    <row r="4187" spans="16:21" x14ac:dyDescent="0.35">
      <c r="P4187" s="226"/>
      <c r="Q4187" s="226"/>
      <c r="R4187" s="226"/>
      <c r="S4187" s="226"/>
      <c r="T4187" s="226"/>
      <c r="U4187" s="226"/>
    </row>
    <row r="4188" spans="16:21" x14ac:dyDescent="0.35">
      <c r="P4188" s="226"/>
      <c r="Q4188" s="226"/>
      <c r="R4188" s="226"/>
      <c r="S4188" s="226"/>
      <c r="T4188" s="226"/>
      <c r="U4188" s="226"/>
    </row>
    <row r="4189" spans="16:21" x14ac:dyDescent="0.35">
      <c r="P4189" s="226"/>
      <c r="Q4189" s="226"/>
      <c r="R4189" s="226"/>
      <c r="S4189" s="226"/>
      <c r="T4189" s="226"/>
      <c r="U4189" s="226"/>
    </row>
    <row r="4190" spans="16:21" x14ac:dyDescent="0.35">
      <c r="P4190" s="226"/>
      <c r="Q4190" s="226"/>
      <c r="R4190" s="226"/>
      <c r="S4190" s="226"/>
      <c r="T4190" s="226"/>
      <c r="U4190" s="226"/>
    </row>
    <row r="4191" spans="16:21" x14ac:dyDescent="0.35">
      <c r="P4191" s="226"/>
      <c r="Q4191" s="226"/>
      <c r="R4191" s="226"/>
      <c r="S4191" s="226"/>
      <c r="T4191" s="226"/>
      <c r="U4191" s="226"/>
    </row>
    <row r="4192" spans="16:21" x14ac:dyDescent="0.35">
      <c r="P4192" s="226"/>
      <c r="Q4192" s="226"/>
      <c r="R4192" s="226"/>
      <c r="S4192" s="226"/>
      <c r="T4192" s="226"/>
      <c r="U4192" s="226"/>
    </row>
    <row r="4193" spans="16:21" x14ac:dyDescent="0.35">
      <c r="P4193" s="226"/>
      <c r="Q4193" s="226"/>
      <c r="R4193" s="226"/>
      <c r="S4193" s="226"/>
      <c r="T4193" s="226"/>
      <c r="U4193" s="226"/>
    </row>
    <row r="4194" spans="16:21" x14ac:dyDescent="0.35">
      <c r="P4194" s="226"/>
      <c r="Q4194" s="226"/>
      <c r="R4194" s="226"/>
      <c r="S4194" s="226"/>
      <c r="T4194" s="226"/>
      <c r="U4194" s="226"/>
    </row>
    <row r="4195" spans="16:21" x14ac:dyDescent="0.35">
      <c r="P4195" s="226"/>
      <c r="Q4195" s="226"/>
      <c r="R4195" s="226"/>
      <c r="S4195" s="226"/>
      <c r="T4195" s="226"/>
      <c r="U4195" s="226"/>
    </row>
    <row r="4196" spans="16:21" x14ac:dyDescent="0.35">
      <c r="P4196" s="226"/>
      <c r="Q4196" s="226"/>
      <c r="R4196" s="226"/>
      <c r="S4196" s="226"/>
      <c r="T4196" s="226"/>
      <c r="U4196" s="226"/>
    </row>
    <row r="4197" spans="16:21" x14ac:dyDescent="0.35">
      <c r="P4197" s="226"/>
      <c r="Q4197" s="226"/>
      <c r="R4197" s="226"/>
      <c r="S4197" s="226"/>
      <c r="T4197" s="226"/>
      <c r="U4197" s="226"/>
    </row>
    <row r="4198" spans="16:21" x14ac:dyDescent="0.35">
      <c r="P4198" s="226"/>
      <c r="Q4198" s="226"/>
      <c r="R4198" s="226"/>
      <c r="S4198" s="226"/>
      <c r="T4198" s="226"/>
      <c r="U4198" s="226"/>
    </row>
    <row r="4199" spans="16:21" x14ac:dyDescent="0.35">
      <c r="P4199" s="226"/>
      <c r="Q4199" s="226"/>
      <c r="R4199" s="226"/>
      <c r="S4199" s="226"/>
      <c r="T4199" s="226"/>
      <c r="U4199" s="226"/>
    </row>
    <row r="4200" spans="16:21" x14ac:dyDescent="0.35">
      <c r="P4200" s="226"/>
      <c r="Q4200" s="226"/>
      <c r="R4200" s="226"/>
      <c r="S4200" s="226"/>
      <c r="T4200" s="226"/>
      <c r="U4200" s="226"/>
    </row>
    <row r="4201" spans="16:21" x14ac:dyDescent="0.35">
      <c r="P4201" s="226"/>
      <c r="Q4201" s="226"/>
      <c r="R4201" s="226"/>
      <c r="S4201" s="226"/>
      <c r="T4201" s="226"/>
      <c r="U4201" s="226"/>
    </row>
    <row r="4202" spans="16:21" x14ac:dyDescent="0.35">
      <c r="P4202" s="226"/>
      <c r="Q4202" s="226"/>
      <c r="R4202" s="226"/>
      <c r="S4202" s="226"/>
      <c r="T4202" s="226"/>
      <c r="U4202" s="226"/>
    </row>
    <row r="4203" spans="16:21" x14ac:dyDescent="0.35">
      <c r="P4203" s="226"/>
      <c r="Q4203" s="226"/>
      <c r="R4203" s="226"/>
      <c r="S4203" s="226"/>
      <c r="T4203" s="226"/>
      <c r="U4203" s="226"/>
    </row>
    <row r="4204" spans="16:21" x14ac:dyDescent="0.35">
      <c r="P4204" s="226"/>
      <c r="Q4204" s="226"/>
      <c r="R4204" s="226"/>
      <c r="S4204" s="226"/>
      <c r="T4204" s="226"/>
      <c r="U4204" s="226"/>
    </row>
    <row r="4205" spans="16:21" x14ac:dyDescent="0.35">
      <c r="P4205" s="226"/>
      <c r="Q4205" s="226"/>
      <c r="R4205" s="226"/>
      <c r="S4205" s="226"/>
      <c r="T4205" s="226"/>
      <c r="U4205" s="226"/>
    </row>
    <row r="4206" spans="16:21" x14ac:dyDescent="0.35">
      <c r="P4206" s="226"/>
      <c r="Q4206" s="226"/>
      <c r="R4206" s="226"/>
      <c r="S4206" s="226"/>
      <c r="T4206" s="226"/>
      <c r="U4206" s="226"/>
    </row>
    <row r="4207" spans="16:21" x14ac:dyDescent="0.35">
      <c r="P4207" s="226"/>
      <c r="Q4207" s="226"/>
      <c r="R4207" s="226"/>
      <c r="S4207" s="226"/>
      <c r="T4207" s="226"/>
      <c r="U4207" s="226"/>
    </row>
    <row r="4208" spans="16:21" x14ac:dyDescent="0.35">
      <c r="P4208" s="226"/>
      <c r="Q4208" s="226"/>
      <c r="R4208" s="226"/>
      <c r="S4208" s="226"/>
      <c r="T4208" s="226"/>
      <c r="U4208" s="226"/>
    </row>
    <row r="4209" spans="16:21" x14ac:dyDescent="0.35">
      <c r="P4209" s="226"/>
      <c r="Q4209" s="226"/>
      <c r="R4209" s="226"/>
      <c r="S4209" s="226"/>
      <c r="T4209" s="226"/>
      <c r="U4209" s="226"/>
    </row>
    <row r="4210" spans="16:21" x14ac:dyDescent="0.35">
      <c r="P4210" s="226"/>
      <c r="Q4210" s="226"/>
      <c r="R4210" s="226"/>
      <c r="S4210" s="226"/>
      <c r="T4210" s="226"/>
      <c r="U4210" s="226"/>
    </row>
    <row r="4211" spans="16:21" x14ac:dyDescent="0.35">
      <c r="P4211" s="226"/>
      <c r="Q4211" s="226"/>
      <c r="R4211" s="226"/>
      <c r="S4211" s="226"/>
      <c r="T4211" s="226"/>
      <c r="U4211" s="226"/>
    </row>
    <row r="4212" spans="16:21" x14ac:dyDescent="0.35">
      <c r="P4212" s="226"/>
      <c r="Q4212" s="226"/>
      <c r="R4212" s="226"/>
      <c r="S4212" s="226"/>
      <c r="T4212" s="226"/>
      <c r="U4212" s="226"/>
    </row>
    <row r="4213" spans="16:21" x14ac:dyDescent="0.35">
      <c r="P4213" s="226"/>
      <c r="Q4213" s="226"/>
      <c r="R4213" s="226"/>
      <c r="S4213" s="226"/>
      <c r="T4213" s="226"/>
      <c r="U4213" s="226"/>
    </row>
    <row r="4214" spans="16:21" x14ac:dyDescent="0.35">
      <c r="P4214" s="226"/>
      <c r="Q4214" s="226"/>
      <c r="R4214" s="226"/>
      <c r="S4214" s="226"/>
      <c r="T4214" s="226"/>
      <c r="U4214" s="226"/>
    </row>
    <row r="4215" spans="16:21" x14ac:dyDescent="0.35">
      <c r="P4215" s="226"/>
      <c r="Q4215" s="226"/>
      <c r="R4215" s="226"/>
      <c r="S4215" s="226"/>
      <c r="T4215" s="226"/>
      <c r="U4215" s="226"/>
    </row>
    <row r="4216" spans="16:21" x14ac:dyDescent="0.35">
      <c r="P4216" s="226"/>
      <c r="Q4216" s="226"/>
      <c r="R4216" s="226"/>
      <c r="S4216" s="226"/>
      <c r="T4216" s="226"/>
      <c r="U4216" s="226"/>
    </row>
    <row r="4217" spans="16:21" x14ac:dyDescent="0.35">
      <c r="P4217" s="226"/>
      <c r="Q4217" s="226"/>
      <c r="R4217" s="226"/>
      <c r="S4217" s="226"/>
      <c r="T4217" s="226"/>
      <c r="U4217" s="226"/>
    </row>
    <row r="4218" spans="16:21" x14ac:dyDescent="0.35">
      <c r="P4218" s="226"/>
      <c r="Q4218" s="226"/>
      <c r="R4218" s="226"/>
      <c r="S4218" s="226"/>
      <c r="T4218" s="226"/>
      <c r="U4218" s="226"/>
    </row>
    <row r="4219" spans="16:21" x14ac:dyDescent="0.35">
      <c r="P4219" s="226"/>
      <c r="Q4219" s="226"/>
      <c r="R4219" s="226"/>
      <c r="S4219" s="226"/>
      <c r="T4219" s="226"/>
      <c r="U4219" s="226"/>
    </row>
    <row r="4220" spans="16:21" x14ac:dyDescent="0.35">
      <c r="P4220" s="226"/>
      <c r="Q4220" s="226"/>
      <c r="R4220" s="226"/>
      <c r="S4220" s="226"/>
      <c r="T4220" s="226"/>
      <c r="U4220" s="226"/>
    </row>
    <row r="4221" spans="16:21" x14ac:dyDescent="0.35">
      <c r="P4221" s="226"/>
      <c r="Q4221" s="226"/>
      <c r="R4221" s="226"/>
      <c r="S4221" s="226"/>
      <c r="T4221" s="226"/>
      <c r="U4221" s="226"/>
    </row>
    <row r="4222" spans="16:21" x14ac:dyDescent="0.35">
      <c r="P4222" s="226"/>
      <c r="Q4222" s="226"/>
      <c r="R4222" s="226"/>
      <c r="S4222" s="226"/>
      <c r="T4222" s="226"/>
      <c r="U4222" s="226"/>
    </row>
    <row r="4223" spans="16:21" x14ac:dyDescent="0.35">
      <c r="P4223" s="226"/>
      <c r="Q4223" s="226"/>
      <c r="R4223" s="226"/>
      <c r="S4223" s="226"/>
      <c r="T4223" s="226"/>
      <c r="U4223" s="226"/>
    </row>
    <row r="4224" spans="16:21" x14ac:dyDescent="0.35">
      <c r="P4224" s="226"/>
      <c r="Q4224" s="226"/>
      <c r="R4224" s="226"/>
      <c r="S4224" s="226"/>
      <c r="T4224" s="226"/>
      <c r="U4224" s="226"/>
    </row>
    <row r="4225" spans="16:21" x14ac:dyDescent="0.35">
      <c r="P4225" s="226"/>
      <c r="Q4225" s="226"/>
      <c r="R4225" s="226"/>
      <c r="S4225" s="226"/>
      <c r="T4225" s="226"/>
      <c r="U4225" s="226"/>
    </row>
    <row r="4226" spans="16:21" x14ac:dyDescent="0.35">
      <c r="P4226" s="226"/>
      <c r="Q4226" s="226"/>
      <c r="R4226" s="226"/>
      <c r="S4226" s="226"/>
      <c r="T4226" s="226"/>
      <c r="U4226" s="226"/>
    </row>
    <row r="4227" spans="16:21" x14ac:dyDescent="0.35">
      <c r="P4227" s="226"/>
      <c r="Q4227" s="226"/>
      <c r="R4227" s="226"/>
      <c r="S4227" s="226"/>
      <c r="T4227" s="226"/>
      <c r="U4227" s="226"/>
    </row>
    <row r="4228" spans="16:21" x14ac:dyDescent="0.35">
      <c r="P4228" s="226"/>
      <c r="Q4228" s="226"/>
      <c r="R4228" s="226"/>
      <c r="S4228" s="226"/>
      <c r="T4228" s="226"/>
      <c r="U4228" s="226"/>
    </row>
    <row r="4229" spans="16:21" x14ac:dyDescent="0.35">
      <c r="P4229" s="226"/>
      <c r="Q4229" s="226"/>
      <c r="R4229" s="226"/>
      <c r="S4229" s="226"/>
      <c r="T4229" s="226"/>
      <c r="U4229" s="226"/>
    </row>
    <row r="4230" spans="16:21" x14ac:dyDescent="0.35">
      <c r="P4230" s="226"/>
      <c r="Q4230" s="226"/>
      <c r="R4230" s="226"/>
      <c r="S4230" s="226"/>
      <c r="T4230" s="226"/>
      <c r="U4230" s="226"/>
    </row>
    <row r="4231" spans="16:21" x14ac:dyDescent="0.35">
      <c r="P4231" s="226"/>
      <c r="Q4231" s="226"/>
      <c r="R4231" s="226"/>
      <c r="S4231" s="226"/>
      <c r="T4231" s="226"/>
      <c r="U4231" s="226"/>
    </row>
    <row r="4232" spans="16:21" x14ac:dyDescent="0.35">
      <c r="P4232" s="226"/>
      <c r="Q4232" s="226"/>
      <c r="R4232" s="226"/>
      <c r="S4232" s="226"/>
      <c r="T4232" s="226"/>
      <c r="U4232" s="226"/>
    </row>
    <row r="4233" spans="16:21" x14ac:dyDescent="0.35">
      <c r="P4233" s="226"/>
      <c r="Q4233" s="226"/>
      <c r="R4233" s="226"/>
      <c r="S4233" s="226"/>
      <c r="T4233" s="226"/>
      <c r="U4233" s="226"/>
    </row>
    <row r="4234" spans="16:21" x14ac:dyDescent="0.35">
      <c r="P4234" s="226"/>
      <c r="Q4234" s="226"/>
      <c r="R4234" s="226"/>
      <c r="S4234" s="226"/>
      <c r="T4234" s="226"/>
      <c r="U4234" s="226"/>
    </row>
    <row r="4235" spans="16:21" x14ac:dyDescent="0.35">
      <c r="P4235" s="226"/>
      <c r="Q4235" s="226"/>
      <c r="R4235" s="226"/>
      <c r="S4235" s="226"/>
      <c r="T4235" s="226"/>
      <c r="U4235" s="226"/>
    </row>
    <row r="4236" spans="16:21" x14ac:dyDescent="0.35">
      <c r="P4236" s="226"/>
      <c r="Q4236" s="226"/>
      <c r="R4236" s="226"/>
      <c r="S4236" s="226"/>
      <c r="T4236" s="226"/>
      <c r="U4236" s="226"/>
    </row>
    <row r="4237" spans="16:21" x14ac:dyDescent="0.35">
      <c r="P4237" s="226"/>
      <c r="Q4237" s="226"/>
      <c r="R4237" s="226"/>
      <c r="S4237" s="226"/>
      <c r="T4237" s="226"/>
      <c r="U4237" s="226"/>
    </row>
    <row r="4238" spans="16:21" x14ac:dyDescent="0.35">
      <c r="P4238" s="226"/>
      <c r="Q4238" s="226"/>
      <c r="R4238" s="226"/>
      <c r="S4238" s="226"/>
      <c r="T4238" s="226"/>
      <c r="U4238" s="226"/>
    </row>
    <row r="4239" spans="16:21" x14ac:dyDescent="0.35">
      <c r="P4239" s="226"/>
      <c r="Q4239" s="226"/>
      <c r="R4239" s="226"/>
      <c r="S4239" s="226"/>
      <c r="T4239" s="226"/>
      <c r="U4239" s="226"/>
    </row>
    <row r="4240" spans="16:21" x14ac:dyDescent="0.35">
      <c r="P4240" s="226"/>
      <c r="Q4240" s="226"/>
      <c r="R4240" s="226"/>
      <c r="S4240" s="226"/>
      <c r="T4240" s="226"/>
      <c r="U4240" s="226"/>
    </row>
    <row r="4241" spans="16:21" x14ac:dyDescent="0.35">
      <c r="P4241" s="226"/>
      <c r="Q4241" s="226"/>
      <c r="R4241" s="226"/>
      <c r="S4241" s="226"/>
      <c r="T4241" s="226"/>
      <c r="U4241" s="226"/>
    </row>
    <row r="4242" spans="16:21" x14ac:dyDescent="0.35">
      <c r="P4242" s="226"/>
      <c r="Q4242" s="226"/>
      <c r="R4242" s="226"/>
      <c r="S4242" s="226"/>
      <c r="T4242" s="226"/>
      <c r="U4242" s="226"/>
    </row>
    <row r="4243" spans="16:21" x14ac:dyDescent="0.35">
      <c r="P4243" s="226"/>
      <c r="Q4243" s="226"/>
      <c r="R4243" s="226"/>
      <c r="S4243" s="226"/>
      <c r="T4243" s="226"/>
      <c r="U4243" s="226"/>
    </row>
    <row r="4244" spans="16:21" x14ac:dyDescent="0.35">
      <c r="P4244" s="226"/>
      <c r="Q4244" s="226"/>
      <c r="R4244" s="226"/>
      <c r="S4244" s="226"/>
      <c r="T4244" s="226"/>
      <c r="U4244" s="226"/>
    </row>
    <row r="4245" spans="16:21" x14ac:dyDescent="0.35">
      <c r="P4245" s="226"/>
      <c r="Q4245" s="226"/>
      <c r="R4245" s="226"/>
      <c r="S4245" s="226"/>
      <c r="T4245" s="226"/>
      <c r="U4245" s="226"/>
    </row>
    <row r="4246" spans="16:21" x14ac:dyDescent="0.35">
      <c r="P4246" s="226"/>
      <c r="Q4246" s="226"/>
      <c r="R4246" s="226"/>
      <c r="S4246" s="226"/>
      <c r="T4246" s="226"/>
      <c r="U4246" s="226"/>
    </row>
    <row r="4247" spans="16:21" x14ac:dyDescent="0.35">
      <c r="P4247" s="226"/>
      <c r="Q4247" s="226"/>
      <c r="R4247" s="226"/>
      <c r="S4247" s="226"/>
      <c r="T4247" s="226"/>
      <c r="U4247" s="226"/>
    </row>
    <row r="4248" spans="16:21" x14ac:dyDescent="0.35">
      <c r="P4248" s="226"/>
      <c r="Q4248" s="226"/>
      <c r="R4248" s="226"/>
      <c r="S4248" s="226"/>
      <c r="T4248" s="226"/>
      <c r="U4248" s="226"/>
    </row>
    <row r="4249" spans="16:21" x14ac:dyDescent="0.35">
      <c r="P4249" s="226"/>
      <c r="Q4249" s="226"/>
      <c r="R4249" s="226"/>
      <c r="S4249" s="226"/>
      <c r="T4249" s="226"/>
      <c r="U4249" s="226"/>
    </row>
    <row r="4250" spans="16:21" x14ac:dyDescent="0.35">
      <c r="P4250" s="226"/>
      <c r="Q4250" s="226"/>
      <c r="R4250" s="226"/>
      <c r="S4250" s="226"/>
      <c r="T4250" s="226"/>
      <c r="U4250" s="226"/>
    </row>
    <row r="4251" spans="16:21" x14ac:dyDescent="0.35">
      <c r="P4251" s="226"/>
      <c r="Q4251" s="226"/>
      <c r="R4251" s="226"/>
      <c r="S4251" s="226"/>
      <c r="T4251" s="226"/>
      <c r="U4251" s="226"/>
    </row>
    <row r="4252" spans="16:21" x14ac:dyDescent="0.35">
      <c r="P4252" s="226"/>
      <c r="Q4252" s="226"/>
      <c r="R4252" s="226"/>
      <c r="S4252" s="226"/>
      <c r="T4252" s="226"/>
      <c r="U4252" s="226"/>
    </row>
    <row r="4253" spans="16:21" x14ac:dyDescent="0.35">
      <c r="P4253" s="226"/>
      <c r="Q4253" s="226"/>
      <c r="R4253" s="226"/>
      <c r="S4253" s="226"/>
      <c r="T4253" s="226"/>
      <c r="U4253" s="226"/>
    </row>
    <row r="4254" spans="16:21" x14ac:dyDescent="0.35">
      <c r="P4254" s="226"/>
      <c r="Q4254" s="226"/>
      <c r="R4254" s="226"/>
      <c r="S4254" s="226"/>
      <c r="T4254" s="226"/>
      <c r="U4254" s="226"/>
    </row>
    <row r="4255" spans="16:21" x14ac:dyDescent="0.35">
      <c r="P4255" s="226"/>
      <c r="Q4255" s="226"/>
      <c r="R4255" s="226"/>
      <c r="S4255" s="226"/>
      <c r="T4255" s="226"/>
      <c r="U4255" s="226"/>
    </row>
    <row r="4256" spans="16:21" x14ac:dyDescent="0.35">
      <c r="P4256" s="226"/>
      <c r="Q4256" s="226"/>
      <c r="R4256" s="226"/>
      <c r="S4256" s="226"/>
      <c r="T4256" s="226"/>
      <c r="U4256" s="226"/>
    </row>
    <row r="4257" spans="16:21" x14ac:dyDescent="0.35">
      <c r="P4257" s="226"/>
      <c r="Q4257" s="226"/>
      <c r="R4257" s="226"/>
      <c r="S4257" s="226"/>
      <c r="T4257" s="226"/>
      <c r="U4257" s="226"/>
    </row>
    <row r="4258" spans="16:21" x14ac:dyDescent="0.35">
      <c r="P4258" s="226"/>
      <c r="Q4258" s="226"/>
      <c r="R4258" s="226"/>
      <c r="S4258" s="226"/>
      <c r="T4258" s="226"/>
      <c r="U4258" s="226"/>
    </row>
    <row r="4259" spans="16:21" x14ac:dyDescent="0.35">
      <c r="P4259" s="226"/>
      <c r="Q4259" s="226"/>
      <c r="R4259" s="226"/>
      <c r="S4259" s="226"/>
      <c r="T4259" s="226"/>
      <c r="U4259" s="226"/>
    </row>
    <row r="4260" spans="16:21" x14ac:dyDescent="0.35">
      <c r="P4260" s="226"/>
      <c r="Q4260" s="226"/>
      <c r="R4260" s="226"/>
      <c r="S4260" s="226"/>
      <c r="T4260" s="226"/>
      <c r="U4260" s="226"/>
    </row>
    <row r="4261" spans="16:21" x14ac:dyDescent="0.35">
      <c r="P4261" s="226"/>
      <c r="Q4261" s="226"/>
      <c r="R4261" s="226"/>
      <c r="S4261" s="226"/>
      <c r="T4261" s="226"/>
      <c r="U4261" s="226"/>
    </row>
    <row r="4262" spans="16:21" x14ac:dyDescent="0.35">
      <c r="P4262" s="226"/>
      <c r="Q4262" s="226"/>
      <c r="R4262" s="226"/>
      <c r="S4262" s="226"/>
      <c r="T4262" s="226"/>
      <c r="U4262" s="226"/>
    </row>
    <row r="4263" spans="16:21" x14ac:dyDescent="0.35">
      <c r="P4263" s="226"/>
      <c r="Q4263" s="226"/>
      <c r="R4263" s="226"/>
      <c r="S4263" s="226"/>
      <c r="T4263" s="226"/>
      <c r="U4263" s="226"/>
    </row>
    <row r="4264" spans="16:21" x14ac:dyDescent="0.35">
      <c r="P4264" s="226"/>
      <c r="Q4264" s="226"/>
      <c r="R4264" s="226"/>
      <c r="S4264" s="226"/>
      <c r="T4264" s="226"/>
      <c r="U4264" s="226"/>
    </row>
    <row r="4265" spans="16:21" x14ac:dyDescent="0.35">
      <c r="P4265" s="226"/>
      <c r="Q4265" s="226"/>
      <c r="R4265" s="226"/>
      <c r="S4265" s="226"/>
      <c r="T4265" s="226"/>
      <c r="U4265" s="226"/>
    </row>
    <row r="4266" spans="16:21" x14ac:dyDescent="0.35">
      <c r="P4266" s="226"/>
      <c r="Q4266" s="226"/>
      <c r="R4266" s="226"/>
      <c r="S4266" s="226"/>
      <c r="T4266" s="226"/>
      <c r="U4266" s="226"/>
    </row>
    <row r="4267" spans="16:21" x14ac:dyDescent="0.35">
      <c r="P4267" s="226"/>
      <c r="Q4267" s="226"/>
      <c r="R4267" s="226"/>
      <c r="S4267" s="226"/>
      <c r="T4267" s="226"/>
      <c r="U4267" s="226"/>
    </row>
    <row r="4268" spans="16:21" x14ac:dyDescent="0.35">
      <c r="P4268" s="226"/>
      <c r="Q4268" s="226"/>
      <c r="R4268" s="226"/>
      <c r="S4268" s="226"/>
      <c r="T4268" s="226"/>
      <c r="U4268" s="226"/>
    </row>
    <row r="4269" spans="16:21" x14ac:dyDescent="0.35">
      <c r="P4269" s="226"/>
      <c r="Q4269" s="226"/>
      <c r="R4269" s="226"/>
      <c r="S4269" s="226"/>
      <c r="T4269" s="226"/>
      <c r="U4269" s="226"/>
    </row>
    <row r="4270" spans="16:21" x14ac:dyDescent="0.35">
      <c r="P4270" s="226"/>
      <c r="Q4270" s="226"/>
      <c r="R4270" s="226"/>
      <c r="S4270" s="226"/>
      <c r="T4270" s="226"/>
      <c r="U4270" s="226"/>
    </row>
    <row r="4271" spans="16:21" x14ac:dyDescent="0.35">
      <c r="P4271" s="226"/>
      <c r="Q4271" s="226"/>
      <c r="R4271" s="226"/>
      <c r="S4271" s="226"/>
      <c r="T4271" s="226"/>
      <c r="U4271" s="226"/>
    </row>
    <row r="4272" spans="16:21" x14ac:dyDescent="0.35">
      <c r="P4272" s="226"/>
      <c r="Q4272" s="226"/>
      <c r="R4272" s="226"/>
      <c r="S4272" s="226"/>
      <c r="T4272" s="226"/>
      <c r="U4272" s="226"/>
    </row>
    <row r="4273" spans="16:21" x14ac:dyDescent="0.35">
      <c r="P4273" s="226"/>
      <c r="Q4273" s="226"/>
      <c r="R4273" s="226"/>
      <c r="S4273" s="226"/>
      <c r="T4273" s="226"/>
      <c r="U4273" s="226"/>
    </row>
    <row r="4274" spans="16:21" x14ac:dyDescent="0.35">
      <c r="P4274" s="226"/>
      <c r="Q4274" s="226"/>
      <c r="R4274" s="226"/>
      <c r="S4274" s="226"/>
      <c r="T4274" s="226"/>
      <c r="U4274" s="226"/>
    </row>
    <row r="4275" spans="16:21" x14ac:dyDescent="0.35">
      <c r="P4275" s="226"/>
      <c r="Q4275" s="226"/>
      <c r="R4275" s="226"/>
      <c r="S4275" s="226"/>
      <c r="T4275" s="226"/>
      <c r="U4275" s="226"/>
    </row>
    <row r="4276" spans="16:21" x14ac:dyDescent="0.35">
      <c r="P4276" s="226"/>
      <c r="Q4276" s="226"/>
      <c r="R4276" s="226"/>
      <c r="S4276" s="226"/>
      <c r="T4276" s="226"/>
      <c r="U4276" s="226"/>
    </row>
    <row r="4277" spans="16:21" x14ac:dyDescent="0.35">
      <c r="P4277" s="226"/>
      <c r="Q4277" s="226"/>
      <c r="R4277" s="226"/>
      <c r="S4277" s="226"/>
      <c r="T4277" s="226"/>
      <c r="U4277" s="226"/>
    </row>
    <row r="4278" spans="16:21" x14ac:dyDescent="0.35">
      <c r="P4278" s="226"/>
      <c r="Q4278" s="226"/>
      <c r="R4278" s="226"/>
      <c r="S4278" s="226"/>
      <c r="T4278" s="226"/>
      <c r="U4278" s="226"/>
    </row>
    <row r="4279" spans="16:21" x14ac:dyDescent="0.35">
      <c r="P4279" s="226"/>
      <c r="Q4279" s="226"/>
      <c r="R4279" s="226"/>
      <c r="S4279" s="226"/>
      <c r="T4279" s="226"/>
      <c r="U4279" s="226"/>
    </row>
    <row r="4280" spans="16:21" x14ac:dyDescent="0.35">
      <c r="P4280" s="226"/>
      <c r="Q4280" s="226"/>
      <c r="R4280" s="226"/>
      <c r="S4280" s="226"/>
      <c r="T4280" s="226"/>
      <c r="U4280" s="226"/>
    </row>
    <row r="4281" spans="16:21" x14ac:dyDescent="0.35">
      <c r="P4281" s="226"/>
      <c r="Q4281" s="226"/>
      <c r="R4281" s="226"/>
      <c r="S4281" s="226"/>
      <c r="T4281" s="226"/>
      <c r="U4281" s="226"/>
    </row>
    <row r="4282" spans="16:21" x14ac:dyDescent="0.35">
      <c r="P4282" s="226"/>
      <c r="Q4282" s="226"/>
      <c r="R4282" s="226"/>
      <c r="S4282" s="226"/>
      <c r="T4282" s="226"/>
      <c r="U4282" s="226"/>
    </row>
    <row r="4283" spans="16:21" x14ac:dyDescent="0.35">
      <c r="P4283" s="226"/>
      <c r="Q4283" s="226"/>
      <c r="R4283" s="226"/>
      <c r="S4283" s="226"/>
      <c r="T4283" s="226"/>
      <c r="U4283" s="226"/>
    </row>
    <row r="4284" spans="16:21" x14ac:dyDescent="0.35">
      <c r="P4284" s="226"/>
      <c r="Q4284" s="226"/>
      <c r="R4284" s="226"/>
      <c r="S4284" s="226"/>
      <c r="T4284" s="226"/>
      <c r="U4284" s="226"/>
    </row>
    <row r="4285" spans="16:21" x14ac:dyDescent="0.35">
      <c r="P4285" s="226"/>
      <c r="Q4285" s="226"/>
      <c r="R4285" s="226"/>
      <c r="S4285" s="226"/>
      <c r="T4285" s="226"/>
      <c r="U4285" s="226"/>
    </row>
    <row r="4286" spans="16:21" x14ac:dyDescent="0.35">
      <c r="P4286" s="226"/>
      <c r="Q4286" s="226"/>
      <c r="R4286" s="226"/>
      <c r="S4286" s="226"/>
      <c r="T4286" s="226"/>
      <c r="U4286" s="226"/>
    </row>
    <row r="4287" spans="16:21" x14ac:dyDescent="0.35">
      <c r="P4287" s="226"/>
      <c r="Q4287" s="226"/>
      <c r="R4287" s="226"/>
      <c r="S4287" s="226"/>
      <c r="T4287" s="226"/>
      <c r="U4287" s="226"/>
    </row>
    <row r="4288" spans="16:21" x14ac:dyDescent="0.35">
      <c r="P4288" s="226"/>
      <c r="Q4288" s="226"/>
      <c r="R4288" s="226"/>
      <c r="S4288" s="226"/>
      <c r="T4288" s="226"/>
      <c r="U4288" s="226"/>
    </row>
    <row r="4289" spans="16:21" x14ac:dyDescent="0.35">
      <c r="P4289" s="226"/>
      <c r="Q4289" s="226"/>
      <c r="R4289" s="226"/>
      <c r="S4289" s="226"/>
      <c r="T4289" s="226"/>
      <c r="U4289" s="226"/>
    </row>
    <row r="4290" spans="16:21" x14ac:dyDescent="0.35">
      <c r="P4290" s="226"/>
      <c r="Q4290" s="226"/>
      <c r="R4290" s="226"/>
      <c r="S4290" s="226"/>
      <c r="T4290" s="226"/>
      <c r="U4290" s="226"/>
    </row>
    <row r="4291" spans="16:21" x14ac:dyDescent="0.35">
      <c r="P4291" s="226"/>
      <c r="Q4291" s="226"/>
      <c r="R4291" s="226"/>
      <c r="S4291" s="226"/>
      <c r="T4291" s="226"/>
      <c r="U4291" s="226"/>
    </row>
    <row r="4292" spans="16:21" x14ac:dyDescent="0.35">
      <c r="P4292" s="226"/>
      <c r="Q4292" s="226"/>
      <c r="R4292" s="226"/>
      <c r="S4292" s="226"/>
      <c r="T4292" s="226"/>
      <c r="U4292" s="226"/>
    </row>
    <row r="4293" spans="16:21" x14ac:dyDescent="0.35">
      <c r="P4293" s="226"/>
      <c r="Q4293" s="226"/>
      <c r="R4293" s="226"/>
      <c r="S4293" s="226"/>
      <c r="T4293" s="226"/>
      <c r="U4293" s="226"/>
    </row>
    <row r="4294" spans="16:21" x14ac:dyDescent="0.35">
      <c r="P4294" s="226"/>
      <c r="Q4294" s="226"/>
      <c r="R4294" s="226"/>
      <c r="S4294" s="226"/>
      <c r="T4294" s="226"/>
      <c r="U4294" s="226"/>
    </row>
    <row r="4295" spans="16:21" x14ac:dyDescent="0.35">
      <c r="P4295" s="226"/>
      <c r="Q4295" s="226"/>
      <c r="R4295" s="226"/>
      <c r="S4295" s="226"/>
      <c r="T4295" s="226"/>
      <c r="U4295" s="226"/>
    </row>
    <row r="4296" spans="16:21" x14ac:dyDescent="0.35">
      <c r="P4296" s="226"/>
      <c r="Q4296" s="226"/>
      <c r="R4296" s="226"/>
      <c r="S4296" s="226"/>
      <c r="T4296" s="226"/>
      <c r="U4296" s="226"/>
    </row>
    <row r="4297" spans="16:21" x14ac:dyDescent="0.35">
      <c r="P4297" s="226"/>
      <c r="Q4297" s="226"/>
      <c r="R4297" s="226"/>
      <c r="S4297" s="226"/>
      <c r="T4297" s="226"/>
      <c r="U4297" s="226"/>
    </row>
    <row r="4298" spans="16:21" x14ac:dyDescent="0.35">
      <c r="P4298" s="226"/>
      <c r="Q4298" s="226"/>
      <c r="R4298" s="226"/>
      <c r="S4298" s="226"/>
      <c r="T4298" s="226"/>
      <c r="U4298" s="226"/>
    </row>
    <row r="4299" spans="16:21" x14ac:dyDescent="0.35">
      <c r="P4299" s="226"/>
      <c r="Q4299" s="226"/>
      <c r="R4299" s="226"/>
      <c r="S4299" s="226"/>
      <c r="T4299" s="226"/>
      <c r="U4299" s="226"/>
    </row>
    <row r="4300" spans="16:21" x14ac:dyDescent="0.35">
      <c r="P4300" s="226"/>
      <c r="Q4300" s="226"/>
      <c r="R4300" s="226"/>
      <c r="S4300" s="226"/>
      <c r="T4300" s="226"/>
      <c r="U4300" s="226"/>
    </row>
    <row r="4301" spans="16:21" x14ac:dyDescent="0.35">
      <c r="P4301" s="226"/>
      <c r="Q4301" s="226"/>
      <c r="R4301" s="226"/>
      <c r="S4301" s="226"/>
      <c r="T4301" s="226"/>
      <c r="U4301" s="226"/>
    </row>
    <row r="4302" spans="16:21" x14ac:dyDescent="0.35">
      <c r="P4302" s="226"/>
      <c r="Q4302" s="226"/>
      <c r="R4302" s="226"/>
      <c r="S4302" s="226"/>
      <c r="T4302" s="226"/>
      <c r="U4302" s="226"/>
    </row>
    <row r="4303" spans="16:21" x14ac:dyDescent="0.35">
      <c r="P4303" s="226"/>
      <c r="Q4303" s="226"/>
      <c r="R4303" s="226"/>
      <c r="S4303" s="226"/>
      <c r="T4303" s="226"/>
      <c r="U4303" s="226"/>
    </row>
    <row r="4304" spans="16:21" x14ac:dyDescent="0.35">
      <c r="P4304" s="226"/>
      <c r="Q4304" s="226"/>
      <c r="R4304" s="226"/>
      <c r="S4304" s="226"/>
      <c r="T4304" s="226"/>
      <c r="U4304" s="226"/>
    </row>
    <row r="4305" spans="16:21" x14ac:dyDescent="0.35">
      <c r="P4305" s="226"/>
      <c r="Q4305" s="226"/>
      <c r="R4305" s="226"/>
      <c r="S4305" s="226"/>
      <c r="T4305" s="226"/>
      <c r="U4305" s="226"/>
    </row>
    <row r="4306" spans="16:21" x14ac:dyDescent="0.35">
      <c r="P4306" s="226"/>
      <c r="Q4306" s="226"/>
      <c r="R4306" s="226"/>
      <c r="S4306" s="226"/>
      <c r="T4306" s="226"/>
      <c r="U4306" s="226"/>
    </row>
    <row r="4307" spans="16:21" x14ac:dyDescent="0.35">
      <c r="P4307" s="226"/>
      <c r="Q4307" s="226"/>
      <c r="R4307" s="226"/>
      <c r="S4307" s="226"/>
      <c r="T4307" s="226"/>
      <c r="U4307" s="226"/>
    </row>
    <row r="4308" spans="16:21" x14ac:dyDescent="0.35">
      <c r="P4308" s="226"/>
      <c r="Q4308" s="226"/>
      <c r="R4308" s="226"/>
      <c r="S4308" s="226"/>
      <c r="T4308" s="226"/>
      <c r="U4308" s="226"/>
    </row>
    <row r="4309" spans="16:21" x14ac:dyDescent="0.35">
      <c r="P4309" s="226"/>
      <c r="Q4309" s="226"/>
      <c r="R4309" s="226"/>
      <c r="S4309" s="226"/>
      <c r="T4309" s="226"/>
      <c r="U4309" s="226"/>
    </row>
    <row r="4310" spans="16:21" x14ac:dyDescent="0.35">
      <c r="P4310" s="226"/>
      <c r="Q4310" s="226"/>
      <c r="R4310" s="226"/>
      <c r="S4310" s="226"/>
      <c r="T4310" s="226"/>
      <c r="U4310" s="226"/>
    </row>
    <row r="4311" spans="16:21" x14ac:dyDescent="0.35">
      <c r="P4311" s="226"/>
      <c r="Q4311" s="226"/>
      <c r="R4311" s="226"/>
      <c r="S4311" s="226"/>
      <c r="T4311" s="226"/>
      <c r="U4311" s="226"/>
    </row>
    <row r="4312" spans="16:21" x14ac:dyDescent="0.35">
      <c r="P4312" s="226"/>
      <c r="Q4312" s="226"/>
      <c r="R4312" s="226"/>
      <c r="S4312" s="226"/>
      <c r="T4312" s="226"/>
      <c r="U4312" s="226"/>
    </row>
    <row r="4313" spans="16:21" x14ac:dyDescent="0.35">
      <c r="P4313" s="226"/>
      <c r="Q4313" s="226"/>
      <c r="R4313" s="226"/>
      <c r="S4313" s="226"/>
      <c r="T4313" s="226"/>
      <c r="U4313" s="226"/>
    </row>
    <row r="4314" spans="16:21" x14ac:dyDescent="0.35">
      <c r="P4314" s="226"/>
      <c r="Q4314" s="226"/>
      <c r="R4314" s="226"/>
      <c r="S4314" s="226"/>
      <c r="T4314" s="226"/>
      <c r="U4314" s="226"/>
    </row>
    <row r="4315" spans="16:21" x14ac:dyDescent="0.35">
      <c r="P4315" s="226"/>
      <c r="Q4315" s="226"/>
      <c r="R4315" s="226"/>
      <c r="S4315" s="226"/>
      <c r="T4315" s="226"/>
      <c r="U4315" s="226"/>
    </row>
    <row r="4316" spans="16:21" x14ac:dyDescent="0.35">
      <c r="P4316" s="226"/>
      <c r="Q4316" s="226"/>
      <c r="R4316" s="226"/>
      <c r="S4316" s="226"/>
      <c r="T4316" s="226"/>
      <c r="U4316" s="226"/>
    </row>
    <row r="4317" spans="16:21" x14ac:dyDescent="0.35">
      <c r="P4317" s="226"/>
      <c r="Q4317" s="226"/>
      <c r="R4317" s="226"/>
      <c r="S4317" s="226"/>
      <c r="T4317" s="226"/>
      <c r="U4317" s="226"/>
    </row>
    <row r="4318" spans="16:21" x14ac:dyDescent="0.35">
      <c r="P4318" s="226"/>
      <c r="Q4318" s="226"/>
      <c r="R4318" s="226"/>
      <c r="S4318" s="226"/>
      <c r="T4318" s="226"/>
      <c r="U4318" s="226"/>
    </row>
    <row r="4319" spans="16:21" x14ac:dyDescent="0.35">
      <c r="P4319" s="226"/>
      <c r="Q4319" s="226"/>
      <c r="R4319" s="226"/>
      <c r="S4319" s="226"/>
      <c r="T4319" s="226"/>
      <c r="U4319" s="226"/>
    </row>
    <row r="4320" spans="16:21" x14ac:dyDescent="0.35">
      <c r="P4320" s="226"/>
      <c r="Q4320" s="226"/>
      <c r="R4320" s="226"/>
      <c r="S4320" s="226"/>
      <c r="T4320" s="226"/>
      <c r="U4320" s="226"/>
    </row>
    <row r="4321" spans="16:21" x14ac:dyDescent="0.35">
      <c r="P4321" s="226"/>
      <c r="Q4321" s="226"/>
      <c r="R4321" s="226"/>
      <c r="S4321" s="226"/>
      <c r="T4321" s="226"/>
      <c r="U4321" s="226"/>
    </row>
    <row r="4322" spans="16:21" x14ac:dyDescent="0.35">
      <c r="P4322" s="226"/>
      <c r="Q4322" s="226"/>
      <c r="R4322" s="226"/>
      <c r="S4322" s="226"/>
      <c r="T4322" s="226"/>
      <c r="U4322" s="226"/>
    </row>
    <row r="4323" spans="16:21" x14ac:dyDescent="0.35">
      <c r="P4323" s="226"/>
      <c r="Q4323" s="226"/>
      <c r="R4323" s="226"/>
      <c r="S4323" s="226"/>
      <c r="T4323" s="226"/>
      <c r="U4323" s="226"/>
    </row>
    <row r="4324" spans="16:21" x14ac:dyDescent="0.35">
      <c r="P4324" s="226"/>
      <c r="Q4324" s="226"/>
      <c r="R4324" s="226"/>
      <c r="S4324" s="226"/>
      <c r="T4324" s="226"/>
      <c r="U4324" s="226"/>
    </row>
    <row r="4325" spans="16:21" x14ac:dyDescent="0.35">
      <c r="P4325" s="226"/>
      <c r="Q4325" s="226"/>
      <c r="R4325" s="226"/>
      <c r="S4325" s="226"/>
      <c r="T4325" s="226"/>
      <c r="U4325" s="226"/>
    </row>
    <row r="4326" spans="16:21" x14ac:dyDescent="0.35">
      <c r="P4326" s="226"/>
      <c r="Q4326" s="226"/>
      <c r="R4326" s="226"/>
      <c r="S4326" s="226"/>
      <c r="T4326" s="226"/>
      <c r="U4326" s="226"/>
    </row>
    <row r="4327" spans="16:21" x14ac:dyDescent="0.35">
      <c r="P4327" s="226"/>
      <c r="Q4327" s="226"/>
      <c r="R4327" s="226"/>
      <c r="S4327" s="226"/>
      <c r="T4327" s="226"/>
      <c r="U4327" s="226"/>
    </row>
    <row r="4328" spans="16:21" x14ac:dyDescent="0.35">
      <c r="P4328" s="226"/>
      <c r="Q4328" s="226"/>
      <c r="R4328" s="226"/>
      <c r="S4328" s="226"/>
      <c r="T4328" s="226"/>
      <c r="U4328" s="226"/>
    </row>
    <row r="4329" spans="16:21" x14ac:dyDescent="0.35">
      <c r="P4329" s="226"/>
      <c r="Q4329" s="226"/>
      <c r="R4329" s="226"/>
      <c r="S4329" s="226"/>
      <c r="T4329" s="226"/>
      <c r="U4329" s="226"/>
    </row>
    <row r="4330" spans="16:21" x14ac:dyDescent="0.35">
      <c r="P4330" s="226"/>
      <c r="Q4330" s="226"/>
      <c r="R4330" s="226"/>
      <c r="S4330" s="226"/>
      <c r="T4330" s="226"/>
      <c r="U4330" s="226"/>
    </row>
    <row r="4331" spans="16:21" x14ac:dyDescent="0.35">
      <c r="P4331" s="226"/>
      <c r="Q4331" s="226"/>
      <c r="R4331" s="226"/>
      <c r="S4331" s="226"/>
      <c r="T4331" s="226"/>
      <c r="U4331" s="226"/>
    </row>
    <row r="4332" spans="16:21" x14ac:dyDescent="0.35">
      <c r="P4332" s="226"/>
      <c r="Q4332" s="226"/>
      <c r="R4332" s="226"/>
      <c r="S4332" s="226"/>
      <c r="T4332" s="226"/>
      <c r="U4332" s="226"/>
    </row>
    <row r="4333" spans="16:21" x14ac:dyDescent="0.35">
      <c r="P4333" s="226"/>
      <c r="Q4333" s="226"/>
      <c r="R4333" s="226"/>
      <c r="S4333" s="226"/>
      <c r="T4333" s="226"/>
      <c r="U4333" s="226"/>
    </row>
    <row r="4334" spans="16:21" x14ac:dyDescent="0.35">
      <c r="P4334" s="226"/>
      <c r="Q4334" s="226"/>
      <c r="R4334" s="226"/>
      <c r="S4334" s="226"/>
      <c r="T4334" s="226"/>
      <c r="U4334" s="226"/>
    </row>
    <row r="4335" spans="16:21" x14ac:dyDescent="0.35">
      <c r="P4335" s="226"/>
      <c r="Q4335" s="226"/>
      <c r="R4335" s="226"/>
      <c r="S4335" s="226"/>
      <c r="T4335" s="226"/>
      <c r="U4335" s="226"/>
    </row>
    <row r="4336" spans="16:21" x14ac:dyDescent="0.35">
      <c r="P4336" s="226"/>
      <c r="Q4336" s="226"/>
      <c r="R4336" s="226"/>
      <c r="S4336" s="226"/>
      <c r="T4336" s="226"/>
      <c r="U4336" s="226"/>
    </row>
    <row r="4337" spans="16:21" x14ac:dyDescent="0.35">
      <c r="P4337" s="226"/>
      <c r="Q4337" s="226"/>
      <c r="R4337" s="226"/>
      <c r="S4337" s="226"/>
      <c r="T4337" s="226"/>
      <c r="U4337" s="226"/>
    </row>
    <row r="4338" spans="16:21" x14ac:dyDescent="0.35">
      <c r="P4338" s="226"/>
      <c r="Q4338" s="226"/>
      <c r="R4338" s="226"/>
      <c r="S4338" s="226"/>
      <c r="T4338" s="226"/>
      <c r="U4338" s="226"/>
    </row>
    <row r="4339" spans="16:21" x14ac:dyDescent="0.35">
      <c r="P4339" s="226"/>
      <c r="Q4339" s="226"/>
      <c r="R4339" s="226"/>
      <c r="S4339" s="226"/>
      <c r="T4339" s="226"/>
      <c r="U4339" s="226"/>
    </row>
    <row r="4340" spans="16:21" x14ac:dyDescent="0.35">
      <c r="P4340" s="226"/>
      <c r="Q4340" s="226"/>
      <c r="R4340" s="226"/>
      <c r="S4340" s="226"/>
      <c r="T4340" s="226"/>
      <c r="U4340" s="226"/>
    </row>
    <row r="4341" spans="16:21" x14ac:dyDescent="0.35">
      <c r="P4341" s="226"/>
      <c r="Q4341" s="226"/>
      <c r="R4341" s="226"/>
      <c r="S4341" s="226"/>
      <c r="T4341" s="226"/>
      <c r="U4341" s="226"/>
    </row>
    <row r="4342" spans="16:21" x14ac:dyDescent="0.35">
      <c r="P4342" s="226"/>
      <c r="Q4342" s="226"/>
      <c r="R4342" s="226"/>
      <c r="S4342" s="226"/>
      <c r="T4342" s="226"/>
      <c r="U4342" s="226"/>
    </row>
    <row r="4343" spans="16:21" x14ac:dyDescent="0.35">
      <c r="P4343" s="226"/>
      <c r="Q4343" s="226"/>
      <c r="R4343" s="226"/>
      <c r="S4343" s="226"/>
      <c r="T4343" s="226"/>
      <c r="U4343" s="226"/>
    </row>
    <row r="4344" spans="16:21" x14ac:dyDescent="0.35">
      <c r="P4344" s="226"/>
      <c r="Q4344" s="226"/>
      <c r="R4344" s="226"/>
      <c r="S4344" s="226"/>
      <c r="T4344" s="226"/>
      <c r="U4344" s="226"/>
    </row>
    <row r="4345" spans="16:21" x14ac:dyDescent="0.35">
      <c r="P4345" s="226"/>
      <c r="Q4345" s="226"/>
      <c r="R4345" s="226"/>
      <c r="S4345" s="226"/>
      <c r="T4345" s="226"/>
      <c r="U4345" s="226"/>
    </row>
    <row r="4346" spans="16:21" x14ac:dyDescent="0.35">
      <c r="P4346" s="226"/>
      <c r="Q4346" s="226"/>
      <c r="R4346" s="226"/>
      <c r="S4346" s="226"/>
      <c r="T4346" s="226"/>
      <c r="U4346" s="226"/>
    </row>
    <row r="4347" spans="16:21" x14ac:dyDescent="0.35">
      <c r="P4347" s="226"/>
      <c r="Q4347" s="226"/>
      <c r="R4347" s="226"/>
      <c r="S4347" s="226"/>
      <c r="T4347" s="226"/>
      <c r="U4347" s="226"/>
    </row>
    <row r="4348" spans="16:21" x14ac:dyDescent="0.35">
      <c r="P4348" s="226"/>
      <c r="Q4348" s="226"/>
      <c r="R4348" s="226"/>
      <c r="S4348" s="226"/>
      <c r="T4348" s="226"/>
      <c r="U4348" s="226"/>
    </row>
    <row r="4349" spans="16:21" x14ac:dyDescent="0.35">
      <c r="P4349" s="226"/>
      <c r="Q4349" s="226"/>
      <c r="R4349" s="226"/>
      <c r="S4349" s="226"/>
      <c r="T4349" s="226"/>
      <c r="U4349" s="226"/>
    </row>
    <row r="4350" spans="16:21" x14ac:dyDescent="0.35">
      <c r="P4350" s="226"/>
      <c r="Q4350" s="226"/>
      <c r="R4350" s="226"/>
      <c r="S4350" s="226"/>
      <c r="T4350" s="226"/>
      <c r="U4350" s="226"/>
    </row>
    <row r="4351" spans="16:21" x14ac:dyDescent="0.35">
      <c r="P4351" s="226"/>
      <c r="Q4351" s="226"/>
      <c r="R4351" s="226"/>
      <c r="S4351" s="226"/>
      <c r="T4351" s="226"/>
      <c r="U4351" s="226"/>
    </row>
    <row r="4352" spans="16:21" x14ac:dyDescent="0.35">
      <c r="P4352" s="226"/>
      <c r="Q4352" s="226"/>
      <c r="R4352" s="226"/>
      <c r="S4352" s="226"/>
      <c r="T4352" s="226"/>
      <c r="U4352" s="226"/>
    </row>
    <row r="4353" spans="16:21" x14ac:dyDescent="0.35">
      <c r="P4353" s="226"/>
      <c r="Q4353" s="226"/>
      <c r="R4353" s="226"/>
      <c r="S4353" s="226"/>
      <c r="T4353" s="226"/>
      <c r="U4353" s="226"/>
    </row>
    <row r="4354" spans="16:21" x14ac:dyDescent="0.35">
      <c r="P4354" s="226"/>
      <c r="Q4354" s="226"/>
      <c r="R4354" s="226"/>
      <c r="S4354" s="226"/>
      <c r="T4354" s="226"/>
      <c r="U4354" s="226"/>
    </row>
    <row r="4355" spans="16:21" x14ac:dyDescent="0.35">
      <c r="P4355" s="226"/>
      <c r="Q4355" s="226"/>
      <c r="R4355" s="226"/>
      <c r="S4355" s="226"/>
      <c r="T4355" s="226"/>
      <c r="U4355" s="226"/>
    </row>
    <row r="4356" spans="16:21" x14ac:dyDescent="0.35">
      <c r="P4356" s="226"/>
      <c r="Q4356" s="226"/>
      <c r="R4356" s="226"/>
      <c r="S4356" s="226"/>
      <c r="T4356" s="226"/>
      <c r="U4356" s="226"/>
    </row>
    <row r="4357" spans="16:21" x14ac:dyDescent="0.35">
      <c r="P4357" s="226"/>
      <c r="Q4357" s="226"/>
      <c r="R4357" s="226"/>
      <c r="S4357" s="226"/>
      <c r="T4357" s="226"/>
      <c r="U4357" s="226"/>
    </row>
    <row r="4358" spans="16:21" x14ac:dyDescent="0.35">
      <c r="P4358" s="226"/>
      <c r="Q4358" s="226"/>
      <c r="R4358" s="226"/>
      <c r="S4358" s="226"/>
      <c r="T4358" s="226"/>
      <c r="U4358" s="226"/>
    </row>
    <row r="4359" spans="16:21" x14ac:dyDescent="0.35">
      <c r="P4359" s="226"/>
      <c r="Q4359" s="226"/>
      <c r="R4359" s="226"/>
      <c r="S4359" s="226"/>
      <c r="T4359" s="226"/>
      <c r="U4359" s="226"/>
    </row>
    <row r="4360" spans="16:21" x14ac:dyDescent="0.35">
      <c r="P4360" s="226"/>
      <c r="Q4360" s="226"/>
      <c r="R4360" s="226"/>
      <c r="S4360" s="226"/>
      <c r="T4360" s="226"/>
      <c r="U4360" s="226"/>
    </row>
    <row r="4361" spans="16:21" x14ac:dyDescent="0.35">
      <c r="P4361" s="226"/>
      <c r="Q4361" s="226"/>
      <c r="R4361" s="226"/>
      <c r="S4361" s="226"/>
      <c r="T4361" s="226"/>
      <c r="U4361" s="226"/>
    </row>
    <row r="4362" spans="16:21" x14ac:dyDescent="0.35">
      <c r="P4362" s="226"/>
      <c r="Q4362" s="226"/>
      <c r="R4362" s="226"/>
      <c r="S4362" s="226"/>
      <c r="T4362" s="226"/>
      <c r="U4362" s="226"/>
    </row>
    <row r="4363" spans="16:21" x14ac:dyDescent="0.35">
      <c r="P4363" s="226"/>
      <c r="Q4363" s="226"/>
      <c r="R4363" s="226"/>
      <c r="S4363" s="226"/>
      <c r="T4363" s="226"/>
      <c r="U4363" s="226"/>
    </row>
    <row r="4364" spans="16:21" x14ac:dyDescent="0.35">
      <c r="P4364" s="226"/>
      <c r="Q4364" s="226"/>
      <c r="R4364" s="226"/>
      <c r="S4364" s="226"/>
      <c r="T4364" s="226"/>
      <c r="U4364" s="226"/>
    </row>
    <row r="4365" spans="16:21" x14ac:dyDescent="0.35">
      <c r="P4365" s="226"/>
      <c r="Q4365" s="226"/>
      <c r="R4365" s="226"/>
      <c r="S4365" s="226"/>
      <c r="T4365" s="226"/>
      <c r="U4365" s="226"/>
    </row>
    <row r="4366" spans="16:21" x14ac:dyDescent="0.35">
      <c r="P4366" s="226"/>
      <c r="Q4366" s="226"/>
      <c r="R4366" s="226"/>
      <c r="S4366" s="226"/>
      <c r="T4366" s="226"/>
      <c r="U4366" s="226"/>
    </row>
    <row r="4367" spans="16:21" x14ac:dyDescent="0.35">
      <c r="P4367" s="226"/>
      <c r="Q4367" s="226"/>
      <c r="R4367" s="226"/>
      <c r="S4367" s="226"/>
      <c r="T4367" s="226"/>
      <c r="U4367" s="226"/>
    </row>
    <row r="4368" spans="16:21" x14ac:dyDescent="0.35">
      <c r="P4368" s="226"/>
      <c r="Q4368" s="226"/>
      <c r="R4368" s="226"/>
      <c r="S4368" s="226"/>
      <c r="T4368" s="226"/>
      <c r="U4368" s="226"/>
    </row>
    <row r="4369" spans="16:21" x14ac:dyDescent="0.35">
      <c r="P4369" s="226"/>
      <c r="Q4369" s="226"/>
      <c r="R4369" s="226"/>
      <c r="S4369" s="226"/>
      <c r="T4369" s="226"/>
      <c r="U4369" s="226"/>
    </row>
    <row r="4370" spans="16:21" x14ac:dyDescent="0.35">
      <c r="P4370" s="226"/>
      <c r="Q4370" s="226"/>
      <c r="R4370" s="226"/>
      <c r="S4370" s="226"/>
      <c r="T4370" s="226"/>
      <c r="U4370" s="226"/>
    </row>
    <row r="4371" spans="16:21" x14ac:dyDescent="0.35">
      <c r="P4371" s="226"/>
      <c r="Q4371" s="226"/>
      <c r="R4371" s="226"/>
      <c r="S4371" s="226"/>
      <c r="T4371" s="226"/>
      <c r="U4371" s="226"/>
    </row>
    <row r="4372" spans="16:21" x14ac:dyDescent="0.35">
      <c r="P4372" s="226"/>
      <c r="Q4372" s="226"/>
      <c r="R4372" s="226"/>
      <c r="S4372" s="226"/>
      <c r="T4372" s="226"/>
      <c r="U4372" s="226"/>
    </row>
    <row r="4373" spans="16:21" x14ac:dyDescent="0.35">
      <c r="P4373" s="226"/>
      <c r="Q4373" s="226"/>
      <c r="R4373" s="226"/>
      <c r="S4373" s="226"/>
      <c r="T4373" s="226"/>
      <c r="U4373" s="226"/>
    </row>
    <row r="4374" spans="16:21" x14ac:dyDescent="0.35">
      <c r="P4374" s="226"/>
      <c r="Q4374" s="226"/>
      <c r="R4374" s="226"/>
      <c r="S4374" s="226"/>
      <c r="T4374" s="226"/>
      <c r="U4374" s="226"/>
    </row>
    <row r="4375" spans="16:21" x14ac:dyDescent="0.35">
      <c r="P4375" s="226"/>
      <c r="Q4375" s="226"/>
      <c r="R4375" s="226"/>
      <c r="S4375" s="226"/>
      <c r="T4375" s="226"/>
      <c r="U4375" s="226"/>
    </row>
    <row r="4376" spans="16:21" x14ac:dyDescent="0.35">
      <c r="P4376" s="226"/>
      <c r="Q4376" s="226"/>
      <c r="R4376" s="226"/>
      <c r="S4376" s="226"/>
      <c r="T4376" s="226"/>
      <c r="U4376" s="226"/>
    </row>
    <row r="4377" spans="16:21" x14ac:dyDescent="0.35">
      <c r="P4377" s="226"/>
      <c r="Q4377" s="226"/>
      <c r="R4377" s="226"/>
      <c r="S4377" s="226"/>
      <c r="T4377" s="226"/>
      <c r="U4377" s="226"/>
    </row>
    <row r="4378" spans="16:21" x14ac:dyDescent="0.35">
      <c r="P4378" s="226"/>
      <c r="Q4378" s="226"/>
      <c r="R4378" s="226"/>
      <c r="S4378" s="226"/>
      <c r="T4378" s="226"/>
      <c r="U4378" s="226"/>
    </row>
    <row r="4379" spans="16:21" x14ac:dyDescent="0.35">
      <c r="P4379" s="226"/>
      <c r="Q4379" s="226"/>
      <c r="R4379" s="226"/>
      <c r="S4379" s="226"/>
      <c r="T4379" s="226"/>
      <c r="U4379" s="226"/>
    </row>
    <row r="4380" spans="16:21" x14ac:dyDescent="0.35">
      <c r="P4380" s="226"/>
      <c r="Q4380" s="226"/>
      <c r="R4380" s="226"/>
      <c r="S4380" s="226"/>
      <c r="T4380" s="226"/>
      <c r="U4380" s="226"/>
    </row>
    <row r="4381" spans="16:21" x14ac:dyDescent="0.35">
      <c r="P4381" s="226"/>
      <c r="Q4381" s="226"/>
      <c r="R4381" s="226"/>
      <c r="S4381" s="226"/>
      <c r="T4381" s="226"/>
      <c r="U4381" s="226"/>
    </row>
    <row r="4382" spans="16:21" x14ac:dyDescent="0.35">
      <c r="P4382" s="226"/>
      <c r="Q4382" s="226"/>
      <c r="R4382" s="226"/>
      <c r="S4382" s="226"/>
      <c r="T4382" s="226"/>
      <c r="U4382" s="226"/>
    </row>
    <row r="4383" spans="16:21" x14ac:dyDescent="0.35">
      <c r="P4383" s="226"/>
      <c r="Q4383" s="226"/>
      <c r="R4383" s="226"/>
      <c r="S4383" s="226"/>
      <c r="T4383" s="226"/>
      <c r="U4383" s="226"/>
    </row>
    <row r="4384" spans="16:21" x14ac:dyDescent="0.35">
      <c r="P4384" s="226"/>
      <c r="Q4384" s="226"/>
      <c r="R4384" s="226"/>
      <c r="S4384" s="226"/>
      <c r="T4384" s="226"/>
      <c r="U4384" s="226"/>
    </row>
    <row r="4385" spans="16:21" x14ac:dyDescent="0.35">
      <c r="P4385" s="226"/>
      <c r="Q4385" s="226"/>
      <c r="R4385" s="226"/>
      <c r="S4385" s="226"/>
      <c r="T4385" s="226"/>
      <c r="U4385" s="226"/>
    </row>
    <row r="4386" spans="16:21" x14ac:dyDescent="0.35">
      <c r="P4386" s="226"/>
      <c r="Q4386" s="226"/>
      <c r="R4386" s="226"/>
      <c r="S4386" s="226"/>
      <c r="T4386" s="226"/>
      <c r="U4386" s="226"/>
    </row>
    <row r="4387" spans="16:21" x14ac:dyDescent="0.35">
      <c r="P4387" s="226"/>
      <c r="Q4387" s="226"/>
      <c r="R4387" s="226"/>
      <c r="S4387" s="226"/>
      <c r="T4387" s="226"/>
      <c r="U4387" s="226"/>
    </row>
    <row r="4388" spans="16:21" x14ac:dyDescent="0.35">
      <c r="P4388" s="226"/>
      <c r="Q4388" s="226"/>
      <c r="R4388" s="226"/>
      <c r="S4388" s="226"/>
      <c r="T4388" s="226"/>
      <c r="U4388" s="226"/>
    </row>
    <row r="4389" spans="16:21" x14ac:dyDescent="0.35">
      <c r="P4389" s="226"/>
      <c r="Q4389" s="226"/>
      <c r="R4389" s="226"/>
      <c r="S4389" s="226"/>
      <c r="T4389" s="226"/>
      <c r="U4389" s="226"/>
    </row>
    <row r="4390" spans="16:21" x14ac:dyDescent="0.35">
      <c r="P4390" s="226"/>
      <c r="Q4390" s="226"/>
      <c r="R4390" s="226"/>
      <c r="S4390" s="226"/>
      <c r="T4390" s="226"/>
      <c r="U4390" s="226"/>
    </row>
    <row r="4391" spans="16:21" x14ac:dyDescent="0.35">
      <c r="P4391" s="226"/>
      <c r="Q4391" s="226"/>
      <c r="R4391" s="226"/>
      <c r="S4391" s="226"/>
      <c r="T4391" s="226"/>
      <c r="U4391" s="226"/>
    </row>
    <row r="4392" spans="16:21" x14ac:dyDescent="0.35">
      <c r="P4392" s="226"/>
      <c r="Q4392" s="226"/>
      <c r="R4392" s="226"/>
      <c r="S4392" s="226"/>
      <c r="T4392" s="226"/>
      <c r="U4392" s="226"/>
    </row>
    <row r="4393" spans="16:21" x14ac:dyDescent="0.35">
      <c r="P4393" s="226"/>
      <c r="Q4393" s="226"/>
      <c r="R4393" s="226"/>
      <c r="S4393" s="226"/>
      <c r="T4393" s="226"/>
      <c r="U4393" s="226"/>
    </row>
    <row r="4394" spans="16:21" x14ac:dyDescent="0.35">
      <c r="P4394" s="226"/>
      <c r="Q4394" s="226"/>
      <c r="R4394" s="226"/>
      <c r="S4394" s="226"/>
      <c r="T4394" s="226"/>
      <c r="U4394" s="226"/>
    </row>
    <row r="4395" spans="16:21" x14ac:dyDescent="0.35">
      <c r="P4395" s="226"/>
      <c r="Q4395" s="226"/>
      <c r="R4395" s="226"/>
      <c r="S4395" s="226"/>
      <c r="T4395" s="226"/>
      <c r="U4395" s="226"/>
    </row>
    <row r="4396" spans="16:21" x14ac:dyDescent="0.35">
      <c r="P4396" s="226"/>
      <c r="Q4396" s="226"/>
      <c r="R4396" s="226"/>
      <c r="S4396" s="226"/>
      <c r="T4396" s="226"/>
      <c r="U4396" s="226"/>
    </row>
    <row r="4397" spans="16:21" x14ac:dyDescent="0.35">
      <c r="P4397" s="226"/>
      <c r="Q4397" s="226"/>
      <c r="R4397" s="226"/>
      <c r="S4397" s="226"/>
      <c r="T4397" s="226"/>
      <c r="U4397" s="226"/>
    </row>
    <row r="4398" spans="16:21" x14ac:dyDescent="0.35">
      <c r="P4398" s="226"/>
      <c r="Q4398" s="226"/>
      <c r="R4398" s="226"/>
      <c r="S4398" s="226"/>
      <c r="T4398" s="226"/>
      <c r="U4398" s="226"/>
    </row>
    <row r="4399" spans="16:21" x14ac:dyDescent="0.35">
      <c r="P4399" s="226"/>
      <c r="Q4399" s="226"/>
      <c r="R4399" s="226"/>
      <c r="S4399" s="226"/>
      <c r="T4399" s="226"/>
      <c r="U4399" s="226"/>
    </row>
    <row r="4400" spans="16:21" x14ac:dyDescent="0.35">
      <c r="P4400" s="226"/>
      <c r="Q4400" s="226"/>
      <c r="R4400" s="226"/>
      <c r="S4400" s="226"/>
      <c r="T4400" s="226"/>
      <c r="U4400" s="226"/>
    </row>
    <row r="4401" spans="16:21" x14ac:dyDescent="0.35">
      <c r="P4401" s="226"/>
      <c r="Q4401" s="226"/>
      <c r="R4401" s="226"/>
      <c r="S4401" s="226"/>
      <c r="T4401" s="226"/>
      <c r="U4401" s="226"/>
    </row>
    <row r="4402" spans="16:21" x14ac:dyDescent="0.35">
      <c r="P4402" s="226"/>
      <c r="Q4402" s="226"/>
      <c r="R4402" s="226"/>
      <c r="S4402" s="226"/>
      <c r="T4402" s="226"/>
      <c r="U4402" s="226"/>
    </row>
    <row r="4403" spans="16:21" x14ac:dyDescent="0.35">
      <c r="P4403" s="226"/>
      <c r="Q4403" s="226"/>
      <c r="R4403" s="226"/>
      <c r="S4403" s="226"/>
      <c r="T4403" s="226"/>
      <c r="U4403" s="226"/>
    </row>
    <row r="4404" spans="16:21" x14ac:dyDescent="0.35">
      <c r="P4404" s="226"/>
      <c r="Q4404" s="226"/>
      <c r="R4404" s="226"/>
      <c r="S4404" s="226"/>
      <c r="T4404" s="226"/>
      <c r="U4404" s="226"/>
    </row>
    <row r="4405" spans="16:21" x14ac:dyDescent="0.35">
      <c r="P4405" s="226"/>
      <c r="Q4405" s="226"/>
      <c r="R4405" s="226"/>
      <c r="S4405" s="226"/>
      <c r="T4405" s="226"/>
      <c r="U4405" s="226"/>
    </row>
    <row r="4406" spans="16:21" x14ac:dyDescent="0.35">
      <c r="P4406" s="226"/>
      <c r="Q4406" s="226"/>
      <c r="R4406" s="226"/>
      <c r="S4406" s="226"/>
      <c r="T4406" s="226"/>
      <c r="U4406" s="226"/>
    </row>
    <row r="4407" spans="16:21" x14ac:dyDescent="0.35">
      <c r="P4407" s="226"/>
      <c r="Q4407" s="226"/>
      <c r="R4407" s="226"/>
      <c r="S4407" s="226"/>
      <c r="T4407" s="226"/>
      <c r="U4407" s="226"/>
    </row>
    <row r="4408" spans="16:21" x14ac:dyDescent="0.35">
      <c r="P4408" s="226"/>
      <c r="Q4408" s="226"/>
      <c r="R4408" s="226"/>
      <c r="S4408" s="226"/>
      <c r="T4408" s="226"/>
      <c r="U4408" s="226"/>
    </row>
    <row r="4409" spans="16:21" x14ac:dyDescent="0.35">
      <c r="P4409" s="226"/>
      <c r="Q4409" s="226"/>
      <c r="R4409" s="226"/>
      <c r="S4409" s="226"/>
      <c r="T4409" s="226"/>
      <c r="U4409" s="226"/>
    </row>
    <row r="4410" spans="16:21" x14ac:dyDescent="0.35">
      <c r="P4410" s="226"/>
      <c r="Q4410" s="226"/>
      <c r="R4410" s="226"/>
      <c r="S4410" s="226"/>
      <c r="T4410" s="226"/>
      <c r="U4410" s="226"/>
    </row>
    <row r="4411" spans="16:21" x14ac:dyDescent="0.35">
      <c r="P4411" s="226"/>
      <c r="Q4411" s="226"/>
      <c r="R4411" s="226"/>
      <c r="S4411" s="226"/>
      <c r="T4411" s="226"/>
      <c r="U4411" s="226"/>
    </row>
    <row r="4412" spans="16:21" x14ac:dyDescent="0.35">
      <c r="P4412" s="226"/>
      <c r="Q4412" s="226"/>
      <c r="R4412" s="226"/>
      <c r="S4412" s="226"/>
      <c r="T4412" s="226"/>
      <c r="U4412" s="226"/>
    </row>
    <row r="4413" spans="16:21" x14ac:dyDescent="0.35">
      <c r="P4413" s="226"/>
      <c r="Q4413" s="226"/>
      <c r="R4413" s="226"/>
      <c r="S4413" s="226"/>
      <c r="T4413" s="226"/>
      <c r="U4413" s="226"/>
    </row>
    <row r="4414" spans="16:21" x14ac:dyDescent="0.35">
      <c r="P4414" s="226"/>
      <c r="Q4414" s="226"/>
      <c r="R4414" s="226"/>
      <c r="S4414" s="226"/>
      <c r="T4414" s="226"/>
      <c r="U4414" s="226"/>
    </row>
    <row r="4415" spans="16:21" x14ac:dyDescent="0.35">
      <c r="P4415" s="226"/>
      <c r="Q4415" s="226"/>
      <c r="R4415" s="226"/>
      <c r="S4415" s="226"/>
      <c r="T4415" s="226"/>
      <c r="U4415" s="226"/>
    </row>
    <row r="4416" spans="16:21" x14ac:dyDescent="0.35">
      <c r="P4416" s="226"/>
      <c r="Q4416" s="226"/>
      <c r="R4416" s="226"/>
      <c r="S4416" s="226"/>
      <c r="T4416" s="226"/>
      <c r="U4416" s="226"/>
    </row>
    <row r="4417" spans="16:21" x14ac:dyDescent="0.35">
      <c r="P4417" s="226"/>
      <c r="Q4417" s="226"/>
      <c r="R4417" s="226"/>
      <c r="S4417" s="226"/>
      <c r="T4417" s="226"/>
      <c r="U4417" s="226"/>
    </row>
    <row r="4418" spans="16:21" x14ac:dyDescent="0.35">
      <c r="P4418" s="226"/>
      <c r="Q4418" s="226"/>
      <c r="R4418" s="226"/>
      <c r="S4418" s="226"/>
      <c r="T4418" s="226"/>
      <c r="U4418" s="226"/>
    </row>
    <row r="4419" spans="16:21" x14ac:dyDescent="0.35">
      <c r="P4419" s="226"/>
      <c r="Q4419" s="226"/>
      <c r="R4419" s="226"/>
      <c r="S4419" s="226"/>
      <c r="T4419" s="226"/>
      <c r="U4419" s="226"/>
    </row>
    <row r="4420" spans="16:21" x14ac:dyDescent="0.35">
      <c r="P4420" s="226"/>
      <c r="Q4420" s="226"/>
      <c r="R4420" s="226"/>
      <c r="S4420" s="226"/>
      <c r="T4420" s="226"/>
      <c r="U4420" s="226"/>
    </row>
    <row r="4421" spans="16:21" x14ac:dyDescent="0.35">
      <c r="P4421" s="226"/>
      <c r="Q4421" s="226"/>
      <c r="R4421" s="226"/>
      <c r="S4421" s="226"/>
      <c r="T4421" s="226"/>
      <c r="U4421" s="226"/>
    </row>
    <row r="4422" spans="16:21" x14ac:dyDescent="0.35">
      <c r="P4422" s="226"/>
      <c r="Q4422" s="226"/>
      <c r="R4422" s="226"/>
      <c r="S4422" s="226"/>
      <c r="T4422" s="226"/>
      <c r="U4422" s="226"/>
    </row>
    <row r="4423" spans="16:21" x14ac:dyDescent="0.35">
      <c r="P4423" s="226"/>
      <c r="Q4423" s="226"/>
      <c r="R4423" s="226"/>
      <c r="S4423" s="226"/>
      <c r="T4423" s="226"/>
      <c r="U4423" s="226"/>
    </row>
    <row r="4424" spans="16:21" x14ac:dyDescent="0.35">
      <c r="P4424" s="226"/>
      <c r="Q4424" s="226"/>
      <c r="R4424" s="226"/>
      <c r="S4424" s="226"/>
      <c r="T4424" s="226"/>
      <c r="U4424" s="226"/>
    </row>
    <row r="4425" spans="16:21" x14ac:dyDescent="0.35">
      <c r="P4425" s="226"/>
      <c r="Q4425" s="226"/>
      <c r="R4425" s="226"/>
      <c r="S4425" s="226"/>
      <c r="T4425" s="226"/>
      <c r="U4425" s="226"/>
    </row>
    <row r="4426" spans="16:21" x14ac:dyDescent="0.35">
      <c r="P4426" s="226"/>
      <c r="Q4426" s="226"/>
      <c r="R4426" s="226"/>
      <c r="S4426" s="226"/>
      <c r="T4426" s="226"/>
      <c r="U4426" s="226"/>
    </row>
    <row r="4427" spans="16:21" x14ac:dyDescent="0.35">
      <c r="P4427" s="226"/>
      <c r="Q4427" s="226"/>
      <c r="R4427" s="226"/>
      <c r="S4427" s="226"/>
      <c r="T4427" s="226"/>
      <c r="U4427" s="226"/>
    </row>
    <row r="4428" spans="16:21" x14ac:dyDescent="0.35">
      <c r="P4428" s="226"/>
      <c r="Q4428" s="226"/>
      <c r="R4428" s="226"/>
      <c r="S4428" s="226"/>
      <c r="T4428" s="226"/>
      <c r="U4428" s="226"/>
    </row>
    <row r="4429" spans="16:21" x14ac:dyDescent="0.35">
      <c r="P4429" s="226"/>
      <c r="Q4429" s="226"/>
      <c r="R4429" s="226"/>
      <c r="S4429" s="226"/>
      <c r="T4429" s="226"/>
      <c r="U4429" s="226"/>
    </row>
    <row r="4430" spans="16:21" x14ac:dyDescent="0.35">
      <c r="P4430" s="226"/>
      <c r="Q4430" s="226"/>
      <c r="R4430" s="226"/>
      <c r="S4430" s="226"/>
      <c r="T4430" s="226"/>
      <c r="U4430" s="226"/>
    </row>
    <row r="4431" spans="16:21" x14ac:dyDescent="0.35">
      <c r="P4431" s="226"/>
      <c r="Q4431" s="226"/>
      <c r="R4431" s="226"/>
      <c r="S4431" s="226"/>
      <c r="T4431" s="226"/>
      <c r="U4431" s="226"/>
    </row>
    <row r="4432" spans="16:21" x14ac:dyDescent="0.35">
      <c r="P4432" s="226"/>
      <c r="Q4432" s="226"/>
      <c r="R4432" s="226"/>
      <c r="S4432" s="226"/>
      <c r="T4432" s="226"/>
      <c r="U4432" s="226"/>
    </row>
    <row r="4433" spans="16:21" x14ac:dyDescent="0.35">
      <c r="P4433" s="226"/>
      <c r="Q4433" s="226"/>
      <c r="R4433" s="226"/>
      <c r="S4433" s="226"/>
      <c r="T4433" s="226"/>
      <c r="U4433" s="226"/>
    </row>
    <row r="4434" spans="16:21" x14ac:dyDescent="0.35">
      <c r="P4434" s="226"/>
      <c r="Q4434" s="226"/>
      <c r="R4434" s="226"/>
      <c r="S4434" s="226"/>
      <c r="T4434" s="226"/>
      <c r="U4434" s="226"/>
    </row>
    <row r="4435" spans="16:21" x14ac:dyDescent="0.35">
      <c r="P4435" s="226"/>
      <c r="Q4435" s="226"/>
      <c r="R4435" s="226"/>
      <c r="S4435" s="226"/>
      <c r="T4435" s="226"/>
      <c r="U4435" s="226"/>
    </row>
    <row r="4436" spans="16:21" x14ac:dyDescent="0.35">
      <c r="P4436" s="226"/>
      <c r="Q4436" s="226"/>
      <c r="R4436" s="226"/>
      <c r="S4436" s="226"/>
      <c r="T4436" s="226"/>
      <c r="U4436" s="226"/>
    </row>
    <row r="4437" spans="16:21" x14ac:dyDescent="0.35">
      <c r="P4437" s="226"/>
      <c r="Q4437" s="226"/>
      <c r="R4437" s="226"/>
      <c r="S4437" s="226"/>
      <c r="T4437" s="226"/>
      <c r="U4437" s="226"/>
    </row>
    <row r="4438" spans="16:21" x14ac:dyDescent="0.35">
      <c r="P4438" s="226"/>
      <c r="Q4438" s="226"/>
      <c r="R4438" s="226"/>
      <c r="S4438" s="226"/>
      <c r="T4438" s="226"/>
      <c r="U4438" s="226"/>
    </row>
    <row r="4439" spans="16:21" x14ac:dyDescent="0.35">
      <c r="P4439" s="226"/>
      <c r="Q4439" s="226"/>
      <c r="R4439" s="226"/>
      <c r="S4439" s="226"/>
      <c r="T4439" s="226"/>
      <c r="U4439" s="226"/>
    </row>
    <row r="4440" spans="16:21" x14ac:dyDescent="0.35">
      <c r="P4440" s="226"/>
      <c r="Q4440" s="226"/>
      <c r="R4440" s="226"/>
      <c r="S4440" s="226"/>
      <c r="T4440" s="226"/>
      <c r="U4440" s="226"/>
    </row>
    <row r="4441" spans="16:21" x14ac:dyDescent="0.35">
      <c r="P4441" s="226"/>
      <c r="Q4441" s="226"/>
      <c r="R4441" s="226"/>
      <c r="S4441" s="226"/>
      <c r="T4441" s="226"/>
      <c r="U4441" s="226"/>
    </row>
    <row r="4442" spans="16:21" x14ac:dyDescent="0.35">
      <c r="P4442" s="226"/>
      <c r="Q4442" s="226"/>
      <c r="R4442" s="226"/>
      <c r="S4442" s="226"/>
      <c r="T4442" s="226"/>
      <c r="U4442" s="226"/>
    </row>
    <row r="4443" spans="16:21" x14ac:dyDescent="0.35">
      <c r="P4443" s="226"/>
      <c r="Q4443" s="226"/>
      <c r="R4443" s="226"/>
      <c r="S4443" s="226"/>
      <c r="T4443" s="226"/>
      <c r="U4443" s="226"/>
    </row>
    <row r="4444" spans="16:21" x14ac:dyDescent="0.35">
      <c r="P4444" s="226"/>
      <c r="Q4444" s="226"/>
      <c r="R4444" s="226"/>
      <c r="S4444" s="226"/>
      <c r="T4444" s="226"/>
      <c r="U4444" s="226"/>
    </row>
    <row r="4445" spans="16:21" x14ac:dyDescent="0.35">
      <c r="P4445" s="226"/>
      <c r="Q4445" s="226"/>
      <c r="R4445" s="226"/>
      <c r="S4445" s="226"/>
      <c r="T4445" s="226"/>
      <c r="U4445" s="226"/>
    </row>
    <row r="4446" spans="16:21" x14ac:dyDescent="0.35">
      <c r="P4446" s="226"/>
      <c r="Q4446" s="226"/>
      <c r="R4446" s="226"/>
      <c r="S4446" s="226"/>
      <c r="T4446" s="226"/>
      <c r="U4446" s="226"/>
    </row>
    <row r="4447" spans="16:21" x14ac:dyDescent="0.35">
      <c r="P4447" s="226"/>
      <c r="Q4447" s="226"/>
      <c r="R4447" s="226"/>
      <c r="S4447" s="226"/>
      <c r="T4447" s="226"/>
      <c r="U4447" s="226"/>
    </row>
    <row r="4448" spans="16:21" x14ac:dyDescent="0.35">
      <c r="P4448" s="226"/>
      <c r="Q4448" s="226"/>
      <c r="R4448" s="226"/>
      <c r="S4448" s="226"/>
      <c r="T4448" s="226"/>
      <c r="U4448" s="226"/>
    </row>
    <row r="4449" spans="16:21" x14ac:dyDescent="0.35">
      <c r="P4449" s="226"/>
      <c r="Q4449" s="226"/>
      <c r="R4449" s="226"/>
      <c r="S4449" s="226"/>
      <c r="T4449" s="226"/>
      <c r="U4449" s="226"/>
    </row>
    <row r="4450" spans="16:21" x14ac:dyDescent="0.35">
      <c r="P4450" s="226"/>
      <c r="Q4450" s="226"/>
      <c r="R4450" s="226"/>
      <c r="S4450" s="226"/>
      <c r="T4450" s="226"/>
      <c r="U4450" s="226"/>
    </row>
    <row r="4451" spans="16:21" x14ac:dyDescent="0.35">
      <c r="P4451" s="226"/>
      <c r="Q4451" s="226"/>
      <c r="R4451" s="226"/>
      <c r="S4451" s="226"/>
      <c r="T4451" s="226"/>
      <c r="U4451" s="226"/>
    </row>
    <row r="4452" spans="16:21" x14ac:dyDescent="0.35">
      <c r="P4452" s="226"/>
      <c r="Q4452" s="226"/>
      <c r="R4452" s="226"/>
      <c r="S4452" s="226"/>
      <c r="T4452" s="226"/>
      <c r="U4452" s="226"/>
    </row>
    <row r="4453" spans="16:21" x14ac:dyDescent="0.35">
      <c r="P4453" s="226"/>
      <c r="Q4453" s="226"/>
      <c r="R4453" s="226"/>
      <c r="S4453" s="226"/>
      <c r="T4453" s="226"/>
      <c r="U4453" s="226"/>
    </row>
    <row r="4454" spans="16:21" x14ac:dyDescent="0.35">
      <c r="P4454" s="226"/>
      <c r="Q4454" s="226"/>
      <c r="R4454" s="226"/>
      <c r="S4454" s="226"/>
      <c r="T4454" s="226"/>
      <c r="U4454" s="226"/>
    </row>
    <row r="4455" spans="16:21" x14ac:dyDescent="0.35">
      <c r="P4455" s="226"/>
      <c r="Q4455" s="226"/>
      <c r="R4455" s="226"/>
      <c r="S4455" s="226"/>
      <c r="T4455" s="226"/>
      <c r="U4455" s="226"/>
    </row>
    <row r="4456" spans="16:21" x14ac:dyDescent="0.35">
      <c r="P4456" s="226"/>
      <c r="Q4456" s="226"/>
      <c r="R4456" s="226"/>
      <c r="S4456" s="226"/>
      <c r="T4456" s="226"/>
      <c r="U4456" s="226"/>
    </row>
    <row r="4457" spans="16:21" x14ac:dyDescent="0.35">
      <c r="P4457" s="226"/>
      <c r="Q4457" s="226"/>
      <c r="R4457" s="226"/>
      <c r="S4457" s="226"/>
      <c r="T4457" s="226"/>
      <c r="U4457" s="226"/>
    </row>
    <row r="4458" spans="16:21" x14ac:dyDescent="0.35">
      <c r="P4458" s="226"/>
      <c r="Q4458" s="226"/>
      <c r="R4458" s="226"/>
      <c r="S4458" s="226"/>
      <c r="T4458" s="226"/>
      <c r="U4458" s="226"/>
    </row>
    <row r="4459" spans="16:21" x14ac:dyDescent="0.35">
      <c r="P4459" s="226"/>
      <c r="Q4459" s="226"/>
      <c r="R4459" s="226"/>
      <c r="S4459" s="226"/>
      <c r="T4459" s="226"/>
      <c r="U4459" s="226"/>
    </row>
    <row r="4460" spans="16:21" x14ac:dyDescent="0.35">
      <c r="P4460" s="226"/>
      <c r="Q4460" s="226"/>
      <c r="R4460" s="226"/>
      <c r="S4460" s="226"/>
      <c r="T4460" s="226"/>
      <c r="U4460" s="226"/>
    </row>
    <row r="4461" spans="16:21" x14ac:dyDescent="0.35">
      <c r="P4461" s="226"/>
      <c r="Q4461" s="226"/>
      <c r="R4461" s="226"/>
      <c r="S4461" s="226"/>
      <c r="T4461" s="226"/>
      <c r="U4461" s="226"/>
    </row>
    <row r="4462" spans="16:21" x14ac:dyDescent="0.35">
      <c r="P4462" s="226"/>
      <c r="Q4462" s="226"/>
      <c r="R4462" s="226"/>
      <c r="S4462" s="226"/>
      <c r="T4462" s="226"/>
      <c r="U4462" s="226"/>
    </row>
    <row r="4463" spans="16:21" x14ac:dyDescent="0.35">
      <c r="P4463" s="226"/>
      <c r="Q4463" s="226"/>
      <c r="R4463" s="226"/>
      <c r="S4463" s="226"/>
      <c r="T4463" s="226"/>
      <c r="U4463" s="226"/>
    </row>
    <row r="4464" spans="16:21" x14ac:dyDescent="0.35">
      <c r="P4464" s="226"/>
      <c r="Q4464" s="226"/>
      <c r="R4464" s="226"/>
      <c r="S4464" s="226"/>
      <c r="T4464" s="226"/>
      <c r="U4464" s="226"/>
    </row>
    <row r="4465" spans="16:21" x14ac:dyDescent="0.35">
      <c r="P4465" s="226"/>
      <c r="Q4465" s="226"/>
      <c r="R4465" s="226"/>
      <c r="S4465" s="226"/>
      <c r="T4465" s="226"/>
      <c r="U4465" s="226"/>
    </row>
    <row r="4466" spans="16:21" x14ac:dyDescent="0.35">
      <c r="P4466" s="226"/>
      <c r="Q4466" s="226"/>
      <c r="R4466" s="226"/>
      <c r="S4466" s="226"/>
      <c r="T4466" s="226"/>
      <c r="U4466" s="226"/>
    </row>
    <row r="4467" spans="16:21" x14ac:dyDescent="0.35">
      <c r="P4467" s="226"/>
      <c r="Q4467" s="226"/>
      <c r="R4467" s="226"/>
      <c r="S4467" s="226"/>
      <c r="T4467" s="226"/>
      <c r="U4467" s="226"/>
    </row>
    <row r="4468" spans="16:21" x14ac:dyDescent="0.35">
      <c r="P4468" s="226"/>
      <c r="Q4468" s="226"/>
      <c r="R4468" s="226"/>
      <c r="S4468" s="226"/>
      <c r="T4468" s="226"/>
      <c r="U4468" s="226"/>
    </row>
    <row r="4469" spans="16:21" x14ac:dyDescent="0.35">
      <c r="P4469" s="226"/>
      <c r="Q4469" s="226"/>
      <c r="R4469" s="226"/>
      <c r="S4469" s="226"/>
      <c r="T4469" s="226"/>
      <c r="U4469" s="226"/>
    </row>
    <row r="4470" spans="16:21" x14ac:dyDescent="0.35">
      <c r="P4470" s="226"/>
      <c r="Q4470" s="226"/>
      <c r="R4470" s="226"/>
      <c r="S4470" s="226"/>
      <c r="T4470" s="226"/>
      <c r="U4470" s="226"/>
    </row>
    <row r="4471" spans="16:21" x14ac:dyDescent="0.35">
      <c r="P4471" s="226"/>
      <c r="Q4471" s="226"/>
      <c r="R4471" s="226"/>
      <c r="S4471" s="226"/>
      <c r="T4471" s="226"/>
      <c r="U4471" s="226"/>
    </row>
    <row r="4472" spans="16:21" x14ac:dyDescent="0.35">
      <c r="P4472" s="226"/>
      <c r="Q4472" s="226"/>
      <c r="R4472" s="226"/>
      <c r="S4472" s="226"/>
      <c r="T4472" s="226"/>
      <c r="U4472" s="226"/>
    </row>
    <row r="4473" spans="16:21" x14ac:dyDescent="0.35">
      <c r="P4473" s="226"/>
      <c r="Q4473" s="226"/>
      <c r="R4473" s="226"/>
      <c r="S4473" s="226"/>
      <c r="T4473" s="226"/>
      <c r="U4473" s="226"/>
    </row>
    <row r="4474" spans="16:21" x14ac:dyDescent="0.35">
      <c r="P4474" s="226"/>
      <c r="Q4474" s="226"/>
      <c r="R4474" s="226"/>
      <c r="S4474" s="226"/>
      <c r="T4474" s="226"/>
      <c r="U4474" s="226"/>
    </row>
    <row r="4475" spans="16:21" x14ac:dyDescent="0.35">
      <c r="P4475" s="226"/>
      <c r="Q4475" s="226"/>
      <c r="R4475" s="226"/>
      <c r="S4475" s="226"/>
      <c r="T4475" s="226"/>
      <c r="U4475" s="226"/>
    </row>
    <row r="4476" spans="16:21" x14ac:dyDescent="0.35">
      <c r="P4476" s="226"/>
      <c r="Q4476" s="226"/>
      <c r="R4476" s="226"/>
      <c r="S4476" s="226"/>
      <c r="T4476" s="226"/>
      <c r="U4476" s="226"/>
    </row>
    <row r="4477" spans="16:21" x14ac:dyDescent="0.35">
      <c r="P4477" s="226"/>
      <c r="Q4477" s="226"/>
      <c r="R4477" s="226"/>
      <c r="S4477" s="226"/>
      <c r="T4477" s="226"/>
      <c r="U4477" s="226"/>
    </row>
    <row r="4478" spans="16:21" x14ac:dyDescent="0.35">
      <c r="P4478" s="226"/>
      <c r="Q4478" s="226"/>
      <c r="R4478" s="226"/>
      <c r="S4478" s="226"/>
      <c r="T4478" s="226"/>
      <c r="U4478" s="226"/>
    </row>
    <row r="4479" spans="16:21" x14ac:dyDescent="0.35">
      <c r="P4479" s="226"/>
      <c r="Q4479" s="226"/>
      <c r="R4479" s="226"/>
      <c r="S4479" s="226"/>
      <c r="T4479" s="226"/>
      <c r="U4479" s="226"/>
    </row>
    <row r="4480" spans="16:21" x14ac:dyDescent="0.35">
      <c r="P4480" s="226"/>
      <c r="Q4480" s="226"/>
      <c r="R4480" s="226"/>
      <c r="S4480" s="226"/>
      <c r="T4480" s="226"/>
      <c r="U4480" s="226"/>
    </row>
    <row r="4481" spans="16:21" x14ac:dyDescent="0.35">
      <c r="P4481" s="226"/>
      <c r="Q4481" s="226"/>
      <c r="R4481" s="226"/>
      <c r="S4481" s="226"/>
      <c r="T4481" s="226"/>
      <c r="U4481" s="226"/>
    </row>
    <row r="4482" spans="16:21" x14ac:dyDescent="0.35">
      <c r="P4482" s="226"/>
      <c r="Q4482" s="226"/>
      <c r="R4482" s="226"/>
      <c r="S4482" s="226"/>
      <c r="T4482" s="226"/>
      <c r="U4482" s="226"/>
    </row>
    <row r="4483" spans="16:21" x14ac:dyDescent="0.35">
      <c r="P4483" s="226"/>
      <c r="Q4483" s="226"/>
      <c r="R4483" s="226"/>
      <c r="S4483" s="226"/>
      <c r="T4483" s="226"/>
      <c r="U4483" s="226"/>
    </row>
    <row r="4484" spans="16:21" x14ac:dyDescent="0.35">
      <c r="P4484" s="226"/>
      <c r="Q4484" s="226"/>
      <c r="R4484" s="226"/>
      <c r="S4484" s="226"/>
      <c r="T4484" s="226"/>
      <c r="U4484" s="226"/>
    </row>
    <row r="4485" spans="16:21" x14ac:dyDescent="0.35">
      <c r="P4485" s="226"/>
      <c r="Q4485" s="226"/>
      <c r="R4485" s="226"/>
      <c r="S4485" s="226"/>
      <c r="T4485" s="226"/>
      <c r="U4485" s="226"/>
    </row>
    <row r="4486" spans="16:21" x14ac:dyDescent="0.35">
      <c r="P4486" s="226"/>
      <c r="Q4486" s="226"/>
      <c r="R4486" s="226"/>
      <c r="S4486" s="226"/>
      <c r="T4486" s="226"/>
      <c r="U4486" s="226"/>
    </row>
    <row r="4487" spans="16:21" x14ac:dyDescent="0.35">
      <c r="P4487" s="226"/>
      <c r="Q4487" s="226"/>
      <c r="R4487" s="226"/>
      <c r="S4487" s="226"/>
      <c r="T4487" s="226"/>
      <c r="U4487" s="226"/>
    </row>
    <row r="4488" spans="16:21" x14ac:dyDescent="0.35">
      <c r="P4488" s="226"/>
      <c r="Q4488" s="226"/>
      <c r="R4488" s="226"/>
      <c r="S4488" s="226"/>
      <c r="T4488" s="226"/>
      <c r="U4488" s="226"/>
    </row>
    <row r="4489" spans="16:21" x14ac:dyDescent="0.35">
      <c r="P4489" s="226"/>
      <c r="Q4489" s="226"/>
      <c r="R4489" s="226"/>
      <c r="S4489" s="226"/>
      <c r="T4489" s="226"/>
      <c r="U4489" s="226"/>
    </row>
    <row r="4490" spans="16:21" x14ac:dyDescent="0.35">
      <c r="P4490" s="226"/>
      <c r="Q4490" s="226"/>
      <c r="R4490" s="226"/>
      <c r="S4490" s="226"/>
      <c r="T4490" s="226"/>
      <c r="U4490" s="226"/>
    </row>
    <row r="4491" spans="16:21" x14ac:dyDescent="0.35">
      <c r="P4491" s="226"/>
      <c r="Q4491" s="226"/>
      <c r="R4491" s="226"/>
      <c r="S4491" s="226"/>
      <c r="T4491" s="226"/>
      <c r="U4491" s="226"/>
    </row>
    <row r="4492" spans="16:21" x14ac:dyDescent="0.35">
      <c r="P4492" s="226"/>
      <c r="Q4492" s="226"/>
      <c r="R4492" s="226"/>
      <c r="S4492" s="226"/>
      <c r="T4492" s="226"/>
      <c r="U4492" s="226"/>
    </row>
    <row r="4493" spans="16:21" x14ac:dyDescent="0.35">
      <c r="P4493" s="226"/>
      <c r="Q4493" s="226"/>
      <c r="R4493" s="226"/>
      <c r="S4493" s="226"/>
      <c r="T4493" s="226"/>
      <c r="U4493" s="226"/>
    </row>
    <row r="4494" spans="16:21" x14ac:dyDescent="0.35">
      <c r="P4494" s="226"/>
      <c r="Q4494" s="226"/>
      <c r="R4494" s="226"/>
      <c r="S4494" s="226"/>
      <c r="T4494" s="226"/>
      <c r="U4494" s="226"/>
    </row>
    <row r="4495" spans="16:21" x14ac:dyDescent="0.35">
      <c r="P4495" s="226"/>
      <c r="Q4495" s="226"/>
      <c r="R4495" s="226"/>
      <c r="S4495" s="226"/>
      <c r="T4495" s="226"/>
      <c r="U4495" s="226"/>
    </row>
    <row r="4496" spans="16:21" x14ac:dyDescent="0.35">
      <c r="P4496" s="226"/>
      <c r="Q4496" s="226"/>
      <c r="R4496" s="226"/>
      <c r="S4496" s="226"/>
      <c r="T4496" s="226"/>
      <c r="U4496" s="226"/>
    </row>
    <row r="4497" spans="16:21" x14ac:dyDescent="0.35">
      <c r="P4497" s="226"/>
      <c r="Q4497" s="226"/>
      <c r="R4497" s="226"/>
      <c r="S4497" s="226"/>
      <c r="T4497" s="226"/>
      <c r="U4497" s="226"/>
    </row>
    <row r="4498" spans="16:21" x14ac:dyDescent="0.35">
      <c r="P4498" s="226"/>
      <c r="Q4498" s="226"/>
      <c r="R4498" s="226"/>
      <c r="S4498" s="226"/>
      <c r="T4498" s="226"/>
      <c r="U4498" s="226"/>
    </row>
    <row r="4499" spans="16:21" x14ac:dyDescent="0.35">
      <c r="P4499" s="226"/>
      <c r="Q4499" s="226"/>
      <c r="R4499" s="226"/>
      <c r="S4499" s="226"/>
      <c r="T4499" s="226"/>
      <c r="U4499" s="226"/>
    </row>
    <row r="4500" spans="16:21" x14ac:dyDescent="0.35">
      <c r="P4500" s="226"/>
      <c r="Q4500" s="226"/>
      <c r="R4500" s="226"/>
      <c r="S4500" s="226"/>
      <c r="T4500" s="226"/>
      <c r="U4500" s="226"/>
    </row>
    <row r="4501" spans="16:21" x14ac:dyDescent="0.35">
      <c r="P4501" s="226"/>
      <c r="Q4501" s="226"/>
      <c r="R4501" s="226"/>
      <c r="S4501" s="226"/>
      <c r="T4501" s="226"/>
      <c r="U4501" s="226"/>
    </row>
    <row r="4502" spans="16:21" x14ac:dyDescent="0.35">
      <c r="P4502" s="226"/>
      <c r="Q4502" s="226"/>
      <c r="R4502" s="226"/>
      <c r="S4502" s="226"/>
      <c r="T4502" s="226"/>
      <c r="U4502" s="226"/>
    </row>
    <row r="4503" spans="16:21" x14ac:dyDescent="0.35">
      <c r="P4503" s="226"/>
      <c r="Q4503" s="226"/>
      <c r="R4503" s="226"/>
      <c r="S4503" s="226"/>
      <c r="T4503" s="226"/>
      <c r="U4503" s="226"/>
    </row>
    <row r="4504" spans="16:21" x14ac:dyDescent="0.35">
      <c r="P4504" s="226"/>
      <c r="Q4504" s="226"/>
      <c r="R4504" s="226"/>
      <c r="S4504" s="226"/>
      <c r="T4504" s="226"/>
      <c r="U4504" s="226"/>
    </row>
    <row r="4505" spans="16:21" x14ac:dyDescent="0.35">
      <c r="P4505" s="226"/>
      <c r="Q4505" s="226"/>
      <c r="R4505" s="226"/>
      <c r="S4505" s="226"/>
      <c r="T4505" s="226"/>
      <c r="U4505" s="226"/>
    </row>
    <row r="4506" spans="16:21" x14ac:dyDescent="0.35">
      <c r="P4506" s="226"/>
      <c r="Q4506" s="226"/>
      <c r="R4506" s="226"/>
      <c r="S4506" s="226"/>
      <c r="T4506" s="226"/>
      <c r="U4506" s="226"/>
    </row>
    <row r="4507" spans="16:21" x14ac:dyDescent="0.35">
      <c r="P4507" s="226"/>
      <c r="Q4507" s="226"/>
      <c r="R4507" s="226"/>
      <c r="S4507" s="226"/>
      <c r="T4507" s="226"/>
      <c r="U4507" s="226"/>
    </row>
    <row r="4508" spans="16:21" x14ac:dyDescent="0.35">
      <c r="P4508" s="226"/>
      <c r="Q4508" s="226"/>
      <c r="R4508" s="226"/>
      <c r="S4508" s="226"/>
      <c r="T4508" s="226"/>
      <c r="U4508" s="226"/>
    </row>
    <row r="4509" spans="16:21" x14ac:dyDescent="0.35">
      <c r="P4509" s="226"/>
      <c r="Q4509" s="226"/>
      <c r="R4509" s="226"/>
      <c r="S4509" s="226"/>
      <c r="T4509" s="226"/>
      <c r="U4509" s="226"/>
    </row>
    <row r="4510" spans="16:21" x14ac:dyDescent="0.35">
      <c r="P4510" s="226"/>
      <c r="Q4510" s="226"/>
      <c r="R4510" s="226"/>
      <c r="S4510" s="226"/>
      <c r="T4510" s="226"/>
      <c r="U4510" s="226"/>
    </row>
    <row r="4511" spans="16:21" x14ac:dyDescent="0.35">
      <c r="P4511" s="226"/>
      <c r="Q4511" s="226"/>
      <c r="R4511" s="226"/>
      <c r="S4511" s="226"/>
      <c r="T4511" s="226"/>
      <c r="U4511" s="226"/>
    </row>
    <row r="4512" spans="16:21" x14ac:dyDescent="0.35">
      <c r="P4512" s="226"/>
      <c r="Q4512" s="226"/>
      <c r="R4512" s="226"/>
      <c r="S4512" s="226"/>
      <c r="T4512" s="226"/>
      <c r="U4512" s="226"/>
    </row>
    <row r="4513" spans="16:21" x14ac:dyDescent="0.35">
      <c r="P4513" s="226"/>
      <c r="Q4513" s="226"/>
      <c r="R4513" s="226"/>
      <c r="S4513" s="226"/>
      <c r="T4513" s="226"/>
      <c r="U4513" s="226"/>
    </row>
    <row r="4514" spans="16:21" x14ac:dyDescent="0.35">
      <c r="P4514" s="226"/>
      <c r="Q4514" s="226"/>
      <c r="R4514" s="226"/>
      <c r="S4514" s="226"/>
      <c r="T4514" s="226"/>
      <c r="U4514" s="226"/>
    </row>
    <row r="4515" spans="16:21" x14ac:dyDescent="0.35">
      <c r="P4515" s="226"/>
      <c r="Q4515" s="226"/>
      <c r="R4515" s="226"/>
      <c r="S4515" s="226"/>
      <c r="T4515" s="226"/>
      <c r="U4515" s="226"/>
    </row>
    <row r="4516" spans="16:21" x14ac:dyDescent="0.35">
      <c r="P4516" s="226"/>
      <c r="Q4516" s="226"/>
      <c r="R4516" s="226"/>
      <c r="S4516" s="226"/>
      <c r="T4516" s="226"/>
      <c r="U4516" s="226"/>
    </row>
    <row r="4517" spans="16:21" x14ac:dyDescent="0.35">
      <c r="P4517" s="226"/>
      <c r="Q4517" s="226"/>
      <c r="R4517" s="226"/>
      <c r="S4517" s="226"/>
      <c r="T4517" s="226"/>
      <c r="U4517" s="226"/>
    </row>
    <row r="4518" spans="16:21" x14ac:dyDescent="0.35">
      <c r="P4518" s="226"/>
      <c r="Q4518" s="226"/>
      <c r="R4518" s="226"/>
      <c r="S4518" s="226"/>
      <c r="T4518" s="226"/>
      <c r="U4518" s="226"/>
    </row>
    <row r="4519" spans="16:21" x14ac:dyDescent="0.35">
      <c r="P4519" s="226"/>
      <c r="Q4519" s="226"/>
      <c r="R4519" s="226"/>
      <c r="S4519" s="226"/>
      <c r="T4519" s="226"/>
      <c r="U4519" s="226"/>
    </row>
    <row r="4520" spans="16:21" x14ac:dyDescent="0.35">
      <c r="P4520" s="226"/>
      <c r="Q4520" s="226"/>
      <c r="R4520" s="226"/>
      <c r="S4520" s="226"/>
      <c r="T4520" s="226"/>
      <c r="U4520" s="226"/>
    </row>
    <row r="4521" spans="16:21" x14ac:dyDescent="0.35">
      <c r="P4521" s="226"/>
      <c r="Q4521" s="226"/>
      <c r="R4521" s="226"/>
      <c r="S4521" s="226"/>
      <c r="T4521" s="226"/>
      <c r="U4521" s="226"/>
    </row>
    <row r="4522" spans="16:21" x14ac:dyDescent="0.35">
      <c r="P4522" s="226"/>
      <c r="Q4522" s="226"/>
      <c r="R4522" s="226"/>
      <c r="S4522" s="226"/>
      <c r="T4522" s="226"/>
      <c r="U4522" s="226"/>
    </row>
    <row r="4523" spans="16:21" x14ac:dyDescent="0.35">
      <c r="P4523" s="226"/>
      <c r="Q4523" s="226"/>
      <c r="R4523" s="226"/>
      <c r="S4523" s="226"/>
      <c r="T4523" s="226"/>
      <c r="U4523" s="226"/>
    </row>
    <row r="4524" spans="16:21" x14ac:dyDescent="0.35">
      <c r="P4524" s="226"/>
      <c r="Q4524" s="226"/>
      <c r="R4524" s="226"/>
      <c r="S4524" s="226"/>
      <c r="T4524" s="226"/>
      <c r="U4524" s="226"/>
    </row>
    <row r="4525" spans="16:21" x14ac:dyDescent="0.35">
      <c r="P4525" s="226"/>
      <c r="Q4525" s="226"/>
      <c r="R4525" s="226"/>
      <c r="S4525" s="226"/>
      <c r="T4525" s="226"/>
      <c r="U4525" s="226"/>
    </row>
    <row r="4526" spans="16:21" x14ac:dyDescent="0.35">
      <c r="P4526" s="226"/>
      <c r="Q4526" s="226"/>
      <c r="R4526" s="226"/>
      <c r="S4526" s="226"/>
      <c r="T4526" s="226"/>
      <c r="U4526" s="226"/>
    </row>
    <row r="4527" spans="16:21" x14ac:dyDescent="0.35">
      <c r="P4527" s="226"/>
      <c r="Q4527" s="226"/>
      <c r="R4527" s="226"/>
      <c r="S4527" s="226"/>
      <c r="T4527" s="226"/>
      <c r="U4527" s="226"/>
    </row>
    <row r="4528" spans="16:21" x14ac:dyDescent="0.35">
      <c r="P4528" s="226"/>
      <c r="Q4528" s="226"/>
      <c r="R4528" s="226"/>
      <c r="S4528" s="226"/>
      <c r="T4528" s="226"/>
      <c r="U4528" s="226"/>
    </row>
    <row r="4529" spans="16:21" x14ac:dyDescent="0.35">
      <c r="P4529" s="226"/>
      <c r="Q4529" s="226"/>
      <c r="R4529" s="226"/>
      <c r="S4529" s="226"/>
      <c r="T4529" s="226"/>
      <c r="U4529" s="226"/>
    </row>
    <row r="4530" spans="16:21" x14ac:dyDescent="0.35">
      <c r="P4530" s="226"/>
      <c r="Q4530" s="226"/>
      <c r="R4530" s="226"/>
      <c r="S4530" s="226"/>
      <c r="T4530" s="226"/>
      <c r="U4530" s="226"/>
    </row>
    <row r="4531" spans="16:21" x14ac:dyDescent="0.35">
      <c r="P4531" s="226"/>
      <c r="Q4531" s="226"/>
      <c r="R4531" s="226"/>
      <c r="S4531" s="226"/>
      <c r="T4531" s="226"/>
      <c r="U4531" s="226"/>
    </row>
    <row r="4532" spans="16:21" x14ac:dyDescent="0.35">
      <c r="P4532" s="226"/>
      <c r="Q4532" s="226"/>
      <c r="R4532" s="226"/>
      <c r="S4532" s="226"/>
      <c r="T4532" s="226"/>
      <c r="U4532" s="226"/>
    </row>
    <row r="4533" spans="16:21" x14ac:dyDescent="0.35">
      <c r="P4533" s="226"/>
      <c r="Q4533" s="226"/>
      <c r="R4533" s="226"/>
      <c r="S4533" s="226"/>
      <c r="T4533" s="226"/>
      <c r="U4533" s="226"/>
    </row>
    <row r="4534" spans="16:21" x14ac:dyDescent="0.35">
      <c r="P4534" s="226"/>
      <c r="Q4534" s="226"/>
      <c r="R4534" s="226"/>
      <c r="S4534" s="226"/>
      <c r="T4534" s="226"/>
      <c r="U4534" s="226"/>
    </row>
    <row r="4535" spans="16:21" x14ac:dyDescent="0.35">
      <c r="P4535" s="226"/>
      <c r="Q4535" s="226"/>
      <c r="R4535" s="226"/>
      <c r="S4535" s="226"/>
      <c r="T4535" s="226"/>
      <c r="U4535" s="226"/>
    </row>
    <row r="4536" spans="16:21" x14ac:dyDescent="0.35">
      <c r="P4536" s="226"/>
      <c r="Q4536" s="226"/>
      <c r="R4536" s="226"/>
      <c r="S4536" s="226"/>
      <c r="T4536" s="226"/>
      <c r="U4536" s="226"/>
    </row>
    <row r="4537" spans="16:21" x14ac:dyDescent="0.35">
      <c r="P4537" s="226"/>
      <c r="Q4537" s="226"/>
      <c r="R4537" s="226"/>
      <c r="S4537" s="226"/>
      <c r="T4537" s="226"/>
      <c r="U4537" s="226"/>
    </row>
    <row r="4538" spans="16:21" x14ac:dyDescent="0.35">
      <c r="P4538" s="226"/>
      <c r="Q4538" s="226"/>
      <c r="R4538" s="226"/>
      <c r="S4538" s="226"/>
      <c r="T4538" s="226"/>
      <c r="U4538" s="226"/>
    </row>
    <row r="4539" spans="16:21" x14ac:dyDescent="0.35">
      <c r="P4539" s="226"/>
      <c r="Q4539" s="226"/>
      <c r="R4539" s="226"/>
      <c r="S4539" s="226"/>
      <c r="T4539" s="226"/>
      <c r="U4539" s="226"/>
    </row>
    <row r="4540" spans="16:21" x14ac:dyDescent="0.35">
      <c r="P4540" s="226"/>
      <c r="Q4540" s="226"/>
      <c r="R4540" s="226"/>
      <c r="S4540" s="226"/>
      <c r="T4540" s="226"/>
      <c r="U4540" s="226"/>
    </row>
    <row r="4541" spans="16:21" x14ac:dyDescent="0.35">
      <c r="P4541" s="226"/>
      <c r="Q4541" s="226"/>
      <c r="R4541" s="226"/>
      <c r="S4541" s="226"/>
      <c r="T4541" s="226"/>
      <c r="U4541" s="226"/>
    </row>
    <row r="4542" spans="16:21" x14ac:dyDescent="0.35">
      <c r="P4542" s="226"/>
      <c r="Q4542" s="226"/>
      <c r="R4542" s="226"/>
      <c r="S4542" s="226"/>
      <c r="T4542" s="226"/>
      <c r="U4542" s="226"/>
    </row>
    <row r="4543" spans="16:21" x14ac:dyDescent="0.35">
      <c r="P4543" s="226"/>
      <c r="Q4543" s="226"/>
      <c r="R4543" s="226"/>
      <c r="S4543" s="226"/>
      <c r="T4543" s="226"/>
      <c r="U4543" s="226"/>
    </row>
    <row r="4544" spans="16:21" x14ac:dyDescent="0.35">
      <c r="P4544" s="226"/>
      <c r="Q4544" s="226"/>
      <c r="R4544" s="226"/>
      <c r="S4544" s="226"/>
      <c r="T4544" s="226"/>
      <c r="U4544" s="226"/>
    </row>
    <row r="4545" spans="16:21" x14ac:dyDescent="0.35">
      <c r="P4545" s="226"/>
      <c r="Q4545" s="226"/>
      <c r="R4545" s="226"/>
      <c r="S4545" s="226"/>
      <c r="T4545" s="226"/>
      <c r="U4545" s="226"/>
    </row>
    <row r="4546" spans="16:21" x14ac:dyDescent="0.35">
      <c r="P4546" s="226"/>
      <c r="Q4546" s="226"/>
      <c r="R4546" s="226"/>
      <c r="S4546" s="226"/>
      <c r="T4546" s="226"/>
      <c r="U4546" s="226"/>
    </row>
    <row r="4547" spans="16:21" x14ac:dyDescent="0.35">
      <c r="P4547" s="226"/>
      <c r="Q4547" s="226"/>
      <c r="R4547" s="226"/>
      <c r="S4547" s="226"/>
      <c r="T4547" s="226"/>
      <c r="U4547" s="226"/>
    </row>
    <row r="4548" spans="16:21" x14ac:dyDescent="0.35">
      <c r="P4548" s="226"/>
      <c r="Q4548" s="226"/>
      <c r="R4548" s="226"/>
      <c r="S4548" s="226"/>
      <c r="T4548" s="226"/>
      <c r="U4548" s="226"/>
    </row>
    <row r="4549" spans="16:21" x14ac:dyDescent="0.35">
      <c r="P4549" s="226"/>
      <c r="Q4549" s="226"/>
      <c r="R4549" s="226"/>
      <c r="S4549" s="226"/>
      <c r="T4549" s="226"/>
      <c r="U4549" s="226"/>
    </row>
    <row r="4550" spans="16:21" x14ac:dyDescent="0.35">
      <c r="P4550" s="226"/>
      <c r="Q4550" s="226"/>
      <c r="R4550" s="226"/>
      <c r="S4550" s="226"/>
      <c r="T4550" s="226"/>
      <c r="U4550" s="226"/>
    </row>
    <row r="4551" spans="16:21" x14ac:dyDescent="0.35">
      <c r="P4551" s="226"/>
      <c r="Q4551" s="226"/>
      <c r="R4551" s="226"/>
      <c r="S4551" s="226"/>
      <c r="T4551" s="226"/>
      <c r="U4551" s="226"/>
    </row>
    <row r="4552" spans="16:21" x14ac:dyDescent="0.35">
      <c r="P4552" s="226"/>
      <c r="Q4552" s="226"/>
      <c r="R4552" s="226"/>
      <c r="S4552" s="226"/>
      <c r="T4552" s="226"/>
      <c r="U4552" s="226"/>
    </row>
    <row r="4553" spans="16:21" x14ac:dyDescent="0.35">
      <c r="P4553" s="226"/>
      <c r="Q4553" s="226"/>
      <c r="R4553" s="226"/>
      <c r="S4553" s="226"/>
      <c r="T4553" s="226"/>
      <c r="U4553" s="226"/>
    </row>
    <row r="4554" spans="16:21" x14ac:dyDescent="0.35">
      <c r="P4554" s="226"/>
      <c r="Q4554" s="226"/>
      <c r="R4554" s="226"/>
      <c r="S4554" s="226"/>
      <c r="T4554" s="226"/>
      <c r="U4554" s="226"/>
    </row>
    <row r="4555" spans="16:21" x14ac:dyDescent="0.35">
      <c r="P4555" s="226"/>
      <c r="Q4555" s="226"/>
      <c r="R4555" s="226"/>
      <c r="S4555" s="226"/>
      <c r="T4555" s="226"/>
      <c r="U4555" s="226"/>
    </row>
    <row r="4556" spans="16:21" x14ac:dyDescent="0.35">
      <c r="P4556" s="226"/>
      <c r="Q4556" s="226"/>
      <c r="R4556" s="226"/>
      <c r="S4556" s="226"/>
      <c r="T4556" s="226"/>
      <c r="U4556" s="226"/>
    </row>
    <row r="4557" spans="16:21" x14ac:dyDescent="0.35">
      <c r="P4557" s="226"/>
      <c r="Q4557" s="226"/>
      <c r="R4557" s="226"/>
      <c r="S4557" s="226"/>
      <c r="T4557" s="226"/>
      <c r="U4557" s="226"/>
    </row>
    <row r="4558" spans="16:21" x14ac:dyDescent="0.35">
      <c r="P4558" s="226"/>
      <c r="Q4558" s="226"/>
      <c r="R4558" s="226"/>
      <c r="S4558" s="226"/>
      <c r="T4558" s="226"/>
      <c r="U4558" s="226"/>
    </row>
    <row r="4559" spans="16:21" x14ac:dyDescent="0.35">
      <c r="P4559" s="226"/>
      <c r="Q4559" s="226"/>
      <c r="R4559" s="226"/>
      <c r="S4559" s="226"/>
      <c r="T4559" s="226"/>
      <c r="U4559" s="226"/>
    </row>
    <row r="4560" spans="16:21" x14ac:dyDescent="0.35">
      <c r="P4560" s="226"/>
      <c r="Q4560" s="226"/>
      <c r="R4560" s="226"/>
      <c r="S4560" s="226"/>
      <c r="T4560" s="226"/>
      <c r="U4560" s="226"/>
    </row>
    <row r="4561" spans="16:21" x14ac:dyDescent="0.35">
      <c r="P4561" s="226"/>
      <c r="Q4561" s="226"/>
      <c r="R4561" s="226"/>
      <c r="S4561" s="226"/>
      <c r="T4561" s="226"/>
      <c r="U4561" s="226"/>
    </row>
    <row r="4562" spans="16:21" x14ac:dyDescent="0.35">
      <c r="P4562" s="226"/>
      <c r="Q4562" s="226"/>
      <c r="R4562" s="226"/>
      <c r="S4562" s="226"/>
      <c r="T4562" s="226"/>
      <c r="U4562" s="226"/>
    </row>
    <row r="4563" spans="16:21" x14ac:dyDescent="0.35">
      <c r="P4563" s="226"/>
      <c r="Q4563" s="226"/>
      <c r="R4563" s="226"/>
      <c r="S4563" s="226"/>
      <c r="T4563" s="226"/>
      <c r="U4563" s="226"/>
    </row>
    <row r="4564" spans="16:21" x14ac:dyDescent="0.35">
      <c r="P4564" s="226"/>
      <c r="Q4564" s="226"/>
      <c r="R4564" s="226"/>
      <c r="S4564" s="226"/>
      <c r="T4564" s="226"/>
      <c r="U4564" s="226"/>
    </row>
    <row r="4565" spans="16:21" x14ac:dyDescent="0.35">
      <c r="P4565" s="226"/>
      <c r="Q4565" s="226"/>
      <c r="R4565" s="226"/>
      <c r="S4565" s="226"/>
      <c r="T4565" s="226"/>
      <c r="U4565" s="226"/>
    </row>
    <row r="4566" spans="16:21" x14ac:dyDescent="0.35">
      <c r="P4566" s="226"/>
      <c r="Q4566" s="226"/>
      <c r="R4566" s="226"/>
      <c r="S4566" s="226"/>
      <c r="T4566" s="226"/>
      <c r="U4566" s="226"/>
    </row>
    <row r="4567" spans="16:21" x14ac:dyDescent="0.35">
      <c r="P4567" s="226"/>
      <c r="Q4567" s="226"/>
      <c r="R4567" s="226"/>
      <c r="S4567" s="226"/>
      <c r="T4567" s="226"/>
      <c r="U4567" s="226"/>
    </row>
    <row r="4568" spans="16:21" x14ac:dyDescent="0.35">
      <c r="P4568" s="226"/>
      <c r="Q4568" s="226"/>
      <c r="R4568" s="226"/>
      <c r="S4568" s="226"/>
      <c r="T4568" s="226"/>
      <c r="U4568" s="226"/>
    </row>
    <row r="4569" spans="16:21" x14ac:dyDescent="0.35">
      <c r="P4569" s="226"/>
      <c r="Q4569" s="226"/>
      <c r="R4569" s="226"/>
      <c r="S4569" s="226"/>
      <c r="T4569" s="226"/>
      <c r="U4569" s="226"/>
    </row>
    <row r="4570" spans="16:21" x14ac:dyDescent="0.35">
      <c r="P4570" s="226"/>
      <c r="Q4570" s="226"/>
      <c r="R4570" s="226"/>
      <c r="S4570" s="226"/>
      <c r="T4570" s="226"/>
      <c r="U4570" s="226"/>
    </row>
    <row r="4571" spans="16:21" x14ac:dyDescent="0.35">
      <c r="P4571" s="226"/>
      <c r="Q4571" s="226"/>
      <c r="R4571" s="226"/>
      <c r="S4571" s="226"/>
      <c r="T4571" s="226"/>
      <c r="U4571" s="226"/>
    </row>
    <row r="4572" spans="16:21" x14ac:dyDescent="0.35">
      <c r="P4572" s="226"/>
      <c r="Q4572" s="226"/>
      <c r="R4572" s="226"/>
      <c r="S4572" s="226"/>
      <c r="T4572" s="226"/>
      <c r="U4572" s="226"/>
    </row>
    <row r="4573" spans="16:21" x14ac:dyDescent="0.35">
      <c r="P4573" s="226"/>
      <c r="Q4573" s="226"/>
      <c r="R4573" s="226"/>
      <c r="S4573" s="226"/>
      <c r="T4573" s="226"/>
      <c r="U4573" s="226"/>
    </row>
    <row r="4574" spans="16:21" x14ac:dyDescent="0.35">
      <c r="P4574" s="226"/>
      <c r="Q4574" s="226"/>
      <c r="R4574" s="226"/>
      <c r="S4574" s="226"/>
      <c r="T4574" s="226"/>
      <c r="U4574" s="226"/>
    </row>
    <row r="4575" spans="16:21" x14ac:dyDescent="0.35">
      <c r="P4575" s="226"/>
      <c r="Q4575" s="226"/>
      <c r="R4575" s="226"/>
      <c r="S4575" s="226"/>
      <c r="T4575" s="226"/>
      <c r="U4575" s="226"/>
    </row>
    <row r="4576" spans="16:21" x14ac:dyDescent="0.35">
      <c r="P4576" s="226"/>
      <c r="Q4576" s="226"/>
      <c r="R4576" s="226"/>
      <c r="S4576" s="226"/>
      <c r="T4576" s="226"/>
      <c r="U4576" s="226"/>
    </row>
    <row r="4577" spans="16:21" x14ac:dyDescent="0.35">
      <c r="P4577" s="226"/>
      <c r="Q4577" s="226"/>
      <c r="R4577" s="226"/>
      <c r="S4577" s="226"/>
      <c r="T4577" s="226"/>
      <c r="U4577" s="226"/>
    </row>
    <row r="4578" spans="16:21" x14ac:dyDescent="0.35">
      <c r="P4578" s="226"/>
      <c r="Q4578" s="226"/>
      <c r="R4578" s="226"/>
      <c r="S4578" s="226"/>
      <c r="T4578" s="226"/>
      <c r="U4578" s="226"/>
    </row>
    <row r="4579" spans="16:21" x14ac:dyDescent="0.35">
      <c r="P4579" s="226"/>
      <c r="Q4579" s="226"/>
      <c r="R4579" s="226"/>
      <c r="S4579" s="226"/>
      <c r="T4579" s="226"/>
      <c r="U4579" s="226"/>
    </row>
    <row r="4580" spans="16:21" x14ac:dyDescent="0.35">
      <c r="P4580" s="226"/>
      <c r="Q4580" s="226"/>
      <c r="R4580" s="226"/>
      <c r="S4580" s="226"/>
      <c r="T4580" s="226"/>
      <c r="U4580" s="226"/>
    </row>
    <row r="4581" spans="16:21" x14ac:dyDescent="0.35">
      <c r="P4581" s="226"/>
      <c r="Q4581" s="226"/>
      <c r="R4581" s="226"/>
      <c r="S4581" s="226"/>
      <c r="T4581" s="226"/>
      <c r="U4581" s="226"/>
    </row>
    <row r="4582" spans="16:21" x14ac:dyDescent="0.35">
      <c r="P4582" s="226"/>
      <c r="Q4582" s="226"/>
      <c r="R4582" s="226"/>
      <c r="S4582" s="226"/>
      <c r="T4582" s="226"/>
      <c r="U4582" s="226"/>
    </row>
    <row r="4583" spans="16:21" x14ac:dyDescent="0.35">
      <c r="P4583" s="226"/>
      <c r="Q4583" s="226"/>
      <c r="R4583" s="226"/>
      <c r="S4583" s="226"/>
      <c r="T4583" s="226"/>
      <c r="U4583" s="226"/>
    </row>
    <row r="4584" spans="16:21" x14ac:dyDescent="0.35">
      <c r="P4584" s="226"/>
      <c r="Q4584" s="226"/>
      <c r="R4584" s="226"/>
      <c r="S4584" s="226"/>
      <c r="T4584" s="226"/>
      <c r="U4584" s="226"/>
    </row>
    <row r="4585" spans="16:21" x14ac:dyDescent="0.35">
      <c r="P4585" s="226"/>
      <c r="Q4585" s="226"/>
      <c r="R4585" s="226"/>
      <c r="S4585" s="226"/>
      <c r="T4585" s="226"/>
      <c r="U4585" s="226"/>
    </row>
    <row r="4586" spans="16:21" x14ac:dyDescent="0.35">
      <c r="P4586" s="226"/>
      <c r="Q4586" s="226"/>
      <c r="R4586" s="226"/>
      <c r="S4586" s="226"/>
      <c r="T4586" s="226"/>
      <c r="U4586" s="226"/>
    </row>
    <row r="4587" spans="16:21" x14ac:dyDescent="0.35">
      <c r="P4587" s="226"/>
      <c r="Q4587" s="226"/>
      <c r="R4587" s="226"/>
      <c r="S4587" s="226"/>
      <c r="T4587" s="226"/>
      <c r="U4587" s="226"/>
    </row>
    <row r="4588" spans="16:21" x14ac:dyDescent="0.35">
      <c r="P4588" s="226"/>
      <c r="Q4588" s="226"/>
      <c r="R4588" s="226"/>
      <c r="S4588" s="226"/>
      <c r="T4588" s="226"/>
      <c r="U4588" s="226"/>
    </row>
    <row r="4589" spans="16:21" x14ac:dyDescent="0.35">
      <c r="P4589" s="226"/>
      <c r="Q4589" s="226"/>
      <c r="R4589" s="226"/>
      <c r="S4589" s="226"/>
      <c r="T4589" s="226"/>
      <c r="U4589" s="226"/>
    </row>
    <row r="4590" spans="16:21" x14ac:dyDescent="0.35">
      <c r="P4590" s="226"/>
      <c r="Q4590" s="226"/>
      <c r="R4590" s="226"/>
      <c r="S4590" s="226"/>
      <c r="T4590" s="226"/>
      <c r="U4590" s="226"/>
    </row>
    <row r="4591" spans="16:21" x14ac:dyDescent="0.35">
      <c r="P4591" s="226"/>
      <c r="Q4591" s="226"/>
      <c r="R4591" s="226"/>
      <c r="S4591" s="226"/>
      <c r="T4591" s="226"/>
      <c r="U4591" s="226"/>
    </row>
    <row r="4592" spans="16:21" x14ac:dyDescent="0.35">
      <c r="P4592" s="226"/>
      <c r="Q4592" s="226"/>
      <c r="R4592" s="226"/>
      <c r="S4592" s="226"/>
      <c r="T4592" s="226"/>
      <c r="U4592" s="226"/>
    </row>
    <row r="4593" spans="16:21" x14ac:dyDescent="0.35">
      <c r="P4593" s="226"/>
      <c r="Q4593" s="226"/>
      <c r="R4593" s="226"/>
      <c r="S4593" s="226"/>
      <c r="T4593" s="226"/>
      <c r="U4593" s="226"/>
    </row>
    <row r="4594" spans="16:21" x14ac:dyDescent="0.35">
      <c r="P4594" s="226"/>
      <c r="Q4594" s="226"/>
      <c r="R4594" s="226"/>
      <c r="S4594" s="226"/>
      <c r="T4594" s="226"/>
      <c r="U4594" s="226"/>
    </row>
    <row r="4595" spans="16:21" x14ac:dyDescent="0.35">
      <c r="P4595" s="226"/>
      <c r="Q4595" s="226"/>
      <c r="R4595" s="226"/>
      <c r="S4595" s="226"/>
      <c r="T4595" s="226"/>
      <c r="U4595" s="226"/>
    </row>
    <row r="4596" spans="16:21" x14ac:dyDescent="0.35">
      <c r="P4596" s="226"/>
      <c r="Q4596" s="226"/>
      <c r="R4596" s="226"/>
      <c r="S4596" s="226"/>
      <c r="T4596" s="226"/>
      <c r="U4596" s="226"/>
    </row>
    <row r="4597" spans="16:21" x14ac:dyDescent="0.35">
      <c r="P4597" s="226"/>
      <c r="Q4597" s="226"/>
      <c r="R4597" s="226"/>
      <c r="S4597" s="226"/>
      <c r="T4597" s="226"/>
      <c r="U4597" s="226"/>
    </row>
    <row r="4598" spans="16:21" x14ac:dyDescent="0.35">
      <c r="P4598" s="226"/>
      <c r="Q4598" s="226"/>
      <c r="R4598" s="226"/>
      <c r="S4598" s="226"/>
      <c r="T4598" s="226"/>
      <c r="U4598" s="226"/>
    </row>
    <row r="4599" spans="16:21" x14ac:dyDescent="0.35">
      <c r="P4599" s="226"/>
      <c r="Q4599" s="226"/>
      <c r="R4599" s="226"/>
      <c r="S4599" s="226"/>
      <c r="T4599" s="226"/>
      <c r="U4599" s="226"/>
    </row>
    <row r="4600" spans="16:21" x14ac:dyDescent="0.35">
      <c r="P4600" s="226"/>
      <c r="Q4600" s="226"/>
      <c r="R4600" s="226"/>
      <c r="S4600" s="226"/>
      <c r="T4600" s="226"/>
      <c r="U4600" s="226"/>
    </row>
    <row r="4601" spans="16:21" x14ac:dyDescent="0.35">
      <c r="P4601" s="226"/>
      <c r="Q4601" s="226"/>
      <c r="R4601" s="226"/>
      <c r="S4601" s="226"/>
      <c r="T4601" s="226"/>
      <c r="U4601" s="226"/>
    </row>
    <row r="4602" spans="16:21" x14ac:dyDescent="0.35">
      <c r="P4602" s="226"/>
      <c r="Q4602" s="226"/>
      <c r="R4602" s="226"/>
      <c r="S4602" s="226"/>
      <c r="T4602" s="226"/>
      <c r="U4602" s="226"/>
    </row>
    <row r="4603" spans="16:21" x14ac:dyDescent="0.35">
      <c r="P4603" s="226"/>
      <c r="Q4603" s="226"/>
      <c r="R4603" s="226"/>
      <c r="S4603" s="226"/>
      <c r="T4603" s="226"/>
      <c r="U4603" s="226"/>
    </row>
    <row r="4604" spans="16:21" x14ac:dyDescent="0.35">
      <c r="P4604" s="226"/>
      <c r="Q4604" s="226"/>
      <c r="R4604" s="226"/>
      <c r="S4604" s="226"/>
      <c r="T4604" s="226"/>
      <c r="U4604" s="226"/>
    </row>
    <row r="4605" spans="16:21" x14ac:dyDescent="0.35">
      <c r="P4605" s="226"/>
      <c r="Q4605" s="226"/>
      <c r="R4605" s="226"/>
      <c r="S4605" s="226"/>
      <c r="T4605" s="226"/>
      <c r="U4605" s="226"/>
    </row>
    <row r="4606" spans="16:21" x14ac:dyDescent="0.35">
      <c r="P4606" s="226"/>
      <c r="Q4606" s="226"/>
      <c r="R4606" s="226"/>
      <c r="S4606" s="226"/>
      <c r="T4606" s="226"/>
      <c r="U4606" s="226"/>
    </row>
    <row r="4607" spans="16:21" x14ac:dyDescent="0.35">
      <c r="P4607" s="226"/>
      <c r="Q4607" s="226"/>
      <c r="R4607" s="226"/>
      <c r="S4607" s="226"/>
      <c r="T4607" s="226"/>
      <c r="U4607" s="226"/>
    </row>
    <row r="4608" spans="16:21" x14ac:dyDescent="0.35">
      <c r="P4608" s="226"/>
      <c r="Q4608" s="226"/>
      <c r="R4608" s="226"/>
      <c r="S4608" s="226"/>
      <c r="T4608" s="226"/>
      <c r="U4608" s="226"/>
    </row>
    <row r="4609" spans="16:21" x14ac:dyDescent="0.35">
      <c r="P4609" s="226"/>
      <c r="Q4609" s="226"/>
      <c r="R4609" s="226"/>
      <c r="S4609" s="226"/>
      <c r="T4609" s="226"/>
      <c r="U4609" s="226"/>
    </row>
    <row r="4610" spans="16:21" x14ac:dyDescent="0.35">
      <c r="P4610" s="226"/>
      <c r="Q4610" s="226"/>
      <c r="R4610" s="226"/>
      <c r="S4610" s="226"/>
      <c r="T4610" s="226"/>
      <c r="U4610" s="226"/>
    </row>
    <row r="4611" spans="16:21" x14ac:dyDescent="0.35">
      <c r="P4611" s="226"/>
      <c r="Q4611" s="226"/>
      <c r="R4611" s="226"/>
      <c r="S4611" s="226"/>
      <c r="T4611" s="226"/>
      <c r="U4611" s="226"/>
    </row>
    <row r="4612" spans="16:21" x14ac:dyDescent="0.35">
      <c r="P4612" s="226"/>
      <c r="Q4612" s="226"/>
      <c r="R4612" s="226"/>
      <c r="S4612" s="226"/>
      <c r="T4612" s="226"/>
      <c r="U4612" s="226"/>
    </row>
    <row r="4613" spans="16:21" x14ac:dyDescent="0.35">
      <c r="P4613" s="226"/>
      <c r="Q4613" s="226"/>
      <c r="R4613" s="226"/>
      <c r="S4613" s="226"/>
      <c r="T4613" s="226"/>
      <c r="U4613" s="226"/>
    </row>
    <row r="4614" spans="16:21" x14ac:dyDescent="0.35">
      <c r="P4614" s="226"/>
      <c r="Q4614" s="226"/>
      <c r="R4614" s="226"/>
      <c r="S4614" s="226"/>
      <c r="T4614" s="226"/>
      <c r="U4614" s="226"/>
    </row>
    <row r="4615" spans="16:21" x14ac:dyDescent="0.35">
      <c r="P4615" s="226"/>
      <c r="Q4615" s="226"/>
      <c r="R4615" s="226"/>
      <c r="S4615" s="226"/>
      <c r="T4615" s="226"/>
      <c r="U4615" s="226"/>
    </row>
    <row r="4616" spans="16:21" x14ac:dyDescent="0.35">
      <c r="P4616" s="226"/>
      <c r="Q4616" s="226"/>
      <c r="R4616" s="226"/>
      <c r="S4616" s="226"/>
      <c r="T4616" s="226"/>
      <c r="U4616" s="226"/>
    </row>
    <row r="4617" spans="16:21" x14ac:dyDescent="0.35">
      <c r="P4617" s="226"/>
      <c r="Q4617" s="226"/>
      <c r="R4617" s="226"/>
      <c r="S4617" s="226"/>
      <c r="T4617" s="226"/>
      <c r="U4617" s="226"/>
    </row>
    <row r="4618" spans="16:21" x14ac:dyDescent="0.35">
      <c r="P4618" s="226"/>
      <c r="Q4618" s="226"/>
      <c r="R4618" s="226"/>
      <c r="S4618" s="226"/>
      <c r="T4618" s="226"/>
      <c r="U4618" s="226"/>
    </row>
    <row r="4619" spans="16:21" x14ac:dyDescent="0.35">
      <c r="P4619" s="226"/>
      <c r="Q4619" s="226"/>
      <c r="R4619" s="226"/>
      <c r="S4619" s="226"/>
      <c r="T4619" s="226"/>
      <c r="U4619" s="226"/>
    </row>
    <row r="4620" spans="16:21" x14ac:dyDescent="0.35">
      <c r="P4620" s="226"/>
      <c r="Q4620" s="226"/>
      <c r="R4620" s="226"/>
      <c r="S4620" s="226"/>
      <c r="T4620" s="226"/>
      <c r="U4620" s="226"/>
    </row>
    <row r="4621" spans="16:21" x14ac:dyDescent="0.35">
      <c r="P4621" s="226"/>
      <c r="Q4621" s="226"/>
      <c r="R4621" s="226"/>
      <c r="S4621" s="226"/>
      <c r="T4621" s="226"/>
      <c r="U4621" s="226"/>
    </row>
    <row r="4622" spans="16:21" x14ac:dyDescent="0.35">
      <c r="P4622" s="226"/>
      <c r="Q4622" s="226"/>
      <c r="R4622" s="226"/>
      <c r="S4622" s="226"/>
      <c r="T4622" s="226"/>
      <c r="U4622" s="226"/>
    </row>
    <row r="4623" spans="16:21" x14ac:dyDescent="0.35">
      <c r="P4623" s="226"/>
      <c r="Q4623" s="226"/>
      <c r="R4623" s="226"/>
      <c r="S4623" s="226"/>
      <c r="T4623" s="226"/>
      <c r="U4623" s="226"/>
    </row>
    <row r="4624" spans="16:21" x14ac:dyDescent="0.35">
      <c r="P4624" s="226"/>
      <c r="Q4624" s="226"/>
      <c r="R4624" s="226"/>
      <c r="S4624" s="226"/>
      <c r="T4624" s="226"/>
      <c r="U4624" s="226"/>
    </row>
    <row r="4625" spans="16:21" x14ac:dyDescent="0.35">
      <c r="P4625" s="226"/>
      <c r="Q4625" s="226"/>
      <c r="R4625" s="226"/>
      <c r="S4625" s="226"/>
      <c r="T4625" s="226"/>
      <c r="U4625" s="226"/>
    </row>
    <row r="4626" spans="16:21" x14ac:dyDescent="0.35">
      <c r="P4626" s="226"/>
      <c r="Q4626" s="226"/>
      <c r="R4626" s="226"/>
      <c r="S4626" s="226"/>
      <c r="T4626" s="226"/>
      <c r="U4626" s="226"/>
    </row>
    <row r="4627" spans="16:21" x14ac:dyDescent="0.35">
      <c r="P4627" s="226"/>
      <c r="Q4627" s="226"/>
      <c r="R4627" s="226"/>
      <c r="S4627" s="226"/>
      <c r="T4627" s="226"/>
      <c r="U4627" s="226"/>
    </row>
    <row r="4628" spans="16:21" x14ac:dyDescent="0.35">
      <c r="P4628" s="226"/>
      <c r="Q4628" s="226"/>
      <c r="R4628" s="226"/>
      <c r="S4628" s="226"/>
      <c r="T4628" s="226"/>
      <c r="U4628" s="226"/>
    </row>
    <row r="4629" spans="16:21" x14ac:dyDescent="0.35">
      <c r="P4629" s="226"/>
      <c r="Q4629" s="226"/>
      <c r="R4629" s="226"/>
      <c r="S4629" s="226"/>
      <c r="T4629" s="226"/>
      <c r="U4629" s="226"/>
    </row>
    <row r="4630" spans="16:21" x14ac:dyDescent="0.35">
      <c r="P4630" s="226"/>
      <c r="Q4630" s="226"/>
      <c r="R4630" s="226"/>
      <c r="S4630" s="226"/>
      <c r="T4630" s="226"/>
      <c r="U4630" s="226"/>
    </row>
    <row r="4631" spans="16:21" x14ac:dyDescent="0.35">
      <c r="P4631" s="226"/>
      <c r="Q4631" s="226"/>
      <c r="R4631" s="226"/>
      <c r="S4631" s="226"/>
      <c r="T4631" s="226"/>
      <c r="U4631" s="226"/>
    </row>
    <row r="4632" spans="16:21" x14ac:dyDescent="0.35">
      <c r="P4632" s="226"/>
      <c r="Q4632" s="226"/>
      <c r="R4632" s="226"/>
      <c r="S4632" s="226"/>
      <c r="T4632" s="226"/>
      <c r="U4632" s="226"/>
    </row>
    <row r="4633" spans="16:21" x14ac:dyDescent="0.35">
      <c r="P4633" s="226"/>
      <c r="Q4633" s="226"/>
      <c r="R4633" s="226"/>
      <c r="S4633" s="226"/>
      <c r="T4633" s="226"/>
      <c r="U4633" s="226"/>
    </row>
    <row r="4634" spans="16:21" x14ac:dyDescent="0.35">
      <c r="P4634" s="226"/>
      <c r="Q4634" s="226"/>
      <c r="R4634" s="226"/>
      <c r="S4634" s="226"/>
      <c r="T4634" s="226"/>
      <c r="U4634" s="226"/>
    </row>
    <row r="4635" spans="16:21" x14ac:dyDescent="0.35">
      <c r="P4635" s="226"/>
      <c r="Q4635" s="226"/>
      <c r="R4635" s="226"/>
      <c r="S4635" s="226"/>
      <c r="T4635" s="226"/>
      <c r="U4635" s="226"/>
    </row>
    <row r="4636" spans="16:21" x14ac:dyDescent="0.35">
      <c r="P4636" s="226"/>
      <c r="Q4636" s="226"/>
      <c r="R4636" s="226"/>
      <c r="S4636" s="226"/>
      <c r="T4636" s="226"/>
      <c r="U4636" s="226"/>
    </row>
    <row r="4637" spans="16:21" x14ac:dyDescent="0.35">
      <c r="P4637" s="226"/>
      <c r="Q4637" s="226"/>
      <c r="R4637" s="226"/>
      <c r="S4637" s="226"/>
      <c r="T4637" s="226"/>
      <c r="U4637" s="226"/>
    </row>
    <row r="4638" spans="16:21" x14ac:dyDescent="0.35">
      <c r="P4638" s="226"/>
      <c r="Q4638" s="226"/>
      <c r="R4638" s="226"/>
      <c r="S4638" s="226"/>
      <c r="T4638" s="226"/>
      <c r="U4638" s="226"/>
    </row>
    <row r="4639" spans="16:21" x14ac:dyDescent="0.35">
      <c r="P4639" s="226"/>
      <c r="Q4639" s="226"/>
      <c r="R4639" s="226"/>
      <c r="S4639" s="226"/>
      <c r="T4639" s="226"/>
      <c r="U4639" s="226"/>
    </row>
    <row r="4640" spans="16:21" x14ac:dyDescent="0.35">
      <c r="P4640" s="226"/>
      <c r="Q4640" s="226"/>
      <c r="R4640" s="226"/>
      <c r="S4640" s="226"/>
      <c r="T4640" s="226"/>
      <c r="U4640" s="226"/>
    </row>
    <row r="4641" spans="16:21" x14ac:dyDescent="0.35">
      <c r="P4641" s="226"/>
      <c r="Q4641" s="226"/>
      <c r="R4641" s="226"/>
      <c r="S4641" s="226"/>
      <c r="T4641" s="226"/>
      <c r="U4641" s="226"/>
    </row>
    <row r="4642" spans="16:21" x14ac:dyDescent="0.35">
      <c r="P4642" s="226"/>
      <c r="Q4642" s="226"/>
      <c r="R4642" s="226"/>
      <c r="S4642" s="226"/>
      <c r="T4642" s="226"/>
      <c r="U4642" s="226"/>
    </row>
    <row r="4643" spans="16:21" x14ac:dyDescent="0.35">
      <c r="P4643" s="226"/>
      <c r="Q4643" s="226"/>
      <c r="R4643" s="226"/>
      <c r="S4643" s="226"/>
      <c r="T4643" s="226"/>
      <c r="U4643" s="226"/>
    </row>
    <row r="4644" spans="16:21" x14ac:dyDescent="0.35">
      <c r="P4644" s="226"/>
      <c r="Q4644" s="226"/>
      <c r="R4644" s="226"/>
      <c r="S4644" s="226"/>
      <c r="T4644" s="226"/>
      <c r="U4644" s="226"/>
    </row>
    <row r="4645" spans="16:21" x14ac:dyDescent="0.35">
      <c r="P4645" s="226"/>
      <c r="Q4645" s="226"/>
      <c r="R4645" s="226"/>
      <c r="S4645" s="226"/>
      <c r="T4645" s="226"/>
      <c r="U4645" s="226"/>
    </row>
    <row r="4646" spans="16:21" x14ac:dyDescent="0.35">
      <c r="P4646" s="226"/>
      <c r="Q4646" s="226"/>
      <c r="R4646" s="226"/>
      <c r="S4646" s="226"/>
      <c r="T4646" s="226"/>
      <c r="U4646" s="226"/>
    </row>
    <row r="4647" spans="16:21" x14ac:dyDescent="0.35">
      <c r="P4647" s="226"/>
      <c r="Q4647" s="226"/>
      <c r="R4647" s="226"/>
      <c r="S4647" s="226"/>
      <c r="T4647" s="226"/>
      <c r="U4647" s="226"/>
    </row>
    <row r="4648" spans="16:21" x14ac:dyDescent="0.35">
      <c r="P4648" s="226"/>
      <c r="Q4648" s="226"/>
      <c r="R4648" s="226"/>
      <c r="S4648" s="226"/>
      <c r="T4648" s="226"/>
      <c r="U4648" s="226"/>
    </row>
    <row r="4649" spans="16:21" x14ac:dyDescent="0.35">
      <c r="P4649" s="226"/>
      <c r="Q4649" s="226"/>
      <c r="R4649" s="226"/>
      <c r="S4649" s="226"/>
      <c r="T4649" s="226"/>
      <c r="U4649" s="226"/>
    </row>
    <row r="4650" spans="16:21" x14ac:dyDescent="0.35">
      <c r="P4650" s="226"/>
      <c r="Q4650" s="226"/>
      <c r="R4650" s="226"/>
      <c r="S4650" s="226"/>
      <c r="T4650" s="226"/>
      <c r="U4650" s="226"/>
    </row>
    <row r="4651" spans="16:21" x14ac:dyDescent="0.35">
      <c r="P4651" s="226"/>
      <c r="Q4651" s="226"/>
      <c r="R4651" s="226"/>
      <c r="S4651" s="226"/>
      <c r="T4651" s="226"/>
      <c r="U4651" s="226"/>
    </row>
    <row r="4652" spans="16:21" x14ac:dyDescent="0.35">
      <c r="P4652" s="226"/>
      <c r="Q4652" s="226"/>
      <c r="R4652" s="226"/>
      <c r="S4652" s="226"/>
      <c r="T4652" s="226"/>
      <c r="U4652" s="226"/>
    </row>
    <row r="4653" spans="16:21" x14ac:dyDescent="0.35">
      <c r="P4653" s="226"/>
      <c r="Q4653" s="226"/>
      <c r="R4653" s="226"/>
      <c r="S4653" s="226"/>
      <c r="T4653" s="226"/>
      <c r="U4653" s="226"/>
    </row>
    <row r="4654" spans="16:21" x14ac:dyDescent="0.35">
      <c r="P4654" s="226"/>
      <c r="Q4654" s="226"/>
      <c r="R4654" s="226"/>
      <c r="S4654" s="226"/>
      <c r="T4654" s="226"/>
      <c r="U4654" s="226"/>
    </row>
    <row r="4655" spans="16:21" x14ac:dyDescent="0.35">
      <c r="P4655" s="226"/>
      <c r="Q4655" s="226"/>
      <c r="R4655" s="226"/>
      <c r="S4655" s="226"/>
      <c r="T4655" s="226"/>
      <c r="U4655" s="226"/>
    </row>
    <row r="4656" spans="16:21" x14ac:dyDescent="0.35">
      <c r="P4656" s="226"/>
      <c r="Q4656" s="226"/>
      <c r="R4656" s="226"/>
      <c r="S4656" s="226"/>
      <c r="T4656" s="226"/>
      <c r="U4656" s="226"/>
    </row>
    <row r="4657" spans="16:21" x14ac:dyDescent="0.35">
      <c r="P4657" s="226"/>
      <c r="Q4657" s="226"/>
      <c r="R4657" s="226"/>
      <c r="S4657" s="226"/>
      <c r="T4657" s="226"/>
      <c r="U4657" s="226"/>
    </row>
    <row r="4658" spans="16:21" x14ac:dyDescent="0.35">
      <c r="P4658" s="226"/>
      <c r="Q4658" s="226"/>
      <c r="R4658" s="226"/>
      <c r="S4658" s="226"/>
      <c r="T4658" s="226"/>
      <c r="U4658" s="226"/>
    </row>
    <row r="4659" spans="16:21" x14ac:dyDescent="0.35">
      <c r="P4659" s="226"/>
      <c r="Q4659" s="226"/>
      <c r="R4659" s="226"/>
      <c r="S4659" s="226"/>
      <c r="T4659" s="226"/>
      <c r="U4659" s="226"/>
    </row>
    <row r="4660" spans="16:21" x14ac:dyDescent="0.35">
      <c r="P4660" s="226"/>
      <c r="Q4660" s="226"/>
      <c r="R4660" s="226"/>
      <c r="S4660" s="226"/>
      <c r="T4660" s="226"/>
      <c r="U4660" s="226"/>
    </row>
    <row r="4661" spans="16:21" x14ac:dyDescent="0.35">
      <c r="P4661" s="226"/>
      <c r="Q4661" s="226"/>
      <c r="R4661" s="226"/>
      <c r="S4661" s="226"/>
      <c r="T4661" s="226"/>
      <c r="U4661" s="226"/>
    </row>
    <row r="4662" spans="16:21" x14ac:dyDescent="0.35">
      <c r="P4662" s="226"/>
      <c r="Q4662" s="226"/>
      <c r="R4662" s="226"/>
      <c r="S4662" s="226"/>
      <c r="T4662" s="226"/>
      <c r="U4662" s="226"/>
    </row>
    <row r="4663" spans="16:21" x14ac:dyDescent="0.35">
      <c r="P4663" s="226"/>
      <c r="Q4663" s="226"/>
      <c r="R4663" s="226"/>
      <c r="S4663" s="226"/>
      <c r="T4663" s="226"/>
      <c r="U4663" s="226"/>
    </row>
    <row r="4664" spans="16:21" x14ac:dyDescent="0.35">
      <c r="P4664" s="226"/>
      <c r="Q4664" s="226"/>
      <c r="R4664" s="226"/>
      <c r="S4664" s="226"/>
      <c r="T4664" s="226"/>
      <c r="U4664" s="226"/>
    </row>
    <row r="4665" spans="16:21" x14ac:dyDescent="0.35">
      <c r="P4665" s="226"/>
      <c r="Q4665" s="226"/>
      <c r="R4665" s="226"/>
      <c r="S4665" s="226"/>
      <c r="T4665" s="226"/>
      <c r="U4665" s="226"/>
    </row>
    <row r="4666" spans="16:21" x14ac:dyDescent="0.35">
      <c r="P4666" s="226"/>
      <c r="Q4666" s="226"/>
      <c r="R4666" s="226"/>
      <c r="S4666" s="226"/>
      <c r="T4666" s="226"/>
      <c r="U4666" s="226"/>
    </row>
    <row r="4667" spans="16:21" x14ac:dyDescent="0.35">
      <c r="P4667" s="226"/>
      <c r="Q4667" s="226"/>
      <c r="R4667" s="226"/>
      <c r="S4667" s="226"/>
      <c r="T4667" s="226"/>
      <c r="U4667" s="226"/>
    </row>
    <row r="4668" spans="16:21" x14ac:dyDescent="0.35">
      <c r="P4668" s="226"/>
      <c r="Q4668" s="226"/>
      <c r="R4668" s="226"/>
      <c r="S4668" s="226"/>
      <c r="T4668" s="226"/>
      <c r="U4668" s="226"/>
    </row>
    <row r="4669" spans="16:21" x14ac:dyDescent="0.35">
      <c r="P4669" s="226"/>
      <c r="Q4669" s="226"/>
      <c r="R4669" s="226"/>
      <c r="S4669" s="226"/>
      <c r="T4669" s="226"/>
      <c r="U4669" s="226"/>
    </row>
    <row r="4670" spans="16:21" x14ac:dyDescent="0.35">
      <c r="P4670" s="226"/>
      <c r="Q4670" s="226"/>
      <c r="R4670" s="226"/>
      <c r="S4670" s="226"/>
      <c r="T4670" s="226"/>
      <c r="U4670" s="226"/>
    </row>
    <row r="4671" spans="16:21" x14ac:dyDescent="0.35">
      <c r="P4671" s="226"/>
      <c r="Q4671" s="226"/>
      <c r="R4671" s="226"/>
      <c r="S4671" s="226"/>
      <c r="T4671" s="226"/>
      <c r="U4671" s="226"/>
    </row>
    <row r="4672" spans="16:21" x14ac:dyDescent="0.35">
      <c r="P4672" s="226"/>
      <c r="Q4672" s="226"/>
      <c r="R4672" s="226"/>
      <c r="S4672" s="226"/>
      <c r="T4672" s="226"/>
      <c r="U4672" s="226"/>
    </row>
    <row r="4673" spans="16:21" x14ac:dyDescent="0.35">
      <c r="P4673" s="226"/>
      <c r="Q4673" s="226"/>
      <c r="R4673" s="226"/>
      <c r="S4673" s="226"/>
      <c r="T4673" s="226"/>
      <c r="U4673" s="226"/>
    </row>
    <row r="4674" spans="16:21" x14ac:dyDescent="0.35">
      <c r="P4674" s="226"/>
      <c r="Q4674" s="226"/>
      <c r="R4674" s="226"/>
      <c r="S4674" s="226"/>
      <c r="T4674" s="226"/>
      <c r="U4674" s="226"/>
    </row>
    <row r="4675" spans="16:21" x14ac:dyDescent="0.35">
      <c r="P4675" s="226"/>
      <c r="Q4675" s="226"/>
      <c r="R4675" s="226"/>
      <c r="S4675" s="226"/>
      <c r="T4675" s="226"/>
      <c r="U4675" s="226"/>
    </row>
    <row r="4676" spans="16:21" x14ac:dyDescent="0.35">
      <c r="P4676" s="226"/>
      <c r="Q4676" s="226"/>
      <c r="R4676" s="226"/>
      <c r="S4676" s="226"/>
      <c r="T4676" s="226"/>
      <c r="U4676" s="226"/>
    </row>
    <row r="4677" spans="16:21" x14ac:dyDescent="0.35">
      <c r="P4677" s="226"/>
      <c r="Q4677" s="226"/>
      <c r="R4677" s="226"/>
      <c r="S4677" s="226"/>
      <c r="T4677" s="226"/>
      <c r="U4677" s="226"/>
    </row>
    <row r="4678" spans="16:21" x14ac:dyDescent="0.35">
      <c r="P4678" s="226"/>
      <c r="Q4678" s="226"/>
      <c r="R4678" s="226"/>
      <c r="S4678" s="226"/>
      <c r="T4678" s="226"/>
      <c r="U4678" s="226"/>
    </row>
    <row r="4679" spans="16:21" x14ac:dyDescent="0.35">
      <c r="P4679" s="226"/>
      <c r="Q4679" s="226"/>
      <c r="R4679" s="226"/>
      <c r="S4679" s="226"/>
      <c r="T4679" s="226"/>
      <c r="U4679" s="226"/>
    </row>
    <row r="4680" spans="16:21" x14ac:dyDescent="0.35">
      <c r="P4680" s="226"/>
      <c r="Q4680" s="226"/>
      <c r="R4680" s="226"/>
      <c r="S4680" s="226"/>
      <c r="T4680" s="226"/>
      <c r="U4680" s="226"/>
    </row>
    <row r="4681" spans="16:21" x14ac:dyDescent="0.35">
      <c r="P4681" s="226"/>
      <c r="Q4681" s="226"/>
      <c r="R4681" s="226"/>
      <c r="S4681" s="226"/>
      <c r="T4681" s="226"/>
      <c r="U4681" s="226"/>
    </row>
    <row r="4682" spans="16:21" x14ac:dyDescent="0.35">
      <c r="P4682" s="226"/>
      <c r="Q4682" s="226"/>
      <c r="R4682" s="226"/>
      <c r="S4682" s="226"/>
      <c r="T4682" s="226"/>
      <c r="U4682" s="226"/>
    </row>
    <row r="4683" spans="16:21" x14ac:dyDescent="0.35">
      <c r="P4683" s="226"/>
      <c r="Q4683" s="226"/>
      <c r="R4683" s="226"/>
      <c r="S4683" s="226"/>
      <c r="T4683" s="226"/>
      <c r="U4683" s="226"/>
    </row>
    <row r="4684" spans="16:21" x14ac:dyDescent="0.35">
      <c r="P4684" s="226"/>
      <c r="Q4684" s="226"/>
      <c r="R4684" s="226"/>
      <c r="S4684" s="226"/>
      <c r="T4684" s="226"/>
      <c r="U4684" s="226"/>
    </row>
    <row r="4685" spans="16:21" x14ac:dyDescent="0.35">
      <c r="P4685" s="226"/>
      <c r="Q4685" s="226"/>
      <c r="R4685" s="226"/>
      <c r="S4685" s="226"/>
      <c r="T4685" s="226"/>
      <c r="U4685" s="226"/>
    </row>
    <row r="4686" spans="16:21" x14ac:dyDescent="0.35">
      <c r="P4686" s="226"/>
      <c r="Q4686" s="226"/>
      <c r="R4686" s="226"/>
      <c r="S4686" s="226"/>
      <c r="T4686" s="226"/>
      <c r="U4686" s="226"/>
    </row>
    <row r="4687" spans="16:21" x14ac:dyDescent="0.35">
      <c r="P4687" s="226"/>
      <c r="Q4687" s="226"/>
      <c r="R4687" s="226"/>
      <c r="S4687" s="226"/>
      <c r="T4687" s="226"/>
      <c r="U4687" s="226"/>
    </row>
    <row r="4688" spans="16:21" x14ac:dyDescent="0.35">
      <c r="P4688" s="226"/>
      <c r="Q4688" s="226"/>
      <c r="R4688" s="226"/>
      <c r="S4688" s="226"/>
      <c r="T4688" s="226"/>
      <c r="U4688" s="226"/>
    </row>
    <row r="4689" spans="16:21" x14ac:dyDescent="0.35">
      <c r="P4689" s="226"/>
      <c r="Q4689" s="226"/>
      <c r="R4689" s="226"/>
      <c r="S4689" s="226"/>
      <c r="T4689" s="226"/>
      <c r="U4689" s="226"/>
    </row>
    <row r="4690" spans="16:21" x14ac:dyDescent="0.35">
      <c r="P4690" s="226"/>
      <c r="Q4690" s="226"/>
      <c r="R4690" s="226"/>
      <c r="S4690" s="226"/>
      <c r="T4690" s="226"/>
      <c r="U4690" s="226"/>
    </row>
    <row r="4691" spans="16:21" x14ac:dyDescent="0.35">
      <c r="P4691" s="226"/>
      <c r="Q4691" s="226"/>
      <c r="R4691" s="226"/>
      <c r="S4691" s="226"/>
      <c r="T4691" s="226"/>
      <c r="U4691" s="226"/>
    </row>
    <row r="4692" spans="16:21" x14ac:dyDescent="0.35">
      <c r="P4692" s="226"/>
      <c r="Q4692" s="226"/>
      <c r="R4692" s="226"/>
      <c r="S4692" s="226"/>
      <c r="T4692" s="226"/>
      <c r="U4692" s="226"/>
    </row>
    <row r="4693" spans="16:21" x14ac:dyDescent="0.35">
      <c r="P4693" s="226"/>
      <c r="Q4693" s="226"/>
      <c r="R4693" s="226"/>
      <c r="S4693" s="226"/>
      <c r="T4693" s="226"/>
      <c r="U4693" s="226"/>
    </row>
    <row r="4694" spans="16:21" x14ac:dyDescent="0.35">
      <c r="P4694" s="226"/>
      <c r="Q4694" s="226"/>
      <c r="R4694" s="226"/>
      <c r="S4694" s="226"/>
      <c r="T4694" s="226"/>
      <c r="U4694" s="226"/>
    </row>
    <row r="4695" spans="16:21" x14ac:dyDescent="0.35">
      <c r="P4695" s="226"/>
      <c r="Q4695" s="226"/>
      <c r="R4695" s="226"/>
      <c r="S4695" s="226"/>
      <c r="T4695" s="226"/>
      <c r="U4695" s="226"/>
    </row>
    <row r="4696" spans="16:21" x14ac:dyDescent="0.35">
      <c r="P4696" s="226"/>
      <c r="Q4696" s="226"/>
      <c r="R4696" s="226"/>
      <c r="S4696" s="226"/>
      <c r="T4696" s="226"/>
      <c r="U4696" s="226"/>
    </row>
    <row r="4697" spans="16:21" x14ac:dyDescent="0.35">
      <c r="P4697" s="226"/>
      <c r="Q4697" s="226"/>
      <c r="R4697" s="226"/>
      <c r="S4697" s="226"/>
      <c r="T4697" s="226"/>
      <c r="U4697" s="226"/>
    </row>
    <row r="4698" spans="16:21" x14ac:dyDescent="0.35">
      <c r="P4698" s="226"/>
      <c r="Q4698" s="226"/>
      <c r="R4698" s="226"/>
      <c r="S4698" s="226"/>
      <c r="T4698" s="226"/>
      <c r="U4698" s="226"/>
    </row>
    <row r="4699" spans="16:21" x14ac:dyDescent="0.35">
      <c r="P4699" s="226"/>
      <c r="Q4699" s="226"/>
      <c r="R4699" s="226"/>
      <c r="S4699" s="226"/>
      <c r="T4699" s="226"/>
      <c r="U4699" s="226"/>
    </row>
    <row r="4700" spans="16:21" x14ac:dyDescent="0.35">
      <c r="P4700" s="226"/>
      <c r="Q4700" s="226"/>
      <c r="R4700" s="226"/>
      <c r="S4700" s="226"/>
      <c r="T4700" s="226"/>
      <c r="U4700" s="226"/>
    </row>
    <row r="4701" spans="16:21" x14ac:dyDescent="0.35">
      <c r="P4701" s="226"/>
      <c r="Q4701" s="226"/>
      <c r="R4701" s="226"/>
      <c r="S4701" s="226"/>
      <c r="T4701" s="226"/>
      <c r="U4701" s="226"/>
    </row>
    <row r="4702" spans="16:21" x14ac:dyDescent="0.35">
      <c r="P4702" s="226"/>
      <c r="Q4702" s="226"/>
      <c r="R4702" s="226"/>
      <c r="S4702" s="226"/>
      <c r="T4702" s="226"/>
      <c r="U4702" s="226"/>
    </row>
    <row r="4703" spans="16:21" x14ac:dyDescent="0.35">
      <c r="P4703" s="226"/>
      <c r="Q4703" s="226"/>
      <c r="R4703" s="226"/>
      <c r="S4703" s="226"/>
      <c r="T4703" s="226"/>
      <c r="U4703" s="226"/>
    </row>
    <row r="4704" spans="16:21" x14ac:dyDescent="0.35">
      <c r="P4704" s="226"/>
      <c r="Q4704" s="226"/>
      <c r="R4704" s="226"/>
      <c r="S4704" s="226"/>
      <c r="T4704" s="226"/>
      <c r="U4704" s="226"/>
    </row>
    <row r="4705" spans="16:21" x14ac:dyDescent="0.35">
      <c r="P4705" s="226"/>
      <c r="Q4705" s="226"/>
      <c r="R4705" s="226"/>
      <c r="S4705" s="226"/>
      <c r="T4705" s="226"/>
      <c r="U4705" s="226"/>
    </row>
    <row r="4706" spans="16:21" x14ac:dyDescent="0.35">
      <c r="P4706" s="226"/>
      <c r="Q4706" s="226"/>
      <c r="R4706" s="226"/>
      <c r="S4706" s="226"/>
      <c r="T4706" s="226"/>
      <c r="U4706" s="226"/>
    </row>
    <row r="4707" spans="16:21" x14ac:dyDescent="0.35">
      <c r="P4707" s="226"/>
      <c r="Q4707" s="226"/>
      <c r="R4707" s="226"/>
      <c r="S4707" s="226"/>
      <c r="T4707" s="226"/>
      <c r="U4707" s="226"/>
    </row>
    <row r="4708" spans="16:21" x14ac:dyDescent="0.35">
      <c r="P4708" s="226"/>
      <c r="Q4708" s="226"/>
      <c r="R4708" s="226"/>
      <c r="S4708" s="226"/>
      <c r="T4708" s="226"/>
      <c r="U4708" s="226"/>
    </row>
    <row r="4709" spans="16:21" x14ac:dyDescent="0.35">
      <c r="P4709" s="226"/>
      <c r="Q4709" s="226"/>
      <c r="R4709" s="226"/>
      <c r="S4709" s="226"/>
      <c r="T4709" s="226"/>
      <c r="U4709" s="226"/>
    </row>
    <row r="4710" spans="16:21" x14ac:dyDescent="0.35">
      <c r="P4710" s="226"/>
      <c r="Q4710" s="226"/>
      <c r="R4710" s="226"/>
      <c r="S4710" s="226"/>
      <c r="T4710" s="226"/>
      <c r="U4710" s="226"/>
    </row>
    <row r="4711" spans="16:21" x14ac:dyDescent="0.35">
      <c r="P4711" s="226"/>
      <c r="Q4711" s="226"/>
      <c r="R4711" s="226"/>
      <c r="S4711" s="226"/>
      <c r="T4711" s="226"/>
      <c r="U4711" s="226"/>
    </row>
    <row r="4712" spans="16:21" x14ac:dyDescent="0.35">
      <c r="P4712" s="226"/>
      <c r="Q4712" s="226"/>
      <c r="R4712" s="226"/>
      <c r="S4712" s="226"/>
      <c r="T4712" s="226"/>
      <c r="U4712" s="226"/>
    </row>
    <row r="4713" spans="16:21" x14ac:dyDescent="0.35">
      <c r="P4713" s="226"/>
      <c r="Q4713" s="226"/>
      <c r="R4713" s="226"/>
      <c r="S4713" s="226"/>
      <c r="T4713" s="226"/>
      <c r="U4713" s="226"/>
    </row>
    <row r="4714" spans="16:21" x14ac:dyDescent="0.35">
      <c r="P4714" s="226"/>
      <c r="Q4714" s="226"/>
      <c r="R4714" s="226"/>
      <c r="S4714" s="226"/>
      <c r="T4714" s="226"/>
      <c r="U4714" s="226"/>
    </row>
    <row r="4715" spans="16:21" x14ac:dyDescent="0.35">
      <c r="P4715" s="226"/>
      <c r="Q4715" s="226"/>
      <c r="R4715" s="226"/>
      <c r="S4715" s="226"/>
      <c r="T4715" s="226"/>
      <c r="U4715" s="226"/>
    </row>
    <row r="4716" spans="16:21" x14ac:dyDescent="0.35">
      <c r="P4716" s="226"/>
      <c r="Q4716" s="226"/>
      <c r="R4716" s="226"/>
      <c r="S4716" s="226"/>
      <c r="T4716" s="226"/>
      <c r="U4716" s="226"/>
    </row>
    <row r="4717" spans="16:21" x14ac:dyDescent="0.35">
      <c r="P4717" s="226"/>
      <c r="Q4717" s="226"/>
      <c r="R4717" s="226"/>
      <c r="S4717" s="226"/>
      <c r="T4717" s="226"/>
      <c r="U4717" s="226"/>
    </row>
    <row r="4718" spans="16:21" x14ac:dyDescent="0.35">
      <c r="P4718" s="226"/>
      <c r="Q4718" s="226"/>
      <c r="R4718" s="226"/>
      <c r="S4718" s="226"/>
      <c r="T4718" s="226"/>
      <c r="U4718" s="226"/>
    </row>
    <row r="4719" spans="16:21" x14ac:dyDescent="0.35">
      <c r="P4719" s="226"/>
      <c r="Q4719" s="226"/>
      <c r="R4719" s="226"/>
      <c r="S4719" s="226"/>
      <c r="T4719" s="226"/>
      <c r="U4719" s="226"/>
    </row>
    <row r="4720" spans="16:21" x14ac:dyDescent="0.35">
      <c r="P4720" s="226"/>
      <c r="Q4720" s="226"/>
      <c r="R4720" s="226"/>
      <c r="S4720" s="226"/>
      <c r="T4720" s="226"/>
      <c r="U4720" s="226"/>
    </row>
    <row r="4721" spans="16:21" x14ac:dyDescent="0.35">
      <c r="P4721" s="226"/>
      <c r="Q4721" s="226"/>
      <c r="R4721" s="226"/>
      <c r="S4721" s="226"/>
      <c r="T4721" s="226"/>
      <c r="U4721" s="226"/>
    </row>
    <row r="4722" spans="16:21" x14ac:dyDescent="0.35">
      <c r="P4722" s="226"/>
      <c r="Q4722" s="226"/>
      <c r="R4722" s="226"/>
      <c r="S4722" s="226"/>
      <c r="T4722" s="226"/>
      <c r="U4722" s="226"/>
    </row>
    <row r="4723" spans="16:21" x14ac:dyDescent="0.35">
      <c r="P4723" s="226"/>
      <c r="Q4723" s="226"/>
      <c r="R4723" s="226"/>
      <c r="S4723" s="226"/>
      <c r="T4723" s="226"/>
      <c r="U4723" s="226"/>
    </row>
    <row r="4724" spans="16:21" x14ac:dyDescent="0.35">
      <c r="P4724" s="226"/>
      <c r="Q4724" s="226"/>
      <c r="R4724" s="226"/>
      <c r="S4724" s="226"/>
      <c r="T4724" s="226"/>
      <c r="U4724" s="226"/>
    </row>
    <row r="4725" spans="16:21" x14ac:dyDescent="0.35">
      <c r="P4725" s="226"/>
      <c r="Q4725" s="226"/>
      <c r="R4725" s="226"/>
      <c r="S4725" s="226"/>
      <c r="T4725" s="226"/>
      <c r="U4725" s="226"/>
    </row>
    <row r="4726" spans="16:21" x14ac:dyDescent="0.35">
      <c r="P4726" s="226"/>
      <c r="Q4726" s="226"/>
      <c r="R4726" s="226"/>
      <c r="S4726" s="226"/>
      <c r="T4726" s="226"/>
      <c r="U4726" s="226"/>
    </row>
    <row r="4727" spans="16:21" x14ac:dyDescent="0.35">
      <c r="P4727" s="226"/>
      <c r="Q4727" s="226"/>
      <c r="R4727" s="226"/>
      <c r="S4727" s="226"/>
      <c r="T4727" s="226"/>
      <c r="U4727" s="226"/>
    </row>
    <row r="4728" spans="16:21" x14ac:dyDescent="0.35">
      <c r="P4728" s="226"/>
      <c r="Q4728" s="226"/>
      <c r="R4728" s="226"/>
      <c r="S4728" s="226"/>
      <c r="T4728" s="226"/>
      <c r="U4728" s="226"/>
    </row>
    <row r="4729" spans="16:21" x14ac:dyDescent="0.35">
      <c r="P4729" s="226"/>
      <c r="Q4729" s="226"/>
      <c r="R4729" s="226"/>
      <c r="S4729" s="226"/>
      <c r="T4729" s="226"/>
      <c r="U4729" s="226"/>
    </row>
    <row r="4730" spans="16:21" x14ac:dyDescent="0.35">
      <c r="P4730" s="226"/>
      <c r="Q4730" s="226"/>
      <c r="R4730" s="226"/>
      <c r="S4730" s="226"/>
      <c r="T4730" s="226"/>
      <c r="U4730" s="226"/>
    </row>
    <row r="4731" spans="16:21" x14ac:dyDescent="0.35">
      <c r="P4731" s="226"/>
      <c r="Q4731" s="226"/>
      <c r="R4731" s="226"/>
      <c r="S4731" s="226"/>
      <c r="T4731" s="226"/>
      <c r="U4731" s="226"/>
    </row>
    <row r="4732" spans="16:21" x14ac:dyDescent="0.35">
      <c r="P4732" s="226"/>
      <c r="Q4732" s="226"/>
      <c r="R4732" s="226"/>
      <c r="S4732" s="226"/>
      <c r="T4732" s="226"/>
      <c r="U4732" s="226"/>
    </row>
    <row r="4733" spans="16:21" x14ac:dyDescent="0.35">
      <c r="P4733" s="226"/>
      <c r="Q4733" s="226"/>
      <c r="R4733" s="226"/>
      <c r="S4733" s="226"/>
      <c r="T4733" s="226"/>
      <c r="U4733" s="226"/>
    </row>
    <row r="4734" spans="16:21" x14ac:dyDescent="0.35">
      <c r="P4734" s="226"/>
      <c r="Q4734" s="226"/>
      <c r="R4734" s="226"/>
      <c r="S4734" s="226"/>
      <c r="T4734" s="226"/>
      <c r="U4734" s="226"/>
    </row>
    <row r="4735" spans="16:21" x14ac:dyDescent="0.35">
      <c r="P4735" s="226"/>
      <c r="Q4735" s="226"/>
      <c r="R4735" s="226"/>
      <c r="S4735" s="226"/>
      <c r="T4735" s="226"/>
      <c r="U4735" s="226"/>
    </row>
    <row r="4736" spans="16:21" x14ac:dyDescent="0.35">
      <c r="P4736" s="226"/>
      <c r="Q4736" s="226"/>
      <c r="R4736" s="226"/>
      <c r="S4736" s="226"/>
      <c r="T4736" s="226"/>
      <c r="U4736" s="226"/>
    </row>
    <row r="4737" spans="16:21" x14ac:dyDescent="0.35">
      <c r="P4737" s="226"/>
      <c r="Q4737" s="226"/>
      <c r="R4737" s="226"/>
      <c r="S4737" s="226"/>
      <c r="T4737" s="226"/>
      <c r="U4737" s="226"/>
    </row>
    <row r="4738" spans="16:21" x14ac:dyDescent="0.35">
      <c r="P4738" s="226"/>
      <c r="Q4738" s="226"/>
      <c r="R4738" s="226"/>
      <c r="S4738" s="226"/>
      <c r="T4738" s="226"/>
      <c r="U4738" s="226"/>
    </row>
    <row r="4739" spans="16:21" x14ac:dyDescent="0.35">
      <c r="P4739" s="226"/>
      <c r="Q4739" s="226"/>
      <c r="R4739" s="226"/>
      <c r="S4739" s="226"/>
      <c r="T4739" s="226"/>
      <c r="U4739" s="226"/>
    </row>
    <row r="4740" spans="16:21" x14ac:dyDescent="0.35">
      <c r="P4740" s="226"/>
      <c r="Q4740" s="226"/>
      <c r="R4740" s="226"/>
      <c r="S4740" s="226"/>
      <c r="T4740" s="226"/>
      <c r="U4740" s="226"/>
    </row>
    <row r="4741" spans="16:21" x14ac:dyDescent="0.35">
      <c r="P4741" s="226"/>
      <c r="Q4741" s="226"/>
      <c r="R4741" s="226"/>
      <c r="S4741" s="226"/>
      <c r="T4741" s="226"/>
      <c r="U4741" s="226"/>
    </row>
    <row r="4742" spans="16:21" x14ac:dyDescent="0.35">
      <c r="P4742" s="226"/>
      <c r="Q4742" s="226"/>
      <c r="R4742" s="226"/>
      <c r="S4742" s="226"/>
      <c r="T4742" s="226"/>
      <c r="U4742" s="226"/>
    </row>
    <row r="4743" spans="16:21" x14ac:dyDescent="0.35">
      <c r="P4743" s="226"/>
      <c r="Q4743" s="226"/>
      <c r="R4743" s="226"/>
      <c r="S4743" s="226"/>
      <c r="T4743" s="226"/>
      <c r="U4743" s="226"/>
    </row>
    <row r="4744" spans="16:21" x14ac:dyDescent="0.35">
      <c r="P4744" s="226"/>
      <c r="Q4744" s="226"/>
      <c r="R4744" s="226"/>
      <c r="S4744" s="226"/>
      <c r="T4744" s="226"/>
      <c r="U4744" s="226"/>
    </row>
    <row r="4745" spans="16:21" x14ac:dyDescent="0.35">
      <c r="P4745" s="226"/>
      <c r="Q4745" s="226"/>
      <c r="R4745" s="226"/>
      <c r="S4745" s="226"/>
      <c r="T4745" s="226"/>
      <c r="U4745" s="226"/>
    </row>
    <row r="4746" spans="16:21" x14ac:dyDescent="0.35">
      <c r="P4746" s="226"/>
      <c r="Q4746" s="226"/>
      <c r="R4746" s="226"/>
      <c r="S4746" s="226"/>
      <c r="T4746" s="226"/>
      <c r="U4746" s="226"/>
    </row>
    <row r="4747" spans="16:21" x14ac:dyDescent="0.35">
      <c r="P4747" s="226"/>
      <c r="Q4747" s="226"/>
      <c r="R4747" s="226"/>
      <c r="S4747" s="226"/>
      <c r="T4747" s="226"/>
      <c r="U4747" s="226"/>
    </row>
    <row r="4748" spans="16:21" x14ac:dyDescent="0.35">
      <c r="P4748" s="226"/>
      <c r="Q4748" s="226"/>
      <c r="R4748" s="226"/>
      <c r="S4748" s="226"/>
      <c r="T4748" s="226"/>
      <c r="U4748" s="226"/>
    </row>
    <row r="4749" spans="16:21" x14ac:dyDescent="0.35">
      <c r="P4749" s="226"/>
      <c r="Q4749" s="226"/>
      <c r="R4749" s="226"/>
      <c r="S4749" s="226"/>
      <c r="T4749" s="226"/>
      <c r="U4749" s="226"/>
    </row>
    <row r="4750" spans="16:21" x14ac:dyDescent="0.35">
      <c r="P4750" s="226"/>
      <c r="Q4750" s="226"/>
      <c r="R4750" s="226"/>
      <c r="S4750" s="226"/>
      <c r="T4750" s="226"/>
      <c r="U4750" s="226"/>
    </row>
    <row r="4751" spans="16:21" x14ac:dyDescent="0.35">
      <c r="P4751" s="226"/>
      <c r="Q4751" s="226"/>
      <c r="R4751" s="226"/>
      <c r="S4751" s="226"/>
      <c r="T4751" s="226"/>
      <c r="U4751" s="226"/>
    </row>
    <row r="4752" spans="16:21" x14ac:dyDescent="0.35">
      <c r="P4752" s="226"/>
      <c r="Q4752" s="226"/>
      <c r="R4752" s="226"/>
      <c r="S4752" s="226"/>
      <c r="T4752" s="226"/>
      <c r="U4752" s="226"/>
    </row>
    <row r="4753" spans="16:21" x14ac:dyDescent="0.35">
      <c r="P4753" s="226"/>
      <c r="Q4753" s="226"/>
      <c r="R4753" s="226"/>
      <c r="S4753" s="226"/>
      <c r="T4753" s="226"/>
      <c r="U4753" s="226"/>
    </row>
    <row r="4754" spans="16:21" x14ac:dyDescent="0.35">
      <c r="P4754" s="226"/>
      <c r="Q4754" s="226"/>
      <c r="R4754" s="226"/>
      <c r="S4754" s="226"/>
      <c r="T4754" s="226"/>
      <c r="U4754" s="226"/>
    </row>
    <row r="4755" spans="16:21" x14ac:dyDescent="0.35">
      <c r="P4755" s="226"/>
      <c r="Q4755" s="226"/>
      <c r="R4755" s="226"/>
      <c r="S4755" s="226"/>
      <c r="T4755" s="226"/>
      <c r="U4755" s="226"/>
    </row>
    <row r="4756" spans="16:21" x14ac:dyDescent="0.35">
      <c r="P4756" s="226"/>
      <c r="Q4756" s="226"/>
      <c r="R4756" s="226"/>
      <c r="S4756" s="226"/>
      <c r="T4756" s="226"/>
      <c r="U4756" s="226"/>
    </row>
    <row r="4757" spans="16:21" x14ac:dyDescent="0.35">
      <c r="P4757" s="226"/>
      <c r="Q4757" s="226"/>
      <c r="R4757" s="226"/>
      <c r="S4757" s="226"/>
      <c r="T4757" s="226"/>
      <c r="U4757" s="226"/>
    </row>
    <row r="4758" spans="16:21" x14ac:dyDescent="0.35">
      <c r="P4758" s="226"/>
      <c r="Q4758" s="226"/>
      <c r="R4758" s="226"/>
      <c r="S4758" s="226"/>
      <c r="T4758" s="226"/>
      <c r="U4758" s="226"/>
    </row>
    <row r="4759" spans="16:21" x14ac:dyDescent="0.35">
      <c r="P4759" s="226"/>
      <c r="Q4759" s="226"/>
      <c r="R4759" s="226"/>
      <c r="S4759" s="226"/>
      <c r="T4759" s="226"/>
      <c r="U4759" s="226"/>
    </row>
    <row r="4760" spans="16:21" x14ac:dyDescent="0.35">
      <c r="P4760" s="226"/>
      <c r="Q4760" s="226"/>
      <c r="R4760" s="226"/>
      <c r="S4760" s="226"/>
      <c r="T4760" s="226"/>
      <c r="U4760" s="226"/>
    </row>
    <row r="4761" spans="16:21" x14ac:dyDescent="0.35">
      <c r="P4761" s="226"/>
      <c r="Q4761" s="226"/>
      <c r="R4761" s="226"/>
      <c r="S4761" s="226"/>
      <c r="T4761" s="226"/>
      <c r="U4761" s="226"/>
    </row>
    <row r="4762" spans="16:21" x14ac:dyDescent="0.35">
      <c r="P4762" s="226"/>
      <c r="Q4762" s="226"/>
      <c r="R4762" s="226"/>
      <c r="S4762" s="226"/>
      <c r="T4762" s="226"/>
      <c r="U4762" s="226"/>
    </row>
    <row r="4763" spans="16:21" x14ac:dyDescent="0.35">
      <c r="P4763" s="226"/>
      <c r="Q4763" s="226"/>
      <c r="R4763" s="226"/>
      <c r="S4763" s="226"/>
      <c r="T4763" s="226"/>
      <c r="U4763" s="226"/>
    </row>
    <row r="4764" spans="16:21" x14ac:dyDescent="0.35">
      <c r="P4764" s="226"/>
      <c r="Q4764" s="226"/>
      <c r="R4764" s="226"/>
      <c r="S4764" s="226"/>
      <c r="T4764" s="226"/>
      <c r="U4764" s="226"/>
    </row>
    <row r="4765" spans="16:21" x14ac:dyDescent="0.35">
      <c r="P4765" s="226"/>
      <c r="Q4765" s="226"/>
      <c r="R4765" s="226"/>
      <c r="S4765" s="226"/>
      <c r="T4765" s="226"/>
      <c r="U4765" s="226"/>
    </row>
    <row r="4766" spans="16:21" x14ac:dyDescent="0.35">
      <c r="P4766" s="226"/>
      <c r="Q4766" s="226"/>
      <c r="R4766" s="226"/>
      <c r="S4766" s="226"/>
      <c r="T4766" s="226"/>
      <c r="U4766" s="226"/>
    </row>
    <row r="4767" spans="16:21" x14ac:dyDescent="0.35">
      <c r="P4767" s="226"/>
      <c r="Q4767" s="226"/>
      <c r="R4767" s="226"/>
      <c r="S4767" s="226"/>
      <c r="T4767" s="226"/>
      <c r="U4767" s="226"/>
    </row>
    <row r="4768" spans="16:21" x14ac:dyDescent="0.35">
      <c r="P4768" s="226"/>
      <c r="Q4768" s="226"/>
      <c r="R4768" s="226"/>
      <c r="S4768" s="226"/>
      <c r="T4768" s="226"/>
      <c r="U4768" s="226"/>
    </row>
    <row r="4769" spans="16:21" x14ac:dyDescent="0.35">
      <c r="P4769" s="226"/>
      <c r="Q4769" s="226"/>
      <c r="R4769" s="226"/>
      <c r="S4769" s="226"/>
      <c r="T4769" s="226"/>
      <c r="U4769" s="226"/>
    </row>
    <row r="4770" spans="16:21" x14ac:dyDescent="0.35">
      <c r="P4770" s="226"/>
      <c r="Q4770" s="226"/>
      <c r="R4770" s="226"/>
      <c r="S4770" s="226"/>
      <c r="T4770" s="226"/>
      <c r="U4770" s="226"/>
    </row>
    <row r="4771" spans="16:21" x14ac:dyDescent="0.35">
      <c r="P4771" s="226"/>
      <c r="Q4771" s="226"/>
      <c r="R4771" s="226"/>
      <c r="S4771" s="226"/>
      <c r="T4771" s="226"/>
      <c r="U4771" s="226"/>
    </row>
    <row r="4772" spans="16:21" x14ac:dyDescent="0.35">
      <c r="P4772" s="226"/>
      <c r="Q4772" s="226"/>
      <c r="R4772" s="226"/>
      <c r="S4772" s="226"/>
      <c r="T4772" s="226"/>
      <c r="U4772" s="226"/>
    </row>
    <row r="4773" spans="16:21" x14ac:dyDescent="0.35">
      <c r="P4773" s="226"/>
      <c r="Q4773" s="226"/>
      <c r="R4773" s="226"/>
      <c r="S4773" s="226"/>
      <c r="T4773" s="226"/>
      <c r="U4773" s="226"/>
    </row>
    <row r="4774" spans="16:21" x14ac:dyDescent="0.35">
      <c r="P4774" s="226"/>
      <c r="Q4774" s="226"/>
      <c r="R4774" s="226"/>
      <c r="S4774" s="226"/>
      <c r="T4774" s="226"/>
      <c r="U4774" s="226"/>
    </row>
    <row r="4775" spans="16:21" x14ac:dyDescent="0.35">
      <c r="P4775" s="226"/>
      <c r="Q4775" s="226"/>
      <c r="R4775" s="226"/>
      <c r="S4775" s="226"/>
      <c r="T4775" s="226"/>
      <c r="U4775" s="226"/>
    </row>
    <row r="4776" spans="16:21" x14ac:dyDescent="0.35">
      <c r="P4776" s="226"/>
      <c r="Q4776" s="226"/>
      <c r="R4776" s="226"/>
      <c r="S4776" s="226"/>
      <c r="T4776" s="226"/>
      <c r="U4776" s="226"/>
    </row>
    <row r="4777" spans="16:21" x14ac:dyDescent="0.35">
      <c r="P4777" s="226"/>
      <c r="Q4777" s="226"/>
      <c r="R4777" s="226"/>
      <c r="S4777" s="226"/>
      <c r="T4777" s="226"/>
      <c r="U4777" s="226"/>
    </row>
    <row r="4778" spans="16:21" x14ac:dyDescent="0.35">
      <c r="P4778" s="226"/>
      <c r="Q4778" s="226"/>
      <c r="R4778" s="226"/>
      <c r="S4778" s="226"/>
      <c r="T4778" s="226"/>
      <c r="U4778" s="226"/>
    </row>
    <row r="4779" spans="16:21" x14ac:dyDescent="0.35">
      <c r="P4779" s="226"/>
      <c r="Q4779" s="226"/>
      <c r="R4779" s="226"/>
      <c r="S4779" s="226"/>
      <c r="T4779" s="226"/>
      <c r="U4779" s="226"/>
    </row>
    <row r="4780" spans="16:21" x14ac:dyDescent="0.35">
      <c r="P4780" s="226"/>
      <c r="Q4780" s="226"/>
      <c r="R4780" s="226"/>
      <c r="S4780" s="226"/>
      <c r="T4780" s="226"/>
      <c r="U4780" s="226"/>
    </row>
    <row r="4781" spans="16:21" x14ac:dyDescent="0.35">
      <c r="P4781" s="226"/>
      <c r="Q4781" s="226"/>
      <c r="R4781" s="226"/>
      <c r="S4781" s="226"/>
      <c r="T4781" s="226"/>
      <c r="U4781" s="226"/>
    </row>
    <row r="4782" spans="16:21" x14ac:dyDescent="0.35">
      <c r="P4782" s="226"/>
      <c r="Q4782" s="226"/>
      <c r="R4782" s="226"/>
      <c r="S4782" s="226"/>
      <c r="T4782" s="226"/>
      <c r="U4782" s="226"/>
    </row>
    <row r="4783" spans="16:21" x14ac:dyDescent="0.35">
      <c r="P4783" s="226"/>
      <c r="Q4783" s="226"/>
      <c r="R4783" s="226"/>
      <c r="S4783" s="226"/>
      <c r="T4783" s="226"/>
      <c r="U4783" s="226"/>
    </row>
    <row r="4784" spans="16:21" x14ac:dyDescent="0.35">
      <c r="P4784" s="226"/>
      <c r="Q4784" s="226"/>
      <c r="R4784" s="226"/>
      <c r="S4784" s="226"/>
      <c r="T4784" s="226"/>
      <c r="U4784" s="226"/>
    </row>
    <row r="4785" spans="16:21" x14ac:dyDescent="0.35">
      <c r="P4785" s="226"/>
      <c r="Q4785" s="226"/>
      <c r="R4785" s="226"/>
      <c r="S4785" s="226"/>
      <c r="T4785" s="226"/>
      <c r="U4785" s="226"/>
    </row>
    <row r="4786" spans="16:21" x14ac:dyDescent="0.35">
      <c r="P4786" s="226"/>
      <c r="Q4786" s="226"/>
      <c r="R4786" s="226"/>
      <c r="S4786" s="226"/>
      <c r="T4786" s="226"/>
      <c r="U4786" s="226"/>
    </row>
    <row r="4787" spans="16:21" x14ac:dyDescent="0.35">
      <c r="P4787" s="226"/>
      <c r="Q4787" s="226"/>
      <c r="R4787" s="226"/>
      <c r="S4787" s="226"/>
      <c r="T4787" s="226"/>
      <c r="U4787" s="226"/>
    </row>
    <row r="4788" spans="16:21" x14ac:dyDescent="0.35">
      <c r="P4788" s="226"/>
      <c r="Q4788" s="226"/>
      <c r="R4788" s="226"/>
      <c r="S4788" s="226"/>
      <c r="T4788" s="226"/>
      <c r="U4788" s="226"/>
    </row>
    <row r="4789" spans="16:21" x14ac:dyDescent="0.35">
      <c r="P4789" s="226"/>
      <c r="Q4789" s="226"/>
      <c r="R4789" s="226"/>
      <c r="S4789" s="226"/>
      <c r="T4789" s="226"/>
      <c r="U4789" s="226"/>
    </row>
    <row r="4790" spans="16:21" x14ac:dyDescent="0.35">
      <c r="P4790" s="226"/>
      <c r="Q4790" s="226"/>
      <c r="R4790" s="226"/>
      <c r="S4790" s="226"/>
      <c r="T4790" s="226"/>
      <c r="U4790" s="226"/>
    </row>
    <row r="4791" spans="16:21" x14ac:dyDescent="0.35">
      <c r="P4791" s="226"/>
      <c r="Q4791" s="226"/>
      <c r="R4791" s="226"/>
      <c r="S4791" s="226"/>
      <c r="T4791" s="226"/>
      <c r="U4791" s="226"/>
    </row>
    <row r="4792" spans="16:21" x14ac:dyDescent="0.35">
      <c r="P4792" s="226"/>
      <c r="Q4792" s="226"/>
      <c r="R4792" s="226"/>
      <c r="S4792" s="226"/>
      <c r="T4792" s="226"/>
      <c r="U4792" s="226"/>
    </row>
    <row r="4793" spans="16:21" x14ac:dyDescent="0.35">
      <c r="P4793" s="226"/>
      <c r="Q4793" s="226"/>
      <c r="R4793" s="226"/>
      <c r="S4793" s="226"/>
      <c r="T4793" s="226"/>
      <c r="U4793" s="226"/>
    </row>
    <row r="4794" spans="16:21" x14ac:dyDescent="0.35">
      <c r="P4794" s="226"/>
      <c r="Q4794" s="226"/>
      <c r="R4794" s="226"/>
      <c r="S4794" s="226"/>
      <c r="T4794" s="226"/>
      <c r="U4794" s="226"/>
    </row>
    <row r="4795" spans="16:21" x14ac:dyDescent="0.35">
      <c r="P4795" s="226"/>
      <c r="Q4795" s="226"/>
      <c r="R4795" s="226"/>
      <c r="S4795" s="226"/>
      <c r="T4795" s="226"/>
      <c r="U4795" s="226"/>
    </row>
    <row r="4796" spans="16:21" x14ac:dyDescent="0.35">
      <c r="P4796" s="226"/>
      <c r="Q4796" s="226"/>
      <c r="R4796" s="226"/>
      <c r="S4796" s="226"/>
      <c r="T4796" s="226"/>
      <c r="U4796" s="226"/>
    </row>
    <row r="4797" spans="16:21" x14ac:dyDescent="0.35">
      <c r="P4797" s="226"/>
      <c r="Q4797" s="226"/>
      <c r="R4797" s="226"/>
      <c r="S4797" s="226"/>
      <c r="T4797" s="226"/>
      <c r="U4797" s="226"/>
    </row>
    <row r="4798" spans="16:21" x14ac:dyDescent="0.35">
      <c r="P4798" s="226"/>
      <c r="Q4798" s="226"/>
      <c r="R4798" s="226"/>
      <c r="S4798" s="226"/>
      <c r="T4798" s="226"/>
      <c r="U4798" s="226"/>
    </row>
    <row r="4799" spans="16:21" x14ac:dyDescent="0.35">
      <c r="P4799" s="226"/>
      <c r="Q4799" s="226"/>
      <c r="R4799" s="226"/>
      <c r="S4799" s="226"/>
      <c r="T4799" s="226"/>
      <c r="U4799" s="226"/>
    </row>
    <row r="4800" spans="16:21" x14ac:dyDescent="0.35">
      <c r="P4800" s="226"/>
      <c r="Q4800" s="226"/>
      <c r="R4800" s="226"/>
      <c r="S4800" s="226"/>
      <c r="T4800" s="226"/>
      <c r="U4800" s="226"/>
    </row>
    <row r="4801" spans="16:21" x14ac:dyDescent="0.35">
      <c r="P4801" s="226"/>
      <c r="Q4801" s="226"/>
      <c r="R4801" s="226"/>
      <c r="S4801" s="226"/>
      <c r="T4801" s="226"/>
      <c r="U4801" s="226"/>
    </row>
    <row r="4802" spans="16:21" x14ac:dyDescent="0.35">
      <c r="P4802" s="226"/>
      <c r="Q4802" s="226"/>
      <c r="R4802" s="226"/>
      <c r="S4802" s="226"/>
      <c r="T4802" s="226"/>
      <c r="U4802" s="226"/>
    </row>
    <row r="4803" spans="16:21" x14ac:dyDescent="0.35">
      <c r="P4803" s="226"/>
      <c r="Q4803" s="226"/>
      <c r="R4803" s="226"/>
      <c r="S4803" s="226"/>
      <c r="T4803" s="226"/>
      <c r="U4803" s="226"/>
    </row>
    <row r="4804" spans="16:21" x14ac:dyDescent="0.35">
      <c r="P4804" s="226"/>
      <c r="Q4804" s="226"/>
      <c r="R4804" s="226"/>
      <c r="S4804" s="226"/>
      <c r="T4804" s="226"/>
      <c r="U4804" s="226"/>
    </row>
    <row r="4805" spans="16:21" x14ac:dyDescent="0.35">
      <c r="P4805" s="226"/>
      <c r="Q4805" s="226"/>
      <c r="R4805" s="226"/>
      <c r="S4805" s="226"/>
      <c r="T4805" s="226"/>
      <c r="U4805" s="226"/>
    </row>
    <row r="4806" spans="16:21" x14ac:dyDescent="0.35">
      <c r="P4806" s="226"/>
      <c r="Q4806" s="226"/>
      <c r="R4806" s="226"/>
      <c r="S4806" s="226"/>
      <c r="T4806" s="226"/>
      <c r="U4806" s="226"/>
    </row>
    <row r="4807" spans="16:21" x14ac:dyDescent="0.35">
      <c r="P4807" s="226"/>
      <c r="Q4807" s="226"/>
      <c r="R4807" s="226"/>
      <c r="S4807" s="226"/>
      <c r="T4807" s="226"/>
      <c r="U4807" s="226"/>
    </row>
    <row r="4808" spans="16:21" x14ac:dyDescent="0.35">
      <c r="P4808" s="226"/>
      <c r="Q4808" s="226"/>
      <c r="R4808" s="226"/>
      <c r="S4808" s="226"/>
      <c r="T4808" s="226"/>
      <c r="U4808" s="226"/>
    </row>
    <row r="4809" spans="16:21" x14ac:dyDescent="0.35">
      <c r="P4809" s="226"/>
      <c r="Q4809" s="226"/>
      <c r="R4809" s="226"/>
      <c r="S4809" s="226"/>
      <c r="T4809" s="226"/>
      <c r="U4809" s="226"/>
    </row>
    <row r="4810" spans="16:21" x14ac:dyDescent="0.35">
      <c r="P4810" s="226"/>
      <c r="Q4810" s="226"/>
      <c r="R4810" s="226"/>
      <c r="S4810" s="226"/>
      <c r="T4810" s="226"/>
      <c r="U4810" s="226"/>
    </row>
    <row r="4811" spans="16:21" x14ac:dyDescent="0.35">
      <c r="P4811" s="226"/>
      <c r="Q4811" s="226"/>
      <c r="R4811" s="226"/>
      <c r="S4811" s="226"/>
      <c r="T4811" s="226"/>
      <c r="U4811" s="226"/>
    </row>
    <row r="4812" spans="16:21" x14ac:dyDescent="0.35">
      <c r="P4812" s="226"/>
      <c r="Q4812" s="226"/>
      <c r="R4812" s="226"/>
      <c r="S4812" s="226"/>
      <c r="T4812" s="226"/>
      <c r="U4812" s="226"/>
    </row>
    <row r="4813" spans="16:21" x14ac:dyDescent="0.35">
      <c r="P4813" s="226"/>
      <c r="Q4813" s="226"/>
      <c r="R4813" s="226"/>
      <c r="S4813" s="226"/>
      <c r="T4813" s="226"/>
      <c r="U4813" s="226"/>
    </row>
    <row r="4814" spans="16:21" x14ac:dyDescent="0.35">
      <c r="P4814" s="226"/>
      <c r="Q4814" s="226"/>
      <c r="R4814" s="226"/>
      <c r="S4814" s="226"/>
      <c r="T4814" s="226"/>
      <c r="U4814" s="226"/>
    </row>
    <row r="4815" spans="16:21" x14ac:dyDescent="0.35">
      <c r="P4815" s="226"/>
      <c r="Q4815" s="226"/>
      <c r="R4815" s="226"/>
      <c r="S4815" s="226"/>
      <c r="T4815" s="226"/>
      <c r="U4815" s="226"/>
    </row>
    <row r="4816" spans="16:21" x14ac:dyDescent="0.35">
      <c r="P4816" s="226"/>
      <c r="Q4816" s="226"/>
      <c r="R4816" s="226"/>
      <c r="S4816" s="226"/>
      <c r="T4816" s="226"/>
      <c r="U4816" s="226"/>
    </row>
    <row r="4817" spans="16:21" x14ac:dyDescent="0.35">
      <c r="P4817" s="226"/>
      <c r="Q4817" s="226"/>
      <c r="R4817" s="226"/>
      <c r="S4817" s="226"/>
      <c r="T4817" s="226"/>
      <c r="U4817" s="226"/>
    </row>
    <row r="4818" spans="16:21" x14ac:dyDescent="0.35">
      <c r="P4818" s="226"/>
      <c r="Q4818" s="226"/>
      <c r="R4818" s="226"/>
      <c r="S4818" s="226"/>
      <c r="T4818" s="226"/>
      <c r="U4818" s="226"/>
    </row>
    <row r="4819" spans="16:21" x14ac:dyDescent="0.35">
      <c r="P4819" s="226"/>
      <c r="Q4819" s="226"/>
      <c r="R4819" s="226"/>
      <c r="S4819" s="226"/>
      <c r="T4819" s="226"/>
      <c r="U4819" s="226"/>
    </row>
    <row r="4820" spans="16:21" x14ac:dyDescent="0.35">
      <c r="P4820" s="226"/>
      <c r="Q4820" s="226"/>
      <c r="R4820" s="226"/>
      <c r="S4820" s="226"/>
      <c r="T4820" s="226"/>
      <c r="U4820" s="226"/>
    </row>
    <row r="4821" spans="16:21" x14ac:dyDescent="0.35">
      <c r="P4821" s="226"/>
      <c r="Q4821" s="226"/>
      <c r="R4821" s="226"/>
      <c r="S4821" s="226"/>
      <c r="T4821" s="226"/>
      <c r="U4821" s="226"/>
    </row>
    <row r="4822" spans="16:21" x14ac:dyDescent="0.35">
      <c r="P4822" s="226"/>
      <c r="Q4822" s="226"/>
      <c r="R4822" s="226"/>
      <c r="S4822" s="226"/>
      <c r="T4822" s="226"/>
      <c r="U4822" s="226"/>
    </row>
    <row r="4823" spans="16:21" x14ac:dyDescent="0.35">
      <c r="P4823" s="226"/>
      <c r="Q4823" s="226"/>
      <c r="R4823" s="226"/>
      <c r="S4823" s="226"/>
      <c r="T4823" s="226"/>
      <c r="U4823" s="226"/>
    </row>
    <row r="4824" spans="16:21" x14ac:dyDescent="0.35">
      <c r="P4824" s="226"/>
      <c r="Q4824" s="226"/>
      <c r="R4824" s="226"/>
      <c r="S4824" s="226"/>
      <c r="T4824" s="226"/>
      <c r="U4824" s="226"/>
    </row>
    <row r="4825" spans="16:21" x14ac:dyDescent="0.35">
      <c r="P4825" s="226"/>
      <c r="Q4825" s="226"/>
      <c r="R4825" s="226"/>
      <c r="S4825" s="226"/>
      <c r="T4825" s="226"/>
      <c r="U4825" s="226"/>
    </row>
    <row r="4826" spans="16:21" x14ac:dyDescent="0.35">
      <c r="P4826" s="226"/>
      <c r="Q4826" s="226"/>
      <c r="R4826" s="226"/>
      <c r="S4826" s="226"/>
      <c r="T4826" s="226"/>
      <c r="U4826" s="226"/>
    </row>
    <row r="4827" spans="16:21" x14ac:dyDescent="0.35">
      <c r="P4827" s="226"/>
      <c r="Q4827" s="226"/>
      <c r="R4827" s="226"/>
      <c r="S4827" s="226"/>
      <c r="T4827" s="226"/>
      <c r="U4827" s="226"/>
    </row>
    <row r="4828" spans="16:21" x14ac:dyDescent="0.35">
      <c r="P4828" s="226"/>
      <c r="Q4828" s="226"/>
      <c r="R4828" s="226"/>
      <c r="S4828" s="226"/>
      <c r="T4828" s="226"/>
      <c r="U4828" s="226"/>
    </row>
    <row r="4829" spans="16:21" x14ac:dyDescent="0.35">
      <c r="P4829" s="226"/>
      <c r="Q4829" s="226"/>
      <c r="R4829" s="226"/>
      <c r="S4829" s="226"/>
      <c r="T4829" s="226"/>
      <c r="U4829" s="226"/>
    </row>
    <row r="4830" spans="16:21" x14ac:dyDescent="0.35">
      <c r="P4830" s="226"/>
      <c r="Q4830" s="226"/>
      <c r="R4830" s="226"/>
      <c r="S4830" s="226"/>
      <c r="T4830" s="226"/>
      <c r="U4830" s="226"/>
    </row>
    <row r="4831" spans="16:21" x14ac:dyDescent="0.35">
      <c r="P4831" s="226"/>
      <c r="Q4831" s="226"/>
      <c r="R4831" s="226"/>
      <c r="S4831" s="226"/>
      <c r="T4831" s="226"/>
      <c r="U4831" s="226"/>
    </row>
    <row r="4832" spans="16:21" x14ac:dyDescent="0.35">
      <c r="P4832" s="226"/>
      <c r="Q4832" s="226"/>
      <c r="R4832" s="226"/>
      <c r="S4832" s="226"/>
      <c r="T4832" s="226"/>
      <c r="U4832" s="226"/>
    </row>
    <row r="4833" spans="16:21" x14ac:dyDescent="0.35">
      <c r="P4833" s="226"/>
      <c r="Q4833" s="226"/>
      <c r="R4833" s="226"/>
      <c r="S4833" s="226"/>
      <c r="T4833" s="226"/>
      <c r="U4833" s="226"/>
    </row>
    <row r="4834" spans="16:21" x14ac:dyDescent="0.35">
      <c r="P4834" s="226"/>
      <c r="Q4834" s="226"/>
      <c r="R4834" s="226"/>
      <c r="S4834" s="226"/>
      <c r="T4834" s="226"/>
      <c r="U4834" s="226"/>
    </row>
    <row r="4835" spans="16:21" x14ac:dyDescent="0.35">
      <c r="P4835" s="226"/>
      <c r="Q4835" s="226"/>
      <c r="R4835" s="226"/>
      <c r="S4835" s="226"/>
      <c r="T4835" s="226"/>
      <c r="U4835" s="226"/>
    </row>
    <row r="4836" spans="16:21" x14ac:dyDescent="0.35">
      <c r="P4836" s="226"/>
      <c r="Q4836" s="226"/>
      <c r="R4836" s="226"/>
      <c r="S4836" s="226"/>
      <c r="T4836" s="226"/>
      <c r="U4836" s="226"/>
    </row>
    <row r="4837" spans="16:21" x14ac:dyDescent="0.35">
      <c r="P4837" s="226"/>
      <c r="Q4837" s="226"/>
      <c r="R4837" s="226"/>
      <c r="S4837" s="226"/>
      <c r="T4837" s="226"/>
      <c r="U4837" s="226"/>
    </row>
    <row r="4838" spans="16:21" x14ac:dyDescent="0.35">
      <c r="P4838" s="226"/>
      <c r="Q4838" s="226"/>
      <c r="R4838" s="226"/>
      <c r="S4838" s="226"/>
      <c r="T4838" s="226"/>
      <c r="U4838" s="226"/>
    </row>
    <row r="4839" spans="16:21" x14ac:dyDescent="0.35">
      <c r="P4839" s="226"/>
      <c r="Q4839" s="226"/>
      <c r="R4839" s="226"/>
      <c r="S4839" s="226"/>
      <c r="T4839" s="226"/>
      <c r="U4839" s="226"/>
    </row>
    <row r="4840" spans="16:21" x14ac:dyDescent="0.35">
      <c r="P4840" s="226"/>
      <c r="Q4840" s="226"/>
      <c r="R4840" s="226"/>
      <c r="S4840" s="226"/>
      <c r="T4840" s="226"/>
      <c r="U4840" s="226"/>
    </row>
    <row r="4841" spans="16:21" x14ac:dyDescent="0.35">
      <c r="P4841" s="226"/>
      <c r="Q4841" s="226"/>
      <c r="R4841" s="226"/>
      <c r="S4841" s="226"/>
      <c r="T4841" s="226"/>
      <c r="U4841" s="226"/>
    </row>
    <row r="4842" spans="16:21" x14ac:dyDescent="0.35">
      <c r="P4842" s="226"/>
      <c r="Q4842" s="226"/>
      <c r="R4842" s="226"/>
      <c r="S4842" s="226"/>
      <c r="T4842" s="226"/>
      <c r="U4842" s="226"/>
    </row>
    <row r="4843" spans="16:21" x14ac:dyDescent="0.35">
      <c r="P4843" s="226"/>
      <c r="Q4843" s="226"/>
      <c r="R4843" s="226"/>
      <c r="S4843" s="226"/>
      <c r="T4843" s="226"/>
      <c r="U4843" s="226"/>
    </row>
    <row r="4844" spans="16:21" x14ac:dyDescent="0.35">
      <c r="P4844" s="226"/>
      <c r="Q4844" s="226"/>
      <c r="R4844" s="226"/>
      <c r="S4844" s="226"/>
      <c r="T4844" s="226"/>
      <c r="U4844" s="226"/>
    </row>
    <row r="4845" spans="16:21" x14ac:dyDescent="0.35">
      <c r="P4845" s="226"/>
      <c r="Q4845" s="226"/>
      <c r="R4845" s="226"/>
      <c r="S4845" s="226"/>
      <c r="T4845" s="226"/>
      <c r="U4845" s="226"/>
    </row>
    <row r="4846" spans="16:21" x14ac:dyDescent="0.35">
      <c r="P4846" s="226"/>
      <c r="Q4846" s="226"/>
      <c r="R4846" s="226"/>
      <c r="S4846" s="226"/>
      <c r="T4846" s="226"/>
      <c r="U4846" s="226"/>
    </row>
    <row r="4847" spans="16:21" x14ac:dyDescent="0.35">
      <c r="P4847" s="226"/>
      <c r="Q4847" s="226"/>
      <c r="R4847" s="226"/>
      <c r="S4847" s="226"/>
      <c r="T4847" s="226"/>
      <c r="U4847" s="226"/>
    </row>
    <row r="4848" spans="16:21" x14ac:dyDescent="0.35">
      <c r="P4848" s="226"/>
      <c r="Q4848" s="226"/>
      <c r="R4848" s="226"/>
      <c r="S4848" s="226"/>
      <c r="T4848" s="226"/>
      <c r="U4848" s="226"/>
    </row>
    <row r="4849" spans="16:21" x14ac:dyDescent="0.35">
      <c r="P4849" s="226"/>
      <c r="Q4849" s="226"/>
      <c r="R4849" s="226"/>
      <c r="S4849" s="226"/>
      <c r="T4849" s="226"/>
      <c r="U4849" s="226"/>
    </row>
    <row r="4850" spans="16:21" x14ac:dyDescent="0.35">
      <c r="P4850" s="226"/>
      <c r="Q4850" s="226"/>
      <c r="R4850" s="226"/>
      <c r="S4850" s="226"/>
      <c r="T4850" s="226"/>
      <c r="U4850" s="226"/>
    </row>
    <row r="4851" spans="16:21" x14ac:dyDescent="0.35">
      <c r="P4851" s="226"/>
      <c r="Q4851" s="226"/>
      <c r="R4851" s="226"/>
      <c r="S4851" s="226"/>
      <c r="T4851" s="226"/>
      <c r="U4851" s="226"/>
    </row>
    <row r="4852" spans="16:21" x14ac:dyDescent="0.35">
      <c r="P4852" s="226"/>
      <c r="Q4852" s="226"/>
      <c r="R4852" s="226"/>
      <c r="S4852" s="226"/>
      <c r="T4852" s="226"/>
      <c r="U4852" s="226"/>
    </row>
    <row r="4853" spans="16:21" x14ac:dyDescent="0.35">
      <c r="P4853" s="226"/>
      <c r="Q4853" s="226"/>
      <c r="R4853" s="226"/>
      <c r="S4853" s="226"/>
      <c r="T4853" s="226"/>
      <c r="U4853" s="226"/>
    </row>
    <row r="4854" spans="16:21" x14ac:dyDescent="0.35">
      <c r="P4854" s="226"/>
      <c r="Q4854" s="226"/>
      <c r="R4854" s="226"/>
      <c r="S4854" s="226"/>
      <c r="T4854" s="226"/>
      <c r="U4854" s="226"/>
    </row>
    <row r="4855" spans="16:21" x14ac:dyDescent="0.35">
      <c r="P4855" s="226"/>
      <c r="Q4855" s="226"/>
      <c r="R4855" s="226"/>
      <c r="S4855" s="226"/>
      <c r="T4855" s="226"/>
      <c r="U4855" s="226"/>
    </row>
    <row r="4856" spans="16:21" x14ac:dyDescent="0.35">
      <c r="P4856" s="226"/>
      <c r="Q4856" s="226"/>
      <c r="R4856" s="226"/>
      <c r="S4856" s="226"/>
      <c r="T4856" s="226"/>
      <c r="U4856" s="226"/>
    </row>
    <row r="4857" spans="16:21" x14ac:dyDescent="0.35">
      <c r="P4857" s="226"/>
      <c r="Q4857" s="226"/>
      <c r="R4857" s="226"/>
      <c r="S4857" s="226"/>
      <c r="T4857" s="226"/>
      <c r="U4857" s="226"/>
    </row>
    <row r="4858" spans="16:21" x14ac:dyDescent="0.35">
      <c r="P4858" s="226"/>
      <c r="Q4858" s="226"/>
      <c r="R4858" s="226"/>
      <c r="S4858" s="226"/>
      <c r="T4858" s="226"/>
      <c r="U4858" s="226"/>
    </row>
    <row r="4859" spans="16:21" x14ac:dyDescent="0.35">
      <c r="P4859" s="226"/>
      <c r="Q4859" s="226"/>
      <c r="R4859" s="226"/>
      <c r="S4859" s="226"/>
      <c r="T4859" s="226"/>
      <c r="U4859" s="226"/>
    </row>
    <row r="4860" spans="16:21" x14ac:dyDescent="0.35">
      <c r="P4860" s="226"/>
      <c r="Q4860" s="226"/>
      <c r="R4860" s="226"/>
      <c r="S4860" s="226"/>
      <c r="T4860" s="226"/>
      <c r="U4860" s="226"/>
    </row>
    <row r="4861" spans="16:21" x14ac:dyDescent="0.35">
      <c r="P4861" s="226"/>
      <c r="Q4861" s="226"/>
      <c r="R4861" s="226"/>
      <c r="S4861" s="226"/>
      <c r="T4861" s="226"/>
      <c r="U4861" s="226"/>
    </row>
    <row r="4862" spans="16:21" x14ac:dyDescent="0.35">
      <c r="P4862" s="226"/>
      <c r="Q4862" s="226"/>
      <c r="R4862" s="226"/>
      <c r="S4862" s="226"/>
      <c r="T4862" s="226"/>
      <c r="U4862" s="226"/>
    </row>
    <row r="4863" spans="16:21" x14ac:dyDescent="0.35">
      <c r="P4863" s="226"/>
      <c r="Q4863" s="226"/>
      <c r="R4863" s="226"/>
      <c r="S4863" s="226"/>
      <c r="T4863" s="226"/>
      <c r="U4863" s="226"/>
    </row>
    <row r="4864" spans="16:21" x14ac:dyDescent="0.35">
      <c r="P4864" s="226"/>
      <c r="Q4864" s="226"/>
      <c r="R4864" s="226"/>
      <c r="S4864" s="226"/>
      <c r="T4864" s="226"/>
      <c r="U4864" s="226"/>
    </row>
    <row r="4865" spans="16:21" x14ac:dyDescent="0.35">
      <c r="P4865" s="226"/>
      <c r="Q4865" s="226"/>
      <c r="R4865" s="226"/>
      <c r="S4865" s="226"/>
      <c r="T4865" s="226"/>
      <c r="U4865" s="226"/>
    </row>
    <row r="4866" spans="16:21" x14ac:dyDescent="0.35">
      <c r="P4866" s="226"/>
      <c r="Q4866" s="226"/>
      <c r="R4866" s="226"/>
      <c r="S4866" s="226"/>
      <c r="T4866" s="226"/>
      <c r="U4866" s="226"/>
    </row>
    <row r="4867" spans="16:21" x14ac:dyDescent="0.35">
      <c r="P4867" s="226"/>
      <c r="Q4867" s="226"/>
      <c r="R4867" s="226"/>
      <c r="S4867" s="226"/>
      <c r="T4867" s="226"/>
      <c r="U4867" s="226"/>
    </row>
    <row r="4868" spans="16:21" x14ac:dyDescent="0.35">
      <c r="P4868" s="226"/>
      <c r="Q4868" s="226"/>
      <c r="R4868" s="226"/>
      <c r="S4868" s="226"/>
      <c r="T4868" s="226"/>
      <c r="U4868" s="226"/>
    </row>
    <row r="4869" spans="16:21" x14ac:dyDescent="0.35">
      <c r="P4869" s="226"/>
      <c r="Q4869" s="226"/>
      <c r="R4869" s="226"/>
      <c r="S4869" s="226"/>
      <c r="T4869" s="226"/>
      <c r="U4869" s="226"/>
    </row>
    <row r="4870" spans="16:21" x14ac:dyDescent="0.35">
      <c r="P4870" s="226"/>
      <c r="Q4870" s="226"/>
      <c r="R4870" s="226"/>
      <c r="S4870" s="226"/>
      <c r="T4870" s="226"/>
      <c r="U4870" s="226"/>
    </row>
    <row r="4871" spans="16:21" x14ac:dyDescent="0.35">
      <c r="P4871" s="226"/>
      <c r="Q4871" s="226"/>
      <c r="R4871" s="226"/>
      <c r="S4871" s="226"/>
      <c r="T4871" s="226"/>
      <c r="U4871" s="226"/>
    </row>
    <row r="4872" spans="16:21" x14ac:dyDescent="0.35">
      <c r="P4872" s="226"/>
      <c r="Q4872" s="226"/>
      <c r="R4872" s="226"/>
      <c r="S4872" s="226"/>
      <c r="T4872" s="226"/>
      <c r="U4872" s="226"/>
    </row>
    <row r="4873" spans="16:21" x14ac:dyDescent="0.35">
      <c r="P4873" s="226"/>
      <c r="Q4873" s="226"/>
      <c r="R4873" s="226"/>
      <c r="S4873" s="226"/>
      <c r="T4873" s="226"/>
      <c r="U4873" s="226"/>
    </row>
    <row r="4874" spans="16:21" x14ac:dyDescent="0.35">
      <c r="P4874" s="226"/>
      <c r="Q4874" s="226"/>
      <c r="R4874" s="226"/>
      <c r="S4874" s="226"/>
      <c r="T4874" s="226"/>
      <c r="U4874" s="226"/>
    </row>
    <row r="4875" spans="16:21" x14ac:dyDescent="0.35">
      <c r="P4875" s="226"/>
      <c r="Q4875" s="226"/>
      <c r="R4875" s="226"/>
      <c r="S4875" s="226"/>
      <c r="T4875" s="226"/>
      <c r="U4875" s="226"/>
    </row>
    <row r="4876" spans="16:21" x14ac:dyDescent="0.35">
      <c r="P4876" s="226"/>
      <c r="Q4876" s="226"/>
      <c r="R4876" s="226"/>
      <c r="S4876" s="226"/>
      <c r="T4876" s="226"/>
      <c r="U4876" s="226"/>
    </row>
    <row r="4877" spans="16:21" x14ac:dyDescent="0.35">
      <c r="P4877" s="226"/>
      <c r="Q4877" s="226"/>
      <c r="R4877" s="226"/>
      <c r="S4877" s="226"/>
      <c r="T4877" s="226"/>
      <c r="U4877" s="226"/>
    </row>
    <row r="4878" spans="16:21" x14ac:dyDescent="0.35">
      <c r="P4878" s="226"/>
      <c r="Q4878" s="226"/>
      <c r="R4878" s="226"/>
      <c r="S4878" s="226"/>
      <c r="T4878" s="226"/>
      <c r="U4878" s="226"/>
    </row>
    <row r="4879" spans="16:21" x14ac:dyDescent="0.35">
      <c r="P4879" s="226"/>
      <c r="Q4879" s="226"/>
      <c r="R4879" s="226"/>
      <c r="S4879" s="226"/>
      <c r="T4879" s="226"/>
      <c r="U4879" s="226"/>
    </row>
    <row r="4880" spans="16:21" x14ac:dyDescent="0.35">
      <c r="P4880" s="226"/>
      <c r="Q4880" s="226"/>
      <c r="R4880" s="226"/>
      <c r="S4880" s="226"/>
      <c r="T4880" s="226"/>
      <c r="U4880" s="226"/>
    </row>
    <row r="4881" spans="16:21" x14ac:dyDescent="0.35">
      <c r="P4881" s="226"/>
      <c r="Q4881" s="226"/>
      <c r="R4881" s="226"/>
      <c r="S4881" s="226"/>
      <c r="T4881" s="226"/>
      <c r="U4881" s="226"/>
    </row>
    <row r="4882" spans="16:21" x14ac:dyDescent="0.35">
      <c r="P4882" s="226"/>
      <c r="Q4882" s="226"/>
      <c r="R4882" s="226"/>
      <c r="S4882" s="226"/>
      <c r="T4882" s="226"/>
      <c r="U4882" s="226"/>
    </row>
    <row r="4883" spans="16:21" x14ac:dyDescent="0.35">
      <c r="P4883" s="226"/>
      <c r="Q4883" s="226"/>
      <c r="R4883" s="226"/>
      <c r="S4883" s="226"/>
      <c r="T4883" s="226"/>
      <c r="U4883" s="226"/>
    </row>
    <row r="4884" spans="16:21" x14ac:dyDescent="0.35">
      <c r="P4884" s="226"/>
      <c r="Q4884" s="226"/>
      <c r="R4884" s="226"/>
      <c r="S4884" s="226"/>
      <c r="T4884" s="226"/>
      <c r="U4884" s="226"/>
    </row>
    <row r="4885" spans="16:21" x14ac:dyDescent="0.35">
      <c r="P4885" s="226"/>
      <c r="Q4885" s="226"/>
      <c r="R4885" s="226"/>
      <c r="S4885" s="226"/>
      <c r="T4885" s="226"/>
      <c r="U4885" s="226"/>
    </row>
    <row r="4886" spans="16:21" x14ac:dyDescent="0.35">
      <c r="P4886" s="226"/>
      <c r="Q4886" s="226"/>
      <c r="R4886" s="226"/>
      <c r="S4886" s="226"/>
      <c r="T4886" s="226"/>
      <c r="U4886" s="226"/>
    </row>
    <row r="4887" spans="16:21" x14ac:dyDescent="0.35">
      <c r="P4887" s="226"/>
      <c r="Q4887" s="226"/>
      <c r="R4887" s="226"/>
      <c r="S4887" s="226"/>
      <c r="T4887" s="226"/>
      <c r="U4887" s="226"/>
    </row>
    <row r="4888" spans="16:21" x14ac:dyDescent="0.35">
      <c r="P4888" s="226"/>
      <c r="Q4888" s="226"/>
      <c r="R4888" s="226"/>
      <c r="S4888" s="226"/>
      <c r="T4888" s="226"/>
      <c r="U4888" s="226"/>
    </row>
    <row r="4889" spans="16:21" x14ac:dyDescent="0.35">
      <c r="P4889" s="226"/>
      <c r="Q4889" s="226"/>
      <c r="R4889" s="226"/>
      <c r="S4889" s="226"/>
      <c r="T4889" s="226"/>
      <c r="U4889" s="226"/>
    </row>
    <row r="4890" spans="16:21" x14ac:dyDescent="0.35">
      <c r="P4890" s="226"/>
      <c r="Q4890" s="226"/>
      <c r="R4890" s="226"/>
      <c r="S4890" s="226"/>
      <c r="T4890" s="226"/>
      <c r="U4890" s="226"/>
    </row>
    <row r="4891" spans="16:21" x14ac:dyDescent="0.35">
      <c r="P4891" s="226"/>
      <c r="Q4891" s="226"/>
      <c r="R4891" s="226"/>
      <c r="S4891" s="226"/>
      <c r="T4891" s="226"/>
      <c r="U4891" s="226"/>
    </row>
    <row r="4892" spans="16:21" x14ac:dyDescent="0.35">
      <c r="P4892" s="226"/>
      <c r="Q4892" s="226"/>
      <c r="R4892" s="226"/>
      <c r="S4892" s="226"/>
      <c r="T4892" s="226"/>
      <c r="U4892" s="226"/>
    </row>
    <row r="4893" spans="16:21" x14ac:dyDescent="0.35">
      <c r="P4893" s="226"/>
      <c r="Q4893" s="226"/>
      <c r="R4893" s="226"/>
      <c r="S4893" s="226"/>
      <c r="T4893" s="226"/>
      <c r="U4893" s="226"/>
    </row>
    <row r="4894" spans="16:21" x14ac:dyDescent="0.35">
      <c r="P4894" s="226"/>
      <c r="Q4894" s="226"/>
      <c r="R4894" s="226"/>
      <c r="S4894" s="226"/>
      <c r="T4894" s="226"/>
      <c r="U4894" s="226"/>
    </row>
    <row r="4895" spans="16:21" x14ac:dyDescent="0.35">
      <c r="P4895" s="226"/>
      <c r="Q4895" s="226"/>
      <c r="R4895" s="226"/>
      <c r="S4895" s="226"/>
      <c r="T4895" s="226"/>
      <c r="U4895" s="226"/>
    </row>
    <row r="4896" spans="16:21" x14ac:dyDescent="0.35">
      <c r="P4896" s="226"/>
      <c r="Q4896" s="226"/>
      <c r="R4896" s="226"/>
      <c r="S4896" s="226"/>
      <c r="T4896" s="226"/>
      <c r="U4896" s="226"/>
    </row>
    <row r="4897" spans="16:21" x14ac:dyDescent="0.35">
      <c r="P4897" s="226"/>
      <c r="Q4897" s="226"/>
      <c r="R4897" s="226"/>
      <c r="S4897" s="226"/>
      <c r="T4897" s="226"/>
      <c r="U4897" s="226"/>
    </row>
    <row r="4898" spans="16:21" x14ac:dyDescent="0.35">
      <c r="P4898" s="226"/>
      <c r="Q4898" s="226"/>
      <c r="R4898" s="226"/>
      <c r="S4898" s="226"/>
      <c r="T4898" s="226"/>
      <c r="U4898" s="226"/>
    </row>
    <row r="4899" spans="16:21" x14ac:dyDescent="0.35">
      <c r="P4899" s="226"/>
      <c r="Q4899" s="226"/>
      <c r="R4899" s="226"/>
      <c r="S4899" s="226"/>
      <c r="T4899" s="226"/>
      <c r="U4899" s="226"/>
    </row>
    <row r="4900" spans="16:21" x14ac:dyDescent="0.35">
      <c r="P4900" s="226"/>
      <c r="Q4900" s="226"/>
      <c r="R4900" s="226"/>
      <c r="S4900" s="226"/>
      <c r="T4900" s="226"/>
      <c r="U4900" s="226"/>
    </row>
    <row r="4901" spans="16:21" x14ac:dyDescent="0.35">
      <c r="P4901" s="226"/>
      <c r="Q4901" s="226"/>
      <c r="R4901" s="226"/>
      <c r="S4901" s="226"/>
      <c r="T4901" s="226"/>
      <c r="U4901" s="226"/>
    </row>
    <row r="4902" spans="16:21" x14ac:dyDescent="0.35">
      <c r="P4902" s="226"/>
      <c r="Q4902" s="226"/>
      <c r="R4902" s="226"/>
      <c r="S4902" s="226"/>
      <c r="T4902" s="226"/>
      <c r="U4902" s="226"/>
    </row>
    <row r="4903" spans="16:21" x14ac:dyDescent="0.35">
      <c r="P4903" s="226"/>
      <c r="Q4903" s="226"/>
      <c r="R4903" s="226"/>
      <c r="S4903" s="226"/>
      <c r="T4903" s="226"/>
      <c r="U4903" s="226"/>
    </row>
    <row r="4904" spans="16:21" x14ac:dyDescent="0.35">
      <c r="P4904" s="226"/>
      <c r="Q4904" s="226"/>
      <c r="R4904" s="226"/>
      <c r="S4904" s="226"/>
      <c r="T4904" s="226"/>
      <c r="U4904" s="226"/>
    </row>
    <row r="4905" spans="16:21" x14ac:dyDescent="0.35">
      <c r="P4905" s="226"/>
      <c r="Q4905" s="226"/>
      <c r="R4905" s="226"/>
      <c r="S4905" s="226"/>
      <c r="T4905" s="226"/>
      <c r="U4905" s="226"/>
    </row>
    <row r="4906" spans="16:21" x14ac:dyDescent="0.35">
      <c r="P4906" s="226"/>
      <c r="Q4906" s="226"/>
      <c r="R4906" s="226"/>
      <c r="S4906" s="226"/>
      <c r="T4906" s="226"/>
      <c r="U4906" s="226"/>
    </row>
    <row r="4907" spans="16:21" x14ac:dyDescent="0.35">
      <c r="P4907" s="226"/>
      <c r="Q4907" s="226"/>
      <c r="R4907" s="226"/>
      <c r="S4907" s="226"/>
      <c r="T4907" s="226"/>
      <c r="U4907" s="226"/>
    </row>
    <row r="4908" spans="16:21" x14ac:dyDescent="0.35">
      <c r="P4908" s="226"/>
      <c r="Q4908" s="226"/>
      <c r="R4908" s="226"/>
      <c r="S4908" s="226"/>
      <c r="T4908" s="226"/>
      <c r="U4908" s="226"/>
    </row>
    <row r="4909" spans="16:21" x14ac:dyDescent="0.35">
      <c r="P4909" s="226"/>
      <c r="Q4909" s="226"/>
      <c r="R4909" s="226"/>
      <c r="S4909" s="226"/>
      <c r="T4909" s="226"/>
      <c r="U4909" s="226"/>
    </row>
    <row r="4910" spans="16:21" x14ac:dyDescent="0.35">
      <c r="P4910" s="226"/>
      <c r="Q4910" s="226"/>
      <c r="R4910" s="226"/>
      <c r="S4910" s="226"/>
      <c r="T4910" s="226"/>
      <c r="U4910" s="226"/>
    </row>
    <row r="4911" spans="16:21" x14ac:dyDescent="0.35">
      <c r="P4911" s="226"/>
      <c r="Q4911" s="226"/>
      <c r="R4911" s="226"/>
      <c r="S4911" s="226"/>
      <c r="T4911" s="226"/>
      <c r="U4911" s="226"/>
    </row>
    <row r="4912" spans="16:21" x14ac:dyDescent="0.35">
      <c r="P4912" s="226"/>
      <c r="Q4912" s="226"/>
      <c r="R4912" s="226"/>
      <c r="S4912" s="226"/>
      <c r="T4912" s="226"/>
      <c r="U4912" s="226"/>
    </row>
    <row r="4913" spans="16:21" x14ac:dyDescent="0.35">
      <c r="P4913" s="226"/>
      <c r="Q4913" s="226"/>
      <c r="R4913" s="226"/>
      <c r="S4913" s="226"/>
      <c r="T4913" s="226"/>
      <c r="U4913" s="226"/>
    </row>
    <row r="4914" spans="16:21" x14ac:dyDescent="0.35">
      <c r="P4914" s="226"/>
      <c r="Q4914" s="226"/>
      <c r="R4914" s="226"/>
      <c r="S4914" s="226"/>
      <c r="T4914" s="226"/>
      <c r="U4914" s="226"/>
    </row>
    <row r="4915" spans="16:21" x14ac:dyDescent="0.35">
      <c r="P4915" s="226"/>
      <c r="Q4915" s="226"/>
      <c r="R4915" s="226"/>
      <c r="S4915" s="226"/>
      <c r="T4915" s="226"/>
      <c r="U4915" s="226"/>
    </row>
    <row r="4916" spans="16:21" x14ac:dyDescent="0.35">
      <c r="P4916" s="226"/>
      <c r="Q4916" s="226"/>
      <c r="R4916" s="226"/>
      <c r="S4916" s="226"/>
      <c r="T4916" s="226"/>
      <c r="U4916" s="226"/>
    </row>
    <row r="4917" spans="16:21" x14ac:dyDescent="0.35">
      <c r="P4917" s="226"/>
      <c r="Q4917" s="226"/>
      <c r="R4917" s="226"/>
      <c r="S4917" s="226"/>
      <c r="T4917" s="226"/>
      <c r="U4917" s="226"/>
    </row>
    <row r="4918" spans="16:21" x14ac:dyDescent="0.35">
      <c r="P4918" s="226"/>
      <c r="Q4918" s="226"/>
      <c r="R4918" s="226"/>
      <c r="S4918" s="226"/>
      <c r="T4918" s="226"/>
      <c r="U4918" s="226"/>
    </row>
    <row r="4919" spans="16:21" x14ac:dyDescent="0.35">
      <c r="P4919" s="226"/>
      <c r="Q4919" s="226"/>
      <c r="R4919" s="226"/>
      <c r="S4919" s="226"/>
      <c r="T4919" s="226"/>
      <c r="U4919" s="226"/>
    </row>
    <row r="4920" spans="16:21" x14ac:dyDescent="0.35">
      <c r="P4920" s="226"/>
      <c r="Q4920" s="226"/>
      <c r="R4920" s="226"/>
      <c r="S4920" s="226"/>
      <c r="T4920" s="226"/>
      <c r="U4920" s="226"/>
    </row>
    <row r="4921" spans="16:21" x14ac:dyDescent="0.35">
      <c r="P4921" s="226"/>
      <c r="Q4921" s="226"/>
      <c r="R4921" s="226"/>
      <c r="S4921" s="226"/>
      <c r="T4921" s="226"/>
      <c r="U4921" s="226"/>
    </row>
    <row r="4922" spans="16:21" x14ac:dyDescent="0.35">
      <c r="P4922" s="226"/>
      <c r="Q4922" s="226"/>
      <c r="R4922" s="226"/>
      <c r="S4922" s="226"/>
      <c r="T4922" s="226"/>
      <c r="U4922" s="226"/>
    </row>
    <row r="4923" spans="16:21" x14ac:dyDescent="0.35">
      <c r="P4923" s="226"/>
      <c r="Q4923" s="226"/>
      <c r="R4923" s="226"/>
      <c r="S4923" s="226"/>
      <c r="T4923" s="226"/>
      <c r="U4923" s="226"/>
    </row>
    <row r="4924" spans="16:21" x14ac:dyDescent="0.35">
      <c r="P4924" s="226"/>
      <c r="Q4924" s="226"/>
      <c r="R4924" s="226"/>
      <c r="S4924" s="226"/>
      <c r="T4924" s="226"/>
      <c r="U4924" s="226"/>
    </row>
    <row r="4925" spans="16:21" x14ac:dyDescent="0.35">
      <c r="P4925" s="226"/>
      <c r="Q4925" s="226"/>
      <c r="R4925" s="226"/>
      <c r="S4925" s="226"/>
      <c r="T4925" s="226"/>
      <c r="U4925" s="226"/>
    </row>
    <row r="4926" spans="16:21" x14ac:dyDescent="0.35">
      <c r="P4926" s="226"/>
      <c r="Q4926" s="226"/>
      <c r="R4926" s="226"/>
      <c r="S4926" s="226"/>
      <c r="T4926" s="226"/>
      <c r="U4926" s="226"/>
    </row>
    <row r="4927" spans="16:21" x14ac:dyDescent="0.35">
      <c r="P4927" s="226"/>
      <c r="Q4927" s="226"/>
      <c r="R4927" s="226"/>
      <c r="S4927" s="226"/>
      <c r="T4927" s="226"/>
      <c r="U4927" s="226"/>
    </row>
    <row r="4928" spans="16:21" x14ac:dyDescent="0.35">
      <c r="P4928" s="226"/>
      <c r="Q4928" s="226"/>
      <c r="R4928" s="226"/>
      <c r="S4928" s="226"/>
      <c r="T4928" s="226"/>
      <c r="U4928" s="226"/>
    </row>
    <row r="4929" spans="16:21" x14ac:dyDescent="0.35">
      <c r="P4929" s="226"/>
      <c r="Q4929" s="226"/>
      <c r="R4929" s="226"/>
      <c r="S4929" s="226"/>
      <c r="T4929" s="226"/>
      <c r="U4929" s="226"/>
    </row>
    <row r="4930" spans="16:21" x14ac:dyDescent="0.35">
      <c r="P4930" s="226"/>
      <c r="Q4930" s="226"/>
      <c r="R4930" s="226"/>
      <c r="S4930" s="226"/>
      <c r="T4930" s="226"/>
      <c r="U4930" s="226"/>
    </row>
    <row r="4931" spans="16:21" x14ac:dyDescent="0.35">
      <c r="P4931" s="226"/>
      <c r="Q4931" s="226"/>
      <c r="R4931" s="226"/>
      <c r="S4931" s="226"/>
      <c r="T4931" s="226"/>
      <c r="U4931" s="226"/>
    </row>
    <row r="4932" spans="16:21" x14ac:dyDescent="0.35">
      <c r="P4932" s="226"/>
      <c r="Q4932" s="226"/>
      <c r="R4932" s="226"/>
      <c r="S4932" s="226"/>
      <c r="T4932" s="226"/>
      <c r="U4932" s="226"/>
    </row>
    <row r="4933" spans="16:21" x14ac:dyDescent="0.35">
      <c r="P4933" s="226"/>
      <c r="Q4933" s="226"/>
      <c r="R4933" s="226"/>
      <c r="S4933" s="226"/>
      <c r="T4933" s="226"/>
      <c r="U4933" s="226"/>
    </row>
    <row r="4934" spans="16:21" x14ac:dyDescent="0.35">
      <c r="P4934" s="226"/>
      <c r="Q4934" s="226"/>
      <c r="R4934" s="226"/>
      <c r="S4934" s="226"/>
      <c r="T4934" s="226"/>
      <c r="U4934" s="226"/>
    </row>
    <row r="4935" spans="16:21" x14ac:dyDescent="0.35">
      <c r="P4935" s="226"/>
      <c r="Q4935" s="226"/>
      <c r="R4935" s="226"/>
      <c r="S4935" s="226"/>
      <c r="T4935" s="226"/>
      <c r="U4935" s="226"/>
    </row>
    <row r="4936" spans="16:21" x14ac:dyDescent="0.35">
      <c r="P4936" s="226"/>
      <c r="Q4936" s="226"/>
      <c r="R4936" s="226"/>
      <c r="S4936" s="226"/>
      <c r="T4936" s="226"/>
      <c r="U4936" s="226"/>
    </row>
    <row r="4937" spans="16:21" x14ac:dyDescent="0.35">
      <c r="P4937" s="226"/>
      <c r="Q4937" s="226"/>
      <c r="R4937" s="226"/>
      <c r="S4937" s="226"/>
      <c r="T4937" s="226"/>
      <c r="U4937" s="226"/>
    </row>
    <row r="4938" spans="16:21" x14ac:dyDescent="0.35">
      <c r="P4938" s="226"/>
      <c r="Q4938" s="226"/>
      <c r="R4938" s="226"/>
      <c r="S4938" s="226"/>
      <c r="T4938" s="226"/>
      <c r="U4938" s="226"/>
    </row>
    <row r="4939" spans="16:21" x14ac:dyDescent="0.35">
      <c r="P4939" s="226"/>
      <c r="Q4939" s="226"/>
      <c r="R4939" s="226"/>
      <c r="S4939" s="226"/>
      <c r="T4939" s="226"/>
      <c r="U4939" s="226"/>
    </row>
    <row r="4940" spans="16:21" x14ac:dyDescent="0.35">
      <c r="P4940" s="226"/>
      <c r="Q4940" s="226"/>
      <c r="R4940" s="226"/>
      <c r="S4940" s="226"/>
      <c r="T4940" s="226"/>
      <c r="U4940" s="226"/>
    </row>
    <row r="4941" spans="16:21" x14ac:dyDescent="0.35">
      <c r="P4941" s="226"/>
      <c r="Q4941" s="226"/>
      <c r="R4941" s="226"/>
      <c r="S4941" s="226"/>
      <c r="T4941" s="226"/>
      <c r="U4941" s="226"/>
    </row>
    <row r="4942" spans="16:21" x14ac:dyDescent="0.35">
      <c r="P4942" s="226"/>
      <c r="Q4942" s="226"/>
      <c r="R4942" s="226"/>
      <c r="S4942" s="226"/>
      <c r="T4942" s="226"/>
      <c r="U4942" s="226"/>
    </row>
    <row r="4943" spans="16:21" x14ac:dyDescent="0.35">
      <c r="P4943" s="226"/>
      <c r="Q4943" s="226"/>
      <c r="R4943" s="226"/>
      <c r="S4943" s="226"/>
      <c r="T4943" s="226"/>
      <c r="U4943" s="226"/>
    </row>
    <row r="4944" spans="16:21" x14ac:dyDescent="0.35">
      <c r="P4944" s="226"/>
      <c r="Q4944" s="226"/>
      <c r="R4944" s="226"/>
      <c r="S4944" s="226"/>
      <c r="T4944" s="226"/>
      <c r="U4944" s="226"/>
    </row>
    <row r="4945" spans="16:21" x14ac:dyDescent="0.35">
      <c r="P4945" s="226"/>
      <c r="Q4945" s="226"/>
      <c r="R4945" s="226"/>
      <c r="S4945" s="226"/>
      <c r="T4945" s="226"/>
      <c r="U4945" s="226"/>
    </row>
    <row r="4946" spans="16:21" x14ac:dyDescent="0.35">
      <c r="P4946" s="226"/>
      <c r="Q4946" s="226"/>
      <c r="R4946" s="226"/>
      <c r="S4946" s="226"/>
      <c r="T4946" s="226"/>
      <c r="U4946" s="226"/>
    </row>
    <row r="4947" spans="16:21" x14ac:dyDescent="0.35">
      <c r="P4947" s="226"/>
      <c r="Q4947" s="226"/>
      <c r="R4947" s="226"/>
      <c r="S4947" s="226"/>
      <c r="T4947" s="226"/>
      <c r="U4947" s="226"/>
    </row>
    <row r="4948" spans="16:21" x14ac:dyDescent="0.35">
      <c r="P4948" s="226"/>
      <c r="Q4948" s="226"/>
      <c r="R4948" s="226"/>
      <c r="S4948" s="226"/>
      <c r="T4948" s="226"/>
      <c r="U4948" s="226"/>
    </row>
    <row r="4949" spans="16:21" x14ac:dyDescent="0.35">
      <c r="P4949" s="226"/>
      <c r="Q4949" s="226"/>
      <c r="R4949" s="226"/>
      <c r="S4949" s="226"/>
      <c r="T4949" s="226"/>
      <c r="U4949" s="226"/>
    </row>
    <row r="4950" spans="16:21" x14ac:dyDescent="0.35">
      <c r="P4950" s="226"/>
      <c r="Q4950" s="226"/>
      <c r="R4950" s="226"/>
      <c r="S4950" s="226"/>
      <c r="T4950" s="226"/>
      <c r="U4950" s="226"/>
    </row>
    <row r="4951" spans="16:21" x14ac:dyDescent="0.35">
      <c r="P4951" s="226"/>
      <c r="Q4951" s="226"/>
      <c r="R4951" s="226"/>
      <c r="S4951" s="226"/>
      <c r="T4951" s="226"/>
      <c r="U4951" s="226"/>
    </row>
    <row r="4952" spans="16:21" x14ac:dyDescent="0.35">
      <c r="P4952" s="226"/>
      <c r="Q4952" s="226"/>
      <c r="R4952" s="226"/>
      <c r="S4952" s="226"/>
      <c r="T4952" s="226"/>
      <c r="U4952" s="226"/>
    </row>
    <row r="4953" spans="16:21" x14ac:dyDescent="0.35">
      <c r="P4953" s="226"/>
      <c r="Q4953" s="226"/>
      <c r="R4953" s="226"/>
      <c r="S4953" s="226"/>
      <c r="T4953" s="226"/>
      <c r="U4953" s="226"/>
    </row>
    <row r="4954" spans="16:21" x14ac:dyDescent="0.35">
      <c r="P4954" s="226"/>
      <c r="Q4954" s="226"/>
      <c r="R4954" s="226"/>
      <c r="S4954" s="226"/>
      <c r="T4954" s="226"/>
      <c r="U4954" s="226"/>
    </row>
    <row r="4955" spans="16:21" x14ac:dyDescent="0.35">
      <c r="P4955" s="226"/>
      <c r="Q4955" s="226"/>
      <c r="R4955" s="226"/>
      <c r="S4955" s="226"/>
      <c r="T4955" s="226"/>
      <c r="U4955" s="226"/>
    </row>
    <row r="4956" spans="16:21" x14ac:dyDescent="0.35">
      <c r="P4956" s="226"/>
      <c r="Q4956" s="226"/>
      <c r="R4956" s="226"/>
      <c r="S4956" s="226"/>
      <c r="T4956" s="226"/>
      <c r="U4956" s="226"/>
    </row>
    <row r="4957" spans="16:21" x14ac:dyDescent="0.35">
      <c r="P4957" s="226"/>
      <c r="Q4957" s="226"/>
      <c r="R4957" s="226"/>
      <c r="S4957" s="226"/>
      <c r="T4957" s="226"/>
      <c r="U4957" s="226"/>
    </row>
    <row r="4958" spans="16:21" x14ac:dyDescent="0.35">
      <c r="P4958" s="226"/>
      <c r="Q4958" s="226"/>
      <c r="R4958" s="226"/>
      <c r="S4958" s="226"/>
      <c r="T4958" s="226"/>
      <c r="U4958" s="226"/>
    </row>
    <row r="4959" spans="16:21" x14ac:dyDescent="0.35">
      <c r="P4959" s="226"/>
      <c r="Q4959" s="226"/>
      <c r="R4959" s="226"/>
      <c r="S4959" s="226"/>
      <c r="T4959" s="226"/>
      <c r="U4959" s="226"/>
    </row>
    <row r="4960" spans="16:21" x14ac:dyDescent="0.35">
      <c r="P4960" s="226"/>
      <c r="Q4960" s="226"/>
      <c r="R4960" s="226"/>
      <c r="S4960" s="226"/>
      <c r="T4960" s="226"/>
      <c r="U4960" s="226"/>
    </row>
    <row r="4961" spans="16:21" x14ac:dyDescent="0.35">
      <c r="P4961" s="226"/>
      <c r="Q4961" s="226"/>
      <c r="R4961" s="226"/>
      <c r="S4961" s="226"/>
      <c r="T4961" s="226"/>
      <c r="U4961" s="226"/>
    </row>
    <row r="4962" spans="16:21" x14ac:dyDescent="0.35">
      <c r="P4962" s="226"/>
      <c r="Q4962" s="226"/>
      <c r="R4962" s="226"/>
      <c r="S4962" s="226"/>
      <c r="T4962" s="226"/>
      <c r="U4962" s="226"/>
    </row>
    <row r="4963" spans="16:21" x14ac:dyDescent="0.35">
      <c r="P4963" s="226"/>
      <c r="Q4963" s="226"/>
      <c r="R4963" s="226"/>
      <c r="S4963" s="226"/>
      <c r="T4963" s="226"/>
      <c r="U4963" s="226"/>
    </row>
    <row r="4964" spans="16:21" x14ac:dyDescent="0.35">
      <c r="P4964" s="226"/>
      <c r="Q4964" s="226"/>
      <c r="R4964" s="226"/>
      <c r="S4964" s="226"/>
      <c r="T4964" s="226"/>
      <c r="U4964" s="226"/>
    </row>
    <row r="4965" spans="16:21" x14ac:dyDescent="0.35">
      <c r="P4965" s="226"/>
      <c r="Q4965" s="226"/>
      <c r="R4965" s="226"/>
      <c r="S4965" s="226"/>
      <c r="T4965" s="226"/>
      <c r="U4965" s="226"/>
    </row>
    <row r="4966" spans="16:21" x14ac:dyDescent="0.35">
      <c r="P4966" s="226"/>
      <c r="Q4966" s="226"/>
      <c r="R4966" s="226"/>
      <c r="S4966" s="226"/>
      <c r="T4966" s="226"/>
      <c r="U4966" s="226"/>
    </row>
    <row r="4967" spans="16:21" x14ac:dyDescent="0.35">
      <c r="P4967" s="226"/>
      <c r="Q4967" s="226"/>
      <c r="R4967" s="226"/>
      <c r="S4967" s="226"/>
      <c r="T4967" s="226"/>
      <c r="U4967" s="226"/>
    </row>
    <row r="4968" spans="16:21" x14ac:dyDescent="0.35">
      <c r="P4968" s="226"/>
      <c r="Q4968" s="226"/>
      <c r="R4968" s="226"/>
      <c r="S4968" s="226"/>
      <c r="T4968" s="226"/>
      <c r="U4968" s="226"/>
    </row>
    <row r="4969" spans="16:21" x14ac:dyDescent="0.35">
      <c r="P4969" s="226"/>
      <c r="Q4969" s="226"/>
      <c r="R4969" s="226"/>
      <c r="S4969" s="226"/>
      <c r="T4969" s="226"/>
      <c r="U4969" s="226"/>
    </row>
    <row r="4970" spans="16:21" x14ac:dyDescent="0.35">
      <c r="P4970" s="226"/>
      <c r="Q4970" s="226"/>
      <c r="R4970" s="226"/>
      <c r="S4970" s="226"/>
      <c r="T4970" s="226"/>
      <c r="U4970" s="226"/>
    </row>
    <row r="4971" spans="16:21" x14ac:dyDescent="0.35">
      <c r="P4971" s="226"/>
      <c r="Q4971" s="226"/>
      <c r="R4971" s="226"/>
      <c r="S4971" s="226"/>
      <c r="T4971" s="226"/>
      <c r="U4971" s="226"/>
    </row>
    <row r="4972" spans="16:21" x14ac:dyDescent="0.35">
      <c r="P4972" s="226"/>
      <c r="Q4972" s="226"/>
      <c r="R4972" s="226"/>
      <c r="S4972" s="226"/>
      <c r="T4972" s="226"/>
      <c r="U4972" s="226"/>
    </row>
    <row r="4973" spans="16:21" x14ac:dyDescent="0.35">
      <c r="P4973" s="226"/>
      <c r="Q4973" s="226"/>
      <c r="R4973" s="226"/>
      <c r="S4973" s="226"/>
      <c r="T4973" s="226"/>
      <c r="U4973" s="226"/>
    </row>
    <row r="4974" spans="16:21" x14ac:dyDescent="0.35">
      <c r="P4974" s="226"/>
      <c r="Q4974" s="226"/>
      <c r="R4974" s="226"/>
      <c r="S4974" s="226"/>
      <c r="T4974" s="226"/>
      <c r="U4974" s="226"/>
    </row>
    <row r="4975" spans="16:21" x14ac:dyDescent="0.35">
      <c r="P4975" s="226"/>
      <c r="Q4975" s="226"/>
      <c r="R4975" s="226"/>
      <c r="S4975" s="226"/>
      <c r="T4975" s="226"/>
      <c r="U4975" s="226"/>
    </row>
    <row r="4976" spans="16:21" x14ac:dyDescent="0.35">
      <c r="P4976" s="226"/>
      <c r="Q4976" s="226"/>
      <c r="R4976" s="226"/>
      <c r="S4976" s="226"/>
      <c r="T4976" s="226"/>
      <c r="U4976" s="226"/>
    </row>
    <row r="4977" spans="16:21" x14ac:dyDescent="0.35">
      <c r="P4977" s="226"/>
      <c r="Q4977" s="226"/>
      <c r="R4977" s="226"/>
      <c r="S4977" s="226"/>
      <c r="T4977" s="226"/>
      <c r="U4977" s="226"/>
    </row>
    <row r="4978" spans="16:21" x14ac:dyDescent="0.35">
      <c r="P4978" s="226"/>
      <c r="Q4978" s="226"/>
      <c r="R4978" s="226"/>
      <c r="S4978" s="226"/>
      <c r="T4978" s="226"/>
      <c r="U4978" s="226"/>
    </row>
    <row r="4979" spans="16:21" x14ac:dyDescent="0.35">
      <c r="P4979" s="226"/>
      <c r="Q4979" s="226"/>
      <c r="R4979" s="226"/>
      <c r="S4979" s="226"/>
      <c r="T4979" s="226"/>
      <c r="U4979" s="226"/>
    </row>
    <row r="4980" spans="16:21" x14ac:dyDescent="0.35">
      <c r="P4980" s="226"/>
      <c r="Q4980" s="226"/>
      <c r="R4980" s="226"/>
      <c r="S4980" s="226"/>
      <c r="T4980" s="226"/>
      <c r="U4980" s="226"/>
    </row>
    <row r="4981" spans="16:21" x14ac:dyDescent="0.35">
      <c r="P4981" s="226"/>
      <c r="Q4981" s="226"/>
      <c r="R4981" s="226"/>
      <c r="S4981" s="226"/>
      <c r="T4981" s="226"/>
      <c r="U4981" s="226"/>
    </row>
    <row r="4982" spans="16:21" x14ac:dyDescent="0.35">
      <c r="P4982" s="226"/>
      <c r="Q4982" s="226"/>
      <c r="R4982" s="226"/>
      <c r="S4982" s="226"/>
      <c r="T4982" s="226"/>
      <c r="U4982" s="226"/>
    </row>
    <row r="4983" spans="16:21" x14ac:dyDescent="0.35">
      <c r="P4983" s="226"/>
      <c r="Q4983" s="226"/>
      <c r="R4983" s="226"/>
      <c r="S4983" s="226"/>
      <c r="T4983" s="226"/>
      <c r="U4983" s="226"/>
    </row>
    <row r="4984" spans="16:21" x14ac:dyDescent="0.35">
      <c r="P4984" s="226"/>
      <c r="Q4984" s="226"/>
      <c r="R4984" s="226"/>
      <c r="S4984" s="226"/>
      <c r="T4984" s="226"/>
      <c r="U4984" s="226"/>
    </row>
    <row r="4985" spans="16:21" x14ac:dyDescent="0.35">
      <c r="P4985" s="226"/>
      <c r="Q4985" s="226"/>
      <c r="R4985" s="226"/>
      <c r="S4985" s="226"/>
      <c r="T4985" s="226"/>
      <c r="U4985" s="226"/>
    </row>
    <row r="4986" spans="16:21" x14ac:dyDescent="0.35">
      <c r="P4986" s="226"/>
      <c r="Q4986" s="226"/>
      <c r="R4986" s="226"/>
      <c r="S4986" s="226"/>
      <c r="T4986" s="226"/>
      <c r="U4986" s="226"/>
    </row>
    <row r="4987" spans="16:21" x14ac:dyDescent="0.35">
      <c r="P4987" s="226"/>
      <c r="Q4987" s="226"/>
      <c r="R4987" s="226"/>
      <c r="S4987" s="226"/>
      <c r="T4987" s="226"/>
      <c r="U4987" s="226"/>
    </row>
    <row r="4988" spans="16:21" x14ac:dyDescent="0.35">
      <c r="P4988" s="226"/>
      <c r="Q4988" s="226"/>
      <c r="R4988" s="226"/>
      <c r="S4988" s="226"/>
      <c r="T4988" s="226"/>
      <c r="U4988" s="226"/>
    </row>
    <row r="4989" spans="16:21" x14ac:dyDescent="0.35">
      <c r="P4989" s="226"/>
      <c r="Q4989" s="226"/>
      <c r="R4989" s="226"/>
      <c r="S4989" s="226"/>
      <c r="T4989" s="226"/>
      <c r="U4989" s="226"/>
    </row>
    <row r="4990" spans="16:21" x14ac:dyDescent="0.35">
      <c r="P4990" s="226"/>
      <c r="Q4990" s="226"/>
      <c r="R4990" s="226"/>
      <c r="S4990" s="226"/>
      <c r="T4990" s="226"/>
      <c r="U4990" s="226"/>
    </row>
    <row r="4991" spans="16:21" x14ac:dyDescent="0.35">
      <c r="P4991" s="226"/>
      <c r="Q4991" s="226"/>
      <c r="R4991" s="226"/>
      <c r="S4991" s="226"/>
      <c r="T4991" s="226"/>
      <c r="U4991" s="226"/>
    </row>
    <row r="4992" spans="16:21" x14ac:dyDescent="0.35">
      <c r="P4992" s="226"/>
      <c r="Q4992" s="226"/>
      <c r="R4992" s="226"/>
      <c r="S4992" s="226"/>
      <c r="T4992" s="226"/>
      <c r="U4992" s="226"/>
    </row>
    <row r="4993" spans="16:21" x14ac:dyDescent="0.35">
      <c r="P4993" s="226"/>
      <c r="Q4993" s="226"/>
      <c r="R4993" s="226"/>
      <c r="S4993" s="226"/>
      <c r="T4993" s="226"/>
      <c r="U4993" s="226"/>
    </row>
    <row r="4994" spans="16:21" x14ac:dyDescent="0.35">
      <c r="P4994" s="226"/>
      <c r="Q4994" s="226"/>
      <c r="R4994" s="226"/>
      <c r="S4994" s="226"/>
      <c r="T4994" s="226"/>
      <c r="U4994" s="226"/>
    </row>
    <row r="4995" spans="16:21" x14ac:dyDescent="0.35">
      <c r="P4995" s="226"/>
      <c r="Q4995" s="226"/>
      <c r="R4995" s="226"/>
      <c r="S4995" s="226"/>
      <c r="T4995" s="226"/>
      <c r="U4995" s="226"/>
    </row>
    <row r="4996" spans="16:21" x14ac:dyDescent="0.35">
      <c r="P4996" s="226"/>
      <c r="Q4996" s="226"/>
      <c r="R4996" s="226"/>
      <c r="S4996" s="226"/>
      <c r="T4996" s="226"/>
      <c r="U4996" s="226"/>
    </row>
    <row r="4997" spans="16:21" x14ac:dyDescent="0.35">
      <c r="P4997" s="226"/>
      <c r="Q4997" s="226"/>
      <c r="R4997" s="226"/>
      <c r="S4997" s="226"/>
      <c r="T4997" s="226"/>
      <c r="U4997" s="226"/>
    </row>
    <row r="4998" spans="16:21" x14ac:dyDescent="0.35">
      <c r="P4998" s="226"/>
      <c r="Q4998" s="226"/>
      <c r="R4998" s="226"/>
      <c r="S4998" s="226"/>
      <c r="T4998" s="226"/>
      <c r="U4998" s="226"/>
    </row>
    <row r="4999" spans="16:21" x14ac:dyDescent="0.35">
      <c r="P4999" s="226"/>
      <c r="Q4999" s="226"/>
      <c r="R4999" s="226"/>
      <c r="S4999" s="226"/>
      <c r="T4999" s="226"/>
      <c r="U4999" s="226"/>
    </row>
    <row r="5000" spans="16:21" x14ac:dyDescent="0.35">
      <c r="P5000" s="226"/>
      <c r="Q5000" s="226"/>
      <c r="R5000" s="226"/>
      <c r="S5000" s="226"/>
      <c r="T5000" s="226"/>
      <c r="U5000" s="226"/>
    </row>
    <row r="5001" spans="16:21" x14ac:dyDescent="0.35">
      <c r="P5001" s="226"/>
      <c r="Q5001" s="226"/>
      <c r="R5001" s="226"/>
      <c r="S5001" s="226"/>
      <c r="T5001" s="226"/>
      <c r="U5001" s="226"/>
    </row>
    <row r="5002" spans="16:21" x14ac:dyDescent="0.35">
      <c r="P5002" s="226"/>
      <c r="Q5002" s="226"/>
      <c r="R5002" s="226"/>
      <c r="S5002" s="226"/>
      <c r="T5002" s="226"/>
      <c r="U5002" s="226"/>
    </row>
    <row r="5003" spans="16:21" x14ac:dyDescent="0.35">
      <c r="P5003" s="226"/>
      <c r="Q5003" s="226"/>
      <c r="R5003" s="226"/>
      <c r="S5003" s="226"/>
      <c r="T5003" s="226"/>
      <c r="U5003" s="226"/>
    </row>
    <row r="5004" spans="16:21" x14ac:dyDescent="0.35">
      <c r="P5004" s="226"/>
      <c r="Q5004" s="226"/>
      <c r="R5004" s="226"/>
      <c r="S5004" s="226"/>
      <c r="T5004" s="226"/>
      <c r="U5004" s="226"/>
    </row>
    <row r="5005" spans="16:21" x14ac:dyDescent="0.35">
      <c r="P5005" s="226"/>
      <c r="Q5005" s="226"/>
      <c r="R5005" s="226"/>
      <c r="S5005" s="226"/>
      <c r="T5005" s="226"/>
      <c r="U5005" s="226"/>
    </row>
    <row r="5006" spans="16:21" x14ac:dyDescent="0.35">
      <c r="P5006" s="226"/>
      <c r="Q5006" s="226"/>
      <c r="R5006" s="226"/>
      <c r="S5006" s="226"/>
      <c r="T5006" s="226"/>
      <c r="U5006" s="226"/>
    </row>
    <row r="5007" spans="16:21" x14ac:dyDescent="0.35">
      <c r="P5007" s="226"/>
      <c r="Q5007" s="226"/>
      <c r="R5007" s="226"/>
      <c r="S5007" s="226"/>
      <c r="T5007" s="226"/>
      <c r="U5007" s="226"/>
    </row>
    <row r="5008" spans="16:21" x14ac:dyDescent="0.35">
      <c r="P5008" s="226"/>
      <c r="Q5008" s="226"/>
      <c r="R5008" s="226"/>
      <c r="S5008" s="226"/>
      <c r="T5008" s="226"/>
      <c r="U5008" s="226"/>
    </row>
    <row r="5009" spans="16:21" x14ac:dyDescent="0.35">
      <c r="P5009" s="226"/>
      <c r="Q5009" s="226"/>
      <c r="R5009" s="226"/>
      <c r="S5009" s="226"/>
      <c r="T5009" s="226"/>
      <c r="U5009" s="226"/>
    </row>
    <row r="5010" spans="16:21" x14ac:dyDescent="0.35">
      <c r="P5010" s="226"/>
      <c r="Q5010" s="226"/>
      <c r="R5010" s="226"/>
      <c r="S5010" s="226"/>
      <c r="T5010" s="226"/>
      <c r="U5010" s="226"/>
    </row>
    <row r="5011" spans="16:21" x14ac:dyDescent="0.35">
      <c r="P5011" s="226"/>
      <c r="Q5011" s="226"/>
      <c r="R5011" s="226"/>
      <c r="S5011" s="226"/>
      <c r="T5011" s="226"/>
      <c r="U5011" s="226"/>
    </row>
    <row r="5012" spans="16:21" x14ac:dyDescent="0.35">
      <c r="P5012" s="226"/>
      <c r="Q5012" s="226"/>
      <c r="R5012" s="226"/>
      <c r="S5012" s="226"/>
      <c r="T5012" s="226"/>
      <c r="U5012" s="226"/>
    </row>
    <row r="5013" spans="16:21" x14ac:dyDescent="0.35">
      <c r="P5013" s="226"/>
      <c r="Q5013" s="226"/>
      <c r="R5013" s="226"/>
      <c r="S5013" s="226"/>
      <c r="T5013" s="226"/>
      <c r="U5013" s="226"/>
    </row>
    <row r="5014" spans="16:21" x14ac:dyDescent="0.35">
      <c r="P5014" s="226"/>
      <c r="Q5014" s="226"/>
      <c r="R5014" s="226"/>
      <c r="S5014" s="226"/>
      <c r="T5014" s="226"/>
      <c r="U5014" s="226"/>
    </row>
    <row r="5015" spans="16:21" x14ac:dyDescent="0.35">
      <c r="P5015" s="226"/>
      <c r="Q5015" s="226"/>
      <c r="R5015" s="226"/>
      <c r="S5015" s="226"/>
      <c r="T5015" s="226"/>
      <c r="U5015" s="226"/>
    </row>
    <row r="5016" spans="16:21" x14ac:dyDescent="0.35">
      <c r="P5016" s="226"/>
      <c r="Q5016" s="226"/>
      <c r="R5016" s="226"/>
      <c r="S5016" s="226"/>
      <c r="T5016" s="226"/>
      <c r="U5016" s="226"/>
    </row>
    <row r="5017" spans="16:21" x14ac:dyDescent="0.35">
      <c r="P5017" s="226"/>
      <c r="Q5017" s="226"/>
      <c r="R5017" s="226"/>
      <c r="S5017" s="226"/>
      <c r="T5017" s="226"/>
      <c r="U5017" s="226"/>
    </row>
    <row r="5018" spans="16:21" x14ac:dyDescent="0.35">
      <c r="P5018" s="226"/>
      <c r="Q5018" s="226"/>
      <c r="R5018" s="226"/>
      <c r="S5018" s="226"/>
      <c r="T5018" s="226"/>
      <c r="U5018" s="226"/>
    </row>
    <row r="5019" spans="16:21" x14ac:dyDescent="0.35">
      <c r="P5019" s="226"/>
      <c r="Q5019" s="226"/>
      <c r="R5019" s="226"/>
      <c r="S5019" s="226"/>
      <c r="T5019" s="226"/>
      <c r="U5019" s="226"/>
    </row>
    <row r="5020" spans="16:21" x14ac:dyDescent="0.35">
      <c r="P5020" s="226"/>
      <c r="Q5020" s="226"/>
      <c r="R5020" s="226"/>
      <c r="S5020" s="226"/>
      <c r="T5020" s="226"/>
      <c r="U5020" s="226"/>
    </row>
    <row r="5021" spans="16:21" x14ac:dyDescent="0.35">
      <c r="P5021" s="226"/>
      <c r="Q5021" s="226"/>
      <c r="R5021" s="226"/>
      <c r="S5021" s="226"/>
      <c r="T5021" s="226"/>
      <c r="U5021" s="226"/>
    </row>
    <row r="5022" spans="16:21" x14ac:dyDescent="0.35">
      <c r="P5022" s="226"/>
      <c r="Q5022" s="226"/>
      <c r="R5022" s="226"/>
      <c r="S5022" s="226"/>
      <c r="T5022" s="226"/>
      <c r="U5022" s="226"/>
    </row>
    <row r="5023" spans="16:21" x14ac:dyDescent="0.35">
      <c r="P5023" s="226"/>
      <c r="Q5023" s="226"/>
      <c r="R5023" s="226"/>
      <c r="S5023" s="226"/>
      <c r="T5023" s="226"/>
      <c r="U5023" s="226"/>
    </row>
    <row r="5024" spans="16:21" x14ac:dyDescent="0.35">
      <c r="P5024" s="226"/>
      <c r="Q5024" s="226"/>
      <c r="R5024" s="226"/>
      <c r="S5024" s="226"/>
      <c r="T5024" s="226"/>
      <c r="U5024" s="226"/>
    </row>
    <row r="5025" spans="16:21" x14ac:dyDescent="0.35">
      <c r="P5025" s="226"/>
      <c r="Q5025" s="226"/>
      <c r="R5025" s="226"/>
      <c r="S5025" s="226"/>
      <c r="T5025" s="226"/>
      <c r="U5025" s="226"/>
    </row>
    <row r="5026" spans="16:21" x14ac:dyDescent="0.35">
      <c r="P5026" s="226"/>
      <c r="Q5026" s="226"/>
      <c r="R5026" s="226"/>
      <c r="S5026" s="226"/>
      <c r="T5026" s="226"/>
      <c r="U5026" s="226"/>
    </row>
    <row r="5027" spans="16:21" x14ac:dyDescent="0.35">
      <c r="P5027" s="226"/>
      <c r="Q5027" s="226"/>
      <c r="R5027" s="226"/>
      <c r="S5027" s="226"/>
      <c r="T5027" s="226"/>
      <c r="U5027" s="226"/>
    </row>
    <row r="5028" spans="16:21" x14ac:dyDescent="0.35">
      <c r="P5028" s="226"/>
      <c r="Q5028" s="226"/>
      <c r="R5028" s="226"/>
      <c r="S5028" s="226"/>
      <c r="T5028" s="226"/>
      <c r="U5028" s="226"/>
    </row>
    <row r="5029" spans="16:21" x14ac:dyDescent="0.35">
      <c r="P5029" s="226"/>
      <c r="Q5029" s="226"/>
      <c r="R5029" s="226"/>
      <c r="S5029" s="226"/>
      <c r="T5029" s="226"/>
      <c r="U5029" s="226"/>
    </row>
    <row r="5030" spans="16:21" x14ac:dyDescent="0.35">
      <c r="P5030" s="226"/>
      <c r="Q5030" s="226"/>
      <c r="R5030" s="226"/>
      <c r="S5030" s="226"/>
      <c r="T5030" s="226"/>
      <c r="U5030" s="226"/>
    </row>
    <row r="5031" spans="16:21" x14ac:dyDescent="0.35">
      <c r="P5031" s="226"/>
      <c r="Q5031" s="226"/>
      <c r="R5031" s="226"/>
      <c r="S5031" s="226"/>
      <c r="T5031" s="226"/>
      <c r="U5031" s="226"/>
    </row>
    <row r="5032" spans="16:21" x14ac:dyDescent="0.35">
      <c r="P5032" s="226"/>
      <c r="Q5032" s="226"/>
      <c r="R5032" s="226"/>
      <c r="S5032" s="226"/>
      <c r="T5032" s="226"/>
      <c r="U5032" s="226"/>
    </row>
    <row r="5033" spans="16:21" x14ac:dyDescent="0.35">
      <c r="P5033" s="226"/>
      <c r="Q5033" s="226"/>
      <c r="R5033" s="226"/>
      <c r="S5033" s="226"/>
      <c r="T5033" s="226"/>
      <c r="U5033" s="226"/>
    </row>
    <row r="5034" spans="16:21" x14ac:dyDescent="0.35">
      <c r="P5034" s="226"/>
      <c r="Q5034" s="226"/>
      <c r="R5034" s="226"/>
      <c r="S5034" s="226"/>
      <c r="T5034" s="226"/>
      <c r="U5034" s="226"/>
    </row>
    <row r="5035" spans="16:21" x14ac:dyDescent="0.35">
      <c r="P5035" s="226"/>
      <c r="Q5035" s="226"/>
      <c r="R5035" s="226"/>
      <c r="S5035" s="226"/>
      <c r="T5035" s="226"/>
      <c r="U5035" s="226"/>
    </row>
    <row r="5036" spans="16:21" x14ac:dyDescent="0.35">
      <c r="P5036" s="226"/>
      <c r="Q5036" s="226"/>
      <c r="R5036" s="226"/>
      <c r="S5036" s="226"/>
      <c r="T5036" s="226"/>
      <c r="U5036" s="226"/>
    </row>
    <row r="5037" spans="16:21" x14ac:dyDescent="0.35">
      <c r="P5037" s="226"/>
      <c r="Q5037" s="226"/>
      <c r="R5037" s="226"/>
      <c r="S5037" s="226"/>
      <c r="T5037" s="226"/>
      <c r="U5037" s="226"/>
    </row>
    <row r="5038" spans="16:21" x14ac:dyDescent="0.35">
      <c r="P5038" s="226"/>
      <c r="Q5038" s="226"/>
      <c r="R5038" s="226"/>
      <c r="S5038" s="226"/>
      <c r="T5038" s="226"/>
      <c r="U5038" s="226"/>
    </row>
    <row r="5039" spans="16:21" x14ac:dyDescent="0.35">
      <c r="P5039" s="226"/>
      <c r="Q5039" s="226"/>
      <c r="R5039" s="226"/>
      <c r="S5039" s="226"/>
      <c r="T5039" s="226"/>
      <c r="U5039" s="226"/>
    </row>
    <row r="5040" spans="16:21" x14ac:dyDescent="0.35">
      <c r="P5040" s="226"/>
      <c r="Q5040" s="226"/>
      <c r="R5040" s="226"/>
      <c r="S5040" s="226"/>
      <c r="T5040" s="226"/>
      <c r="U5040" s="226"/>
    </row>
    <row r="5041" spans="16:21" x14ac:dyDescent="0.35">
      <c r="P5041" s="226"/>
      <c r="Q5041" s="226"/>
      <c r="R5041" s="226"/>
      <c r="S5041" s="226"/>
      <c r="T5041" s="226"/>
      <c r="U5041" s="226"/>
    </row>
    <row r="5042" spans="16:21" x14ac:dyDescent="0.35">
      <c r="P5042" s="226"/>
      <c r="Q5042" s="226"/>
      <c r="R5042" s="226"/>
      <c r="S5042" s="226"/>
      <c r="T5042" s="226"/>
      <c r="U5042" s="226"/>
    </row>
    <row r="5043" spans="16:21" x14ac:dyDescent="0.35">
      <c r="P5043" s="226"/>
      <c r="Q5043" s="226"/>
      <c r="R5043" s="226"/>
      <c r="S5043" s="226"/>
      <c r="T5043" s="226"/>
      <c r="U5043" s="226"/>
    </row>
    <row r="5044" spans="16:21" x14ac:dyDescent="0.35">
      <c r="P5044" s="226"/>
      <c r="Q5044" s="226"/>
      <c r="R5044" s="226"/>
      <c r="S5044" s="226"/>
      <c r="T5044" s="226"/>
      <c r="U5044" s="226"/>
    </row>
    <row r="5045" spans="16:21" x14ac:dyDescent="0.35">
      <c r="P5045" s="226"/>
      <c r="Q5045" s="226"/>
      <c r="R5045" s="226"/>
      <c r="S5045" s="226"/>
      <c r="T5045" s="226"/>
      <c r="U5045" s="226"/>
    </row>
    <row r="5046" spans="16:21" x14ac:dyDescent="0.35">
      <c r="P5046" s="226"/>
      <c r="Q5046" s="226"/>
      <c r="R5046" s="226"/>
      <c r="S5046" s="226"/>
      <c r="T5046" s="226"/>
      <c r="U5046" s="226"/>
    </row>
    <row r="5047" spans="16:21" x14ac:dyDescent="0.35">
      <c r="P5047" s="226"/>
      <c r="Q5047" s="226"/>
      <c r="R5047" s="226"/>
      <c r="S5047" s="226"/>
      <c r="T5047" s="226"/>
      <c r="U5047" s="226"/>
    </row>
    <row r="5048" spans="16:21" x14ac:dyDescent="0.35">
      <c r="P5048" s="226"/>
      <c r="Q5048" s="226"/>
      <c r="R5048" s="226"/>
      <c r="S5048" s="226"/>
      <c r="T5048" s="226"/>
      <c r="U5048" s="226"/>
    </row>
    <row r="5049" spans="16:21" x14ac:dyDescent="0.35">
      <c r="P5049" s="226"/>
      <c r="Q5049" s="226"/>
      <c r="R5049" s="226"/>
      <c r="S5049" s="226"/>
      <c r="T5049" s="226"/>
      <c r="U5049" s="226"/>
    </row>
    <row r="5050" spans="16:21" x14ac:dyDescent="0.35">
      <c r="P5050" s="226"/>
      <c r="Q5050" s="226"/>
      <c r="R5050" s="226"/>
      <c r="S5050" s="226"/>
      <c r="T5050" s="226"/>
      <c r="U5050" s="226"/>
    </row>
    <row r="5051" spans="16:21" x14ac:dyDescent="0.35">
      <c r="P5051" s="226"/>
      <c r="Q5051" s="226"/>
      <c r="R5051" s="226"/>
      <c r="S5051" s="226"/>
      <c r="T5051" s="226"/>
      <c r="U5051" s="226"/>
    </row>
    <row r="5052" spans="16:21" x14ac:dyDescent="0.35">
      <c r="P5052" s="226"/>
      <c r="Q5052" s="226"/>
      <c r="R5052" s="226"/>
      <c r="S5052" s="226"/>
      <c r="T5052" s="226"/>
      <c r="U5052" s="226"/>
    </row>
    <row r="5053" spans="16:21" x14ac:dyDescent="0.35">
      <c r="P5053" s="226"/>
      <c r="Q5053" s="226"/>
      <c r="R5053" s="226"/>
      <c r="S5053" s="226"/>
      <c r="T5053" s="226"/>
      <c r="U5053" s="226"/>
    </row>
    <row r="5054" spans="16:21" x14ac:dyDescent="0.35">
      <c r="P5054" s="226"/>
      <c r="Q5054" s="226"/>
      <c r="R5054" s="226"/>
      <c r="S5054" s="226"/>
      <c r="T5054" s="226"/>
      <c r="U5054" s="226"/>
    </row>
    <row r="5055" spans="16:21" x14ac:dyDescent="0.35">
      <c r="P5055" s="226"/>
      <c r="Q5055" s="226"/>
      <c r="R5055" s="226"/>
      <c r="S5055" s="226"/>
      <c r="T5055" s="226"/>
      <c r="U5055" s="226"/>
    </row>
    <row r="5056" spans="16:21" x14ac:dyDescent="0.35">
      <c r="P5056" s="226"/>
      <c r="Q5056" s="226"/>
      <c r="R5056" s="226"/>
      <c r="S5056" s="226"/>
      <c r="T5056" s="226"/>
      <c r="U5056" s="226"/>
    </row>
    <row r="5057" spans="16:21" x14ac:dyDescent="0.35">
      <c r="P5057" s="226"/>
      <c r="Q5057" s="226"/>
      <c r="R5057" s="226"/>
      <c r="S5057" s="226"/>
      <c r="T5057" s="226"/>
      <c r="U5057" s="226"/>
    </row>
    <row r="5058" spans="16:21" x14ac:dyDescent="0.35">
      <c r="P5058" s="226"/>
      <c r="Q5058" s="226"/>
      <c r="R5058" s="226"/>
      <c r="S5058" s="226"/>
      <c r="T5058" s="226"/>
      <c r="U5058" s="226"/>
    </row>
    <row r="5059" spans="16:21" x14ac:dyDescent="0.35">
      <c r="P5059" s="226"/>
      <c r="Q5059" s="226"/>
      <c r="R5059" s="226"/>
      <c r="S5059" s="226"/>
      <c r="T5059" s="226"/>
      <c r="U5059" s="226"/>
    </row>
    <row r="5060" spans="16:21" x14ac:dyDescent="0.35">
      <c r="P5060" s="226"/>
      <c r="Q5060" s="226"/>
      <c r="R5060" s="226"/>
      <c r="S5060" s="226"/>
      <c r="T5060" s="226"/>
      <c r="U5060" s="226"/>
    </row>
    <row r="5061" spans="16:21" x14ac:dyDescent="0.35">
      <c r="P5061" s="226"/>
      <c r="Q5061" s="226"/>
      <c r="R5061" s="226"/>
      <c r="S5061" s="226"/>
      <c r="T5061" s="226"/>
      <c r="U5061" s="226"/>
    </row>
    <row r="5062" spans="16:21" x14ac:dyDescent="0.35">
      <c r="P5062" s="226"/>
      <c r="Q5062" s="226"/>
      <c r="R5062" s="226"/>
      <c r="S5062" s="226"/>
      <c r="T5062" s="226"/>
      <c r="U5062" s="226"/>
    </row>
    <row r="5063" spans="16:21" x14ac:dyDescent="0.35">
      <c r="P5063" s="226"/>
      <c r="Q5063" s="226"/>
      <c r="R5063" s="226"/>
      <c r="S5063" s="226"/>
      <c r="T5063" s="226"/>
      <c r="U5063" s="226"/>
    </row>
    <row r="5064" spans="16:21" x14ac:dyDescent="0.35">
      <c r="P5064" s="226"/>
      <c r="Q5064" s="226"/>
      <c r="R5064" s="226"/>
      <c r="S5064" s="226"/>
      <c r="T5064" s="226"/>
      <c r="U5064" s="226"/>
    </row>
    <row r="5065" spans="16:21" x14ac:dyDescent="0.35">
      <c r="P5065" s="226"/>
      <c r="Q5065" s="226"/>
      <c r="R5065" s="226"/>
      <c r="S5065" s="226"/>
      <c r="T5065" s="226"/>
      <c r="U5065" s="226"/>
    </row>
    <row r="5066" spans="16:21" x14ac:dyDescent="0.35">
      <c r="P5066" s="226"/>
      <c r="Q5066" s="226"/>
      <c r="R5066" s="226"/>
      <c r="S5066" s="226"/>
      <c r="T5066" s="226"/>
      <c r="U5066" s="226"/>
    </row>
    <row r="5067" spans="16:21" x14ac:dyDescent="0.35">
      <c r="P5067" s="226"/>
      <c r="Q5067" s="226"/>
      <c r="R5067" s="226"/>
      <c r="S5067" s="226"/>
      <c r="T5067" s="226"/>
      <c r="U5067" s="226"/>
    </row>
    <row r="5068" spans="16:21" x14ac:dyDescent="0.35">
      <c r="P5068" s="226"/>
      <c r="Q5068" s="226"/>
      <c r="R5068" s="226"/>
      <c r="S5068" s="226"/>
      <c r="T5068" s="226"/>
      <c r="U5068" s="226"/>
    </row>
    <row r="5069" spans="16:21" x14ac:dyDescent="0.35">
      <c r="P5069" s="226"/>
      <c r="Q5069" s="226"/>
      <c r="R5069" s="226"/>
      <c r="S5069" s="226"/>
      <c r="T5069" s="226"/>
      <c r="U5069" s="226"/>
    </row>
    <row r="5070" spans="16:21" x14ac:dyDescent="0.35">
      <c r="P5070" s="226"/>
      <c r="Q5070" s="226"/>
      <c r="R5070" s="226"/>
      <c r="S5070" s="226"/>
      <c r="T5070" s="226"/>
      <c r="U5070" s="226"/>
    </row>
    <row r="5071" spans="16:21" x14ac:dyDescent="0.35">
      <c r="P5071" s="226"/>
      <c r="Q5071" s="226"/>
      <c r="R5071" s="226"/>
      <c r="S5071" s="226"/>
      <c r="T5071" s="226"/>
      <c r="U5071" s="226"/>
    </row>
    <row r="5072" spans="16:21" x14ac:dyDescent="0.35">
      <c r="P5072" s="226"/>
      <c r="Q5072" s="226"/>
      <c r="R5072" s="226"/>
      <c r="S5072" s="226"/>
      <c r="T5072" s="226"/>
      <c r="U5072" s="226"/>
    </row>
    <row r="5073" spans="16:21" x14ac:dyDescent="0.35">
      <c r="P5073" s="226"/>
      <c r="Q5073" s="226"/>
      <c r="R5073" s="226"/>
      <c r="S5073" s="226"/>
      <c r="T5073" s="226"/>
      <c r="U5073" s="226"/>
    </row>
    <row r="5074" spans="16:21" x14ac:dyDescent="0.35">
      <c r="P5074" s="226"/>
      <c r="Q5074" s="226"/>
      <c r="R5074" s="226"/>
      <c r="S5074" s="226"/>
      <c r="T5074" s="226"/>
      <c r="U5074" s="226"/>
    </row>
    <row r="5075" spans="16:21" x14ac:dyDescent="0.35">
      <c r="P5075" s="226"/>
      <c r="Q5075" s="226"/>
      <c r="R5075" s="226"/>
      <c r="S5075" s="226"/>
      <c r="T5075" s="226"/>
      <c r="U5075" s="226"/>
    </row>
    <row r="5076" spans="16:21" x14ac:dyDescent="0.35">
      <c r="P5076" s="226"/>
      <c r="Q5076" s="226"/>
      <c r="R5076" s="226"/>
      <c r="S5076" s="226"/>
      <c r="T5076" s="226"/>
      <c r="U5076" s="226"/>
    </row>
    <row r="5077" spans="16:21" x14ac:dyDescent="0.35">
      <c r="P5077" s="226"/>
      <c r="Q5077" s="226"/>
      <c r="R5077" s="226"/>
      <c r="S5077" s="226"/>
      <c r="T5077" s="226"/>
      <c r="U5077" s="226"/>
    </row>
    <row r="5078" spans="16:21" x14ac:dyDescent="0.35">
      <c r="P5078" s="226"/>
      <c r="Q5078" s="226"/>
      <c r="R5078" s="226"/>
      <c r="S5078" s="226"/>
      <c r="T5078" s="226"/>
      <c r="U5078" s="226"/>
    </row>
    <row r="5079" spans="16:21" x14ac:dyDescent="0.35">
      <c r="P5079" s="226"/>
      <c r="Q5079" s="226"/>
      <c r="R5079" s="226"/>
      <c r="S5079" s="226"/>
      <c r="T5079" s="226"/>
      <c r="U5079" s="226"/>
    </row>
    <row r="5080" spans="16:21" x14ac:dyDescent="0.35">
      <c r="P5080" s="226"/>
      <c r="Q5080" s="226"/>
      <c r="R5080" s="226"/>
      <c r="S5080" s="226"/>
      <c r="T5080" s="226"/>
      <c r="U5080" s="226"/>
    </row>
    <row r="5081" spans="16:21" x14ac:dyDescent="0.35">
      <c r="P5081" s="226"/>
      <c r="Q5081" s="226"/>
      <c r="R5081" s="226"/>
      <c r="S5081" s="226"/>
      <c r="T5081" s="226"/>
      <c r="U5081" s="226"/>
    </row>
    <row r="5082" spans="16:21" x14ac:dyDescent="0.35">
      <c r="P5082" s="226"/>
      <c r="Q5082" s="226"/>
      <c r="R5082" s="226"/>
      <c r="S5082" s="226"/>
      <c r="T5082" s="226"/>
      <c r="U5082" s="226"/>
    </row>
    <row r="5083" spans="16:21" x14ac:dyDescent="0.35">
      <c r="P5083" s="226"/>
      <c r="Q5083" s="226"/>
      <c r="R5083" s="226"/>
      <c r="S5083" s="226"/>
      <c r="T5083" s="226"/>
      <c r="U5083" s="226"/>
    </row>
    <row r="5084" spans="16:21" x14ac:dyDescent="0.35">
      <c r="P5084" s="226"/>
      <c r="Q5084" s="226"/>
      <c r="R5084" s="226"/>
      <c r="S5084" s="226"/>
      <c r="T5084" s="226"/>
      <c r="U5084" s="226"/>
    </row>
    <row r="5085" spans="16:21" x14ac:dyDescent="0.35">
      <c r="P5085" s="226"/>
      <c r="Q5085" s="226"/>
      <c r="R5085" s="226"/>
      <c r="S5085" s="226"/>
      <c r="T5085" s="226"/>
      <c r="U5085" s="226"/>
    </row>
    <row r="5086" spans="16:21" x14ac:dyDescent="0.35">
      <c r="P5086" s="226"/>
      <c r="Q5086" s="226"/>
      <c r="R5086" s="226"/>
      <c r="S5086" s="226"/>
      <c r="T5086" s="226"/>
      <c r="U5086" s="226"/>
    </row>
    <row r="5087" spans="16:21" x14ac:dyDescent="0.35">
      <c r="P5087" s="226"/>
      <c r="Q5087" s="226"/>
      <c r="R5087" s="226"/>
      <c r="S5087" s="226"/>
      <c r="T5087" s="226"/>
      <c r="U5087" s="226"/>
    </row>
    <row r="5088" spans="16:21" x14ac:dyDescent="0.35">
      <c r="P5088" s="226"/>
      <c r="Q5088" s="226"/>
      <c r="R5088" s="226"/>
      <c r="S5088" s="226"/>
      <c r="T5088" s="226"/>
      <c r="U5088" s="226"/>
    </row>
    <row r="5089" spans="16:21" x14ac:dyDescent="0.35">
      <c r="P5089" s="226"/>
      <c r="Q5089" s="226"/>
      <c r="R5089" s="226"/>
      <c r="S5089" s="226"/>
      <c r="T5089" s="226"/>
      <c r="U5089" s="226"/>
    </row>
    <row r="5090" spans="16:21" x14ac:dyDescent="0.35">
      <c r="P5090" s="226"/>
      <c r="Q5090" s="226"/>
      <c r="R5090" s="226"/>
      <c r="S5090" s="226"/>
      <c r="T5090" s="226"/>
      <c r="U5090" s="226"/>
    </row>
    <row r="5091" spans="16:21" x14ac:dyDescent="0.35">
      <c r="P5091" s="226"/>
      <c r="Q5091" s="226"/>
      <c r="R5091" s="226"/>
      <c r="S5091" s="226"/>
      <c r="T5091" s="226"/>
      <c r="U5091" s="226"/>
    </row>
    <row r="5092" spans="16:21" x14ac:dyDescent="0.35">
      <c r="P5092" s="226"/>
      <c r="Q5092" s="226"/>
      <c r="R5092" s="226"/>
      <c r="S5092" s="226"/>
      <c r="T5092" s="226"/>
      <c r="U5092" s="226"/>
    </row>
    <row r="5093" spans="16:21" x14ac:dyDescent="0.35">
      <c r="P5093" s="226"/>
      <c r="Q5093" s="226"/>
      <c r="R5093" s="226"/>
      <c r="S5093" s="226"/>
      <c r="T5093" s="226"/>
      <c r="U5093" s="226"/>
    </row>
    <row r="5094" spans="16:21" x14ac:dyDescent="0.35">
      <c r="P5094" s="226"/>
      <c r="Q5094" s="226"/>
      <c r="R5094" s="226"/>
      <c r="S5094" s="226"/>
      <c r="T5094" s="226"/>
      <c r="U5094" s="226"/>
    </row>
    <row r="5095" spans="16:21" x14ac:dyDescent="0.35">
      <c r="P5095" s="226"/>
      <c r="Q5095" s="226"/>
      <c r="R5095" s="226"/>
      <c r="S5095" s="226"/>
      <c r="T5095" s="226"/>
      <c r="U5095" s="226"/>
    </row>
    <row r="5096" spans="16:21" x14ac:dyDescent="0.35">
      <c r="P5096" s="226"/>
      <c r="Q5096" s="226"/>
      <c r="R5096" s="226"/>
      <c r="S5096" s="226"/>
      <c r="T5096" s="226"/>
      <c r="U5096" s="226"/>
    </row>
    <row r="5097" spans="16:21" x14ac:dyDescent="0.35">
      <c r="P5097" s="226"/>
      <c r="Q5097" s="226"/>
      <c r="R5097" s="226"/>
      <c r="S5097" s="226"/>
      <c r="T5097" s="226"/>
      <c r="U5097" s="226"/>
    </row>
    <row r="5098" spans="16:21" x14ac:dyDescent="0.35">
      <c r="P5098" s="226"/>
      <c r="Q5098" s="226"/>
      <c r="R5098" s="226"/>
      <c r="S5098" s="226"/>
      <c r="T5098" s="226"/>
      <c r="U5098" s="226"/>
    </row>
    <row r="5099" spans="16:21" x14ac:dyDescent="0.35">
      <c r="P5099" s="226"/>
      <c r="Q5099" s="226"/>
      <c r="R5099" s="226"/>
      <c r="S5099" s="226"/>
      <c r="T5099" s="226"/>
      <c r="U5099" s="226"/>
    </row>
    <row r="5100" spans="16:21" x14ac:dyDescent="0.35">
      <c r="P5100" s="226"/>
      <c r="Q5100" s="226"/>
      <c r="R5100" s="226"/>
      <c r="S5100" s="226"/>
      <c r="T5100" s="226"/>
      <c r="U5100" s="226"/>
    </row>
    <row r="5101" spans="16:21" x14ac:dyDescent="0.35">
      <c r="P5101" s="226"/>
      <c r="Q5101" s="226"/>
      <c r="R5101" s="226"/>
      <c r="S5101" s="226"/>
      <c r="T5101" s="226"/>
      <c r="U5101" s="226"/>
    </row>
    <row r="5102" spans="16:21" x14ac:dyDescent="0.35">
      <c r="P5102" s="226"/>
      <c r="Q5102" s="226"/>
      <c r="R5102" s="226"/>
      <c r="S5102" s="226"/>
      <c r="T5102" s="226"/>
      <c r="U5102" s="226"/>
    </row>
    <row r="5103" spans="16:21" x14ac:dyDescent="0.35">
      <c r="P5103" s="226"/>
      <c r="Q5103" s="226"/>
      <c r="R5103" s="226"/>
      <c r="S5103" s="226"/>
      <c r="T5103" s="226"/>
      <c r="U5103" s="226"/>
    </row>
    <row r="5104" spans="16:21" x14ac:dyDescent="0.35">
      <c r="P5104" s="226"/>
      <c r="Q5104" s="226"/>
      <c r="R5104" s="226"/>
      <c r="S5104" s="226"/>
      <c r="T5104" s="226"/>
      <c r="U5104" s="226"/>
    </row>
    <row r="5105" spans="16:21" x14ac:dyDescent="0.35">
      <c r="P5105" s="226"/>
      <c r="Q5105" s="226"/>
      <c r="R5105" s="226"/>
      <c r="S5105" s="226"/>
      <c r="T5105" s="226"/>
      <c r="U5105" s="226"/>
    </row>
    <row r="5106" spans="16:21" x14ac:dyDescent="0.35">
      <c r="P5106" s="226"/>
      <c r="Q5106" s="226"/>
      <c r="R5106" s="226"/>
      <c r="S5106" s="226"/>
      <c r="T5106" s="226"/>
      <c r="U5106" s="226"/>
    </row>
    <row r="5107" spans="16:21" x14ac:dyDescent="0.35">
      <c r="P5107" s="226"/>
      <c r="Q5107" s="226"/>
      <c r="R5107" s="226"/>
      <c r="S5107" s="226"/>
      <c r="T5107" s="226"/>
      <c r="U5107" s="226"/>
    </row>
    <row r="5108" spans="16:21" x14ac:dyDescent="0.35">
      <c r="P5108" s="226"/>
      <c r="Q5108" s="226"/>
      <c r="R5108" s="226"/>
      <c r="S5108" s="226"/>
      <c r="T5108" s="226"/>
      <c r="U5108" s="226"/>
    </row>
    <row r="5109" spans="16:21" x14ac:dyDescent="0.35">
      <c r="P5109" s="226"/>
      <c r="Q5109" s="226"/>
      <c r="R5109" s="226"/>
      <c r="S5109" s="226"/>
      <c r="T5109" s="226"/>
      <c r="U5109" s="226"/>
    </row>
    <row r="5110" spans="16:21" x14ac:dyDescent="0.35">
      <c r="P5110" s="226"/>
      <c r="Q5110" s="226"/>
      <c r="R5110" s="226"/>
      <c r="S5110" s="226"/>
      <c r="T5110" s="226"/>
      <c r="U5110" s="226"/>
    </row>
    <row r="5111" spans="16:21" x14ac:dyDescent="0.35">
      <c r="P5111" s="226"/>
      <c r="Q5111" s="226"/>
      <c r="R5111" s="226"/>
      <c r="S5111" s="226"/>
      <c r="T5111" s="226"/>
      <c r="U5111" s="226"/>
    </row>
    <row r="5112" spans="16:21" x14ac:dyDescent="0.35">
      <c r="P5112" s="226"/>
      <c r="Q5112" s="226"/>
      <c r="R5112" s="226"/>
      <c r="S5112" s="226"/>
      <c r="T5112" s="226"/>
      <c r="U5112" s="226"/>
    </row>
    <row r="5113" spans="16:21" x14ac:dyDescent="0.35">
      <c r="P5113" s="226"/>
      <c r="Q5113" s="226"/>
      <c r="R5113" s="226"/>
      <c r="S5113" s="226"/>
      <c r="T5113" s="226"/>
      <c r="U5113" s="226"/>
    </row>
    <row r="5114" spans="16:21" x14ac:dyDescent="0.35">
      <c r="P5114" s="226"/>
      <c r="Q5114" s="226"/>
      <c r="R5114" s="226"/>
      <c r="S5114" s="226"/>
      <c r="T5114" s="226"/>
      <c r="U5114" s="226"/>
    </row>
    <row r="5115" spans="16:21" x14ac:dyDescent="0.35">
      <c r="P5115" s="226"/>
      <c r="Q5115" s="226"/>
      <c r="R5115" s="226"/>
      <c r="S5115" s="226"/>
      <c r="T5115" s="226"/>
      <c r="U5115" s="226"/>
    </row>
    <row r="5116" spans="16:21" x14ac:dyDescent="0.35">
      <c r="P5116" s="226"/>
      <c r="Q5116" s="226"/>
      <c r="R5116" s="226"/>
      <c r="S5116" s="226"/>
      <c r="T5116" s="226"/>
      <c r="U5116" s="226"/>
    </row>
    <row r="5117" spans="16:21" x14ac:dyDescent="0.35">
      <c r="P5117" s="226"/>
      <c r="Q5117" s="226"/>
      <c r="R5117" s="226"/>
      <c r="S5117" s="226"/>
      <c r="T5117" s="226"/>
      <c r="U5117" s="226"/>
    </row>
    <row r="5118" spans="16:21" x14ac:dyDescent="0.35">
      <c r="P5118" s="226"/>
      <c r="Q5118" s="226"/>
      <c r="R5118" s="226"/>
      <c r="S5118" s="226"/>
      <c r="T5118" s="226"/>
      <c r="U5118" s="226"/>
    </row>
    <row r="5119" spans="16:21" x14ac:dyDescent="0.35">
      <c r="P5119" s="226"/>
      <c r="Q5119" s="226"/>
      <c r="R5119" s="226"/>
      <c r="S5119" s="226"/>
      <c r="T5119" s="226"/>
      <c r="U5119" s="226"/>
    </row>
    <row r="5120" spans="16:21" x14ac:dyDescent="0.35">
      <c r="P5120" s="226"/>
      <c r="Q5120" s="226"/>
      <c r="R5120" s="226"/>
      <c r="S5120" s="226"/>
      <c r="T5120" s="226"/>
      <c r="U5120" s="226"/>
    </row>
    <row r="5121" spans="16:21" x14ac:dyDescent="0.35">
      <c r="P5121" s="226"/>
      <c r="Q5121" s="226"/>
      <c r="R5121" s="226"/>
      <c r="S5121" s="226"/>
      <c r="T5121" s="226"/>
      <c r="U5121" s="226"/>
    </row>
    <row r="5122" spans="16:21" x14ac:dyDescent="0.35">
      <c r="P5122" s="226"/>
      <c r="Q5122" s="226"/>
      <c r="R5122" s="226"/>
      <c r="S5122" s="226"/>
      <c r="T5122" s="226"/>
      <c r="U5122" s="226"/>
    </row>
    <row r="5123" spans="16:21" x14ac:dyDescent="0.35">
      <c r="P5123" s="226"/>
      <c r="Q5123" s="226"/>
      <c r="R5123" s="226"/>
      <c r="S5123" s="226"/>
      <c r="T5123" s="226"/>
      <c r="U5123" s="226"/>
    </row>
    <row r="5124" spans="16:21" x14ac:dyDescent="0.35">
      <c r="P5124" s="226"/>
      <c r="Q5124" s="226"/>
      <c r="R5124" s="226"/>
      <c r="S5124" s="226"/>
      <c r="T5124" s="226"/>
      <c r="U5124" s="226"/>
    </row>
    <row r="5125" spans="16:21" x14ac:dyDescent="0.35">
      <c r="P5125" s="226"/>
      <c r="Q5125" s="226"/>
      <c r="R5125" s="226"/>
      <c r="S5125" s="226"/>
      <c r="T5125" s="226"/>
      <c r="U5125" s="226"/>
    </row>
    <row r="5126" spans="16:21" x14ac:dyDescent="0.35">
      <c r="P5126" s="226"/>
      <c r="Q5126" s="226"/>
      <c r="R5126" s="226"/>
      <c r="S5126" s="226"/>
      <c r="T5126" s="226"/>
      <c r="U5126" s="226"/>
    </row>
    <row r="5127" spans="16:21" x14ac:dyDescent="0.35">
      <c r="P5127" s="226"/>
      <c r="Q5127" s="226"/>
      <c r="R5127" s="226"/>
      <c r="S5127" s="226"/>
      <c r="T5127" s="226"/>
      <c r="U5127" s="226"/>
    </row>
    <row r="5128" spans="16:21" x14ac:dyDescent="0.35">
      <c r="P5128" s="226"/>
      <c r="Q5128" s="226"/>
      <c r="R5128" s="226"/>
      <c r="S5128" s="226"/>
      <c r="T5128" s="226"/>
      <c r="U5128" s="226"/>
    </row>
    <row r="5129" spans="16:21" x14ac:dyDescent="0.35">
      <c r="P5129" s="226"/>
      <c r="Q5129" s="226"/>
      <c r="R5129" s="226"/>
      <c r="S5129" s="226"/>
      <c r="T5129" s="226"/>
      <c r="U5129" s="226"/>
    </row>
    <row r="5130" spans="16:21" x14ac:dyDescent="0.35">
      <c r="P5130" s="226"/>
      <c r="Q5130" s="226"/>
      <c r="R5130" s="226"/>
      <c r="S5130" s="226"/>
      <c r="T5130" s="226"/>
      <c r="U5130" s="226"/>
    </row>
    <row r="5131" spans="16:21" x14ac:dyDescent="0.35">
      <c r="P5131" s="226"/>
      <c r="Q5131" s="226"/>
      <c r="R5131" s="226"/>
      <c r="S5131" s="226"/>
      <c r="T5131" s="226"/>
      <c r="U5131" s="226"/>
    </row>
    <row r="5132" spans="16:21" x14ac:dyDescent="0.35">
      <c r="P5132" s="226"/>
      <c r="Q5132" s="226"/>
      <c r="R5132" s="226"/>
      <c r="S5132" s="226"/>
      <c r="T5132" s="226"/>
      <c r="U5132" s="226"/>
    </row>
    <row r="5133" spans="16:21" x14ac:dyDescent="0.35">
      <c r="P5133" s="226"/>
      <c r="Q5133" s="226"/>
      <c r="R5133" s="226"/>
      <c r="S5133" s="226"/>
      <c r="T5133" s="226"/>
      <c r="U5133" s="226"/>
    </row>
    <row r="5134" spans="16:21" x14ac:dyDescent="0.35">
      <c r="P5134" s="226"/>
      <c r="Q5134" s="226"/>
      <c r="R5134" s="226"/>
      <c r="S5134" s="226"/>
      <c r="T5134" s="226"/>
      <c r="U5134" s="226"/>
    </row>
    <row r="5135" spans="16:21" x14ac:dyDescent="0.35">
      <c r="P5135" s="226"/>
      <c r="Q5135" s="226"/>
      <c r="R5135" s="226"/>
      <c r="S5135" s="226"/>
      <c r="T5135" s="226"/>
      <c r="U5135" s="226"/>
    </row>
    <row r="5136" spans="16:21" x14ac:dyDescent="0.35">
      <c r="P5136" s="226"/>
      <c r="Q5136" s="226"/>
      <c r="R5136" s="226"/>
      <c r="S5136" s="226"/>
      <c r="T5136" s="226"/>
      <c r="U5136" s="226"/>
    </row>
    <row r="5137" spans="16:21" x14ac:dyDescent="0.35">
      <c r="P5137" s="226"/>
      <c r="Q5137" s="226"/>
      <c r="R5137" s="226"/>
      <c r="S5137" s="226"/>
      <c r="T5137" s="226"/>
      <c r="U5137" s="226"/>
    </row>
    <row r="5138" spans="16:21" x14ac:dyDescent="0.35">
      <c r="P5138" s="226"/>
      <c r="Q5138" s="226"/>
      <c r="R5138" s="226"/>
      <c r="S5138" s="226"/>
      <c r="T5138" s="226"/>
      <c r="U5138" s="226"/>
    </row>
    <row r="5139" spans="16:21" x14ac:dyDescent="0.35">
      <c r="P5139" s="226"/>
      <c r="Q5139" s="226"/>
      <c r="R5139" s="226"/>
      <c r="S5139" s="226"/>
      <c r="T5139" s="226"/>
      <c r="U5139" s="226"/>
    </row>
    <row r="5140" spans="16:21" x14ac:dyDescent="0.35">
      <c r="P5140" s="226"/>
      <c r="Q5140" s="226"/>
      <c r="R5140" s="226"/>
      <c r="S5140" s="226"/>
      <c r="T5140" s="226"/>
      <c r="U5140" s="226"/>
    </row>
    <row r="5141" spans="16:21" x14ac:dyDescent="0.35">
      <c r="P5141" s="226"/>
      <c r="Q5141" s="226"/>
      <c r="R5141" s="226"/>
      <c r="S5141" s="226"/>
      <c r="T5141" s="226"/>
      <c r="U5141" s="226"/>
    </row>
    <row r="5142" spans="16:21" x14ac:dyDescent="0.35">
      <c r="P5142" s="226"/>
      <c r="Q5142" s="226"/>
      <c r="R5142" s="226"/>
      <c r="S5142" s="226"/>
      <c r="T5142" s="226"/>
      <c r="U5142" s="226"/>
    </row>
    <row r="5143" spans="16:21" x14ac:dyDescent="0.35">
      <c r="P5143" s="226"/>
      <c r="Q5143" s="226"/>
      <c r="R5143" s="226"/>
      <c r="S5143" s="226"/>
      <c r="T5143" s="226"/>
      <c r="U5143" s="226"/>
    </row>
    <row r="5144" spans="16:21" x14ac:dyDescent="0.35">
      <c r="P5144" s="226"/>
      <c r="Q5144" s="226"/>
      <c r="R5144" s="226"/>
      <c r="S5144" s="226"/>
      <c r="T5144" s="226"/>
      <c r="U5144" s="226"/>
    </row>
    <row r="5145" spans="16:21" x14ac:dyDescent="0.35">
      <c r="P5145" s="226"/>
      <c r="Q5145" s="226"/>
      <c r="R5145" s="226"/>
      <c r="S5145" s="226"/>
      <c r="T5145" s="226"/>
      <c r="U5145" s="226"/>
    </row>
    <row r="5146" spans="16:21" x14ac:dyDescent="0.35">
      <c r="P5146" s="226"/>
      <c r="Q5146" s="226"/>
      <c r="R5146" s="226"/>
      <c r="S5146" s="226"/>
      <c r="T5146" s="226"/>
      <c r="U5146" s="226"/>
    </row>
    <row r="5147" spans="16:21" x14ac:dyDescent="0.35">
      <c r="P5147" s="226"/>
      <c r="Q5147" s="226"/>
      <c r="R5147" s="226"/>
      <c r="S5147" s="226"/>
      <c r="T5147" s="226"/>
      <c r="U5147" s="226"/>
    </row>
    <row r="5148" spans="16:21" x14ac:dyDescent="0.35">
      <c r="P5148" s="226"/>
      <c r="Q5148" s="226"/>
      <c r="R5148" s="226"/>
      <c r="S5148" s="226"/>
      <c r="T5148" s="226"/>
      <c r="U5148" s="226"/>
    </row>
    <row r="5149" spans="16:21" x14ac:dyDescent="0.35">
      <c r="P5149" s="226"/>
      <c r="Q5149" s="226"/>
      <c r="R5149" s="226"/>
      <c r="S5149" s="226"/>
      <c r="T5149" s="226"/>
      <c r="U5149" s="226"/>
    </row>
    <row r="5150" spans="16:21" x14ac:dyDescent="0.35">
      <c r="P5150" s="226"/>
      <c r="Q5150" s="226"/>
      <c r="R5150" s="226"/>
      <c r="S5150" s="226"/>
      <c r="T5150" s="226"/>
      <c r="U5150" s="226"/>
    </row>
    <row r="5151" spans="16:21" x14ac:dyDescent="0.35">
      <c r="P5151" s="226"/>
      <c r="Q5151" s="226"/>
      <c r="R5151" s="226"/>
      <c r="S5151" s="226"/>
      <c r="T5151" s="226"/>
      <c r="U5151" s="226"/>
    </row>
    <row r="5152" spans="16:21" x14ac:dyDescent="0.35">
      <c r="P5152" s="226"/>
      <c r="Q5152" s="226"/>
      <c r="R5152" s="226"/>
      <c r="S5152" s="226"/>
      <c r="T5152" s="226"/>
      <c r="U5152" s="226"/>
    </row>
    <row r="5153" spans="16:21" x14ac:dyDescent="0.35">
      <c r="P5153" s="226"/>
      <c r="Q5153" s="226"/>
      <c r="R5153" s="226"/>
      <c r="S5153" s="226"/>
      <c r="T5153" s="226"/>
      <c r="U5153" s="226"/>
    </row>
    <row r="5154" spans="16:21" x14ac:dyDescent="0.35">
      <c r="P5154" s="226"/>
      <c r="Q5154" s="226"/>
      <c r="R5154" s="226"/>
      <c r="S5154" s="226"/>
      <c r="T5154" s="226"/>
      <c r="U5154" s="226"/>
    </row>
    <row r="5155" spans="16:21" x14ac:dyDescent="0.35">
      <c r="P5155" s="226"/>
      <c r="Q5155" s="226"/>
      <c r="R5155" s="226"/>
      <c r="S5155" s="226"/>
      <c r="T5155" s="226"/>
      <c r="U5155" s="226"/>
    </row>
    <row r="5156" spans="16:21" x14ac:dyDescent="0.35">
      <c r="P5156" s="226"/>
      <c r="Q5156" s="226"/>
      <c r="R5156" s="226"/>
      <c r="S5156" s="226"/>
      <c r="T5156" s="226"/>
      <c r="U5156" s="226"/>
    </row>
    <row r="5157" spans="16:21" x14ac:dyDescent="0.35">
      <c r="P5157" s="226"/>
      <c r="Q5157" s="226"/>
      <c r="R5157" s="226"/>
      <c r="S5157" s="226"/>
      <c r="T5157" s="226"/>
      <c r="U5157" s="226"/>
    </row>
    <row r="5158" spans="16:21" x14ac:dyDescent="0.35">
      <c r="P5158" s="226"/>
      <c r="Q5158" s="226"/>
      <c r="R5158" s="226"/>
      <c r="S5158" s="226"/>
      <c r="T5158" s="226"/>
      <c r="U5158" s="226"/>
    </row>
    <row r="5159" spans="16:21" x14ac:dyDescent="0.35">
      <c r="P5159" s="226"/>
      <c r="Q5159" s="226"/>
      <c r="R5159" s="226"/>
      <c r="S5159" s="226"/>
      <c r="T5159" s="226"/>
      <c r="U5159" s="226"/>
    </row>
    <row r="5160" spans="16:21" x14ac:dyDescent="0.35">
      <c r="P5160" s="226"/>
      <c r="Q5160" s="226"/>
      <c r="R5160" s="226"/>
      <c r="S5160" s="226"/>
      <c r="T5160" s="226"/>
      <c r="U5160" s="226"/>
    </row>
    <row r="5161" spans="16:21" x14ac:dyDescent="0.35">
      <c r="P5161" s="226"/>
      <c r="Q5161" s="226"/>
      <c r="R5161" s="226"/>
      <c r="S5161" s="226"/>
      <c r="T5161" s="226"/>
      <c r="U5161" s="226"/>
    </row>
    <row r="5162" spans="16:21" x14ac:dyDescent="0.35">
      <c r="P5162" s="226"/>
      <c r="Q5162" s="226"/>
      <c r="R5162" s="226"/>
      <c r="S5162" s="226"/>
      <c r="T5162" s="226"/>
      <c r="U5162" s="226"/>
    </row>
    <row r="5163" spans="16:21" x14ac:dyDescent="0.35">
      <c r="P5163" s="226"/>
      <c r="Q5163" s="226"/>
      <c r="R5163" s="226"/>
      <c r="S5163" s="226"/>
      <c r="T5163" s="226"/>
      <c r="U5163" s="226"/>
    </row>
    <row r="5164" spans="16:21" x14ac:dyDescent="0.35">
      <c r="P5164" s="226"/>
      <c r="Q5164" s="226"/>
      <c r="R5164" s="226"/>
      <c r="S5164" s="226"/>
      <c r="T5164" s="226"/>
      <c r="U5164" s="226"/>
    </row>
    <row r="5165" spans="16:21" x14ac:dyDescent="0.35">
      <c r="P5165" s="226"/>
      <c r="Q5165" s="226"/>
      <c r="R5165" s="226"/>
      <c r="S5165" s="226"/>
      <c r="T5165" s="226"/>
      <c r="U5165" s="226"/>
    </row>
    <row r="5166" spans="16:21" x14ac:dyDescent="0.35">
      <c r="P5166" s="226"/>
      <c r="Q5166" s="226"/>
      <c r="R5166" s="226"/>
      <c r="S5166" s="226"/>
      <c r="T5166" s="226"/>
      <c r="U5166" s="226"/>
    </row>
    <row r="5167" spans="16:21" x14ac:dyDescent="0.35">
      <c r="P5167" s="226"/>
      <c r="Q5167" s="226"/>
      <c r="R5167" s="226"/>
      <c r="S5167" s="226"/>
      <c r="T5167" s="226"/>
      <c r="U5167" s="226"/>
    </row>
    <row r="5168" spans="16:21" x14ac:dyDescent="0.35">
      <c r="P5168" s="226"/>
      <c r="Q5168" s="226"/>
      <c r="R5168" s="226"/>
      <c r="S5168" s="226"/>
      <c r="T5168" s="226"/>
      <c r="U5168" s="226"/>
    </row>
    <row r="5169" spans="16:21" x14ac:dyDescent="0.35">
      <c r="P5169" s="226"/>
      <c r="Q5169" s="226"/>
      <c r="R5169" s="226"/>
      <c r="S5169" s="226"/>
      <c r="T5169" s="226"/>
      <c r="U5169" s="226"/>
    </row>
    <row r="5170" spans="16:21" x14ac:dyDescent="0.35">
      <c r="P5170" s="226"/>
      <c r="Q5170" s="226"/>
      <c r="R5170" s="226"/>
      <c r="S5170" s="226"/>
      <c r="T5170" s="226"/>
      <c r="U5170" s="226"/>
    </row>
    <row r="5171" spans="16:21" x14ac:dyDescent="0.35">
      <c r="P5171" s="226"/>
      <c r="Q5171" s="226"/>
      <c r="R5171" s="226"/>
      <c r="S5171" s="226"/>
      <c r="T5171" s="226"/>
      <c r="U5171" s="226"/>
    </row>
    <row r="5172" spans="16:21" x14ac:dyDescent="0.35">
      <c r="P5172" s="226"/>
      <c r="Q5172" s="226"/>
      <c r="R5172" s="226"/>
      <c r="S5172" s="226"/>
      <c r="T5172" s="226"/>
      <c r="U5172" s="226"/>
    </row>
    <row r="5173" spans="16:21" x14ac:dyDescent="0.35">
      <c r="P5173" s="226"/>
      <c r="Q5173" s="226"/>
      <c r="R5173" s="226"/>
      <c r="S5173" s="226"/>
      <c r="T5173" s="226"/>
      <c r="U5173" s="226"/>
    </row>
    <row r="5174" spans="16:21" x14ac:dyDescent="0.35">
      <c r="P5174" s="226"/>
      <c r="Q5174" s="226"/>
      <c r="R5174" s="226"/>
      <c r="S5174" s="226"/>
      <c r="T5174" s="226"/>
      <c r="U5174" s="226"/>
    </row>
    <row r="5175" spans="16:21" x14ac:dyDescent="0.35">
      <c r="P5175" s="226"/>
      <c r="Q5175" s="226"/>
      <c r="R5175" s="226"/>
      <c r="S5175" s="226"/>
      <c r="T5175" s="226"/>
      <c r="U5175" s="226"/>
    </row>
    <row r="5176" spans="16:21" x14ac:dyDescent="0.35">
      <c r="P5176" s="226"/>
      <c r="Q5176" s="226"/>
      <c r="R5176" s="226"/>
      <c r="S5176" s="226"/>
      <c r="T5176" s="226"/>
      <c r="U5176" s="226"/>
    </row>
    <row r="5177" spans="16:21" x14ac:dyDescent="0.35">
      <c r="P5177" s="226"/>
      <c r="Q5177" s="226"/>
      <c r="R5177" s="226"/>
      <c r="S5177" s="226"/>
      <c r="T5177" s="226"/>
      <c r="U5177" s="226"/>
    </row>
    <row r="5178" spans="16:21" x14ac:dyDescent="0.35">
      <c r="P5178" s="226"/>
      <c r="Q5178" s="226"/>
      <c r="R5178" s="226"/>
      <c r="S5178" s="226"/>
      <c r="T5178" s="226"/>
      <c r="U5178" s="226"/>
    </row>
    <row r="5179" spans="16:21" x14ac:dyDescent="0.35">
      <c r="P5179" s="226"/>
      <c r="Q5179" s="226"/>
      <c r="R5179" s="226"/>
      <c r="S5179" s="226"/>
      <c r="T5179" s="226"/>
      <c r="U5179" s="226"/>
    </row>
    <row r="5180" spans="16:21" x14ac:dyDescent="0.35">
      <c r="P5180" s="226"/>
      <c r="Q5180" s="226"/>
      <c r="R5180" s="226"/>
      <c r="S5180" s="226"/>
      <c r="T5180" s="226"/>
      <c r="U5180" s="226"/>
    </row>
    <row r="5181" spans="16:21" x14ac:dyDescent="0.35">
      <c r="P5181" s="226"/>
      <c r="Q5181" s="226"/>
      <c r="R5181" s="226"/>
      <c r="S5181" s="226"/>
      <c r="T5181" s="226"/>
      <c r="U5181" s="226"/>
    </row>
    <row r="5182" spans="16:21" x14ac:dyDescent="0.35">
      <c r="P5182" s="226"/>
      <c r="Q5182" s="226"/>
      <c r="R5182" s="226"/>
      <c r="S5182" s="226"/>
      <c r="T5182" s="226"/>
      <c r="U5182" s="226"/>
    </row>
    <row r="5183" spans="16:21" x14ac:dyDescent="0.35">
      <c r="P5183" s="226"/>
      <c r="Q5183" s="226"/>
      <c r="R5183" s="226"/>
      <c r="S5183" s="226"/>
      <c r="T5183" s="226"/>
      <c r="U5183" s="226"/>
    </row>
    <row r="5184" spans="16:21" x14ac:dyDescent="0.35">
      <c r="P5184" s="226"/>
      <c r="Q5184" s="226"/>
      <c r="R5184" s="226"/>
      <c r="S5184" s="226"/>
      <c r="T5184" s="226"/>
      <c r="U5184" s="226"/>
    </row>
    <row r="5185" spans="16:21" x14ac:dyDescent="0.35">
      <c r="P5185" s="226"/>
      <c r="Q5185" s="226"/>
      <c r="R5185" s="226"/>
      <c r="S5185" s="226"/>
      <c r="T5185" s="226"/>
      <c r="U5185" s="226"/>
    </row>
    <row r="5186" spans="16:21" x14ac:dyDescent="0.35">
      <c r="P5186" s="226"/>
      <c r="Q5186" s="226"/>
      <c r="R5186" s="226"/>
      <c r="S5186" s="226"/>
      <c r="T5186" s="226"/>
      <c r="U5186" s="226"/>
    </row>
    <row r="5187" spans="16:21" x14ac:dyDescent="0.35">
      <c r="P5187" s="226"/>
      <c r="Q5187" s="226"/>
      <c r="R5187" s="226"/>
      <c r="S5187" s="226"/>
      <c r="T5187" s="226"/>
      <c r="U5187" s="226"/>
    </row>
    <row r="5188" spans="16:21" x14ac:dyDescent="0.35">
      <c r="P5188" s="226"/>
      <c r="Q5188" s="226"/>
      <c r="R5188" s="226"/>
      <c r="S5188" s="226"/>
      <c r="T5188" s="226"/>
      <c r="U5188" s="226"/>
    </row>
    <row r="5189" spans="16:21" x14ac:dyDescent="0.35">
      <c r="P5189" s="226"/>
      <c r="Q5189" s="226"/>
      <c r="R5189" s="226"/>
      <c r="S5189" s="226"/>
      <c r="T5189" s="226"/>
      <c r="U5189" s="226"/>
    </row>
    <row r="5190" spans="16:21" x14ac:dyDescent="0.35">
      <c r="P5190" s="226"/>
      <c r="Q5190" s="226"/>
      <c r="R5190" s="226"/>
      <c r="S5190" s="226"/>
      <c r="T5190" s="226"/>
      <c r="U5190" s="226"/>
    </row>
    <row r="5191" spans="16:21" x14ac:dyDescent="0.35">
      <c r="P5191" s="226"/>
      <c r="Q5191" s="226"/>
      <c r="R5191" s="226"/>
      <c r="S5191" s="226"/>
      <c r="T5191" s="226"/>
      <c r="U5191" s="226"/>
    </row>
    <row r="5192" spans="16:21" x14ac:dyDescent="0.35">
      <c r="P5192" s="226"/>
      <c r="Q5192" s="226"/>
      <c r="R5192" s="226"/>
      <c r="S5192" s="226"/>
      <c r="T5192" s="226"/>
      <c r="U5192" s="226"/>
    </row>
    <row r="5193" spans="16:21" x14ac:dyDescent="0.35">
      <c r="P5193" s="226"/>
      <c r="Q5193" s="226"/>
      <c r="R5193" s="226"/>
      <c r="S5193" s="226"/>
      <c r="T5193" s="226"/>
      <c r="U5193" s="226"/>
    </row>
    <row r="5194" spans="16:21" x14ac:dyDescent="0.35">
      <c r="P5194" s="226"/>
      <c r="Q5194" s="226"/>
      <c r="R5194" s="226"/>
      <c r="S5194" s="226"/>
      <c r="T5194" s="226"/>
      <c r="U5194" s="226"/>
    </row>
    <row r="5195" spans="16:21" x14ac:dyDescent="0.35">
      <c r="P5195" s="226"/>
      <c r="Q5195" s="226"/>
      <c r="R5195" s="226"/>
      <c r="S5195" s="226"/>
      <c r="T5195" s="226"/>
      <c r="U5195" s="226"/>
    </row>
    <row r="5196" spans="16:21" x14ac:dyDescent="0.35">
      <c r="P5196" s="226"/>
      <c r="Q5196" s="226"/>
      <c r="R5196" s="226"/>
      <c r="S5196" s="226"/>
      <c r="T5196" s="226"/>
      <c r="U5196" s="226"/>
    </row>
    <row r="5197" spans="16:21" x14ac:dyDescent="0.35">
      <c r="P5197" s="226"/>
      <c r="Q5197" s="226"/>
      <c r="R5197" s="226"/>
      <c r="S5197" s="226"/>
      <c r="T5197" s="226"/>
      <c r="U5197" s="226"/>
    </row>
    <row r="5198" spans="16:21" x14ac:dyDescent="0.35">
      <c r="P5198" s="226"/>
      <c r="Q5198" s="226"/>
      <c r="R5198" s="226"/>
      <c r="S5198" s="226"/>
      <c r="T5198" s="226"/>
      <c r="U5198" s="226"/>
    </row>
    <row r="5199" spans="16:21" x14ac:dyDescent="0.35">
      <c r="P5199" s="226"/>
      <c r="Q5199" s="226"/>
      <c r="R5199" s="226"/>
      <c r="S5199" s="226"/>
      <c r="T5199" s="226"/>
      <c r="U5199" s="226"/>
    </row>
    <row r="5200" spans="16:21" x14ac:dyDescent="0.35">
      <c r="P5200" s="226"/>
      <c r="Q5200" s="226"/>
      <c r="R5200" s="226"/>
      <c r="S5200" s="226"/>
      <c r="T5200" s="226"/>
      <c r="U5200" s="226"/>
    </row>
    <row r="5201" spans="16:21" x14ac:dyDescent="0.35">
      <c r="P5201" s="226"/>
      <c r="Q5201" s="226"/>
      <c r="R5201" s="226"/>
      <c r="S5201" s="226"/>
      <c r="T5201" s="226"/>
      <c r="U5201" s="226"/>
    </row>
    <row r="5202" spans="16:21" x14ac:dyDescent="0.35">
      <c r="P5202" s="226"/>
      <c r="Q5202" s="226"/>
      <c r="R5202" s="226"/>
      <c r="S5202" s="226"/>
      <c r="T5202" s="226"/>
      <c r="U5202" s="226"/>
    </row>
    <row r="5203" spans="16:21" x14ac:dyDescent="0.35">
      <c r="P5203" s="226"/>
      <c r="Q5203" s="226"/>
      <c r="R5203" s="226"/>
      <c r="S5203" s="226"/>
      <c r="T5203" s="226"/>
      <c r="U5203" s="226"/>
    </row>
    <row r="5204" spans="16:21" x14ac:dyDescent="0.35">
      <c r="P5204" s="226"/>
      <c r="Q5204" s="226"/>
      <c r="R5204" s="226"/>
      <c r="S5204" s="226"/>
      <c r="T5204" s="226"/>
      <c r="U5204" s="226"/>
    </row>
    <row r="5205" spans="16:21" x14ac:dyDescent="0.35">
      <c r="P5205" s="226"/>
      <c r="Q5205" s="226"/>
      <c r="R5205" s="226"/>
      <c r="S5205" s="226"/>
      <c r="T5205" s="226"/>
      <c r="U5205" s="226"/>
    </row>
    <row r="5206" spans="16:21" x14ac:dyDescent="0.35">
      <c r="P5206" s="226"/>
      <c r="Q5206" s="226"/>
      <c r="R5206" s="226"/>
      <c r="S5206" s="226"/>
      <c r="T5206" s="226"/>
      <c r="U5206" s="226"/>
    </row>
    <row r="5207" spans="16:21" x14ac:dyDescent="0.35">
      <c r="P5207" s="226"/>
      <c r="Q5207" s="226"/>
      <c r="R5207" s="226"/>
      <c r="S5207" s="226"/>
      <c r="T5207" s="226"/>
      <c r="U5207" s="226"/>
    </row>
    <row r="5208" spans="16:21" x14ac:dyDescent="0.35">
      <c r="P5208" s="226"/>
      <c r="Q5208" s="226"/>
      <c r="R5208" s="226"/>
      <c r="S5208" s="226"/>
      <c r="T5208" s="226"/>
      <c r="U5208" s="226"/>
    </row>
    <row r="5209" spans="16:21" x14ac:dyDescent="0.35">
      <c r="P5209" s="226"/>
      <c r="Q5209" s="226"/>
      <c r="R5209" s="226"/>
      <c r="S5209" s="226"/>
      <c r="T5209" s="226"/>
      <c r="U5209" s="226"/>
    </row>
    <row r="5210" spans="16:21" x14ac:dyDescent="0.35">
      <c r="P5210" s="226"/>
      <c r="Q5210" s="226"/>
      <c r="R5210" s="226"/>
      <c r="S5210" s="226"/>
      <c r="T5210" s="226"/>
      <c r="U5210" s="226"/>
    </row>
    <row r="5211" spans="16:21" x14ac:dyDescent="0.35">
      <c r="P5211" s="226"/>
      <c r="Q5211" s="226"/>
      <c r="R5211" s="226"/>
      <c r="S5211" s="226"/>
      <c r="T5211" s="226"/>
      <c r="U5211" s="226"/>
    </row>
    <row r="5212" spans="16:21" x14ac:dyDescent="0.35">
      <c r="P5212" s="226"/>
      <c r="Q5212" s="226"/>
      <c r="R5212" s="226"/>
      <c r="S5212" s="226"/>
      <c r="T5212" s="226"/>
      <c r="U5212" s="226"/>
    </row>
    <row r="5213" spans="16:21" x14ac:dyDescent="0.35">
      <c r="P5213" s="226"/>
      <c r="Q5213" s="226"/>
      <c r="R5213" s="226"/>
      <c r="S5213" s="226"/>
      <c r="T5213" s="226"/>
      <c r="U5213" s="226"/>
    </row>
    <row r="5214" spans="16:21" x14ac:dyDescent="0.35">
      <c r="P5214" s="226"/>
      <c r="Q5214" s="226"/>
      <c r="R5214" s="226"/>
      <c r="S5214" s="226"/>
      <c r="T5214" s="226"/>
      <c r="U5214" s="226"/>
    </row>
    <row r="5215" spans="16:21" x14ac:dyDescent="0.35">
      <c r="P5215" s="226"/>
      <c r="Q5215" s="226"/>
      <c r="R5215" s="226"/>
      <c r="S5215" s="226"/>
      <c r="T5215" s="226"/>
      <c r="U5215" s="226"/>
    </row>
    <row r="5216" spans="16:21" x14ac:dyDescent="0.35">
      <c r="P5216" s="226"/>
      <c r="Q5216" s="226"/>
      <c r="R5216" s="226"/>
      <c r="S5216" s="226"/>
      <c r="T5216" s="226"/>
      <c r="U5216" s="226"/>
    </row>
    <row r="5217" spans="16:21" x14ac:dyDescent="0.35">
      <c r="P5217" s="226"/>
      <c r="Q5217" s="226"/>
      <c r="R5217" s="226"/>
      <c r="S5217" s="226"/>
      <c r="T5217" s="226"/>
      <c r="U5217" s="226"/>
    </row>
    <row r="5218" spans="16:21" x14ac:dyDescent="0.35">
      <c r="P5218" s="226"/>
      <c r="Q5218" s="226"/>
      <c r="R5218" s="226"/>
      <c r="S5218" s="226"/>
      <c r="T5218" s="226"/>
      <c r="U5218" s="226"/>
    </row>
    <row r="5219" spans="16:21" x14ac:dyDescent="0.35">
      <c r="P5219" s="226"/>
      <c r="Q5219" s="226"/>
      <c r="R5219" s="226"/>
      <c r="S5219" s="226"/>
      <c r="T5219" s="226"/>
      <c r="U5219" s="226"/>
    </row>
    <row r="5220" spans="16:21" x14ac:dyDescent="0.35">
      <c r="P5220" s="226"/>
      <c r="Q5220" s="226"/>
      <c r="R5220" s="226"/>
      <c r="S5220" s="226"/>
      <c r="T5220" s="226"/>
      <c r="U5220" s="226"/>
    </row>
    <row r="5221" spans="16:21" x14ac:dyDescent="0.35">
      <c r="P5221" s="226"/>
      <c r="Q5221" s="226"/>
      <c r="R5221" s="226"/>
      <c r="S5221" s="226"/>
      <c r="T5221" s="226"/>
      <c r="U5221" s="226"/>
    </row>
    <row r="5222" spans="16:21" x14ac:dyDescent="0.35">
      <c r="P5222" s="226"/>
      <c r="Q5222" s="226"/>
      <c r="R5222" s="226"/>
      <c r="S5222" s="226"/>
      <c r="T5222" s="226"/>
      <c r="U5222" s="226"/>
    </row>
    <row r="5223" spans="16:21" x14ac:dyDescent="0.35">
      <c r="P5223" s="226"/>
      <c r="Q5223" s="226"/>
      <c r="R5223" s="226"/>
      <c r="S5223" s="226"/>
      <c r="T5223" s="226"/>
      <c r="U5223" s="226"/>
    </row>
    <row r="5224" spans="16:21" x14ac:dyDescent="0.35">
      <c r="P5224" s="226"/>
      <c r="Q5224" s="226"/>
      <c r="R5224" s="226"/>
      <c r="S5224" s="226"/>
      <c r="T5224" s="226"/>
      <c r="U5224" s="226"/>
    </row>
    <row r="5225" spans="16:21" x14ac:dyDescent="0.35">
      <c r="P5225" s="226"/>
      <c r="Q5225" s="226"/>
      <c r="R5225" s="226"/>
      <c r="S5225" s="226"/>
      <c r="T5225" s="226"/>
      <c r="U5225" s="226"/>
    </row>
    <row r="5226" spans="16:21" x14ac:dyDescent="0.35">
      <c r="P5226" s="226"/>
      <c r="Q5226" s="226"/>
      <c r="R5226" s="226"/>
      <c r="S5226" s="226"/>
      <c r="T5226" s="226"/>
      <c r="U5226" s="226"/>
    </row>
    <row r="5227" spans="16:21" x14ac:dyDescent="0.35">
      <c r="P5227" s="226"/>
      <c r="Q5227" s="226"/>
      <c r="R5227" s="226"/>
      <c r="S5227" s="226"/>
      <c r="T5227" s="226"/>
      <c r="U5227" s="226"/>
    </row>
    <row r="5228" spans="16:21" x14ac:dyDescent="0.35">
      <c r="P5228" s="226"/>
      <c r="Q5228" s="226"/>
      <c r="R5228" s="226"/>
      <c r="S5228" s="226"/>
      <c r="T5228" s="226"/>
      <c r="U5228" s="226"/>
    </row>
    <row r="5229" spans="16:21" x14ac:dyDescent="0.35">
      <c r="P5229" s="226"/>
      <c r="Q5229" s="226"/>
      <c r="R5229" s="226"/>
      <c r="S5229" s="226"/>
      <c r="T5229" s="226"/>
      <c r="U5229" s="226"/>
    </row>
    <row r="5230" spans="16:21" x14ac:dyDescent="0.35">
      <c r="P5230" s="226"/>
      <c r="Q5230" s="226"/>
      <c r="R5230" s="226"/>
      <c r="S5230" s="226"/>
      <c r="T5230" s="226"/>
      <c r="U5230" s="226"/>
    </row>
    <row r="5231" spans="16:21" x14ac:dyDescent="0.35">
      <c r="P5231" s="226"/>
      <c r="Q5231" s="226"/>
      <c r="R5231" s="226"/>
      <c r="S5231" s="226"/>
      <c r="T5231" s="226"/>
      <c r="U5231" s="226"/>
    </row>
    <row r="5232" spans="16:21" x14ac:dyDescent="0.35">
      <c r="P5232" s="226"/>
      <c r="Q5232" s="226"/>
      <c r="R5232" s="226"/>
      <c r="S5232" s="226"/>
      <c r="T5232" s="226"/>
      <c r="U5232" s="226"/>
    </row>
    <row r="5233" spans="16:21" x14ac:dyDescent="0.35">
      <c r="P5233" s="226"/>
      <c r="Q5233" s="226"/>
      <c r="R5233" s="226"/>
      <c r="S5233" s="226"/>
      <c r="T5233" s="226"/>
      <c r="U5233" s="226"/>
    </row>
    <row r="5234" spans="16:21" x14ac:dyDescent="0.35">
      <c r="P5234" s="226"/>
      <c r="Q5234" s="226"/>
      <c r="R5234" s="226"/>
      <c r="S5234" s="226"/>
      <c r="T5234" s="226"/>
      <c r="U5234" s="226"/>
    </row>
    <row r="5235" spans="16:21" x14ac:dyDescent="0.35">
      <c r="P5235" s="226"/>
      <c r="Q5235" s="226"/>
      <c r="R5235" s="226"/>
      <c r="S5235" s="226"/>
      <c r="T5235" s="226"/>
      <c r="U5235" s="226"/>
    </row>
    <row r="5236" spans="16:21" x14ac:dyDescent="0.35">
      <c r="P5236" s="226"/>
      <c r="Q5236" s="226"/>
      <c r="R5236" s="226"/>
      <c r="S5236" s="226"/>
      <c r="T5236" s="226"/>
      <c r="U5236" s="226"/>
    </row>
    <row r="5237" spans="16:21" x14ac:dyDescent="0.35">
      <c r="P5237" s="226"/>
      <c r="Q5237" s="226"/>
      <c r="R5237" s="226"/>
      <c r="S5237" s="226"/>
      <c r="T5237" s="226"/>
      <c r="U5237" s="226"/>
    </row>
    <row r="5238" spans="16:21" x14ac:dyDescent="0.35">
      <c r="P5238" s="226"/>
      <c r="Q5238" s="226"/>
      <c r="R5238" s="226"/>
      <c r="S5238" s="226"/>
      <c r="T5238" s="226"/>
      <c r="U5238" s="226"/>
    </row>
    <row r="5239" spans="16:21" x14ac:dyDescent="0.35">
      <c r="P5239" s="226"/>
      <c r="Q5239" s="226"/>
      <c r="R5239" s="226"/>
      <c r="S5239" s="226"/>
      <c r="T5239" s="226"/>
      <c r="U5239" s="226"/>
    </row>
    <row r="5240" spans="16:21" x14ac:dyDescent="0.35">
      <c r="P5240" s="226"/>
      <c r="Q5240" s="226"/>
      <c r="R5240" s="226"/>
      <c r="S5240" s="226"/>
      <c r="T5240" s="226"/>
      <c r="U5240" s="226"/>
    </row>
    <row r="5241" spans="16:21" x14ac:dyDescent="0.35">
      <c r="P5241" s="226"/>
      <c r="Q5241" s="226"/>
      <c r="R5241" s="226"/>
      <c r="S5241" s="226"/>
      <c r="T5241" s="226"/>
      <c r="U5241" s="226"/>
    </row>
    <row r="5242" spans="16:21" x14ac:dyDescent="0.35">
      <c r="P5242" s="226"/>
      <c r="Q5242" s="226"/>
      <c r="R5242" s="226"/>
      <c r="S5242" s="226"/>
      <c r="T5242" s="226"/>
      <c r="U5242" s="226"/>
    </row>
    <row r="5243" spans="16:21" x14ac:dyDescent="0.35">
      <c r="P5243" s="226"/>
      <c r="Q5243" s="226"/>
      <c r="R5243" s="226"/>
      <c r="S5243" s="226"/>
      <c r="T5243" s="226"/>
      <c r="U5243" s="226"/>
    </row>
    <row r="5244" spans="16:21" x14ac:dyDescent="0.35">
      <c r="P5244" s="226"/>
      <c r="Q5244" s="226"/>
      <c r="R5244" s="226"/>
      <c r="S5244" s="226"/>
      <c r="T5244" s="226"/>
      <c r="U5244" s="226"/>
    </row>
    <row r="5245" spans="16:21" x14ac:dyDescent="0.35">
      <c r="P5245" s="226"/>
      <c r="Q5245" s="226"/>
      <c r="R5245" s="226"/>
      <c r="S5245" s="226"/>
      <c r="T5245" s="226"/>
      <c r="U5245" s="226"/>
    </row>
    <row r="5246" spans="16:21" x14ac:dyDescent="0.35">
      <c r="P5246" s="226"/>
      <c r="Q5246" s="226"/>
      <c r="R5246" s="226"/>
      <c r="S5246" s="226"/>
      <c r="T5246" s="226"/>
      <c r="U5246" s="226"/>
    </row>
    <row r="5247" spans="16:21" x14ac:dyDescent="0.35">
      <c r="P5247" s="226"/>
      <c r="Q5247" s="226"/>
      <c r="R5247" s="226"/>
      <c r="S5247" s="226"/>
      <c r="T5247" s="226"/>
      <c r="U5247" s="226"/>
    </row>
    <row r="5248" spans="16:21" x14ac:dyDescent="0.35">
      <c r="P5248" s="226"/>
      <c r="Q5248" s="226"/>
      <c r="R5248" s="226"/>
      <c r="S5248" s="226"/>
      <c r="T5248" s="226"/>
      <c r="U5248" s="226"/>
    </row>
    <row r="5249" spans="16:21" x14ac:dyDescent="0.35">
      <c r="P5249" s="226"/>
      <c r="Q5249" s="226"/>
      <c r="R5249" s="226"/>
      <c r="S5249" s="226"/>
      <c r="T5249" s="226"/>
      <c r="U5249" s="226"/>
    </row>
    <row r="5250" spans="16:21" x14ac:dyDescent="0.35">
      <c r="P5250" s="226"/>
      <c r="Q5250" s="226"/>
      <c r="R5250" s="226"/>
      <c r="S5250" s="226"/>
      <c r="T5250" s="226"/>
      <c r="U5250" s="226"/>
    </row>
    <row r="5251" spans="16:21" x14ac:dyDescent="0.35">
      <c r="P5251" s="226"/>
      <c r="Q5251" s="226"/>
      <c r="R5251" s="226"/>
      <c r="S5251" s="226"/>
      <c r="T5251" s="226"/>
      <c r="U5251" s="226"/>
    </row>
    <row r="5252" spans="16:21" x14ac:dyDescent="0.35">
      <c r="P5252" s="226"/>
      <c r="Q5252" s="226"/>
      <c r="R5252" s="226"/>
      <c r="S5252" s="226"/>
      <c r="T5252" s="226"/>
      <c r="U5252" s="226"/>
    </row>
    <row r="5253" spans="16:21" x14ac:dyDescent="0.35">
      <c r="P5253" s="226"/>
      <c r="Q5253" s="226"/>
      <c r="R5253" s="226"/>
      <c r="S5253" s="226"/>
      <c r="T5253" s="226"/>
      <c r="U5253" s="226"/>
    </row>
    <row r="5254" spans="16:21" x14ac:dyDescent="0.35">
      <c r="P5254" s="226"/>
      <c r="Q5254" s="226"/>
      <c r="R5254" s="226"/>
      <c r="S5254" s="226"/>
      <c r="T5254" s="226"/>
      <c r="U5254" s="226"/>
    </row>
    <row r="5255" spans="16:21" x14ac:dyDescent="0.35">
      <c r="P5255" s="226"/>
      <c r="Q5255" s="226"/>
      <c r="R5255" s="226"/>
      <c r="S5255" s="226"/>
      <c r="T5255" s="226"/>
      <c r="U5255" s="226"/>
    </row>
    <row r="5256" spans="16:21" x14ac:dyDescent="0.35">
      <c r="P5256" s="226"/>
      <c r="Q5256" s="226"/>
      <c r="R5256" s="226"/>
      <c r="S5256" s="226"/>
      <c r="T5256" s="226"/>
      <c r="U5256" s="226"/>
    </row>
    <row r="5257" spans="16:21" x14ac:dyDescent="0.35">
      <c r="P5257" s="226"/>
      <c r="Q5257" s="226"/>
      <c r="R5257" s="226"/>
      <c r="S5257" s="226"/>
      <c r="T5257" s="226"/>
      <c r="U5257" s="226"/>
    </row>
    <row r="5258" spans="16:21" x14ac:dyDescent="0.35">
      <c r="P5258" s="226"/>
      <c r="Q5258" s="226"/>
      <c r="R5258" s="226"/>
      <c r="S5258" s="226"/>
      <c r="T5258" s="226"/>
      <c r="U5258" s="226"/>
    </row>
    <row r="5259" spans="16:21" x14ac:dyDescent="0.35">
      <c r="P5259" s="226"/>
      <c r="Q5259" s="226"/>
      <c r="R5259" s="226"/>
      <c r="S5259" s="226"/>
      <c r="T5259" s="226"/>
      <c r="U5259" s="226"/>
    </row>
    <row r="5260" spans="16:21" x14ac:dyDescent="0.35">
      <c r="P5260" s="226"/>
      <c r="Q5260" s="226"/>
      <c r="R5260" s="226"/>
      <c r="S5260" s="226"/>
      <c r="T5260" s="226"/>
      <c r="U5260" s="226"/>
    </row>
    <row r="5261" spans="16:21" x14ac:dyDescent="0.35">
      <c r="P5261" s="226"/>
      <c r="Q5261" s="226"/>
      <c r="R5261" s="226"/>
      <c r="S5261" s="226"/>
      <c r="T5261" s="226"/>
      <c r="U5261" s="226"/>
    </row>
    <row r="5262" spans="16:21" x14ac:dyDescent="0.35">
      <c r="P5262" s="226"/>
      <c r="Q5262" s="226"/>
      <c r="R5262" s="226"/>
      <c r="S5262" s="226"/>
      <c r="T5262" s="226"/>
      <c r="U5262" s="226"/>
    </row>
    <row r="5263" spans="16:21" x14ac:dyDescent="0.35">
      <c r="P5263" s="226"/>
      <c r="Q5263" s="226"/>
      <c r="R5263" s="226"/>
      <c r="S5263" s="226"/>
      <c r="T5263" s="226"/>
      <c r="U5263" s="226"/>
    </row>
    <row r="5264" spans="16:21" x14ac:dyDescent="0.35">
      <c r="P5264" s="226"/>
      <c r="Q5264" s="226"/>
      <c r="R5264" s="226"/>
      <c r="S5264" s="226"/>
      <c r="T5264" s="226"/>
      <c r="U5264" s="226"/>
    </row>
    <row r="5265" spans="16:21" x14ac:dyDescent="0.35">
      <c r="P5265" s="226"/>
      <c r="Q5265" s="226"/>
      <c r="R5265" s="226"/>
      <c r="S5265" s="226"/>
      <c r="T5265" s="226"/>
      <c r="U5265" s="226"/>
    </row>
    <row r="5266" spans="16:21" x14ac:dyDescent="0.35">
      <c r="P5266" s="226"/>
      <c r="Q5266" s="226"/>
      <c r="R5266" s="226"/>
      <c r="S5266" s="226"/>
      <c r="T5266" s="226"/>
      <c r="U5266" s="226"/>
    </row>
    <row r="5267" spans="16:21" x14ac:dyDescent="0.35">
      <c r="P5267" s="226"/>
      <c r="Q5267" s="226"/>
      <c r="R5267" s="226"/>
      <c r="S5267" s="226"/>
      <c r="T5267" s="226"/>
      <c r="U5267" s="226"/>
    </row>
    <row r="5268" spans="16:21" x14ac:dyDescent="0.35">
      <c r="P5268" s="226"/>
      <c r="Q5268" s="226"/>
      <c r="R5268" s="226"/>
      <c r="S5268" s="226"/>
      <c r="T5268" s="226"/>
      <c r="U5268" s="226"/>
    </row>
    <row r="5269" spans="16:21" x14ac:dyDescent="0.35">
      <c r="P5269" s="226"/>
      <c r="Q5269" s="226"/>
      <c r="R5269" s="226"/>
      <c r="S5269" s="226"/>
      <c r="T5269" s="226"/>
      <c r="U5269" s="226"/>
    </row>
    <row r="5270" spans="16:21" x14ac:dyDescent="0.35">
      <c r="P5270" s="226"/>
      <c r="Q5270" s="226"/>
      <c r="R5270" s="226"/>
      <c r="S5270" s="226"/>
      <c r="T5270" s="226"/>
      <c r="U5270" s="226"/>
    </row>
    <row r="5271" spans="16:21" x14ac:dyDescent="0.35">
      <c r="P5271" s="226"/>
      <c r="Q5271" s="226"/>
      <c r="R5271" s="226"/>
      <c r="S5271" s="226"/>
      <c r="T5271" s="226"/>
      <c r="U5271" s="226"/>
    </row>
    <row r="5272" spans="16:21" x14ac:dyDescent="0.35">
      <c r="P5272" s="226"/>
      <c r="Q5272" s="226"/>
      <c r="R5272" s="226"/>
      <c r="S5272" s="226"/>
      <c r="T5272" s="226"/>
      <c r="U5272" s="226"/>
    </row>
    <row r="5273" spans="16:21" x14ac:dyDescent="0.35">
      <c r="P5273" s="226"/>
      <c r="Q5273" s="226"/>
      <c r="R5273" s="226"/>
      <c r="S5273" s="226"/>
      <c r="T5273" s="226"/>
      <c r="U5273" s="226"/>
    </row>
    <row r="5274" spans="16:21" x14ac:dyDescent="0.35">
      <c r="P5274" s="226"/>
      <c r="Q5274" s="226"/>
      <c r="R5274" s="226"/>
      <c r="S5274" s="226"/>
      <c r="T5274" s="226"/>
      <c r="U5274" s="226"/>
    </row>
    <row r="5275" spans="16:21" x14ac:dyDescent="0.35">
      <c r="P5275" s="226"/>
      <c r="Q5275" s="226"/>
      <c r="R5275" s="226"/>
      <c r="S5275" s="226"/>
      <c r="T5275" s="226"/>
      <c r="U5275" s="226"/>
    </row>
    <row r="5276" spans="16:21" x14ac:dyDescent="0.35">
      <c r="P5276" s="226"/>
      <c r="Q5276" s="226"/>
      <c r="R5276" s="226"/>
      <c r="S5276" s="226"/>
      <c r="T5276" s="226"/>
      <c r="U5276" s="226"/>
    </row>
    <row r="5277" spans="16:21" x14ac:dyDescent="0.35">
      <c r="P5277" s="226"/>
      <c r="Q5277" s="226"/>
      <c r="R5277" s="226"/>
      <c r="S5277" s="226"/>
      <c r="T5277" s="226"/>
      <c r="U5277" s="226"/>
    </row>
    <row r="5278" spans="16:21" x14ac:dyDescent="0.35">
      <c r="P5278" s="226"/>
      <c r="Q5278" s="226"/>
      <c r="R5278" s="226"/>
      <c r="S5278" s="226"/>
      <c r="T5278" s="226"/>
      <c r="U5278" s="226"/>
    </row>
    <row r="5279" spans="16:21" x14ac:dyDescent="0.35">
      <c r="P5279" s="226"/>
      <c r="Q5279" s="226"/>
      <c r="R5279" s="226"/>
      <c r="S5279" s="226"/>
      <c r="T5279" s="226"/>
      <c r="U5279" s="226"/>
    </row>
    <row r="5280" spans="16:21" x14ac:dyDescent="0.35">
      <c r="P5280" s="226"/>
      <c r="Q5280" s="226"/>
      <c r="R5280" s="226"/>
      <c r="S5280" s="226"/>
      <c r="T5280" s="226"/>
      <c r="U5280" s="226"/>
    </row>
    <row r="5281" spans="16:21" x14ac:dyDescent="0.35">
      <c r="P5281" s="226"/>
      <c r="Q5281" s="226"/>
      <c r="R5281" s="226"/>
      <c r="S5281" s="226"/>
      <c r="T5281" s="226"/>
      <c r="U5281" s="226"/>
    </row>
    <row r="5282" spans="16:21" x14ac:dyDescent="0.35">
      <c r="P5282" s="226"/>
      <c r="Q5282" s="226"/>
      <c r="R5282" s="226"/>
      <c r="S5282" s="226"/>
      <c r="T5282" s="226"/>
      <c r="U5282" s="226"/>
    </row>
    <row r="5283" spans="16:21" x14ac:dyDescent="0.35">
      <c r="P5283" s="226"/>
      <c r="Q5283" s="226"/>
      <c r="R5283" s="226"/>
      <c r="S5283" s="226"/>
      <c r="T5283" s="226"/>
      <c r="U5283" s="226"/>
    </row>
    <row r="5284" spans="16:21" x14ac:dyDescent="0.35">
      <c r="P5284" s="226"/>
      <c r="Q5284" s="226"/>
      <c r="R5284" s="226"/>
      <c r="S5284" s="226"/>
      <c r="T5284" s="226"/>
      <c r="U5284" s="226"/>
    </row>
    <row r="5285" spans="16:21" x14ac:dyDescent="0.35">
      <c r="P5285" s="226"/>
      <c r="Q5285" s="226"/>
      <c r="R5285" s="226"/>
      <c r="S5285" s="226"/>
      <c r="T5285" s="226"/>
      <c r="U5285" s="226"/>
    </row>
    <row r="5286" spans="16:21" x14ac:dyDescent="0.35">
      <c r="P5286" s="226"/>
      <c r="Q5286" s="226"/>
      <c r="R5286" s="226"/>
      <c r="S5286" s="226"/>
      <c r="T5286" s="226"/>
      <c r="U5286" s="226"/>
    </row>
    <row r="5287" spans="16:21" x14ac:dyDescent="0.35">
      <c r="P5287" s="226"/>
      <c r="Q5287" s="226"/>
      <c r="R5287" s="226"/>
      <c r="S5287" s="226"/>
      <c r="T5287" s="226"/>
      <c r="U5287" s="226"/>
    </row>
    <row r="5288" spans="16:21" x14ac:dyDescent="0.35">
      <c r="P5288" s="226"/>
      <c r="Q5288" s="226"/>
      <c r="R5288" s="226"/>
      <c r="S5288" s="226"/>
      <c r="T5288" s="226"/>
      <c r="U5288" s="226"/>
    </row>
    <row r="5289" spans="16:21" x14ac:dyDescent="0.35">
      <c r="P5289" s="226"/>
      <c r="Q5289" s="226"/>
      <c r="R5289" s="226"/>
      <c r="S5289" s="226"/>
      <c r="T5289" s="226"/>
      <c r="U5289" s="226"/>
    </row>
    <row r="5290" spans="16:21" x14ac:dyDescent="0.35">
      <c r="P5290" s="226"/>
      <c r="Q5290" s="226"/>
      <c r="R5290" s="226"/>
      <c r="S5290" s="226"/>
      <c r="T5290" s="226"/>
      <c r="U5290" s="226"/>
    </row>
    <row r="5291" spans="16:21" x14ac:dyDescent="0.35">
      <c r="P5291" s="226"/>
      <c r="Q5291" s="226"/>
      <c r="R5291" s="226"/>
      <c r="S5291" s="226"/>
      <c r="T5291" s="226"/>
      <c r="U5291" s="226"/>
    </row>
    <row r="5292" spans="16:21" x14ac:dyDescent="0.35">
      <c r="P5292" s="226"/>
      <c r="Q5292" s="226"/>
      <c r="R5292" s="226"/>
      <c r="S5292" s="226"/>
      <c r="T5292" s="226"/>
      <c r="U5292" s="226"/>
    </row>
    <row r="5293" spans="16:21" x14ac:dyDescent="0.35">
      <c r="P5293" s="226"/>
      <c r="Q5293" s="226"/>
      <c r="R5293" s="226"/>
      <c r="S5293" s="226"/>
      <c r="T5293" s="226"/>
      <c r="U5293" s="226"/>
    </row>
    <row r="5294" spans="16:21" x14ac:dyDescent="0.35">
      <c r="P5294" s="226"/>
      <c r="Q5294" s="226"/>
      <c r="R5294" s="226"/>
      <c r="S5294" s="226"/>
      <c r="T5294" s="226"/>
      <c r="U5294" s="226"/>
    </row>
    <row r="5295" spans="16:21" x14ac:dyDescent="0.35">
      <c r="P5295" s="226"/>
      <c r="Q5295" s="226"/>
      <c r="R5295" s="226"/>
      <c r="S5295" s="226"/>
      <c r="T5295" s="226"/>
      <c r="U5295" s="226"/>
    </row>
    <row r="5296" spans="16:21" x14ac:dyDescent="0.35">
      <c r="P5296" s="226"/>
      <c r="Q5296" s="226"/>
      <c r="R5296" s="226"/>
      <c r="S5296" s="226"/>
      <c r="T5296" s="226"/>
      <c r="U5296" s="226"/>
    </row>
    <row r="5297" spans="16:21" x14ac:dyDescent="0.35">
      <c r="P5297" s="226"/>
      <c r="Q5297" s="226"/>
      <c r="R5297" s="226"/>
      <c r="S5297" s="226"/>
      <c r="T5297" s="226"/>
      <c r="U5297" s="226"/>
    </row>
    <row r="5298" spans="16:21" x14ac:dyDescent="0.35">
      <c r="P5298" s="226"/>
      <c r="Q5298" s="226"/>
      <c r="R5298" s="226"/>
      <c r="S5298" s="226"/>
      <c r="T5298" s="226"/>
      <c r="U5298" s="226"/>
    </row>
    <row r="5299" spans="16:21" x14ac:dyDescent="0.35">
      <c r="P5299" s="226"/>
      <c r="Q5299" s="226"/>
      <c r="R5299" s="226"/>
      <c r="S5299" s="226"/>
      <c r="T5299" s="226"/>
      <c r="U5299" s="226"/>
    </row>
    <row r="5300" spans="16:21" x14ac:dyDescent="0.35">
      <c r="P5300" s="226"/>
      <c r="Q5300" s="226"/>
      <c r="R5300" s="226"/>
      <c r="S5300" s="226"/>
      <c r="T5300" s="226"/>
      <c r="U5300" s="226"/>
    </row>
    <row r="5301" spans="16:21" x14ac:dyDescent="0.35">
      <c r="P5301" s="226"/>
      <c r="Q5301" s="226"/>
      <c r="R5301" s="226"/>
      <c r="S5301" s="226"/>
      <c r="T5301" s="226"/>
      <c r="U5301" s="226"/>
    </row>
    <row r="5302" spans="16:21" x14ac:dyDescent="0.35">
      <c r="P5302" s="226"/>
      <c r="Q5302" s="226"/>
      <c r="R5302" s="226"/>
      <c r="S5302" s="226"/>
      <c r="T5302" s="226"/>
      <c r="U5302" s="226"/>
    </row>
    <row r="5303" spans="16:21" x14ac:dyDescent="0.35">
      <c r="P5303" s="226"/>
      <c r="Q5303" s="226"/>
      <c r="R5303" s="226"/>
      <c r="S5303" s="226"/>
      <c r="T5303" s="226"/>
      <c r="U5303" s="226"/>
    </row>
    <row r="5304" spans="16:21" x14ac:dyDescent="0.35">
      <c r="P5304" s="226"/>
      <c r="Q5304" s="226"/>
      <c r="R5304" s="226"/>
      <c r="S5304" s="226"/>
      <c r="T5304" s="226"/>
      <c r="U5304" s="226"/>
    </row>
    <row r="5305" spans="16:21" x14ac:dyDescent="0.35">
      <c r="P5305" s="226"/>
      <c r="Q5305" s="226"/>
      <c r="R5305" s="226"/>
      <c r="S5305" s="226"/>
      <c r="T5305" s="226"/>
      <c r="U5305" s="226"/>
    </row>
    <row r="5306" spans="16:21" x14ac:dyDescent="0.35">
      <c r="P5306" s="226"/>
      <c r="Q5306" s="226"/>
      <c r="R5306" s="226"/>
      <c r="S5306" s="226"/>
      <c r="T5306" s="226"/>
      <c r="U5306" s="226"/>
    </row>
    <row r="5307" spans="16:21" x14ac:dyDescent="0.35">
      <c r="P5307" s="226"/>
      <c r="Q5307" s="226"/>
      <c r="R5307" s="226"/>
      <c r="S5307" s="226"/>
      <c r="T5307" s="226"/>
      <c r="U5307" s="226"/>
    </row>
    <row r="5308" spans="16:21" x14ac:dyDescent="0.35">
      <c r="P5308" s="226"/>
      <c r="Q5308" s="226"/>
      <c r="R5308" s="226"/>
      <c r="S5308" s="226"/>
      <c r="T5308" s="226"/>
      <c r="U5308" s="226"/>
    </row>
    <row r="5309" spans="16:21" x14ac:dyDescent="0.35">
      <c r="P5309" s="226"/>
      <c r="Q5309" s="226"/>
      <c r="R5309" s="226"/>
      <c r="S5309" s="226"/>
      <c r="T5309" s="226"/>
      <c r="U5309" s="226"/>
    </row>
    <row r="5310" spans="16:21" x14ac:dyDescent="0.35">
      <c r="P5310" s="226"/>
      <c r="Q5310" s="226"/>
      <c r="R5310" s="226"/>
      <c r="S5310" s="226"/>
      <c r="T5310" s="226"/>
      <c r="U5310" s="226"/>
    </row>
    <row r="5311" spans="16:21" x14ac:dyDescent="0.35">
      <c r="P5311" s="226"/>
      <c r="Q5311" s="226"/>
      <c r="R5311" s="226"/>
      <c r="S5311" s="226"/>
      <c r="T5311" s="226"/>
      <c r="U5311" s="226"/>
    </row>
    <row r="5312" spans="16:21" x14ac:dyDescent="0.35">
      <c r="P5312" s="226"/>
      <c r="Q5312" s="226"/>
      <c r="R5312" s="226"/>
      <c r="S5312" s="226"/>
      <c r="T5312" s="226"/>
      <c r="U5312" s="226"/>
    </row>
    <row r="5313" spans="16:21" x14ac:dyDescent="0.35">
      <c r="P5313" s="226"/>
      <c r="Q5313" s="226"/>
      <c r="R5313" s="226"/>
      <c r="S5313" s="226"/>
      <c r="T5313" s="226"/>
      <c r="U5313" s="226"/>
    </row>
    <row r="5314" spans="16:21" x14ac:dyDescent="0.35">
      <c r="P5314" s="226"/>
      <c r="Q5314" s="226"/>
      <c r="R5314" s="226"/>
      <c r="S5314" s="226"/>
      <c r="T5314" s="226"/>
      <c r="U5314" s="226"/>
    </row>
    <row r="5315" spans="16:21" x14ac:dyDescent="0.35">
      <c r="P5315" s="226"/>
      <c r="Q5315" s="226"/>
      <c r="R5315" s="226"/>
      <c r="S5315" s="226"/>
      <c r="T5315" s="226"/>
      <c r="U5315" s="226"/>
    </row>
    <row r="5316" spans="16:21" x14ac:dyDescent="0.35">
      <c r="P5316" s="226"/>
      <c r="Q5316" s="226"/>
      <c r="R5316" s="226"/>
      <c r="S5316" s="226"/>
      <c r="T5316" s="226"/>
      <c r="U5316" s="226"/>
    </row>
    <row r="5317" spans="16:21" x14ac:dyDescent="0.35">
      <c r="P5317" s="226"/>
      <c r="Q5317" s="226"/>
      <c r="R5317" s="226"/>
      <c r="S5317" s="226"/>
      <c r="T5317" s="226"/>
      <c r="U5317" s="226"/>
    </row>
    <row r="5318" spans="16:21" x14ac:dyDescent="0.35">
      <c r="P5318" s="226"/>
      <c r="Q5318" s="226"/>
      <c r="R5318" s="226"/>
      <c r="S5318" s="226"/>
      <c r="T5318" s="226"/>
      <c r="U5318" s="226"/>
    </row>
    <row r="5319" spans="16:21" x14ac:dyDescent="0.35">
      <c r="P5319" s="226"/>
      <c r="Q5319" s="226"/>
      <c r="R5319" s="226"/>
      <c r="S5319" s="226"/>
      <c r="T5319" s="226"/>
      <c r="U5319" s="226"/>
    </row>
    <row r="5320" spans="16:21" x14ac:dyDescent="0.35">
      <c r="P5320" s="226"/>
      <c r="Q5320" s="226"/>
      <c r="R5320" s="226"/>
      <c r="S5320" s="226"/>
      <c r="T5320" s="226"/>
      <c r="U5320" s="226"/>
    </row>
    <row r="5321" spans="16:21" x14ac:dyDescent="0.35">
      <c r="P5321" s="226"/>
      <c r="Q5321" s="226"/>
      <c r="R5321" s="226"/>
      <c r="S5321" s="226"/>
      <c r="T5321" s="226"/>
      <c r="U5321" s="226"/>
    </row>
    <row r="5322" spans="16:21" x14ac:dyDescent="0.35">
      <c r="P5322" s="226"/>
      <c r="Q5322" s="226"/>
      <c r="R5322" s="226"/>
      <c r="S5322" s="226"/>
      <c r="T5322" s="226"/>
      <c r="U5322" s="226"/>
    </row>
    <row r="5323" spans="16:21" x14ac:dyDescent="0.35">
      <c r="P5323" s="226"/>
      <c r="Q5323" s="226"/>
      <c r="R5323" s="226"/>
      <c r="S5323" s="226"/>
      <c r="T5323" s="226"/>
      <c r="U5323" s="226"/>
    </row>
    <row r="5324" spans="16:21" x14ac:dyDescent="0.35">
      <c r="P5324" s="226"/>
      <c r="Q5324" s="226"/>
      <c r="R5324" s="226"/>
      <c r="S5324" s="226"/>
      <c r="T5324" s="226"/>
      <c r="U5324" s="226"/>
    </row>
    <row r="5325" spans="16:21" x14ac:dyDescent="0.35">
      <c r="P5325" s="226"/>
      <c r="Q5325" s="226"/>
      <c r="R5325" s="226"/>
      <c r="S5325" s="226"/>
      <c r="T5325" s="226"/>
      <c r="U5325" s="226"/>
    </row>
    <row r="5326" spans="16:21" x14ac:dyDescent="0.35">
      <c r="P5326" s="226"/>
      <c r="Q5326" s="226"/>
      <c r="R5326" s="226"/>
      <c r="S5326" s="226"/>
      <c r="T5326" s="226"/>
      <c r="U5326" s="226"/>
    </row>
    <row r="5327" spans="16:21" x14ac:dyDescent="0.35">
      <c r="P5327" s="226"/>
      <c r="Q5327" s="226"/>
      <c r="R5327" s="226"/>
      <c r="S5327" s="226"/>
      <c r="T5327" s="226"/>
      <c r="U5327" s="226"/>
    </row>
    <row r="5328" spans="16:21" x14ac:dyDescent="0.35">
      <c r="P5328" s="226"/>
      <c r="Q5328" s="226"/>
      <c r="R5328" s="226"/>
      <c r="S5328" s="226"/>
      <c r="T5328" s="226"/>
      <c r="U5328" s="226"/>
    </row>
    <row r="5329" spans="16:21" x14ac:dyDescent="0.35">
      <c r="P5329" s="226"/>
      <c r="Q5329" s="226"/>
      <c r="R5329" s="226"/>
      <c r="S5329" s="226"/>
      <c r="T5329" s="226"/>
      <c r="U5329" s="226"/>
    </row>
    <row r="5330" spans="16:21" x14ac:dyDescent="0.35">
      <c r="P5330" s="226"/>
      <c r="Q5330" s="226"/>
      <c r="R5330" s="226"/>
      <c r="S5330" s="226"/>
      <c r="T5330" s="226"/>
      <c r="U5330" s="226"/>
    </row>
    <row r="5331" spans="16:21" x14ac:dyDescent="0.35">
      <c r="P5331" s="226"/>
      <c r="Q5331" s="226"/>
      <c r="R5331" s="226"/>
      <c r="S5331" s="226"/>
      <c r="T5331" s="226"/>
      <c r="U5331" s="226"/>
    </row>
    <row r="5332" spans="16:21" x14ac:dyDescent="0.35">
      <c r="P5332" s="226"/>
      <c r="Q5332" s="226"/>
      <c r="R5332" s="226"/>
      <c r="S5332" s="226"/>
      <c r="T5332" s="226"/>
      <c r="U5332" s="226"/>
    </row>
    <row r="5333" spans="16:21" x14ac:dyDescent="0.35">
      <c r="P5333" s="226"/>
      <c r="Q5333" s="226"/>
      <c r="R5333" s="226"/>
      <c r="S5333" s="226"/>
      <c r="T5333" s="226"/>
      <c r="U5333" s="226"/>
    </row>
    <row r="5334" spans="16:21" x14ac:dyDescent="0.35">
      <c r="P5334" s="226"/>
      <c r="Q5334" s="226"/>
      <c r="R5334" s="226"/>
      <c r="S5334" s="226"/>
      <c r="T5334" s="226"/>
      <c r="U5334" s="226"/>
    </row>
    <row r="5335" spans="16:21" x14ac:dyDescent="0.35">
      <c r="P5335" s="226"/>
      <c r="Q5335" s="226"/>
      <c r="R5335" s="226"/>
      <c r="S5335" s="226"/>
      <c r="T5335" s="226"/>
      <c r="U5335" s="226"/>
    </row>
    <row r="5336" spans="16:21" x14ac:dyDescent="0.35">
      <c r="P5336" s="226"/>
      <c r="Q5336" s="226"/>
      <c r="R5336" s="226"/>
      <c r="S5336" s="226"/>
      <c r="T5336" s="226"/>
      <c r="U5336" s="226"/>
    </row>
    <row r="5337" spans="16:21" x14ac:dyDescent="0.35">
      <c r="P5337" s="226"/>
      <c r="Q5337" s="226"/>
      <c r="R5337" s="226"/>
      <c r="S5337" s="226"/>
      <c r="T5337" s="226"/>
      <c r="U5337" s="226"/>
    </row>
    <row r="5338" spans="16:21" x14ac:dyDescent="0.35">
      <c r="P5338" s="226"/>
      <c r="Q5338" s="226"/>
      <c r="R5338" s="226"/>
      <c r="S5338" s="226"/>
      <c r="T5338" s="226"/>
      <c r="U5338" s="226"/>
    </row>
    <row r="5339" spans="16:21" x14ac:dyDescent="0.35">
      <c r="P5339" s="226"/>
      <c r="Q5339" s="226"/>
      <c r="R5339" s="226"/>
      <c r="S5339" s="226"/>
      <c r="T5339" s="226"/>
      <c r="U5339" s="226"/>
    </row>
    <row r="5340" spans="16:21" x14ac:dyDescent="0.35">
      <c r="P5340" s="226"/>
      <c r="Q5340" s="226"/>
      <c r="R5340" s="226"/>
      <c r="S5340" s="226"/>
      <c r="T5340" s="226"/>
      <c r="U5340" s="226"/>
    </row>
    <row r="5341" spans="16:21" x14ac:dyDescent="0.35">
      <c r="P5341" s="226"/>
      <c r="Q5341" s="226"/>
      <c r="R5341" s="226"/>
      <c r="S5341" s="226"/>
      <c r="T5341" s="226"/>
      <c r="U5341" s="226"/>
    </row>
    <row r="5342" spans="16:21" x14ac:dyDescent="0.35">
      <c r="P5342" s="226"/>
      <c r="Q5342" s="226"/>
      <c r="R5342" s="226"/>
      <c r="S5342" s="226"/>
      <c r="T5342" s="226"/>
      <c r="U5342" s="226"/>
    </row>
    <row r="5343" spans="16:21" x14ac:dyDescent="0.35">
      <c r="P5343" s="226"/>
      <c r="Q5343" s="226"/>
      <c r="R5343" s="226"/>
      <c r="S5343" s="226"/>
      <c r="T5343" s="226"/>
      <c r="U5343" s="226"/>
    </row>
    <row r="5344" spans="16:21" x14ac:dyDescent="0.35">
      <c r="P5344" s="226"/>
      <c r="Q5344" s="226"/>
      <c r="R5344" s="226"/>
      <c r="S5344" s="226"/>
      <c r="T5344" s="226"/>
      <c r="U5344" s="226"/>
    </row>
    <row r="5345" spans="16:21" x14ac:dyDescent="0.35">
      <c r="P5345" s="226"/>
      <c r="Q5345" s="226"/>
      <c r="R5345" s="226"/>
      <c r="S5345" s="226"/>
      <c r="T5345" s="226"/>
      <c r="U5345" s="226"/>
    </row>
    <row r="5346" spans="16:21" x14ac:dyDescent="0.35">
      <c r="P5346" s="226"/>
      <c r="Q5346" s="226"/>
      <c r="R5346" s="226"/>
      <c r="S5346" s="226"/>
      <c r="T5346" s="226"/>
      <c r="U5346" s="226"/>
    </row>
    <row r="5347" spans="16:21" x14ac:dyDescent="0.35">
      <c r="P5347" s="226"/>
      <c r="Q5347" s="226"/>
      <c r="R5347" s="226"/>
      <c r="S5347" s="226"/>
      <c r="T5347" s="226"/>
      <c r="U5347" s="226"/>
    </row>
    <row r="5348" spans="16:21" x14ac:dyDescent="0.35">
      <c r="P5348" s="226"/>
      <c r="Q5348" s="226"/>
      <c r="R5348" s="226"/>
      <c r="S5348" s="226"/>
      <c r="T5348" s="226"/>
      <c r="U5348" s="226"/>
    </row>
    <row r="5349" spans="16:21" x14ac:dyDescent="0.35">
      <c r="P5349" s="226"/>
      <c r="Q5349" s="226"/>
      <c r="R5349" s="226"/>
      <c r="S5349" s="226"/>
      <c r="T5349" s="226"/>
      <c r="U5349" s="226"/>
    </row>
    <row r="5350" spans="16:21" x14ac:dyDescent="0.35">
      <c r="P5350" s="226"/>
      <c r="Q5350" s="226"/>
      <c r="R5350" s="226"/>
      <c r="S5350" s="226"/>
      <c r="T5350" s="226"/>
      <c r="U5350" s="226"/>
    </row>
    <row r="5351" spans="16:21" x14ac:dyDescent="0.35">
      <c r="P5351" s="226"/>
      <c r="Q5351" s="226"/>
      <c r="R5351" s="226"/>
      <c r="S5351" s="226"/>
      <c r="T5351" s="226"/>
      <c r="U5351" s="226"/>
    </row>
    <row r="5352" spans="16:21" x14ac:dyDescent="0.35">
      <c r="P5352" s="226"/>
      <c r="Q5352" s="226"/>
      <c r="R5352" s="226"/>
      <c r="S5352" s="226"/>
      <c r="T5352" s="226"/>
      <c r="U5352" s="226"/>
    </row>
    <row r="5353" spans="16:21" x14ac:dyDescent="0.35">
      <c r="P5353" s="226"/>
      <c r="Q5353" s="226"/>
      <c r="R5353" s="226"/>
      <c r="S5353" s="226"/>
      <c r="T5353" s="226"/>
      <c r="U5353" s="226"/>
    </row>
    <row r="5354" spans="16:21" x14ac:dyDescent="0.35">
      <c r="P5354" s="226"/>
      <c r="Q5354" s="226"/>
      <c r="R5354" s="226"/>
      <c r="S5354" s="226"/>
      <c r="T5354" s="226"/>
      <c r="U5354" s="226"/>
    </row>
    <row r="5355" spans="16:21" x14ac:dyDescent="0.35">
      <c r="P5355" s="226"/>
      <c r="Q5355" s="226"/>
      <c r="R5355" s="226"/>
      <c r="S5355" s="226"/>
      <c r="T5355" s="226"/>
      <c r="U5355" s="226"/>
    </row>
    <row r="5356" spans="16:21" x14ac:dyDescent="0.35">
      <c r="P5356" s="226"/>
      <c r="Q5356" s="226"/>
      <c r="R5356" s="226"/>
      <c r="S5356" s="226"/>
      <c r="T5356" s="226"/>
      <c r="U5356" s="226"/>
    </row>
    <row r="5357" spans="16:21" x14ac:dyDescent="0.35">
      <c r="P5357" s="226"/>
      <c r="Q5357" s="226"/>
      <c r="R5357" s="226"/>
      <c r="S5357" s="226"/>
      <c r="T5357" s="226"/>
      <c r="U5357" s="226"/>
    </row>
    <row r="5358" spans="16:21" x14ac:dyDescent="0.35">
      <c r="P5358" s="226"/>
      <c r="Q5358" s="226"/>
      <c r="R5358" s="226"/>
      <c r="S5358" s="226"/>
      <c r="T5358" s="226"/>
      <c r="U5358" s="226"/>
    </row>
    <row r="5359" spans="16:21" x14ac:dyDescent="0.35">
      <c r="P5359" s="226"/>
      <c r="Q5359" s="226"/>
      <c r="R5359" s="226"/>
      <c r="S5359" s="226"/>
      <c r="T5359" s="226"/>
      <c r="U5359" s="226"/>
    </row>
    <row r="5360" spans="16:21" x14ac:dyDescent="0.35">
      <c r="P5360" s="226"/>
      <c r="Q5360" s="226"/>
      <c r="R5360" s="226"/>
      <c r="S5360" s="226"/>
      <c r="T5360" s="226"/>
      <c r="U5360" s="226"/>
    </row>
    <row r="5361" spans="16:21" x14ac:dyDescent="0.35">
      <c r="P5361" s="226"/>
      <c r="Q5361" s="226"/>
      <c r="R5361" s="226"/>
      <c r="S5361" s="226"/>
      <c r="T5361" s="226"/>
      <c r="U5361" s="226"/>
    </row>
    <row r="5362" spans="16:21" x14ac:dyDescent="0.35">
      <c r="P5362" s="226"/>
      <c r="Q5362" s="226"/>
      <c r="R5362" s="226"/>
      <c r="S5362" s="226"/>
      <c r="T5362" s="226"/>
      <c r="U5362" s="226"/>
    </row>
    <row r="5363" spans="16:21" x14ac:dyDescent="0.35">
      <c r="P5363" s="226"/>
      <c r="Q5363" s="226"/>
      <c r="R5363" s="226"/>
      <c r="S5363" s="226"/>
      <c r="T5363" s="226"/>
      <c r="U5363" s="226"/>
    </row>
    <row r="5364" spans="16:21" x14ac:dyDescent="0.35">
      <c r="P5364" s="226"/>
      <c r="Q5364" s="226"/>
      <c r="R5364" s="226"/>
      <c r="S5364" s="226"/>
      <c r="T5364" s="226"/>
      <c r="U5364" s="226"/>
    </row>
    <row r="5365" spans="16:21" x14ac:dyDescent="0.35">
      <c r="P5365" s="226"/>
      <c r="Q5365" s="226"/>
      <c r="R5365" s="226"/>
      <c r="S5365" s="226"/>
      <c r="T5365" s="226"/>
      <c r="U5365" s="226"/>
    </row>
    <row r="5366" spans="16:21" x14ac:dyDescent="0.35">
      <c r="P5366" s="226"/>
      <c r="Q5366" s="226"/>
      <c r="R5366" s="226"/>
      <c r="S5366" s="226"/>
      <c r="T5366" s="226"/>
      <c r="U5366" s="226"/>
    </row>
    <row r="5367" spans="16:21" x14ac:dyDescent="0.35">
      <c r="P5367" s="226"/>
      <c r="Q5367" s="226"/>
      <c r="R5367" s="226"/>
      <c r="S5367" s="226"/>
      <c r="T5367" s="226"/>
      <c r="U5367" s="226"/>
    </row>
    <row r="5368" spans="16:21" x14ac:dyDescent="0.35">
      <c r="P5368" s="226"/>
      <c r="Q5368" s="226"/>
      <c r="R5368" s="226"/>
      <c r="S5368" s="226"/>
      <c r="T5368" s="226"/>
      <c r="U5368" s="226"/>
    </row>
    <row r="5369" spans="16:21" x14ac:dyDescent="0.35">
      <c r="P5369" s="226"/>
      <c r="Q5369" s="226"/>
      <c r="R5369" s="226"/>
      <c r="S5369" s="226"/>
      <c r="T5369" s="226"/>
      <c r="U5369" s="226"/>
    </row>
    <row r="5370" spans="16:21" x14ac:dyDescent="0.35">
      <c r="P5370" s="226"/>
      <c r="Q5370" s="226"/>
      <c r="R5370" s="226"/>
      <c r="S5370" s="226"/>
      <c r="T5370" s="226"/>
      <c r="U5370" s="226"/>
    </row>
    <row r="5371" spans="16:21" x14ac:dyDescent="0.35">
      <c r="P5371" s="226"/>
      <c r="Q5371" s="226"/>
      <c r="R5371" s="226"/>
      <c r="S5371" s="226"/>
      <c r="T5371" s="226"/>
      <c r="U5371" s="226"/>
    </row>
    <row r="5372" spans="16:21" x14ac:dyDescent="0.35">
      <c r="P5372" s="226"/>
      <c r="Q5372" s="226"/>
      <c r="R5372" s="226"/>
      <c r="S5372" s="226"/>
      <c r="T5372" s="226"/>
      <c r="U5372" s="226"/>
    </row>
    <row r="5373" spans="16:21" x14ac:dyDescent="0.35">
      <c r="P5373" s="226"/>
      <c r="Q5373" s="226"/>
      <c r="R5373" s="226"/>
      <c r="S5373" s="226"/>
      <c r="T5373" s="226"/>
      <c r="U5373" s="226"/>
    </row>
    <row r="5374" spans="16:21" x14ac:dyDescent="0.35">
      <c r="P5374" s="226"/>
      <c r="Q5374" s="226"/>
      <c r="R5374" s="226"/>
      <c r="S5374" s="226"/>
      <c r="T5374" s="226"/>
      <c r="U5374" s="226"/>
    </row>
    <row r="5375" spans="16:21" x14ac:dyDescent="0.35">
      <c r="P5375" s="226"/>
      <c r="Q5375" s="226"/>
      <c r="R5375" s="226"/>
      <c r="S5375" s="226"/>
      <c r="T5375" s="226"/>
      <c r="U5375" s="226"/>
    </row>
    <row r="5376" spans="16:21" x14ac:dyDescent="0.35">
      <c r="P5376" s="226"/>
      <c r="Q5376" s="226"/>
      <c r="R5376" s="226"/>
      <c r="S5376" s="226"/>
      <c r="T5376" s="226"/>
      <c r="U5376" s="226"/>
    </row>
    <row r="5377" spans="16:21" x14ac:dyDescent="0.35">
      <c r="P5377" s="226"/>
      <c r="Q5377" s="226"/>
      <c r="R5377" s="226"/>
      <c r="S5377" s="226"/>
      <c r="T5377" s="226"/>
      <c r="U5377" s="226"/>
    </row>
    <row r="5378" spans="16:21" x14ac:dyDescent="0.35">
      <c r="P5378" s="226"/>
      <c r="Q5378" s="226"/>
      <c r="R5378" s="226"/>
      <c r="S5378" s="226"/>
      <c r="T5378" s="226"/>
      <c r="U5378" s="226"/>
    </row>
    <row r="5379" spans="16:21" x14ac:dyDescent="0.35">
      <c r="P5379" s="226"/>
      <c r="Q5379" s="226"/>
      <c r="R5379" s="226"/>
      <c r="S5379" s="226"/>
      <c r="T5379" s="226"/>
      <c r="U5379" s="226"/>
    </row>
    <row r="5380" spans="16:21" x14ac:dyDescent="0.35">
      <c r="P5380" s="226"/>
      <c r="Q5380" s="226"/>
      <c r="R5380" s="226"/>
      <c r="S5380" s="226"/>
      <c r="T5380" s="226"/>
      <c r="U5380" s="226"/>
    </row>
    <row r="5381" spans="16:21" x14ac:dyDescent="0.35">
      <c r="P5381" s="226"/>
      <c r="Q5381" s="226"/>
      <c r="R5381" s="226"/>
      <c r="S5381" s="226"/>
      <c r="T5381" s="226"/>
      <c r="U5381" s="226"/>
    </row>
    <row r="5382" spans="16:21" x14ac:dyDescent="0.35">
      <c r="P5382" s="226"/>
      <c r="Q5382" s="226"/>
      <c r="R5382" s="226"/>
      <c r="S5382" s="226"/>
      <c r="T5382" s="226"/>
      <c r="U5382" s="226"/>
    </row>
    <row r="5383" spans="16:21" x14ac:dyDescent="0.35">
      <c r="P5383" s="226"/>
      <c r="Q5383" s="226"/>
      <c r="R5383" s="226"/>
      <c r="S5383" s="226"/>
      <c r="T5383" s="226"/>
      <c r="U5383" s="226"/>
    </row>
    <row r="5384" spans="16:21" x14ac:dyDescent="0.35">
      <c r="P5384" s="226"/>
      <c r="Q5384" s="226"/>
      <c r="R5384" s="226"/>
      <c r="S5384" s="226"/>
      <c r="T5384" s="226"/>
      <c r="U5384" s="226"/>
    </row>
    <row r="5385" spans="16:21" x14ac:dyDescent="0.35">
      <c r="P5385" s="226"/>
      <c r="Q5385" s="226"/>
      <c r="R5385" s="226"/>
      <c r="S5385" s="226"/>
      <c r="T5385" s="226"/>
      <c r="U5385" s="226"/>
    </row>
    <row r="5386" spans="16:21" x14ac:dyDescent="0.35">
      <c r="P5386" s="226"/>
      <c r="Q5386" s="226"/>
      <c r="R5386" s="226"/>
      <c r="S5386" s="226"/>
      <c r="T5386" s="226"/>
      <c r="U5386" s="226"/>
    </row>
    <row r="5387" spans="16:21" x14ac:dyDescent="0.35">
      <c r="P5387" s="226"/>
      <c r="Q5387" s="226"/>
      <c r="R5387" s="226"/>
      <c r="S5387" s="226"/>
      <c r="T5387" s="226"/>
      <c r="U5387" s="226"/>
    </row>
    <row r="5388" spans="16:21" x14ac:dyDescent="0.35">
      <c r="P5388" s="226"/>
      <c r="Q5388" s="226"/>
      <c r="R5388" s="226"/>
      <c r="S5388" s="226"/>
      <c r="T5388" s="226"/>
      <c r="U5388" s="226"/>
    </row>
    <row r="5389" spans="16:21" x14ac:dyDescent="0.35">
      <c r="P5389" s="226"/>
      <c r="Q5389" s="226"/>
      <c r="R5389" s="226"/>
      <c r="S5389" s="226"/>
      <c r="T5389" s="226"/>
      <c r="U5389" s="226"/>
    </row>
    <row r="5390" spans="16:21" x14ac:dyDescent="0.35">
      <c r="P5390" s="226"/>
      <c r="Q5390" s="226"/>
      <c r="R5390" s="226"/>
      <c r="S5390" s="226"/>
      <c r="T5390" s="226"/>
      <c r="U5390" s="226"/>
    </row>
    <row r="5391" spans="16:21" x14ac:dyDescent="0.35">
      <c r="P5391" s="226"/>
      <c r="Q5391" s="226"/>
      <c r="R5391" s="226"/>
      <c r="S5391" s="226"/>
      <c r="T5391" s="226"/>
      <c r="U5391" s="226"/>
    </row>
    <row r="5392" spans="16:21" x14ac:dyDescent="0.35">
      <c r="P5392" s="226"/>
      <c r="Q5392" s="226"/>
      <c r="R5392" s="226"/>
      <c r="S5392" s="226"/>
      <c r="T5392" s="226"/>
      <c r="U5392" s="226"/>
    </row>
    <row r="5393" spans="16:21" x14ac:dyDescent="0.35">
      <c r="P5393" s="226"/>
      <c r="Q5393" s="226"/>
      <c r="R5393" s="226"/>
      <c r="S5393" s="226"/>
      <c r="T5393" s="226"/>
      <c r="U5393" s="226"/>
    </row>
    <row r="5394" spans="16:21" x14ac:dyDescent="0.35">
      <c r="P5394" s="226"/>
      <c r="Q5394" s="226"/>
      <c r="R5394" s="226"/>
      <c r="S5394" s="226"/>
      <c r="T5394" s="226"/>
      <c r="U5394" s="226"/>
    </row>
    <row r="5395" spans="16:21" x14ac:dyDescent="0.35">
      <c r="P5395" s="226"/>
      <c r="Q5395" s="226"/>
      <c r="R5395" s="226"/>
      <c r="S5395" s="226"/>
      <c r="T5395" s="226"/>
      <c r="U5395" s="226"/>
    </row>
    <row r="5396" spans="16:21" x14ac:dyDescent="0.35">
      <c r="P5396" s="226"/>
      <c r="Q5396" s="226"/>
      <c r="R5396" s="226"/>
      <c r="S5396" s="226"/>
      <c r="T5396" s="226"/>
      <c r="U5396" s="226"/>
    </row>
    <row r="5397" spans="16:21" x14ac:dyDescent="0.35">
      <c r="P5397" s="226"/>
      <c r="Q5397" s="226"/>
      <c r="R5397" s="226"/>
      <c r="S5397" s="226"/>
      <c r="T5397" s="226"/>
      <c r="U5397" s="226"/>
    </row>
    <row r="5398" spans="16:21" x14ac:dyDescent="0.35">
      <c r="P5398" s="226"/>
      <c r="Q5398" s="226"/>
      <c r="R5398" s="226"/>
      <c r="S5398" s="226"/>
      <c r="T5398" s="226"/>
      <c r="U5398" s="226"/>
    </row>
    <row r="5399" spans="16:21" x14ac:dyDescent="0.35">
      <c r="P5399" s="226"/>
      <c r="Q5399" s="226"/>
      <c r="R5399" s="226"/>
      <c r="S5399" s="226"/>
      <c r="T5399" s="226"/>
      <c r="U5399" s="226"/>
    </row>
    <row r="5400" spans="16:21" x14ac:dyDescent="0.35">
      <c r="P5400" s="226"/>
      <c r="Q5400" s="226"/>
      <c r="R5400" s="226"/>
      <c r="S5400" s="226"/>
      <c r="T5400" s="226"/>
      <c r="U5400" s="226"/>
    </row>
    <row r="5401" spans="16:21" x14ac:dyDescent="0.35">
      <c r="P5401" s="226"/>
      <c r="Q5401" s="226"/>
      <c r="R5401" s="226"/>
      <c r="S5401" s="226"/>
      <c r="T5401" s="226"/>
      <c r="U5401" s="226"/>
    </row>
    <row r="5402" spans="16:21" x14ac:dyDescent="0.35">
      <c r="P5402" s="226"/>
      <c r="Q5402" s="226"/>
      <c r="R5402" s="226"/>
      <c r="S5402" s="226"/>
      <c r="T5402" s="226"/>
      <c r="U5402" s="226"/>
    </row>
    <row r="5403" spans="16:21" x14ac:dyDescent="0.35">
      <c r="P5403" s="226"/>
      <c r="Q5403" s="226"/>
      <c r="R5403" s="226"/>
      <c r="S5403" s="226"/>
      <c r="T5403" s="226"/>
      <c r="U5403" s="226"/>
    </row>
    <row r="5404" spans="16:21" x14ac:dyDescent="0.35">
      <c r="P5404" s="226"/>
      <c r="Q5404" s="226"/>
      <c r="R5404" s="226"/>
      <c r="S5404" s="226"/>
      <c r="T5404" s="226"/>
      <c r="U5404" s="226"/>
    </row>
    <row r="5405" spans="16:21" x14ac:dyDescent="0.35">
      <c r="P5405" s="226"/>
      <c r="Q5405" s="226"/>
      <c r="R5405" s="226"/>
      <c r="S5405" s="226"/>
      <c r="T5405" s="226"/>
      <c r="U5405" s="226"/>
    </row>
    <row r="5406" spans="16:21" x14ac:dyDescent="0.35">
      <c r="P5406" s="226"/>
      <c r="Q5406" s="226"/>
      <c r="R5406" s="226"/>
      <c r="S5406" s="226"/>
      <c r="T5406" s="226"/>
      <c r="U5406" s="226"/>
    </row>
    <row r="5407" spans="16:21" x14ac:dyDescent="0.35">
      <c r="P5407" s="226"/>
      <c r="Q5407" s="226"/>
      <c r="R5407" s="226"/>
      <c r="S5407" s="226"/>
      <c r="T5407" s="226"/>
      <c r="U5407" s="226"/>
    </row>
    <row r="5408" spans="16:21" x14ac:dyDescent="0.35">
      <c r="P5408" s="226"/>
      <c r="Q5408" s="226"/>
      <c r="R5408" s="226"/>
      <c r="S5408" s="226"/>
      <c r="T5408" s="226"/>
      <c r="U5408" s="226"/>
    </row>
    <row r="5409" spans="16:21" x14ac:dyDescent="0.35">
      <c r="P5409" s="226"/>
      <c r="Q5409" s="226"/>
      <c r="R5409" s="226"/>
      <c r="S5409" s="226"/>
      <c r="T5409" s="226"/>
      <c r="U5409" s="226"/>
    </row>
    <row r="5410" spans="16:21" x14ac:dyDescent="0.35">
      <c r="P5410" s="226"/>
      <c r="Q5410" s="226"/>
      <c r="R5410" s="226"/>
      <c r="S5410" s="226"/>
      <c r="T5410" s="226"/>
      <c r="U5410" s="226"/>
    </row>
    <row r="5411" spans="16:21" x14ac:dyDescent="0.35">
      <c r="P5411" s="226"/>
      <c r="Q5411" s="226"/>
      <c r="R5411" s="226"/>
      <c r="S5411" s="226"/>
      <c r="T5411" s="226"/>
      <c r="U5411" s="226"/>
    </row>
    <row r="5412" spans="16:21" x14ac:dyDescent="0.35">
      <c r="P5412" s="226"/>
      <c r="Q5412" s="226"/>
      <c r="R5412" s="226"/>
      <c r="S5412" s="226"/>
      <c r="T5412" s="226"/>
      <c r="U5412" s="226"/>
    </row>
    <row r="5413" spans="16:21" x14ac:dyDescent="0.35">
      <c r="P5413" s="226"/>
      <c r="Q5413" s="226"/>
      <c r="R5413" s="226"/>
      <c r="S5413" s="226"/>
      <c r="T5413" s="226"/>
      <c r="U5413" s="226"/>
    </row>
    <row r="5414" spans="16:21" x14ac:dyDescent="0.35">
      <c r="P5414" s="226"/>
      <c r="Q5414" s="226"/>
      <c r="R5414" s="226"/>
      <c r="S5414" s="226"/>
      <c r="T5414" s="226"/>
      <c r="U5414" s="226"/>
    </row>
    <row r="5415" spans="16:21" x14ac:dyDescent="0.35">
      <c r="P5415" s="226"/>
      <c r="Q5415" s="226"/>
      <c r="R5415" s="226"/>
      <c r="S5415" s="226"/>
      <c r="T5415" s="226"/>
      <c r="U5415" s="226"/>
    </row>
    <row r="5416" spans="16:21" x14ac:dyDescent="0.35">
      <c r="P5416" s="226"/>
      <c r="Q5416" s="226"/>
      <c r="R5416" s="226"/>
      <c r="S5416" s="226"/>
      <c r="T5416" s="226"/>
      <c r="U5416" s="226"/>
    </row>
    <row r="5417" spans="16:21" x14ac:dyDescent="0.35">
      <c r="P5417" s="226"/>
      <c r="Q5417" s="226"/>
      <c r="R5417" s="226"/>
      <c r="S5417" s="226"/>
      <c r="T5417" s="226"/>
      <c r="U5417" s="226"/>
    </row>
    <row r="5418" spans="16:21" x14ac:dyDescent="0.35">
      <c r="P5418" s="226"/>
      <c r="Q5418" s="226"/>
      <c r="R5418" s="226"/>
      <c r="S5418" s="226"/>
      <c r="T5418" s="226"/>
      <c r="U5418" s="226"/>
    </row>
    <row r="5419" spans="16:21" x14ac:dyDescent="0.35">
      <c r="P5419" s="226"/>
      <c r="Q5419" s="226"/>
      <c r="R5419" s="226"/>
      <c r="S5419" s="226"/>
      <c r="T5419" s="226"/>
      <c r="U5419" s="226"/>
    </row>
    <row r="5420" spans="16:21" x14ac:dyDescent="0.35">
      <c r="P5420" s="226"/>
      <c r="Q5420" s="226"/>
      <c r="R5420" s="226"/>
      <c r="S5420" s="226"/>
      <c r="T5420" s="226"/>
      <c r="U5420" s="226"/>
    </row>
    <row r="5421" spans="16:21" x14ac:dyDescent="0.35">
      <c r="P5421" s="226"/>
      <c r="Q5421" s="226"/>
      <c r="R5421" s="226"/>
      <c r="S5421" s="226"/>
      <c r="T5421" s="226"/>
      <c r="U5421" s="226"/>
    </row>
    <row r="5422" spans="16:21" x14ac:dyDescent="0.35">
      <c r="P5422" s="226"/>
      <c r="Q5422" s="226"/>
      <c r="R5422" s="226"/>
      <c r="S5422" s="226"/>
      <c r="T5422" s="226"/>
      <c r="U5422" s="226"/>
    </row>
    <row r="5423" spans="16:21" x14ac:dyDescent="0.35">
      <c r="P5423" s="226"/>
      <c r="Q5423" s="226"/>
      <c r="R5423" s="226"/>
      <c r="S5423" s="226"/>
      <c r="T5423" s="226"/>
      <c r="U5423" s="226"/>
    </row>
    <row r="5424" spans="16:21" x14ac:dyDescent="0.35">
      <c r="P5424" s="226"/>
      <c r="Q5424" s="226"/>
      <c r="R5424" s="226"/>
      <c r="S5424" s="226"/>
      <c r="T5424" s="226"/>
      <c r="U5424" s="226"/>
    </row>
    <row r="5425" spans="16:21" x14ac:dyDescent="0.35">
      <c r="P5425" s="226"/>
      <c r="Q5425" s="226"/>
      <c r="R5425" s="226"/>
      <c r="S5425" s="226"/>
      <c r="T5425" s="226"/>
      <c r="U5425" s="226"/>
    </row>
    <row r="5426" spans="16:21" x14ac:dyDescent="0.35">
      <c r="P5426" s="226"/>
      <c r="Q5426" s="226"/>
      <c r="R5426" s="226"/>
      <c r="S5426" s="226"/>
      <c r="T5426" s="226"/>
      <c r="U5426" s="226"/>
    </row>
    <row r="5427" spans="16:21" x14ac:dyDescent="0.35">
      <c r="P5427" s="226"/>
      <c r="Q5427" s="226"/>
      <c r="R5427" s="226"/>
      <c r="S5427" s="226"/>
      <c r="T5427" s="226"/>
      <c r="U5427" s="226"/>
    </row>
    <row r="5428" spans="16:21" x14ac:dyDescent="0.35">
      <c r="P5428" s="226"/>
      <c r="Q5428" s="226"/>
      <c r="R5428" s="226"/>
      <c r="S5428" s="226"/>
      <c r="T5428" s="226"/>
      <c r="U5428" s="226"/>
    </row>
    <row r="5429" spans="16:21" x14ac:dyDescent="0.35">
      <c r="P5429" s="226"/>
      <c r="Q5429" s="226"/>
      <c r="R5429" s="226"/>
      <c r="S5429" s="226"/>
      <c r="T5429" s="226"/>
      <c r="U5429" s="226"/>
    </row>
    <row r="5430" spans="16:21" x14ac:dyDescent="0.35">
      <c r="P5430" s="226"/>
      <c r="Q5430" s="226"/>
      <c r="R5430" s="226"/>
      <c r="S5430" s="226"/>
      <c r="T5430" s="226"/>
      <c r="U5430" s="226"/>
    </row>
    <row r="5431" spans="16:21" x14ac:dyDescent="0.35">
      <c r="P5431" s="226"/>
      <c r="Q5431" s="226"/>
      <c r="R5431" s="226"/>
      <c r="S5431" s="226"/>
      <c r="T5431" s="226"/>
      <c r="U5431" s="226"/>
    </row>
    <row r="5432" spans="16:21" x14ac:dyDescent="0.35">
      <c r="P5432" s="226"/>
      <c r="Q5432" s="226"/>
      <c r="R5432" s="226"/>
      <c r="S5432" s="226"/>
      <c r="T5432" s="226"/>
      <c r="U5432" s="226"/>
    </row>
    <row r="5433" spans="16:21" x14ac:dyDescent="0.35">
      <c r="P5433" s="226"/>
      <c r="Q5433" s="226"/>
      <c r="R5433" s="226"/>
      <c r="S5433" s="226"/>
      <c r="T5433" s="226"/>
      <c r="U5433" s="226"/>
    </row>
    <row r="5434" spans="16:21" x14ac:dyDescent="0.35">
      <c r="P5434" s="226"/>
      <c r="Q5434" s="226"/>
      <c r="R5434" s="226"/>
      <c r="S5434" s="226"/>
      <c r="T5434" s="226"/>
      <c r="U5434" s="226"/>
    </row>
    <row r="5435" spans="16:21" x14ac:dyDescent="0.35">
      <c r="P5435" s="226"/>
      <c r="Q5435" s="226"/>
      <c r="R5435" s="226"/>
      <c r="S5435" s="226"/>
      <c r="T5435" s="226"/>
      <c r="U5435" s="226"/>
    </row>
    <row r="5436" spans="16:21" x14ac:dyDescent="0.35">
      <c r="P5436" s="226"/>
      <c r="Q5436" s="226"/>
      <c r="R5436" s="226"/>
      <c r="S5436" s="226"/>
      <c r="T5436" s="226"/>
      <c r="U5436" s="226"/>
    </row>
    <row r="5437" spans="16:21" x14ac:dyDescent="0.35">
      <c r="P5437" s="226"/>
      <c r="Q5437" s="226"/>
      <c r="R5437" s="226"/>
      <c r="S5437" s="226"/>
      <c r="T5437" s="226"/>
      <c r="U5437" s="226"/>
    </row>
    <row r="5438" spans="16:21" x14ac:dyDescent="0.35">
      <c r="P5438" s="226"/>
      <c r="Q5438" s="226"/>
      <c r="R5438" s="226"/>
      <c r="S5438" s="226"/>
      <c r="T5438" s="226"/>
      <c r="U5438" s="226"/>
    </row>
    <row r="5439" spans="16:21" x14ac:dyDescent="0.35">
      <c r="P5439" s="226"/>
      <c r="Q5439" s="226"/>
      <c r="R5439" s="226"/>
      <c r="S5439" s="226"/>
      <c r="T5439" s="226"/>
      <c r="U5439" s="226"/>
    </row>
    <row r="5440" spans="16:21" x14ac:dyDescent="0.35">
      <c r="P5440" s="226"/>
      <c r="Q5440" s="226"/>
      <c r="R5440" s="226"/>
      <c r="S5440" s="226"/>
      <c r="T5440" s="226"/>
      <c r="U5440" s="226"/>
    </row>
    <row r="5441" spans="16:21" x14ac:dyDescent="0.35">
      <c r="P5441" s="226"/>
      <c r="Q5441" s="226"/>
      <c r="R5441" s="226"/>
      <c r="S5441" s="226"/>
      <c r="T5441" s="226"/>
      <c r="U5441" s="226"/>
    </row>
    <row r="5442" spans="16:21" x14ac:dyDescent="0.35">
      <c r="P5442" s="226"/>
      <c r="Q5442" s="226"/>
      <c r="R5442" s="226"/>
      <c r="S5442" s="226"/>
      <c r="T5442" s="226"/>
      <c r="U5442" s="226"/>
    </row>
    <row r="5443" spans="16:21" x14ac:dyDescent="0.35">
      <c r="P5443" s="226"/>
      <c r="Q5443" s="226"/>
      <c r="R5443" s="226"/>
      <c r="S5443" s="226"/>
      <c r="T5443" s="226"/>
      <c r="U5443" s="226"/>
    </row>
    <row r="5444" spans="16:21" x14ac:dyDescent="0.35">
      <c r="P5444" s="226"/>
      <c r="Q5444" s="226"/>
      <c r="R5444" s="226"/>
      <c r="S5444" s="226"/>
      <c r="T5444" s="226"/>
      <c r="U5444" s="226"/>
    </row>
    <row r="5445" spans="16:21" x14ac:dyDescent="0.35">
      <c r="P5445" s="226"/>
      <c r="Q5445" s="226"/>
      <c r="R5445" s="226"/>
      <c r="S5445" s="226"/>
      <c r="T5445" s="226"/>
      <c r="U5445" s="226"/>
    </row>
    <row r="5446" spans="16:21" x14ac:dyDescent="0.35">
      <c r="P5446" s="226"/>
      <c r="Q5446" s="226"/>
      <c r="R5446" s="226"/>
      <c r="S5446" s="226"/>
      <c r="T5446" s="226"/>
      <c r="U5446" s="226"/>
    </row>
    <row r="5447" spans="16:21" x14ac:dyDescent="0.35">
      <c r="P5447" s="226"/>
      <c r="Q5447" s="226"/>
      <c r="R5447" s="226"/>
      <c r="S5447" s="226"/>
      <c r="T5447" s="226"/>
      <c r="U5447" s="226"/>
    </row>
    <row r="5448" spans="16:21" x14ac:dyDescent="0.35">
      <c r="P5448" s="226"/>
      <c r="Q5448" s="226"/>
      <c r="R5448" s="226"/>
      <c r="S5448" s="226"/>
      <c r="T5448" s="226"/>
      <c r="U5448" s="226"/>
    </row>
    <row r="5449" spans="16:21" x14ac:dyDescent="0.35">
      <c r="P5449" s="226"/>
      <c r="Q5449" s="226"/>
      <c r="R5449" s="226"/>
      <c r="S5449" s="226"/>
      <c r="T5449" s="226"/>
      <c r="U5449" s="226"/>
    </row>
    <row r="5450" spans="16:21" x14ac:dyDescent="0.35">
      <c r="P5450" s="226"/>
      <c r="Q5450" s="226"/>
      <c r="R5450" s="226"/>
      <c r="S5450" s="226"/>
      <c r="T5450" s="226"/>
      <c r="U5450" s="226"/>
    </row>
    <row r="5451" spans="16:21" x14ac:dyDescent="0.35">
      <c r="P5451" s="226"/>
      <c r="Q5451" s="226"/>
      <c r="R5451" s="226"/>
      <c r="S5451" s="226"/>
      <c r="T5451" s="226"/>
      <c r="U5451" s="226"/>
    </row>
    <row r="5452" spans="16:21" x14ac:dyDescent="0.35">
      <c r="P5452" s="226"/>
      <c r="Q5452" s="226"/>
      <c r="R5452" s="226"/>
      <c r="S5452" s="226"/>
      <c r="T5452" s="226"/>
      <c r="U5452" s="226"/>
    </row>
    <row r="5453" spans="16:21" x14ac:dyDescent="0.35">
      <c r="P5453" s="226"/>
      <c r="Q5453" s="226"/>
      <c r="R5453" s="226"/>
      <c r="S5453" s="226"/>
      <c r="T5453" s="226"/>
      <c r="U5453" s="226"/>
    </row>
    <row r="5454" spans="16:21" x14ac:dyDescent="0.35">
      <c r="P5454" s="226"/>
      <c r="Q5454" s="226"/>
      <c r="R5454" s="226"/>
      <c r="S5454" s="226"/>
      <c r="T5454" s="226"/>
      <c r="U5454" s="226"/>
    </row>
    <row r="5455" spans="16:21" x14ac:dyDescent="0.35">
      <c r="P5455" s="226"/>
      <c r="Q5455" s="226"/>
      <c r="R5455" s="226"/>
      <c r="S5455" s="226"/>
      <c r="T5455" s="226"/>
      <c r="U5455" s="226"/>
    </row>
    <row r="5456" spans="16:21" x14ac:dyDescent="0.35">
      <c r="P5456" s="226"/>
      <c r="Q5456" s="226"/>
      <c r="R5456" s="226"/>
      <c r="S5456" s="226"/>
      <c r="T5456" s="226"/>
      <c r="U5456" s="226"/>
    </row>
    <row r="5457" spans="16:21" x14ac:dyDescent="0.35">
      <c r="P5457" s="226"/>
      <c r="Q5457" s="226"/>
      <c r="R5457" s="226"/>
      <c r="S5457" s="226"/>
      <c r="T5457" s="226"/>
      <c r="U5457" s="226"/>
    </row>
    <row r="5458" spans="16:21" x14ac:dyDescent="0.35">
      <c r="P5458" s="226"/>
      <c r="Q5458" s="226"/>
      <c r="R5458" s="226"/>
      <c r="S5458" s="226"/>
      <c r="T5458" s="226"/>
      <c r="U5458" s="226"/>
    </row>
    <row r="5459" spans="16:21" x14ac:dyDescent="0.35">
      <c r="P5459" s="226"/>
      <c r="Q5459" s="226"/>
      <c r="R5459" s="226"/>
      <c r="S5459" s="226"/>
      <c r="T5459" s="226"/>
      <c r="U5459" s="226"/>
    </row>
    <row r="5460" spans="16:21" x14ac:dyDescent="0.35">
      <c r="P5460" s="226"/>
      <c r="Q5460" s="226"/>
      <c r="R5460" s="226"/>
      <c r="S5460" s="226"/>
      <c r="T5460" s="226"/>
      <c r="U5460" s="226"/>
    </row>
    <row r="5461" spans="16:21" x14ac:dyDescent="0.35">
      <c r="P5461" s="226"/>
      <c r="Q5461" s="226"/>
      <c r="R5461" s="226"/>
      <c r="S5461" s="226"/>
      <c r="T5461" s="226"/>
      <c r="U5461" s="226"/>
    </row>
    <row r="5462" spans="16:21" x14ac:dyDescent="0.35">
      <c r="P5462" s="226"/>
      <c r="Q5462" s="226"/>
      <c r="R5462" s="226"/>
      <c r="S5462" s="226"/>
      <c r="T5462" s="226"/>
      <c r="U5462" s="226"/>
    </row>
    <row r="5463" spans="16:21" x14ac:dyDescent="0.35">
      <c r="P5463" s="226"/>
      <c r="Q5463" s="226"/>
      <c r="R5463" s="226"/>
      <c r="S5463" s="226"/>
      <c r="T5463" s="226"/>
      <c r="U5463" s="226"/>
    </row>
    <row r="5464" spans="16:21" x14ac:dyDescent="0.35">
      <c r="P5464" s="226"/>
      <c r="Q5464" s="226"/>
      <c r="R5464" s="226"/>
      <c r="S5464" s="226"/>
      <c r="T5464" s="226"/>
      <c r="U5464" s="226"/>
    </row>
    <row r="5465" spans="16:21" x14ac:dyDescent="0.35">
      <c r="P5465" s="226"/>
      <c r="Q5465" s="226"/>
      <c r="R5465" s="226"/>
      <c r="S5465" s="226"/>
      <c r="T5465" s="226"/>
      <c r="U5465" s="226"/>
    </row>
    <row r="5466" spans="16:21" x14ac:dyDescent="0.35">
      <c r="P5466" s="226"/>
      <c r="Q5466" s="226"/>
      <c r="R5466" s="226"/>
      <c r="S5466" s="226"/>
      <c r="T5466" s="226"/>
      <c r="U5466" s="226"/>
    </row>
    <row r="5467" spans="16:21" x14ac:dyDescent="0.35">
      <c r="P5467" s="226"/>
      <c r="Q5467" s="226"/>
      <c r="R5467" s="226"/>
      <c r="S5467" s="226"/>
      <c r="T5467" s="226"/>
      <c r="U5467" s="226"/>
    </row>
    <row r="5468" spans="16:21" x14ac:dyDescent="0.35">
      <c r="P5468" s="226"/>
      <c r="Q5468" s="226"/>
      <c r="R5468" s="226"/>
      <c r="S5468" s="226"/>
      <c r="T5468" s="226"/>
      <c r="U5468" s="226"/>
    </row>
    <row r="5469" spans="16:21" x14ac:dyDescent="0.35">
      <c r="P5469" s="226"/>
      <c r="Q5469" s="226"/>
      <c r="R5469" s="226"/>
      <c r="S5469" s="226"/>
      <c r="T5469" s="226"/>
      <c r="U5469" s="226"/>
    </row>
    <row r="5470" spans="16:21" x14ac:dyDescent="0.35">
      <c r="P5470" s="226"/>
      <c r="Q5470" s="226"/>
      <c r="R5470" s="226"/>
      <c r="S5470" s="226"/>
      <c r="T5470" s="226"/>
      <c r="U5470" s="226"/>
    </row>
    <row r="5471" spans="16:21" x14ac:dyDescent="0.35">
      <c r="P5471" s="226"/>
      <c r="Q5471" s="226"/>
      <c r="R5471" s="226"/>
      <c r="S5471" s="226"/>
      <c r="T5471" s="226"/>
      <c r="U5471" s="226"/>
    </row>
    <row r="5472" spans="16:21" x14ac:dyDescent="0.35">
      <c r="P5472" s="226"/>
      <c r="Q5472" s="226"/>
      <c r="R5472" s="226"/>
      <c r="S5472" s="226"/>
      <c r="T5472" s="226"/>
      <c r="U5472" s="226"/>
    </row>
    <row r="5473" spans="16:21" x14ac:dyDescent="0.35">
      <c r="P5473" s="226"/>
      <c r="Q5473" s="226"/>
      <c r="R5473" s="226"/>
      <c r="S5473" s="226"/>
      <c r="T5473" s="226"/>
      <c r="U5473" s="226"/>
    </row>
    <row r="5474" spans="16:21" x14ac:dyDescent="0.35">
      <c r="P5474" s="226"/>
      <c r="Q5474" s="226"/>
      <c r="R5474" s="226"/>
      <c r="S5474" s="226"/>
      <c r="T5474" s="226"/>
      <c r="U5474" s="226"/>
    </row>
    <row r="5475" spans="16:21" x14ac:dyDescent="0.35">
      <c r="P5475" s="226"/>
      <c r="Q5475" s="226"/>
      <c r="R5475" s="226"/>
      <c r="S5475" s="226"/>
      <c r="T5475" s="226"/>
      <c r="U5475" s="226"/>
    </row>
    <row r="5476" spans="16:21" x14ac:dyDescent="0.35">
      <c r="P5476" s="226"/>
      <c r="Q5476" s="226"/>
      <c r="R5476" s="226"/>
      <c r="S5476" s="226"/>
      <c r="T5476" s="226"/>
      <c r="U5476" s="226"/>
    </row>
    <row r="5477" spans="16:21" x14ac:dyDescent="0.35">
      <c r="P5477" s="226"/>
      <c r="Q5477" s="226"/>
      <c r="R5477" s="226"/>
      <c r="S5477" s="226"/>
      <c r="T5477" s="226"/>
      <c r="U5477" s="226"/>
    </row>
    <row r="5478" spans="16:21" x14ac:dyDescent="0.35">
      <c r="P5478" s="226"/>
      <c r="Q5478" s="226"/>
      <c r="R5478" s="226"/>
      <c r="S5478" s="226"/>
      <c r="T5478" s="226"/>
      <c r="U5478" s="226"/>
    </row>
    <row r="5479" spans="16:21" x14ac:dyDescent="0.35">
      <c r="P5479" s="226"/>
      <c r="Q5479" s="226"/>
      <c r="R5479" s="226"/>
      <c r="S5479" s="226"/>
      <c r="T5479" s="226"/>
      <c r="U5479" s="226"/>
    </row>
    <row r="5480" spans="16:21" x14ac:dyDescent="0.35">
      <c r="P5480" s="226"/>
      <c r="Q5480" s="226"/>
      <c r="R5480" s="226"/>
      <c r="S5480" s="226"/>
      <c r="T5480" s="226"/>
      <c r="U5480" s="226"/>
    </row>
    <row r="5481" spans="16:21" x14ac:dyDescent="0.35">
      <c r="P5481" s="226"/>
      <c r="Q5481" s="226"/>
      <c r="R5481" s="226"/>
      <c r="S5481" s="226"/>
      <c r="T5481" s="226"/>
      <c r="U5481" s="226"/>
    </row>
    <row r="5482" spans="16:21" x14ac:dyDescent="0.35">
      <c r="P5482" s="226"/>
      <c r="Q5482" s="226"/>
      <c r="R5482" s="226"/>
      <c r="S5482" s="226"/>
      <c r="T5482" s="226"/>
      <c r="U5482" s="226"/>
    </row>
    <row r="5483" spans="16:21" x14ac:dyDescent="0.35">
      <c r="P5483" s="226"/>
      <c r="Q5483" s="226"/>
      <c r="R5483" s="226"/>
      <c r="S5483" s="226"/>
      <c r="T5483" s="226"/>
      <c r="U5483" s="226"/>
    </row>
    <row r="5484" spans="16:21" x14ac:dyDescent="0.35">
      <c r="P5484" s="226"/>
      <c r="Q5484" s="226"/>
      <c r="R5484" s="226"/>
      <c r="S5484" s="226"/>
      <c r="T5484" s="226"/>
      <c r="U5484" s="226"/>
    </row>
    <row r="5485" spans="16:21" x14ac:dyDescent="0.35">
      <c r="P5485" s="226"/>
      <c r="Q5485" s="226"/>
      <c r="R5485" s="226"/>
      <c r="S5485" s="226"/>
      <c r="T5485" s="226"/>
      <c r="U5485" s="226"/>
    </row>
    <row r="5486" spans="16:21" x14ac:dyDescent="0.35">
      <c r="P5486" s="226"/>
      <c r="Q5486" s="226"/>
      <c r="R5486" s="226"/>
      <c r="S5486" s="226"/>
      <c r="T5486" s="226"/>
      <c r="U5486" s="226"/>
    </row>
    <row r="5487" spans="16:21" x14ac:dyDescent="0.35">
      <c r="P5487" s="226"/>
      <c r="Q5487" s="226"/>
      <c r="R5487" s="226"/>
      <c r="S5487" s="226"/>
      <c r="T5487" s="226"/>
      <c r="U5487" s="226"/>
    </row>
    <row r="5488" spans="16:21" x14ac:dyDescent="0.35">
      <c r="P5488" s="226"/>
      <c r="Q5488" s="226"/>
      <c r="R5488" s="226"/>
      <c r="S5488" s="226"/>
      <c r="T5488" s="226"/>
      <c r="U5488" s="226"/>
    </row>
    <row r="5489" spans="16:21" x14ac:dyDescent="0.35">
      <c r="P5489" s="226"/>
      <c r="Q5489" s="226"/>
      <c r="R5489" s="226"/>
      <c r="S5489" s="226"/>
      <c r="T5489" s="226"/>
      <c r="U5489" s="226"/>
    </row>
    <row r="5490" spans="16:21" x14ac:dyDescent="0.35">
      <c r="P5490" s="226"/>
      <c r="Q5490" s="226"/>
      <c r="R5490" s="226"/>
      <c r="S5490" s="226"/>
      <c r="T5490" s="226"/>
      <c r="U5490" s="226"/>
    </row>
    <row r="5491" spans="16:21" x14ac:dyDescent="0.35">
      <c r="P5491" s="226"/>
      <c r="Q5491" s="226"/>
      <c r="R5491" s="226"/>
      <c r="S5491" s="226"/>
      <c r="T5491" s="226"/>
      <c r="U5491" s="226"/>
    </row>
    <row r="5492" spans="16:21" x14ac:dyDescent="0.35">
      <c r="P5492" s="226"/>
      <c r="Q5492" s="226"/>
      <c r="R5492" s="226"/>
      <c r="S5492" s="226"/>
      <c r="T5492" s="226"/>
      <c r="U5492" s="226"/>
    </row>
    <row r="5493" spans="16:21" x14ac:dyDescent="0.35">
      <c r="P5493" s="226"/>
      <c r="Q5493" s="226"/>
      <c r="R5493" s="226"/>
      <c r="S5493" s="226"/>
      <c r="T5493" s="226"/>
      <c r="U5493" s="226"/>
    </row>
    <row r="5494" spans="16:21" x14ac:dyDescent="0.35">
      <c r="P5494" s="226"/>
      <c r="Q5494" s="226"/>
      <c r="R5494" s="226"/>
      <c r="S5494" s="226"/>
      <c r="T5494" s="226"/>
      <c r="U5494" s="226"/>
    </row>
    <row r="5495" spans="16:21" x14ac:dyDescent="0.35">
      <c r="P5495" s="226"/>
      <c r="Q5495" s="226"/>
      <c r="R5495" s="226"/>
      <c r="S5495" s="226"/>
      <c r="T5495" s="226"/>
      <c r="U5495" s="226"/>
    </row>
    <row r="5496" spans="16:21" x14ac:dyDescent="0.35">
      <c r="P5496" s="226"/>
      <c r="Q5496" s="226"/>
      <c r="R5496" s="226"/>
      <c r="S5496" s="226"/>
      <c r="T5496" s="226"/>
      <c r="U5496" s="226"/>
    </row>
    <row r="5497" spans="16:21" x14ac:dyDescent="0.35">
      <c r="P5497" s="226"/>
      <c r="Q5497" s="226"/>
      <c r="R5497" s="226"/>
      <c r="S5497" s="226"/>
      <c r="T5497" s="226"/>
      <c r="U5497" s="226"/>
    </row>
    <row r="5498" spans="16:21" x14ac:dyDescent="0.35">
      <c r="P5498" s="226"/>
      <c r="Q5498" s="226"/>
      <c r="R5498" s="226"/>
      <c r="S5498" s="226"/>
      <c r="T5498" s="226"/>
      <c r="U5498" s="226"/>
    </row>
    <row r="5499" spans="16:21" x14ac:dyDescent="0.35">
      <c r="P5499" s="226"/>
      <c r="Q5499" s="226"/>
      <c r="R5499" s="226"/>
      <c r="S5499" s="226"/>
      <c r="T5499" s="226"/>
      <c r="U5499" s="226"/>
    </row>
    <row r="5500" spans="16:21" x14ac:dyDescent="0.35">
      <c r="P5500" s="226"/>
      <c r="Q5500" s="226"/>
      <c r="R5500" s="226"/>
      <c r="S5500" s="226"/>
      <c r="T5500" s="226"/>
      <c r="U5500" s="226"/>
    </row>
    <row r="5501" spans="16:21" x14ac:dyDescent="0.35">
      <c r="P5501" s="226"/>
      <c r="Q5501" s="226"/>
      <c r="R5501" s="226"/>
      <c r="S5501" s="226"/>
      <c r="T5501" s="226"/>
      <c r="U5501" s="226"/>
    </row>
    <row r="5502" spans="16:21" x14ac:dyDescent="0.35">
      <c r="P5502" s="226"/>
      <c r="Q5502" s="226"/>
      <c r="R5502" s="226"/>
      <c r="S5502" s="226"/>
      <c r="T5502" s="226"/>
      <c r="U5502" s="226"/>
    </row>
    <row r="5503" spans="16:21" x14ac:dyDescent="0.35">
      <c r="P5503" s="226"/>
      <c r="Q5503" s="226"/>
      <c r="R5503" s="226"/>
      <c r="S5503" s="226"/>
      <c r="T5503" s="226"/>
      <c r="U5503" s="226"/>
    </row>
    <row r="5504" spans="16:21" x14ac:dyDescent="0.35">
      <c r="P5504" s="226"/>
      <c r="Q5504" s="226"/>
      <c r="R5504" s="226"/>
      <c r="S5504" s="226"/>
      <c r="T5504" s="226"/>
      <c r="U5504" s="226"/>
    </row>
    <row r="5505" spans="16:21" x14ac:dyDescent="0.35">
      <c r="P5505" s="226"/>
      <c r="Q5505" s="226"/>
      <c r="R5505" s="226"/>
      <c r="S5505" s="226"/>
      <c r="T5505" s="226"/>
      <c r="U5505" s="226"/>
    </row>
    <row r="5506" spans="16:21" x14ac:dyDescent="0.35">
      <c r="P5506" s="226"/>
      <c r="Q5506" s="226"/>
      <c r="R5506" s="226"/>
      <c r="S5506" s="226"/>
      <c r="T5506" s="226"/>
      <c r="U5506" s="226"/>
    </row>
    <row r="5507" spans="16:21" x14ac:dyDescent="0.35">
      <c r="P5507" s="226"/>
      <c r="Q5507" s="226"/>
      <c r="R5507" s="226"/>
      <c r="S5507" s="226"/>
      <c r="T5507" s="226"/>
      <c r="U5507" s="226"/>
    </row>
    <row r="5508" spans="16:21" x14ac:dyDescent="0.35">
      <c r="P5508" s="226"/>
      <c r="Q5508" s="226"/>
      <c r="R5508" s="226"/>
      <c r="S5508" s="226"/>
      <c r="T5508" s="226"/>
      <c r="U5508" s="226"/>
    </row>
    <row r="5509" spans="16:21" x14ac:dyDescent="0.35">
      <c r="P5509" s="226"/>
      <c r="Q5509" s="226"/>
      <c r="R5509" s="226"/>
      <c r="S5509" s="226"/>
      <c r="T5509" s="226"/>
      <c r="U5509" s="226"/>
    </row>
    <row r="5510" spans="16:21" x14ac:dyDescent="0.35">
      <c r="P5510" s="226"/>
      <c r="Q5510" s="226"/>
      <c r="R5510" s="226"/>
      <c r="S5510" s="226"/>
      <c r="T5510" s="226"/>
      <c r="U5510" s="226"/>
    </row>
    <row r="5511" spans="16:21" x14ac:dyDescent="0.35">
      <c r="P5511" s="226"/>
      <c r="Q5511" s="226"/>
      <c r="R5511" s="226"/>
      <c r="S5511" s="226"/>
      <c r="T5511" s="226"/>
      <c r="U5511" s="226"/>
    </row>
    <row r="5512" spans="16:21" x14ac:dyDescent="0.35">
      <c r="P5512" s="226"/>
      <c r="Q5512" s="226"/>
      <c r="R5512" s="226"/>
      <c r="S5512" s="226"/>
      <c r="T5512" s="226"/>
      <c r="U5512" s="226"/>
    </row>
    <row r="5513" spans="16:21" x14ac:dyDescent="0.35">
      <c r="P5513" s="226"/>
      <c r="Q5513" s="226"/>
      <c r="R5513" s="226"/>
      <c r="S5513" s="226"/>
      <c r="T5513" s="226"/>
      <c r="U5513" s="226"/>
    </row>
    <row r="5514" spans="16:21" x14ac:dyDescent="0.35">
      <c r="P5514" s="226"/>
      <c r="Q5514" s="226"/>
      <c r="R5514" s="226"/>
      <c r="S5514" s="226"/>
      <c r="T5514" s="226"/>
      <c r="U5514" s="226"/>
    </row>
    <row r="5515" spans="16:21" x14ac:dyDescent="0.35">
      <c r="P5515" s="226"/>
      <c r="Q5515" s="226"/>
      <c r="R5515" s="226"/>
      <c r="S5515" s="226"/>
      <c r="T5515" s="226"/>
      <c r="U5515" s="226"/>
    </row>
    <row r="5516" spans="16:21" x14ac:dyDescent="0.35">
      <c r="P5516" s="226"/>
      <c r="Q5516" s="226"/>
      <c r="R5516" s="226"/>
      <c r="S5516" s="226"/>
      <c r="T5516" s="226"/>
      <c r="U5516" s="226"/>
    </row>
    <row r="5517" spans="16:21" x14ac:dyDescent="0.35">
      <c r="P5517" s="226"/>
      <c r="Q5517" s="226"/>
      <c r="R5517" s="226"/>
      <c r="S5517" s="226"/>
      <c r="T5517" s="226"/>
      <c r="U5517" s="226"/>
    </row>
    <row r="5518" spans="16:21" x14ac:dyDescent="0.35">
      <c r="P5518" s="226"/>
      <c r="Q5518" s="226"/>
      <c r="R5518" s="226"/>
      <c r="S5518" s="226"/>
      <c r="T5518" s="226"/>
      <c r="U5518" s="226"/>
    </row>
    <row r="5519" spans="16:21" x14ac:dyDescent="0.35">
      <c r="P5519" s="226"/>
      <c r="Q5519" s="226"/>
      <c r="R5519" s="226"/>
      <c r="S5519" s="226"/>
      <c r="T5519" s="226"/>
      <c r="U5519" s="226"/>
    </row>
    <row r="5520" spans="16:21" x14ac:dyDescent="0.35">
      <c r="P5520" s="226"/>
      <c r="Q5520" s="226"/>
      <c r="R5520" s="226"/>
      <c r="S5520" s="226"/>
      <c r="T5520" s="226"/>
      <c r="U5520" s="226"/>
    </row>
    <row r="5521" spans="16:21" x14ac:dyDescent="0.35">
      <c r="P5521" s="226"/>
      <c r="Q5521" s="226"/>
      <c r="R5521" s="226"/>
      <c r="S5521" s="226"/>
      <c r="T5521" s="226"/>
      <c r="U5521" s="226"/>
    </row>
    <row r="5522" spans="16:21" x14ac:dyDescent="0.35">
      <c r="P5522" s="226"/>
      <c r="Q5522" s="226"/>
      <c r="R5522" s="226"/>
      <c r="S5522" s="226"/>
      <c r="T5522" s="226"/>
      <c r="U5522" s="226"/>
    </row>
    <row r="5523" spans="16:21" x14ac:dyDescent="0.35">
      <c r="P5523" s="226"/>
      <c r="Q5523" s="226"/>
      <c r="R5523" s="226"/>
      <c r="S5523" s="226"/>
      <c r="T5523" s="226"/>
      <c r="U5523" s="226"/>
    </row>
    <row r="5524" spans="16:21" x14ac:dyDescent="0.35">
      <c r="P5524" s="226"/>
      <c r="Q5524" s="226"/>
      <c r="R5524" s="226"/>
      <c r="S5524" s="226"/>
      <c r="T5524" s="226"/>
      <c r="U5524" s="226"/>
    </row>
    <row r="5525" spans="16:21" x14ac:dyDescent="0.35">
      <c r="P5525" s="226"/>
      <c r="Q5525" s="226"/>
      <c r="R5525" s="226"/>
      <c r="S5525" s="226"/>
      <c r="T5525" s="226"/>
      <c r="U5525" s="226"/>
    </row>
    <row r="5526" spans="16:21" x14ac:dyDescent="0.35">
      <c r="P5526" s="226"/>
      <c r="Q5526" s="226"/>
      <c r="R5526" s="226"/>
      <c r="S5526" s="226"/>
      <c r="T5526" s="226"/>
      <c r="U5526" s="226"/>
    </row>
    <row r="5527" spans="16:21" x14ac:dyDescent="0.35">
      <c r="P5527" s="226"/>
      <c r="Q5527" s="226"/>
      <c r="R5527" s="226"/>
      <c r="S5527" s="226"/>
      <c r="T5527" s="226"/>
      <c r="U5527" s="226"/>
    </row>
    <row r="5528" spans="16:21" x14ac:dyDescent="0.35">
      <c r="P5528" s="226"/>
      <c r="Q5528" s="226"/>
      <c r="R5528" s="226"/>
      <c r="S5528" s="226"/>
      <c r="T5528" s="226"/>
      <c r="U5528" s="226"/>
    </row>
    <row r="5529" spans="16:21" x14ac:dyDescent="0.35">
      <c r="P5529" s="226"/>
      <c r="Q5529" s="226"/>
      <c r="R5529" s="226"/>
      <c r="S5529" s="226"/>
      <c r="T5529" s="226"/>
      <c r="U5529" s="226"/>
    </row>
    <row r="5530" spans="16:21" x14ac:dyDescent="0.35">
      <c r="P5530" s="226"/>
      <c r="Q5530" s="226"/>
      <c r="R5530" s="226"/>
      <c r="S5530" s="226"/>
      <c r="T5530" s="226"/>
      <c r="U5530" s="226"/>
    </row>
    <row r="5531" spans="16:21" x14ac:dyDescent="0.35">
      <c r="P5531" s="226"/>
      <c r="Q5531" s="226"/>
      <c r="R5531" s="226"/>
      <c r="S5531" s="226"/>
      <c r="T5531" s="226"/>
      <c r="U5531" s="226"/>
    </row>
    <row r="5532" spans="16:21" x14ac:dyDescent="0.35">
      <c r="P5532" s="226"/>
      <c r="Q5532" s="226"/>
      <c r="R5532" s="226"/>
      <c r="S5532" s="226"/>
      <c r="T5532" s="226"/>
      <c r="U5532" s="226"/>
    </row>
    <row r="5533" spans="16:21" x14ac:dyDescent="0.35">
      <c r="P5533" s="226"/>
      <c r="Q5533" s="226"/>
      <c r="R5533" s="226"/>
      <c r="S5533" s="226"/>
      <c r="T5533" s="226"/>
      <c r="U5533" s="226"/>
    </row>
    <row r="5534" spans="16:21" x14ac:dyDescent="0.35">
      <c r="P5534" s="226"/>
      <c r="Q5534" s="226"/>
      <c r="R5534" s="226"/>
      <c r="S5534" s="226"/>
      <c r="T5534" s="226"/>
      <c r="U5534" s="226"/>
    </row>
    <row r="5535" spans="16:21" x14ac:dyDescent="0.35">
      <c r="P5535" s="226"/>
      <c r="Q5535" s="226"/>
      <c r="R5535" s="226"/>
      <c r="S5535" s="226"/>
      <c r="T5535" s="226"/>
      <c r="U5535" s="226"/>
    </row>
    <row r="5536" spans="16:21" x14ac:dyDescent="0.35">
      <c r="P5536" s="226"/>
      <c r="Q5536" s="226"/>
      <c r="R5536" s="226"/>
      <c r="S5536" s="226"/>
      <c r="T5536" s="226"/>
      <c r="U5536" s="226"/>
    </row>
    <row r="5537" spans="16:21" x14ac:dyDescent="0.35">
      <c r="P5537" s="226"/>
      <c r="Q5537" s="226"/>
      <c r="R5537" s="226"/>
      <c r="S5537" s="226"/>
      <c r="T5537" s="226"/>
      <c r="U5537" s="226"/>
    </row>
    <row r="5538" spans="16:21" x14ac:dyDescent="0.35">
      <c r="P5538" s="226"/>
      <c r="Q5538" s="226"/>
      <c r="R5538" s="226"/>
      <c r="S5538" s="226"/>
      <c r="T5538" s="226"/>
      <c r="U5538" s="226"/>
    </row>
    <row r="5539" spans="16:21" x14ac:dyDescent="0.35">
      <c r="P5539" s="226"/>
      <c r="Q5539" s="226"/>
      <c r="R5539" s="226"/>
      <c r="S5539" s="226"/>
      <c r="T5539" s="226"/>
      <c r="U5539" s="226"/>
    </row>
    <row r="5540" spans="16:21" x14ac:dyDescent="0.35">
      <c r="P5540" s="226"/>
      <c r="Q5540" s="226"/>
      <c r="R5540" s="226"/>
      <c r="S5540" s="226"/>
      <c r="T5540" s="226"/>
      <c r="U5540" s="226"/>
    </row>
    <row r="5541" spans="16:21" x14ac:dyDescent="0.35">
      <c r="P5541" s="226"/>
      <c r="Q5541" s="226"/>
      <c r="R5541" s="226"/>
      <c r="S5541" s="226"/>
      <c r="T5541" s="226"/>
      <c r="U5541" s="226"/>
    </row>
    <row r="5542" spans="16:21" x14ac:dyDescent="0.35">
      <c r="P5542" s="226"/>
      <c r="Q5542" s="226"/>
      <c r="R5542" s="226"/>
      <c r="S5542" s="226"/>
      <c r="T5542" s="226"/>
      <c r="U5542" s="226"/>
    </row>
    <row r="5543" spans="16:21" x14ac:dyDescent="0.35">
      <c r="P5543" s="226"/>
      <c r="Q5543" s="226"/>
      <c r="R5543" s="226"/>
      <c r="S5543" s="226"/>
      <c r="T5543" s="226"/>
      <c r="U5543" s="226"/>
    </row>
    <row r="5544" spans="16:21" x14ac:dyDescent="0.35">
      <c r="P5544" s="226"/>
      <c r="Q5544" s="226"/>
      <c r="R5544" s="226"/>
      <c r="S5544" s="226"/>
      <c r="T5544" s="226"/>
      <c r="U5544" s="226"/>
    </row>
    <row r="5545" spans="16:21" x14ac:dyDescent="0.35">
      <c r="P5545" s="226"/>
      <c r="Q5545" s="226"/>
      <c r="R5545" s="226"/>
      <c r="S5545" s="226"/>
      <c r="T5545" s="226"/>
      <c r="U5545" s="226"/>
    </row>
    <row r="5546" spans="16:21" x14ac:dyDescent="0.35">
      <c r="P5546" s="226"/>
      <c r="Q5546" s="226"/>
      <c r="R5546" s="226"/>
      <c r="S5546" s="226"/>
      <c r="T5546" s="226"/>
      <c r="U5546" s="226"/>
    </row>
    <row r="5547" spans="16:21" x14ac:dyDescent="0.35">
      <c r="P5547" s="226"/>
      <c r="Q5547" s="226"/>
      <c r="R5547" s="226"/>
      <c r="S5547" s="226"/>
      <c r="T5547" s="226"/>
      <c r="U5547" s="226"/>
    </row>
    <row r="5548" spans="16:21" x14ac:dyDescent="0.35">
      <c r="P5548" s="226"/>
      <c r="Q5548" s="226"/>
      <c r="R5548" s="226"/>
      <c r="S5548" s="226"/>
      <c r="T5548" s="226"/>
      <c r="U5548" s="226"/>
    </row>
    <row r="5549" spans="16:21" x14ac:dyDescent="0.35">
      <c r="P5549" s="226"/>
      <c r="Q5549" s="226"/>
      <c r="R5549" s="226"/>
      <c r="S5549" s="226"/>
      <c r="T5549" s="226"/>
      <c r="U5549" s="226"/>
    </row>
    <row r="5550" spans="16:21" x14ac:dyDescent="0.35">
      <c r="P5550" s="226"/>
      <c r="Q5550" s="226"/>
      <c r="R5550" s="226"/>
      <c r="S5550" s="226"/>
      <c r="T5550" s="226"/>
      <c r="U5550" s="226"/>
    </row>
    <row r="5551" spans="16:21" x14ac:dyDescent="0.35">
      <c r="P5551" s="226"/>
      <c r="Q5551" s="226"/>
      <c r="R5551" s="226"/>
      <c r="S5551" s="226"/>
      <c r="T5551" s="226"/>
      <c r="U5551" s="226"/>
    </row>
    <row r="5552" spans="16:21" x14ac:dyDescent="0.35">
      <c r="P5552" s="226"/>
      <c r="Q5552" s="226"/>
      <c r="R5552" s="226"/>
      <c r="S5552" s="226"/>
      <c r="T5552" s="226"/>
      <c r="U5552" s="226"/>
    </row>
    <row r="5553" spans="16:21" x14ac:dyDescent="0.35">
      <c r="P5553" s="226"/>
      <c r="Q5553" s="226"/>
      <c r="R5553" s="226"/>
      <c r="S5553" s="226"/>
      <c r="T5553" s="226"/>
      <c r="U5553" s="226"/>
    </row>
    <row r="5554" spans="16:21" x14ac:dyDescent="0.35">
      <c r="P5554" s="226"/>
      <c r="Q5554" s="226"/>
      <c r="R5554" s="226"/>
      <c r="S5554" s="226"/>
      <c r="T5554" s="226"/>
      <c r="U5554" s="226"/>
    </row>
    <row r="5555" spans="16:21" x14ac:dyDescent="0.35">
      <c r="P5555" s="226"/>
      <c r="Q5555" s="226"/>
      <c r="R5555" s="226"/>
      <c r="S5555" s="226"/>
      <c r="T5555" s="226"/>
      <c r="U5555" s="226"/>
    </row>
    <row r="5556" spans="16:21" x14ac:dyDescent="0.35">
      <c r="P5556" s="226"/>
      <c r="Q5556" s="226"/>
      <c r="R5556" s="226"/>
      <c r="S5556" s="226"/>
      <c r="T5556" s="226"/>
      <c r="U5556" s="226"/>
    </row>
    <row r="5557" spans="16:21" x14ac:dyDescent="0.35">
      <c r="P5557" s="226"/>
      <c r="Q5557" s="226"/>
      <c r="R5557" s="226"/>
      <c r="S5557" s="226"/>
      <c r="T5557" s="226"/>
      <c r="U5557" s="226"/>
    </row>
    <row r="5558" spans="16:21" x14ac:dyDescent="0.35">
      <c r="P5558" s="226"/>
      <c r="Q5558" s="226"/>
      <c r="R5558" s="226"/>
      <c r="S5558" s="226"/>
      <c r="T5558" s="226"/>
      <c r="U5558" s="226"/>
    </row>
    <row r="5559" spans="16:21" x14ac:dyDescent="0.35">
      <c r="P5559" s="226"/>
      <c r="Q5559" s="226"/>
      <c r="R5559" s="226"/>
      <c r="S5559" s="226"/>
      <c r="T5559" s="226"/>
      <c r="U5559" s="226"/>
    </row>
    <row r="5560" spans="16:21" x14ac:dyDescent="0.35">
      <c r="P5560" s="226"/>
      <c r="Q5560" s="226"/>
      <c r="R5560" s="226"/>
      <c r="S5560" s="226"/>
      <c r="T5560" s="226"/>
      <c r="U5560" s="226"/>
    </row>
    <row r="5561" spans="16:21" x14ac:dyDescent="0.35">
      <c r="P5561" s="226"/>
      <c r="Q5561" s="226"/>
      <c r="R5561" s="226"/>
      <c r="S5561" s="226"/>
      <c r="T5561" s="226"/>
      <c r="U5561" s="226"/>
    </row>
    <row r="5562" spans="16:21" x14ac:dyDescent="0.35">
      <c r="P5562" s="226"/>
      <c r="Q5562" s="226"/>
      <c r="R5562" s="226"/>
      <c r="S5562" s="226"/>
      <c r="T5562" s="226"/>
      <c r="U5562" s="226"/>
    </row>
    <row r="5563" spans="16:21" x14ac:dyDescent="0.35">
      <c r="P5563" s="226"/>
      <c r="Q5563" s="226"/>
      <c r="R5563" s="226"/>
      <c r="S5563" s="226"/>
      <c r="T5563" s="226"/>
      <c r="U5563" s="226"/>
    </row>
    <row r="5564" spans="16:21" x14ac:dyDescent="0.35">
      <c r="P5564" s="226"/>
      <c r="Q5564" s="226"/>
      <c r="R5564" s="226"/>
      <c r="S5564" s="226"/>
      <c r="T5564" s="226"/>
      <c r="U5564" s="226"/>
    </row>
    <row r="5565" spans="16:21" x14ac:dyDescent="0.35">
      <c r="P5565" s="226"/>
      <c r="Q5565" s="226"/>
      <c r="R5565" s="226"/>
      <c r="S5565" s="226"/>
      <c r="T5565" s="226"/>
      <c r="U5565" s="226"/>
    </row>
    <row r="5566" spans="16:21" x14ac:dyDescent="0.35">
      <c r="P5566" s="226"/>
      <c r="Q5566" s="226"/>
      <c r="R5566" s="226"/>
      <c r="S5566" s="226"/>
      <c r="T5566" s="226"/>
      <c r="U5566" s="226"/>
    </row>
    <row r="5567" spans="16:21" x14ac:dyDescent="0.35">
      <c r="P5567" s="226"/>
      <c r="Q5567" s="226"/>
      <c r="R5567" s="226"/>
      <c r="S5567" s="226"/>
      <c r="T5567" s="226"/>
      <c r="U5567" s="226"/>
    </row>
    <row r="5568" spans="16:21" x14ac:dyDescent="0.35">
      <c r="P5568" s="226"/>
      <c r="Q5568" s="226"/>
      <c r="R5568" s="226"/>
      <c r="S5568" s="226"/>
      <c r="T5568" s="226"/>
      <c r="U5568" s="226"/>
    </row>
    <row r="5569" spans="16:21" x14ac:dyDescent="0.35">
      <c r="P5569" s="226"/>
      <c r="Q5569" s="226"/>
      <c r="R5569" s="226"/>
      <c r="S5569" s="226"/>
      <c r="T5569" s="226"/>
      <c r="U5569" s="226"/>
    </row>
    <row r="5570" spans="16:21" x14ac:dyDescent="0.35">
      <c r="P5570" s="226"/>
      <c r="Q5570" s="226"/>
      <c r="R5570" s="226"/>
      <c r="S5570" s="226"/>
      <c r="T5570" s="226"/>
      <c r="U5570" s="226"/>
    </row>
    <row r="5571" spans="16:21" x14ac:dyDescent="0.35">
      <c r="P5571" s="226"/>
      <c r="Q5571" s="226"/>
      <c r="R5571" s="226"/>
      <c r="S5571" s="226"/>
      <c r="T5571" s="226"/>
      <c r="U5571" s="226"/>
    </row>
    <row r="5572" spans="16:21" x14ac:dyDescent="0.35">
      <c r="P5572" s="226"/>
      <c r="Q5572" s="226"/>
      <c r="R5572" s="226"/>
      <c r="S5572" s="226"/>
      <c r="T5572" s="226"/>
      <c r="U5572" s="226"/>
    </row>
    <row r="5573" spans="16:21" x14ac:dyDescent="0.35">
      <c r="P5573" s="226"/>
      <c r="Q5573" s="226"/>
      <c r="R5573" s="226"/>
      <c r="S5573" s="226"/>
      <c r="T5573" s="226"/>
      <c r="U5573" s="226"/>
    </row>
    <row r="5574" spans="16:21" x14ac:dyDescent="0.35">
      <c r="P5574" s="226"/>
      <c r="Q5574" s="226"/>
      <c r="R5574" s="226"/>
      <c r="S5574" s="226"/>
      <c r="T5574" s="226"/>
      <c r="U5574" s="226"/>
    </row>
    <row r="5575" spans="16:21" x14ac:dyDescent="0.35">
      <c r="P5575" s="226"/>
      <c r="Q5575" s="226"/>
      <c r="R5575" s="226"/>
      <c r="S5575" s="226"/>
      <c r="T5575" s="226"/>
      <c r="U5575" s="226"/>
    </row>
    <row r="5576" spans="16:21" x14ac:dyDescent="0.35">
      <c r="P5576" s="226"/>
      <c r="Q5576" s="226"/>
      <c r="R5576" s="226"/>
      <c r="S5576" s="226"/>
      <c r="T5576" s="226"/>
      <c r="U5576" s="226"/>
    </row>
    <row r="5577" spans="16:21" x14ac:dyDescent="0.35">
      <c r="P5577" s="226"/>
      <c r="Q5577" s="226"/>
      <c r="R5577" s="226"/>
      <c r="S5577" s="226"/>
      <c r="T5577" s="226"/>
      <c r="U5577" s="226"/>
    </row>
    <row r="5578" spans="16:21" x14ac:dyDescent="0.35">
      <c r="P5578" s="226"/>
      <c r="Q5578" s="226"/>
      <c r="R5578" s="226"/>
      <c r="S5578" s="226"/>
      <c r="T5578" s="226"/>
      <c r="U5578" s="226"/>
    </row>
    <row r="5579" spans="16:21" x14ac:dyDescent="0.35">
      <c r="P5579" s="226"/>
      <c r="Q5579" s="226"/>
      <c r="R5579" s="226"/>
      <c r="S5579" s="226"/>
      <c r="T5579" s="226"/>
      <c r="U5579" s="226"/>
    </row>
    <row r="5580" spans="16:21" x14ac:dyDescent="0.35">
      <c r="P5580" s="226"/>
      <c r="Q5580" s="226"/>
      <c r="R5580" s="226"/>
      <c r="S5580" s="226"/>
      <c r="T5580" s="226"/>
      <c r="U5580" s="226"/>
    </row>
    <row r="5581" spans="16:21" x14ac:dyDescent="0.35">
      <c r="P5581" s="226"/>
      <c r="Q5581" s="226"/>
      <c r="R5581" s="226"/>
      <c r="S5581" s="226"/>
      <c r="T5581" s="226"/>
      <c r="U5581" s="226"/>
    </row>
    <row r="5582" spans="16:21" x14ac:dyDescent="0.35">
      <c r="P5582" s="226"/>
      <c r="Q5582" s="226"/>
      <c r="R5582" s="226"/>
      <c r="S5582" s="226"/>
      <c r="T5582" s="226"/>
      <c r="U5582" s="226"/>
    </row>
    <row r="5583" spans="16:21" x14ac:dyDescent="0.35">
      <c r="P5583" s="226"/>
      <c r="Q5583" s="226"/>
      <c r="R5583" s="226"/>
      <c r="S5583" s="226"/>
      <c r="T5583" s="226"/>
      <c r="U5583" s="226"/>
    </row>
    <row r="5584" spans="16:21" x14ac:dyDescent="0.35">
      <c r="P5584" s="226"/>
      <c r="Q5584" s="226"/>
      <c r="R5584" s="226"/>
      <c r="S5584" s="226"/>
      <c r="T5584" s="226"/>
      <c r="U5584" s="226"/>
    </row>
    <row r="5585" spans="16:21" x14ac:dyDescent="0.35">
      <c r="P5585" s="226"/>
      <c r="Q5585" s="226"/>
      <c r="R5585" s="226"/>
      <c r="S5585" s="226"/>
      <c r="T5585" s="226"/>
      <c r="U5585" s="226"/>
    </row>
    <row r="5586" spans="16:21" x14ac:dyDescent="0.35">
      <c r="P5586" s="226"/>
      <c r="Q5586" s="226"/>
      <c r="R5586" s="226"/>
      <c r="S5586" s="226"/>
      <c r="T5586" s="226"/>
      <c r="U5586" s="226"/>
    </row>
    <row r="5587" spans="16:21" x14ac:dyDescent="0.35">
      <c r="P5587" s="226"/>
      <c r="Q5587" s="226"/>
      <c r="R5587" s="226"/>
      <c r="S5587" s="226"/>
      <c r="T5587" s="226"/>
      <c r="U5587" s="226"/>
    </row>
    <row r="5588" spans="16:21" x14ac:dyDescent="0.35">
      <c r="P5588" s="226"/>
      <c r="Q5588" s="226"/>
      <c r="R5588" s="226"/>
      <c r="S5588" s="226"/>
      <c r="T5588" s="226"/>
      <c r="U5588" s="226"/>
    </row>
    <row r="5589" spans="16:21" x14ac:dyDescent="0.35">
      <c r="P5589" s="226"/>
      <c r="Q5589" s="226"/>
      <c r="R5589" s="226"/>
      <c r="S5589" s="226"/>
      <c r="T5589" s="226"/>
      <c r="U5589" s="226"/>
    </row>
    <row r="5590" spans="16:21" x14ac:dyDescent="0.35">
      <c r="P5590" s="226"/>
      <c r="Q5590" s="226"/>
      <c r="R5590" s="226"/>
      <c r="S5590" s="226"/>
      <c r="T5590" s="226"/>
      <c r="U5590" s="226"/>
    </row>
    <row r="5591" spans="16:21" x14ac:dyDescent="0.35">
      <c r="P5591" s="226"/>
      <c r="Q5591" s="226"/>
      <c r="R5591" s="226"/>
      <c r="S5591" s="226"/>
      <c r="T5591" s="226"/>
      <c r="U5591" s="226"/>
    </row>
    <row r="5592" spans="16:21" x14ac:dyDescent="0.35">
      <c r="P5592" s="226"/>
      <c r="Q5592" s="226"/>
      <c r="R5592" s="226"/>
      <c r="S5592" s="226"/>
      <c r="T5592" s="226"/>
      <c r="U5592" s="226"/>
    </row>
    <row r="5593" spans="16:21" x14ac:dyDescent="0.35">
      <c r="P5593" s="226"/>
      <c r="Q5593" s="226"/>
      <c r="R5593" s="226"/>
      <c r="S5593" s="226"/>
      <c r="T5593" s="226"/>
      <c r="U5593" s="226"/>
    </row>
    <row r="5594" spans="16:21" x14ac:dyDescent="0.35">
      <c r="P5594" s="226"/>
      <c r="Q5594" s="226"/>
      <c r="R5594" s="226"/>
      <c r="S5594" s="226"/>
      <c r="T5594" s="226"/>
      <c r="U5594" s="226"/>
    </row>
    <row r="5595" spans="16:21" x14ac:dyDescent="0.35">
      <c r="P5595" s="226"/>
      <c r="Q5595" s="226"/>
      <c r="R5595" s="226"/>
      <c r="S5595" s="226"/>
      <c r="T5595" s="226"/>
      <c r="U5595" s="226"/>
    </row>
    <row r="5596" spans="16:21" x14ac:dyDescent="0.35">
      <c r="P5596" s="226"/>
      <c r="Q5596" s="226"/>
      <c r="R5596" s="226"/>
      <c r="S5596" s="226"/>
      <c r="T5596" s="226"/>
      <c r="U5596" s="226"/>
    </row>
    <row r="5597" spans="16:21" x14ac:dyDescent="0.35">
      <c r="P5597" s="226"/>
      <c r="Q5597" s="226"/>
      <c r="R5597" s="226"/>
      <c r="S5597" s="226"/>
      <c r="T5597" s="226"/>
      <c r="U5597" s="226"/>
    </row>
    <row r="5598" spans="16:21" x14ac:dyDescent="0.35">
      <c r="P5598" s="226"/>
      <c r="Q5598" s="226"/>
      <c r="R5598" s="226"/>
      <c r="S5598" s="226"/>
      <c r="T5598" s="226"/>
      <c r="U5598" s="226"/>
    </row>
    <row r="5599" spans="16:21" x14ac:dyDescent="0.35">
      <c r="P5599" s="226"/>
      <c r="Q5599" s="226"/>
      <c r="R5599" s="226"/>
      <c r="S5599" s="226"/>
      <c r="T5599" s="226"/>
      <c r="U5599" s="226"/>
    </row>
    <row r="5600" spans="16:21" x14ac:dyDescent="0.35">
      <c r="P5600" s="226"/>
      <c r="Q5600" s="226"/>
      <c r="R5600" s="226"/>
      <c r="S5600" s="226"/>
      <c r="T5600" s="226"/>
      <c r="U5600" s="226"/>
    </row>
    <row r="5601" spans="16:21" x14ac:dyDescent="0.35">
      <c r="P5601" s="226"/>
      <c r="Q5601" s="226"/>
      <c r="R5601" s="226"/>
      <c r="S5601" s="226"/>
      <c r="T5601" s="226"/>
      <c r="U5601" s="226"/>
    </row>
    <row r="5602" spans="16:21" x14ac:dyDescent="0.35">
      <c r="P5602" s="226"/>
      <c r="Q5602" s="226"/>
      <c r="R5602" s="226"/>
      <c r="S5602" s="226"/>
      <c r="T5602" s="226"/>
      <c r="U5602" s="226"/>
    </row>
    <row r="5603" spans="16:21" x14ac:dyDescent="0.35">
      <c r="P5603" s="226"/>
      <c r="Q5603" s="226"/>
      <c r="R5603" s="226"/>
      <c r="S5603" s="226"/>
      <c r="T5603" s="226"/>
      <c r="U5603" s="226"/>
    </row>
    <row r="5604" spans="16:21" x14ac:dyDescent="0.35">
      <c r="P5604" s="226"/>
      <c r="Q5604" s="226"/>
      <c r="R5604" s="226"/>
      <c r="S5604" s="226"/>
      <c r="T5604" s="226"/>
      <c r="U5604" s="226"/>
    </row>
    <row r="5605" spans="16:21" x14ac:dyDescent="0.35">
      <c r="P5605" s="226"/>
      <c r="Q5605" s="226"/>
      <c r="R5605" s="226"/>
      <c r="S5605" s="226"/>
      <c r="T5605" s="226"/>
      <c r="U5605" s="226"/>
    </row>
    <row r="5606" spans="16:21" x14ac:dyDescent="0.35">
      <c r="P5606" s="226"/>
      <c r="Q5606" s="226"/>
      <c r="R5606" s="226"/>
      <c r="S5606" s="226"/>
      <c r="T5606" s="226"/>
      <c r="U5606" s="226"/>
    </row>
    <row r="5607" spans="16:21" x14ac:dyDescent="0.35">
      <c r="P5607" s="226"/>
      <c r="Q5607" s="226"/>
      <c r="R5607" s="226"/>
      <c r="S5607" s="226"/>
      <c r="T5607" s="226"/>
      <c r="U5607" s="226"/>
    </row>
    <row r="5608" spans="16:21" x14ac:dyDescent="0.35">
      <c r="P5608" s="226"/>
      <c r="Q5608" s="226"/>
      <c r="R5608" s="226"/>
      <c r="S5608" s="226"/>
      <c r="T5608" s="226"/>
      <c r="U5608" s="226"/>
    </row>
    <row r="5609" spans="16:21" x14ac:dyDescent="0.35">
      <c r="P5609" s="226"/>
      <c r="Q5609" s="226"/>
      <c r="R5609" s="226"/>
      <c r="S5609" s="226"/>
      <c r="T5609" s="226"/>
      <c r="U5609" s="226"/>
    </row>
    <row r="5610" spans="16:21" x14ac:dyDescent="0.35">
      <c r="P5610" s="226"/>
      <c r="Q5610" s="226"/>
      <c r="R5610" s="226"/>
      <c r="S5610" s="226"/>
      <c r="T5610" s="226"/>
      <c r="U5610" s="226"/>
    </row>
    <row r="5611" spans="16:21" x14ac:dyDescent="0.35">
      <c r="P5611" s="226"/>
      <c r="Q5611" s="226"/>
      <c r="R5611" s="226"/>
      <c r="S5611" s="226"/>
      <c r="T5611" s="226"/>
      <c r="U5611" s="226"/>
    </row>
    <row r="5612" spans="16:21" x14ac:dyDescent="0.35">
      <c r="P5612" s="226"/>
      <c r="Q5612" s="226"/>
      <c r="R5612" s="226"/>
      <c r="S5612" s="226"/>
      <c r="T5612" s="226"/>
      <c r="U5612" s="226"/>
    </row>
    <row r="5613" spans="16:21" x14ac:dyDescent="0.35">
      <c r="P5613" s="226"/>
      <c r="Q5613" s="226"/>
      <c r="R5613" s="226"/>
      <c r="S5613" s="226"/>
      <c r="T5613" s="226"/>
      <c r="U5613" s="226"/>
    </row>
    <row r="5614" spans="16:21" x14ac:dyDescent="0.35">
      <c r="P5614" s="226"/>
      <c r="Q5614" s="226"/>
      <c r="R5614" s="226"/>
      <c r="S5614" s="226"/>
      <c r="T5614" s="226"/>
      <c r="U5614" s="226"/>
    </row>
    <row r="5615" spans="16:21" x14ac:dyDescent="0.35">
      <c r="P5615" s="226"/>
      <c r="Q5615" s="226"/>
      <c r="R5615" s="226"/>
      <c r="S5615" s="226"/>
      <c r="T5615" s="226"/>
      <c r="U5615" s="226"/>
    </row>
    <row r="5616" spans="16:21" x14ac:dyDescent="0.35">
      <c r="P5616" s="226"/>
      <c r="Q5616" s="226"/>
      <c r="R5616" s="226"/>
      <c r="S5616" s="226"/>
      <c r="T5616" s="226"/>
      <c r="U5616" s="226"/>
    </row>
    <row r="5617" spans="16:21" x14ac:dyDescent="0.35">
      <c r="P5617" s="226"/>
      <c r="Q5617" s="226"/>
      <c r="R5617" s="226"/>
      <c r="S5617" s="226"/>
      <c r="T5617" s="226"/>
      <c r="U5617" s="226"/>
    </row>
    <row r="5618" spans="16:21" x14ac:dyDescent="0.35">
      <c r="P5618" s="226"/>
      <c r="Q5618" s="226"/>
      <c r="R5618" s="226"/>
      <c r="S5618" s="226"/>
      <c r="T5618" s="226"/>
      <c r="U5618" s="226"/>
    </row>
    <row r="5619" spans="16:21" x14ac:dyDescent="0.35">
      <c r="P5619" s="226"/>
      <c r="Q5619" s="226"/>
      <c r="R5619" s="226"/>
      <c r="S5619" s="226"/>
      <c r="T5619" s="226"/>
      <c r="U5619" s="226"/>
    </row>
    <row r="5620" spans="16:21" x14ac:dyDescent="0.35">
      <c r="P5620" s="226"/>
      <c r="Q5620" s="226"/>
      <c r="R5620" s="226"/>
      <c r="S5620" s="226"/>
      <c r="T5620" s="226"/>
      <c r="U5620" s="226"/>
    </row>
    <row r="5621" spans="16:21" x14ac:dyDescent="0.35">
      <c r="P5621" s="226"/>
      <c r="Q5621" s="226"/>
      <c r="R5621" s="226"/>
      <c r="S5621" s="226"/>
      <c r="T5621" s="226"/>
      <c r="U5621" s="226"/>
    </row>
    <row r="5622" spans="16:21" x14ac:dyDescent="0.35">
      <c r="P5622" s="226"/>
      <c r="Q5622" s="226"/>
      <c r="R5622" s="226"/>
      <c r="S5622" s="226"/>
      <c r="T5622" s="226"/>
      <c r="U5622" s="226"/>
    </row>
    <row r="5623" spans="16:21" x14ac:dyDescent="0.35">
      <c r="P5623" s="226"/>
      <c r="Q5623" s="226"/>
      <c r="R5623" s="226"/>
      <c r="S5623" s="226"/>
      <c r="T5623" s="226"/>
      <c r="U5623" s="226"/>
    </row>
    <row r="5624" spans="16:21" x14ac:dyDescent="0.35">
      <c r="P5624" s="226"/>
      <c r="Q5624" s="226"/>
      <c r="R5624" s="226"/>
      <c r="S5624" s="226"/>
      <c r="T5624" s="226"/>
      <c r="U5624" s="226"/>
    </row>
    <row r="5625" spans="16:21" x14ac:dyDescent="0.35">
      <c r="P5625" s="226"/>
      <c r="Q5625" s="226"/>
      <c r="R5625" s="226"/>
      <c r="S5625" s="226"/>
      <c r="T5625" s="226"/>
      <c r="U5625" s="226"/>
    </row>
    <row r="5626" spans="16:21" x14ac:dyDescent="0.35">
      <c r="P5626" s="226"/>
      <c r="Q5626" s="226"/>
      <c r="R5626" s="226"/>
      <c r="S5626" s="226"/>
      <c r="T5626" s="226"/>
      <c r="U5626" s="226"/>
    </row>
    <row r="5627" spans="16:21" x14ac:dyDescent="0.35">
      <c r="P5627" s="226"/>
      <c r="Q5627" s="226"/>
      <c r="R5627" s="226"/>
      <c r="S5627" s="226"/>
      <c r="T5627" s="226"/>
      <c r="U5627" s="226"/>
    </row>
    <row r="5628" spans="16:21" x14ac:dyDescent="0.35">
      <c r="P5628" s="226"/>
      <c r="Q5628" s="226"/>
      <c r="R5628" s="226"/>
      <c r="S5628" s="226"/>
      <c r="T5628" s="226"/>
      <c r="U5628" s="226"/>
    </row>
    <row r="5629" spans="16:21" x14ac:dyDescent="0.35">
      <c r="P5629" s="226"/>
      <c r="Q5629" s="226"/>
      <c r="R5629" s="226"/>
      <c r="S5629" s="226"/>
      <c r="T5629" s="226"/>
      <c r="U5629" s="226"/>
    </row>
    <row r="5630" spans="16:21" x14ac:dyDescent="0.35">
      <c r="P5630" s="226"/>
      <c r="Q5630" s="226"/>
      <c r="R5630" s="226"/>
      <c r="S5630" s="226"/>
      <c r="T5630" s="226"/>
      <c r="U5630" s="226"/>
    </row>
    <row r="5631" spans="16:21" x14ac:dyDescent="0.35">
      <c r="P5631" s="226"/>
      <c r="Q5631" s="226"/>
      <c r="R5631" s="226"/>
      <c r="S5631" s="226"/>
      <c r="T5631" s="226"/>
      <c r="U5631" s="226"/>
    </row>
    <row r="5632" spans="16:21" x14ac:dyDescent="0.35">
      <c r="P5632" s="226"/>
      <c r="Q5632" s="226"/>
      <c r="R5632" s="226"/>
      <c r="S5632" s="226"/>
      <c r="T5632" s="226"/>
      <c r="U5632" s="226"/>
    </row>
    <row r="5633" spans="16:21" x14ac:dyDescent="0.35">
      <c r="P5633" s="226"/>
      <c r="Q5633" s="226"/>
      <c r="R5633" s="226"/>
      <c r="S5633" s="226"/>
      <c r="T5633" s="226"/>
      <c r="U5633" s="226"/>
    </row>
    <row r="5634" spans="16:21" x14ac:dyDescent="0.35">
      <c r="P5634" s="226"/>
      <c r="Q5634" s="226"/>
      <c r="R5634" s="226"/>
      <c r="S5634" s="226"/>
      <c r="T5634" s="226"/>
      <c r="U5634" s="226"/>
    </row>
    <row r="5635" spans="16:21" x14ac:dyDescent="0.35">
      <c r="P5635" s="226"/>
      <c r="Q5635" s="226"/>
      <c r="R5635" s="226"/>
      <c r="S5635" s="226"/>
      <c r="T5635" s="226"/>
      <c r="U5635" s="226"/>
    </row>
    <row r="5636" spans="16:21" x14ac:dyDescent="0.35">
      <c r="P5636" s="226"/>
      <c r="Q5636" s="226"/>
      <c r="R5636" s="226"/>
      <c r="S5636" s="226"/>
      <c r="T5636" s="226"/>
      <c r="U5636" s="226"/>
    </row>
    <row r="5637" spans="16:21" x14ac:dyDescent="0.35">
      <c r="P5637" s="226"/>
      <c r="Q5637" s="226"/>
      <c r="R5637" s="226"/>
      <c r="S5637" s="226"/>
      <c r="T5637" s="226"/>
      <c r="U5637" s="226"/>
    </row>
    <row r="5638" spans="16:21" x14ac:dyDescent="0.35">
      <c r="P5638" s="226"/>
      <c r="Q5638" s="226"/>
      <c r="R5638" s="226"/>
      <c r="S5638" s="226"/>
      <c r="T5638" s="226"/>
      <c r="U5638" s="226"/>
    </row>
    <row r="5639" spans="16:21" x14ac:dyDescent="0.35">
      <c r="P5639" s="226"/>
      <c r="Q5639" s="226"/>
      <c r="R5639" s="226"/>
      <c r="S5639" s="226"/>
      <c r="T5639" s="226"/>
      <c r="U5639" s="226"/>
    </row>
    <row r="5640" spans="16:21" x14ac:dyDescent="0.35">
      <c r="P5640" s="226"/>
      <c r="Q5640" s="226"/>
      <c r="R5640" s="226"/>
      <c r="S5640" s="226"/>
      <c r="T5640" s="226"/>
      <c r="U5640" s="226"/>
    </row>
    <row r="5641" spans="16:21" x14ac:dyDescent="0.35">
      <c r="P5641" s="226"/>
      <c r="Q5641" s="226"/>
      <c r="R5641" s="226"/>
      <c r="S5641" s="226"/>
      <c r="T5641" s="226"/>
      <c r="U5641" s="226"/>
    </row>
    <row r="5642" spans="16:21" x14ac:dyDescent="0.35">
      <c r="P5642" s="226"/>
      <c r="Q5642" s="226"/>
      <c r="R5642" s="226"/>
      <c r="S5642" s="226"/>
      <c r="T5642" s="226"/>
      <c r="U5642" s="226"/>
    </row>
    <row r="5643" spans="16:21" x14ac:dyDescent="0.35">
      <c r="P5643" s="226"/>
      <c r="Q5643" s="226"/>
      <c r="R5643" s="226"/>
      <c r="S5643" s="226"/>
      <c r="T5643" s="226"/>
      <c r="U5643" s="226"/>
    </row>
    <row r="5644" spans="16:21" x14ac:dyDescent="0.35">
      <c r="P5644" s="226"/>
      <c r="Q5644" s="226"/>
      <c r="R5644" s="226"/>
      <c r="S5644" s="226"/>
      <c r="T5644" s="226"/>
      <c r="U5644" s="226"/>
    </row>
    <row r="5645" spans="16:21" x14ac:dyDescent="0.35">
      <c r="P5645" s="226"/>
      <c r="Q5645" s="226"/>
      <c r="R5645" s="226"/>
      <c r="S5645" s="226"/>
      <c r="T5645" s="226"/>
      <c r="U5645" s="226"/>
    </row>
    <row r="5646" spans="16:21" x14ac:dyDescent="0.35">
      <c r="P5646" s="226"/>
      <c r="Q5646" s="226"/>
      <c r="R5646" s="226"/>
      <c r="S5646" s="226"/>
      <c r="T5646" s="226"/>
      <c r="U5646" s="226"/>
    </row>
    <row r="5647" spans="16:21" x14ac:dyDescent="0.35">
      <c r="P5647" s="226"/>
      <c r="Q5647" s="226"/>
      <c r="R5647" s="226"/>
      <c r="S5647" s="226"/>
      <c r="T5647" s="226"/>
      <c r="U5647" s="226"/>
    </row>
    <row r="5648" spans="16:21" x14ac:dyDescent="0.35">
      <c r="P5648" s="226"/>
      <c r="Q5648" s="226"/>
      <c r="R5648" s="226"/>
      <c r="S5648" s="226"/>
      <c r="T5648" s="226"/>
      <c r="U5648" s="226"/>
    </row>
    <row r="5649" spans="16:21" x14ac:dyDescent="0.35">
      <c r="P5649" s="226"/>
      <c r="Q5649" s="226"/>
      <c r="R5649" s="226"/>
      <c r="S5649" s="226"/>
      <c r="T5649" s="226"/>
      <c r="U5649" s="226"/>
    </row>
    <row r="5650" spans="16:21" x14ac:dyDescent="0.35">
      <c r="P5650" s="226"/>
      <c r="Q5650" s="226"/>
      <c r="R5650" s="226"/>
      <c r="S5650" s="226"/>
      <c r="T5650" s="226"/>
      <c r="U5650" s="226"/>
    </row>
    <row r="5651" spans="16:21" x14ac:dyDescent="0.35">
      <c r="P5651" s="226"/>
      <c r="Q5651" s="226"/>
      <c r="R5651" s="226"/>
      <c r="S5651" s="226"/>
      <c r="T5651" s="226"/>
      <c r="U5651" s="226"/>
    </row>
    <row r="5652" spans="16:21" x14ac:dyDescent="0.35">
      <c r="P5652" s="226"/>
      <c r="Q5652" s="226"/>
      <c r="R5652" s="226"/>
      <c r="S5652" s="226"/>
      <c r="T5652" s="226"/>
      <c r="U5652" s="226"/>
    </row>
    <row r="5653" spans="16:21" x14ac:dyDescent="0.35">
      <c r="P5653" s="226"/>
      <c r="Q5653" s="226"/>
      <c r="R5653" s="226"/>
      <c r="S5653" s="226"/>
      <c r="T5653" s="226"/>
      <c r="U5653" s="226"/>
    </row>
    <row r="5654" spans="16:21" x14ac:dyDescent="0.35">
      <c r="P5654" s="226"/>
      <c r="Q5654" s="226"/>
      <c r="R5654" s="226"/>
      <c r="S5654" s="226"/>
      <c r="T5654" s="226"/>
      <c r="U5654" s="226"/>
    </row>
    <row r="5655" spans="16:21" x14ac:dyDescent="0.35">
      <c r="P5655" s="226"/>
      <c r="Q5655" s="226"/>
      <c r="R5655" s="226"/>
      <c r="S5655" s="226"/>
      <c r="T5655" s="226"/>
      <c r="U5655" s="226"/>
    </row>
    <row r="5656" spans="16:21" x14ac:dyDescent="0.35">
      <c r="P5656" s="226"/>
      <c r="Q5656" s="226"/>
      <c r="R5656" s="226"/>
      <c r="S5656" s="226"/>
      <c r="T5656" s="226"/>
      <c r="U5656" s="226"/>
    </row>
    <row r="5657" spans="16:21" x14ac:dyDescent="0.35">
      <c r="P5657" s="226"/>
      <c r="Q5657" s="226"/>
      <c r="R5657" s="226"/>
      <c r="S5657" s="226"/>
      <c r="T5657" s="226"/>
      <c r="U5657" s="226"/>
    </row>
    <row r="5658" spans="16:21" x14ac:dyDescent="0.35">
      <c r="P5658" s="226"/>
      <c r="Q5658" s="226"/>
      <c r="R5658" s="226"/>
      <c r="S5658" s="226"/>
      <c r="T5658" s="226"/>
      <c r="U5658" s="226"/>
    </row>
    <row r="5659" spans="16:21" x14ac:dyDescent="0.35">
      <c r="P5659" s="226"/>
      <c r="Q5659" s="226"/>
      <c r="R5659" s="226"/>
      <c r="S5659" s="226"/>
      <c r="T5659" s="226"/>
      <c r="U5659" s="226"/>
    </row>
    <row r="5660" spans="16:21" x14ac:dyDescent="0.35">
      <c r="P5660" s="226"/>
      <c r="Q5660" s="226"/>
      <c r="R5660" s="226"/>
      <c r="S5660" s="226"/>
      <c r="T5660" s="226"/>
      <c r="U5660" s="226"/>
    </row>
    <row r="5661" spans="16:21" x14ac:dyDescent="0.35">
      <c r="P5661" s="226"/>
      <c r="Q5661" s="226"/>
      <c r="R5661" s="226"/>
      <c r="S5661" s="226"/>
      <c r="T5661" s="226"/>
      <c r="U5661" s="226"/>
    </row>
    <row r="5662" spans="16:21" x14ac:dyDescent="0.35">
      <c r="P5662" s="226"/>
      <c r="Q5662" s="226"/>
      <c r="R5662" s="226"/>
      <c r="S5662" s="226"/>
      <c r="T5662" s="226"/>
      <c r="U5662" s="226"/>
    </row>
    <row r="5663" spans="16:21" x14ac:dyDescent="0.35">
      <c r="P5663" s="226"/>
      <c r="Q5663" s="226"/>
      <c r="R5663" s="226"/>
      <c r="S5663" s="226"/>
      <c r="T5663" s="226"/>
      <c r="U5663" s="226"/>
    </row>
    <row r="5664" spans="16:21" x14ac:dyDescent="0.35">
      <c r="P5664" s="226"/>
      <c r="Q5664" s="226"/>
      <c r="R5664" s="226"/>
      <c r="S5664" s="226"/>
      <c r="T5664" s="226"/>
      <c r="U5664" s="226"/>
    </row>
    <row r="5665" spans="16:21" x14ac:dyDescent="0.35">
      <c r="P5665" s="226"/>
      <c r="Q5665" s="226"/>
      <c r="R5665" s="226"/>
      <c r="S5665" s="226"/>
      <c r="T5665" s="226"/>
      <c r="U5665" s="226"/>
    </row>
    <row r="5666" spans="16:21" x14ac:dyDescent="0.35">
      <c r="P5666" s="226"/>
      <c r="Q5666" s="226"/>
      <c r="R5666" s="226"/>
      <c r="S5666" s="226"/>
      <c r="T5666" s="226"/>
      <c r="U5666" s="226"/>
    </row>
    <row r="5667" spans="16:21" x14ac:dyDescent="0.35">
      <c r="P5667" s="226"/>
      <c r="Q5667" s="226"/>
      <c r="R5667" s="226"/>
      <c r="S5667" s="226"/>
      <c r="T5667" s="226"/>
      <c r="U5667" s="226"/>
    </row>
    <row r="5668" spans="16:21" x14ac:dyDescent="0.35">
      <c r="P5668" s="226"/>
      <c r="Q5668" s="226"/>
      <c r="R5668" s="226"/>
      <c r="S5668" s="226"/>
      <c r="T5668" s="226"/>
      <c r="U5668" s="226"/>
    </row>
    <row r="5669" spans="16:21" x14ac:dyDescent="0.35">
      <c r="P5669" s="226"/>
      <c r="Q5669" s="226"/>
      <c r="R5669" s="226"/>
      <c r="S5669" s="226"/>
      <c r="T5669" s="226"/>
      <c r="U5669" s="226"/>
    </row>
    <row r="5670" spans="16:21" x14ac:dyDescent="0.35">
      <c r="P5670" s="226"/>
      <c r="Q5670" s="226"/>
      <c r="R5670" s="226"/>
      <c r="S5670" s="226"/>
      <c r="T5670" s="226"/>
      <c r="U5670" s="226"/>
    </row>
    <row r="5671" spans="16:21" x14ac:dyDescent="0.35">
      <c r="P5671" s="226"/>
      <c r="Q5671" s="226"/>
      <c r="R5671" s="226"/>
      <c r="S5671" s="226"/>
      <c r="T5671" s="226"/>
      <c r="U5671" s="226"/>
    </row>
    <row r="5672" spans="16:21" x14ac:dyDescent="0.35">
      <c r="P5672" s="226"/>
      <c r="Q5672" s="226"/>
      <c r="R5672" s="226"/>
      <c r="S5672" s="226"/>
      <c r="T5672" s="226"/>
      <c r="U5672" s="226"/>
    </row>
    <row r="5673" spans="16:21" x14ac:dyDescent="0.35">
      <c r="P5673" s="226"/>
      <c r="Q5673" s="226"/>
      <c r="R5673" s="226"/>
      <c r="S5673" s="226"/>
      <c r="T5673" s="226"/>
      <c r="U5673" s="226"/>
    </row>
    <row r="5674" spans="16:21" x14ac:dyDescent="0.35">
      <c r="P5674" s="226"/>
      <c r="Q5674" s="226"/>
      <c r="R5674" s="226"/>
      <c r="S5674" s="226"/>
      <c r="T5674" s="226"/>
      <c r="U5674" s="226"/>
    </row>
    <row r="5675" spans="16:21" x14ac:dyDescent="0.35">
      <c r="P5675" s="226"/>
      <c r="Q5675" s="226"/>
      <c r="R5675" s="226"/>
      <c r="S5675" s="226"/>
      <c r="T5675" s="226"/>
      <c r="U5675" s="226"/>
    </row>
    <row r="5676" spans="16:21" x14ac:dyDescent="0.35">
      <c r="P5676" s="226"/>
      <c r="Q5676" s="226"/>
      <c r="R5676" s="226"/>
      <c r="S5676" s="226"/>
      <c r="T5676" s="226"/>
      <c r="U5676" s="226"/>
    </row>
    <row r="5677" spans="16:21" x14ac:dyDescent="0.35">
      <c r="P5677" s="226"/>
      <c r="Q5677" s="226"/>
      <c r="R5677" s="226"/>
      <c r="S5677" s="226"/>
      <c r="T5677" s="226"/>
      <c r="U5677" s="226"/>
    </row>
    <row r="5678" spans="16:21" x14ac:dyDescent="0.35">
      <c r="P5678" s="226"/>
      <c r="Q5678" s="226"/>
      <c r="R5678" s="226"/>
      <c r="S5678" s="226"/>
      <c r="T5678" s="226"/>
      <c r="U5678" s="226"/>
    </row>
    <row r="5679" spans="16:21" x14ac:dyDescent="0.35">
      <c r="P5679" s="226"/>
      <c r="Q5679" s="226"/>
      <c r="R5679" s="226"/>
      <c r="S5679" s="226"/>
      <c r="T5679" s="226"/>
      <c r="U5679" s="226"/>
    </row>
    <row r="5680" spans="16:21" x14ac:dyDescent="0.35">
      <c r="P5680" s="226"/>
      <c r="Q5680" s="226"/>
      <c r="R5680" s="226"/>
      <c r="S5680" s="226"/>
      <c r="T5680" s="226"/>
      <c r="U5680" s="226"/>
    </row>
    <row r="5681" spans="16:21" x14ac:dyDescent="0.35">
      <c r="P5681" s="226"/>
      <c r="Q5681" s="226"/>
      <c r="R5681" s="226"/>
      <c r="S5681" s="226"/>
      <c r="T5681" s="226"/>
      <c r="U5681" s="226"/>
    </row>
    <row r="5682" spans="16:21" x14ac:dyDescent="0.35">
      <c r="P5682" s="226"/>
      <c r="Q5682" s="226"/>
      <c r="R5682" s="226"/>
      <c r="S5682" s="226"/>
      <c r="T5682" s="226"/>
      <c r="U5682" s="226"/>
    </row>
    <row r="5683" spans="16:21" x14ac:dyDescent="0.35">
      <c r="P5683" s="226"/>
      <c r="Q5683" s="226"/>
      <c r="R5683" s="226"/>
      <c r="S5683" s="226"/>
      <c r="T5683" s="226"/>
      <c r="U5683" s="226"/>
    </row>
    <row r="5684" spans="16:21" x14ac:dyDescent="0.35">
      <c r="P5684" s="226"/>
      <c r="Q5684" s="226"/>
      <c r="R5684" s="226"/>
      <c r="S5684" s="226"/>
      <c r="T5684" s="226"/>
      <c r="U5684" s="226"/>
    </row>
    <row r="5685" spans="16:21" x14ac:dyDescent="0.35">
      <c r="P5685" s="226"/>
      <c r="Q5685" s="226"/>
      <c r="R5685" s="226"/>
      <c r="S5685" s="226"/>
      <c r="T5685" s="226"/>
      <c r="U5685" s="226"/>
    </row>
    <row r="5686" spans="16:21" x14ac:dyDescent="0.35">
      <c r="P5686" s="226"/>
      <c r="Q5686" s="226"/>
      <c r="R5686" s="226"/>
      <c r="S5686" s="226"/>
      <c r="T5686" s="226"/>
      <c r="U5686" s="226"/>
    </row>
    <row r="5687" spans="16:21" x14ac:dyDescent="0.35">
      <c r="P5687" s="226"/>
      <c r="Q5687" s="226"/>
      <c r="R5687" s="226"/>
      <c r="S5687" s="226"/>
      <c r="T5687" s="226"/>
      <c r="U5687" s="226"/>
    </row>
    <row r="5688" spans="16:21" x14ac:dyDescent="0.35">
      <c r="P5688" s="226"/>
      <c r="Q5688" s="226"/>
      <c r="R5688" s="226"/>
      <c r="S5688" s="226"/>
      <c r="T5688" s="226"/>
      <c r="U5688" s="226"/>
    </row>
    <row r="5689" spans="16:21" x14ac:dyDescent="0.35">
      <c r="P5689" s="226"/>
      <c r="Q5689" s="226"/>
      <c r="R5689" s="226"/>
      <c r="S5689" s="226"/>
      <c r="T5689" s="226"/>
      <c r="U5689" s="226"/>
    </row>
    <row r="5690" spans="16:21" x14ac:dyDescent="0.35">
      <c r="P5690" s="226"/>
      <c r="Q5690" s="226"/>
      <c r="R5690" s="226"/>
      <c r="S5690" s="226"/>
      <c r="T5690" s="226"/>
      <c r="U5690" s="226"/>
    </row>
    <row r="5691" spans="16:21" x14ac:dyDescent="0.35">
      <c r="P5691" s="226"/>
      <c r="Q5691" s="226"/>
      <c r="R5691" s="226"/>
      <c r="S5691" s="226"/>
      <c r="T5691" s="226"/>
      <c r="U5691" s="226"/>
    </row>
    <row r="5692" spans="16:21" x14ac:dyDescent="0.35">
      <c r="P5692" s="226"/>
      <c r="Q5692" s="226"/>
      <c r="R5692" s="226"/>
      <c r="S5692" s="226"/>
      <c r="T5692" s="226"/>
      <c r="U5692" s="226"/>
    </row>
    <row r="5693" spans="16:21" x14ac:dyDescent="0.35">
      <c r="P5693" s="226"/>
      <c r="Q5693" s="226"/>
      <c r="R5693" s="226"/>
      <c r="S5693" s="226"/>
      <c r="T5693" s="226"/>
      <c r="U5693" s="226"/>
    </row>
    <row r="5694" spans="16:21" x14ac:dyDescent="0.35">
      <c r="P5694" s="226"/>
      <c r="Q5694" s="226"/>
      <c r="R5694" s="226"/>
      <c r="S5694" s="226"/>
      <c r="T5694" s="226"/>
      <c r="U5694" s="226"/>
    </row>
    <row r="5695" spans="16:21" x14ac:dyDescent="0.35">
      <c r="P5695" s="226"/>
      <c r="Q5695" s="226"/>
      <c r="R5695" s="226"/>
      <c r="S5695" s="226"/>
      <c r="T5695" s="226"/>
      <c r="U5695" s="226"/>
    </row>
    <row r="5696" spans="16:21" x14ac:dyDescent="0.35">
      <c r="P5696" s="226"/>
      <c r="Q5696" s="226"/>
      <c r="R5696" s="226"/>
      <c r="S5696" s="226"/>
      <c r="T5696" s="226"/>
      <c r="U5696" s="226"/>
    </row>
    <row r="5697" spans="16:21" x14ac:dyDescent="0.35">
      <c r="P5697" s="226"/>
      <c r="Q5697" s="226"/>
      <c r="R5697" s="226"/>
      <c r="S5697" s="226"/>
      <c r="T5697" s="226"/>
      <c r="U5697" s="226"/>
    </row>
    <row r="5698" spans="16:21" x14ac:dyDescent="0.35">
      <c r="P5698" s="226"/>
      <c r="Q5698" s="226"/>
      <c r="R5698" s="226"/>
      <c r="S5698" s="226"/>
      <c r="T5698" s="226"/>
      <c r="U5698" s="226"/>
    </row>
    <row r="5699" spans="16:21" x14ac:dyDescent="0.35">
      <c r="P5699" s="226"/>
      <c r="Q5699" s="226"/>
      <c r="R5699" s="226"/>
      <c r="S5699" s="226"/>
      <c r="T5699" s="226"/>
      <c r="U5699" s="226"/>
    </row>
    <row r="5700" spans="16:21" x14ac:dyDescent="0.35">
      <c r="P5700" s="226"/>
      <c r="Q5700" s="226"/>
      <c r="R5700" s="226"/>
      <c r="S5700" s="226"/>
      <c r="T5700" s="226"/>
      <c r="U5700" s="226"/>
    </row>
    <row r="5701" spans="16:21" x14ac:dyDescent="0.35">
      <c r="P5701" s="226"/>
      <c r="Q5701" s="226"/>
      <c r="R5701" s="226"/>
      <c r="S5701" s="226"/>
      <c r="T5701" s="226"/>
      <c r="U5701" s="226"/>
    </row>
    <row r="5702" spans="16:21" x14ac:dyDescent="0.35">
      <c r="P5702" s="226"/>
      <c r="Q5702" s="226"/>
      <c r="R5702" s="226"/>
      <c r="S5702" s="226"/>
      <c r="T5702" s="226"/>
      <c r="U5702" s="226"/>
    </row>
    <row r="5703" spans="16:21" x14ac:dyDescent="0.35">
      <c r="P5703" s="226"/>
      <c r="Q5703" s="226"/>
      <c r="R5703" s="226"/>
      <c r="S5703" s="226"/>
      <c r="T5703" s="226"/>
      <c r="U5703" s="226"/>
    </row>
    <row r="5704" spans="16:21" x14ac:dyDescent="0.35">
      <c r="P5704" s="226"/>
      <c r="Q5704" s="226"/>
      <c r="R5704" s="226"/>
      <c r="S5704" s="226"/>
      <c r="T5704" s="226"/>
      <c r="U5704" s="226"/>
    </row>
    <row r="5705" spans="16:21" x14ac:dyDescent="0.35">
      <c r="P5705" s="226"/>
      <c r="Q5705" s="226"/>
      <c r="R5705" s="226"/>
      <c r="S5705" s="226"/>
      <c r="T5705" s="226"/>
      <c r="U5705" s="226"/>
    </row>
    <row r="5706" spans="16:21" x14ac:dyDescent="0.35">
      <c r="P5706" s="226"/>
      <c r="Q5706" s="226"/>
      <c r="R5706" s="226"/>
      <c r="S5706" s="226"/>
      <c r="T5706" s="226"/>
      <c r="U5706" s="226"/>
    </row>
    <row r="5707" spans="16:21" x14ac:dyDescent="0.35">
      <c r="P5707" s="226"/>
      <c r="Q5707" s="226"/>
      <c r="R5707" s="226"/>
      <c r="S5707" s="226"/>
      <c r="T5707" s="226"/>
      <c r="U5707" s="226"/>
    </row>
    <row r="5708" spans="16:21" x14ac:dyDescent="0.35">
      <c r="P5708" s="226"/>
      <c r="Q5708" s="226"/>
      <c r="R5708" s="226"/>
      <c r="S5708" s="226"/>
      <c r="T5708" s="226"/>
      <c r="U5708" s="226"/>
    </row>
    <row r="5709" spans="16:21" x14ac:dyDescent="0.35">
      <c r="P5709" s="226"/>
      <c r="Q5709" s="226"/>
      <c r="R5709" s="226"/>
      <c r="S5709" s="226"/>
      <c r="T5709" s="226"/>
      <c r="U5709" s="226"/>
    </row>
    <row r="5710" spans="16:21" x14ac:dyDescent="0.35">
      <c r="P5710" s="226"/>
      <c r="Q5710" s="226"/>
      <c r="R5710" s="226"/>
      <c r="S5710" s="226"/>
      <c r="T5710" s="226"/>
      <c r="U5710" s="226"/>
    </row>
    <row r="5711" spans="16:21" x14ac:dyDescent="0.35">
      <c r="P5711" s="226"/>
      <c r="Q5711" s="226"/>
      <c r="R5711" s="226"/>
      <c r="S5711" s="226"/>
      <c r="T5711" s="226"/>
      <c r="U5711" s="226"/>
    </row>
    <row r="5712" spans="16:21" x14ac:dyDescent="0.35">
      <c r="P5712" s="226"/>
      <c r="Q5712" s="226"/>
      <c r="R5712" s="226"/>
      <c r="S5712" s="226"/>
      <c r="T5712" s="226"/>
      <c r="U5712" s="226"/>
    </row>
    <row r="5713" spans="16:21" x14ac:dyDescent="0.35">
      <c r="P5713" s="226"/>
      <c r="Q5713" s="226"/>
      <c r="R5713" s="226"/>
      <c r="S5713" s="226"/>
      <c r="T5713" s="226"/>
      <c r="U5713" s="226"/>
    </row>
    <row r="5714" spans="16:21" x14ac:dyDescent="0.35">
      <c r="P5714" s="226"/>
      <c r="Q5714" s="226"/>
      <c r="R5714" s="226"/>
      <c r="S5714" s="226"/>
      <c r="T5714" s="226"/>
      <c r="U5714" s="226"/>
    </row>
    <row r="5715" spans="16:21" x14ac:dyDescent="0.35">
      <c r="P5715" s="226"/>
      <c r="Q5715" s="226"/>
      <c r="R5715" s="226"/>
      <c r="S5715" s="226"/>
      <c r="T5715" s="226"/>
      <c r="U5715" s="226"/>
    </row>
    <row r="5716" spans="16:21" x14ac:dyDescent="0.35">
      <c r="P5716" s="226"/>
      <c r="Q5716" s="226"/>
      <c r="R5716" s="226"/>
      <c r="S5716" s="226"/>
      <c r="T5716" s="226"/>
      <c r="U5716" s="226"/>
    </row>
    <row r="5717" spans="16:21" x14ac:dyDescent="0.35">
      <c r="P5717" s="226"/>
      <c r="Q5717" s="226"/>
      <c r="R5717" s="226"/>
      <c r="S5717" s="226"/>
      <c r="T5717" s="226"/>
      <c r="U5717" s="226"/>
    </row>
    <row r="5718" spans="16:21" x14ac:dyDescent="0.35">
      <c r="P5718" s="226"/>
      <c r="Q5718" s="226"/>
      <c r="R5718" s="226"/>
      <c r="S5718" s="226"/>
      <c r="T5718" s="226"/>
      <c r="U5718" s="226"/>
    </row>
    <row r="5719" spans="16:21" x14ac:dyDescent="0.35">
      <c r="P5719" s="226"/>
      <c r="Q5719" s="226"/>
      <c r="R5719" s="226"/>
      <c r="S5719" s="226"/>
      <c r="T5719" s="226"/>
      <c r="U5719" s="226"/>
    </row>
    <row r="5720" spans="16:21" x14ac:dyDescent="0.35">
      <c r="P5720" s="226"/>
      <c r="Q5720" s="226"/>
      <c r="R5720" s="226"/>
      <c r="S5720" s="226"/>
      <c r="T5720" s="226"/>
      <c r="U5720" s="226"/>
    </row>
    <row r="5721" spans="16:21" x14ac:dyDescent="0.35">
      <c r="P5721" s="226"/>
      <c r="Q5721" s="226"/>
      <c r="R5721" s="226"/>
      <c r="S5721" s="226"/>
      <c r="T5721" s="226"/>
      <c r="U5721" s="226"/>
    </row>
    <row r="5722" spans="16:21" x14ac:dyDescent="0.35">
      <c r="P5722" s="226"/>
      <c r="Q5722" s="226"/>
      <c r="R5722" s="226"/>
      <c r="S5722" s="226"/>
      <c r="T5722" s="226"/>
      <c r="U5722" s="226"/>
    </row>
    <row r="5723" spans="16:21" x14ac:dyDescent="0.35">
      <c r="P5723" s="226"/>
      <c r="Q5723" s="226"/>
      <c r="R5723" s="226"/>
      <c r="S5723" s="226"/>
      <c r="T5723" s="226"/>
      <c r="U5723" s="226"/>
    </row>
    <row r="5724" spans="16:21" x14ac:dyDescent="0.35">
      <c r="P5724" s="226"/>
      <c r="Q5724" s="226"/>
      <c r="R5724" s="226"/>
      <c r="S5724" s="226"/>
      <c r="T5724" s="226"/>
      <c r="U5724" s="226"/>
    </row>
    <row r="5725" spans="16:21" x14ac:dyDescent="0.35">
      <c r="P5725" s="226"/>
      <c r="Q5725" s="226"/>
      <c r="R5725" s="226"/>
      <c r="S5725" s="226"/>
      <c r="T5725" s="226"/>
      <c r="U5725" s="226"/>
    </row>
    <row r="5726" spans="16:21" x14ac:dyDescent="0.35">
      <c r="P5726" s="226"/>
      <c r="Q5726" s="226"/>
      <c r="R5726" s="226"/>
      <c r="S5726" s="226"/>
      <c r="T5726" s="226"/>
      <c r="U5726" s="226"/>
    </row>
    <row r="5727" spans="16:21" x14ac:dyDescent="0.35">
      <c r="P5727" s="226"/>
      <c r="Q5727" s="226"/>
      <c r="R5727" s="226"/>
      <c r="S5727" s="226"/>
      <c r="T5727" s="226"/>
      <c r="U5727" s="226"/>
    </row>
    <row r="5728" spans="16:21" x14ac:dyDescent="0.35">
      <c r="P5728" s="226"/>
      <c r="Q5728" s="226"/>
      <c r="R5728" s="226"/>
      <c r="S5728" s="226"/>
      <c r="T5728" s="226"/>
      <c r="U5728" s="226"/>
    </row>
    <row r="5729" spans="16:21" x14ac:dyDescent="0.35">
      <c r="P5729" s="226"/>
      <c r="Q5729" s="226"/>
      <c r="R5729" s="226"/>
      <c r="S5729" s="226"/>
      <c r="T5729" s="226"/>
      <c r="U5729" s="226"/>
    </row>
    <row r="5730" spans="16:21" x14ac:dyDescent="0.35">
      <c r="P5730" s="226"/>
      <c r="Q5730" s="226"/>
      <c r="R5730" s="226"/>
      <c r="S5730" s="226"/>
      <c r="T5730" s="226"/>
      <c r="U5730" s="226"/>
    </row>
    <row r="5731" spans="16:21" x14ac:dyDescent="0.35">
      <c r="P5731" s="226"/>
      <c r="Q5731" s="226"/>
      <c r="R5731" s="226"/>
      <c r="S5731" s="226"/>
      <c r="T5731" s="226"/>
      <c r="U5731" s="226"/>
    </row>
    <row r="5732" spans="16:21" x14ac:dyDescent="0.35">
      <c r="P5732" s="226"/>
      <c r="Q5732" s="226"/>
      <c r="R5732" s="226"/>
      <c r="S5732" s="226"/>
      <c r="T5732" s="226"/>
      <c r="U5732" s="226"/>
    </row>
    <row r="5733" spans="16:21" x14ac:dyDescent="0.35">
      <c r="P5733" s="226"/>
      <c r="Q5733" s="226"/>
      <c r="R5733" s="226"/>
      <c r="S5733" s="226"/>
      <c r="T5733" s="226"/>
      <c r="U5733" s="226"/>
    </row>
    <row r="5734" spans="16:21" x14ac:dyDescent="0.35">
      <c r="P5734" s="226"/>
      <c r="Q5734" s="226"/>
      <c r="R5734" s="226"/>
      <c r="S5734" s="226"/>
      <c r="T5734" s="226"/>
      <c r="U5734" s="226"/>
    </row>
    <row r="5735" spans="16:21" x14ac:dyDescent="0.35">
      <c r="P5735" s="226"/>
      <c r="Q5735" s="226"/>
      <c r="R5735" s="226"/>
      <c r="S5735" s="226"/>
      <c r="T5735" s="226"/>
      <c r="U5735" s="226"/>
    </row>
    <row r="5736" spans="16:21" x14ac:dyDescent="0.35">
      <c r="P5736" s="226"/>
      <c r="Q5736" s="226"/>
      <c r="R5736" s="226"/>
      <c r="S5736" s="226"/>
      <c r="T5736" s="226"/>
      <c r="U5736" s="226"/>
    </row>
    <row r="5737" spans="16:21" x14ac:dyDescent="0.35">
      <c r="P5737" s="226"/>
      <c r="Q5737" s="226"/>
      <c r="R5737" s="226"/>
      <c r="S5737" s="226"/>
      <c r="T5737" s="226"/>
      <c r="U5737" s="226"/>
    </row>
    <row r="5738" spans="16:21" x14ac:dyDescent="0.35">
      <c r="P5738" s="226"/>
      <c r="Q5738" s="226"/>
      <c r="R5738" s="226"/>
      <c r="S5738" s="226"/>
      <c r="T5738" s="226"/>
      <c r="U5738" s="226"/>
    </row>
    <row r="5739" spans="16:21" x14ac:dyDescent="0.35">
      <c r="P5739" s="226"/>
      <c r="Q5739" s="226"/>
      <c r="R5739" s="226"/>
      <c r="S5739" s="226"/>
      <c r="T5739" s="226"/>
      <c r="U5739" s="226"/>
    </row>
    <row r="5740" spans="16:21" x14ac:dyDescent="0.35">
      <c r="P5740" s="226"/>
      <c r="Q5740" s="226"/>
      <c r="R5740" s="226"/>
      <c r="S5740" s="226"/>
      <c r="T5740" s="226"/>
      <c r="U5740" s="226"/>
    </row>
    <row r="5741" spans="16:21" x14ac:dyDescent="0.35">
      <c r="P5741" s="226"/>
      <c r="Q5741" s="226"/>
      <c r="R5741" s="226"/>
      <c r="S5741" s="226"/>
      <c r="T5741" s="226"/>
      <c r="U5741" s="226"/>
    </row>
    <row r="5742" spans="16:21" x14ac:dyDescent="0.35">
      <c r="P5742" s="226"/>
      <c r="Q5742" s="226"/>
      <c r="R5742" s="226"/>
      <c r="S5742" s="226"/>
      <c r="T5742" s="226"/>
      <c r="U5742" s="226"/>
    </row>
    <row r="5743" spans="16:21" x14ac:dyDescent="0.35">
      <c r="P5743" s="226"/>
      <c r="Q5743" s="226"/>
      <c r="R5743" s="226"/>
      <c r="S5743" s="226"/>
      <c r="T5743" s="226"/>
      <c r="U5743" s="226"/>
    </row>
    <row r="5744" spans="16:21" x14ac:dyDescent="0.35">
      <c r="P5744" s="226"/>
      <c r="Q5744" s="226"/>
      <c r="R5744" s="226"/>
      <c r="S5744" s="226"/>
      <c r="T5744" s="226"/>
      <c r="U5744" s="226"/>
    </row>
    <row r="5745" spans="16:21" x14ac:dyDescent="0.35">
      <c r="P5745" s="226"/>
      <c r="Q5745" s="226"/>
      <c r="R5745" s="226"/>
      <c r="S5745" s="226"/>
      <c r="T5745" s="226"/>
      <c r="U5745" s="226"/>
    </row>
    <row r="5746" spans="16:21" x14ac:dyDescent="0.35">
      <c r="P5746" s="226"/>
      <c r="Q5746" s="226"/>
      <c r="R5746" s="226"/>
      <c r="S5746" s="226"/>
      <c r="T5746" s="226"/>
      <c r="U5746" s="226"/>
    </row>
    <row r="5747" spans="16:21" x14ac:dyDescent="0.35">
      <c r="P5747" s="226"/>
      <c r="Q5747" s="226"/>
      <c r="R5747" s="226"/>
      <c r="S5747" s="226"/>
      <c r="T5747" s="226"/>
      <c r="U5747" s="226"/>
    </row>
    <row r="5748" spans="16:21" x14ac:dyDescent="0.35">
      <c r="P5748" s="226"/>
      <c r="Q5748" s="226"/>
      <c r="R5748" s="226"/>
      <c r="S5748" s="226"/>
      <c r="T5748" s="226"/>
      <c r="U5748" s="226"/>
    </row>
    <row r="5749" spans="16:21" x14ac:dyDescent="0.35">
      <c r="P5749" s="226"/>
      <c r="Q5749" s="226"/>
      <c r="R5749" s="226"/>
      <c r="S5749" s="226"/>
      <c r="T5749" s="226"/>
      <c r="U5749" s="226"/>
    </row>
    <row r="5750" spans="16:21" x14ac:dyDescent="0.35">
      <c r="P5750" s="226"/>
      <c r="Q5750" s="226"/>
      <c r="R5750" s="226"/>
      <c r="S5750" s="226"/>
      <c r="T5750" s="226"/>
      <c r="U5750" s="226"/>
    </row>
    <row r="5751" spans="16:21" x14ac:dyDescent="0.35">
      <c r="P5751" s="226"/>
      <c r="Q5751" s="226"/>
      <c r="R5751" s="226"/>
      <c r="S5751" s="226"/>
      <c r="T5751" s="226"/>
      <c r="U5751" s="226"/>
    </row>
    <row r="5752" spans="16:21" x14ac:dyDescent="0.35">
      <c r="P5752" s="226"/>
      <c r="Q5752" s="226"/>
      <c r="R5752" s="226"/>
      <c r="S5752" s="226"/>
      <c r="T5752" s="226"/>
      <c r="U5752" s="226"/>
    </row>
    <row r="5753" spans="16:21" x14ac:dyDescent="0.35">
      <c r="P5753" s="226"/>
      <c r="Q5753" s="226"/>
      <c r="R5753" s="226"/>
      <c r="S5753" s="226"/>
      <c r="T5753" s="226"/>
      <c r="U5753" s="226"/>
    </row>
    <row r="5754" spans="16:21" x14ac:dyDescent="0.35">
      <c r="P5754" s="226"/>
      <c r="Q5754" s="226"/>
      <c r="R5754" s="226"/>
      <c r="S5754" s="226"/>
      <c r="T5754" s="226"/>
      <c r="U5754" s="226"/>
    </row>
    <row r="5755" spans="16:21" x14ac:dyDescent="0.35">
      <c r="P5755" s="226"/>
      <c r="Q5755" s="226"/>
      <c r="R5755" s="226"/>
      <c r="S5755" s="226"/>
      <c r="T5755" s="226"/>
      <c r="U5755" s="226"/>
    </row>
    <row r="5756" spans="16:21" x14ac:dyDescent="0.35">
      <c r="P5756" s="226"/>
      <c r="Q5756" s="226"/>
      <c r="R5756" s="226"/>
      <c r="S5756" s="226"/>
      <c r="T5756" s="226"/>
      <c r="U5756" s="226"/>
    </row>
    <row r="5757" spans="16:21" x14ac:dyDescent="0.35">
      <c r="P5757" s="226"/>
      <c r="Q5757" s="226"/>
      <c r="R5757" s="226"/>
      <c r="S5757" s="226"/>
      <c r="T5757" s="226"/>
      <c r="U5757" s="226"/>
    </row>
    <row r="5758" spans="16:21" x14ac:dyDescent="0.35">
      <c r="P5758" s="226"/>
      <c r="Q5758" s="226"/>
      <c r="R5758" s="226"/>
      <c r="S5758" s="226"/>
      <c r="T5758" s="226"/>
      <c r="U5758" s="226"/>
    </row>
    <row r="5759" spans="16:21" x14ac:dyDescent="0.35">
      <c r="P5759" s="226"/>
      <c r="Q5759" s="226"/>
      <c r="R5759" s="226"/>
      <c r="S5759" s="226"/>
      <c r="T5759" s="226"/>
      <c r="U5759" s="226"/>
    </row>
    <row r="5760" spans="16:21" x14ac:dyDescent="0.35">
      <c r="P5760" s="226"/>
      <c r="Q5760" s="226"/>
      <c r="R5760" s="226"/>
      <c r="S5760" s="226"/>
      <c r="T5760" s="226"/>
      <c r="U5760" s="226"/>
    </row>
    <row r="5761" spans="16:21" x14ac:dyDescent="0.35">
      <c r="P5761" s="226"/>
      <c r="Q5761" s="226"/>
      <c r="R5761" s="226"/>
      <c r="S5761" s="226"/>
      <c r="T5761" s="226"/>
      <c r="U5761" s="226"/>
    </row>
    <row r="5762" spans="16:21" x14ac:dyDescent="0.35">
      <c r="P5762" s="226"/>
      <c r="Q5762" s="226"/>
      <c r="R5762" s="226"/>
      <c r="S5762" s="226"/>
      <c r="T5762" s="226"/>
      <c r="U5762" s="226"/>
    </row>
    <row r="5763" spans="16:21" x14ac:dyDescent="0.35">
      <c r="P5763" s="226"/>
      <c r="Q5763" s="226"/>
      <c r="R5763" s="226"/>
      <c r="S5763" s="226"/>
      <c r="T5763" s="226"/>
      <c r="U5763" s="226"/>
    </row>
    <row r="5764" spans="16:21" x14ac:dyDescent="0.35">
      <c r="P5764" s="226"/>
      <c r="Q5764" s="226"/>
      <c r="R5764" s="226"/>
      <c r="S5764" s="226"/>
      <c r="T5764" s="226"/>
      <c r="U5764" s="226"/>
    </row>
    <row r="5765" spans="16:21" x14ac:dyDescent="0.35">
      <c r="P5765" s="226"/>
      <c r="Q5765" s="226"/>
      <c r="R5765" s="226"/>
      <c r="S5765" s="226"/>
      <c r="T5765" s="226"/>
      <c r="U5765" s="226"/>
    </row>
    <row r="5766" spans="16:21" x14ac:dyDescent="0.35">
      <c r="P5766" s="226"/>
      <c r="Q5766" s="226"/>
      <c r="R5766" s="226"/>
      <c r="S5766" s="226"/>
      <c r="T5766" s="226"/>
      <c r="U5766" s="226"/>
    </row>
    <row r="5767" spans="16:21" x14ac:dyDescent="0.35">
      <c r="P5767" s="226"/>
      <c r="Q5767" s="226"/>
      <c r="R5767" s="226"/>
      <c r="S5767" s="226"/>
      <c r="T5767" s="226"/>
      <c r="U5767" s="226"/>
    </row>
    <row r="5768" spans="16:21" x14ac:dyDescent="0.35">
      <c r="P5768" s="226"/>
      <c r="Q5768" s="226"/>
      <c r="R5768" s="226"/>
      <c r="S5768" s="226"/>
      <c r="T5768" s="226"/>
      <c r="U5768" s="226"/>
    </row>
    <row r="5769" spans="16:21" x14ac:dyDescent="0.35">
      <c r="P5769" s="226"/>
      <c r="Q5769" s="226"/>
      <c r="R5769" s="226"/>
      <c r="S5769" s="226"/>
      <c r="T5769" s="226"/>
      <c r="U5769" s="226"/>
    </row>
    <row r="5770" spans="16:21" x14ac:dyDescent="0.35">
      <c r="P5770" s="226"/>
      <c r="Q5770" s="226"/>
      <c r="R5770" s="226"/>
      <c r="S5770" s="226"/>
      <c r="T5770" s="226"/>
      <c r="U5770" s="226"/>
    </row>
    <row r="5771" spans="16:21" x14ac:dyDescent="0.35">
      <c r="P5771" s="226"/>
      <c r="Q5771" s="226"/>
      <c r="R5771" s="226"/>
      <c r="S5771" s="226"/>
      <c r="T5771" s="226"/>
      <c r="U5771" s="226"/>
    </row>
    <row r="5772" spans="16:21" x14ac:dyDescent="0.35">
      <c r="P5772" s="226"/>
      <c r="Q5772" s="226"/>
      <c r="R5772" s="226"/>
      <c r="S5772" s="226"/>
      <c r="T5772" s="226"/>
      <c r="U5772" s="226"/>
    </row>
    <row r="5773" spans="16:21" x14ac:dyDescent="0.35">
      <c r="P5773" s="226"/>
      <c r="Q5773" s="226"/>
      <c r="R5773" s="226"/>
      <c r="S5773" s="226"/>
      <c r="T5773" s="226"/>
      <c r="U5773" s="226"/>
    </row>
    <row r="5774" spans="16:21" x14ac:dyDescent="0.35">
      <c r="P5774" s="226"/>
      <c r="Q5774" s="226"/>
      <c r="R5774" s="226"/>
      <c r="S5774" s="226"/>
      <c r="T5774" s="226"/>
      <c r="U5774" s="226"/>
    </row>
    <row r="5775" spans="16:21" x14ac:dyDescent="0.35">
      <c r="P5775" s="226"/>
      <c r="Q5775" s="226"/>
      <c r="R5775" s="226"/>
      <c r="S5775" s="226"/>
      <c r="T5775" s="226"/>
      <c r="U5775" s="226"/>
    </row>
    <row r="5776" spans="16:21" x14ac:dyDescent="0.35">
      <c r="P5776" s="226"/>
      <c r="Q5776" s="226"/>
      <c r="R5776" s="226"/>
      <c r="S5776" s="226"/>
      <c r="T5776" s="226"/>
      <c r="U5776" s="226"/>
    </row>
    <row r="5777" spans="16:21" x14ac:dyDescent="0.35">
      <c r="P5777" s="226"/>
      <c r="Q5777" s="226"/>
      <c r="R5777" s="226"/>
      <c r="S5777" s="226"/>
      <c r="T5777" s="226"/>
      <c r="U5777" s="226"/>
    </row>
    <row r="5778" spans="16:21" x14ac:dyDescent="0.35">
      <c r="P5778" s="226"/>
      <c r="Q5778" s="226"/>
      <c r="R5778" s="226"/>
      <c r="S5778" s="226"/>
      <c r="T5778" s="226"/>
      <c r="U5778" s="226"/>
    </row>
    <row r="5779" spans="16:21" x14ac:dyDescent="0.35">
      <c r="P5779" s="226"/>
      <c r="Q5779" s="226"/>
      <c r="R5779" s="226"/>
      <c r="S5779" s="226"/>
      <c r="T5779" s="226"/>
      <c r="U5779" s="226"/>
    </row>
    <row r="5780" spans="16:21" x14ac:dyDescent="0.35">
      <c r="P5780" s="226"/>
      <c r="Q5780" s="226"/>
      <c r="R5780" s="226"/>
      <c r="S5780" s="226"/>
      <c r="T5780" s="226"/>
      <c r="U5780" s="226"/>
    </row>
    <row r="5781" spans="16:21" x14ac:dyDescent="0.35">
      <c r="P5781" s="226"/>
      <c r="Q5781" s="226"/>
      <c r="R5781" s="226"/>
      <c r="S5781" s="226"/>
      <c r="T5781" s="226"/>
      <c r="U5781" s="226"/>
    </row>
    <row r="5782" spans="16:21" x14ac:dyDescent="0.35">
      <c r="P5782" s="226"/>
      <c r="Q5782" s="226"/>
      <c r="R5782" s="226"/>
      <c r="S5782" s="226"/>
      <c r="T5782" s="226"/>
      <c r="U5782" s="226"/>
    </row>
    <row r="5783" spans="16:21" x14ac:dyDescent="0.35">
      <c r="P5783" s="226"/>
      <c r="Q5783" s="226"/>
      <c r="R5783" s="226"/>
      <c r="S5783" s="226"/>
      <c r="T5783" s="226"/>
      <c r="U5783" s="226"/>
    </row>
    <row r="5784" spans="16:21" x14ac:dyDescent="0.35">
      <c r="P5784" s="226"/>
      <c r="Q5784" s="226"/>
      <c r="R5784" s="226"/>
      <c r="S5784" s="226"/>
      <c r="T5784" s="226"/>
      <c r="U5784" s="226"/>
    </row>
    <row r="5785" spans="16:21" x14ac:dyDescent="0.35">
      <c r="P5785" s="226"/>
      <c r="Q5785" s="226"/>
      <c r="R5785" s="226"/>
      <c r="S5785" s="226"/>
      <c r="T5785" s="226"/>
      <c r="U5785" s="226"/>
    </row>
    <row r="5786" spans="16:21" x14ac:dyDescent="0.35">
      <c r="P5786" s="226"/>
      <c r="Q5786" s="226"/>
      <c r="R5786" s="226"/>
      <c r="S5786" s="226"/>
      <c r="T5786" s="226"/>
      <c r="U5786" s="226"/>
    </row>
    <row r="5787" spans="16:21" x14ac:dyDescent="0.35">
      <c r="P5787" s="226"/>
      <c r="Q5787" s="226"/>
      <c r="R5787" s="226"/>
      <c r="S5787" s="226"/>
      <c r="T5787" s="226"/>
      <c r="U5787" s="226"/>
    </row>
    <row r="5788" spans="16:21" x14ac:dyDescent="0.35">
      <c r="P5788" s="226"/>
      <c r="Q5788" s="226"/>
      <c r="R5788" s="226"/>
      <c r="S5788" s="226"/>
      <c r="T5788" s="226"/>
      <c r="U5788" s="226"/>
    </row>
    <row r="5789" spans="16:21" x14ac:dyDescent="0.35">
      <c r="P5789" s="226"/>
      <c r="Q5789" s="226"/>
      <c r="R5789" s="226"/>
      <c r="S5789" s="226"/>
      <c r="T5789" s="226"/>
      <c r="U5789" s="226"/>
    </row>
    <row r="5790" spans="16:21" x14ac:dyDescent="0.35">
      <c r="P5790" s="226"/>
      <c r="Q5790" s="226"/>
      <c r="R5790" s="226"/>
      <c r="S5790" s="226"/>
      <c r="T5790" s="226"/>
      <c r="U5790" s="226"/>
    </row>
    <row r="5791" spans="16:21" x14ac:dyDescent="0.35">
      <c r="P5791" s="226"/>
      <c r="Q5791" s="226"/>
      <c r="R5791" s="226"/>
      <c r="S5791" s="226"/>
      <c r="T5791" s="226"/>
      <c r="U5791" s="226"/>
    </row>
    <row r="5792" spans="16:21" x14ac:dyDescent="0.35">
      <c r="P5792" s="226"/>
      <c r="Q5792" s="226"/>
      <c r="R5792" s="226"/>
      <c r="S5792" s="226"/>
      <c r="T5792" s="226"/>
      <c r="U5792" s="226"/>
    </row>
    <row r="5793" spans="16:21" x14ac:dyDescent="0.35">
      <c r="P5793" s="226"/>
      <c r="Q5793" s="226"/>
      <c r="R5793" s="226"/>
      <c r="S5793" s="226"/>
      <c r="T5793" s="226"/>
      <c r="U5793" s="226"/>
    </row>
    <row r="5794" spans="16:21" x14ac:dyDescent="0.35">
      <c r="P5794" s="226"/>
      <c r="Q5794" s="226"/>
      <c r="R5794" s="226"/>
      <c r="S5794" s="226"/>
      <c r="T5794" s="226"/>
      <c r="U5794" s="226"/>
    </row>
    <row r="5795" spans="16:21" x14ac:dyDescent="0.35">
      <c r="P5795" s="226"/>
      <c r="Q5795" s="226"/>
      <c r="R5795" s="226"/>
      <c r="S5795" s="226"/>
      <c r="T5795" s="226"/>
      <c r="U5795" s="226"/>
    </row>
    <row r="5796" spans="16:21" x14ac:dyDescent="0.35">
      <c r="P5796" s="226"/>
      <c r="Q5796" s="226"/>
      <c r="R5796" s="226"/>
      <c r="S5796" s="226"/>
      <c r="T5796" s="226"/>
      <c r="U5796" s="226"/>
    </row>
    <row r="5797" spans="16:21" x14ac:dyDescent="0.35">
      <c r="P5797" s="226"/>
      <c r="Q5797" s="226"/>
      <c r="R5797" s="226"/>
      <c r="S5797" s="226"/>
      <c r="T5797" s="226"/>
      <c r="U5797" s="226"/>
    </row>
    <row r="5798" spans="16:21" x14ac:dyDescent="0.35">
      <c r="P5798" s="226"/>
      <c r="Q5798" s="226"/>
      <c r="R5798" s="226"/>
      <c r="S5798" s="226"/>
      <c r="T5798" s="226"/>
      <c r="U5798" s="226"/>
    </row>
    <row r="5799" spans="16:21" x14ac:dyDescent="0.35">
      <c r="P5799" s="226"/>
      <c r="Q5799" s="226"/>
      <c r="R5799" s="226"/>
      <c r="S5799" s="226"/>
      <c r="T5799" s="226"/>
      <c r="U5799" s="226"/>
    </row>
    <row r="5800" spans="16:21" x14ac:dyDescent="0.35">
      <c r="P5800" s="226"/>
      <c r="Q5800" s="226"/>
      <c r="R5800" s="226"/>
      <c r="S5800" s="226"/>
      <c r="T5800" s="226"/>
      <c r="U5800" s="226"/>
    </row>
    <row r="5801" spans="16:21" x14ac:dyDescent="0.35">
      <c r="P5801" s="226"/>
      <c r="Q5801" s="226"/>
      <c r="R5801" s="226"/>
      <c r="S5801" s="226"/>
      <c r="T5801" s="226"/>
      <c r="U5801" s="226"/>
    </row>
    <row r="5802" spans="16:21" x14ac:dyDescent="0.35">
      <c r="P5802" s="226"/>
      <c r="Q5802" s="226"/>
      <c r="R5802" s="226"/>
      <c r="S5802" s="226"/>
      <c r="T5802" s="226"/>
      <c r="U5802" s="226"/>
    </row>
    <row r="5803" spans="16:21" x14ac:dyDescent="0.35">
      <c r="P5803" s="226"/>
      <c r="Q5803" s="226"/>
      <c r="R5803" s="226"/>
      <c r="S5803" s="226"/>
      <c r="T5803" s="226"/>
      <c r="U5803" s="226"/>
    </row>
    <row r="5804" spans="16:21" x14ac:dyDescent="0.35">
      <c r="P5804" s="226"/>
      <c r="Q5804" s="226"/>
      <c r="R5804" s="226"/>
      <c r="S5804" s="226"/>
      <c r="T5804" s="226"/>
      <c r="U5804" s="226"/>
    </row>
    <row r="5805" spans="16:21" x14ac:dyDescent="0.35">
      <c r="P5805" s="226"/>
      <c r="Q5805" s="226"/>
      <c r="R5805" s="226"/>
      <c r="S5805" s="226"/>
      <c r="T5805" s="226"/>
      <c r="U5805" s="226"/>
    </row>
    <row r="5806" spans="16:21" x14ac:dyDescent="0.35">
      <c r="P5806" s="226"/>
      <c r="Q5806" s="226"/>
      <c r="R5806" s="226"/>
      <c r="S5806" s="226"/>
      <c r="T5806" s="226"/>
      <c r="U5806" s="226"/>
    </row>
    <row r="5807" spans="16:21" x14ac:dyDescent="0.35">
      <c r="P5807" s="226"/>
      <c r="Q5807" s="226"/>
      <c r="R5807" s="226"/>
      <c r="S5807" s="226"/>
      <c r="T5807" s="226"/>
      <c r="U5807" s="226"/>
    </row>
    <row r="5808" spans="16:21" x14ac:dyDescent="0.35">
      <c r="P5808" s="226"/>
      <c r="Q5808" s="226"/>
      <c r="R5808" s="226"/>
      <c r="S5808" s="226"/>
      <c r="T5808" s="226"/>
      <c r="U5808" s="226"/>
    </row>
    <row r="5809" spans="16:21" x14ac:dyDescent="0.35">
      <c r="P5809" s="226"/>
      <c r="Q5809" s="226"/>
      <c r="R5809" s="226"/>
      <c r="S5809" s="226"/>
      <c r="T5809" s="226"/>
      <c r="U5809" s="226"/>
    </row>
    <row r="5810" spans="16:21" x14ac:dyDescent="0.35">
      <c r="P5810" s="226"/>
      <c r="Q5810" s="226"/>
      <c r="R5810" s="226"/>
      <c r="S5810" s="226"/>
      <c r="T5810" s="226"/>
      <c r="U5810" s="226"/>
    </row>
    <row r="5811" spans="16:21" x14ac:dyDescent="0.35">
      <c r="P5811" s="226"/>
      <c r="Q5811" s="226"/>
      <c r="R5811" s="226"/>
      <c r="S5811" s="226"/>
      <c r="T5811" s="226"/>
      <c r="U5811" s="226"/>
    </row>
    <row r="5812" spans="16:21" x14ac:dyDescent="0.35">
      <c r="P5812" s="226"/>
      <c r="Q5812" s="226"/>
      <c r="R5812" s="226"/>
      <c r="S5812" s="226"/>
      <c r="T5812" s="226"/>
      <c r="U5812" s="226"/>
    </row>
    <row r="5813" spans="16:21" x14ac:dyDescent="0.35">
      <c r="P5813" s="226"/>
      <c r="Q5813" s="226"/>
      <c r="R5813" s="226"/>
      <c r="S5813" s="226"/>
      <c r="T5813" s="226"/>
      <c r="U5813" s="226"/>
    </row>
    <row r="5814" spans="16:21" x14ac:dyDescent="0.35">
      <c r="P5814" s="226"/>
      <c r="Q5814" s="226"/>
      <c r="R5814" s="226"/>
      <c r="S5814" s="226"/>
      <c r="T5814" s="226"/>
      <c r="U5814" s="226"/>
    </row>
    <row r="5815" spans="16:21" x14ac:dyDescent="0.35">
      <c r="P5815" s="226"/>
      <c r="Q5815" s="226"/>
      <c r="R5815" s="226"/>
      <c r="S5815" s="226"/>
      <c r="T5815" s="226"/>
      <c r="U5815" s="226"/>
    </row>
    <row r="5816" spans="16:21" x14ac:dyDescent="0.35">
      <c r="P5816" s="226"/>
      <c r="Q5816" s="226"/>
      <c r="R5816" s="226"/>
      <c r="S5816" s="226"/>
      <c r="T5816" s="226"/>
      <c r="U5816" s="226"/>
    </row>
    <row r="5817" spans="16:21" x14ac:dyDescent="0.35">
      <c r="P5817" s="226"/>
      <c r="Q5817" s="226"/>
      <c r="R5817" s="226"/>
      <c r="S5817" s="226"/>
      <c r="T5817" s="226"/>
      <c r="U5817" s="226"/>
    </row>
    <row r="5818" spans="16:21" x14ac:dyDescent="0.35">
      <c r="P5818" s="226"/>
      <c r="Q5818" s="226"/>
      <c r="R5818" s="226"/>
      <c r="S5818" s="226"/>
      <c r="T5818" s="226"/>
      <c r="U5818" s="226"/>
    </row>
    <row r="5819" spans="16:21" x14ac:dyDescent="0.35">
      <c r="P5819" s="226"/>
      <c r="Q5819" s="226"/>
      <c r="R5819" s="226"/>
      <c r="S5819" s="226"/>
      <c r="T5819" s="226"/>
      <c r="U5819" s="226"/>
    </row>
    <row r="5820" spans="16:21" x14ac:dyDescent="0.35">
      <c r="P5820" s="226"/>
      <c r="Q5820" s="226"/>
      <c r="R5820" s="226"/>
      <c r="S5820" s="226"/>
      <c r="T5820" s="226"/>
      <c r="U5820" s="226"/>
    </row>
    <row r="5821" spans="16:21" x14ac:dyDescent="0.35">
      <c r="P5821" s="226"/>
      <c r="Q5821" s="226"/>
      <c r="R5821" s="226"/>
      <c r="S5821" s="226"/>
      <c r="T5821" s="226"/>
      <c r="U5821" s="226"/>
    </row>
    <row r="5822" spans="16:21" x14ac:dyDescent="0.35">
      <c r="P5822" s="226"/>
      <c r="Q5822" s="226"/>
      <c r="R5822" s="226"/>
      <c r="S5822" s="226"/>
      <c r="T5822" s="226"/>
      <c r="U5822" s="226"/>
    </row>
    <row r="5823" spans="16:21" x14ac:dyDescent="0.35">
      <c r="P5823" s="226"/>
      <c r="Q5823" s="226"/>
      <c r="R5823" s="226"/>
      <c r="S5823" s="226"/>
      <c r="T5823" s="226"/>
      <c r="U5823" s="226"/>
    </row>
    <row r="5824" spans="16:21" x14ac:dyDescent="0.35">
      <c r="P5824" s="226"/>
      <c r="Q5824" s="226"/>
      <c r="R5824" s="226"/>
      <c r="S5824" s="226"/>
      <c r="T5824" s="226"/>
      <c r="U5824" s="226"/>
    </row>
    <row r="5825" spans="16:21" x14ac:dyDescent="0.35">
      <c r="P5825" s="226"/>
      <c r="Q5825" s="226"/>
      <c r="R5825" s="226"/>
      <c r="S5825" s="226"/>
      <c r="T5825" s="226"/>
      <c r="U5825" s="226"/>
    </row>
    <row r="5826" spans="16:21" x14ac:dyDescent="0.35">
      <c r="P5826" s="226"/>
      <c r="Q5826" s="226"/>
      <c r="R5826" s="226"/>
      <c r="S5826" s="226"/>
      <c r="T5826" s="226"/>
      <c r="U5826" s="226"/>
    </row>
    <row r="5827" spans="16:21" x14ac:dyDescent="0.35">
      <c r="P5827" s="226"/>
      <c r="Q5827" s="226"/>
      <c r="R5827" s="226"/>
      <c r="S5827" s="226"/>
      <c r="T5827" s="226"/>
      <c r="U5827" s="226"/>
    </row>
    <row r="5828" spans="16:21" x14ac:dyDescent="0.35">
      <c r="P5828" s="226"/>
      <c r="Q5828" s="226"/>
      <c r="R5828" s="226"/>
      <c r="S5828" s="226"/>
      <c r="T5828" s="226"/>
      <c r="U5828" s="226"/>
    </row>
    <row r="5829" spans="16:21" x14ac:dyDescent="0.35">
      <c r="P5829" s="226"/>
      <c r="Q5829" s="226"/>
      <c r="R5829" s="226"/>
      <c r="S5829" s="226"/>
      <c r="T5829" s="226"/>
      <c r="U5829" s="226"/>
    </row>
    <row r="5830" spans="16:21" x14ac:dyDescent="0.35">
      <c r="P5830" s="226"/>
      <c r="Q5830" s="226"/>
      <c r="R5830" s="226"/>
      <c r="S5830" s="226"/>
      <c r="T5830" s="226"/>
      <c r="U5830" s="226"/>
    </row>
    <row r="5831" spans="16:21" x14ac:dyDescent="0.35">
      <c r="P5831" s="226"/>
      <c r="Q5831" s="226"/>
      <c r="R5831" s="226"/>
      <c r="S5831" s="226"/>
      <c r="T5831" s="226"/>
      <c r="U5831" s="226"/>
    </row>
    <row r="5832" spans="16:21" x14ac:dyDescent="0.35">
      <c r="P5832" s="226"/>
      <c r="Q5832" s="226"/>
      <c r="R5832" s="226"/>
      <c r="S5832" s="226"/>
      <c r="T5832" s="226"/>
      <c r="U5832" s="226"/>
    </row>
    <row r="5833" spans="16:21" x14ac:dyDescent="0.35">
      <c r="P5833" s="226"/>
      <c r="Q5833" s="226"/>
      <c r="R5833" s="226"/>
      <c r="S5833" s="226"/>
      <c r="T5833" s="226"/>
      <c r="U5833" s="226"/>
    </row>
    <row r="5834" spans="16:21" x14ac:dyDescent="0.35">
      <c r="P5834" s="226"/>
      <c r="Q5834" s="226"/>
      <c r="R5834" s="226"/>
      <c r="S5834" s="226"/>
      <c r="T5834" s="226"/>
      <c r="U5834" s="226"/>
    </row>
    <row r="5835" spans="16:21" x14ac:dyDescent="0.35">
      <c r="P5835" s="226"/>
      <c r="Q5835" s="226"/>
      <c r="R5835" s="226"/>
      <c r="S5835" s="226"/>
      <c r="T5835" s="226"/>
      <c r="U5835" s="226"/>
    </row>
    <row r="5836" spans="16:21" x14ac:dyDescent="0.35">
      <c r="P5836" s="226"/>
      <c r="Q5836" s="226"/>
      <c r="R5836" s="226"/>
      <c r="S5836" s="226"/>
      <c r="T5836" s="226"/>
      <c r="U5836" s="226"/>
    </row>
    <row r="5837" spans="16:21" x14ac:dyDescent="0.35">
      <c r="P5837" s="226"/>
      <c r="Q5837" s="226"/>
      <c r="R5837" s="226"/>
      <c r="S5837" s="226"/>
      <c r="T5837" s="226"/>
      <c r="U5837" s="226"/>
    </row>
    <row r="5838" spans="16:21" x14ac:dyDescent="0.35">
      <c r="P5838" s="226"/>
      <c r="Q5838" s="226"/>
      <c r="R5838" s="226"/>
      <c r="S5838" s="226"/>
      <c r="T5838" s="226"/>
      <c r="U5838" s="226"/>
    </row>
    <row r="5839" spans="16:21" x14ac:dyDescent="0.35">
      <c r="P5839" s="226"/>
      <c r="Q5839" s="226"/>
      <c r="R5839" s="226"/>
      <c r="S5839" s="226"/>
      <c r="T5839" s="226"/>
      <c r="U5839" s="226"/>
    </row>
    <row r="5840" spans="16:21" x14ac:dyDescent="0.35">
      <c r="P5840" s="226"/>
      <c r="Q5840" s="226"/>
      <c r="R5840" s="226"/>
      <c r="S5840" s="226"/>
      <c r="T5840" s="226"/>
      <c r="U5840" s="226"/>
    </row>
    <row r="5841" spans="16:21" x14ac:dyDescent="0.35">
      <c r="P5841" s="226"/>
      <c r="Q5841" s="226"/>
      <c r="R5841" s="226"/>
      <c r="S5841" s="226"/>
      <c r="T5841" s="226"/>
      <c r="U5841" s="226"/>
    </row>
    <row r="5842" spans="16:21" x14ac:dyDescent="0.35">
      <c r="P5842" s="226"/>
      <c r="Q5842" s="226"/>
      <c r="R5842" s="226"/>
      <c r="S5842" s="226"/>
      <c r="T5842" s="226"/>
      <c r="U5842" s="226"/>
    </row>
    <row r="5843" spans="16:21" x14ac:dyDescent="0.35">
      <c r="P5843" s="226"/>
      <c r="Q5843" s="226"/>
      <c r="R5843" s="226"/>
      <c r="S5843" s="226"/>
      <c r="T5843" s="226"/>
      <c r="U5843" s="226"/>
    </row>
    <row r="5844" spans="16:21" x14ac:dyDescent="0.35">
      <c r="P5844" s="226"/>
      <c r="Q5844" s="226"/>
      <c r="R5844" s="226"/>
      <c r="S5844" s="226"/>
      <c r="T5844" s="226"/>
      <c r="U5844" s="226"/>
    </row>
    <row r="5845" spans="16:21" x14ac:dyDescent="0.35">
      <c r="P5845" s="226"/>
      <c r="Q5845" s="226"/>
      <c r="R5845" s="226"/>
      <c r="S5845" s="226"/>
      <c r="T5845" s="226"/>
      <c r="U5845" s="226"/>
    </row>
    <row r="5846" spans="16:21" x14ac:dyDescent="0.35">
      <c r="P5846" s="226"/>
      <c r="Q5846" s="226"/>
      <c r="R5846" s="226"/>
      <c r="S5846" s="226"/>
      <c r="T5846" s="226"/>
      <c r="U5846" s="226"/>
    </row>
    <row r="5847" spans="16:21" x14ac:dyDescent="0.35">
      <c r="P5847" s="226"/>
      <c r="Q5847" s="226"/>
      <c r="R5847" s="226"/>
      <c r="S5847" s="226"/>
      <c r="T5847" s="226"/>
      <c r="U5847" s="226"/>
    </row>
    <row r="5848" spans="16:21" x14ac:dyDescent="0.35">
      <c r="P5848" s="226"/>
      <c r="Q5848" s="226"/>
      <c r="R5848" s="226"/>
      <c r="S5848" s="226"/>
      <c r="T5848" s="226"/>
      <c r="U5848" s="226"/>
    </row>
    <row r="5849" spans="16:21" x14ac:dyDescent="0.35">
      <c r="P5849" s="226"/>
      <c r="Q5849" s="226"/>
      <c r="R5849" s="226"/>
      <c r="S5849" s="226"/>
      <c r="T5849" s="226"/>
      <c r="U5849" s="226"/>
    </row>
    <row r="5850" spans="16:21" x14ac:dyDescent="0.35">
      <c r="P5850" s="226"/>
      <c r="Q5850" s="226"/>
      <c r="R5850" s="226"/>
      <c r="S5850" s="226"/>
      <c r="T5850" s="226"/>
      <c r="U5850" s="226"/>
    </row>
    <row r="5851" spans="16:21" x14ac:dyDescent="0.35">
      <c r="P5851" s="226"/>
      <c r="Q5851" s="226"/>
      <c r="R5851" s="226"/>
      <c r="S5851" s="226"/>
      <c r="T5851" s="226"/>
      <c r="U5851" s="226"/>
    </row>
    <row r="5852" spans="16:21" x14ac:dyDescent="0.35">
      <c r="P5852" s="226"/>
      <c r="Q5852" s="226"/>
      <c r="R5852" s="226"/>
      <c r="S5852" s="226"/>
      <c r="T5852" s="226"/>
      <c r="U5852" s="226"/>
    </row>
    <row r="5853" spans="16:21" x14ac:dyDescent="0.35">
      <c r="P5853" s="226"/>
      <c r="Q5853" s="226"/>
      <c r="R5853" s="226"/>
      <c r="S5853" s="226"/>
      <c r="T5853" s="226"/>
      <c r="U5853" s="226"/>
    </row>
    <row r="5854" spans="16:21" x14ac:dyDescent="0.35">
      <c r="P5854" s="226"/>
      <c r="Q5854" s="226"/>
      <c r="R5854" s="226"/>
      <c r="S5854" s="226"/>
      <c r="T5854" s="226"/>
      <c r="U5854" s="226"/>
    </row>
    <row r="5855" spans="16:21" x14ac:dyDescent="0.35">
      <c r="P5855" s="226"/>
      <c r="Q5855" s="226"/>
      <c r="R5855" s="226"/>
      <c r="S5855" s="226"/>
      <c r="T5855" s="226"/>
      <c r="U5855" s="226"/>
    </row>
    <row r="5856" spans="16:21" x14ac:dyDescent="0.35">
      <c r="P5856" s="226"/>
      <c r="Q5856" s="226"/>
      <c r="R5856" s="226"/>
      <c r="S5856" s="226"/>
      <c r="T5856" s="226"/>
      <c r="U5856" s="226"/>
    </row>
    <row r="5857" spans="16:21" x14ac:dyDescent="0.35">
      <c r="P5857" s="226"/>
      <c r="Q5857" s="226"/>
      <c r="R5857" s="226"/>
      <c r="S5857" s="226"/>
      <c r="T5857" s="226"/>
      <c r="U5857" s="226"/>
    </row>
    <row r="5858" spans="16:21" x14ac:dyDescent="0.35">
      <c r="P5858" s="226"/>
      <c r="Q5858" s="226"/>
      <c r="R5858" s="226"/>
      <c r="S5858" s="226"/>
      <c r="T5858" s="226"/>
      <c r="U5858" s="226"/>
    </row>
    <row r="5859" spans="16:21" x14ac:dyDescent="0.35">
      <c r="P5859" s="226"/>
      <c r="Q5859" s="226"/>
      <c r="R5859" s="226"/>
      <c r="S5859" s="226"/>
      <c r="T5859" s="226"/>
      <c r="U5859" s="226"/>
    </row>
    <row r="5860" spans="16:21" x14ac:dyDescent="0.35">
      <c r="P5860" s="226"/>
      <c r="Q5860" s="226"/>
      <c r="R5860" s="226"/>
      <c r="S5860" s="226"/>
      <c r="T5860" s="226"/>
      <c r="U5860" s="226"/>
    </row>
    <row r="5861" spans="16:21" x14ac:dyDescent="0.35">
      <c r="P5861" s="226"/>
      <c r="Q5861" s="226"/>
      <c r="R5861" s="226"/>
      <c r="S5861" s="226"/>
      <c r="T5861" s="226"/>
      <c r="U5861" s="226"/>
    </row>
    <row r="5862" spans="16:21" x14ac:dyDescent="0.35">
      <c r="P5862" s="226"/>
      <c r="Q5862" s="226"/>
      <c r="R5862" s="226"/>
      <c r="S5862" s="226"/>
      <c r="T5862" s="226"/>
      <c r="U5862" s="226"/>
    </row>
    <row r="5863" spans="16:21" x14ac:dyDescent="0.35">
      <c r="P5863" s="226"/>
      <c r="Q5863" s="226"/>
      <c r="R5863" s="226"/>
      <c r="S5863" s="226"/>
      <c r="T5863" s="226"/>
      <c r="U5863" s="226"/>
    </row>
    <row r="5864" spans="16:21" x14ac:dyDescent="0.35">
      <c r="P5864" s="226"/>
      <c r="Q5864" s="226"/>
      <c r="R5864" s="226"/>
      <c r="S5864" s="226"/>
      <c r="T5864" s="226"/>
      <c r="U5864" s="226"/>
    </row>
    <row r="5865" spans="16:21" x14ac:dyDescent="0.35">
      <c r="P5865" s="226"/>
      <c r="Q5865" s="226"/>
      <c r="R5865" s="226"/>
      <c r="S5865" s="226"/>
      <c r="T5865" s="226"/>
      <c r="U5865" s="226"/>
    </row>
    <row r="5866" spans="16:21" x14ac:dyDescent="0.35">
      <c r="P5866" s="226"/>
      <c r="Q5866" s="226"/>
      <c r="R5866" s="226"/>
      <c r="S5866" s="226"/>
      <c r="T5866" s="226"/>
      <c r="U5866" s="226"/>
    </row>
    <row r="5867" spans="16:21" x14ac:dyDescent="0.35">
      <c r="P5867" s="226"/>
      <c r="Q5867" s="226"/>
      <c r="R5867" s="226"/>
      <c r="S5867" s="226"/>
      <c r="T5867" s="226"/>
      <c r="U5867" s="226"/>
    </row>
    <row r="5868" spans="16:21" x14ac:dyDescent="0.35">
      <c r="P5868" s="226"/>
      <c r="Q5868" s="226"/>
      <c r="R5868" s="226"/>
      <c r="S5868" s="226"/>
      <c r="T5868" s="226"/>
      <c r="U5868" s="226"/>
    </row>
    <row r="5869" spans="16:21" x14ac:dyDescent="0.35">
      <c r="P5869" s="226"/>
      <c r="Q5869" s="226"/>
      <c r="R5869" s="226"/>
      <c r="S5869" s="226"/>
      <c r="T5869" s="226"/>
      <c r="U5869" s="226"/>
    </row>
    <row r="5870" spans="16:21" x14ac:dyDescent="0.35">
      <c r="P5870" s="226"/>
      <c r="Q5870" s="226"/>
      <c r="R5870" s="226"/>
      <c r="S5870" s="226"/>
      <c r="T5870" s="226"/>
      <c r="U5870" s="226"/>
    </row>
    <row r="5871" spans="16:21" x14ac:dyDescent="0.35">
      <c r="P5871" s="226"/>
      <c r="Q5871" s="226"/>
      <c r="R5871" s="226"/>
      <c r="S5871" s="226"/>
      <c r="T5871" s="226"/>
      <c r="U5871" s="226"/>
    </row>
    <row r="5872" spans="16:21" x14ac:dyDescent="0.35">
      <c r="P5872" s="226"/>
      <c r="Q5872" s="226"/>
      <c r="R5872" s="226"/>
      <c r="S5872" s="226"/>
      <c r="T5872" s="226"/>
      <c r="U5872" s="226"/>
    </row>
    <row r="5873" spans="16:21" x14ac:dyDescent="0.35">
      <c r="P5873" s="226"/>
      <c r="Q5873" s="226"/>
      <c r="R5873" s="226"/>
      <c r="S5873" s="226"/>
      <c r="T5873" s="226"/>
      <c r="U5873" s="226"/>
    </row>
    <row r="5874" spans="16:21" x14ac:dyDescent="0.35">
      <c r="P5874" s="226"/>
      <c r="Q5874" s="226"/>
      <c r="R5874" s="226"/>
      <c r="S5874" s="226"/>
      <c r="T5874" s="226"/>
      <c r="U5874" s="226"/>
    </row>
    <row r="5875" spans="16:21" x14ac:dyDescent="0.35">
      <c r="P5875" s="226"/>
      <c r="Q5875" s="226"/>
      <c r="R5875" s="226"/>
      <c r="S5875" s="226"/>
      <c r="T5875" s="226"/>
      <c r="U5875" s="226"/>
    </row>
    <row r="5876" spans="16:21" x14ac:dyDescent="0.35">
      <c r="P5876" s="226"/>
      <c r="Q5876" s="226"/>
      <c r="R5876" s="226"/>
      <c r="S5876" s="226"/>
      <c r="T5876" s="226"/>
      <c r="U5876" s="226"/>
    </row>
    <row r="5877" spans="16:21" x14ac:dyDescent="0.35">
      <c r="P5877" s="226"/>
      <c r="Q5877" s="226"/>
      <c r="R5877" s="226"/>
      <c r="S5877" s="226"/>
      <c r="T5877" s="226"/>
      <c r="U5877" s="226"/>
    </row>
    <row r="5878" spans="16:21" x14ac:dyDescent="0.35">
      <c r="P5878" s="226"/>
      <c r="Q5878" s="226"/>
      <c r="R5878" s="226"/>
      <c r="S5878" s="226"/>
      <c r="T5878" s="226"/>
      <c r="U5878" s="226"/>
    </row>
    <row r="5879" spans="16:21" x14ac:dyDescent="0.35">
      <c r="P5879" s="226"/>
      <c r="Q5879" s="226"/>
      <c r="R5879" s="226"/>
      <c r="S5879" s="226"/>
      <c r="T5879" s="226"/>
      <c r="U5879" s="226"/>
    </row>
    <row r="5880" spans="16:21" x14ac:dyDescent="0.35">
      <c r="P5880" s="226"/>
      <c r="Q5880" s="226"/>
      <c r="R5880" s="226"/>
      <c r="S5880" s="226"/>
      <c r="T5880" s="226"/>
      <c r="U5880" s="226"/>
    </row>
    <row r="5881" spans="16:21" x14ac:dyDescent="0.35">
      <c r="P5881" s="226"/>
      <c r="Q5881" s="226"/>
      <c r="R5881" s="226"/>
      <c r="S5881" s="226"/>
      <c r="T5881" s="226"/>
      <c r="U5881" s="226"/>
    </row>
    <row r="5882" spans="16:21" x14ac:dyDescent="0.35">
      <c r="P5882" s="226"/>
      <c r="Q5882" s="226"/>
      <c r="R5882" s="226"/>
      <c r="S5882" s="226"/>
      <c r="T5882" s="226"/>
      <c r="U5882" s="226"/>
    </row>
    <row r="5883" spans="16:21" x14ac:dyDescent="0.35">
      <c r="P5883" s="226"/>
      <c r="Q5883" s="226"/>
      <c r="R5883" s="226"/>
      <c r="S5883" s="226"/>
      <c r="T5883" s="226"/>
      <c r="U5883" s="226"/>
    </row>
    <row r="5884" spans="16:21" x14ac:dyDescent="0.35">
      <c r="P5884" s="226"/>
      <c r="Q5884" s="226"/>
      <c r="R5884" s="226"/>
      <c r="S5884" s="226"/>
      <c r="T5884" s="226"/>
      <c r="U5884" s="226"/>
    </row>
    <row r="5885" spans="16:21" x14ac:dyDescent="0.35">
      <c r="P5885" s="226"/>
      <c r="Q5885" s="226"/>
      <c r="R5885" s="226"/>
      <c r="S5885" s="226"/>
      <c r="T5885" s="226"/>
      <c r="U5885" s="226"/>
    </row>
    <row r="5886" spans="16:21" x14ac:dyDescent="0.35">
      <c r="P5886" s="226"/>
      <c r="Q5886" s="226"/>
      <c r="R5886" s="226"/>
      <c r="S5886" s="226"/>
      <c r="T5886" s="226"/>
      <c r="U5886" s="226"/>
    </row>
    <row r="5887" spans="16:21" x14ac:dyDescent="0.35">
      <c r="P5887" s="226"/>
      <c r="Q5887" s="226"/>
      <c r="R5887" s="226"/>
      <c r="S5887" s="226"/>
      <c r="T5887" s="226"/>
      <c r="U5887" s="226"/>
    </row>
    <row r="5888" spans="16:21" x14ac:dyDescent="0.35">
      <c r="P5888" s="226"/>
      <c r="Q5888" s="226"/>
      <c r="R5888" s="226"/>
      <c r="S5888" s="226"/>
      <c r="T5888" s="226"/>
      <c r="U5888" s="226"/>
    </row>
    <row r="5889" spans="16:21" x14ac:dyDescent="0.35">
      <c r="P5889" s="226"/>
      <c r="Q5889" s="226"/>
      <c r="R5889" s="226"/>
      <c r="S5889" s="226"/>
      <c r="T5889" s="226"/>
      <c r="U5889" s="226"/>
    </row>
    <row r="5890" spans="16:21" x14ac:dyDescent="0.35">
      <c r="P5890" s="226"/>
      <c r="Q5890" s="226"/>
      <c r="R5890" s="226"/>
      <c r="S5890" s="226"/>
      <c r="T5890" s="226"/>
      <c r="U5890" s="226"/>
    </row>
    <row r="5891" spans="16:21" x14ac:dyDescent="0.35">
      <c r="P5891" s="226"/>
      <c r="Q5891" s="226"/>
      <c r="R5891" s="226"/>
      <c r="S5891" s="226"/>
      <c r="T5891" s="226"/>
      <c r="U5891" s="226"/>
    </row>
    <row r="5892" spans="16:21" x14ac:dyDescent="0.35">
      <c r="P5892" s="226"/>
      <c r="Q5892" s="226"/>
      <c r="R5892" s="226"/>
      <c r="S5892" s="226"/>
      <c r="T5892" s="226"/>
      <c r="U5892" s="226"/>
    </row>
    <row r="5893" spans="16:21" x14ac:dyDescent="0.35">
      <c r="P5893" s="226"/>
      <c r="Q5893" s="226"/>
      <c r="R5893" s="226"/>
      <c r="S5893" s="226"/>
      <c r="T5893" s="226"/>
      <c r="U5893" s="226"/>
    </row>
    <row r="5894" spans="16:21" x14ac:dyDescent="0.35">
      <c r="P5894" s="226"/>
      <c r="Q5894" s="226"/>
      <c r="R5894" s="226"/>
      <c r="S5894" s="226"/>
      <c r="T5894" s="226"/>
      <c r="U5894" s="226"/>
    </row>
    <row r="5895" spans="16:21" x14ac:dyDescent="0.35">
      <c r="P5895" s="226"/>
      <c r="Q5895" s="226"/>
      <c r="R5895" s="226"/>
      <c r="S5895" s="226"/>
      <c r="T5895" s="226"/>
      <c r="U5895" s="226"/>
    </row>
    <row r="5896" spans="16:21" x14ac:dyDescent="0.35">
      <c r="P5896" s="226"/>
      <c r="Q5896" s="226"/>
      <c r="R5896" s="226"/>
      <c r="S5896" s="226"/>
      <c r="T5896" s="226"/>
      <c r="U5896" s="226"/>
    </row>
    <row r="5897" spans="16:21" x14ac:dyDescent="0.35">
      <c r="P5897" s="226"/>
      <c r="Q5897" s="226"/>
      <c r="R5897" s="226"/>
      <c r="S5897" s="226"/>
      <c r="T5897" s="226"/>
      <c r="U5897" s="226"/>
    </row>
    <row r="5898" spans="16:21" x14ac:dyDescent="0.35">
      <c r="P5898" s="226"/>
      <c r="Q5898" s="226"/>
      <c r="R5898" s="226"/>
      <c r="S5898" s="226"/>
      <c r="T5898" s="226"/>
      <c r="U5898" s="226"/>
    </row>
    <row r="5899" spans="16:21" x14ac:dyDescent="0.35">
      <c r="P5899" s="226"/>
      <c r="Q5899" s="226"/>
      <c r="R5899" s="226"/>
      <c r="S5899" s="226"/>
      <c r="T5899" s="226"/>
      <c r="U5899" s="226"/>
    </row>
    <row r="5900" spans="16:21" x14ac:dyDescent="0.35">
      <c r="P5900" s="226"/>
      <c r="Q5900" s="226"/>
      <c r="R5900" s="226"/>
      <c r="S5900" s="226"/>
      <c r="T5900" s="226"/>
      <c r="U5900" s="226"/>
    </row>
    <row r="5901" spans="16:21" x14ac:dyDescent="0.35">
      <c r="P5901" s="226"/>
      <c r="Q5901" s="226"/>
      <c r="R5901" s="226"/>
      <c r="S5901" s="226"/>
      <c r="T5901" s="226"/>
      <c r="U5901" s="226"/>
    </row>
    <row r="5902" spans="16:21" x14ac:dyDescent="0.35">
      <c r="P5902" s="226"/>
      <c r="Q5902" s="226"/>
      <c r="R5902" s="226"/>
      <c r="S5902" s="226"/>
      <c r="T5902" s="226"/>
      <c r="U5902" s="226"/>
    </row>
    <row r="5903" spans="16:21" x14ac:dyDescent="0.35">
      <c r="P5903" s="226"/>
      <c r="Q5903" s="226"/>
      <c r="R5903" s="226"/>
      <c r="S5903" s="226"/>
      <c r="T5903" s="226"/>
      <c r="U5903" s="226"/>
    </row>
    <row r="5904" spans="16:21" x14ac:dyDescent="0.35">
      <c r="P5904" s="226"/>
      <c r="Q5904" s="226"/>
      <c r="R5904" s="226"/>
      <c r="S5904" s="226"/>
      <c r="T5904" s="226"/>
      <c r="U5904" s="226"/>
    </row>
    <row r="5905" spans="16:21" x14ac:dyDescent="0.35">
      <c r="P5905" s="226"/>
      <c r="Q5905" s="226"/>
      <c r="R5905" s="226"/>
      <c r="S5905" s="226"/>
      <c r="T5905" s="226"/>
      <c r="U5905" s="226"/>
    </row>
    <row r="5906" spans="16:21" x14ac:dyDescent="0.35">
      <c r="P5906" s="226"/>
      <c r="Q5906" s="226"/>
      <c r="R5906" s="226"/>
      <c r="S5906" s="226"/>
      <c r="T5906" s="226"/>
      <c r="U5906" s="226"/>
    </row>
    <row r="5907" spans="16:21" x14ac:dyDescent="0.35">
      <c r="P5907" s="226"/>
      <c r="Q5907" s="226"/>
      <c r="R5907" s="226"/>
      <c r="S5907" s="226"/>
      <c r="T5907" s="226"/>
      <c r="U5907" s="226"/>
    </row>
    <row r="5908" spans="16:21" x14ac:dyDescent="0.35">
      <c r="P5908" s="226"/>
      <c r="Q5908" s="226"/>
      <c r="R5908" s="226"/>
      <c r="S5908" s="226"/>
      <c r="T5908" s="226"/>
      <c r="U5908" s="226"/>
    </row>
    <row r="5909" spans="16:21" x14ac:dyDescent="0.35">
      <c r="P5909" s="226"/>
      <c r="Q5909" s="226"/>
      <c r="R5909" s="226"/>
      <c r="S5909" s="226"/>
      <c r="T5909" s="226"/>
      <c r="U5909" s="226"/>
    </row>
    <row r="5910" spans="16:21" x14ac:dyDescent="0.35">
      <c r="P5910" s="226"/>
      <c r="Q5910" s="226"/>
      <c r="R5910" s="226"/>
      <c r="S5910" s="226"/>
      <c r="T5910" s="226"/>
      <c r="U5910" s="226"/>
    </row>
    <row r="5911" spans="16:21" x14ac:dyDescent="0.35">
      <c r="P5911" s="226"/>
      <c r="Q5911" s="226"/>
      <c r="R5911" s="226"/>
      <c r="S5911" s="226"/>
      <c r="T5911" s="226"/>
      <c r="U5911" s="226"/>
    </row>
    <row r="5912" spans="16:21" x14ac:dyDescent="0.35">
      <c r="P5912" s="226"/>
      <c r="Q5912" s="226"/>
      <c r="R5912" s="226"/>
      <c r="S5912" s="226"/>
      <c r="T5912" s="226"/>
      <c r="U5912" s="226"/>
    </row>
    <row r="5913" spans="16:21" x14ac:dyDescent="0.35">
      <c r="P5913" s="226"/>
      <c r="Q5913" s="226"/>
      <c r="R5913" s="226"/>
      <c r="S5913" s="226"/>
      <c r="T5913" s="226"/>
      <c r="U5913" s="226"/>
    </row>
    <row r="5914" spans="16:21" x14ac:dyDescent="0.35">
      <c r="P5914" s="226"/>
      <c r="Q5914" s="226"/>
      <c r="R5914" s="226"/>
      <c r="S5914" s="226"/>
      <c r="T5914" s="226"/>
      <c r="U5914" s="226"/>
    </row>
    <row r="5915" spans="16:21" x14ac:dyDescent="0.35">
      <c r="P5915" s="226"/>
      <c r="Q5915" s="226"/>
      <c r="R5915" s="226"/>
      <c r="S5915" s="226"/>
      <c r="T5915" s="226"/>
      <c r="U5915" s="226"/>
    </row>
    <row r="5916" spans="16:21" x14ac:dyDescent="0.35">
      <c r="P5916" s="226"/>
      <c r="Q5916" s="226"/>
      <c r="R5916" s="226"/>
      <c r="S5916" s="226"/>
      <c r="T5916" s="226"/>
      <c r="U5916" s="226"/>
    </row>
    <row r="5917" spans="16:21" x14ac:dyDescent="0.35">
      <c r="P5917" s="226"/>
      <c r="Q5917" s="226"/>
      <c r="R5917" s="226"/>
      <c r="S5917" s="226"/>
      <c r="T5917" s="226"/>
      <c r="U5917" s="226"/>
    </row>
    <row r="5918" spans="16:21" x14ac:dyDescent="0.35">
      <c r="P5918" s="226"/>
      <c r="Q5918" s="226"/>
      <c r="R5918" s="226"/>
      <c r="S5918" s="226"/>
      <c r="T5918" s="226"/>
      <c r="U5918" s="226"/>
    </row>
    <row r="5919" spans="16:21" x14ac:dyDescent="0.35">
      <c r="P5919" s="226"/>
      <c r="Q5919" s="226"/>
      <c r="R5919" s="226"/>
      <c r="S5919" s="226"/>
      <c r="T5919" s="226"/>
      <c r="U5919" s="226"/>
    </row>
    <row r="5920" spans="16:21" x14ac:dyDescent="0.35">
      <c r="P5920" s="226"/>
      <c r="Q5920" s="226"/>
      <c r="R5920" s="226"/>
      <c r="S5920" s="226"/>
      <c r="T5920" s="226"/>
      <c r="U5920" s="226"/>
    </row>
    <row r="5921" spans="16:21" x14ac:dyDescent="0.35">
      <c r="P5921" s="226"/>
      <c r="Q5921" s="226"/>
      <c r="R5921" s="226"/>
      <c r="S5921" s="226"/>
      <c r="T5921" s="226"/>
      <c r="U5921" s="226"/>
    </row>
    <row r="5922" spans="16:21" x14ac:dyDescent="0.35">
      <c r="P5922" s="226"/>
      <c r="Q5922" s="226"/>
      <c r="R5922" s="226"/>
      <c r="S5922" s="226"/>
      <c r="T5922" s="226"/>
      <c r="U5922" s="226"/>
    </row>
    <row r="5923" spans="16:21" x14ac:dyDescent="0.35">
      <c r="P5923" s="226"/>
      <c r="Q5923" s="226"/>
      <c r="R5923" s="226"/>
      <c r="S5923" s="226"/>
      <c r="T5923" s="226"/>
      <c r="U5923" s="226"/>
    </row>
    <row r="5924" spans="16:21" x14ac:dyDescent="0.35">
      <c r="P5924" s="226"/>
      <c r="Q5924" s="226"/>
      <c r="R5924" s="226"/>
      <c r="S5924" s="226"/>
      <c r="T5924" s="226"/>
      <c r="U5924" s="226"/>
    </row>
    <row r="5925" spans="16:21" x14ac:dyDescent="0.35">
      <c r="P5925" s="226"/>
      <c r="Q5925" s="226"/>
      <c r="R5925" s="226"/>
      <c r="S5925" s="226"/>
      <c r="T5925" s="226"/>
      <c r="U5925" s="226"/>
    </row>
    <row r="5926" spans="16:21" x14ac:dyDescent="0.35">
      <c r="P5926" s="226"/>
      <c r="Q5926" s="226"/>
      <c r="R5926" s="226"/>
      <c r="S5926" s="226"/>
      <c r="T5926" s="226"/>
      <c r="U5926" s="226"/>
    </row>
    <row r="5927" spans="16:21" x14ac:dyDescent="0.35">
      <c r="P5927" s="226"/>
      <c r="Q5927" s="226"/>
      <c r="R5927" s="226"/>
      <c r="S5927" s="226"/>
      <c r="T5927" s="226"/>
      <c r="U5927" s="226"/>
    </row>
    <row r="5928" spans="16:21" x14ac:dyDescent="0.35">
      <c r="P5928" s="226"/>
      <c r="Q5928" s="226"/>
      <c r="R5928" s="226"/>
      <c r="S5928" s="226"/>
      <c r="T5928" s="226"/>
      <c r="U5928" s="226"/>
    </row>
    <row r="5929" spans="16:21" x14ac:dyDescent="0.35">
      <c r="P5929" s="226"/>
      <c r="Q5929" s="226"/>
      <c r="R5929" s="226"/>
      <c r="S5929" s="226"/>
      <c r="T5929" s="226"/>
      <c r="U5929" s="226"/>
    </row>
    <row r="5930" spans="16:21" x14ac:dyDescent="0.35">
      <c r="P5930" s="226"/>
      <c r="Q5930" s="226"/>
      <c r="R5930" s="226"/>
      <c r="S5930" s="226"/>
      <c r="T5930" s="226"/>
      <c r="U5930" s="226"/>
    </row>
    <row r="5931" spans="16:21" x14ac:dyDescent="0.35">
      <c r="P5931" s="226"/>
      <c r="Q5931" s="226"/>
      <c r="R5931" s="226"/>
      <c r="S5931" s="226"/>
      <c r="T5931" s="226"/>
      <c r="U5931" s="226"/>
    </row>
    <row r="5932" spans="16:21" x14ac:dyDescent="0.35">
      <c r="P5932" s="226"/>
      <c r="Q5932" s="226"/>
      <c r="R5932" s="226"/>
      <c r="S5932" s="226"/>
      <c r="T5932" s="226"/>
      <c r="U5932" s="226"/>
    </row>
    <row r="5933" spans="16:21" x14ac:dyDescent="0.35">
      <c r="P5933" s="226"/>
      <c r="Q5933" s="226"/>
      <c r="R5933" s="226"/>
      <c r="S5933" s="226"/>
      <c r="T5933" s="226"/>
      <c r="U5933" s="226"/>
    </row>
    <row r="5934" spans="16:21" x14ac:dyDescent="0.35">
      <c r="P5934" s="226"/>
      <c r="Q5934" s="226"/>
      <c r="R5934" s="226"/>
      <c r="S5934" s="226"/>
      <c r="T5934" s="226"/>
      <c r="U5934" s="226"/>
    </row>
    <row r="5935" spans="16:21" x14ac:dyDescent="0.35">
      <c r="P5935" s="226"/>
      <c r="Q5935" s="226"/>
      <c r="R5935" s="226"/>
      <c r="S5935" s="226"/>
      <c r="T5935" s="226"/>
      <c r="U5935" s="226"/>
    </row>
    <row r="5936" spans="16:21" x14ac:dyDescent="0.35">
      <c r="P5936" s="226"/>
      <c r="Q5936" s="226"/>
      <c r="R5936" s="226"/>
      <c r="S5936" s="226"/>
      <c r="T5936" s="226"/>
      <c r="U5936" s="226"/>
    </row>
    <row r="5937" spans="16:21" x14ac:dyDescent="0.35">
      <c r="P5937" s="226"/>
      <c r="Q5937" s="226"/>
      <c r="R5937" s="226"/>
      <c r="S5937" s="226"/>
      <c r="T5937" s="226"/>
      <c r="U5937" s="226"/>
    </row>
    <row r="5938" spans="16:21" x14ac:dyDescent="0.35">
      <c r="P5938" s="226"/>
      <c r="Q5938" s="226"/>
      <c r="R5938" s="226"/>
      <c r="S5938" s="226"/>
      <c r="T5938" s="226"/>
      <c r="U5938" s="226"/>
    </row>
    <row r="5939" spans="16:21" x14ac:dyDescent="0.35">
      <c r="P5939" s="226"/>
      <c r="Q5939" s="226"/>
      <c r="R5939" s="226"/>
      <c r="S5939" s="226"/>
      <c r="T5939" s="226"/>
      <c r="U5939" s="226"/>
    </row>
    <row r="5940" spans="16:21" x14ac:dyDescent="0.35">
      <c r="P5940" s="226"/>
      <c r="Q5940" s="226"/>
      <c r="R5940" s="226"/>
      <c r="S5940" s="226"/>
      <c r="T5940" s="226"/>
      <c r="U5940" s="226"/>
    </row>
    <row r="5941" spans="16:21" x14ac:dyDescent="0.35">
      <c r="P5941" s="226"/>
      <c r="Q5941" s="226"/>
      <c r="R5941" s="226"/>
      <c r="S5941" s="226"/>
      <c r="T5941" s="226"/>
      <c r="U5941" s="226"/>
    </row>
    <row r="5942" spans="16:21" x14ac:dyDescent="0.35">
      <c r="P5942" s="226"/>
      <c r="Q5942" s="226"/>
      <c r="R5942" s="226"/>
      <c r="S5942" s="226"/>
      <c r="T5942" s="226"/>
      <c r="U5942" s="226"/>
    </row>
    <row r="5943" spans="16:21" x14ac:dyDescent="0.35">
      <c r="P5943" s="226"/>
      <c r="Q5943" s="226"/>
      <c r="R5943" s="226"/>
      <c r="S5943" s="226"/>
      <c r="T5943" s="226"/>
      <c r="U5943" s="226"/>
    </row>
    <row r="5944" spans="16:21" x14ac:dyDescent="0.35">
      <c r="P5944" s="226"/>
      <c r="Q5944" s="226"/>
      <c r="R5944" s="226"/>
      <c r="S5944" s="226"/>
      <c r="T5944" s="226"/>
      <c r="U5944" s="226"/>
    </row>
    <row r="5945" spans="16:21" x14ac:dyDescent="0.35">
      <c r="P5945" s="226"/>
      <c r="Q5945" s="226"/>
      <c r="R5945" s="226"/>
      <c r="S5945" s="226"/>
      <c r="T5945" s="226"/>
      <c r="U5945" s="226"/>
    </row>
    <row r="5946" spans="16:21" x14ac:dyDescent="0.35">
      <c r="P5946" s="226"/>
      <c r="Q5946" s="226"/>
      <c r="R5946" s="226"/>
      <c r="S5946" s="226"/>
      <c r="T5946" s="226"/>
      <c r="U5946" s="226"/>
    </row>
    <row r="5947" spans="16:21" x14ac:dyDescent="0.35">
      <c r="P5947" s="226"/>
      <c r="Q5947" s="226"/>
      <c r="R5947" s="226"/>
      <c r="S5947" s="226"/>
      <c r="T5947" s="226"/>
      <c r="U5947" s="226"/>
    </row>
    <row r="5948" spans="16:21" x14ac:dyDescent="0.35">
      <c r="P5948" s="226"/>
      <c r="Q5948" s="226"/>
      <c r="R5948" s="226"/>
      <c r="S5948" s="226"/>
      <c r="T5948" s="226"/>
      <c r="U5948" s="226"/>
    </row>
    <row r="5949" spans="16:21" x14ac:dyDescent="0.35">
      <c r="P5949" s="226"/>
      <c r="Q5949" s="226"/>
      <c r="R5949" s="226"/>
      <c r="S5949" s="226"/>
      <c r="T5949" s="226"/>
      <c r="U5949" s="226"/>
    </row>
    <row r="5950" spans="16:21" x14ac:dyDescent="0.35">
      <c r="P5950" s="226"/>
      <c r="Q5950" s="226"/>
      <c r="R5950" s="226"/>
      <c r="S5950" s="226"/>
      <c r="T5950" s="226"/>
      <c r="U5950" s="226"/>
    </row>
    <row r="5951" spans="16:21" x14ac:dyDescent="0.35">
      <c r="P5951" s="226"/>
      <c r="Q5951" s="226"/>
      <c r="R5951" s="226"/>
      <c r="S5951" s="226"/>
      <c r="T5951" s="226"/>
      <c r="U5951" s="226"/>
    </row>
    <row r="5952" spans="16:21" x14ac:dyDescent="0.35">
      <c r="P5952" s="226"/>
      <c r="Q5952" s="226"/>
      <c r="R5952" s="226"/>
      <c r="S5952" s="226"/>
      <c r="T5952" s="226"/>
      <c r="U5952" s="226"/>
    </row>
    <row r="5953" spans="16:21" x14ac:dyDescent="0.35">
      <c r="P5953" s="226"/>
      <c r="Q5953" s="226"/>
      <c r="R5953" s="226"/>
      <c r="S5953" s="226"/>
      <c r="T5953" s="226"/>
      <c r="U5953" s="226"/>
    </row>
    <row r="5954" spans="16:21" x14ac:dyDescent="0.35">
      <c r="P5954" s="226"/>
      <c r="Q5954" s="226"/>
      <c r="R5954" s="226"/>
      <c r="S5954" s="226"/>
      <c r="T5954" s="226"/>
      <c r="U5954" s="226"/>
    </row>
    <row r="5955" spans="16:21" x14ac:dyDescent="0.35">
      <c r="P5955" s="226"/>
      <c r="Q5955" s="226"/>
      <c r="R5955" s="226"/>
      <c r="S5955" s="226"/>
      <c r="T5955" s="226"/>
      <c r="U5955" s="226"/>
    </row>
    <row r="5956" spans="16:21" x14ac:dyDescent="0.35">
      <c r="P5956" s="226"/>
      <c r="Q5956" s="226"/>
      <c r="R5956" s="226"/>
      <c r="S5956" s="226"/>
      <c r="T5956" s="226"/>
      <c r="U5956" s="226"/>
    </row>
    <row r="5957" spans="16:21" x14ac:dyDescent="0.35">
      <c r="P5957" s="226"/>
      <c r="Q5957" s="226"/>
      <c r="R5957" s="226"/>
      <c r="S5957" s="226"/>
      <c r="T5957" s="226"/>
      <c r="U5957" s="226"/>
    </row>
    <row r="5958" spans="16:21" x14ac:dyDescent="0.35">
      <c r="P5958" s="226"/>
      <c r="Q5958" s="226"/>
      <c r="R5958" s="226"/>
      <c r="S5958" s="226"/>
      <c r="T5958" s="226"/>
      <c r="U5958" s="226"/>
    </row>
    <row r="5959" spans="16:21" x14ac:dyDescent="0.35">
      <c r="P5959" s="226"/>
      <c r="Q5959" s="226"/>
      <c r="R5959" s="226"/>
      <c r="S5959" s="226"/>
      <c r="T5959" s="226"/>
      <c r="U5959" s="226"/>
    </row>
    <row r="5960" spans="16:21" x14ac:dyDescent="0.35">
      <c r="P5960" s="226"/>
      <c r="Q5960" s="226"/>
      <c r="R5960" s="226"/>
      <c r="S5960" s="226"/>
      <c r="T5960" s="226"/>
      <c r="U5960" s="226"/>
    </row>
    <row r="5961" spans="16:21" x14ac:dyDescent="0.35">
      <c r="P5961" s="226"/>
      <c r="Q5961" s="226"/>
      <c r="R5961" s="226"/>
      <c r="S5961" s="226"/>
      <c r="T5961" s="226"/>
      <c r="U5961" s="226"/>
    </row>
    <row r="5962" spans="16:21" x14ac:dyDescent="0.35">
      <c r="P5962" s="226"/>
      <c r="Q5962" s="226"/>
      <c r="R5962" s="226"/>
      <c r="S5962" s="226"/>
      <c r="T5962" s="226"/>
      <c r="U5962" s="226"/>
    </row>
    <row r="5963" spans="16:21" x14ac:dyDescent="0.35">
      <c r="P5963" s="226"/>
      <c r="Q5963" s="226"/>
      <c r="R5963" s="226"/>
      <c r="S5963" s="226"/>
      <c r="T5963" s="226"/>
      <c r="U5963" s="226"/>
    </row>
    <row r="5964" spans="16:21" x14ac:dyDescent="0.35">
      <c r="P5964" s="226"/>
      <c r="Q5964" s="226"/>
      <c r="R5964" s="226"/>
      <c r="S5964" s="226"/>
      <c r="T5964" s="226"/>
      <c r="U5964" s="226"/>
    </row>
    <row r="5965" spans="16:21" x14ac:dyDescent="0.35">
      <c r="P5965" s="226"/>
      <c r="Q5965" s="226"/>
      <c r="R5965" s="226"/>
      <c r="S5965" s="226"/>
      <c r="T5965" s="226"/>
      <c r="U5965" s="226"/>
    </row>
    <row r="5966" spans="16:21" x14ac:dyDescent="0.35">
      <c r="P5966" s="226"/>
      <c r="Q5966" s="226"/>
      <c r="R5966" s="226"/>
      <c r="S5966" s="226"/>
      <c r="T5966" s="226"/>
      <c r="U5966" s="226"/>
    </row>
    <row r="5967" spans="16:21" x14ac:dyDescent="0.35">
      <c r="P5967" s="226"/>
      <c r="Q5967" s="226"/>
      <c r="R5967" s="226"/>
      <c r="S5967" s="226"/>
      <c r="T5967" s="226"/>
      <c r="U5967" s="226"/>
    </row>
    <row r="5968" spans="16:21" x14ac:dyDescent="0.35">
      <c r="P5968" s="226"/>
      <c r="Q5968" s="226"/>
      <c r="R5968" s="226"/>
      <c r="S5968" s="226"/>
      <c r="T5968" s="226"/>
      <c r="U5968" s="226"/>
    </row>
    <row r="5969" spans="16:21" x14ac:dyDescent="0.35">
      <c r="P5969" s="226"/>
      <c r="Q5969" s="226"/>
      <c r="R5969" s="226"/>
      <c r="S5969" s="226"/>
      <c r="T5969" s="226"/>
      <c r="U5969" s="226"/>
    </row>
    <row r="5970" spans="16:21" x14ac:dyDescent="0.35">
      <c r="P5970" s="226"/>
      <c r="Q5970" s="226"/>
      <c r="R5970" s="226"/>
      <c r="S5970" s="226"/>
      <c r="T5970" s="226"/>
      <c r="U5970" s="226"/>
    </row>
    <row r="5971" spans="16:21" x14ac:dyDescent="0.35">
      <c r="P5971" s="226"/>
      <c r="Q5971" s="226"/>
      <c r="R5971" s="226"/>
      <c r="S5971" s="226"/>
      <c r="T5971" s="226"/>
      <c r="U5971" s="226"/>
    </row>
    <row r="5972" spans="16:21" x14ac:dyDescent="0.35">
      <c r="P5972" s="226"/>
      <c r="Q5972" s="226"/>
      <c r="R5972" s="226"/>
      <c r="S5972" s="226"/>
      <c r="T5972" s="226"/>
      <c r="U5972" s="226"/>
    </row>
    <row r="5973" spans="16:21" x14ac:dyDescent="0.35">
      <c r="P5973" s="226"/>
      <c r="Q5973" s="226"/>
      <c r="R5973" s="226"/>
      <c r="S5973" s="226"/>
      <c r="T5973" s="226"/>
      <c r="U5973" s="226"/>
    </row>
    <row r="5974" spans="16:21" x14ac:dyDescent="0.35">
      <c r="P5974" s="226"/>
      <c r="Q5974" s="226"/>
      <c r="R5974" s="226"/>
      <c r="S5974" s="226"/>
      <c r="T5974" s="226"/>
      <c r="U5974" s="226"/>
    </row>
    <row r="5975" spans="16:21" x14ac:dyDescent="0.35">
      <c r="P5975" s="226"/>
      <c r="Q5975" s="226"/>
      <c r="R5975" s="226"/>
      <c r="S5975" s="226"/>
      <c r="T5975" s="226"/>
      <c r="U5975" s="226"/>
    </row>
    <row r="5976" spans="16:21" x14ac:dyDescent="0.35">
      <c r="P5976" s="226"/>
      <c r="Q5976" s="226"/>
      <c r="R5976" s="226"/>
      <c r="S5976" s="226"/>
      <c r="T5976" s="226"/>
      <c r="U5976" s="226"/>
    </row>
    <row r="5977" spans="16:21" x14ac:dyDescent="0.35">
      <c r="P5977" s="226"/>
      <c r="Q5977" s="226"/>
      <c r="R5977" s="226"/>
      <c r="S5977" s="226"/>
      <c r="T5977" s="226"/>
      <c r="U5977" s="226"/>
    </row>
    <row r="5978" spans="16:21" x14ac:dyDescent="0.35">
      <c r="P5978" s="226"/>
      <c r="Q5978" s="226"/>
      <c r="R5978" s="226"/>
      <c r="S5978" s="226"/>
      <c r="T5978" s="226"/>
      <c r="U5978" s="226"/>
    </row>
    <row r="5979" spans="16:21" x14ac:dyDescent="0.35">
      <c r="P5979" s="226"/>
      <c r="Q5979" s="226"/>
      <c r="R5979" s="226"/>
      <c r="S5979" s="226"/>
      <c r="T5979" s="226"/>
      <c r="U5979" s="226"/>
    </row>
    <row r="5980" spans="16:21" x14ac:dyDescent="0.35">
      <c r="P5980" s="226"/>
      <c r="Q5980" s="226"/>
      <c r="R5980" s="226"/>
      <c r="S5980" s="226"/>
      <c r="T5980" s="226"/>
      <c r="U5980" s="226"/>
    </row>
    <row r="5981" spans="16:21" x14ac:dyDescent="0.35">
      <c r="P5981" s="226"/>
      <c r="Q5981" s="226"/>
      <c r="R5981" s="226"/>
      <c r="S5981" s="226"/>
      <c r="T5981" s="226"/>
      <c r="U5981" s="226"/>
    </row>
    <row r="5982" spans="16:21" x14ac:dyDescent="0.35">
      <c r="P5982" s="226"/>
      <c r="Q5982" s="226"/>
      <c r="R5982" s="226"/>
      <c r="S5982" s="226"/>
      <c r="T5982" s="226"/>
      <c r="U5982" s="226"/>
    </row>
    <row r="5983" spans="16:21" x14ac:dyDescent="0.35">
      <c r="P5983" s="226"/>
      <c r="Q5983" s="226"/>
      <c r="R5983" s="226"/>
      <c r="S5983" s="226"/>
      <c r="T5983" s="226"/>
      <c r="U5983" s="226"/>
    </row>
    <row r="5984" spans="16:21" x14ac:dyDescent="0.35">
      <c r="P5984" s="226"/>
      <c r="Q5984" s="226"/>
      <c r="R5984" s="226"/>
      <c r="S5984" s="226"/>
      <c r="T5984" s="226"/>
      <c r="U5984" s="226"/>
    </row>
    <row r="5985" spans="16:21" x14ac:dyDescent="0.35">
      <c r="P5985" s="226"/>
      <c r="Q5985" s="226"/>
      <c r="R5985" s="226"/>
      <c r="S5985" s="226"/>
      <c r="T5985" s="226"/>
      <c r="U5985" s="226"/>
    </row>
    <row r="5986" spans="16:21" x14ac:dyDescent="0.35">
      <c r="P5986" s="226"/>
      <c r="Q5986" s="226"/>
      <c r="R5986" s="226"/>
      <c r="S5986" s="226"/>
      <c r="T5986" s="226"/>
      <c r="U5986" s="226"/>
    </row>
    <row r="5987" spans="16:21" x14ac:dyDescent="0.35">
      <c r="P5987" s="226"/>
      <c r="Q5987" s="226"/>
      <c r="R5987" s="226"/>
      <c r="S5987" s="226"/>
      <c r="T5987" s="226"/>
      <c r="U5987" s="226"/>
    </row>
    <row r="5988" spans="16:21" x14ac:dyDescent="0.35">
      <c r="P5988" s="226"/>
      <c r="Q5988" s="226"/>
      <c r="R5988" s="226"/>
      <c r="S5988" s="226"/>
      <c r="T5988" s="226"/>
      <c r="U5988" s="226"/>
    </row>
    <row r="5989" spans="16:21" x14ac:dyDescent="0.35">
      <c r="P5989" s="226"/>
      <c r="Q5989" s="226"/>
      <c r="R5989" s="226"/>
      <c r="S5989" s="226"/>
      <c r="T5989" s="226"/>
      <c r="U5989" s="226"/>
    </row>
    <row r="5990" spans="16:21" x14ac:dyDescent="0.35">
      <c r="P5990" s="226"/>
      <c r="Q5990" s="226"/>
      <c r="R5990" s="226"/>
      <c r="S5990" s="226"/>
      <c r="T5990" s="226"/>
      <c r="U5990" s="226"/>
    </row>
    <row r="5991" spans="16:21" x14ac:dyDescent="0.35">
      <c r="P5991" s="226"/>
      <c r="Q5991" s="226"/>
      <c r="R5991" s="226"/>
      <c r="S5991" s="226"/>
      <c r="T5991" s="226"/>
      <c r="U5991" s="226"/>
    </row>
    <row r="5992" spans="16:21" x14ac:dyDescent="0.35">
      <c r="P5992" s="226"/>
      <c r="Q5992" s="226"/>
      <c r="R5992" s="226"/>
      <c r="S5992" s="226"/>
      <c r="T5992" s="226"/>
      <c r="U5992" s="226"/>
    </row>
    <row r="5993" spans="16:21" x14ac:dyDescent="0.35">
      <c r="P5993" s="226"/>
      <c r="Q5993" s="226"/>
      <c r="R5993" s="226"/>
      <c r="S5993" s="226"/>
      <c r="T5993" s="226"/>
      <c r="U5993" s="226"/>
    </row>
    <row r="5994" spans="16:21" x14ac:dyDescent="0.35">
      <c r="P5994" s="226"/>
      <c r="Q5994" s="226"/>
      <c r="R5994" s="226"/>
      <c r="S5994" s="226"/>
      <c r="T5994" s="226"/>
      <c r="U5994" s="226"/>
    </row>
    <row r="5995" spans="16:21" x14ac:dyDescent="0.35">
      <c r="P5995" s="226"/>
      <c r="Q5995" s="226"/>
      <c r="R5995" s="226"/>
      <c r="S5995" s="226"/>
      <c r="T5995" s="226"/>
      <c r="U5995" s="226"/>
    </row>
    <row r="5996" spans="16:21" x14ac:dyDescent="0.35">
      <c r="P5996" s="226"/>
      <c r="Q5996" s="226"/>
      <c r="R5996" s="226"/>
      <c r="S5996" s="226"/>
      <c r="T5996" s="226"/>
      <c r="U5996" s="226"/>
    </row>
    <row r="5997" spans="16:21" x14ac:dyDescent="0.35">
      <c r="P5997" s="226"/>
      <c r="Q5997" s="226"/>
      <c r="R5997" s="226"/>
      <c r="S5997" s="226"/>
      <c r="T5997" s="226"/>
      <c r="U5997" s="226"/>
    </row>
    <row r="5998" spans="16:21" x14ac:dyDescent="0.35">
      <c r="P5998" s="226"/>
      <c r="Q5998" s="226"/>
      <c r="R5998" s="226"/>
      <c r="S5998" s="226"/>
      <c r="T5998" s="226"/>
      <c r="U5998" s="226"/>
    </row>
    <row r="5999" spans="16:21" x14ac:dyDescent="0.35">
      <c r="P5999" s="226"/>
      <c r="Q5999" s="226"/>
      <c r="R5999" s="226"/>
      <c r="S5999" s="226"/>
      <c r="T5999" s="226"/>
      <c r="U5999" s="226"/>
    </row>
    <row r="6000" spans="16:21" x14ac:dyDescent="0.35">
      <c r="P6000" s="226"/>
      <c r="Q6000" s="226"/>
      <c r="R6000" s="226"/>
      <c r="S6000" s="226"/>
      <c r="T6000" s="226"/>
      <c r="U6000" s="226"/>
    </row>
    <row r="6001" spans="16:21" x14ac:dyDescent="0.35">
      <c r="P6001" s="226"/>
      <c r="Q6001" s="226"/>
      <c r="R6001" s="226"/>
      <c r="S6001" s="226"/>
      <c r="T6001" s="226"/>
      <c r="U6001" s="226"/>
    </row>
    <row r="6002" spans="16:21" x14ac:dyDescent="0.35">
      <c r="P6002" s="226"/>
      <c r="Q6002" s="226"/>
      <c r="R6002" s="226"/>
      <c r="S6002" s="226"/>
      <c r="T6002" s="226"/>
      <c r="U6002" s="226"/>
    </row>
    <row r="6003" spans="16:21" x14ac:dyDescent="0.35">
      <c r="P6003" s="226"/>
      <c r="Q6003" s="226"/>
      <c r="R6003" s="226"/>
      <c r="S6003" s="226"/>
      <c r="T6003" s="226"/>
      <c r="U6003" s="226"/>
    </row>
    <row r="6004" spans="16:21" x14ac:dyDescent="0.35">
      <c r="P6004" s="226"/>
      <c r="Q6004" s="226"/>
      <c r="R6004" s="226"/>
      <c r="S6004" s="226"/>
      <c r="T6004" s="226"/>
      <c r="U6004" s="226"/>
    </row>
    <row r="6005" spans="16:21" x14ac:dyDescent="0.35">
      <c r="P6005" s="226"/>
      <c r="Q6005" s="226"/>
      <c r="R6005" s="226"/>
      <c r="S6005" s="226"/>
      <c r="T6005" s="226"/>
      <c r="U6005" s="226"/>
    </row>
    <row r="6006" spans="16:21" x14ac:dyDescent="0.35">
      <c r="P6006" s="226"/>
      <c r="Q6006" s="226"/>
      <c r="R6006" s="226"/>
      <c r="S6006" s="226"/>
      <c r="T6006" s="226"/>
      <c r="U6006" s="226"/>
    </row>
    <row r="6007" spans="16:21" x14ac:dyDescent="0.35">
      <c r="P6007" s="226"/>
      <c r="Q6007" s="226"/>
      <c r="R6007" s="226"/>
      <c r="S6007" s="226"/>
      <c r="T6007" s="226"/>
      <c r="U6007" s="226"/>
    </row>
    <row r="6008" spans="16:21" x14ac:dyDescent="0.35">
      <c r="P6008" s="226"/>
      <c r="Q6008" s="226"/>
      <c r="R6008" s="226"/>
      <c r="S6008" s="226"/>
      <c r="T6008" s="226"/>
      <c r="U6008" s="226"/>
    </row>
    <row r="6009" spans="16:21" x14ac:dyDescent="0.35">
      <c r="P6009" s="226"/>
      <c r="Q6009" s="226"/>
      <c r="R6009" s="226"/>
      <c r="S6009" s="226"/>
      <c r="T6009" s="226"/>
      <c r="U6009" s="226"/>
    </row>
    <row r="6010" spans="16:21" x14ac:dyDescent="0.35">
      <c r="P6010" s="226"/>
      <c r="Q6010" s="226"/>
      <c r="R6010" s="226"/>
      <c r="S6010" s="226"/>
      <c r="T6010" s="226"/>
      <c r="U6010" s="226"/>
    </row>
    <row r="6011" spans="16:21" x14ac:dyDescent="0.35">
      <c r="P6011" s="226"/>
      <c r="Q6011" s="226"/>
      <c r="R6011" s="226"/>
      <c r="S6011" s="226"/>
      <c r="T6011" s="226"/>
      <c r="U6011" s="226"/>
    </row>
    <row r="6012" spans="16:21" x14ac:dyDescent="0.35">
      <c r="P6012" s="226"/>
      <c r="Q6012" s="226"/>
      <c r="R6012" s="226"/>
      <c r="S6012" s="226"/>
      <c r="T6012" s="226"/>
      <c r="U6012" s="226"/>
    </row>
    <row r="6013" spans="16:21" x14ac:dyDescent="0.35">
      <c r="P6013" s="226"/>
      <c r="Q6013" s="226"/>
      <c r="R6013" s="226"/>
      <c r="S6013" s="226"/>
      <c r="T6013" s="226"/>
      <c r="U6013" s="226"/>
    </row>
    <row r="6014" spans="16:21" x14ac:dyDescent="0.35">
      <c r="P6014" s="226"/>
      <c r="Q6014" s="226"/>
      <c r="R6014" s="226"/>
      <c r="S6014" s="226"/>
      <c r="T6014" s="226"/>
      <c r="U6014" s="226"/>
    </row>
    <row r="6015" spans="16:21" x14ac:dyDescent="0.35">
      <c r="P6015" s="226"/>
      <c r="Q6015" s="226"/>
      <c r="R6015" s="226"/>
      <c r="S6015" s="226"/>
      <c r="T6015" s="226"/>
      <c r="U6015" s="226"/>
    </row>
    <row r="6016" spans="16:21" x14ac:dyDescent="0.35">
      <c r="P6016" s="226"/>
      <c r="Q6016" s="226"/>
      <c r="R6016" s="226"/>
      <c r="S6016" s="226"/>
      <c r="T6016" s="226"/>
      <c r="U6016" s="226"/>
    </row>
    <row r="6017" spans="16:21" x14ac:dyDescent="0.35">
      <c r="P6017" s="226"/>
      <c r="Q6017" s="226"/>
      <c r="R6017" s="226"/>
      <c r="S6017" s="226"/>
      <c r="T6017" s="226"/>
      <c r="U6017" s="226"/>
    </row>
    <row r="6018" spans="16:21" x14ac:dyDescent="0.35">
      <c r="P6018" s="226"/>
      <c r="Q6018" s="226"/>
      <c r="R6018" s="226"/>
      <c r="S6018" s="226"/>
      <c r="T6018" s="226"/>
      <c r="U6018" s="226"/>
    </row>
    <row r="6019" spans="16:21" x14ac:dyDescent="0.35">
      <c r="P6019" s="226"/>
      <c r="Q6019" s="226"/>
      <c r="R6019" s="226"/>
      <c r="S6019" s="226"/>
      <c r="T6019" s="226"/>
      <c r="U6019" s="226"/>
    </row>
    <row r="6020" spans="16:21" x14ac:dyDescent="0.35">
      <c r="P6020" s="226"/>
      <c r="Q6020" s="226"/>
      <c r="R6020" s="226"/>
      <c r="S6020" s="226"/>
      <c r="T6020" s="226"/>
      <c r="U6020" s="226"/>
    </row>
    <row r="6021" spans="16:21" x14ac:dyDescent="0.35">
      <c r="P6021" s="226"/>
      <c r="Q6021" s="226"/>
      <c r="R6021" s="226"/>
      <c r="S6021" s="226"/>
      <c r="T6021" s="226"/>
      <c r="U6021" s="226"/>
    </row>
    <row r="6022" spans="16:21" x14ac:dyDescent="0.35">
      <c r="P6022" s="226"/>
      <c r="Q6022" s="226"/>
      <c r="R6022" s="226"/>
      <c r="S6022" s="226"/>
      <c r="T6022" s="226"/>
      <c r="U6022" s="226"/>
    </row>
    <row r="6023" spans="16:21" x14ac:dyDescent="0.35">
      <c r="P6023" s="226"/>
      <c r="Q6023" s="226"/>
      <c r="R6023" s="226"/>
      <c r="S6023" s="226"/>
      <c r="T6023" s="226"/>
      <c r="U6023" s="226"/>
    </row>
    <row r="6024" spans="16:21" x14ac:dyDescent="0.35">
      <c r="P6024" s="226"/>
      <c r="Q6024" s="226"/>
      <c r="R6024" s="226"/>
      <c r="S6024" s="226"/>
      <c r="T6024" s="226"/>
      <c r="U6024" s="226"/>
    </row>
    <row r="6025" spans="16:21" x14ac:dyDescent="0.35">
      <c r="P6025" s="226"/>
      <c r="Q6025" s="226"/>
      <c r="R6025" s="226"/>
      <c r="S6025" s="226"/>
      <c r="T6025" s="226"/>
      <c r="U6025" s="226"/>
    </row>
    <row r="6026" spans="16:21" x14ac:dyDescent="0.35">
      <c r="P6026" s="226"/>
      <c r="Q6026" s="226"/>
      <c r="R6026" s="226"/>
      <c r="S6026" s="226"/>
      <c r="T6026" s="226"/>
      <c r="U6026" s="226"/>
    </row>
    <row r="6027" spans="16:21" x14ac:dyDescent="0.35">
      <c r="P6027" s="226"/>
      <c r="Q6027" s="226"/>
      <c r="R6027" s="226"/>
      <c r="S6027" s="226"/>
      <c r="T6027" s="226"/>
      <c r="U6027" s="226"/>
    </row>
    <row r="6028" spans="16:21" x14ac:dyDescent="0.35">
      <c r="P6028" s="226"/>
      <c r="Q6028" s="226"/>
      <c r="R6028" s="226"/>
      <c r="S6028" s="226"/>
      <c r="T6028" s="226"/>
      <c r="U6028" s="226"/>
    </row>
    <row r="6029" spans="16:21" x14ac:dyDescent="0.35">
      <c r="P6029" s="226"/>
      <c r="Q6029" s="226"/>
      <c r="R6029" s="226"/>
      <c r="S6029" s="226"/>
      <c r="T6029" s="226"/>
      <c r="U6029" s="226"/>
    </row>
    <row r="6030" spans="16:21" x14ac:dyDescent="0.35">
      <c r="P6030" s="226"/>
      <c r="Q6030" s="226"/>
      <c r="R6030" s="226"/>
      <c r="S6030" s="226"/>
      <c r="T6030" s="226"/>
      <c r="U6030" s="226"/>
    </row>
    <row r="6031" spans="16:21" x14ac:dyDescent="0.35">
      <c r="P6031" s="226"/>
      <c r="Q6031" s="226"/>
      <c r="R6031" s="226"/>
      <c r="S6031" s="226"/>
      <c r="T6031" s="226"/>
      <c r="U6031" s="226"/>
    </row>
    <row r="6032" spans="16:21" x14ac:dyDescent="0.35">
      <c r="P6032" s="226"/>
      <c r="Q6032" s="226"/>
      <c r="R6032" s="226"/>
      <c r="S6032" s="226"/>
      <c r="T6032" s="226"/>
      <c r="U6032" s="226"/>
    </row>
    <row r="6033" spans="16:21" x14ac:dyDescent="0.35">
      <c r="P6033" s="226"/>
      <c r="Q6033" s="226"/>
      <c r="R6033" s="226"/>
      <c r="S6033" s="226"/>
      <c r="T6033" s="226"/>
      <c r="U6033" s="226"/>
    </row>
    <row r="6034" spans="16:21" x14ac:dyDescent="0.35">
      <c r="P6034" s="226"/>
      <c r="Q6034" s="226"/>
      <c r="R6034" s="226"/>
      <c r="S6034" s="226"/>
      <c r="T6034" s="226"/>
      <c r="U6034" s="226"/>
    </row>
    <row r="6035" spans="16:21" x14ac:dyDescent="0.35">
      <c r="P6035" s="226"/>
      <c r="Q6035" s="226"/>
      <c r="R6035" s="226"/>
      <c r="S6035" s="226"/>
      <c r="T6035" s="226"/>
      <c r="U6035" s="226"/>
    </row>
    <row r="6036" spans="16:21" x14ac:dyDescent="0.35">
      <c r="P6036" s="226"/>
      <c r="Q6036" s="226"/>
      <c r="R6036" s="226"/>
      <c r="S6036" s="226"/>
      <c r="T6036" s="226"/>
      <c r="U6036" s="226"/>
    </row>
    <row r="6037" spans="16:21" x14ac:dyDescent="0.35">
      <c r="P6037" s="226"/>
      <c r="Q6037" s="226"/>
      <c r="R6037" s="226"/>
      <c r="S6037" s="226"/>
      <c r="T6037" s="226"/>
      <c r="U6037" s="226"/>
    </row>
    <row r="6038" spans="16:21" x14ac:dyDescent="0.35">
      <c r="P6038" s="226"/>
      <c r="Q6038" s="226"/>
      <c r="R6038" s="226"/>
      <c r="S6038" s="226"/>
      <c r="T6038" s="226"/>
      <c r="U6038" s="226"/>
    </row>
    <row r="6039" spans="16:21" x14ac:dyDescent="0.35">
      <c r="P6039" s="226"/>
      <c r="Q6039" s="226"/>
      <c r="R6039" s="226"/>
      <c r="S6039" s="226"/>
      <c r="T6039" s="226"/>
      <c r="U6039" s="226"/>
    </row>
    <row r="6040" spans="16:21" x14ac:dyDescent="0.35">
      <c r="P6040" s="226"/>
      <c r="Q6040" s="226"/>
      <c r="R6040" s="226"/>
      <c r="S6040" s="226"/>
      <c r="T6040" s="226"/>
      <c r="U6040" s="226"/>
    </row>
    <row r="6041" spans="16:21" x14ac:dyDescent="0.35">
      <c r="P6041" s="226"/>
      <c r="Q6041" s="226"/>
      <c r="R6041" s="226"/>
      <c r="S6041" s="226"/>
      <c r="T6041" s="226"/>
      <c r="U6041" s="226"/>
    </row>
    <row r="6042" spans="16:21" x14ac:dyDescent="0.35">
      <c r="P6042" s="226"/>
      <c r="Q6042" s="226"/>
      <c r="R6042" s="226"/>
      <c r="S6042" s="226"/>
      <c r="T6042" s="226"/>
      <c r="U6042" s="226"/>
    </row>
    <row r="6043" spans="16:21" x14ac:dyDescent="0.35">
      <c r="P6043" s="226"/>
      <c r="Q6043" s="226"/>
      <c r="R6043" s="226"/>
      <c r="S6043" s="226"/>
      <c r="T6043" s="226"/>
      <c r="U6043" s="226"/>
    </row>
    <row r="6044" spans="16:21" x14ac:dyDescent="0.35">
      <c r="P6044" s="226"/>
      <c r="Q6044" s="226"/>
      <c r="R6044" s="226"/>
      <c r="S6044" s="226"/>
      <c r="T6044" s="226"/>
      <c r="U6044" s="226"/>
    </row>
    <row r="6045" spans="16:21" x14ac:dyDescent="0.35">
      <c r="P6045" s="226"/>
      <c r="Q6045" s="226"/>
      <c r="R6045" s="226"/>
      <c r="S6045" s="226"/>
      <c r="T6045" s="226"/>
      <c r="U6045" s="226"/>
    </row>
    <row r="6046" spans="16:21" x14ac:dyDescent="0.35">
      <c r="P6046" s="226"/>
      <c r="Q6046" s="226"/>
      <c r="R6046" s="226"/>
      <c r="S6046" s="226"/>
      <c r="T6046" s="226"/>
      <c r="U6046" s="226"/>
    </row>
    <row r="6047" spans="16:21" x14ac:dyDescent="0.35">
      <c r="P6047" s="226"/>
      <c r="Q6047" s="226"/>
      <c r="R6047" s="226"/>
      <c r="S6047" s="226"/>
      <c r="T6047" s="226"/>
      <c r="U6047" s="226"/>
    </row>
    <row r="6048" spans="16:21" x14ac:dyDescent="0.35">
      <c r="P6048" s="226"/>
      <c r="Q6048" s="226"/>
      <c r="R6048" s="226"/>
      <c r="S6048" s="226"/>
      <c r="T6048" s="226"/>
      <c r="U6048" s="226"/>
    </row>
    <row r="6049" spans="16:21" x14ac:dyDescent="0.35">
      <c r="P6049" s="226"/>
      <c r="Q6049" s="226"/>
      <c r="R6049" s="226"/>
      <c r="S6049" s="226"/>
      <c r="T6049" s="226"/>
      <c r="U6049" s="226"/>
    </row>
    <row r="6050" spans="16:21" x14ac:dyDescent="0.35">
      <c r="P6050" s="226"/>
      <c r="Q6050" s="226"/>
      <c r="R6050" s="226"/>
      <c r="S6050" s="226"/>
      <c r="T6050" s="226"/>
      <c r="U6050" s="226"/>
    </row>
    <row r="6051" spans="16:21" x14ac:dyDescent="0.35">
      <c r="P6051" s="226"/>
      <c r="Q6051" s="226"/>
      <c r="R6051" s="226"/>
      <c r="S6051" s="226"/>
      <c r="T6051" s="226"/>
      <c r="U6051" s="226"/>
    </row>
    <row r="6052" spans="16:21" x14ac:dyDescent="0.35">
      <c r="P6052" s="226"/>
      <c r="Q6052" s="226"/>
      <c r="R6052" s="226"/>
      <c r="S6052" s="226"/>
      <c r="T6052" s="226"/>
      <c r="U6052" s="226"/>
    </row>
    <row r="6053" spans="16:21" x14ac:dyDescent="0.35">
      <c r="P6053" s="226"/>
      <c r="Q6053" s="226"/>
      <c r="R6053" s="226"/>
      <c r="S6053" s="226"/>
      <c r="T6053" s="226"/>
      <c r="U6053" s="226"/>
    </row>
    <row r="6054" spans="16:21" x14ac:dyDescent="0.35">
      <c r="P6054" s="226"/>
      <c r="Q6054" s="226"/>
      <c r="R6054" s="226"/>
      <c r="S6054" s="226"/>
      <c r="T6054" s="226"/>
      <c r="U6054" s="226"/>
    </row>
    <row r="6055" spans="16:21" x14ac:dyDescent="0.35">
      <c r="P6055" s="226"/>
      <c r="Q6055" s="226"/>
      <c r="R6055" s="226"/>
      <c r="S6055" s="226"/>
      <c r="T6055" s="226"/>
      <c r="U6055" s="226"/>
    </row>
    <row r="6056" spans="16:21" x14ac:dyDescent="0.35">
      <c r="P6056" s="226"/>
      <c r="Q6056" s="226"/>
      <c r="R6056" s="226"/>
      <c r="S6056" s="226"/>
      <c r="T6056" s="226"/>
      <c r="U6056" s="226"/>
    </row>
    <row r="6057" spans="16:21" x14ac:dyDescent="0.35">
      <c r="P6057" s="226"/>
      <c r="Q6057" s="226"/>
      <c r="R6057" s="226"/>
      <c r="S6057" s="226"/>
      <c r="T6057" s="226"/>
      <c r="U6057" s="226"/>
    </row>
    <row r="6058" spans="16:21" x14ac:dyDescent="0.35">
      <c r="P6058" s="226"/>
      <c r="Q6058" s="226"/>
      <c r="R6058" s="226"/>
      <c r="S6058" s="226"/>
      <c r="T6058" s="226"/>
      <c r="U6058" s="226"/>
    </row>
    <row r="6059" spans="16:21" x14ac:dyDescent="0.35">
      <c r="P6059" s="226"/>
      <c r="Q6059" s="226"/>
      <c r="R6059" s="226"/>
      <c r="S6059" s="226"/>
      <c r="T6059" s="226"/>
      <c r="U6059" s="226"/>
    </row>
    <row r="6060" spans="16:21" x14ac:dyDescent="0.35">
      <c r="P6060" s="226"/>
      <c r="Q6060" s="226"/>
      <c r="R6060" s="226"/>
      <c r="S6060" s="226"/>
      <c r="T6060" s="226"/>
      <c r="U6060" s="226"/>
    </row>
    <row r="6061" spans="16:21" x14ac:dyDescent="0.35">
      <c r="P6061" s="226"/>
      <c r="Q6061" s="226"/>
      <c r="R6061" s="226"/>
      <c r="S6061" s="226"/>
      <c r="T6061" s="226"/>
      <c r="U6061" s="226"/>
    </row>
    <row r="6062" spans="16:21" x14ac:dyDescent="0.35">
      <c r="P6062" s="226"/>
      <c r="Q6062" s="226"/>
      <c r="R6062" s="226"/>
      <c r="S6062" s="226"/>
      <c r="T6062" s="226"/>
      <c r="U6062" s="226"/>
    </row>
    <row r="6063" spans="16:21" x14ac:dyDescent="0.35">
      <c r="P6063" s="226"/>
      <c r="Q6063" s="226"/>
      <c r="R6063" s="226"/>
      <c r="S6063" s="226"/>
      <c r="T6063" s="226"/>
      <c r="U6063" s="226"/>
    </row>
    <row r="6064" spans="16:21" x14ac:dyDescent="0.35">
      <c r="P6064" s="226"/>
      <c r="Q6064" s="226"/>
      <c r="R6064" s="226"/>
      <c r="S6064" s="226"/>
      <c r="T6064" s="226"/>
      <c r="U6064" s="226"/>
    </row>
    <row r="6065" spans="16:21" x14ac:dyDescent="0.35">
      <c r="P6065" s="226"/>
      <c r="Q6065" s="226"/>
      <c r="R6065" s="226"/>
      <c r="S6065" s="226"/>
      <c r="T6065" s="226"/>
      <c r="U6065" s="226"/>
    </row>
    <row r="6066" spans="16:21" x14ac:dyDescent="0.35">
      <c r="P6066" s="226"/>
      <c r="Q6066" s="226"/>
      <c r="R6066" s="226"/>
      <c r="S6066" s="226"/>
      <c r="T6066" s="226"/>
      <c r="U6066" s="226"/>
    </row>
    <row r="6067" spans="16:21" x14ac:dyDescent="0.35">
      <c r="P6067" s="226"/>
      <c r="Q6067" s="226"/>
      <c r="R6067" s="226"/>
      <c r="S6067" s="226"/>
      <c r="T6067" s="226"/>
      <c r="U6067" s="226"/>
    </row>
    <row r="6068" spans="16:21" x14ac:dyDescent="0.35">
      <c r="P6068" s="226"/>
      <c r="Q6068" s="226"/>
      <c r="R6068" s="226"/>
      <c r="S6068" s="226"/>
      <c r="T6068" s="226"/>
      <c r="U6068" s="226"/>
    </row>
    <row r="6069" spans="16:21" x14ac:dyDescent="0.35">
      <c r="P6069" s="226"/>
      <c r="Q6069" s="226"/>
      <c r="R6069" s="226"/>
      <c r="S6069" s="226"/>
      <c r="T6069" s="226"/>
      <c r="U6069" s="226"/>
    </row>
    <row r="6070" spans="16:21" x14ac:dyDescent="0.35">
      <c r="P6070" s="226"/>
      <c r="Q6070" s="226"/>
      <c r="R6070" s="226"/>
      <c r="S6070" s="226"/>
      <c r="T6070" s="226"/>
      <c r="U6070" s="226"/>
    </row>
    <row r="6071" spans="16:21" x14ac:dyDescent="0.35">
      <c r="P6071" s="226"/>
      <c r="Q6071" s="226"/>
      <c r="R6071" s="226"/>
      <c r="S6071" s="226"/>
      <c r="T6071" s="226"/>
      <c r="U6071" s="226"/>
    </row>
    <row r="6072" spans="16:21" x14ac:dyDescent="0.35">
      <c r="P6072" s="226"/>
      <c r="Q6072" s="226"/>
      <c r="R6072" s="226"/>
      <c r="S6072" s="226"/>
      <c r="T6072" s="226"/>
      <c r="U6072" s="226"/>
    </row>
    <row r="6073" spans="16:21" x14ac:dyDescent="0.35">
      <c r="P6073" s="226"/>
      <c r="Q6073" s="226"/>
      <c r="R6073" s="226"/>
      <c r="S6073" s="226"/>
      <c r="T6073" s="226"/>
      <c r="U6073" s="226"/>
    </row>
    <row r="6074" spans="16:21" x14ac:dyDescent="0.35">
      <c r="P6074" s="226"/>
      <c r="Q6074" s="226"/>
      <c r="R6074" s="226"/>
      <c r="S6074" s="226"/>
      <c r="T6074" s="226"/>
      <c r="U6074" s="226"/>
    </row>
    <row r="6075" spans="16:21" x14ac:dyDescent="0.35">
      <c r="P6075" s="226"/>
      <c r="Q6075" s="226"/>
      <c r="R6075" s="226"/>
      <c r="S6075" s="226"/>
      <c r="T6075" s="226"/>
      <c r="U6075" s="226"/>
    </row>
    <row r="6076" spans="16:21" x14ac:dyDescent="0.35">
      <c r="P6076" s="226"/>
      <c r="Q6076" s="226"/>
      <c r="R6076" s="226"/>
      <c r="S6076" s="226"/>
      <c r="T6076" s="226"/>
      <c r="U6076" s="226"/>
    </row>
    <row r="6077" spans="16:21" x14ac:dyDescent="0.35">
      <c r="P6077" s="226"/>
      <c r="Q6077" s="226"/>
      <c r="R6077" s="226"/>
      <c r="S6077" s="226"/>
      <c r="T6077" s="226"/>
      <c r="U6077" s="226"/>
    </row>
    <row r="6078" spans="16:21" x14ac:dyDescent="0.35">
      <c r="P6078" s="226"/>
      <c r="Q6078" s="226"/>
      <c r="R6078" s="226"/>
      <c r="S6078" s="226"/>
      <c r="T6078" s="226"/>
      <c r="U6078" s="226"/>
    </row>
    <row r="6079" spans="16:21" x14ac:dyDescent="0.35">
      <c r="P6079" s="226"/>
      <c r="Q6079" s="226"/>
      <c r="R6079" s="226"/>
      <c r="S6079" s="226"/>
      <c r="T6079" s="226"/>
      <c r="U6079" s="226"/>
    </row>
    <row r="6080" spans="16:21" x14ac:dyDescent="0.35">
      <c r="P6080" s="226"/>
      <c r="Q6080" s="226"/>
      <c r="R6080" s="226"/>
      <c r="S6080" s="226"/>
      <c r="T6080" s="226"/>
      <c r="U6080" s="226"/>
    </row>
    <row r="6081" spans="16:21" x14ac:dyDescent="0.35">
      <c r="P6081" s="226"/>
      <c r="Q6081" s="226"/>
      <c r="R6081" s="226"/>
      <c r="S6081" s="226"/>
      <c r="T6081" s="226"/>
      <c r="U6081" s="226"/>
    </row>
    <row r="6082" spans="16:21" x14ac:dyDescent="0.35">
      <c r="P6082" s="226"/>
      <c r="Q6082" s="226"/>
      <c r="R6082" s="226"/>
      <c r="S6082" s="226"/>
      <c r="T6082" s="226"/>
      <c r="U6082" s="226"/>
    </row>
    <row r="6083" spans="16:21" x14ac:dyDescent="0.35">
      <c r="P6083" s="226"/>
      <c r="Q6083" s="226"/>
      <c r="R6083" s="226"/>
      <c r="S6083" s="226"/>
      <c r="T6083" s="226"/>
      <c r="U6083" s="226"/>
    </row>
    <row r="6084" spans="16:21" x14ac:dyDescent="0.35">
      <c r="P6084" s="226"/>
      <c r="Q6084" s="226"/>
      <c r="R6084" s="226"/>
      <c r="S6084" s="226"/>
      <c r="T6084" s="226"/>
      <c r="U6084" s="226"/>
    </row>
    <row r="6085" spans="16:21" x14ac:dyDescent="0.35">
      <c r="P6085" s="226"/>
      <c r="Q6085" s="226"/>
      <c r="R6085" s="226"/>
      <c r="S6085" s="226"/>
      <c r="T6085" s="226"/>
      <c r="U6085" s="226"/>
    </row>
    <row r="6086" spans="16:21" x14ac:dyDescent="0.35">
      <c r="P6086" s="226"/>
      <c r="Q6086" s="226"/>
      <c r="R6086" s="226"/>
      <c r="S6086" s="226"/>
      <c r="T6086" s="226"/>
      <c r="U6086" s="226"/>
    </row>
    <row r="6087" spans="16:21" x14ac:dyDescent="0.35">
      <c r="P6087" s="226"/>
      <c r="Q6087" s="226"/>
      <c r="R6087" s="226"/>
      <c r="S6087" s="226"/>
      <c r="T6087" s="226"/>
      <c r="U6087" s="226"/>
    </row>
    <row r="6088" spans="16:21" x14ac:dyDescent="0.35">
      <c r="P6088" s="226"/>
      <c r="Q6088" s="226"/>
      <c r="R6088" s="226"/>
      <c r="S6088" s="226"/>
      <c r="T6088" s="226"/>
      <c r="U6088" s="226"/>
    </row>
    <row r="6089" spans="16:21" x14ac:dyDescent="0.35">
      <c r="P6089" s="226"/>
      <c r="Q6089" s="226"/>
      <c r="R6089" s="226"/>
      <c r="S6089" s="226"/>
      <c r="T6089" s="226"/>
      <c r="U6089" s="226"/>
    </row>
    <row r="6090" spans="16:21" x14ac:dyDescent="0.35">
      <c r="P6090" s="226"/>
      <c r="Q6090" s="226"/>
      <c r="R6090" s="226"/>
      <c r="S6090" s="226"/>
      <c r="T6090" s="226"/>
      <c r="U6090" s="226"/>
    </row>
    <row r="6091" spans="16:21" x14ac:dyDescent="0.35">
      <c r="P6091" s="226"/>
      <c r="Q6091" s="226"/>
      <c r="R6091" s="226"/>
      <c r="S6091" s="226"/>
      <c r="T6091" s="226"/>
      <c r="U6091" s="226"/>
    </row>
    <row r="6092" spans="16:21" x14ac:dyDescent="0.35">
      <c r="P6092" s="226"/>
      <c r="Q6092" s="226"/>
      <c r="R6092" s="226"/>
      <c r="S6092" s="226"/>
      <c r="T6092" s="226"/>
      <c r="U6092" s="226"/>
    </row>
    <row r="6093" spans="16:21" x14ac:dyDescent="0.35">
      <c r="P6093" s="226"/>
      <c r="Q6093" s="226"/>
      <c r="R6093" s="226"/>
      <c r="S6093" s="226"/>
      <c r="T6093" s="226"/>
      <c r="U6093" s="226"/>
    </row>
    <row r="6094" spans="16:21" x14ac:dyDescent="0.35">
      <c r="P6094" s="226"/>
      <c r="Q6094" s="226"/>
      <c r="R6094" s="226"/>
      <c r="S6094" s="226"/>
      <c r="T6094" s="226"/>
      <c r="U6094" s="226"/>
    </row>
    <row r="6095" spans="16:21" x14ac:dyDescent="0.35">
      <c r="P6095" s="226"/>
      <c r="Q6095" s="226"/>
      <c r="R6095" s="226"/>
      <c r="S6095" s="226"/>
      <c r="T6095" s="226"/>
      <c r="U6095" s="226"/>
    </row>
    <row r="6096" spans="16:21" x14ac:dyDescent="0.35">
      <c r="P6096" s="226"/>
      <c r="Q6096" s="226"/>
      <c r="R6096" s="226"/>
      <c r="S6096" s="226"/>
      <c r="T6096" s="226"/>
      <c r="U6096" s="226"/>
    </row>
    <row r="6097" spans="16:21" x14ac:dyDescent="0.35">
      <c r="P6097" s="226"/>
      <c r="Q6097" s="226"/>
      <c r="R6097" s="226"/>
      <c r="S6097" s="226"/>
      <c r="T6097" s="226"/>
      <c r="U6097" s="226"/>
    </row>
    <row r="6098" spans="16:21" x14ac:dyDescent="0.35">
      <c r="P6098" s="226"/>
      <c r="Q6098" s="226"/>
      <c r="R6098" s="226"/>
      <c r="S6098" s="226"/>
      <c r="T6098" s="226"/>
      <c r="U6098" s="226"/>
    </row>
    <row r="6099" spans="16:21" x14ac:dyDescent="0.35">
      <c r="P6099" s="226"/>
      <c r="Q6099" s="226"/>
      <c r="R6099" s="226"/>
      <c r="S6099" s="226"/>
      <c r="T6099" s="226"/>
      <c r="U6099" s="226"/>
    </row>
    <row r="6100" spans="16:21" x14ac:dyDescent="0.35">
      <c r="P6100" s="226"/>
      <c r="Q6100" s="226"/>
      <c r="R6100" s="226"/>
      <c r="S6100" s="226"/>
      <c r="T6100" s="226"/>
      <c r="U6100" s="226"/>
    </row>
    <row r="6101" spans="16:21" x14ac:dyDescent="0.35">
      <c r="P6101" s="226"/>
      <c r="Q6101" s="226"/>
      <c r="R6101" s="226"/>
      <c r="S6101" s="226"/>
      <c r="T6101" s="226"/>
      <c r="U6101" s="226"/>
    </row>
    <row r="6102" spans="16:21" x14ac:dyDescent="0.35">
      <c r="P6102" s="226"/>
      <c r="Q6102" s="226"/>
      <c r="R6102" s="226"/>
      <c r="S6102" s="226"/>
      <c r="T6102" s="226"/>
      <c r="U6102" s="226"/>
    </row>
    <row r="6103" spans="16:21" x14ac:dyDescent="0.35">
      <c r="P6103" s="226"/>
      <c r="Q6103" s="226"/>
      <c r="R6103" s="226"/>
      <c r="S6103" s="226"/>
      <c r="T6103" s="226"/>
      <c r="U6103" s="226"/>
    </row>
    <row r="6104" spans="16:21" x14ac:dyDescent="0.35">
      <c r="P6104" s="226"/>
      <c r="Q6104" s="226"/>
      <c r="R6104" s="226"/>
      <c r="S6104" s="226"/>
      <c r="T6104" s="226"/>
      <c r="U6104" s="226"/>
    </row>
    <row r="6105" spans="16:21" x14ac:dyDescent="0.35">
      <c r="P6105" s="226"/>
      <c r="Q6105" s="226"/>
      <c r="R6105" s="226"/>
      <c r="S6105" s="226"/>
      <c r="T6105" s="226"/>
      <c r="U6105" s="226"/>
    </row>
    <row r="6106" spans="16:21" x14ac:dyDescent="0.35">
      <c r="P6106" s="226"/>
      <c r="Q6106" s="226"/>
      <c r="R6106" s="226"/>
      <c r="S6106" s="226"/>
      <c r="T6106" s="226"/>
      <c r="U6106" s="226"/>
    </row>
    <row r="6107" spans="16:21" x14ac:dyDescent="0.35">
      <c r="P6107" s="226"/>
      <c r="Q6107" s="226"/>
      <c r="R6107" s="226"/>
      <c r="S6107" s="226"/>
      <c r="T6107" s="226"/>
      <c r="U6107" s="226"/>
    </row>
    <row r="6108" spans="16:21" x14ac:dyDescent="0.35">
      <c r="P6108" s="226"/>
      <c r="Q6108" s="226"/>
      <c r="R6108" s="226"/>
      <c r="S6108" s="226"/>
      <c r="T6108" s="226"/>
      <c r="U6108" s="226"/>
    </row>
    <row r="6109" spans="16:21" x14ac:dyDescent="0.35">
      <c r="P6109" s="226"/>
      <c r="Q6109" s="226"/>
      <c r="R6109" s="226"/>
      <c r="S6109" s="226"/>
      <c r="T6109" s="226"/>
      <c r="U6109" s="226"/>
    </row>
    <row r="6110" spans="16:21" x14ac:dyDescent="0.35">
      <c r="P6110" s="226"/>
      <c r="Q6110" s="226"/>
      <c r="R6110" s="226"/>
      <c r="S6110" s="226"/>
      <c r="T6110" s="226"/>
      <c r="U6110" s="226"/>
    </row>
    <row r="6111" spans="16:21" x14ac:dyDescent="0.35">
      <c r="P6111" s="226"/>
      <c r="Q6111" s="226"/>
      <c r="R6111" s="226"/>
      <c r="S6111" s="226"/>
      <c r="T6111" s="226"/>
      <c r="U6111" s="226"/>
    </row>
    <row r="6112" spans="16:21" x14ac:dyDescent="0.35">
      <c r="P6112" s="226"/>
      <c r="Q6112" s="226"/>
      <c r="R6112" s="226"/>
      <c r="S6112" s="226"/>
      <c r="T6112" s="226"/>
      <c r="U6112" s="226"/>
    </row>
    <row r="6113" spans="16:21" x14ac:dyDescent="0.35">
      <c r="P6113" s="226"/>
      <c r="Q6113" s="226"/>
      <c r="R6113" s="226"/>
      <c r="S6113" s="226"/>
      <c r="T6113" s="226"/>
      <c r="U6113" s="226"/>
    </row>
    <row r="6114" spans="16:21" x14ac:dyDescent="0.35">
      <c r="P6114" s="226"/>
      <c r="Q6114" s="226"/>
      <c r="R6114" s="226"/>
      <c r="S6114" s="226"/>
      <c r="T6114" s="226"/>
      <c r="U6114" s="226"/>
    </row>
    <row r="6115" spans="16:21" x14ac:dyDescent="0.35">
      <c r="P6115" s="226"/>
      <c r="Q6115" s="226"/>
      <c r="R6115" s="226"/>
      <c r="S6115" s="226"/>
      <c r="T6115" s="226"/>
      <c r="U6115" s="226"/>
    </row>
    <row r="6116" spans="16:21" x14ac:dyDescent="0.35">
      <c r="P6116" s="226"/>
      <c r="Q6116" s="226"/>
      <c r="R6116" s="226"/>
      <c r="S6116" s="226"/>
      <c r="T6116" s="226"/>
      <c r="U6116" s="226"/>
    </row>
    <row r="6117" spans="16:21" x14ac:dyDescent="0.35">
      <c r="P6117" s="226"/>
      <c r="Q6117" s="226"/>
      <c r="R6117" s="226"/>
      <c r="S6117" s="226"/>
      <c r="T6117" s="226"/>
      <c r="U6117" s="226"/>
    </row>
    <row r="6118" spans="16:21" x14ac:dyDescent="0.35">
      <c r="P6118" s="226"/>
      <c r="Q6118" s="226"/>
      <c r="R6118" s="226"/>
      <c r="S6118" s="226"/>
      <c r="T6118" s="226"/>
      <c r="U6118" s="226"/>
    </row>
    <row r="6119" spans="16:21" x14ac:dyDescent="0.35">
      <c r="P6119" s="226"/>
      <c r="Q6119" s="226"/>
      <c r="R6119" s="226"/>
      <c r="S6119" s="226"/>
      <c r="T6119" s="226"/>
      <c r="U6119" s="226"/>
    </row>
    <row r="6120" spans="16:21" x14ac:dyDescent="0.35">
      <c r="P6120" s="226"/>
      <c r="Q6120" s="226"/>
      <c r="R6120" s="226"/>
      <c r="S6120" s="226"/>
      <c r="T6120" s="226"/>
      <c r="U6120" s="226"/>
    </row>
    <row r="6121" spans="16:21" x14ac:dyDescent="0.35">
      <c r="P6121" s="226"/>
      <c r="Q6121" s="226"/>
      <c r="R6121" s="226"/>
      <c r="S6121" s="226"/>
      <c r="T6121" s="226"/>
      <c r="U6121" s="226"/>
    </row>
    <row r="6122" spans="16:21" x14ac:dyDescent="0.35">
      <c r="P6122" s="226"/>
      <c r="Q6122" s="226"/>
      <c r="R6122" s="226"/>
      <c r="S6122" s="226"/>
      <c r="T6122" s="226"/>
      <c r="U6122" s="226"/>
    </row>
    <row r="6123" spans="16:21" x14ac:dyDescent="0.35">
      <c r="P6123" s="226"/>
      <c r="Q6123" s="226"/>
      <c r="R6123" s="226"/>
      <c r="S6123" s="226"/>
      <c r="T6123" s="226"/>
      <c r="U6123" s="226"/>
    </row>
    <row r="6124" spans="16:21" x14ac:dyDescent="0.35">
      <c r="P6124" s="226"/>
      <c r="Q6124" s="226"/>
      <c r="R6124" s="226"/>
      <c r="S6124" s="226"/>
      <c r="T6124" s="226"/>
      <c r="U6124" s="226"/>
    </row>
    <row r="6125" spans="16:21" x14ac:dyDescent="0.35">
      <c r="P6125" s="226"/>
      <c r="Q6125" s="226"/>
      <c r="R6125" s="226"/>
      <c r="S6125" s="226"/>
      <c r="T6125" s="226"/>
      <c r="U6125" s="226"/>
    </row>
    <row r="6126" spans="16:21" x14ac:dyDescent="0.35">
      <c r="P6126" s="226"/>
      <c r="Q6126" s="226"/>
      <c r="R6126" s="226"/>
      <c r="S6126" s="226"/>
      <c r="T6126" s="226"/>
      <c r="U6126" s="226"/>
    </row>
    <row r="6127" spans="16:21" x14ac:dyDescent="0.35">
      <c r="P6127" s="226"/>
      <c r="Q6127" s="226"/>
      <c r="R6127" s="226"/>
      <c r="S6127" s="226"/>
      <c r="T6127" s="226"/>
      <c r="U6127" s="226"/>
    </row>
    <row r="6128" spans="16:21" x14ac:dyDescent="0.35">
      <c r="P6128" s="226"/>
      <c r="Q6128" s="226"/>
      <c r="R6128" s="226"/>
      <c r="S6128" s="226"/>
      <c r="T6128" s="226"/>
      <c r="U6128" s="226"/>
    </row>
    <row r="6129" spans="16:21" x14ac:dyDescent="0.35">
      <c r="P6129" s="226"/>
      <c r="Q6129" s="226"/>
      <c r="R6129" s="226"/>
      <c r="S6129" s="226"/>
      <c r="T6129" s="226"/>
      <c r="U6129" s="226"/>
    </row>
    <row r="6130" spans="16:21" x14ac:dyDescent="0.35">
      <c r="P6130" s="226"/>
      <c r="Q6130" s="226"/>
      <c r="R6130" s="226"/>
      <c r="S6130" s="226"/>
      <c r="T6130" s="226"/>
      <c r="U6130" s="226"/>
    </row>
    <row r="6131" spans="16:21" x14ac:dyDescent="0.35">
      <c r="P6131" s="226"/>
      <c r="Q6131" s="226"/>
      <c r="R6131" s="226"/>
      <c r="S6131" s="226"/>
      <c r="T6131" s="226"/>
      <c r="U6131" s="226"/>
    </row>
    <row r="6132" spans="16:21" x14ac:dyDescent="0.35">
      <c r="P6132" s="226"/>
      <c r="Q6132" s="226"/>
      <c r="R6132" s="226"/>
      <c r="S6132" s="226"/>
      <c r="T6132" s="226"/>
      <c r="U6132" s="226"/>
    </row>
    <row r="6133" spans="16:21" x14ac:dyDescent="0.35">
      <c r="P6133" s="226"/>
      <c r="Q6133" s="226"/>
      <c r="R6133" s="226"/>
      <c r="S6133" s="226"/>
      <c r="T6133" s="226"/>
      <c r="U6133" s="226"/>
    </row>
    <row r="6134" spans="16:21" x14ac:dyDescent="0.35">
      <c r="P6134" s="226"/>
      <c r="Q6134" s="226"/>
      <c r="R6134" s="226"/>
      <c r="S6134" s="226"/>
      <c r="T6134" s="226"/>
      <c r="U6134" s="226"/>
    </row>
    <row r="6135" spans="16:21" x14ac:dyDescent="0.35">
      <c r="P6135" s="226"/>
      <c r="Q6135" s="226"/>
      <c r="R6135" s="226"/>
      <c r="S6135" s="226"/>
      <c r="T6135" s="226"/>
      <c r="U6135" s="226"/>
    </row>
    <row r="6136" spans="16:21" x14ac:dyDescent="0.35">
      <c r="P6136" s="226"/>
      <c r="Q6136" s="226"/>
      <c r="R6136" s="226"/>
      <c r="S6136" s="226"/>
      <c r="T6136" s="226"/>
      <c r="U6136" s="226"/>
    </row>
    <row r="6137" spans="16:21" x14ac:dyDescent="0.35">
      <c r="P6137" s="226"/>
      <c r="Q6137" s="226"/>
      <c r="R6137" s="226"/>
      <c r="S6137" s="226"/>
      <c r="T6137" s="226"/>
      <c r="U6137" s="226"/>
    </row>
    <row r="6138" spans="16:21" x14ac:dyDescent="0.35">
      <c r="P6138" s="226"/>
      <c r="Q6138" s="226"/>
      <c r="R6138" s="226"/>
      <c r="S6138" s="226"/>
      <c r="T6138" s="226"/>
      <c r="U6138" s="226"/>
    </row>
    <row r="6139" spans="16:21" x14ac:dyDescent="0.35">
      <c r="P6139" s="226"/>
      <c r="Q6139" s="226"/>
      <c r="R6139" s="226"/>
      <c r="S6139" s="226"/>
      <c r="T6139" s="226"/>
      <c r="U6139" s="226"/>
    </row>
    <row r="6140" spans="16:21" x14ac:dyDescent="0.35">
      <c r="P6140" s="226"/>
      <c r="Q6140" s="226"/>
      <c r="R6140" s="226"/>
      <c r="S6140" s="226"/>
      <c r="T6140" s="226"/>
      <c r="U6140" s="226"/>
    </row>
    <row r="6141" spans="16:21" x14ac:dyDescent="0.35">
      <c r="P6141" s="226"/>
      <c r="Q6141" s="226"/>
      <c r="R6141" s="226"/>
      <c r="S6141" s="226"/>
      <c r="T6141" s="226"/>
      <c r="U6141" s="226"/>
    </row>
    <row r="6142" spans="16:21" x14ac:dyDescent="0.35">
      <c r="P6142" s="226"/>
      <c r="Q6142" s="226"/>
      <c r="R6142" s="226"/>
      <c r="S6142" s="226"/>
      <c r="T6142" s="226"/>
      <c r="U6142" s="226"/>
    </row>
    <row r="6143" spans="16:21" x14ac:dyDescent="0.35">
      <c r="P6143" s="226"/>
      <c r="Q6143" s="226"/>
      <c r="R6143" s="226"/>
      <c r="S6143" s="226"/>
      <c r="T6143" s="226"/>
      <c r="U6143" s="226"/>
    </row>
    <row r="6144" spans="16:21" x14ac:dyDescent="0.35">
      <c r="P6144" s="226"/>
      <c r="Q6144" s="226"/>
      <c r="R6144" s="226"/>
      <c r="S6144" s="226"/>
      <c r="T6144" s="226"/>
      <c r="U6144" s="226"/>
    </row>
    <row r="6145" spans="16:21" x14ac:dyDescent="0.35">
      <c r="P6145" s="226"/>
      <c r="Q6145" s="226"/>
      <c r="R6145" s="226"/>
      <c r="S6145" s="226"/>
      <c r="T6145" s="226"/>
      <c r="U6145" s="226"/>
    </row>
    <row r="6146" spans="16:21" x14ac:dyDescent="0.35">
      <c r="P6146" s="226"/>
      <c r="Q6146" s="226"/>
      <c r="R6146" s="226"/>
      <c r="S6146" s="226"/>
      <c r="T6146" s="226"/>
      <c r="U6146" s="226"/>
    </row>
    <row r="6147" spans="16:21" x14ac:dyDescent="0.35">
      <c r="P6147" s="226"/>
      <c r="Q6147" s="226"/>
      <c r="R6147" s="226"/>
      <c r="S6147" s="226"/>
      <c r="T6147" s="226"/>
      <c r="U6147" s="226"/>
    </row>
    <row r="6148" spans="16:21" x14ac:dyDescent="0.35">
      <c r="P6148" s="226"/>
      <c r="Q6148" s="226"/>
      <c r="R6148" s="226"/>
      <c r="S6148" s="226"/>
      <c r="T6148" s="226"/>
      <c r="U6148" s="226"/>
    </row>
    <row r="6149" spans="16:21" x14ac:dyDescent="0.35">
      <c r="P6149" s="226"/>
      <c r="Q6149" s="226"/>
      <c r="R6149" s="226"/>
      <c r="S6149" s="226"/>
      <c r="T6149" s="226"/>
      <c r="U6149" s="226"/>
    </row>
    <row r="6150" spans="16:21" x14ac:dyDescent="0.35">
      <c r="P6150" s="226"/>
      <c r="Q6150" s="226"/>
      <c r="R6150" s="226"/>
      <c r="S6150" s="226"/>
      <c r="T6150" s="226"/>
      <c r="U6150" s="226"/>
    </row>
    <row r="6151" spans="16:21" x14ac:dyDescent="0.35">
      <c r="P6151" s="226"/>
      <c r="Q6151" s="226"/>
      <c r="R6151" s="226"/>
      <c r="S6151" s="226"/>
      <c r="T6151" s="226"/>
      <c r="U6151" s="226"/>
    </row>
    <row r="6152" spans="16:21" x14ac:dyDescent="0.35">
      <c r="P6152" s="226"/>
      <c r="Q6152" s="226"/>
      <c r="R6152" s="226"/>
      <c r="S6152" s="226"/>
      <c r="T6152" s="226"/>
      <c r="U6152" s="226"/>
    </row>
    <row r="6153" spans="16:21" x14ac:dyDescent="0.35">
      <c r="P6153" s="226"/>
      <c r="Q6153" s="226"/>
      <c r="R6153" s="226"/>
      <c r="S6153" s="226"/>
      <c r="T6153" s="226"/>
      <c r="U6153" s="226"/>
    </row>
    <row r="6154" spans="16:21" x14ac:dyDescent="0.35">
      <c r="P6154" s="226"/>
      <c r="Q6154" s="226"/>
      <c r="R6154" s="226"/>
      <c r="S6154" s="226"/>
      <c r="T6154" s="226"/>
      <c r="U6154" s="226"/>
    </row>
    <row r="6155" spans="16:21" x14ac:dyDescent="0.35">
      <c r="P6155" s="226"/>
      <c r="Q6155" s="226"/>
      <c r="R6155" s="226"/>
      <c r="S6155" s="226"/>
      <c r="T6155" s="226"/>
      <c r="U6155" s="226"/>
    </row>
    <row r="6156" spans="16:21" x14ac:dyDescent="0.35">
      <c r="P6156" s="226"/>
      <c r="Q6156" s="226"/>
      <c r="R6156" s="226"/>
      <c r="S6156" s="226"/>
      <c r="T6156" s="226"/>
      <c r="U6156" s="226"/>
    </row>
    <row r="6157" spans="16:21" x14ac:dyDescent="0.35">
      <c r="P6157" s="226"/>
      <c r="Q6157" s="226"/>
      <c r="R6157" s="226"/>
      <c r="S6157" s="226"/>
      <c r="T6157" s="226"/>
      <c r="U6157" s="226"/>
    </row>
    <row r="6158" spans="16:21" x14ac:dyDescent="0.35">
      <c r="P6158" s="226"/>
      <c r="Q6158" s="226"/>
      <c r="R6158" s="226"/>
      <c r="S6158" s="226"/>
      <c r="T6158" s="226"/>
      <c r="U6158" s="226"/>
    </row>
    <row r="6159" spans="16:21" x14ac:dyDescent="0.35">
      <c r="P6159" s="226"/>
      <c r="Q6159" s="226"/>
      <c r="R6159" s="226"/>
      <c r="S6159" s="226"/>
      <c r="T6159" s="226"/>
      <c r="U6159" s="226"/>
    </row>
    <row r="6160" spans="16:21" x14ac:dyDescent="0.35">
      <c r="P6160" s="226"/>
      <c r="Q6160" s="226"/>
      <c r="R6160" s="226"/>
      <c r="S6160" s="226"/>
      <c r="T6160" s="226"/>
      <c r="U6160" s="226"/>
    </row>
    <row r="6161" spans="16:21" x14ac:dyDescent="0.35">
      <c r="P6161" s="226"/>
      <c r="Q6161" s="226"/>
      <c r="R6161" s="226"/>
      <c r="S6161" s="226"/>
      <c r="T6161" s="226"/>
      <c r="U6161" s="226"/>
    </row>
    <row r="6162" spans="16:21" x14ac:dyDescent="0.35">
      <c r="P6162" s="226"/>
      <c r="Q6162" s="226"/>
      <c r="R6162" s="226"/>
      <c r="S6162" s="226"/>
      <c r="T6162" s="226"/>
      <c r="U6162" s="226"/>
    </row>
    <row r="6163" spans="16:21" x14ac:dyDescent="0.35">
      <c r="P6163" s="226"/>
      <c r="Q6163" s="226"/>
      <c r="R6163" s="226"/>
      <c r="S6163" s="226"/>
      <c r="T6163" s="226"/>
      <c r="U6163" s="226"/>
    </row>
    <row r="6164" spans="16:21" x14ac:dyDescent="0.35">
      <c r="P6164" s="226"/>
      <c r="Q6164" s="226"/>
      <c r="R6164" s="226"/>
      <c r="S6164" s="226"/>
      <c r="T6164" s="226"/>
      <c r="U6164" s="226"/>
    </row>
    <row r="6165" spans="16:21" x14ac:dyDescent="0.35">
      <c r="P6165" s="226"/>
      <c r="Q6165" s="226"/>
      <c r="R6165" s="226"/>
      <c r="S6165" s="226"/>
      <c r="T6165" s="226"/>
      <c r="U6165" s="226"/>
    </row>
    <row r="6166" spans="16:21" x14ac:dyDescent="0.35">
      <c r="P6166" s="226"/>
      <c r="Q6166" s="226"/>
      <c r="R6166" s="226"/>
      <c r="S6166" s="226"/>
      <c r="T6166" s="226"/>
      <c r="U6166" s="226"/>
    </row>
    <row r="6167" spans="16:21" x14ac:dyDescent="0.35">
      <c r="P6167" s="226"/>
      <c r="Q6167" s="226"/>
      <c r="R6167" s="226"/>
      <c r="S6167" s="226"/>
      <c r="T6167" s="226"/>
      <c r="U6167" s="226"/>
    </row>
    <row r="6168" spans="16:21" x14ac:dyDescent="0.35">
      <c r="P6168" s="226"/>
      <c r="Q6168" s="226"/>
      <c r="R6168" s="226"/>
      <c r="S6168" s="226"/>
      <c r="T6168" s="226"/>
      <c r="U6168" s="226"/>
    </row>
    <row r="6169" spans="16:21" x14ac:dyDescent="0.35">
      <c r="P6169" s="226"/>
      <c r="Q6169" s="226"/>
      <c r="R6169" s="226"/>
      <c r="S6169" s="226"/>
      <c r="T6169" s="226"/>
      <c r="U6169" s="226"/>
    </row>
    <row r="6170" spans="16:21" x14ac:dyDescent="0.35">
      <c r="P6170" s="226"/>
      <c r="Q6170" s="226"/>
      <c r="R6170" s="226"/>
      <c r="S6170" s="226"/>
      <c r="T6170" s="226"/>
      <c r="U6170" s="226"/>
    </row>
    <row r="6171" spans="16:21" x14ac:dyDescent="0.35">
      <c r="P6171" s="226"/>
      <c r="Q6171" s="226"/>
      <c r="R6171" s="226"/>
      <c r="S6171" s="226"/>
      <c r="T6171" s="226"/>
      <c r="U6171" s="226"/>
    </row>
    <row r="6172" spans="16:21" x14ac:dyDescent="0.35">
      <c r="P6172" s="226"/>
      <c r="Q6172" s="226"/>
      <c r="R6172" s="226"/>
      <c r="S6172" s="226"/>
      <c r="T6172" s="226"/>
      <c r="U6172" s="226"/>
    </row>
    <row r="6173" spans="16:21" x14ac:dyDescent="0.35">
      <c r="P6173" s="226"/>
      <c r="Q6173" s="226"/>
      <c r="R6173" s="226"/>
      <c r="S6173" s="226"/>
      <c r="T6173" s="226"/>
      <c r="U6173" s="226"/>
    </row>
    <row r="6174" spans="16:21" x14ac:dyDescent="0.35">
      <c r="P6174" s="226"/>
      <c r="Q6174" s="226"/>
      <c r="R6174" s="226"/>
      <c r="S6174" s="226"/>
      <c r="T6174" s="226"/>
      <c r="U6174" s="226"/>
    </row>
    <row r="6175" spans="16:21" x14ac:dyDescent="0.35">
      <c r="P6175" s="226"/>
      <c r="Q6175" s="226"/>
      <c r="R6175" s="226"/>
      <c r="S6175" s="226"/>
      <c r="T6175" s="226"/>
      <c r="U6175" s="226"/>
    </row>
    <row r="6176" spans="16:21" x14ac:dyDescent="0.35">
      <c r="P6176" s="226"/>
      <c r="Q6176" s="226"/>
      <c r="R6176" s="226"/>
      <c r="S6176" s="226"/>
      <c r="T6176" s="226"/>
      <c r="U6176" s="226"/>
    </row>
    <row r="6177" spans="16:21" x14ac:dyDescent="0.35">
      <c r="P6177" s="226"/>
      <c r="Q6177" s="226"/>
      <c r="R6177" s="226"/>
      <c r="S6177" s="226"/>
      <c r="T6177" s="226"/>
      <c r="U6177" s="226"/>
    </row>
    <row r="6178" spans="16:21" x14ac:dyDescent="0.35">
      <c r="P6178" s="226"/>
      <c r="Q6178" s="226"/>
      <c r="R6178" s="226"/>
      <c r="S6178" s="226"/>
      <c r="T6178" s="226"/>
      <c r="U6178" s="226"/>
    </row>
    <row r="6179" spans="16:21" x14ac:dyDescent="0.35">
      <c r="P6179" s="226"/>
      <c r="Q6179" s="226"/>
      <c r="R6179" s="226"/>
      <c r="S6179" s="226"/>
      <c r="T6179" s="226"/>
      <c r="U6179" s="226"/>
    </row>
    <row r="6180" spans="16:21" x14ac:dyDescent="0.35">
      <c r="P6180" s="226"/>
      <c r="Q6180" s="226"/>
      <c r="R6180" s="226"/>
      <c r="S6180" s="226"/>
      <c r="T6180" s="226"/>
      <c r="U6180" s="226"/>
    </row>
    <row r="6181" spans="16:21" x14ac:dyDescent="0.35">
      <c r="P6181" s="226"/>
      <c r="Q6181" s="226"/>
      <c r="R6181" s="226"/>
      <c r="S6181" s="226"/>
      <c r="T6181" s="226"/>
      <c r="U6181" s="226"/>
    </row>
    <row r="6182" spans="16:21" x14ac:dyDescent="0.35">
      <c r="P6182" s="226"/>
      <c r="Q6182" s="226"/>
      <c r="R6182" s="226"/>
      <c r="S6182" s="226"/>
      <c r="T6182" s="226"/>
      <c r="U6182" s="226"/>
    </row>
    <row r="6183" spans="16:21" x14ac:dyDescent="0.35">
      <c r="P6183" s="226"/>
      <c r="Q6183" s="226"/>
      <c r="R6183" s="226"/>
      <c r="S6183" s="226"/>
      <c r="T6183" s="226"/>
      <c r="U6183" s="226"/>
    </row>
    <row r="6184" spans="16:21" x14ac:dyDescent="0.35">
      <c r="P6184" s="226"/>
      <c r="Q6184" s="226"/>
      <c r="R6184" s="226"/>
      <c r="S6184" s="226"/>
      <c r="T6184" s="226"/>
      <c r="U6184" s="226"/>
    </row>
    <row r="6185" spans="16:21" x14ac:dyDescent="0.35">
      <c r="P6185" s="226"/>
      <c r="Q6185" s="226"/>
      <c r="R6185" s="226"/>
      <c r="S6185" s="226"/>
      <c r="T6185" s="226"/>
      <c r="U6185" s="226"/>
    </row>
    <row r="6186" spans="16:21" x14ac:dyDescent="0.35">
      <c r="P6186" s="226"/>
      <c r="Q6186" s="226"/>
      <c r="R6186" s="226"/>
      <c r="S6186" s="226"/>
      <c r="T6186" s="226"/>
      <c r="U6186" s="226"/>
    </row>
    <row r="6187" spans="16:21" x14ac:dyDescent="0.35">
      <c r="P6187" s="226"/>
      <c r="Q6187" s="226"/>
      <c r="R6187" s="226"/>
      <c r="S6187" s="226"/>
      <c r="T6187" s="226"/>
      <c r="U6187" s="226"/>
    </row>
    <row r="6188" spans="16:21" x14ac:dyDescent="0.35">
      <c r="P6188" s="226"/>
      <c r="Q6188" s="226"/>
      <c r="R6188" s="226"/>
      <c r="S6188" s="226"/>
      <c r="T6188" s="226"/>
      <c r="U6188" s="226"/>
    </row>
    <row r="6189" spans="16:21" x14ac:dyDescent="0.35">
      <c r="P6189" s="226"/>
      <c r="Q6189" s="226"/>
      <c r="R6189" s="226"/>
      <c r="S6189" s="226"/>
      <c r="T6189" s="226"/>
      <c r="U6189" s="226"/>
    </row>
    <row r="6190" spans="16:21" x14ac:dyDescent="0.35">
      <c r="P6190" s="226"/>
      <c r="Q6190" s="226"/>
      <c r="R6190" s="226"/>
      <c r="S6190" s="226"/>
      <c r="T6190" s="226"/>
      <c r="U6190" s="226"/>
    </row>
    <row r="6191" spans="16:21" x14ac:dyDescent="0.35">
      <c r="P6191" s="226"/>
      <c r="Q6191" s="226"/>
      <c r="R6191" s="226"/>
      <c r="S6191" s="226"/>
      <c r="T6191" s="226"/>
      <c r="U6191" s="226"/>
    </row>
    <row r="6192" spans="16:21" x14ac:dyDescent="0.35">
      <c r="P6192" s="226"/>
      <c r="Q6192" s="226"/>
      <c r="R6192" s="226"/>
      <c r="S6192" s="226"/>
      <c r="T6192" s="226"/>
      <c r="U6192" s="226"/>
    </row>
    <row r="6193" spans="16:21" x14ac:dyDescent="0.35">
      <c r="P6193" s="226"/>
      <c r="Q6193" s="226"/>
      <c r="R6193" s="226"/>
      <c r="S6193" s="226"/>
      <c r="T6193" s="226"/>
      <c r="U6193" s="226"/>
    </row>
    <row r="6194" spans="16:21" x14ac:dyDescent="0.35">
      <c r="P6194" s="226"/>
      <c r="Q6194" s="226"/>
      <c r="R6194" s="226"/>
      <c r="S6194" s="226"/>
      <c r="T6194" s="226"/>
      <c r="U6194" s="226"/>
    </row>
    <row r="6195" spans="16:21" x14ac:dyDescent="0.35">
      <c r="P6195" s="226"/>
      <c r="Q6195" s="226"/>
      <c r="R6195" s="226"/>
      <c r="S6195" s="226"/>
      <c r="T6195" s="226"/>
      <c r="U6195" s="226"/>
    </row>
    <row r="6196" spans="16:21" x14ac:dyDescent="0.35">
      <c r="P6196" s="226"/>
      <c r="Q6196" s="226"/>
      <c r="R6196" s="226"/>
      <c r="S6196" s="226"/>
      <c r="T6196" s="226"/>
      <c r="U6196" s="226"/>
    </row>
    <row r="6197" spans="16:21" x14ac:dyDescent="0.35">
      <c r="P6197" s="226"/>
      <c r="Q6197" s="226"/>
      <c r="R6197" s="226"/>
      <c r="S6197" s="226"/>
      <c r="T6197" s="226"/>
      <c r="U6197" s="226"/>
    </row>
    <row r="6198" spans="16:21" x14ac:dyDescent="0.35">
      <c r="P6198" s="226"/>
      <c r="Q6198" s="226"/>
      <c r="R6198" s="226"/>
      <c r="S6198" s="226"/>
      <c r="T6198" s="226"/>
      <c r="U6198" s="226"/>
    </row>
    <row r="6199" spans="16:21" x14ac:dyDescent="0.35">
      <c r="P6199" s="226"/>
      <c r="Q6199" s="226"/>
      <c r="R6199" s="226"/>
      <c r="S6199" s="226"/>
      <c r="T6199" s="226"/>
      <c r="U6199" s="226"/>
    </row>
    <row r="6200" spans="16:21" x14ac:dyDescent="0.35">
      <c r="P6200" s="226"/>
      <c r="Q6200" s="226"/>
      <c r="R6200" s="226"/>
      <c r="S6200" s="226"/>
      <c r="T6200" s="226"/>
      <c r="U6200" s="226"/>
    </row>
    <row r="6201" spans="16:21" x14ac:dyDescent="0.35">
      <c r="P6201" s="226"/>
      <c r="Q6201" s="226"/>
      <c r="R6201" s="226"/>
      <c r="S6201" s="226"/>
      <c r="T6201" s="226"/>
      <c r="U6201" s="226"/>
    </row>
    <row r="6202" spans="16:21" x14ac:dyDescent="0.35">
      <c r="P6202" s="226"/>
      <c r="Q6202" s="226"/>
      <c r="R6202" s="226"/>
      <c r="S6202" s="226"/>
      <c r="T6202" s="226"/>
      <c r="U6202" s="226"/>
    </row>
    <row r="6203" spans="16:21" x14ac:dyDescent="0.35">
      <c r="P6203" s="226"/>
      <c r="Q6203" s="226"/>
      <c r="R6203" s="226"/>
      <c r="S6203" s="226"/>
      <c r="T6203" s="226"/>
      <c r="U6203" s="226"/>
    </row>
    <row r="6204" spans="16:21" x14ac:dyDescent="0.35">
      <c r="P6204" s="226"/>
      <c r="Q6204" s="226"/>
      <c r="R6204" s="226"/>
      <c r="S6204" s="226"/>
      <c r="T6204" s="226"/>
      <c r="U6204" s="226"/>
    </row>
    <row r="6205" spans="16:21" x14ac:dyDescent="0.35">
      <c r="P6205" s="226"/>
      <c r="Q6205" s="226"/>
      <c r="R6205" s="226"/>
      <c r="S6205" s="226"/>
      <c r="T6205" s="226"/>
      <c r="U6205" s="226"/>
    </row>
    <row r="6206" spans="16:21" x14ac:dyDescent="0.35">
      <c r="P6206" s="226"/>
      <c r="Q6206" s="226"/>
      <c r="R6206" s="226"/>
      <c r="S6206" s="226"/>
      <c r="T6206" s="226"/>
      <c r="U6206" s="226"/>
    </row>
    <row r="6207" spans="16:21" x14ac:dyDescent="0.35">
      <c r="P6207" s="226"/>
      <c r="Q6207" s="226"/>
      <c r="R6207" s="226"/>
      <c r="S6207" s="226"/>
      <c r="T6207" s="226"/>
      <c r="U6207" s="226"/>
    </row>
    <row r="6208" spans="16:21" x14ac:dyDescent="0.35">
      <c r="P6208" s="226"/>
      <c r="Q6208" s="226"/>
      <c r="R6208" s="226"/>
      <c r="S6208" s="226"/>
      <c r="T6208" s="226"/>
      <c r="U6208" s="226"/>
    </row>
    <row r="6209" spans="16:21" x14ac:dyDescent="0.35">
      <c r="P6209" s="226"/>
      <c r="Q6209" s="226"/>
      <c r="R6209" s="226"/>
      <c r="S6209" s="226"/>
      <c r="T6209" s="226"/>
      <c r="U6209" s="226"/>
    </row>
    <row r="6210" spans="16:21" x14ac:dyDescent="0.35">
      <c r="P6210" s="226"/>
      <c r="Q6210" s="226"/>
      <c r="R6210" s="226"/>
      <c r="S6210" s="226"/>
      <c r="T6210" s="226"/>
      <c r="U6210" s="226"/>
    </row>
    <row r="6211" spans="16:21" x14ac:dyDescent="0.35">
      <c r="P6211" s="226"/>
      <c r="Q6211" s="226"/>
      <c r="R6211" s="226"/>
      <c r="S6211" s="226"/>
      <c r="T6211" s="226"/>
      <c r="U6211" s="226"/>
    </row>
    <row r="6212" spans="16:21" x14ac:dyDescent="0.35">
      <c r="P6212" s="226"/>
      <c r="Q6212" s="226"/>
      <c r="R6212" s="226"/>
      <c r="S6212" s="226"/>
      <c r="T6212" s="226"/>
      <c r="U6212" s="226"/>
    </row>
    <row r="6213" spans="16:21" x14ac:dyDescent="0.35">
      <c r="P6213" s="226"/>
      <c r="Q6213" s="226"/>
      <c r="R6213" s="226"/>
      <c r="S6213" s="226"/>
      <c r="T6213" s="226"/>
      <c r="U6213" s="226"/>
    </row>
    <row r="6214" spans="16:21" x14ac:dyDescent="0.35">
      <c r="P6214" s="226"/>
      <c r="Q6214" s="226"/>
      <c r="R6214" s="226"/>
      <c r="S6214" s="226"/>
      <c r="T6214" s="226"/>
      <c r="U6214" s="226"/>
    </row>
    <row r="6215" spans="16:21" x14ac:dyDescent="0.35">
      <c r="P6215" s="226"/>
      <c r="Q6215" s="226"/>
      <c r="R6215" s="226"/>
      <c r="S6215" s="226"/>
      <c r="T6215" s="226"/>
      <c r="U6215" s="226"/>
    </row>
    <row r="6216" spans="16:21" x14ac:dyDescent="0.35">
      <c r="P6216" s="226"/>
      <c r="Q6216" s="226"/>
      <c r="R6216" s="226"/>
      <c r="S6216" s="226"/>
      <c r="T6216" s="226"/>
      <c r="U6216" s="226"/>
    </row>
    <row r="6217" spans="16:21" x14ac:dyDescent="0.35">
      <c r="P6217" s="226"/>
      <c r="Q6217" s="226"/>
      <c r="R6217" s="226"/>
      <c r="S6217" s="226"/>
      <c r="T6217" s="226"/>
      <c r="U6217" s="226"/>
    </row>
    <row r="6218" spans="16:21" x14ac:dyDescent="0.35">
      <c r="P6218" s="226"/>
      <c r="Q6218" s="226"/>
      <c r="R6218" s="226"/>
      <c r="S6218" s="226"/>
      <c r="T6218" s="226"/>
      <c r="U6218" s="226"/>
    </row>
    <row r="6219" spans="16:21" x14ac:dyDescent="0.35">
      <c r="P6219" s="226"/>
      <c r="Q6219" s="226"/>
      <c r="R6219" s="226"/>
      <c r="S6219" s="226"/>
      <c r="T6219" s="226"/>
      <c r="U6219" s="226"/>
    </row>
    <row r="6220" spans="16:21" x14ac:dyDescent="0.35">
      <c r="P6220" s="226"/>
      <c r="Q6220" s="226"/>
      <c r="R6220" s="226"/>
      <c r="S6220" s="226"/>
      <c r="T6220" s="226"/>
      <c r="U6220" s="226"/>
    </row>
    <row r="6221" spans="16:21" x14ac:dyDescent="0.35">
      <c r="P6221" s="226"/>
      <c r="Q6221" s="226"/>
      <c r="R6221" s="226"/>
      <c r="S6221" s="226"/>
      <c r="T6221" s="226"/>
      <c r="U6221" s="226"/>
    </row>
    <row r="6222" spans="16:21" x14ac:dyDescent="0.35">
      <c r="P6222" s="226"/>
      <c r="Q6222" s="226"/>
      <c r="R6222" s="226"/>
      <c r="S6222" s="226"/>
      <c r="T6222" s="226"/>
      <c r="U6222" s="226"/>
    </row>
    <row r="6223" spans="16:21" x14ac:dyDescent="0.35">
      <c r="P6223" s="226"/>
      <c r="Q6223" s="226"/>
      <c r="R6223" s="226"/>
      <c r="S6223" s="226"/>
      <c r="T6223" s="226"/>
      <c r="U6223" s="226"/>
    </row>
    <row r="6224" spans="16:21" x14ac:dyDescent="0.35">
      <c r="P6224" s="226"/>
      <c r="Q6224" s="226"/>
      <c r="R6224" s="226"/>
      <c r="S6224" s="226"/>
      <c r="T6224" s="226"/>
      <c r="U6224" s="226"/>
    </row>
    <row r="6225" spans="16:21" x14ac:dyDescent="0.35">
      <c r="P6225" s="226"/>
      <c r="Q6225" s="226"/>
      <c r="R6225" s="226"/>
      <c r="S6225" s="226"/>
      <c r="T6225" s="226"/>
      <c r="U6225" s="226"/>
    </row>
    <row r="6226" spans="16:21" x14ac:dyDescent="0.35">
      <c r="P6226" s="226"/>
      <c r="Q6226" s="226"/>
      <c r="R6226" s="226"/>
      <c r="S6226" s="226"/>
      <c r="T6226" s="226"/>
      <c r="U6226" s="226"/>
    </row>
    <row r="6227" spans="16:21" x14ac:dyDescent="0.35">
      <c r="P6227" s="226"/>
      <c r="Q6227" s="226"/>
      <c r="R6227" s="226"/>
      <c r="S6227" s="226"/>
      <c r="T6227" s="226"/>
      <c r="U6227" s="226"/>
    </row>
    <row r="6228" spans="16:21" x14ac:dyDescent="0.35">
      <c r="P6228" s="226"/>
      <c r="Q6228" s="226"/>
      <c r="R6228" s="226"/>
      <c r="S6228" s="226"/>
      <c r="T6228" s="226"/>
      <c r="U6228" s="226"/>
    </row>
    <row r="6229" spans="16:21" x14ac:dyDescent="0.35">
      <c r="P6229" s="226"/>
      <c r="Q6229" s="226"/>
      <c r="R6229" s="226"/>
      <c r="S6229" s="226"/>
      <c r="T6229" s="226"/>
      <c r="U6229" s="226"/>
    </row>
    <row r="6230" spans="16:21" x14ac:dyDescent="0.35">
      <c r="P6230" s="226"/>
      <c r="Q6230" s="226"/>
      <c r="R6230" s="226"/>
      <c r="S6230" s="226"/>
      <c r="T6230" s="226"/>
      <c r="U6230" s="226"/>
    </row>
    <row r="6231" spans="16:21" x14ac:dyDescent="0.35">
      <c r="P6231" s="226"/>
      <c r="Q6231" s="226"/>
      <c r="R6231" s="226"/>
      <c r="S6231" s="226"/>
      <c r="T6231" s="226"/>
      <c r="U6231" s="226"/>
    </row>
    <row r="6232" spans="16:21" x14ac:dyDescent="0.35">
      <c r="P6232" s="226"/>
      <c r="Q6232" s="226"/>
      <c r="R6232" s="226"/>
      <c r="S6232" s="226"/>
      <c r="T6232" s="226"/>
      <c r="U6232" s="226"/>
    </row>
    <row r="6233" spans="16:21" x14ac:dyDescent="0.35">
      <c r="P6233" s="226"/>
      <c r="Q6233" s="226"/>
      <c r="R6233" s="226"/>
      <c r="S6233" s="226"/>
      <c r="T6233" s="226"/>
      <c r="U6233" s="226"/>
    </row>
    <row r="6234" spans="16:21" x14ac:dyDescent="0.35">
      <c r="P6234" s="226"/>
      <c r="Q6234" s="226"/>
      <c r="R6234" s="226"/>
      <c r="S6234" s="226"/>
      <c r="T6234" s="226"/>
      <c r="U6234" s="226"/>
    </row>
    <row r="6235" spans="16:21" x14ac:dyDescent="0.35">
      <c r="P6235" s="226"/>
      <c r="Q6235" s="226"/>
      <c r="R6235" s="226"/>
      <c r="S6235" s="226"/>
      <c r="T6235" s="226"/>
      <c r="U6235" s="226"/>
    </row>
    <row r="6236" spans="16:21" x14ac:dyDescent="0.35">
      <c r="P6236" s="226"/>
      <c r="Q6236" s="226"/>
      <c r="R6236" s="226"/>
      <c r="S6236" s="226"/>
      <c r="T6236" s="226"/>
      <c r="U6236" s="226"/>
    </row>
    <row r="6237" spans="16:21" x14ac:dyDescent="0.35">
      <c r="P6237" s="226"/>
      <c r="Q6237" s="226"/>
      <c r="R6237" s="226"/>
      <c r="S6237" s="226"/>
      <c r="T6237" s="226"/>
      <c r="U6237" s="226"/>
    </row>
    <row r="6238" spans="16:21" x14ac:dyDescent="0.35">
      <c r="P6238" s="226"/>
      <c r="Q6238" s="226"/>
      <c r="R6238" s="226"/>
      <c r="S6238" s="226"/>
      <c r="T6238" s="226"/>
      <c r="U6238" s="226"/>
    </row>
    <row r="6239" spans="16:21" x14ac:dyDescent="0.35">
      <c r="P6239" s="226"/>
      <c r="Q6239" s="226"/>
      <c r="R6239" s="226"/>
      <c r="S6239" s="226"/>
      <c r="T6239" s="226"/>
      <c r="U6239" s="226"/>
    </row>
    <row r="6240" spans="16:21" x14ac:dyDescent="0.35">
      <c r="P6240" s="226"/>
      <c r="Q6240" s="226"/>
      <c r="R6240" s="226"/>
      <c r="S6240" s="226"/>
      <c r="T6240" s="226"/>
      <c r="U6240" s="226"/>
    </row>
    <row r="6241" spans="16:21" x14ac:dyDescent="0.35">
      <c r="P6241" s="226"/>
      <c r="Q6241" s="226"/>
      <c r="R6241" s="226"/>
      <c r="S6241" s="226"/>
      <c r="T6241" s="226"/>
      <c r="U6241" s="226"/>
    </row>
    <row r="6242" spans="16:21" x14ac:dyDescent="0.35">
      <c r="P6242" s="226"/>
      <c r="Q6242" s="226"/>
      <c r="R6242" s="226"/>
      <c r="S6242" s="226"/>
      <c r="T6242" s="226"/>
      <c r="U6242" s="226"/>
    </row>
    <row r="6243" spans="16:21" x14ac:dyDescent="0.35">
      <c r="P6243" s="226"/>
      <c r="Q6243" s="226"/>
      <c r="R6243" s="226"/>
      <c r="S6243" s="226"/>
      <c r="T6243" s="226"/>
      <c r="U6243" s="226"/>
    </row>
    <row r="6244" spans="16:21" x14ac:dyDescent="0.35">
      <c r="P6244" s="226"/>
      <c r="Q6244" s="226"/>
      <c r="R6244" s="226"/>
      <c r="S6244" s="226"/>
      <c r="T6244" s="226"/>
      <c r="U6244" s="226"/>
    </row>
    <row r="6245" spans="16:21" x14ac:dyDescent="0.35">
      <c r="P6245" s="226"/>
      <c r="Q6245" s="226"/>
      <c r="R6245" s="226"/>
      <c r="S6245" s="226"/>
      <c r="T6245" s="226"/>
      <c r="U6245" s="226"/>
    </row>
    <row r="6246" spans="16:21" x14ac:dyDescent="0.35">
      <c r="P6246" s="226"/>
      <c r="Q6246" s="226"/>
      <c r="R6246" s="226"/>
      <c r="S6246" s="226"/>
      <c r="T6246" s="226"/>
      <c r="U6246" s="226"/>
    </row>
    <row r="6247" spans="16:21" x14ac:dyDescent="0.35">
      <c r="P6247" s="226"/>
      <c r="Q6247" s="226"/>
      <c r="R6247" s="226"/>
      <c r="S6247" s="226"/>
      <c r="T6247" s="226"/>
      <c r="U6247" s="226"/>
    </row>
    <row r="6248" spans="16:21" x14ac:dyDescent="0.35">
      <c r="P6248" s="226"/>
      <c r="Q6248" s="226"/>
      <c r="R6248" s="226"/>
      <c r="S6248" s="226"/>
      <c r="T6248" s="226"/>
      <c r="U6248" s="226"/>
    </row>
    <row r="6249" spans="16:21" x14ac:dyDescent="0.35">
      <c r="P6249" s="226"/>
      <c r="Q6249" s="226"/>
      <c r="R6249" s="226"/>
      <c r="S6249" s="226"/>
      <c r="T6249" s="226"/>
      <c r="U6249" s="226"/>
    </row>
    <row r="6250" spans="16:21" x14ac:dyDescent="0.35">
      <c r="P6250" s="226"/>
      <c r="Q6250" s="226"/>
      <c r="R6250" s="226"/>
      <c r="S6250" s="226"/>
      <c r="T6250" s="226"/>
      <c r="U6250" s="226"/>
    </row>
    <row r="6251" spans="16:21" x14ac:dyDescent="0.35">
      <c r="P6251" s="226"/>
      <c r="Q6251" s="226"/>
      <c r="R6251" s="226"/>
      <c r="S6251" s="226"/>
      <c r="T6251" s="226"/>
      <c r="U6251" s="226"/>
    </row>
    <row r="6252" spans="16:21" x14ac:dyDescent="0.35">
      <c r="P6252" s="226"/>
      <c r="Q6252" s="226"/>
      <c r="R6252" s="226"/>
      <c r="S6252" s="226"/>
      <c r="T6252" s="226"/>
      <c r="U6252" s="226"/>
    </row>
    <row r="6253" spans="16:21" x14ac:dyDescent="0.35">
      <c r="P6253" s="226"/>
      <c r="Q6253" s="226"/>
      <c r="R6253" s="226"/>
      <c r="S6253" s="226"/>
      <c r="T6253" s="226"/>
      <c r="U6253" s="226"/>
    </row>
    <row r="6254" spans="16:21" x14ac:dyDescent="0.35">
      <c r="P6254" s="226"/>
      <c r="Q6254" s="226"/>
      <c r="R6254" s="226"/>
      <c r="S6254" s="226"/>
      <c r="T6254" s="226"/>
      <c r="U6254" s="226"/>
    </row>
    <row r="6255" spans="16:21" x14ac:dyDescent="0.35">
      <c r="P6255" s="226"/>
      <c r="Q6255" s="226"/>
      <c r="R6255" s="226"/>
      <c r="S6255" s="226"/>
      <c r="T6255" s="226"/>
      <c r="U6255" s="226"/>
    </row>
    <row r="6256" spans="16:21" x14ac:dyDescent="0.35">
      <c r="P6256" s="226"/>
      <c r="Q6256" s="226"/>
      <c r="R6256" s="226"/>
      <c r="S6256" s="226"/>
      <c r="T6256" s="226"/>
      <c r="U6256" s="226"/>
    </row>
    <row r="6257" spans="16:21" x14ac:dyDescent="0.35">
      <c r="P6257" s="226"/>
      <c r="Q6257" s="226"/>
      <c r="R6257" s="226"/>
      <c r="S6257" s="226"/>
      <c r="T6257" s="226"/>
      <c r="U6257" s="226"/>
    </row>
    <row r="6258" spans="16:21" x14ac:dyDescent="0.35">
      <c r="P6258" s="226"/>
      <c r="Q6258" s="226"/>
      <c r="R6258" s="226"/>
      <c r="S6258" s="226"/>
      <c r="T6258" s="226"/>
      <c r="U6258" s="226"/>
    </row>
    <row r="6259" spans="16:21" x14ac:dyDescent="0.35">
      <c r="P6259" s="226"/>
      <c r="Q6259" s="226"/>
      <c r="R6259" s="226"/>
      <c r="S6259" s="226"/>
      <c r="T6259" s="226"/>
      <c r="U6259" s="226"/>
    </row>
    <row r="6260" spans="16:21" x14ac:dyDescent="0.35">
      <c r="P6260" s="226"/>
      <c r="Q6260" s="226"/>
      <c r="R6260" s="226"/>
      <c r="S6260" s="226"/>
      <c r="T6260" s="226"/>
      <c r="U6260" s="226"/>
    </row>
    <row r="6261" spans="16:21" x14ac:dyDescent="0.35">
      <c r="P6261" s="226"/>
      <c r="Q6261" s="226"/>
      <c r="R6261" s="226"/>
      <c r="S6261" s="226"/>
      <c r="T6261" s="226"/>
      <c r="U6261" s="226"/>
    </row>
    <row r="6262" spans="16:21" x14ac:dyDescent="0.35">
      <c r="P6262" s="226"/>
      <c r="Q6262" s="226"/>
      <c r="R6262" s="226"/>
      <c r="S6262" s="226"/>
      <c r="T6262" s="226"/>
      <c r="U6262" s="226"/>
    </row>
    <row r="6263" spans="16:21" x14ac:dyDescent="0.35">
      <c r="P6263" s="226"/>
      <c r="Q6263" s="226"/>
      <c r="R6263" s="226"/>
      <c r="S6263" s="226"/>
      <c r="T6263" s="226"/>
      <c r="U6263" s="226"/>
    </row>
    <row r="6264" spans="16:21" x14ac:dyDescent="0.35">
      <c r="P6264" s="226"/>
      <c r="Q6264" s="226"/>
      <c r="R6264" s="226"/>
      <c r="S6264" s="226"/>
      <c r="T6264" s="226"/>
      <c r="U6264" s="226"/>
    </row>
    <row r="6265" spans="16:21" x14ac:dyDescent="0.35">
      <c r="P6265" s="226"/>
      <c r="Q6265" s="226"/>
      <c r="R6265" s="226"/>
      <c r="S6265" s="226"/>
      <c r="T6265" s="226"/>
      <c r="U6265" s="226"/>
    </row>
    <row r="6266" spans="16:21" x14ac:dyDescent="0.35">
      <c r="P6266" s="226"/>
      <c r="Q6266" s="226"/>
      <c r="R6266" s="226"/>
      <c r="S6266" s="226"/>
      <c r="T6266" s="226"/>
      <c r="U6266" s="226"/>
    </row>
    <row r="6267" spans="16:21" x14ac:dyDescent="0.35">
      <c r="P6267" s="226"/>
      <c r="Q6267" s="226"/>
      <c r="R6267" s="226"/>
      <c r="S6267" s="226"/>
      <c r="T6267" s="226"/>
      <c r="U6267" s="226"/>
    </row>
    <row r="6268" spans="16:21" x14ac:dyDescent="0.35">
      <c r="P6268" s="226"/>
      <c r="Q6268" s="226"/>
      <c r="R6268" s="226"/>
      <c r="S6268" s="226"/>
      <c r="T6268" s="226"/>
      <c r="U6268" s="226"/>
    </row>
    <row r="6269" spans="16:21" x14ac:dyDescent="0.35">
      <c r="P6269" s="226"/>
      <c r="Q6269" s="226"/>
      <c r="R6269" s="226"/>
      <c r="S6269" s="226"/>
      <c r="T6269" s="226"/>
      <c r="U6269" s="226"/>
    </row>
    <row r="6270" spans="16:21" x14ac:dyDescent="0.35">
      <c r="P6270" s="226"/>
      <c r="Q6270" s="226"/>
      <c r="R6270" s="226"/>
      <c r="S6270" s="226"/>
      <c r="T6270" s="226"/>
      <c r="U6270" s="226"/>
    </row>
    <row r="6271" spans="16:21" x14ac:dyDescent="0.35">
      <c r="P6271" s="226"/>
      <c r="Q6271" s="226"/>
      <c r="R6271" s="226"/>
      <c r="S6271" s="226"/>
      <c r="T6271" s="226"/>
      <c r="U6271" s="226"/>
    </row>
    <row r="6272" spans="16:21" x14ac:dyDescent="0.35">
      <c r="P6272" s="226"/>
      <c r="Q6272" s="226"/>
      <c r="R6272" s="226"/>
      <c r="S6272" s="226"/>
      <c r="T6272" s="226"/>
      <c r="U6272" s="226"/>
    </row>
    <row r="6273" spans="16:21" x14ac:dyDescent="0.35">
      <c r="P6273" s="226"/>
      <c r="Q6273" s="226"/>
      <c r="R6273" s="226"/>
      <c r="S6273" s="226"/>
      <c r="T6273" s="226"/>
      <c r="U6273" s="226"/>
    </row>
    <row r="6274" spans="16:21" x14ac:dyDescent="0.35">
      <c r="P6274" s="226"/>
      <c r="Q6274" s="226"/>
      <c r="R6274" s="226"/>
      <c r="S6274" s="226"/>
      <c r="T6274" s="226"/>
      <c r="U6274" s="226"/>
    </row>
    <row r="6275" spans="16:21" x14ac:dyDescent="0.35">
      <c r="P6275" s="226"/>
      <c r="Q6275" s="226"/>
      <c r="R6275" s="226"/>
      <c r="S6275" s="226"/>
      <c r="T6275" s="226"/>
      <c r="U6275" s="226"/>
    </row>
    <row r="6276" spans="16:21" x14ac:dyDescent="0.35">
      <c r="P6276" s="226"/>
      <c r="Q6276" s="226"/>
      <c r="R6276" s="226"/>
      <c r="S6276" s="226"/>
      <c r="T6276" s="226"/>
      <c r="U6276" s="226"/>
    </row>
    <row r="6277" spans="16:21" x14ac:dyDescent="0.35">
      <c r="P6277" s="226"/>
      <c r="Q6277" s="226"/>
      <c r="R6277" s="226"/>
      <c r="S6277" s="226"/>
      <c r="T6277" s="226"/>
      <c r="U6277" s="226"/>
    </row>
    <row r="6278" spans="16:21" x14ac:dyDescent="0.35">
      <c r="P6278" s="226"/>
      <c r="Q6278" s="226"/>
      <c r="R6278" s="226"/>
      <c r="S6278" s="226"/>
      <c r="T6278" s="226"/>
      <c r="U6278" s="226"/>
    </row>
    <row r="6279" spans="16:21" x14ac:dyDescent="0.35">
      <c r="P6279" s="226"/>
      <c r="Q6279" s="226"/>
      <c r="R6279" s="226"/>
      <c r="S6279" s="226"/>
      <c r="T6279" s="226"/>
      <c r="U6279" s="226"/>
    </row>
    <row r="6280" spans="16:21" x14ac:dyDescent="0.35">
      <c r="P6280" s="226"/>
      <c r="Q6280" s="226"/>
      <c r="R6280" s="226"/>
      <c r="S6280" s="226"/>
      <c r="T6280" s="226"/>
      <c r="U6280" s="226"/>
    </row>
    <row r="6281" spans="16:21" x14ac:dyDescent="0.35">
      <c r="P6281" s="226"/>
      <c r="Q6281" s="226"/>
      <c r="R6281" s="226"/>
      <c r="S6281" s="226"/>
      <c r="T6281" s="226"/>
      <c r="U6281" s="226"/>
    </row>
    <row r="6282" spans="16:21" x14ac:dyDescent="0.35">
      <c r="P6282" s="226"/>
      <c r="Q6282" s="226"/>
      <c r="R6282" s="226"/>
      <c r="S6282" s="226"/>
      <c r="T6282" s="226"/>
      <c r="U6282" s="226"/>
    </row>
    <row r="6283" spans="16:21" x14ac:dyDescent="0.35">
      <c r="P6283" s="226"/>
      <c r="Q6283" s="226"/>
      <c r="R6283" s="226"/>
      <c r="S6283" s="226"/>
      <c r="T6283" s="226"/>
      <c r="U6283" s="226"/>
    </row>
    <row r="6284" spans="16:21" x14ac:dyDescent="0.35">
      <c r="P6284" s="226"/>
      <c r="Q6284" s="226"/>
      <c r="R6284" s="226"/>
      <c r="S6284" s="226"/>
      <c r="T6284" s="226"/>
      <c r="U6284" s="226"/>
    </row>
    <row r="6285" spans="16:21" x14ac:dyDescent="0.35">
      <c r="P6285" s="226"/>
      <c r="Q6285" s="226"/>
      <c r="R6285" s="226"/>
      <c r="S6285" s="226"/>
      <c r="T6285" s="226"/>
      <c r="U6285" s="226"/>
    </row>
    <row r="6286" spans="16:21" x14ac:dyDescent="0.35">
      <c r="P6286" s="226"/>
      <c r="Q6286" s="226"/>
      <c r="R6286" s="226"/>
      <c r="S6286" s="226"/>
      <c r="T6286" s="226"/>
      <c r="U6286" s="226"/>
    </row>
    <row r="6287" spans="16:21" x14ac:dyDescent="0.35">
      <c r="P6287" s="226"/>
      <c r="Q6287" s="226"/>
      <c r="R6287" s="226"/>
      <c r="S6287" s="226"/>
      <c r="T6287" s="226"/>
      <c r="U6287" s="226"/>
    </row>
    <row r="6288" spans="16:21" x14ac:dyDescent="0.35">
      <c r="P6288" s="226"/>
      <c r="Q6288" s="226"/>
      <c r="R6288" s="226"/>
      <c r="S6288" s="226"/>
      <c r="T6288" s="226"/>
      <c r="U6288" s="226"/>
    </row>
    <row r="6289" spans="16:21" x14ac:dyDescent="0.35">
      <c r="P6289" s="226"/>
      <c r="Q6289" s="226"/>
      <c r="R6289" s="226"/>
      <c r="S6289" s="226"/>
      <c r="T6289" s="226"/>
      <c r="U6289" s="226"/>
    </row>
    <row r="6290" spans="16:21" x14ac:dyDescent="0.35">
      <c r="P6290" s="226"/>
      <c r="Q6290" s="226"/>
      <c r="R6290" s="226"/>
      <c r="S6290" s="226"/>
      <c r="T6290" s="226"/>
      <c r="U6290" s="226"/>
    </row>
    <row r="6291" spans="16:21" x14ac:dyDescent="0.35">
      <c r="P6291" s="226"/>
      <c r="Q6291" s="226"/>
      <c r="R6291" s="226"/>
      <c r="S6291" s="226"/>
      <c r="T6291" s="226"/>
      <c r="U6291" s="226"/>
    </row>
    <row r="6292" spans="16:21" x14ac:dyDescent="0.35">
      <c r="P6292" s="226"/>
      <c r="Q6292" s="226"/>
      <c r="R6292" s="226"/>
      <c r="S6292" s="226"/>
      <c r="T6292" s="226"/>
      <c r="U6292" s="226"/>
    </row>
    <row r="6293" spans="16:21" x14ac:dyDescent="0.35">
      <c r="P6293" s="226"/>
      <c r="Q6293" s="226"/>
      <c r="R6293" s="226"/>
      <c r="S6293" s="226"/>
      <c r="T6293" s="226"/>
      <c r="U6293" s="226"/>
    </row>
    <row r="6294" spans="16:21" x14ac:dyDescent="0.35">
      <c r="P6294" s="226"/>
      <c r="Q6294" s="226"/>
      <c r="R6294" s="226"/>
      <c r="S6294" s="226"/>
      <c r="T6294" s="226"/>
      <c r="U6294" s="226"/>
    </row>
    <row r="6295" spans="16:21" x14ac:dyDescent="0.35">
      <c r="P6295" s="226"/>
      <c r="Q6295" s="226"/>
      <c r="R6295" s="226"/>
      <c r="S6295" s="226"/>
      <c r="T6295" s="226"/>
      <c r="U6295" s="226"/>
    </row>
    <row r="6296" spans="16:21" x14ac:dyDescent="0.35">
      <c r="P6296" s="226"/>
      <c r="Q6296" s="226"/>
      <c r="R6296" s="226"/>
      <c r="S6296" s="226"/>
      <c r="T6296" s="226"/>
      <c r="U6296" s="226"/>
    </row>
    <row r="6297" spans="16:21" x14ac:dyDescent="0.35">
      <c r="P6297" s="226"/>
      <c r="Q6297" s="226"/>
      <c r="R6297" s="226"/>
      <c r="S6297" s="226"/>
      <c r="T6297" s="226"/>
      <c r="U6297" s="226"/>
    </row>
    <row r="6298" spans="16:21" x14ac:dyDescent="0.35">
      <c r="P6298" s="226"/>
      <c r="Q6298" s="226"/>
      <c r="R6298" s="226"/>
      <c r="S6298" s="226"/>
      <c r="T6298" s="226"/>
      <c r="U6298" s="226"/>
    </row>
    <row r="6299" spans="16:21" x14ac:dyDescent="0.35">
      <c r="P6299" s="226"/>
      <c r="Q6299" s="226"/>
      <c r="R6299" s="226"/>
      <c r="S6299" s="226"/>
      <c r="T6299" s="226"/>
      <c r="U6299" s="226"/>
    </row>
    <row r="6300" spans="16:21" x14ac:dyDescent="0.35">
      <c r="P6300" s="226"/>
      <c r="Q6300" s="226"/>
      <c r="R6300" s="226"/>
      <c r="S6300" s="226"/>
      <c r="T6300" s="226"/>
      <c r="U6300" s="226"/>
    </row>
    <row r="6301" spans="16:21" x14ac:dyDescent="0.35">
      <c r="P6301" s="226"/>
      <c r="Q6301" s="226"/>
      <c r="R6301" s="226"/>
      <c r="S6301" s="226"/>
      <c r="T6301" s="226"/>
      <c r="U6301" s="226"/>
    </row>
    <row r="6302" spans="16:21" x14ac:dyDescent="0.35">
      <c r="P6302" s="226"/>
      <c r="Q6302" s="226"/>
      <c r="R6302" s="226"/>
      <c r="S6302" s="226"/>
      <c r="T6302" s="226"/>
      <c r="U6302" s="226"/>
    </row>
    <row r="6303" spans="16:21" x14ac:dyDescent="0.35">
      <c r="P6303" s="226"/>
      <c r="Q6303" s="226"/>
      <c r="R6303" s="226"/>
      <c r="S6303" s="226"/>
      <c r="T6303" s="226"/>
      <c r="U6303" s="226"/>
    </row>
    <row r="6304" spans="16:21" x14ac:dyDescent="0.35">
      <c r="P6304" s="226"/>
      <c r="Q6304" s="226"/>
      <c r="R6304" s="226"/>
      <c r="S6304" s="226"/>
      <c r="T6304" s="226"/>
      <c r="U6304" s="226"/>
    </row>
    <row r="6305" spans="16:21" x14ac:dyDescent="0.35">
      <c r="P6305" s="226"/>
      <c r="Q6305" s="226"/>
      <c r="R6305" s="226"/>
      <c r="S6305" s="226"/>
      <c r="T6305" s="226"/>
      <c r="U6305" s="226"/>
    </row>
    <row r="6306" spans="16:21" x14ac:dyDescent="0.35">
      <c r="P6306" s="226"/>
      <c r="Q6306" s="226"/>
      <c r="R6306" s="226"/>
      <c r="S6306" s="226"/>
      <c r="T6306" s="226"/>
      <c r="U6306" s="226"/>
    </row>
    <row r="6307" spans="16:21" x14ac:dyDescent="0.35">
      <c r="P6307" s="226"/>
      <c r="Q6307" s="226"/>
      <c r="R6307" s="226"/>
      <c r="S6307" s="226"/>
      <c r="T6307" s="226"/>
      <c r="U6307" s="226"/>
    </row>
    <row r="6308" spans="16:21" x14ac:dyDescent="0.35">
      <c r="P6308" s="226"/>
      <c r="Q6308" s="226"/>
      <c r="R6308" s="226"/>
      <c r="S6308" s="226"/>
      <c r="T6308" s="226"/>
      <c r="U6308" s="226"/>
    </row>
    <row r="6309" spans="16:21" x14ac:dyDescent="0.35">
      <c r="P6309" s="226"/>
      <c r="Q6309" s="226"/>
      <c r="R6309" s="226"/>
      <c r="S6309" s="226"/>
      <c r="T6309" s="226"/>
      <c r="U6309" s="226"/>
    </row>
    <row r="6310" spans="16:21" x14ac:dyDescent="0.35">
      <c r="P6310" s="226"/>
      <c r="Q6310" s="226"/>
      <c r="R6310" s="226"/>
      <c r="S6310" s="226"/>
      <c r="T6310" s="226"/>
      <c r="U6310" s="226"/>
    </row>
    <row r="6311" spans="16:21" x14ac:dyDescent="0.35">
      <c r="P6311" s="226"/>
      <c r="Q6311" s="226"/>
      <c r="R6311" s="226"/>
      <c r="S6311" s="226"/>
      <c r="T6311" s="226"/>
      <c r="U6311" s="226"/>
    </row>
    <row r="6312" spans="16:21" x14ac:dyDescent="0.35">
      <c r="P6312" s="226"/>
      <c r="Q6312" s="226"/>
      <c r="R6312" s="226"/>
      <c r="S6312" s="226"/>
      <c r="T6312" s="226"/>
      <c r="U6312" s="226"/>
    </row>
    <row r="6313" spans="16:21" x14ac:dyDescent="0.35">
      <c r="P6313" s="226"/>
      <c r="Q6313" s="226"/>
      <c r="R6313" s="226"/>
      <c r="S6313" s="226"/>
      <c r="T6313" s="226"/>
      <c r="U6313" s="226"/>
    </row>
    <row r="6314" spans="16:21" x14ac:dyDescent="0.35">
      <c r="P6314" s="226"/>
      <c r="Q6314" s="226"/>
      <c r="R6314" s="226"/>
      <c r="S6314" s="226"/>
      <c r="T6314" s="226"/>
      <c r="U6314" s="226"/>
    </row>
    <row r="6315" spans="16:21" x14ac:dyDescent="0.35">
      <c r="P6315" s="226"/>
      <c r="Q6315" s="226"/>
      <c r="R6315" s="226"/>
      <c r="S6315" s="226"/>
      <c r="T6315" s="226"/>
      <c r="U6315" s="226"/>
    </row>
    <row r="6316" spans="16:21" x14ac:dyDescent="0.35">
      <c r="P6316" s="226"/>
      <c r="Q6316" s="226"/>
      <c r="R6316" s="226"/>
      <c r="S6316" s="226"/>
      <c r="T6316" s="226"/>
      <c r="U6316" s="226"/>
    </row>
    <row r="6317" spans="16:21" x14ac:dyDescent="0.35">
      <c r="P6317" s="226"/>
      <c r="Q6317" s="226"/>
      <c r="R6317" s="226"/>
      <c r="S6317" s="226"/>
      <c r="T6317" s="226"/>
      <c r="U6317" s="226"/>
    </row>
    <row r="6318" spans="16:21" x14ac:dyDescent="0.35">
      <c r="P6318" s="226"/>
      <c r="Q6318" s="226"/>
      <c r="R6318" s="226"/>
      <c r="S6318" s="226"/>
      <c r="T6318" s="226"/>
      <c r="U6318" s="226"/>
    </row>
    <row r="6319" spans="16:21" x14ac:dyDescent="0.35">
      <c r="P6319" s="226"/>
      <c r="Q6319" s="226"/>
      <c r="R6319" s="226"/>
      <c r="S6319" s="226"/>
      <c r="T6319" s="226"/>
      <c r="U6319" s="226"/>
    </row>
    <row r="6320" spans="16:21" x14ac:dyDescent="0.35">
      <c r="P6320" s="226"/>
      <c r="Q6320" s="226"/>
      <c r="R6320" s="226"/>
      <c r="S6320" s="226"/>
      <c r="T6320" s="226"/>
      <c r="U6320" s="226"/>
    </row>
    <row r="6321" spans="16:21" x14ac:dyDescent="0.35">
      <c r="P6321" s="226"/>
      <c r="Q6321" s="226"/>
      <c r="R6321" s="226"/>
      <c r="S6321" s="226"/>
      <c r="T6321" s="226"/>
      <c r="U6321" s="226"/>
    </row>
    <row r="6322" spans="16:21" x14ac:dyDescent="0.35">
      <c r="P6322" s="226"/>
      <c r="Q6322" s="226"/>
      <c r="R6322" s="226"/>
      <c r="S6322" s="226"/>
      <c r="T6322" s="226"/>
      <c r="U6322" s="226"/>
    </row>
    <row r="6323" spans="16:21" x14ac:dyDescent="0.35">
      <c r="P6323" s="226"/>
      <c r="Q6323" s="226"/>
      <c r="R6323" s="226"/>
      <c r="S6323" s="226"/>
      <c r="T6323" s="226"/>
      <c r="U6323" s="226"/>
    </row>
    <row r="6324" spans="16:21" x14ac:dyDescent="0.35">
      <c r="P6324" s="226"/>
      <c r="Q6324" s="226"/>
      <c r="R6324" s="226"/>
      <c r="S6324" s="226"/>
      <c r="T6324" s="226"/>
      <c r="U6324" s="226"/>
    </row>
    <row r="6325" spans="16:21" x14ac:dyDescent="0.35">
      <c r="P6325" s="226"/>
      <c r="Q6325" s="226"/>
      <c r="R6325" s="226"/>
      <c r="S6325" s="226"/>
      <c r="T6325" s="226"/>
      <c r="U6325" s="226"/>
    </row>
    <row r="6326" spans="16:21" x14ac:dyDescent="0.35">
      <c r="P6326" s="226"/>
      <c r="Q6326" s="226"/>
      <c r="R6326" s="226"/>
      <c r="S6326" s="226"/>
      <c r="T6326" s="226"/>
      <c r="U6326" s="226"/>
    </row>
    <row r="6327" spans="16:21" x14ac:dyDescent="0.35">
      <c r="P6327" s="226"/>
      <c r="Q6327" s="226"/>
      <c r="R6327" s="226"/>
      <c r="S6327" s="226"/>
      <c r="T6327" s="226"/>
      <c r="U6327" s="226"/>
    </row>
    <row r="6328" spans="16:21" x14ac:dyDescent="0.35">
      <c r="P6328" s="226"/>
      <c r="Q6328" s="226"/>
      <c r="R6328" s="226"/>
      <c r="S6328" s="226"/>
      <c r="T6328" s="226"/>
      <c r="U6328" s="226"/>
    </row>
    <row r="6329" spans="16:21" x14ac:dyDescent="0.35">
      <c r="P6329" s="226"/>
      <c r="Q6329" s="226"/>
      <c r="R6329" s="226"/>
      <c r="S6329" s="226"/>
      <c r="T6329" s="226"/>
      <c r="U6329" s="226"/>
    </row>
    <row r="6330" spans="16:21" x14ac:dyDescent="0.35">
      <c r="P6330" s="226"/>
      <c r="Q6330" s="226"/>
      <c r="R6330" s="226"/>
      <c r="S6330" s="226"/>
      <c r="T6330" s="226"/>
      <c r="U6330" s="226"/>
    </row>
    <row r="6331" spans="16:21" x14ac:dyDescent="0.35">
      <c r="P6331" s="226"/>
      <c r="Q6331" s="226"/>
      <c r="R6331" s="226"/>
      <c r="S6331" s="226"/>
      <c r="T6331" s="226"/>
      <c r="U6331" s="226"/>
    </row>
    <row r="6332" spans="16:21" x14ac:dyDescent="0.35">
      <c r="P6332" s="226"/>
      <c r="Q6332" s="226"/>
      <c r="R6332" s="226"/>
      <c r="S6332" s="226"/>
      <c r="T6332" s="226"/>
      <c r="U6332" s="226"/>
    </row>
    <row r="6333" spans="16:21" x14ac:dyDescent="0.35">
      <c r="P6333" s="226"/>
      <c r="Q6333" s="226"/>
      <c r="R6333" s="226"/>
      <c r="S6333" s="226"/>
      <c r="T6333" s="226"/>
      <c r="U6333" s="226"/>
    </row>
    <row r="6334" spans="16:21" x14ac:dyDescent="0.35">
      <c r="P6334" s="226"/>
      <c r="Q6334" s="226"/>
      <c r="R6334" s="226"/>
      <c r="S6334" s="226"/>
      <c r="T6334" s="226"/>
      <c r="U6334" s="226"/>
    </row>
    <row r="6335" spans="16:21" x14ac:dyDescent="0.35">
      <c r="P6335" s="226"/>
      <c r="Q6335" s="226"/>
      <c r="R6335" s="226"/>
      <c r="S6335" s="226"/>
      <c r="T6335" s="226"/>
      <c r="U6335" s="226"/>
    </row>
    <row r="6336" spans="16:21" x14ac:dyDescent="0.35">
      <c r="P6336" s="226"/>
      <c r="Q6336" s="226"/>
      <c r="R6336" s="226"/>
      <c r="S6336" s="226"/>
      <c r="T6336" s="226"/>
      <c r="U6336" s="226"/>
    </row>
    <row r="6337" spans="16:21" x14ac:dyDescent="0.35">
      <c r="P6337" s="226"/>
      <c r="Q6337" s="226"/>
      <c r="R6337" s="226"/>
      <c r="S6337" s="226"/>
      <c r="T6337" s="226"/>
      <c r="U6337" s="226"/>
    </row>
    <row r="6338" spans="16:21" x14ac:dyDescent="0.35">
      <c r="P6338" s="226"/>
      <c r="Q6338" s="226"/>
      <c r="R6338" s="226"/>
      <c r="S6338" s="226"/>
      <c r="T6338" s="226"/>
      <c r="U6338" s="226"/>
    </row>
    <row r="6339" spans="16:21" x14ac:dyDescent="0.35">
      <c r="P6339" s="226"/>
      <c r="Q6339" s="226"/>
      <c r="R6339" s="226"/>
      <c r="S6339" s="226"/>
      <c r="T6339" s="226"/>
      <c r="U6339" s="226"/>
    </row>
    <row r="6340" spans="16:21" x14ac:dyDescent="0.35">
      <c r="P6340" s="226"/>
      <c r="Q6340" s="226"/>
      <c r="R6340" s="226"/>
      <c r="S6340" s="226"/>
      <c r="T6340" s="226"/>
      <c r="U6340" s="226"/>
    </row>
    <row r="6341" spans="16:21" x14ac:dyDescent="0.35">
      <c r="P6341" s="226"/>
      <c r="Q6341" s="226"/>
      <c r="R6341" s="226"/>
      <c r="S6341" s="226"/>
      <c r="T6341" s="226"/>
      <c r="U6341" s="226"/>
    </row>
    <row r="6342" spans="16:21" x14ac:dyDescent="0.35">
      <c r="P6342" s="226"/>
      <c r="Q6342" s="226"/>
      <c r="R6342" s="226"/>
      <c r="S6342" s="226"/>
      <c r="T6342" s="226"/>
      <c r="U6342" s="226"/>
    </row>
    <row r="6343" spans="16:21" x14ac:dyDescent="0.35">
      <c r="P6343" s="226"/>
      <c r="Q6343" s="226"/>
      <c r="R6343" s="226"/>
      <c r="S6343" s="226"/>
      <c r="T6343" s="226"/>
      <c r="U6343" s="226"/>
    </row>
    <row r="6344" spans="16:21" x14ac:dyDescent="0.35">
      <c r="P6344" s="226"/>
      <c r="Q6344" s="226"/>
      <c r="R6344" s="226"/>
      <c r="S6344" s="226"/>
      <c r="T6344" s="226"/>
      <c r="U6344" s="226"/>
    </row>
    <row r="6345" spans="16:21" x14ac:dyDescent="0.35">
      <c r="P6345" s="226"/>
      <c r="Q6345" s="226"/>
      <c r="R6345" s="226"/>
      <c r="S6345" s="226"/>
      <c r="T6345" s="226"/>
      <c r="U6345" s="226"/>
    </row>
    <row r="6346" spans="16:21" x14ac:dyDescent="0.35">
      <c r="P6346" s="226"/>
      <c r="Q6346" s="226"/>
      <c r="R6346" s="226"/>
      <c r="S6346" s="226"/>
      <c r="T6346" s="226"/>
      <c r="U6346" s="226"/>
    </row>
    <row r="6347" spans="16:21" x14ac:dyDescent="0.35">
      <c r="P6347" s="226"/>
      <c r="Q6347" s="226"/>
      <c r="R6347" s="226"/>
      <c r="S6347" s="226"/>
      <c r="T6347" s="226"/>
      <c r="U6347" s="226"/>
    </row>
    <row r="6348" spans="16:21" x14ac:dyDescent="0.35">
      <c r="P6348" s="226"/>
      <c r="Q6348" s="226"/>
      <c r="R6348" s="226"/>
      <c r="S6348" s="226"/>
      <c r="T6348" s="226"/>
      <c r="U6348" s="226"/>
    </row>
    <row r="6349" spans="16:21" x14ac:dyDescent="0.35">
      <c r="P6349" s="226"/>
      <c r="Q6349" s="226"/>
      <c r="R6349" s="226"/>
      <c r="S6349" s="226"/>
      <c r="T6349" s="226"/>
      <c r="U6349" s="226"/>
    </row>
    <row r="6350" spans="16:21" x14ac:dyDescent="0.35">
      <c r="P6350" s="226"/>
      <c r="Q6350" s="226"/>
      <c r="R6350" s="226"/>
      <c r="S6350" s="226"/>
      <c r="T6350" s="226"/>
      <c r="U6350" s="226"/>
    </row>
    <row r="6351" spans="16:21" x14ac:dyDescent="0.35">
      <c r="P6351" s="226"/>
      <c r="Q6351" s="226"/>
      <c r="R6351" s="226"/>
      <c r="S6351" s="226"/>
      <c r="T6351" s="226"/>
      <c r="U6351" s="226"/>
    </row>
    <row r="6352" spans="16:21" x14ac:dyDescent="0.35">
      <c r="P6352" s="226"/>
      <c r="Q6352" s="226"/>
      <c r="R6352" s="226"/>
      <c r="S6352" s="226"/>
      <c r="T6352" s="226"/>
      <c r="U6352" s="226"/>
    </row>
    <row r="6353" spans="16:21" x14ac:dyDescent="0.35">
      <c r="P6353" s="226"/>
      <c r="Q6353" s="226"/>
      <c r="R6353" s="226"/>
      <c r="S6353" s="226"/>
      <c r="T6353" s="226"/>
      <c r="U6353" s="226"/>
    </row>
    <row r="6354" spans="16:21" x14ac:dyDescent="0.35">
      <c r="P6354" s="226"/>
      <c r="Q6354" s="226"/>
      <c r="R6354" s="226"/>
      <c r="S6354" s="226"/>
      <c r="T6354" s="226"/>
      <c r="U6354" s="226"/>
    </row>
    <row r="6355" spans="16:21" x14ac:dyDescent="0.35">
      <c r="P6355" s="226"/>
      <c r="Q6355" s="226"/>
      <c r="R6355" s="226"/>
      <c r="S6355" s="226"/>
      <c r="T6355" s="226"/>
      <c r="U6355" s="226"/>
    </row>
    <row r="6356" spans="16:21" x14ac:dyDescent="0.35">
      <c r="P6356" s="226"/>
      <c r="Q6356" s="226"/>
      <c r="R6356" s="226"/>
      <c r="S6356" s="226"/>
      <c r="T6356" s="226"/>
      <c r="U6356" s="226"/>
    </row>
    <row r="6357" spans="16:21" x14ac:dyDescent="0.35">
      <c r="P6357" s="226"/>
      <c r="Q6357" s="226"/>
      <c r="R6357" s="226"/>
      <c r="S6357" s="226"/>
      <c r="T6357" s="226"/>
      <c r="U6357" s="226"/>
    </row>
    <row r="6358" spans="16:21" x14ac:dyDescent="0.35">
      <c r="P6358" s="226"/>
      <c r="Q6358" s="226"/>
      <c r="R6358" s="226"/>
      <c r="S6358" s="226"/>
      <c r="T6358" s="226"/>
      <c r="U6358" s="226"/>
    </row>
    <row r="6359" spans="16:21" x14ac:dyDescent="0.35">
      <c r="P6359" s="226"/>
      <c r="Q6359" s="226"/>
      <c r="R6359" s="226"/>
      <c r="S6359" s="226"/>
      <c r="T6359" s="226"/>
      <c r="U6359" s="226"/>
    </row>
    <row r="6360" spans="16:21" x14ac:dyDescent="0.35">
      <c r="P6360" s="226"/>
      <c r="Q6360" s="226"/>
      <c r="R6360" s="226"/>
      <c r="S6360" s="226"/>
      <c r="T6360" s="226"/>
      <c r="U6360" s="226"/>
    </row>
    <row r="6361" spans="16:21" x14ac:dyDescent="0.35">
      <c r="P6361" s="226"/>
      <c r="Q6361" s="226"/>
      <c r="R6361" s="226"/>
      <c r="S6361" s="226"/>
      <c r="T6361" s="226"/>
      <c r="U6361" s="226"/>
    </row>
    <row r="6362" spans="16:21" x14ac:dyDescent="0.35">
      <c r="P6362" s="226"/>
      <c r="Q6362" s="226"/>
      <c r="R6362" s="226"/>
      <c r="S6362" s="226"/>
      <c r="T6362" s="226"/>
      <c r="U6362" s="226"/>
    </row>
    <row r="6363" spans="16:21" x14ac:dyDescent="0.35">
      <c r="P6363" s="226"/>
      <c r="Q6363" s="226"/>
      <c r="R6363" s="226"/>
      <c r="S6363" s="226"/>
      <c r="T6363" s="226"/>
      <c r="U6363" s="226"/>
    </row>
    <row r="6364" spans="16:21" x14ac:dyDescent="0.35">
      <c r="P6364" s="226"/>
      <c r="Q6364" s="226"/>
      <c r="R6364" s="226"/>
      <c r="S6364" s="226"/>
      <c r="T6364" s="226"/>
      <c r="U6364" s="226"/>
    </row>
    <row r="6365" spans="16:21" x14ac:dyDescent="0.35">
      <c r="P6365" s="226"/>
      <c r="Q6365" s="226"/>
      <c r="R6365" s="226"/>
      <c r="S6365" s="226"/>
      <c r="T6365" s="226"/>
      <c r="U6365" s="226"/>
    </row>
    <row r="6366" spans="16:21" x14ac:dyDescent="0.35">
      <c r="P6366" s="226"/>
      <c r="Q6366" s="226"/>
      <c r="R6366" s="226"/>
      <c r="S6366" s="226"/>
      <c r="T6366" s="226"/>
      <c r="U6366" s="226"/>
    </row>
    <row r="6367" spans="16:21" x14ac:dyDescent="0.35">
      <c r="P6367" s="226"/>
      <c r="Q6367" s="226"/>
      <c r="R6367" s="226"/>
      <c r="S6367" s="226"/>
      <c r="T6367" s="226"/>
      <c r="U6367" s="226"/>
    </row>
    <row r="6368" spans="16:21" x14ac:dyDescent="0.35">
      <c r="P6368" s="226"/>
      <c r="Q6368" s="226"/>
      <c r="R6368" s="226"/>
      <c r="S6368" s="226"/>
      <c r="T6368" s="226"/>
      <c r="U6368" s="226"/>
    </row>
    <row r="6369" spans="16:21" x14ac:dyDescent="0.35">
      <c r="P6369" s="226"/>
      <c r="Q6369" s="226"/>
      <c r="R6369" s="226"/>
      <c r="S6369" s="226"/>
      <c r="T6369" s="226"/>
      <c r="U6369" s="226"/>
    </row>
    <row r="6370" spans="16:21" x14ac:dyDescent="0.35">
      <c r="P6370" s="226"/>
      <c r="Q6370" s="226"/>
      <c r="R6370" s="226"/>
      <c r="S6370" s="226"/>
      <c r="T6370" s="226"/>
      <c r="U6370" s="226"/>
    </row>
    <row r="6371" spans="16:21" x14ac:dyDescent="0.35">
      <c r="P6371" s="226"/>
      <c r="Q6371" s="226"/>
      <c r="R6371" s="226"/>
      <c r="S6371" s="226"/>
      <c r="T6371" s="226"/>
      <c r="U6371" s="226"/>
    </row>
    <row r="6372" spans="16:21" x14ac:dyDescent="0.35">
      <c r="P6372" s="226"/>
      <c r="Q6372" s="226"/>
      <c r="R6372" s="226"/>
      <c r="S6372" s="226"/>
      <c r="T6372" s="226"/>
      <c r="U6372" s="226"/>
    </row>
    <row r="6373" spans="16:21" x14ac:dyDescent="0.35">
      <c r="P6373" s="226"/>
      <c r="Q6373" s="226"/>
      <c r="R6373" s="226"/>
      <c r="S6373" s="226"/>
      <c r="T6373" s="226"/>
      <c r="U6373" s="226"/>
    </row>
    <row r="6374" spans="16:21" x14ac:dyDescent="0.35">
      <c r="P6374" s="226"/>
      <c r="Q6374" s="226"/>
      <c r="R6374" s="226"/>
      <c r="S6374" s="226"/>
      <c r="T6374" s="226"/>
      <c r="U6374" s="226"/>
    </row>
    <row r="6375" spans="16:21" x14ac:dyDescent="0.35">
      <c r="P6375" s="226"/>
      <c r="Q6375" s="226"/>
      <c r="R6375" s="226"/>
      <c r="S6375" s="226"/>
      <c r="T6375" s="226"/>
      <c r="U6375" s="226"/>
    </row>
    <row r="6376" spans="16:21" x14ac:dyDescent="0.35">
      <c r="P6376" s="226"/>
      <c r="Q6376" s="226"/>
      <c r="R6376" s="226"/>
      <c r="S6376" s="226"/>
      <c r="T6376" s="226"/>
      <c r="U6376" s="226"/>
    </row>
    <row r="6377" spans="16:21" x14ac:dyDescent="0.35">
      <c r="P6377" s="226"/>
      <c r="Q6377" s="226"/>
      <c r="R6377" s="226"/>
      <c r="S6377" s="226"/>
      <c r="T6377" s="226"/>
      <c r="U6377" s="226"/>
    </row>
    <row r="6378" spans="16:21" x14ac:dyDescent="0.35">
      <c r="P6378" s="226"/>
      <c r="Q6378" s="226"/>
      <c r="R6378" s="226"/>
      <c r="S6378" s="226"/>
      <c r="T6378" s="226"/>
      <c r="U6378" s="226"/>
    </row>
    <row r="6379" spans="16:21" x14ac:dyDescent="0.35">
      <c r="P6379" s="226"/>
      <c r="Q6379" s="226"/>
      <c r="R6379" s="226"/>
      <c r="S6379" s="226"/>
      <c r="T6379" s="226"/>
      <c r="U6379" s="226"/>
    </row>
    <row r="6380" spans="16:21" x14ac:dyDescent="0.35">
      <c r="P6380" s="226"/>
      <c r="Q6380" s="226"/>
      <c r="R6380" s="226"/>
      <c r="S6380" s="226"/>
      <c r="T6380" s="226"/>
      <c r="U6380" s="226"/>
    </row>
    <row r="6381" spans="16:21" x14ac:dyDescent="0.35">
      <c r="P6381" s="226"/>
      <c r="Q6381" s="226"/>
      <c r="R6381" s="226"/>
      <c r="S6381" s="226"/>
      <c r="T6381" s="226"/>
      <c r="U6381" s="226"/>
    </row>
    <row r="6382" spans="16:21" x14ac:dyDescent="0.35">
      <c r="P6382" s="226"/>
      <c r="Q6382" s="226"/>
      <c r="R6382" s="226"/>
      <c r="S6382" s="226"/>
      <c r="T6382" s="226"/>
      <c r="U6382" s="226"/>
    </row>
    <row r="6383" spans="16:21" x14ac:dyDescent="0.35">
      <c r="P6383" s="226"/>
      <c r="Q6383" s="226"/>
      <c r="R6383" s="226"/>
      <c r="S6383" s="226"/>
      <c r="T6383" s="226"/>
      <c r="U6383" s="226"/>
    </row>
    <row r="6384" spans="16:21" x14ac:dyDescent="0.35">
      <c r="P6384" s="226"/>
      <c r="Q6384" s="226"/>
      <c r="R6384" s="226"/>
      <c r="S6384" s="226"/>
      <c r="T6384" s="226"/>
      <c r="U6384" s="226"/>
    </row>
    <row r="6385" spans="16:21" x14ac:dyDescent="0.35">
      <c r="P6385" s="226"/>
      <c r="Q6385" s="226"/>
      <c r="R6385" s="226"/>
      <c r="S6385" s="226"/>
      <c r="T6385" s="226"/>
      <c r="U6385" s="226"/>
    </row>
    <row r="6386" spans="16:21" x14ac:dyDescent="0.35">
      <c r="P6386" s="226"/>
      <c r="Q6386" s="226"/>
      <c r="R6386" s="226"/>
      <c r="S6386" s="226"/>
      <c r="T6386" s="226"/>
      <c r="U6386" s="226"/>
    </row>
    <row r="6387" spans="16:21" x14ac:dyDescent="0.35">
      <c r="P6387" s="226"/>
      <c r="Q6387" s="226"/>
      <c r="R6387" s="226"/>
      <c r="S6387" s="226"/>
      <c r="T6387" s="226"/>
      <c r="U6387" s="226"/>
    </row>
    <row r="6388" spans="16:21" x14ac:dyDescent="0.35">
      <c r="P6388" s="226"/>
      <c r="Q6388" s="226"/>
      <c r="R6388" s="226"/>
      <c r="S6388" s="226"/>
      <c r="T6388" s="226"/>
      <c r="U6388" s="226"/>
    </row>
    <row r="6389" spans="16:21" x14ac:dyDescent="0.35">
      <c r="P6389" s="226"/>
      <c r="Q6389" s="226"/>
      <c r="R6389" s="226"/>
      <c r="S6389" s="226"/>
      <c r="T6389" s="226"/>
      <c r="U6389" s="226"/>
    </row>
    <row r="6390" spans="16:21" x14ac:dyDescent="0.35">
      <c r="P6390" s="226"/>
      <c r="Q6390" s="226"/>
      <c r="R6390" s="226"/>
      <c r="S6390" s="226"/>
      <c r="T6390" s="226"/>
      <c r="U6390" s="226"/>
    </row>
    <row r="6391" spans="16:21" x14ac:dyDescent="0.35">
      <c r="P6391" s="226"/>
      <c r="Q6391" s="226"/>
      <c r="R6391" s="226"/>
      <c r="S6391" s="226"/>
      <c r="T6391" s="226"/>
      <c r="U6391" s="226"/>
    </row>
    <row r="6392" spans="16:21" x14ac:dyDescent="0.35">
      <c r="P6392" s="226"/>
      <c r="Q6392" s="226"/>
      <c r="R6392" s="226"/>
      <c r="S6392" s="226"/>
      <c r="T6392" s="226"/>
      <c r="U6392" s="226"/>
    </row>
    <row r="6393" spans="16:21" x14ac:dyDescent="0.35">
      <c r="P6393" s="226"/>
      <c r="Q6393" s="226"/>
      <c r="R6393" s="226"/>
      <c r="S6393" s="226"/>
      <c r="T6393" s="226"/>
      <c r="U6393" s="226"/>
    </row>
    <row r="6394" spans="16:21" x14ac:dyDescent="0.35">
      <c r="P6394" s="226"/>
      <c r="Q6394" s="226"/>
      <c r="R6394" s="226"/>
      <c r="S6394" s="226"/>
      <c r="T6394" s="226"/>
      <c r="U6394" s="226"/>
    </row>
    <row r="6395" spans="16:21" x14ac:dyDescent="0.35">
      <c r="P6395" s="226"/>
      <c r="Q6395" s="226"/>
      <c r="R6395" s="226"/>
      <c r="S6395" s="226"/>
      <c r="T6395" s="226"/>
      <c r="U6395" s="226"/>
    </row>
    <row r="6396" spans="16:21" x14ac:dyDescent="0.35">
      <c r="P6396" s="226"/>
      <c r="Q6396" s="226"/>
      <c r="R6396" s="226"/>
      <c r="S6396" s="226"/>
      <c r="T6396" s="226"/>
      <c r="U6396" s="226"/>
    </row>
    <row r="6397" spans="16:21" x14ac:dyDescent="0.35">
      <c r="P6397" s="226"/>
      <c r="Q6397" s="226"/>
      <c r="R6397" s="226"/>
      <c r="S6397" s="226"/>
      <c r="T6397" s="226"/>
      <c r="U6397" s="226"/>
    </row>
    <row r="6398" spans="16:21" x14ac:dyDescent="0.35">
      <c r="P6398" s="226"/>
      <c r="Q6398" s="226"/>
      <c r="R6398" s="226"/>
      <c r="S6398" s="226"/>
      <c r="T6398" s="226"/>
      <c r="U6398" s="226"/>
    </row>
    <row r="6399" spans="16:21" x14ac:dyDescent="0.35">
      <c r="P6399" s="226"/>
      <c r="Q6399" s="226"/>
      <c r="R6399" s="226"/>
      <c r="S6399" s="226"/>
      <c r="T6399" s="226"/>
      <c r="U6399" s="226"/>
    </row>
    <row r="6400" spans="16:21" x14ac:dyDescent="0.35">
      <c r="P6400" s="226"/>
      <c r="Q6400" s="226"/>
      <c r="R6400" s="226"/>
      <c r="S6400" s="226"/>
      <c r="T6400" s="226"/>
      <c r="U6400" s="226"/>
    </row>
    <row r="6401" spans="16:21" x14ac:dyDescent="0.35">
      <c r="P6401" s="226"/>
      <c r="Q6401" s="226"/>
      <c r="R6401" s="226"/>
      <c r="S6401" s="226"/>
      <c r="T6401" s="226"/>
      <c r="U6401" s="226"/>
    </row>
    <row r="6402" spans="16:21" x14ac:dyDescent="0.35">
      <c r="P6402" s="226"/>
      <c r="Q6402" s="226"/>
      <c r="R6402" s="226"/>
      <c r="S6402" s="226"/>
      <c r="T6402" s="226"/>
      <c r="U6402" s="226"/>
    </row>
    <row r="6403" spans="16:21" x14ac:dyDescent="0.35">
      <c r="P6403" s="226"/>
      <c r="Q6403" s="226"/>
      <c r="R6403" s="226"/>
      <c r="S6403" s="226"/>
      <c r="T6403" s="226"/>
      <c r="U6403" s="226"/>
    </row>
    <row r="6404" spans="16:21" x14ac:dyDescent="0.35">
      <c r="P6404" s="226"/>
      <c r="Q6404" s="226"/>
      <c r="R6404" s="226"/>
      <c r="S6404" s="226"/>
      <c r="T6404" s="226"/>
      <c r="U6404" s="226"/>
    </row>
    <row r="6405" spans="16:21" x14ac:dyDescent="0.35">
      <c r="P6405" s="226"/>
      <c r="Q6405" s="226"/>
      <c r="R6405" s="226"/>
      <c r="S6405" s="226"/>
      <c r="T6405" s="226"/>
      <c r="U6405" s="226"/>
    </row>
    <row r="6406" spans="16:21" x14ac:dyDescent="0.35">
      <c r="P6406" s="226"/>
      <c r="Q6406" s="226"/>
      <c r="R6406" s="226"/>
      <c r="S6406" s="226"/>
      <c r="T6406" s="226"/>
      <c r="U6406" s="226"/>
    </row>
    <row r="6407" spans="16:21" x14ac:dyDescent="0.35">
      <c r="P6407" s="226"/>
      <c r="Q6407" s="226"/>
      <c r="R6407" s="226"/>
      <c r="S6407" s="226"/>
      <c r="T6407" s="226"/>
      <c r="U6407" s="226"/>
    </row>
    <row r="6408" spans="16:21" x14ac:dyDescent="0.35">
      <c r="P6408" s="226"/>
      <c r="Q6408" s="226"/>
      <c r="R6408" s="226"/>
      <c r="S6408" s="226"/>
      <c r="T6408" s="226"/>
      <c r="U6408" s="226"/>
    </row>
    <row r="6409" spans="16:21" x14ac:dyDescent="0.35">
      <c r="P6409" s="226"/>
      <c r="Q6409" s="226"/>
      <c r="R6409" s="226"/>
      <c r="S6409" s="226"/>
      <c r="T6409" s="226"/>
      <c r="U6409" s="226"/>
    </row>
    <row r="6410" spans="16:21" x14ac:dyDescent="0.35">
      <c r="P6410" s="226"/>
      <c r="Q6410" s="226"/>
      <c r="R6410" s="226"/>
      <c r="S6410" s="226"/>
      <c r="T6410" s="226"/>
      <c r="U6410" s="226"/>
    </row>
    <row r="6411" spans="16:21" x14ac:dyDescent="0.35">
      <c r="P6411" s="226"/>
      <c r="Q6411" s="226"/>
      <c r="R6411" s="226"/>
      <c r="S6411" s="226"/>
      <c r="T6411" s="226"/>
      <c r="U6411" s="226"/>
    </row>
    <row r="6412" spans="16:21" x14ac:dyDescent="0.35">
      <c r="P6412" s="226"/>
      <c r="Q6412" s="226"/>
      <c r="R6412" s="226"/>
      <c r="S6412" s="226"/>
      <c r="T6412" s="226"/>
      <c r="U6412" s="226"/>
    </row>
    <row r="6413" spans="16:21" x14ac:dyDescent="0.35">
      <c r="P6413" s="226"/>
      <c r="Q6413" s="226"/>
      <c r="R6413" s="226"/>
      <c r="S6413" s="226"/>
      <c r="T6413" s="226"/>
      <c r="U6413" s="226"/>
    </row>
    <row r="6414" spans="16:21" x14ac:dyDescent="0.35">
      <c r="P6414" s="226"/>
      <c r="Q6414" s="226"/>
      <c r="R6414" s="226"/>
      <c r="S6414" s="226"/>
      <c r="T6414" s="226"/>
      <c r="U6414" s="226"/>
    </row>
    <row r="6415" spans="16:21" x14ac:dyDescent="0.35">
      <c r="P6415" s="226"/>
      <c r="Q6415" s="226"/>
      <c r="R6415" s="226"/>
      <c r="S6415" s="226"/>
      <c r="T6415" s="226"/>
      <c r="U6415" s="226"/>
    </row>
    <row r="6416" spans="16:21" x14ac:dyDescent="0.35">
      <c r="P6416" s="226"/>
      <c r="Q6416" s="226"/>
      <c r="R6416" s="226"/>
      <c r="S6416" s="226"/>
      <c r="T6416" s="226"/>
      <c r="U6416" s="226"/>
    </row>
    <row r="6417" spans="16:21" x14ac:dyDescent="0.35">
      <c r="P6417" s="226"/>
      <c r="Q6417" s="226"/>
      <c r="R6417" s="226"/>
      <c r="S6417" s="226"/>
      <c r="T6417" s="226"/>
      <c r="U6417" s="226"/>
    </row>
    <row r="6418" spans="16:21" x14ac:dyDescent="0.35">
      <c r="P6418" s="226"/>
      <c r="Q6418" s="226"/>
      <c r="R6418" s="226"/>
      <c r="S6418" s="226"/>
      <c r="T6418" s="226"/>
      <c r="U6418" s="226"/>
    </row>
    <row r="6419" spans="16:21" x14ac:dyDescent="0.35">
      <c r="P6419" s="226"/>
      <c r="Q6419" s="226"/>
      <c r="R6419" s="226"/>
      <c r="S6419" s="226"/>
      <c r="T6419" s="226"/>
      <c r="U6419" s="226"/>
    </row>
    <row r="6420" spans="16:21" x14ac:dyDescent="0.35">
      <c r="P6420" s="226"/>
      <c r="Q6420" s="226"/>
      <c r="R6420" s="226"/>
      <c r="S6420" s="226"/>
      <c r="T6420" s="226"/>
      <c r="U6420" s="226"/>
    </row>
    <row r="6421" spans="16:21" x14ac:dyDescent="0.35">
      <c r="P6421" s="226"/>
      <c r="Q6421" s="226"/>
      <c r="R6421" s="226"/>
      <c r="S6421" s="226"/>
      <c r="T6421" s="226"/>
      <c r="U6421" s="226"/>
    </row>
    <row r="6422" spans="16:21" x14ac:dyDescent="0.35">
      <c r="P6422" s="226"/>
      <c r="Q6422" s="226"/>
      <c r="R6422" s="226"/>
      <c r="S6422" s="226"/>
      <c r="T6422" s="226"/>
      <c r="U6422" s="226"/>
    </row>
    <row r="6423" spans="16:21" x14ac:dyDescent="0.35">
      <c r="P6423" s="226"/>
      <c r="Q6423" s="226"/>
      <c r="R6423" s="226"/>
      <c r="S6423" s="226"/>
      <c r="T6423" s="226"/>
      <c r="U6423" s="226"/>
    </row>
    <row r="6424" spans="16:21" x14ac:dyDescent="0.35">
      <c r="P6424" s="226"/>
      <c r="Q6424" s="226"/>
      <c r="R6424" s="226"/>
      <c r="S6424" s="226"/>
      <c r="T6424" s="226"/>
      <c r="U6424" s="226"/>
    </row>
    <row r="6425" spans="16:21" x14ac:dyDescent="0.35">
      <c r="P6425" s="226"/>
      <c r="Q6425" s="226"/>
      <c r="R6425" s="226"/>
      <c r="S6425" s="226"/>
      <c r="T6425" s="226"/>
      <c r="U6425" s="226"/>
    </row>
    <row r="6426" spans="16:21" x14ac:dyDescent="0.35">
      <c r="P6426" s="226"/>
      <c r="Q6426" s="226"/>
      <c r="R6426" s="226"/>
      <c r="S6426" s="226"/>
      <c r="T6426" s="226"/>
      <c r="U6426" s="226"/>
    </row>
    <row r="6427" spans="16:21" x14ac:dyDescent="0.35">
      <c r="P6427" s="226"/>
      <c r="Q6427" s="226"/>
      <c r="R6427" s="226"/>
      <c r="S6427" s="226"/>
      <c r="T6427" s="226"/>
      <c r="U6427" s="226"/>
    </row>
    <row r="6428" spans="16:21" x14ac:dyDescent="0.35">
      <c r="P6428" s="226"/>
      <c r="Q6428" s="226"/>
      <c r="R6428" s="226"/>
      <c r="S6428" s="226"/>
      <c r="T6428" s="226"/>
      <c r="U6428" s="226"/>
    </row>
    <row r="6429" spans="16:21" x14ac:dyDescent="0.35">
      <c r="P6429" s="226"/>
      <c r="Q6429" s="226"/>
      <c r="R6429" s="226"/>
      <c r="S6429" s="226"/>
      <c r="T6429" s="226"/>
      <c r="U6429" s="226"/>
    </row>
    <row r="6430" spans="16:21" x14ac:dyDescent="0.35">
      <c r="P6430" s="226"/>
      <c r="Q6430" s="226"/>
      <c r="R6430" s="226"/>
      <c r="S6430" s="226"/>
      <c r="T6430" s="226"/>
      <c r="U6430" s="226"/>
    </row>
    <row r="6431" spans="16:21" x14ac:dyDescent="0.35">
      <c r="P6431" s="226"/>
      <c r="Q6431" s="226"/>
      <c r="R6431" s="226"/>
      <c r="S6431" s="226"/>
      <c r="T6431" s="226"/>
      <c r="U6431" s="226"/>
    </row>
    <row r="6432" spans="16:21" x14ac:dyDescent="0.35">
      <c r="P6432" s="226"/>
      <c r="Q6432" s="226"/>
      <c r="R6432" s="226"/>
      <c r="S6432" s="226"/>
      <c r="T6432" s="226"/>
      <c r="U6432" s="226"/>
    </row>
    <row r="6433" spans="16:21" x14ac:dyDescent="0.35">
      <c r="P6433" s="226"/>
      <c r="Q6433" s="226"/>
      <c r="R6433" s="226"/>
      <c r="S6433" s="226"/>
      <c r="T6433" s="226"/>
      <c r="U6433" s="226"/>
    </row>
    <row r="6434" spans="16:21" x14ac:dyDescent="0.35">
      <c r="P6434" s="226"/>
      <c r="Q6434" s="226"/>
      <c r="R6434" s="226"/>
      <c r="S6434" s="226"/>
      <c r="T6434" s="226"/>
      <c r="U6434" s="226"/>
    </row>
    <row r="6435" spans="16:21" x14ac:dyDescent="0.35">
      <c r="P6435" s="226"/>
      <c r="Q6435" s="226"/>
      <c r="R6435" s="226"/>
      <c r="S6435" s="226"/>
      <c r="T6435" s="226"/>
      <c r="U6435" s="226"/>
    </row>
    <row r="6436" spans="16:21" x14ac:dyDescent="0.35">
      <c r="P6436" s="226"/>
      <c r="Q6436" s="226"/>
      <c r="R6436" s="226"/>
      <c r="S6436" s="226"/>
      <c r="T6436" s="226"/>
      <c r="U6436" s="226"/>
    </row>
    <row r="6437" spans="16:21" x14ac:dyDescent="0.35">
      <c r="P6437" s="226"/>
      <c r="Q6437" s="226"/>
      <c r="R6437" s="226"/>
      <c r="S6437" s="226"/>
      <c r="T6437" s="226"/>
      <c r="U6437" s="226"/>
    </row>
    <row r="6438" spans="16:21" x14ac:dyDescent="0.35">
      <c r="P6438" s="226"/>
      <c r="Q6438" s="226"/>
      <c r="R6438" s="226"/>
      <c r="S6438" s="226"/>
      <c r="T6438" s="226"/>
      <c r="U6438" s="226"/>
    </row>
    <row r="6439" spans="16:21" x14ac:dyDescent="0.35">
      <c r="P6439" s="226"/>
      <c r="Q6439" s="226"/>
      <c r="R6439" s="226"/>
      <c r="S6439" s="226"/>
      <c r="T6439" s="226"/>
      <c r="U6439" s="226"/>
    </row>
    <row r="6440" spans="16:21" x14ac:dyDescent="0.35">
      <c r="P6440" s="226"/>
      <c r="Q6440" s="226"/>
      <c r="R6440" s="226"/>
      <c r="S6440" s="226"/>
      <c r="T6440" s="226"/>
      <c r="U6440" s="226"/>
    </row>
    <row r="6441" spans="16:21" x14ac:dyDescent="0.35">
      <c r="P6441" s="226"/>
      <c r="Q6441" s="226"/>
      <c r="R6441" s="226"/>
      <c r="S6441" s="226"/>
      <c r="T6441" s="226"/>
      <c r="U6441" s="226"/>
    </row>
    <row r="6442" spans="16:21" x14ac:dyDescent="0.35">
      <c r="P6442" s="226"/>
      <c r="Q6442" s="226"/>
      <c r="R6442" s="226"/>
      <c r="S6442" s="226"/>
      <c r="T6442" s="226"/>
      <c r="U6442" s="226"/>
    </row>
    <row r="6443" spans="16:21" x14ac:dyDescent="0.35">
      <c r="P6443" s="226"/>
      <c r="Q6443" s="226"/>
      <c r="R6443" s="226"/>
      <c r="S6443" s="226"/>
      <c r="T6443" s="226"/>
      <c r="U6443" s="226"/>
    </row>
    <row r="6444" spans="16:21" x14ac:dyDescent="0.35">
      <c r="P6444" s="226"/>
      <c r="Q6444" s="226"/>
      <c r="R6444" s="226"/>
      <c r="S6444" s="226"/>
      <c r="T6444" s="226"/>
      <c r="U6444" s="226"/>
    </row>
    <row r="6445" spans="16:21" x14ac:dyDescent="0.35">
      <c r="P6445" s="226"/>
      <c r="Q6445" s="226"/>
      <c r="R6445" s="226"/>
      <c r="S6445" s="226"/>
      <c r="T6445" s="226"/>
      <c r="U6445" s="226"/>
    </row>
    <row r="6446" spans="16:21" x14ac:dyDescent="0.35">
      <c r="P6446" s="226"/>
      <c r="Q6446" s="226"/>
      <c r="R6446" s="226"/>
      <c r="S6446" s="226"/>
      <c r="T6446" s="226"/>
      <c r="U6446" s="226"/>
    </row>
    <row r="6447" spans="16:21" x14ac:dyDescent="0.35">
      <c r="P6447" s="226"/>
      <c r="Q6447" s="226"/>
      <c r="R6447" s="226"/>
      <c r="S6447" s="226"/>
      <c r="T6447" s="226"/>
      <c r="U6447" s="226"/>
    </row>
    <row r="6448" spans="16:21" x14ac:dyDescent="0.35">
      <c r="P6448" s="226"/>
      <c r="Q6448" s="226"/>
      <c r="R6448" s="226"/>
      <c r="S6448" s="226"/>
      <c r="T6448" s="226"/>
      <c r="U6448" s="226"/>
    </row>
    <row r="6449" spans="16:21" x14ac:dyDescent="0.35">
      <c r="P6449" s="226"/>
      <c r="Q6449" s="226"/>
      <c r="R6449" s="226"/>
      <c r="S6449" s="226"/>
      <c r="T6449" s="226"/>
      <c r="U6449" s="226"/>
    </row>
    <row r="6450" spans="16:21" x14ac:dyDescent="0.35">
      <c r="P6450" s="226"/>
      <c r="Q6450" s="226"/>
      <c r="R6450" s="226"/>
      <c r="S6450" s="226"/>
      <c r="T6450" s="226"/>
      <c r="U6450" s="226"/>
    </row>
    <row r="6451" spans="16:21" x14ac:dyDescent="0.35">
      <c r="P6451" s="226"/>
      <c r="Q6451" s="226"/>
      <c r="R6451" s="226"/>
      <c r="S6451" s="226"/>
      <c r="T6451" s="226"/>
      <c r="U6451" s="226"/>
    </row>
    <row r="6452" spans="16:21" x14ac:dyDescent="0.35">
      <c r="P6452" s="226"/>
      <c r="Q6452" s="226"/>
      <c r="R6452" s="226"/>
      <c r="S6452" s="226"/>
      <c r="T6452" s="226"/>
      <c r="U6452" s="226"/>
    </row>
    <row r="6453" spans="16:21" x14ac:dyDescent="0.35">
      <c r="P6453" s="226"/>
      <c r="Q6453" s="226"/>
      <c r="R6453" s="226"/>
      <c r="S6453" s="226"/>
      <c r="T6453" s="226"/>
      <c r="U6453" s="226"/>
    </row>
    <row r="6454" spans="16:21" x14ac:dyDescent="0.35">
      <c r="P6454" s="226"/>
      <c r="Q6454" s="226"/>
      <c r="R6454" s="226"/>
      <c r="S6454" s="226"/>
      <c r="T6454" s="226"/>
      <c r="U6454" s="226"/>
    </row>
    <row r="6455" spans="16:21" x14ac:dyDescent="0.35">
      <c r="P6455" s="226"/>
      <c r="Q6455" s="226"/>
      <c r="R6455" s="226"/>
      <c r="S6455" s="226"/>
      <c r="T6455" s="226"/>
      <c r="U6455" s="226"/>
    </row>
    <row r="6456" spans="16:21" x14ac:dyDescent="0.35">
      <c r="P6456" s="226"/>
      <c r="Q6456" s="226"/>
      <c r="R6456" s="226"/>
      <c r="S6456" s="226"/>
      <c r="T6456" s="226"/>
      <c r="U6456" s="226"/>
    </row>
    <row r="6457" spans="16:21" x14ac:dyDescent="0.35">
      <c r="P6457" s="226"/>
      <c r="Q6457" s="226"/>
      <c r="R6457" s="226"/>
      <c r="S6457" s="226"/>
      <c r="T6457" s="226"/>
      <c r="U6457" s="226"/>
    </row>
    <row r="6458" spans="16:21" x14ac:dyDescent="0.35">
      <c r="P6458" s="226"/>
      <c r="Q6458" s="226"/>
      <c r="R6458" s="226"/>
      <c r="S6458" s="226"/>
      <c r="T6458" s="226"/>
      <c r="U6458" s="226"/>
    </row>
    <row r="6459" spans="16:21" x14ac:dyDescent="0.35">
      <c r="P6459" s="226"/>
      <c r="Q6459" s="226"/>
      <c r="R6459" s="226"/>
      <c r="S6459" s="226"/>
      <c r="T6459" s="226"/>
      <c r="U6459" s="226"/>
    </row>
    <row r="6460" spans="16:21" x14ac:dyDescent="0.35">
      <c r="P6460" s="226"/>
      <c r="Q6460" s="226"/>
      <c r="R6460" s="226"/>
      <c r="S6460" s="226"/>
      <c r="T6460" s="226"/>
      <c r="U6460" s="226"/>
    </row>
    <row r="6461" spans="16:21" x14ac:dyDescent="0.35">
      <c r="P6461" s="226"/>
      <c r="Q6461" s="226"/>
      <c r="R6461" s="226"/>
      <c r="S6461" s="226"/>
      <c r="T6461" s="226"/>
      <c r="U6461" s="226"/>
    </row>
    <row r="6462" spans="16:21" x14ac:dyDescent="0.35">
      <c r="P6462" s="226"/>
      <c r="Q6462" s="226"/>
      <c r="R6462" s="226"/>
      <c r="S6462" s="226"/>
      <c r="T6462" s="226"/>
      <c r="U6462" s="226"/>
    </row>
    <row r="6463" spans="16:21" x14ac:dyDescent="0.35">
      <c r="P6463" s="226"/>
      <c r="Q6463" s="226"/>
      <c r="R6463" s="226"/>
      <c r="S6463" s="226"/>
      <c r="T6463" s="226"/>
      <c r="U6463" s="226"/>
    </row>
    <row r="6464" spans="16:21" x14ac:dyDescent="0.35">
      <c r="P6464" s="226"/>
      <c r="Q6464" s="226"/>
      <c r="R6464" s="226"/>
      <c r="S6464" s="226"/>
      <c r="T6464" s="226"/>
      <c r="U6464" s="226"/>
    </row>
    <row r="6465" spans="16:21" x14ac:dyDescent="0.35">
      <c r="P6465" s="226"/>
      <c r="Q6465" s="226"/>
      <c r="R6465" s="226"/>
      <c r="S6465" s="226"/>
      <c r="T6465" s="226"/>
      <c r="U6465" s="226"/>
    </row>
    <row r="6466" spans="16:21" x14ac:dyDescent="0.35">
      <c r="P6466" s="226"/>
      <c r="Q6466" s="226"/>
      <c r="R6466" s="226"/>
      <c r="S6466" s="226"/>
      <c r="T6466" s="226"/>
      <c r="U6466" s="226"/>
    </row>
    <row r="6467" spans="16:21" x14ac:dyDescent="0.35">
      <c r="P6467" s="226"/>
      <c r="Q6467" s="226"/>
      <c r="R6467" s="226"/>
      <c r="S6467" s="226"/>
      <c r="T6467" s="226"/>
      <c r="U6467" s="226"/>
    </row>
    <row r="6468" spans="16:21" x14ac:dyDescent="0.35">
      <c r="P6468" s="226"/>
      <c r="Q6468" s="226"/>
      <c r="R6468" s="226"/>
      <c r="S6468" s="226"/>
      <c r="T6468" s="226"/>
      <c r="U6468" s="226"/>
    </row>
    <row r="6469" spans="16:21" x14ac:dyDescent="0.35">
      <c r="P6469" s="226"/>
      <c r="Q6469" s="226"/>
      <c r="R6469" s="226"/>
      <c r="S6469" s="226"/>
      <c r="T6469" s="226"/>
      <c r="U6469" s="226"/>
    </row>
    <row r="6470" spans="16:21" x14ac:dyDescent="0.35">
      <c r="P6470" s="226"/>
      <c r="Q6470" s="226"/>
      <c r="R6470" s="226"/>
      <c r="S6470" s="226"/>
      <c r="T6470" s="226"/>
      <c r="U6470" s="226"/>
    </row>
    <row r="6471" spans="16:21" x14ac:dyDescent="0.35">
      <c r="P6471" s="226"/>
      <c r="Q6471" s="226"/>
      <c r="R6471" s="226"/>
      <c r="S6471" s="226"/>
      <c r="T6471" s="226"/>
      <c r="U6471" s="226"/>
    </row>
    <row r="6472" spans="16:21" x14ac:dyDescent="0.35">
      <c r="P6472" s="226"/>
      <c r="Q6472" s="226"/>
      <c r="R6472" s="226"/>
      <c r="S6472" s="226"/>
      <c r="T6472" s="226"/>
      <c r="U6472" s="226"/>
    </row>
    <row r="6473" spans="16:21" x14ac:dyDescent="0.35">
      <c r="P6473" s="226"/>
      <c r="Q6473" s="226"/>
      <c r="R6473" s="226"/>
      <c r="S6473" s="226"/>
      <c r="T6473" s="226"/>
      <c r="U6473" s="226"/>
    </row>
    <row r="6474" spans="16:21" x14ac:dyDescent="0.35">
      <c r="P6474" s="226"/>
      <c r="Q6474" s="226"/>
      <c r="R6474" s="226"/>
      <c r="S6474" s="226"/>
      <c r="T6474" s="226"/>
      <c r="U6474" s="226"/>
    </row>
    <row r="6475" spans="16:21" x14ac:dyDescent="0.35">
      <c r="P6475" s="226"/>
      <c r="Q6475" s="226"/>
      <c r="R6475" s="226"/>
      <c r="S6475" s="226"/>
      <c r="T6475" s="226"/>
      <c r="U6475" s="226"/>
    </row>
    <row r="6476" spans="16:21" x14ac:dyDescent="0.35">
      <c r="P6476" s="226"/>
      <c r="Q6476" s="226"/>
      <c r="R6476" s="226"/>
      <c r="S6476" s="226"/>
      <c r="T6476" s="226"/>
      <c r="U6476" s="226"/>
    </row>
    <row r="6477" spans="16:21" x14ac:dyDescent="0.35">
      <c r="P6477" s="226"/>
      <c r="Q6477" s="226"/>
      <c r="R6477" s="226"/>
      <c r="S6477" s="226"/>
      <c r="T6477" s="226"/>
      <c r="U6477" s="226"/>
    </row>
    <row r="6478" spans="16:21" x14ac:dyDescent="0.35">
      <c r="P6478" s="226"/>
      <c r="Q6478" s="226"/>
      <c r="R6478" s="226"/>
      <c r="S6478" s="226"/>
      <c r="T6478" s="226"/>
      <c r="U6478" s="226"/>
    </row>
    <row r="6479" spans="16:21" x14ac:dyDescent="0.35">
      <c r="P6479" s="226"/>
      <c r="Q6479" s="226"/>
      <c r="R6479" s="226"/>
      <c r="S6479" s="226"/>
      <c r="T6479" s="226"/>
      <c r="U6479" s="226"/>
    </row>
    <row r="6480" spans="16:21" x14ac:dyDescent="0.35">
      <c r="P6480" s="226"/>
      <c r="Q6480" s="226"/>
      <c r="R6480" s="226"/>
      <c r="S6480" s="226"/>
      <c r="T6480" s="226"/>
      <c r="U6480" s="226"/>
    </row>
    <row r="6481" spans="16:21" x14ac:dyDescent="0.35">
      <c r="P6481" s="226"/>
      <c r="Q6481" s="226"/>
      <c r="R6481" s="226"/>
      <c r="S6481" s="226"/>
      <c r="T6481" s="226"/>
      <c r="U6481" s="226"/>
    </row>
    <row r="6482" spans="16:21" x14ac:dyDescent="0.35">
      <c r="P6482" s="226"/>
      <c r="Q6482" s="226"/>
      <c r="R6482" s="226"/>
      <c r="S6482" s="226"/>
      <c r="T6482" s="226"/>
      <c r="U6482" s="226"/>
    </row>
    <row r="6483" spans="16:21" x14ac:dyDescent="0.35">
      <c r="P6483" s="226"/>
      <c r="Q6483" s="226"/>
      <c r="R6483" s="226"/>
      <c r="S6483" s="226"/>
      <c r="T6483" s="226"/>
      <c r="U6483" s="226"/>
    </row>
    <row r="6484" spans="16:21" x14ac:dyDescent="0.35">
      <c r="P6484" s="226"/>
      <c r="Q6484" s="226"/>
      <c r="R6484" s="226"/>
      <c r="S6484" s="226"/>
      <c r="T6484" s="226"/>
      <c r="U6484" s="226"/>
    </row>
    <row r="6485" spans="16:21" x14ac:dyDescent="0.35">
      <c r="P6485" s="226"/>
      <c r="Q6485" s="226"/>
      <c r="R6485" s="226"/>
      <c r="S6485" s="226"/>
      <c r="T6485" s="226"/>
      <c r="U6485" s="226"/>
    </row>
    <row r="6486" spans="16:21" x14ac:dyDescent="0.35">
      <c r="P6486" s="226"/>
      <c r="Q6486" s="226"/>
      <c r="R6486" s="226"/>
      <c r="S6486" s="226"/>
      <c r="T6486" s="226"/>
      <c r="U6486" s="226"/>
    </row>
    <row r="6487" spans="16:21" x14ac:dyDescent="0.35">
      <c r="P6487" s="226"/>
      <c r="Q6487" s="226"/>
      <c r="R6487" s="226"/>
      <c r="S6487" s="226"/>
      <c r="T6487" s="226"/>
      <c r="U6487" s="226"/>
    </row>
    <row r="6488" spans="16:21" x14ac:dyDescent="0.35">
      <c r="P6488" s="226"/>
      <c r="Q6488" s="226"/>
      <c r="R6488" s="226"/>
      <c r="S6488" s="226"/>
      <c r="T6488" s="226"/>
      <c r="U6488" s="226"/>
    </row>
    <row r="6489" spans="16:21" x14ac:dyDescent="0.35">
      <c r="P6489" s="226"/>
      <c r="Q6489" s="226"/>
      <c r="R6489" s="226"/>
      <c r="S6489" s="226"/>
      <c r="T6489" s="226"/>
      <c r="U6489" s="226"/>
    </row>
    <row r="6490" spans="16:21" x14ac:dyDescent="0.35">
      <c r="P6490" s="226"/>
      <c r="Q6490" s="226"/>
      <c r="R6490" s="226"/>
      <c r="S6490" s="226"/>
      <c r="T6490" s="226"/>
      <c r="U6490" s="226"/>
    </row>
    <row r="6491" spans="16:21" x14ac:dyDescent="0.35">
      <c r="P6491" s="226"/>
      <c r="Q6491" s="226"/>
      <c r="R6491" s="226"/>
      <c r="S6491" s="226"/>
      <c r="T6491" s="226"/>
      <c r="U6491" s="226"/>
    </row>
    <row r="6492" spans="16:21" x14ac:dyDescent="0.35">
      <c r="P6492" s="226"/>
      <c r="Q6492" s="226"/>
      <c r="R6492" s="226"/>
      <c r="S6492" s="226"/>
      <c r="T6492" s="226"/>
      <c r="U6492" s="226"/>
    </row>
    <row r="6493" spans="16:21" x14ac:dyDescent="0.35">
      <c r="P6493" s="226"/>
      <c r="Q6493" s="226"/>
      <c r="R6493" s="226"/>
      <c r="S6493" s="226"/>
      <c r="T6493" s="226"/>
      <c r="U6493" s="226"/>
    </row>
    <row r="6494" spans="16:21" x14ac:dyDescent="0.35">
      <c r="P6494" s="226"/>
      <c r="Q6494" s="226"/>
      <c r="R6494" s="226"/>
      <c r="S6494" s="226"/>
      <c r="T6494" s="226"/>
      <c r="U6494" s="226"/>
    </row>
    <row r="6495" spans="16:21" x14ac:dyDescent="0.35">
      <c r="P6495" s="226"/>
      <c r="Q6495" s="226"/>
      <c r="R6495" s="226"/>
      <c r="S6495" s="226"/>
      <c r="T6495" s="226"/>
      <c r="U6495" s="226"/>
    </row>
    <row r="6496" spans="16:21" x14ac:dyDescent="0.35">
      <c r="P6496" s="226"/>
      <c r="Q6496" s="226"/>
      <c r="R6496" s="226"/>
      <c r="S6496" s="226"/>
      <c r="T6496" s="226"/>
      <c r="U6496" s="226"/>
    </row>
    <row r="6497" spans="16:21" x14ac:dyDescent="0.35">
      <c r="P6497" s="226"/>
      <c r="Q6497" s="226"/>
      <c r="R6497" s="226"/>
      <c r="S6497" s="226"/>
      <c r="T6497" s="226"/>
      <c r="U6497" s="226"/>
    </row>
    <row r="6498" spans="16:21" x14ac:dyDescent="0.35">
      <c r="P6498" s="226"/>
      <c r="Q6498" s="226"/>
      <c r="R6498" s="226"/>
      <c r="S6498" s="226"/>
      <c r="T6498" s="226"/>
      <c r="U6498" s="226"/>
    </row>
    <row r="6499" spans="16:21" x14ac:dyDescent="0.35">
      <c r="P6499" s="226"/>
      <c r="Q6499" s="226"/>
      <c r="R6499" s="226"/>
      <c r="S6499" s="226"/>
      <c r="T6499" s="226"/>
      <c r="U6499" s="226"/>
    </row>
    <row r="6500" spans="16:21" x14ac:dyDescent="0.35">
      <c r="P6500" s="226"/>
      <c r="Q6500" s="226"/>
      <c r="R6500" s="226"/>
      <c r="S6500" s="226"/>
      <c r="T6500" s="226"/>
      <c r="U6500" s="226"/>
    </row>
    <row r="6501" spans="16:21" x14ac:dyDescent="0.35">
      <c r="P6501" s="226"/>
      <c r="Q6501" s="226"/>
      <c r="R6501" s="226"/>
      <c r="S6501" s="226"/>
      <c r="T6501" s="226"/>
      <c r="U6501" s="226"/>
    </row>
    <row r="6502" spans="16:21" x14ac:dyDescent="0.35">
      <c r="P6502" s="226"/>
      <c r="Q6502" s="226"/>
      <c r="R6502" s="226"/>
      <c r="S6502" s="226"/>
      <c r="T6502" s="226"/>
      <c r="U6502" s="226"/>
    </row>
    <row r="6503" spans="16:21" x14ac:dyDescent="0.35">
      <c r="P6503" s="226"/>
      <c r="Q6503" s="226"/>
      <c r="R6503" s="226"/>
      <c r="S6503" s="226"/>
      <c r="T6503" s="226"/>
      <c r="U6503" s="226"/>
    </row>
    <row r="6504" spans="16:21" x14ac:dyDescent="0.35">
      <c r="P6504" s="226"/>
      <c r="Q6504" s="226"/>
      <c r="R6504" s="226"/>
      <c r="S6504" s="226"/>
      <c r="T6504" s="226"/>
      <c r="U6504" s="226"/>
    </row>
    <row r="6505" spans="16:21" x14ac:dyDescent="0.35">
      <c r="P6505" s="226"/>
      <c r="Q6505" s="226"/>
      <c r="R6505" s="226"/>
      <c r="S6505" s="226"/>
      <c r="T6505" s="226"/>
      <c r="U6505" s="226"/>
    </row>
    <row r="6506" spans="16:21" x14ac:dyDescent="0.35">
      <c r="P6506" s="226"/>
      <c r="Q6506" s="226"/>
      <c r="R6506" s="226"/>
      <c r="S6506" s="226"/>
      <c r="T6506" s="226"/>
      <c r="U6506" s="226"/>
    </row>
    <row r="6507" spans="16:21" x14ac:dyDescent="0.35">
      <c r="P6507" s="226"/>
      <c r="Q6507" s="226"/>
      <c r="R6507" s="226"/>
      <c r="S6507" s="226"/>
      <c r="T6507" s="226"/>
      <c r="U6507" s="226"/>
    </row>
    <row r="6508" spans="16:21" x14ac:dyDescent="0.35">
      <c r="P6508" s="226"/>
      <c r="Q6508" s="226"/>
      <c r="R6508" s="226"/>
      <c r="S6508" s="226"/>
      <c r="T6508" s="226"/>
      <c r="U6508" s="226"/>
    </row>
    <row r="6509" spans="16:21" x14ac:dyDescent="0.35">
      <c r="P6509" s="226"/>
      <c r="Q6509" s="226"/>
      <c r="R6509" s="226"/>
      <c r="S6509" s="226"/>
      <c r="T6509" s="226"/>
      <c r="U6509" s="226"/>
    </row>
    <row r="6510" spans="16:21" x14ac:dyDescent="0.35">
      <c r="P6510" s="226"/>
      <c r="Q6510" s="226"/>
      <c r="R6510" s="226"/>
      <c r="S6510" s="226"/>
      <c r="T6510" s="226"/>
      <c r="U6510" s="226"/>
    </row>
    <row r="6511" spans="16:21" x14ac:dyDescent="0.35">
      <c r="P6511" s="226"/>
      <c r="Q6511" s="226"/>
      <c r="R6511" s="226"/>
      <c r="S6511" s="226"/>
      <c r="T6511" s="226"/>
      <c r="U6511" s="226"/>
    </row>
    <row r="6512" spans="16:21" x14ac:dyDescent="0.35">
      <c r="P6512" s="226"/>
      <c r="Q6512" s="226"/>
      <c r="R6512" s="226"/>
      <c r="S6512" s="226"/>
      <c r="T6512" s="226"/>
      <c r="U6512" s="226"/>
    </row>
    <row r="6513" spans="16:21" x14ac:dyDescent="0.35">
      <c r="P6513" s="226"/>
      <c r="Q6513" s="226"/>
      <c r="R6513" s="226"/>
      <c r="S6513" s="226"/>
      <c r="T6513" s="226"/>
      <c r="U6513" s="226"/>
    </row>
    <row r="6514" spans="16:21" x14ac:dyDescent="0.35">
      <c r="P6514" s="226"/>
      <c r="Q6514" s="226"/>
      <c r="R6514" s="226"/>
      <c r="S6514" s="226"/>
      <c r="T6514" s="226"/>
      <c r="U6514" s="226"/>
    </row>
    <row r="6515" spans="16:21" x14ac:dyDescent="0.35">
      <c r="P6515" s="226"/>
      <c r="Q6515" s="226"/>
      <c r="R6515" s="226"/>
      <c r="S6515" s="226"/>
      <c r="T6515" s="226"/>
      <c r="U6515" s="226"/>
    </row>
    <row r="6516" spans="16:21" x14ac:dyDescent="0.35">
      <c r="P6516" s="226"/>
      <c r="Q6516" s="226"/>
      <c r="R6516" s="226"/>
      <c r="S6516" s="226"/>
      <c r="T6516" s="226"/>
      <c r="U6516" s="226"/>
    </row>
    <row r="6517" spans="16:21" x14ac:dyDescent="0.35">
      <c r="P6517" s="226"/>
      <c r="Q6517" s="226"/>
      <c r="R6517" s="226"/>
      <c r="S6517" s="226"/>
      <c r="T6517" s="226"/>
      <c r="U6517" s="226"/>
    </row>
    <row r="6518" spans="16:21" x14ac:dyDescent="0.35">
      <c r="P6518" s="226"/>
      <c r="Q6518" s="226"/>
      <c r="R6518" s="226"/>
      <c r="S6518" s="226"/>
      <c r="T6518" s="226"/>
      <c r="U6518" s="226"/>
    </row>
    <row r="6519" spans="16:21" x14ac:dyDescent="0.35">
      <c r="P6519" s="226"/>
      <c r="Q6519" s="226"/>
      <c r="R6519" s="226"/>
      <c r="S6519" s="226"/>
      <c r="T6519" s="226"/>
      <c r="U6519" s="226"/>
    </row>
    <row r="6520" spans="16:21" x14ac:dyDescent="0.35">
      <c r="P6520" s="226"/>
      <c r="Q6520" s="226"/>
      <c r="R6520" s="226"/>
      <c r="S6520" s="226"/>
      <c r="T6520" s="226"/>
      <c r="U6520" s="226"/>
    </row>
    <row r="6521" spans="16:21" x14ac:dyDescent="0.35">
      <c r="P6521" s="226"/>
      <c r="Q6521" s="226"/>
      <c r="R6521" s="226"/>
      <c r="S6521" s="226"/>
      <c r="T6521" s="226"/>
      <c r="U6521" s="226"/>
    </row>
    <row r="6522" spans="16:21" x14ac:dyDescent="0.35">
      <c r="P6522" s="226"/>
      <c r="Q6522" s="226"/>
      <c r="R6522" s="226"/>
      <c r="S6522" s="226"/>
      <c r="T6522" s="226"/>
      <c r="U6522" s="226"/>
    </row>
    <row r="6523" spans="16:21" x14ac:dyDescent="0.35">
      <c r="P6523" s="226"/>
      <c r="Q6523" s="226"/>
      <c r="R6523" s="226"/>
      <c r="S6523" s="226"/>
      <c r="T6523" s="226"/>
      <c r="U6523" s="226"/>
    </row>
    <row r="6524" spans="16:21" x14ac:dyDescent="0.35">
      <c r="P6524" s="226"/>
      <c r="Q6524" s="226"/>
      <c r="R6524" s="226"/>
      <c r="S6524" s="226"/>
      <c r="T6524" s="226"/>
      <c r="U6524" s="226"/>
    </row>
    <row r="6525" spans="16:21" x14ac:dyDescent="0.35">
      <c r="P6525" s="226"/>
      <c r="Q6525" s="226"/>
      <c r="R6525" s="226"/>
      <c r="S6525" s="226"/>
      <c r="T6525" s="226"/>
      <c r="U6525" s="226"/>
    </row>
    <row r="6526" spans="16:21" x14ac:dyDescent="0.35">
      <c r="P6526" s="226"/>
      <c r="Q6526" s="226"/>
      <c r="R6526" s="226"/>
      <c r="S6526" s="226"/>
      <c r="T6526" s="226"/>
      <c r="U6526" s="226"/>
    </row>
    <row r="6527" spans="16:21" x14ac:dyDescent="0.35">
      <c r="P6527" s="226"/>
      <c r="Q6527" s="226"/>
      <c r="R6527" s="226"/>
      <c r="S6527" s="226"/>
      <c r="T6527" s="226"/>
      <c r="U6527" s="226"/>
    </row>
    <row r="6528" spans="16:21" x14ac:dyDescent="0.35">
      <c r="P6528" s="226"/>
      <c r="Q6528" s="226"/>
      <c r="R6528" s="226"/>
      <c r="S6528" s="226"/>
      <c r="T6528" s="226"/>
      <c r="U6528" s="226"/>
    </row>
    <row r="6529" spans="16:21" x14ac:dyDescent="0.35">
      <c r="P6529" s="226"/>
      <c r="Q6529" s="226"/>
      <c r="R6529" s="226"/>
      <c r="S6529" s="226"/>
      <c r="T6529" s="226"/>
      <c r="U6529" s="226"/>
    </row>
    <row r="6530" spans="16:21" x14ac:dyDescent="0.35">
      <c r="P6530" s="226"/>
      <c r="Q6530" s="226"/>
      <c r="R6530" s="226"/>
      <c r="S6530" s="226"/>
      <c r="T6530" s="226"/>
      <c r="U6530" s="226"/>
    </row>
    <row r="6531" spans="16:21" x14ac:dyDescent="0.35">
      <c r="P6531" s="226"/>
      <c r="Q6531" s="226"/>
      <c r="R6531" s="226"/>
      <c r="S6531" s="226"/>
      <c r="T6531" s="226"/>
      <c r="U6531" s="226"/>
    </row>
    <row r="6532" spans="16:21" x14ac:dyDescent="0.35">
      <c r="P6532" s="226"/>
      <c r="Q6532" s="226"/>
      <c r="R6532" s="226"/>
      <c r="S6532" s="226"/>
      <c r="T6532" s="226"/>
      <c r="U6532" s="226"/>
    </row>
    <row r="6533" spans="16:21" x14ac:dyDescent="0.35">
      <c r="P6533" s="226"/>
      <c r="Q6533" s="226"/>
      <c r="R6533" s="226"/>
      <c r="S6533" s="226"/>
      <c r="T6533" s="226"/>
      <c r="U6533" s="226"/>
    </row>
    <row r="6534" spans="16:21" x14ac:dyDescent="0.35">
      <c r="P6534" s="226"/>
      <c r="Q6534" s="226"/>
      <c r="R6534" s="226"/>
      <c r="S6534" s="226"/>
      <c r="T6534" s="226"/>
      <c r="U6534" s="226"/>
    </row>
    <row r="6535" spans="16:21" x14ac:dyDescent="0.35">
      <c r="P6535" s="226"/>
      <c r="Q6535" s="226"/>
      <c r="R6535" s="226"/>
      <c r="S6535" s="226"/>
      <c r="T6535" s="226"/>
      <c r="U6535" s="226"/>
    </row>
    <row r="6536" spans="16:21" x14ac:dyDescent="0.35">
      <c r="P6536" s="226"/>
      <c r="Q6536" s="226"/>
      <c r="R6536" s="226"/>
      <c r="S6536" s="226"/>
      <c r="T6536" s="226"/>
      <c r="U6536" s="226"/>
    </row>
    <row r="6537" spans="16:21" x14ac:dyDescent="0.35">
      <c r="P6537" s="226"/>
      <c r="Q6537" s="226"/>
      <c r="R6537" s="226"/>
      <c r="S6537" s="226"/>
      <c r="T6537" s="226"/>
      <c r="U6537" s="226"/>
    </row>
    <row r="6538" spans="16:21" x14ac:dyDescent="0.35">
      <c r="P6538" s="226"/>
      <c r="Q6538" s="226"/>
      <c r="R6538" s="226"/>
      <c r="S6538" s="226"/>
      <c r="T6538" s="226"/>
      <c r="U6538" s="226"/>
    </row>
    <row r="6539" spans="16:21" x14ac:dyDescent="0.35">
      <c r="P6539" s="226"/>
      <c r="Q6539" s="226"/>
      <c r="R6539" s="226"/>
      <c r="S6539" s="226"/>
      <c r="T6539" s="226"/>
      <c r="U6539" s="226"/>
    </row>
    <row r="6540" spans="16:21" x14ac:dyDescent="0.35">
      <c r="P6540" s="226"/>
      <c r="Q6540" s="226"/>
      <c r="R6540" s="226"/>
      <c r="S6540" s="226"/>
      <c r="T6540" s="226"/>
      <c r="U6540" s="226"/>
    </row>
    <row r="6541" spans="16:21" x14ac:dyDescent="0.35">
      <c r="P6541" s="226"/>
      <c r="Q6541" s="226"/>
      <c r="R6541" s="226"/>
      <c r="S6541" s="226"/>
      <c r="T6541" s="226"/>
      <c r="U6541" s="226"/>
    </row>
    <row r="6542" spans="16:21" x14ac:dyDescent="0.35">
      <c r="P6542" s="226"/>
      <c r="Q6542" s="226"/>
      <c r="R6542" s="226"/>
      <c r="S6542" s="226"/>
      <c r="T6542" s="226"/>
      <c r="U6542" s="226"/>
    </row>
    <row r="6543" spans="16:21" x14ac:dyDescent="0.35">
      <c r="P6543" s="226"/>
      <c r="Q6543" s="226"/>
      <c r="R6543" s="226"/>
      <c r="S6543" s="226"/>
      <c r="T6543" s="226"/>
      <c r="U6543" s="226"/>
    </row>
    <row r="6544" spans="16:21" x14ac:dyDescent="0.35">
      <c r="P6544" s="226"/>
      <c r="Q6544" s="226"/>
      <c r="R6544" s="226"/>
      <c r="S6544" s="226"/>
      <c r="T6544" s="226"/>
      <c r="U6544" s="226"/>
    </row>
    <row r="6545" spans="16:21" x14ac:dyDescent="0.35">
      <c r="P6545" s="226"/>
      <c r="Q6545" s="226"/>
      <c r="R6545" s="226"/>
      <c r="S6545" s="226"/>
      <c r="T6545" s="226"/>
      <c r="U6545" s="226"/>
    </row>
    <row r="6546" spans="16:21" x14ac:dyDescent="0.35">
      <c r="P6546" s="226"/>
      <c r="Q6546" s="226"/>
      <c r="R6546" s="226"/>
      <c r="S6546" s="226"/>
      <c r="T6546" s="226"/>
      <c r="U6546" s="226"/>
    </row>
    <row r="6547" spans="16:21" x14ac:dyDescent="0.35">
      <c r="P6547" s="226"/>
      <c r="Q6547" s="226"/>
      <c r="R6547" s="226"/>
      <c r="S6547" s="226"/>
      <c r="T6547" s="226"/>
      <c r="U6547" s="226"/>
    </row>
    <row r="6548" spans="16:21" x14ac:dyDescent="0.35">
      <c r="P6548" s="226"/>
      <c r="Q6548" s="226"/>
      <c r="R6548" s="226"/>
      <c r="S6548" s="226"/>
      <c r="T6548" s="226"/>
      <c r="U6548" s="226"/>
    </row>
    <row r="6549" spans="16:21" x14ac:dyDescent="0.35">
      <c r="P6549" s="226"/>
      <c r="Q6549" s="226"/>
      <c r="R6549" s="226"/>
      <c r="S6549" s="226"/>
      <c r="T6549" s="226"/>
      <c r="U6549" s="226"/>
    </row>
    <row r="6550" spans="16:21" x14ac:dyDescent="0.35">
      <c r="P6550" s="226"/>
      <c r="Q6550" s="226"/>
      <c r="R6550" s="226"/>
      <c r="S6550" s="226"/>
      <c r="T6550" s="226"/>
      <c r="U6550" s="226"/>
    </row>
    <row r="6551" spans="16:21" x14ac:dyDescent="0.35">
      <c r="P6551" s="226"/>
      <c r="Q6551" s="226"/>
      <c r="R6551" s="226"/>
      <c r="S6551" s="226"/>
      <c r="T6551" s="226"/>
      <c r="U6551" s="226"/>
    </row>
    <row r="6552" spans="16:21" x14ac:dyDescent="0.35">
      <c r="P6552" s="226"/>
      <c r="Q6552" s="226"/>
      <c r="R6552" s="226"/>
      <c r="S6552" s="226"/>
      <c r="T6552" s="226"/>
      <c r="U6552" s="226"/>
    </row>
    <row r="6553" spans="16:21" x14ac:dyDescent="0.35">
      <c r="P6553" s="226"/>
      <c r="Q6553" s="226"/>
      <c r="R6553" s="226"/>
      <c r="S6553" s="226"/>
      <c r="T6553" s="226"/>
      <c r="U6553" s="226"/>
    </row>
    <row r="6554" spans="16:21" x14ac:dyDescent="0.35">
      <c r="P6554" s="226"/>
      <c r="Q6554" s="226"/>
      <c r="R6554" s="226"/>
      <c r="S6554" s="226"/>
      <c r="T6554" s="226"/>
      <c r="U6554" s="226"/>
    </row>
    <row r="6555" spans="16:21" x14ac:dyDescent="0.35">
      <c r="P6555" s="226"/>
      <c r="Q6555" s="226"/>
      <c r="R6555" s="226"/>
      <c r="S6555" s="226"/>
      <c r="T6555" s="226"/>
      <c r="U6555" s="226"/>
    </row>
    <row r="6556" spans="16:21" x14ac:dyDescent="0.35">
      <c r="P6556" s="226"/>
      <c r="Q6556" s="226"/>
      <c r="R6556" s="226"/>
      <c r="S6556" s="226"/>
      <c r="T6556" s="226"/>
      <c r="U6556" s="226"/>
    </row>
    <row r="6557" spans="16:21" x14ac:dyDescent="0.35">
      <c r="P6557" s="226"/>
      <c r="Q6557" s="226"/>
      <c r="R6557" s="226"/>
      <c r="S6557" s="226"/>
      <c r="T6557" s="226"/>
      <c r="U6557" s="226"/>
    </row>
    <row r="6558" spans="16:21" x14ac:dyDescent="0.35">
      <c r="P6558" s="226"/>
      <c r="Q6558" s="226"/>
      <c r="R6558" s="226"/>
      <c r="S6558" s="226"/>
      <c r="T6558" s="226"/>
      <c r="U6558" s="226"/>
    </row>
    <row r="6559" spans="16:21" x14ac:dyDescent="0.35">
      <c r="P6559" s="226"/>
      <c r="Q6559" s="226"/>
      <c r="R6559" s="226"/>
      <c r="S6559" s="226"/>
      <c r="T6559" s="226"/>
      <c r="U6559" s="226"/>
    </row>
    <row r="6560" spans="16:21" x14ac:dyDescent="0.35">
      <c r="P6560" s="226"/>
      <c r="Q6560" s="226"/>
      <c r="R6560" s="226"/>
      <c r="S6560" s="226"/>
      <c r="T6560" s="226"/>
      <c r="U6560" s="226"/>
    </row>
    <row r="6561" spans="16:21" x14ac:dyDescent="0.35">
      <c r="P6561" s="226"/>
      <c r="Q6561" s="226"/>
      <c r="R6561" s="226"/>
      <c r="S6561" s="226"/>
      <c r="T6561" s="226"/>
      <c r="U6561" s="226"/>
    </row>
    <row r="6562" spans="16:21" x14ac:dyDescent="0.35">
      <c r="P6562" s="226"/>
      <c r="Q6562" s="226"/>
      <c r="R6562" s="226"/>
      <c r="S6562" s="226"/>
      <c r="T6562" s="226"/>
      <c r="U6562" s="226"/>
    </row>
    <row r="6563" spans="16:21" x14ac:dyDescent="0.35">
      <c r="P6563" s="226"/>
      <c r="Q6563" s="226"/>
      <c r="R6563" s="226"/>
      <c r="S6563" s="226"/>
      <c r="T6563" s="226"/>
      <c r="U6563" s="226"/>
    </row>
    <row r="6564" spans="16:21" x14ac:dyDescent="0.35">
      <c r="P6564" s="226"/>
      <c r="Q6564" s="226"/>
      <c r="R6564" s="226"/>
      <c r="S6564" s="226"/>
      <c r="T6564" s="226"/>
      <c r="U6564" s="226"/>
    </row>
    <row r="6565" spans="16:21" x14ac:dyDescent="0.35">
      <c r="P6565" s="226"/>
      <c r="Q6565" s="226"/>
      <c r="R6565" s="226"/>
      <c r="S6565" s="226"/>
      <c r="T6565" s="226"/>
      <c r="U6565" s="226"/>
    </row>
    <row r="6566" spans="16:21" x14ac:dyDescent="0.35">
      <c r="P6566" s="226"/>
      <c r="Q6566" s="226"/>
      <c r="R6566" s="226"/>
      <c r="S6566" s="226"/>
      <c r="T6566" s="226"/>
      <c r="U6566" s="226"/>
    </row>
    <row r="6567" spans="16:21" x14ac:dyDescent="0.35">
      <c r="P6567" s="226"/>
      <c r="Q6567" s="226"/>
      <c r="R6567" s="226"/>
      <c r="S6567" s="226"/>
      <c r="T6567" s="226"/>
      <c r="U6567" s="226"/>
    </row>
    <row r="6568" spans="16:21" x14ac:dyDescent="0.35">
      <c r="P6568" s="226"/>
      <c r="Q6568" s="226"/>
      <c r="R6568" s="226"/>
      <c r="S6568" s="226"/>
      <c r="T6568" s="226"/>
      <c r="U6568" s="226"/>
    </row>
    <row r="6569" spans="16:21" x14ac:dyDescent="0.35">
      <c r="P6569" s="226"/>
      <c r="Q6569" s="226"/>
      <c r="R6569" s="226"/>
      <c r="S6569" s="226"/>
      <c r="T6569" s="226"/>
      <c r="U6569" s="226"/>
    </row>
    <row r="6570" spans="16:21" x14ac:dyDescent="0.35">
      <c r="P6570" s="226"/>
      <c r="Q6570" s="226"/>
      <c r="R6570" s="226"/>
      <c r="S6570" s="226"/>
      <c r="T6570" s="226"/>
      <c r="U6570" s="226"/>
    </row>
    <row r="6571" spans="16:21" x14ac:dyDescent="0.35">
      <c r="P6571" s="226"/>
      <c r="Q6571" s="226"/>
      <c r="R6571" s="226"/>
      <c r="S6571" s="226"/>
      <c r="T6571" s="226"/>
      <c r="U6571" s="226"/>
    </row>
    <row r="6572" spans="16:21" x14ac:dyDescent="0.35">
      <c r="P6572" s="226"/>
      <c r="Q6572" s="226"/>
      <c r="R6572" s="226"/>
      <c r="S6572" s="226"/>
      <c r="T6572" s="226"/>
      <c r="U6572" s="226"/>
    </row>
    <row r="6573" spans="16:21" x14ac:dyDescent="0.35">
      <c r="P6573" s="226"/>
      <c r="Q6573" s="226"/>
      <c r="R6573" s="226"/>
      <c r="S6573" s="226"/>
      <c r="T6573" s="226"/>
      <c r="U6573" s="226"/>
    </row>
    <row r="6574" spans="16:21" x14ac:dyDescent="0.35">
      <c r="P6574" s="226"/>
      <c r="Q6574" s="226"/>
      <c r="R6574" s="226"/>
      <c r="S6574" s="226"/>
      <c r="T6574" s="226"/>
      <c r="U6574" s="226"/>
    </row>
    <row r="6575" spans="16:21" x14ac:dyDescent="0.35">
      <c r="P6575" s="226"/>
      <c r="Q6575" s="226"/>
      <c r="R6575" s="226"/>
      <c r="S6575" s="226"/>
      <c r="T6575" s="226"/>
      <c r="U6575" s="226"/>
    </row>
    <row r="6576" spans="16:21" x14ac:dyDescent="0.35">
      <c r="P6576" s="226"/>
      <c r="Q6576" s="226"/>
      <c r="R6576" s="226"/>
      <c r="S6576" s="226"/>
      <c r="T6576" s="226"/>
      <c r="U6576" s="226"/>
    </row>
    <row r="6577" spans="16:21" x14ac:dyDescent="0.35">
      <c r="P6577" s="226"/>
      <c r="Q6577" s="226"/>
      <c r="R6577" s="226"/>
      <c r="S6577" s="226"/>
      <c r="T6577" s="226"/>
      <c r="U6577" s="226"/>
    </row>
    <row r="6578" spans="16:21" x14ac:dyDescent="0.35">
      <c r="P6578" s="226"/>
      <c r="Q6578" s="226"/>
      <c r="R6578" s="226"/>
      <c r="S6578" s="226"/>
      <c r="T6578" s="226"/>
      <c r="U6578" s="226"/>
    </row>
    <row r="6579" spans="16:21" x14ac:dyDescent="0.35">
      <c r="P6579" s="226"/>
      <c r="Q6579" s="226"/>
      <c r="R6579" s="226"/>
      <c r="S6579" s="226"/>
      <c r="T6579" s="226"/>
      <c r="U6579" s="226"/>
    </row>
    <row r="6580" spans="16:21" x14ac:dyDescent="0.35">
      <c r="P6580" s="226"/>
      <c r="Q6580" s="226"/>
      <c r="R6580" s="226"/>
      <c r="S6580" s="226"/>
      <c r="T6580" s="226"/>
      <c r="U6580" s="226"/>
    </row>
    <row r="6581" spans="16:21" x14ac:dyDescent="0.35">
      <c r="P6581" s="226"/>
      <c r="Q6581" s="226"/>
      <c r="R6581" s="226"/>
      <c r="S6581" s="226"/>
      <c r="T6581" s="226"/>
      <c r="U6581" s="226"/>
    </row>
    <row r="6582" spans="16:21" x14ac:dyDescent="0.35">
      <c r="P6582" s="226"/>
      <c r="Q6582" s="226"/>
      <c r="R6582" s="226"/>
      <c r="S6582" s="226"/>
      <c r="T6582" s="226"/>
      <c r="U6582" s="226"/>
    </row>
    <row r="6583" spans="16:21" x14ac:dyDescent="0.35">
      <c r="P6583" s="226"/>
      <c r="Q6583" s="226"/>
      <c r="R6583" s="226"/>
      <c r="S6583" s="226"/>
      <c r="T6583" s="226"/>
      <c r="U6583" s="226"/>
    </row>
    <row r="6584" spans="16:21" x14ac:dyDescent="0.35">
      <c r="P6584" s="226"/>
      <c r="Q6584" s="226"/>
      <c r="R6584" s="226"/>
      <c r="S6584" s="226"/>
      <c r="T6584" s="226"/>
      <c r="U6584" s="226"/>
    </row>
    <row r="6585" spans="16:21" x14ac:dyDescent="0.35">
      <c r="P6585" s="226"/>
      <c r="Q6585" s="226"/>
      <c r="R6585" s="226"/>
      <c r="S6585" s="226"/>
      <c r="T6585" s="226"/>
      <c r="U6585" s="226"/>
    </row>
    <row r="6586" spans="16:21" x14ac:dyDescent="0.35">
      <c r="P6586" s="226"/>
      <c r="Q6586" s="226"/>
      <c r="R6586" s="226"/>
      <c r="S6586" s="226"/>
      <c r="T6586" s="226"/>
      <c r="U6586" s="226"/>
    </row>
    <row r="6587" spans="16:21" x14ac:dyDescent="0.35">
      <c r="P6587" s="226"/>
      <c r="Q6587" s="226"/>
      <c r="R6587" s="226"/>
      <c r="S6587" s="226"/>
      <c r="T6587" s="226"/>
      <c r="U6587" s="226"/>
    </row>
    <row r="6588" spans="16:21" x14ac:dyDescent="0.35">
      <c r="P6588" s="226"/>
      <c r="Q6588" s="226"/>
      <c r="R6588" s="226"/>
      <c r="S6588" s="226"/>
      <c r="T6588" s="226"/>
      <c r="U6588" s="226"/>
    </row>
    <row r="6589" spans="16:21" x14ac:dyDescent="0.35">
      <c r="P6589" s="226"/>
      <c r="Q6589" s="226"/>
      <c r="R6589" s="226"/>
      <c r="S6589" s="226"/>
      <c r="T6589" s="226"/>
      <c r="U6589" s="226"/>
    </row>
    <row r="6590" spans="16:21" x14ac:dyDescent="0.35">
      <c r="P6590" s="226"/>
      <c r="Q6590" s="226"/>
      <c r="R6590" s="226"/>
      <c r="S6590" s="226"/>
      <c r="T6590" s="226"/>
      <c r="U6590" s="226"/>
    </row>
    <row r="6591" spans="16:21" x14ac:dyDescent="0.35">
      <c r="P6591" s="226"/>
      <c r="Q6591" s="226"/>
      <c r="R6591" s="226"/>
      <c r="S6591" s="226"/>
      <c r="T6591" s="226"/>
      <c r="U6591" s="226"/>
    </row>
    <row r="6592" spans="16:21" x14ac:dyDescent="0.35">
      <c r="P6592" s="226"/>
      <c r="Q6592" s="226"/>
      <c r="R6592" s="226"/>
      <c r="S6592" s="226"/>
      <c r="T6592" s="226"/>
      <c r="U6592" s="226"/>
    </row>
    <row r="6593" spans="16:21" x14ac:dyDescent="0.35">
      <c r="P6593" s="226"/>
      <c r="Q6593" s="226"/>
      <c r="R6593" s="226"/>
      <c r="S6593" s="226"/>
      <c r="T6593" s="226"/>
      <c r="U6593" s="226"/>
    </row>
    <row r="6594" spans="16:21" x14ac:dyDescent="0.35">
      <c r="P6594" s="226"/>
      <c r="Q6594" s="226"/>
      <c r="R6594" s="226"/>
      <c r="S6594" s="226"/>
      <c r="T6594" s="226"/>
      <c r="U6594" s="226"/>
    </row>
    <row r="6595" spans="16:21" x14ac:dyDescent="0.35">
      <c r="P6595" s="226"/>
      <c r="Q6595" s="226"/>
      <c r="R6595" s="226"/>
      <c r="S6595" s="226"/>
      <c r="T6595" s="226"/>
      <c r="U6595" s="226"/>
    </row>
    <row r="6596" spans="16:21" x14ac:dyDescent="0.35">
      <c r="P6596" s="226"/>
      <c r="Q6596" s="226"/>
      <c r="R6596" s="226"/>
      <c r="S6596" s="226"/>
      <c r="T6596" s="226"/>
      <c r="U6596" s="226"/>
    </row>
    <row r="6597" spans="16:21" x14ac:dyDescent="0.35">
      <c r="P6597" s="226"/>
      <c r="Q6597" s="226"/>
      <c r="R6597" s="226"/>
      <c r="S6597" s="226"/>
      <c r="T6597" s="226"/>
      <c r="U6597" s="226"/>
    </row>
    <row r="6598" spans="16:21" x14ac:dyDescent="0.35">
      <c r="P6598" s="226"/>
      <c r="Q6598" s="226"/>
      <c r="R6598" s="226"/>
      <c r="S6598" s="226"/>
      <c r="T6598" s="226"/>
      <c r="U6598" s="226"/>
    </row>
    <row r="6599" spans="16:21" x14ac:dyDescent="0.35">
      <c r="P6599" s="226"/>
      <c r="Q6599" s="226"/>
      <c r="R6599" s="226"/>
      <c r="S6599" s="226"/>
      <c r="T6599" s="226"/>
      <c r="U6599" s="226"/>
    </row>
    <row r="6600" spans="16:21" x14ac:dyDescent="0.35">
      <c r="P6600" s="226"/>
      <c r="Q6600" s="226"/>
      <c r="R6600" s="226"/>
      <c r="S6600" s="226"/>
      <c r="T6600" s="226"/>
      <c r="U6600" s="226"/>
    </row>
    <row r="6601" spans="16:21" x14ac:dyDescent="0.35">
      <c r="P6601" s="226"/>
      <c r="Q6601" s="226"/>
      <c r="R6601" s="226"/>
      <c r="S6601" s="226"/>
      <c r="T6601" s="226"/>
      <c r="U6601" s="226"/>
    </row>
    <row r="6602" spans="16:21" x14ac:dyDescent="0.35">
      <c r="P6602" s="226"/>
      <c r="Q6602" s="226"/>
      <c r="R6602" s="226"/>
      <c r="S6602" s="226"/>
      <c r="T6602" s="226"/>
      <c r="U6602" s="226"/>
    </row>
    <row r="6603" spans="16:21" x14ac:dyDescent="0.35">
      <c r="P6603" s="226"/>
      <c r="Q6603" s="226"/>
      <c r="R6603" s="226"/>
      <c r="S6603" s="226"/>
      <c r="T6603" s="226"/>
      <c r="U6603" s="226"/>
    </row>
    <row r="6604" spans="16:21" x14ac:dyDescent="0.35">
      <c r="P6604" s="226"/>
      <c r="Q6604" s="226"/>
      <c r="R6604" s="226"/>
      <c r="S6604" s="226"/>
      <c r="T6604" s="226"/>
      <c r="U6604" s="226"/>
    </row>
    <row r="6605" spans="16:21" x14ac:dyDescent="0.35">
      <c r="P6605" s="226"/>
      <c r="Q6605" s="226"/>
      <c r="R6605" s="226"/>
      <c r="S6605" s="226"/>
      <c r="T6605" s="226"/>
      <c r="U6605" s="226"/>
    </row>
    <row r="6606" spans="16:21" x14ac:dyDescent="0.35">
      <c r="P6606" s="226"/>
      <c r="Q6606" s="226"/>
      <c r="R6606" s="226"/>
      <c r="S6606" s="226"/>
      <c r="T6606" s="226"/>
      <c r="U6606" s="226"/>
    </row>
    <row r="6607" spans="16:21" x14ac:dyDescent="0.35">
      <c r="P6607" s="226"/>
      <c r="Q6607" s="226"/>
      <c r="R6607" s="226"/>
      <c r="S6607" s="226"/>
      <c r="T6607" s="226"/>
      <c r="U6607" s="226"/>
    </row>
    <row r="6608" spans="16:21" x14ac:dyDescent="0.35">
      <c r="P6608" s="226"/>
      <c r="Q6608" s="226"/>
      <c r="R6608" s="226"/>
      <c r="S6608" s="226"/>
      <c r="T6608" s="226"/>
      <c r="U6608" s="226"/>
    </row>
    <row r="6609" spans="16:21" x14ac:dyDescent="0.35">
      <c r="P6609" s="226"/>
      <c r="Q6609" s="226"/>
      <c r="R6609" s="226"/>
      <c r="S6609" s="226"/>
      <c r="T6609" s="226"/>
      <c r="U6609" s="226"/>
    </row>
    <row r="6610" spans="16:21" x14ac:dyDescent="0.35">
      <c r="P6610" s="226"/>
      <c r="Q6610" s="226"/>
      <c r="R6610" s="226"/>
      <c r="S6610" s="226"/>
      <c r="T6610" s="226"/>
      <c r="U6610" s="226"/>
    </row>
    <row r="6611" spans="16:21" x14ac:dyDescent="0.35">
      <c r="P6611" s="226"/>
      <c r="Q6611" s="226"/>
      <c r="R6611" s="226"/>
      <c r="S6611" s="226"/>
      <c r="T6611" s="226"/>
      <c r="U6611" s="226"/>
    </row>
    <row r="6612" spans="16:21" x14ac:dyDescent="0.35">
      <c r="P6612" s="226"/>
      <c r="Q6612" s="226"/>
      <c r="R6612" s="226"/>
      <c r="S6612" s="226"/>
      <c r="T6612" s="226"/>
      <c r="U6612" s="226"/>
    </row>
    <row r="6613" spans="16:21" x14ac:dyDescent="0.35">
      <c r="P6613" s="226"/>
      <c r="Q6613" s="226"/>
      <c r="R6613" s="226"/>
      <c r="S6613" s="226"/>
      <c r="T6613" s="226"/>
      <c r="U6613" s="226"/>
    </row>
    <row r="6614" spans="16:21" x14ac:dyDescent="0.35">
      <c r="P6614" s="226"/>
      <c r="Q6614" s="226"/>
      <c r="R6614" s="226"/>
      <c r="S6614" s="226"/>
      <c r="T6614" s="226"/>
      <c r="U6614" s="226"/>
    </row>
    <row r="6615" spans="16:21" x14ac:dyDescent="0.35">
      <c r="P6615" s="226"/>
      <c r="Q6615" s="226"/>
      <c r="R6615" s="226"/>
      <c r="S6615" s="226"/>
      <c r="T6615" s="226"/>
      <c r="U6615" s="226"/>
    </row>
    <row r="6616" spans="16:21" x14ac:dyDescent="0.35">
      <c r="P6616" s="226"/>
      <c r="Q6616" s="226"/>
      <c r="R6616" s="226"/>
      <c r="S6616" s="226"/>
      <c r="T6616" s="226"/>
      <c r="U6616" s="226"/>
    </row>
    <row r="6617" spans="16:21" x14ac:dyDescent="0.35">
      <c r="P6617" s="226"/>
      <c r="Q6617" s="226"/>
      <c r="R6617" s="226"/>
      <c r="S6617" s="226"/>
      <c r="T6617" s="226"/>
      <c r="U6617" s="226"/>
    </row>
    <row r="6618" spans="16:21" x14ac:dyDescent="0.35">
      <c r="P6618" s="226"/>
      <c r="Q6618" s="226"/>
      <c r="R6618" s="226"/>
      <c r="S6618" s="226"/>
      <c r="T6618" s="226"/>
      <c r="U6618" s="226"/>
    </row>
    <row r="6619" spans="16:21" x14ac:dyDescent="0.35">
      <c r="P6619" s="226"/>
      <c r="Q6619" s="226"/>
      <c r="R6619" s="226"/>
      <c r="S6619" s="226"/>
      <c r="T6619" s="226"/>
      <c r="U6619" s="226"/>
    </row>
    <row r="6620" spans="16:21" x14ac:dyDescent="0.35">
      <c r="P6620" s="226"/>
      <c r="Q6620" s="226"/>
      <c r="R6620" s="226"/>
      <c r="S6620" s="226"/>
      <c r="T6620" s="226"/>
      <c r="U6620" s="226"/>
    </row>
    <row r="6621" spans="16:21" x14ac:dyDescent="0.35">
      <c r="P6621" s="226"/>
      <c r="Q6621" s="226"/>
      <c r="R6621" s="226"/>
      <c r="S6621" s="226"/>
      <c r="T6621" s="226"/>
      <c r="U6621" s="226"/>
    </row>
    <row r="6622" spans="16:21" x14ac:dyDescent="0.35">
      <c r="P6622" s="226"/>
      <c r="Q6622" s="226"/>
      <c r="R6622" s="226"/>
      <c r="S6622" s="226"/>
      <c r="T6622" s="226"/>
      <c r="U6622" s="226"/>
    </row>
    <row r="6623" spans="16:21" x14ac:dyDescent="0.35">
      <c r="P6623" s="226"/>
      <c r="Q6623" s="226"/>
      <c r="R6623" s="226"/>
      <c r="S6623" s="226"/>
      <c r="T6623" s="226"/>
      <c r="U6623" s="226"/>
    </row>
    <row r="6624" spans="16:21" x14ac:dyDescent="0.35">
      <c r="P6624" s="226"/>
      <c r="Q6624" s="226"/>
      <c r="R6624" s="226"/>
      <c r="S6624" s="226"/>
      <c r="T6624" s="226"/>
      <c r="U6624" s="226"/>
    </row>
    <row r="6625" spans="16:21" x14ac:dyDescent="0.35">
      <c r="P6625" s="226"/>
      <c r="Q6625" s="226"/>
      <c r="R6625" s="226"/>
      <c r="S6625" s="226"/>
      <c r="T6625" s="226"/>
      <c r="U6625" s="226"/>
    </row>
    <row r="6626" spans="16:21" x14ac:dyDescent="0.35">
      <c r="P6626" s="226"/>
      <c r="Q6626" s="226"/>
      <c r="R6626" s="226"/>
      <c r="S6626" s="226"/>
      <c r="T6626" s="226"/>
      <c r="U6626" s="226"/>
    </row>
    <row r="6627" spans="16:21" x14ac:dyDescent="0.35">
      <c r="P6627" s="226"/>
      <c r="Q6627" s="226"/>
      <c r="R6627" s="226"/>
      <c r="S6627" s="226"/>
      <c r="T6627" s="226"/>
      <c r="U6627" s="226"/>
    </row>
    <row r="6628" spans="16:21" x14ac:dyDescent="0.35">
      <c r="P6628" s="226"/>
      <c r="Q6628" s="226"/>
      <c r="R6628" s="226"/>
      <c r="S6628" s="226"/>
      <c r="T6628" s="226"/>
      <c r="U6628" s="226"/>
    </row>
    <row r="6629" spans="16:21" x14ac:dyDescent="0.35">
      <c r="P6629" s="226"/>
      <c r="Q6629" s="226"/>
      <c r="R6629" s="226"/>
      <c r="S6629" s="226"/>
      <c r="T6629" s="226"/>
      <c r="U6629" s="226"/>
    </row>
    <row r="6630" spans="16:21" x14ac:dyDescent="0.35">
      <c r="P6630" s="226"/>
      <c r="Q6630" s="226"/>
      <c r="R6630" s="226"/>
      <c r="S6630" s="226"/>
      <c r="T6630" s="226"/>
      <c r="U6630" s="226"/>
    </row>
    <row r="6631" spans="16:21" x14ac:dyDescent="0.35">
      <c r="P6631" s="226"/>
      <c r="Q6631" s="226"/>
      <c r="R6631" s="226"/>
      <c r="S6631" s="226"/>
      <c r="T6631" s="226"/>
      <c r="U6631" s="226"/>
    </row>
    <row r="6632" spans="16:21" x14ac:dyDescent="0.35">
      <c r="P6632" s="226"/>
      <c r="Q6632" s="226"/>
      <c r="R6632" s="226"/>
      <c r="S6632" s="226"/>
      <c r="T6632" s="226"/>
      <c r="U6632" s="226"/>
    </row>
    <row r="6633" spans="16:21" x14ac:dyDescent="0.35">
      <c r="P6633" s="226"/>
      <c r="Q6633" s="226"/>
      <c r="R6633" s="226"/>
      <c r="S6633" s="226"/>
      <c r="T6633" s="226"/>
      <c r="U6633" s="226"/>
    </row>
    <row r="6634" spans="16:21" x14ac:dyDescent="0.35">
      <c r="P6634" s="226"/>
      <c r="Q6634" s="226"/>
      <c r="R6634" s="226"/>
      <c r="S6634" s="226"/>
      <c r="T6634" s="226"/>
      <c r="U6634" s="226"/>
    </row>
    <row r="6635" spans="16:21" x14ac:dyDescent="0.35">
      <c r="P6635" s="226"/>
      <c r="Q6635" s="226"/>
      <c r="R6635" s="226"/>
      <c r="S6635" s="226"/>
      <c r="T6635" s="226"/>
      <c r="U6635" s="226"/>
    </row>
    <row r="6636" spans="16:21" x14ac:dyDescent="0.35">
      <c r="P6636" s="226"/>
      <c r="Q6636" s="226"/>
      <c r="R6636" s="226"/>
      <c r="S6636" s="226"/>
      <c r="T6636" s="226"/>
      <c r="U6636" s="226"/>
    </row>
    <row r="6637" spans="16:21" x14ac:dyDescent="0.35">
      <c r="P6637" s="226"/>
      <c r="Q6637" s="226"/>
      <c r="R6637" s="226"/>
      <c r="S6637" s="226"/>
      <c r="T6637" s="226"/>
      <c r="U6637" s="226"/>
    </row>
    <row r="6638" spans="16:21" x14ac:dyDescent="0.35">
      <c r="P6638" s="226"/>
      <c r="Q6638" s="226"/>
      <c r="R6638" s="226"/>
      <c r="S6638" s="226"/>
      <c r="T6638" s="226"/>
      <c r="U6638" s="226"/>
    </row>
    <row r="6639" spans="16:21" x14ac:dyDescent="0.35">
      <c r="P6639" s="226"/>
      <c r="Q6639" s="226"/>
      <c r="R6639" s="226"/>
      <c r="S6639" s="226"/>
      <c r="T6639" s="226"/>
      <c r="U6639" s="226"/>
    </row>
    <row r="6640" spans="16:21" x14ac:dyDescent="0.35">
      <c r="P6640" s="226"/>
      <c r="Q6640" s="226"/>
      <c r="R6640" s="226"/>
      <c r="S6640" s="226"/>
      <c r="T6640" s="226"/>
      <c r="U6640" s="226"/>
    </row>
    <row r="6641" spans="16:21" x14ac:dyDescent="0.35">
      <c r="P6641" s="226"/>
      <c r="Q6641" s="226"/>
      <c r="R6641" s="226"/>
      <c r="S6641" s="226"/>
      <c r="T6641" s="226"/>
      <c r="U6641" s="226"/>
    </row>
    <row r="6642" spans="16:21" x14ac:dyDescent="0.35">
      <c r="P6642" s="226"/>
      <c r="Q6642" s="226"/>
      <c r="R6642" s="226"/>
      <c r="S6642" s="226"/>
      <c r="T6642" s="226"/>
      <c r="U6642" s="226"/>
    </row>
    <row r="6643" spans="16:21" x14ac:dyDescent="0.35">
      <c r="P6643" s="226"/>
      <c r="Q6643" s="226"/>
      <c r="R6643" s="226"/>
      <c r="S6643" s="226"/>
      <c r="T6643" s="226"/>
      <c r="U6643" s="226"/>
    </row>
    <row r="6644" spans="16:21" x14ac:dyDescent="0.35">
      <c r="P6644" s="226"/>
      <c r="Q6644" s="226"/>
      <c r="R6644" s="226"/>
      <c r="S6644" s="226"/>
      <c r="T6644" s="226"/>
      <c r="U6644" s="226"/>
    </row>
    <row r="6645" spans="16:21" x14ac:dyDescent="0.35">
      <c r="P6645" s="226"/>
      <c r="Q6645" s="226"/>
      <c r="R6645" s="226"/>
      <c r="S6645" s="226"/>
      <c r="T6645" s="226"/>
      <c r="U6645" s="226"/>
    </row>
    <row r="6646" spans="16:21" x14ac:dyDescent="0.35">
      <c r="P6646" s="226"/>
      <c r="Q6646" s="226"/>
      <c r="R6646" s="226"/>
      <c r="S6646" s="226"/>
      <c r="T6646" s="226"/>
      <c r="U6646" s="226"/>
    </row>
    <row r="6647" spans="16:21" x14ac:dyDescent="0.35">
      <c r="P6647" s="226"/>
      <c r="Q6647" s="226"/>
      <c r="R6647" s="226"/>
      <c r="S6647" s="226"/>
      <c r="T6647" s="226"/>
      <c r="U6647" s="226"/>
    </row>
    <row r="6648" spans="16:21" x14ac:dyDescent="0.35">
      <c r="P6648" s="226"/>
      <c r="Q6648" s="226"/>
      <c r="R6648" s="226"/>
      <c r="S6648" s="226"/>
      <c r="T6648" s="226"/>
      <c r="U6648" s="226"/>
    </row>
    <row r="6649" spans="16:21" x14ac:dyDescent="0.35">
      <c r="P6649" s="226"/>
      <c r="Q6649" s="226"/>
      <c r="R6649" s="226"/>
      <c r="S6649" s="226"/>
      <c r="T6649" s="226"/>
      <c r="U6649" s="226"/>
    </row>
    <row r="6650" spans="16:21" x14ac:dyDescent="0.35">
      <c r="P6650" s="226"/>
      <c r="Q6650" s="226"/>
      <c r="R6650" s="226"/>
      <c r="S6650" s="226"/>
      <c r="T6650" s="226"/>
      <c r="U6650" s="226"/>
    </row>
    <row r="6651" spans="16:21" x14ac:dyDescent="0.35">
      <c r="P6651" s="226"/>
      <c r="Q6651" s="226"/>
      <c r="R6651" s="226"/>
      <c r="S6651" s="226"/>
      <c r="T6651" s="226"/>
      <c r="U6651" s="226"/>
    </row>
    <row r="6652" spans="16:21" x14ac:dyDescent="0.35">
      <c r="P6652" s="226"/>
      <c r="Q6652" s="226"/>
      <c r="R6652" s="226"/>
      <c r="S6652" s="226"/>
      <c r="T6652" s="226"/>
      <c r="U6652" s="226"/>
    </row>
    <row r="6653" spans="16:21" x14ac:dyDescent="0.35">
      <c r="P6653" s="226"/>
      <c r="Q6653" s="226"/>
      <c r="R6653" s="226"/>
      <c r="S6653" s="226"/>
      <c r="T6653" s="226"/>
      <c r="U6653" s="226"/>
    </row>
    <row r="6654" spans="16:21" x14ac:dyDescent="0.35">
      <c r="P6654" s="226"/>
      <c r="Q6654" s="226"/>
      <c r="R6654" s="226"/>
      <c r="S6654" s="226"/>
      <c r="T6654" s="226"/>
      <c r="U6654" s="226"/>
    </row>
    <row r="6655" spans="16:21" x14ac:dyDescent="0.35">
      <c r="P6655" s="226"/>
      <c r="Q6655" s="226"/>
      <c r="R6655" s="226"/>
      <c r="S6655" s="226"/>
      <c r="T6655" s="226"/>
      <c r="U6655" s="226"/>
    </row>
    <row r="6656" spans="16:21" x14ac:dyDescent="0.35">
      <c r="P6656" s="226"/>
      <c r="Q6656" s="226"/>
      <c r="R6656" s="226"/>
      <c r="S6656" s="226"/>
      <c r="T6656" s="226"/>
      <c r="U6656" s="226"/>
    </row>
    <row r="6657" spans="16:21" x14ac:dyDescent="0.35">
      <c r="P6657" s="226"/>
      <c r="Q6657" s="226"/>
      <c r="R6657" s="226"/>
      <c r="S6657" s="226"/>
      <c r="T6657" s="226"/>
      <c r="U6657" s="226"/>
    </row>
    <row r="6658" spans="16:21" x14ac:dyDescent="0.35">
      <c r="P6658" s="226"/>
      <c r="Q6658" s="226"/>
      <c r="R6658" s="226"/>
      <c r="S6658" s="226"/>
      <c r="T6658" s="226"/>
      <c r="U6658" s="226"/>
    </row>
    <row r="6659" spans="16:21" x14ac:dyDescent="0.35">
      <c r="P6659" s="226"/>
      <c r="Q6659" s="226"/>
      <c r="R6659" s="226"/>
      <c r="S6659" s="226"/>
      <c r="T6659" s="226"/>
      <c r="U6659" s="226"/>
    </row>
    <row r="6660" spans="16:21" x14ac:dyDescent="0.35">
      <c r="P6660" s="226"/>
      <c r="Q6660" s="226"/>
      <c r="R6660" s="226"/>
      <c r="S6660" s="226"/>
      <c r="T6660" s="226"/>
      <c r="U6660" s="226"/>
    </row>
    <row r="6661" spans="16:21" x14ac:dyDescent="0.35">
      <c r="P6661" s="226"/>
      <c r="Q6661" s="226"/>
      <c r="R6661" s="226"/>
      <c r="S6661" s="226"/>
      <c r="T6661" s="226"/>
      <c r="U6661" s="226"/>
    </row>
    <row r="6662" spans="16:21" x14ac:dyDescent="0.35">
      <c r="P6662" s="226"/>
      <c r="Q6662" s="226"/>
      <c r="R6662" s="226"/>
      <c r="S6662" s="226"/>
      <c r="T6662" s="226"/>
      <c r="U6662" s="226"/>
    </row>
    <row r="6663" spans="16:21" x14ac:dyDescent="0.35">
      <c r="P6663" s="226"/>
      <c r="Q6663" s="226"/>
      <c r="R6663" s="226"/>
      <c r="S6663" s="226"/>
      <c r="T6663" s="226"/>
      <c r="U6663" s="226"/>
    </row>
    <row r="6664" spans="16:21" x14ac:dyDescent="0.35">
      <c r="P6664" s="226"/>
      <c r="Q6664" s="226"/>
      <c r="R6664" s="226"/>
      <c r="S6664" s="226"/>
      <c r="T6664" s="226"/>
      <c r="U6664" s="226"/>
    </row>
    <row r="6665" spans="16:21" x14ac:dyDescent="0.35">
      <c r="P6665" s="226"/>
      <c r="Q6665" s="226"/>
      <c r="R6665" s="226"/>
      <c r="S6665" s="226"/>
      <c r="T6665" s="226"/>
      <c r="U6665" s="226"/>
    </row>
    <row r="6666" spans="16:21" x14ac:dyDescent="0.35">
      <c r="P6666" s="226"/>
      <c r="Q6666" s="226"/>
      <c r="R6666" s="226"/>
      <c r="S6666" s="226"/>
      <c r="T6666" s="226"/>
      <c r="U6666" s="226"/>
    </row>
    <row r="6667" spans="16:21" x14ac:dyDescent="0.35">
      <c r="P6667" s="226"/>
      <c r="Q6667" s="226"/>
      <c r="R6667" s="226"/>
      <c r="S6667" s="226"/>
      <c r="T6667" s="226"/>
      <c r="U6667" s="226"/>
    </row>
    <row r="6668" spans="16:21" x14ac:dyDescent="0.35">
      <c r="P6668" s="226"/>
      <c r="Q6668" s="226"/>
      <c r="R6668" s="226"/>
      <c r="S6668" s="226"/>
      <c r="T6668" s="226"/>
      <c r="U6668" s="226"/>
    </row>
    <row r="6669" spans="16:21" x14ac:dyDescent="0.35">
      <c r="P6669" s="226"/>
      <c r="Q6669" s="226"/>
      <c r="R6669" s="226"/>
      <c r="S6669" s="226"/>
      <c r="T6669" s="226"/>
      <c r="U6669" s="226"/>
    </row>
    <row r="6670" spans="16:21" x14ac:dyDescent="0.35">
      <c r="P6670" s="226"/>
      <c r="Q6670" s="226"/>
      <c r="R6670" s="226"/>
      <c r="S6670" s="226"/>
      <c r="T6670" s="226"/>
      <c r="U6670" s="226"/>
    </row>
    <row r="6671" spans="16:21" x14ac:dyDescent="0.35">
      <c r="P6671" s="226"/>
      <c r="Q6671" s="226"/>
      <c r="R6671" s="226"/>
      <c r="S6671" s="226"/>
      <c r="T6671" s="226"/>
      <c r="U6671" s="226"/>
    </row>
    <row r="6672" spans="16:21" x14ac:dyDescent="0.35">
      <c r="P6672" s="226"/>
      <c r="Q6672" s="226"/>
      <c r="R6672" s="226"/>
      <c r="S6672" s="226"/>
      <c r="T6672" s="226"/>
      <c r="U6672" s="226"/>
    </row>
    <row r="6673" spans="16:21" x14ac:dyDescent="0.35">
      <c r="P6673" s="226"/>
      <c r="Q6673" s="226"/>
      <c r="R6673" s="226"/>
      <c r="S6673" s="226"/>
      <c r="T6673" s="226"/>
      <c r="U6673" s="226"/>
    </row>
    <row r="6674" spans="16:21" x14ac:dyDescent="0.35">
      <c r="P6674" s="226"/>
      <c r="Q6674" s="226"/>
      <c r="R6674" s="226"/>
      <c r="S6674" s="226"/>
      <c r="T6674" s="226"/>
      <c r="U6674" s="226"/>
    </row>
    <row r="6675" spans="16:21" x14ac:dyDescent="0.35">
      <c r="P6675" s="226"/>
      <c r="Q6675" s="226"/>
      <c r="R6675" s="226"/>
      <c r="S6675" s="226"/>
      <c r="T6675" s="226"/>
      <c r="U6675" s="226"/>
    </row>
    <row r="6676" spans="16:21" x14ac:dyDescent="0.35">
      <c r="P6676" s="226"/>
      <c r="Q6676" s="226"/>
      <c r="R6676" s="226"/>
      <c r="S6676" s="226"/>
      <c r="T6676" s="226"/>
      <c r="U6676" s="226"/>
    </row>
    <row r="6677" spans="16:21" x14ac:dyDescent="0.35">
      <c r="P6677" s="226"/>
      <c r="Q6677" s="226"/>
      <c r="R6677" s="226"/>
      <c r="S6677" s="226"/>
      <c r="T6677" s="226"/>
      <c r="U6677" s="226"/>
    </row>
    <row r="6678" spans="16:21" x14ac:dyDescent="0.35">
      <c r="P6678" s="226"/>
      <c r="Q6678" s="226"/>
      <c r="R6678" s="226"/>
      <c r="S6678" s="226"/>
      <c r="T6678" s="226"/>
      <c r="U6678" s="226"/>
    </row>
    <row r="6679" spans="16:21" x14ac:dyDescent="0.35">
      <c r="P6679" s="226"/>
      <c r="Q6679" s="226"/>
      <c r="R6679" s="226"/>
      <c r="S6679" s="226"/>
      <c r="T6679" s="226"/>
      <c r="U6679" s="226"/>
    </row>
    <row r="6680" spans="16:21" x14ac:dyDescent="0.35">
      <c r="P6680" s="226"/>
      <c r="Q6680" s="226"/>
      <c r="R6680" s="226"/>
      <c r="S6680" s="226"/>
      <c r="T6680" s="226"/>
      <c r="U6680" s="226"/>
    </row>
    <row r="6681" spans="16:21" x14ac:dyDescent="0.35">
      <c r="P6681" s="226"/>
      <c r="Q6681" s="226"/>
      <c r="R6681" s="226"/>
      <c r="S6681" s="226"/>
      <c r="T6681" s="226"/>
      <c r="U6681" s="226"/>
    </row>
    <row r="6682" spans="16:21" x14ac:dyDescent="0.35">
      <c r="P6682" s="226"/>
      <c r="Q6682" s="226"/>
      <c r="R6682" s="226"/>
      <c r="S6682" s="226"/>
      <c r="T6682" s="226"/>
      <c r="U6682" s="226"/>
    </row>
    <row r="6683" spans="16:21" x14ac:dyDescent="0.35">
      <c r="P6683" s="226"/>
      <c r="Q6683" s="226"/>
      <c r="R6683" s="226"/>
      <c r="S6683" s="226"/>
      <c r="T6683" s="226"/>
      <c r="U6683" s="226"/>
    </row>
    <row r="6684" spans="16:21" x14ac:dyDescent="0.35">
      <c r="P6684" s="226"/>
      <c r="Q6684" s="226"/>
      <c r="R6684" s="226"/>
      <c r="S6684" s="226"/>
      <c r="T6684" s="226"/>
      <c r="U6684" s="226"/>
    </row>
    <row r="6685" spans="16:21" x14ac:dyDescent="0.35">
      <c r="P6685" s="226"/>
      <c r="Q6685" s="226"/>
      <c r="R6685" s="226"/>
      <c r="S6685" s="226"/>
      <c r="T6685" s="226"/>
      <c r="U6685" s="226"/>
    </row>
    <row r="6686" spans="16:21" x14ac:dyDescent="0.35">
      <c r="P6686" s="226"/>
      <c r="Q6686" s="226"/>
      <c r="R6686" s="226"/>
      <c r="S6686" s="226"/>
      <c r="T6686" s="226"/>
      <c r="U6686" s="226"/>
    </row>
    <row r="6687" spans="16:21" x14ac:dyDescent="0.35">
      <c r="P6687" s="226"/>
      <c r="Q6687" s="226"/>
      <c r="R6687" s="226"/>
      <c r="S6687" s="226"/>
      <c r="T6687" s="226"/>
      <c r="U6687" s="226"/>
    </row>
    <row r="6688" spans="16:21" x14ac:dyDescent="0.35">
      <c r="P6688" s="226"/>
      <c r="Q6688" s="226"/>
      <c r="R6688" s="226"/>
      <c r="S6688" s="226"/>
      <c r="T6688" s="226"/>
      <c r="U6688" s="226"/>
    </row>
    <row r="6689" spans="16:21" x14ac:dyDescent="0.35">
      <c r="P6689" s="226"/>
      <c r="Q6689" s="226"/>
      <c r="R6689" s="226"/>
      <c r="S6689" s="226"/>
      <c r="T6689" s="226"/>
      <c r="U6689" s="226"/>
    </row>
    <row r="6690" spans="16:21" x14ac:dyDescent="0.35">
      <c r="P6690" s="226"/>
      <c r="Q6690" s="226"/>
      <c r="R6690" s="226"/>
      <c r="S6690" s="226"/>
      <c r="T6690" s="226"/>
      <c r="U6690" s="226"/>
    </row>
    <row r="6691" spans="16:21" x14ac:dyDescent="0.35">
      <c r="P6691" s="226"/>
      <c r="Q6691" s="226"/>
      <c r="R6691" s="226"/>
      <c r="S6691" s="226"/>
      <c r="T6691" s="226"/>
      <c r="U6691" s="226"/>
    </row>
    <row r="6692" spans="16:21" x14ac:dyDescent="0.35">
      <c r="P6692" s="226"/>
      <c r="Q6692" s="226"/>
      <c r="R6692" s="226"/>
      <c r="S6692" s="226"/>
      <c r="T6692" s="226"/>
      <c r="U6692" s="226"/>
    </row>
    <row r="6693" spans="16:21" x14ac:dyDescent="0.35">
      <c r="P6693" s="226"/>
      <c r="Q6693" s="226"/>
      <c r="R6693" s="226"/>
      <c r="S6693" s="226"/>
      <c r="T6693" s="226"/>
      <c r="U6693" s="226"/>
    </row>
    <row r="6694" spans="16:21" x14ac:dyDescent="0.35">
      <c r="P6694" s="226"/>
      <c r="Q6694" s="226"/>
      <c r="R6694" s="226"/>
      <c r="S6694" s="226"/>
      <c r="T6694" s="226"/>
      <c r="U6694" s="226"/>
    </row>
    <row r="6695" spans="16:21" x14ac:dyDescent="0.35">
      <c r="P6695" s="226"/>
      <c r="Q6695" s="226"/>
      <c r="R6695" s="226"/>
      <c r="S6695" s="226"/>
      <c r="T6695" s="226"/>
      <c r="U6695" s="226"/>
    </row>
    <row r="6696" spans="16:21" x14ac:dyDescent="0.35">
      <c r="P6696" s="226"/>
      <c r="Q6696" s="226"/>
      <c r="R6696" s="226"/>
      <c r="S6696" s="226"/>
      <c r="T6696" s="226"/>
      <c r="U6696" s="226"/>
    </row>
    <row r="6697" spans="16:21" x14ac:dyDescent="0.35">
      <c r="P6697" s="226"/>
      <c r="Q6697" s="226"/>
      <c r="R6697" s="226"/>
      <c r="S6697" s="226"/>
      <c r="T6697" s="226"/>
      <c r="U6697" s="226"/>
    </row>
    <row r="6698" spans="16:21" x14ac:dyDescent="0.35">
      <c r="P6698" s="226"/>
      <c r="Q6698" s="226"/>
      <c r="R6698" s="226"/>
      <c r="S6698" s="226"/>
      <c r="T6698" s="226"/>
      <c r="U6698" s="226"/>
    </row>
    <row r="6699" spans="16:21" x14ac:dyDescent="0.35">
      <c r="P6699" s="226"/>
      <c r="Q6699" s="226"/>
      <c r="R6699" s="226"/>
      <c r="S6699" s="226"/>
      <c r="T6699" s="226"/>
      <c r="U6699" s="226"/>
    </row>
    <row r="6700" spans="16:21" x14ac:dyDescent="0.35">
      <c r="P6700" s="226"/>
      <c r="Q6700" s="226"/>
      <c r="R6700" s="226"/>
      <c r="S6700" s="226"/>
      <c r="T6700" s="226"/>
      <c r="U6700" s="226"/>
    </row>
    <row r="6701" spans="16:21" x14ac:dyDescent="0.35">
      <c r="P6701" s="226"/>
      <c r="Q6701" s="226"/>
      <c r="R6701" s="226"/>
      <c r="S6701" s="226"/>
      <c r="T6701" s="226"/>
      <c r="U6701" s="226"/>
    </row>
    <row r="6702" spans="16:21" x14ac:dyDescent="0.35">
      <c r="P6702" s="226"/>
      <c r="Q6702" s="226"/>
      <c r="R6702" s="226"/>
      <c r="S6702" s="226"/>
      <c r="T6702" s="226"/>
      <c r="U6702" s="226"/>
    </row>
    <row r="6703" spans="16:21" x14ac:dyDescent="0.35">
      <c r="P6703" s="226"/>
      <c r="Q6703" s="226"/>
      <c r="R6703" s="226"/>
      <c r="S6703" s="226"/>
      <c r="T6703" s="226"/>
      <c r="U6703" s="226"/>
    </row>
    <row r="6704" spans="16:21" x14ac:dyDescent="0.35">
      <c r="P6704" s="226"/>
      <c r="Q6704" s="226"/>
      <c r="R6704" s="226"/>
      <c r="S6704" s="226"/>
      <c r="T6704" s="226"/>
      <c r="U6704" s="226"/>
    </row>
    <row r="6705" spans="16:21" x14ac:dyDescent="0.35">
      <c r="P6705" s="226"/>
      <c r="Q6705" s="226"/>
      <c r="R6705" s="226"/>
      <c r="S6705" s="226"/>
      <c r="T6705" s="226"/>
      <c r="U6705" s="226"/>
    </row>
    <row r="6706" spans="16:21" x14ac:dyDescent="0.35">
      <c r="P6706" s="226"/>
      <c r="Q6706" s="226"/>
      <c r="R6706" s="226"/>
      <c r="S6706" s="226"/>
      <c r="T6706" s="226"/>
      <c r="U6706" s="226"/>
    </row>
    <row r="6707" spans="16:21" x14ac:dyDescent="0.35">
      <c r="P6707" s="226"/>
      <c r="Q6707" s="226"/>
      <c r="R6707" s="226"/>
      <c r="S6707" s="226"/>
      <c r="T6707" s="226"/>
      <c r="U6707" s="226"/>
    </row>
    <row r="6708" spans="16:21" x14ac:dyDescent="0.35">
      <c r="P6708" s="226"/>
      <c r="Q6708" s="226"/>
      <c r="R6708" s="226"/>
      <c r="S6708" s="226"/>
      <c r="T6708" s="226"/>
      <c r="U6708" s="226"/>
    </row>
    <row r="6709" spans="16:21" x14ac:dyDescent="0.35">
      <c r="P6709" s="226"/>
      <c r="Q6709" s="226"/>
      <c r="R6709" s="226"/>
      <c r="S6709" s="226"/>
      <c r="T6709" s="226"/>
      <c r="U6709" s="226"/>
    </row>
    <row r="6710" spans="16:21" x14ac:dyDescent="0.35">
      <c r="P6710" s="226"/>
      <c r="Q6710" s="226"/>
      <c r="R6710" s="226"/>
      <c r="S6710" s="226"/>
      <c r="T6710" s="226"/>
      <c r="U6710" s="226"/>
    </row>
    <row r="6711" spans="16:21" x14ac:dyDescent="0.35">
      <c r="P6711" s="226"/>
      <c r="Q6711" s="226"/>
      <c r="R6711" s="226"/>
      <c r="S6711" s="226"/>
      <c r="T6711" s="226"/>
      <c r="U6711" s="226"/>
    </row>
    <row r="6712" spans="16:21" x14ac:dyDescent="0.35">
      <c r="P6712" s="226"/>
      <c r="Q6712" s="226"/>
      <c r="R6712" s="226"/>
      <c r="S6712" s="226"/>
      <c r="T6712" s="226"/>
      <c r="U6712" s="226"/>
    </row>
    <row r="6713" spans="16:21" x14ac:dyDescent="0.35">
      <c r="P6713" s="226"/>
      <c r="Q6713" s="226"/>
      <c r="R6713" s="226"/>
      <c r="S6713" s="226"/>
      <c r="T6713" s="226"/>
      <c r="U6713" s="226"/>
    </row>
    <row r="6714" spans="16:21" x14ac:dyDescent="0.35">
      <c r="P6714" s="226"/>
      <c r="Q6714" s="226"/>
      <c r="R6714" s="226"/>
      <c r="S6714" s="226"/>
      <c r="T6714" s="226"/>
      <c r="U6714" s="226"/>
    </row>
    <row r="6715" spans="16:21" x14ac:dyDescent="0.35">
      <c r="P6715" s="226"/>
      <c r="Q6715" s="226"/>
      <c r="R6715" s="226"/>
      <c r="S6715" s="226"/>
      <c r="T6715" s="226"/>
      <c r="U6715" s="226"/>
    </row>
    <row r="6716" spans="16:21" x14ac:dyDescent="0.35">
      <c r="P6716" s="226"/>
      <c r="Q6716" s="226"/>
      <c r="R6716" s="226"/>
      <c r="S6716" s="226"/>
      <c r="T6716" s="226"/>
      <c r="U6716" s="226"/>
    </row>
    <row r="6717" spans="16:21" x14ac:dyDescent="0.35">
      <c r="P6717" s="226"/>
      <c r="Q6717" s="226"/>
      <c r="R6717" s="226"/>
      <c r="S6717" s="226"/>
      <c r="T6717" s="226"/>
      <c r="U6717" s="226"/>
    </row>
    <row r="6718" spans="16:21" x14ac:dyDescent="0.35">
      <c r="P6718" s="226"/>
      <c r="Q6718" s="226"/>
      <c r="R6718" s="226"/>
      <c r="S6718" s="226"/>
      <c r="T6718" s="226"/>
      <c r="U6718" s="226"/>
    </row>
    <row r="6719" spans="16:21" x14ac:dyDescent="0.35">
      <c r="P6719" s="226"/>
      <c r="Q6719" s="226"/>
      <c r="R6719" s="226"/>
      <c r="S6719" s="226"/>
      <c r="T6719" s="226"/>
      <c r="U6719" s="226"/>
    </row>
    <row r="6720" spans="16:21" x14ac:dyDescent="0.35">
      <c r="P6720" s="226"/>
      <c r="Q6720" s="226"/>
      <c r="R6720" s="226"/>
      <c r="S6720" s="226"/>
      <c r="T6720" s="226"/>
      <c r="U6720" s="226"/>
    </row>
    <row r="6721" spans="16:21" x14ac:dyDescent="0.35">
      <c r="P6721" s="226"/>
      <c r="Q6721" s="226"/>
      <c r="R6721" s="226"/>
      <c r="S6721" s="226"/>
      <c r="T6721" s="226"/>
      <c r="U6721" s="226"/>
    </row>
    <row r="6722" spans="16:21" x14ac:dyDescent="0.35">
      <c r="P6722" s="226"/>
      <c r="Q6722" s="226"/>
      <c r="R6722" s="226"/>
      <c r="S6722" s="226"/>
      <c r="T6722" s="226"/>
      <c r="U6722" s="226"/>
    </row>
    <row r="6723" spans="16:21" x14ac:dyDescent="0.35">
      <c r="P6723" s="226"/>
      <c r="Q6723" s="226"/>
      <c r="R6723" s="226"/>
      <c r="S6723" s="226"/>
      <c r="T6723" s="226"/>
      <c r="U6723" s="226"/>
    </row>
    <row r="6724" spans="16:21" x14ac:dyDescent="0.35">
      <c r="P6724" s="226"/>
      <c r="Q6724" s="226"/>
      <c r="R6724" s="226"/>
      <c r="S6724" s="226"/>
      <c r="T6724" s="226"/>
      <c r="U6724" s="226"/>
    </row>
    <row r="6725" spans="16:21" x14ac:dyDescent="0.35">
      <c r="P6725" s="226"/>
      <c r="Q6725" s="226"/>
      <c r="R6725" s="226"/>
      <c r="S6725" s="226"/>
      <c r="T6725" s="226"/>
      <c r="U6725" s="226"/>
    </row>
    <row r="6726" spans="16:21" x14ac:dyDescent="0.35">
      <c r="P6726" s="226"/>
      <c r="Q6726" s="226"/>
      <c r="R6726" s="226"/>
      <c r="S6726" s="226"/>
      <c r="T6726" s="226"/>
      <c r="U6726" s="226"/>
    </row>
    <row r="6727" spans="16:21" x14ac:dyDescent="0.35">
      <c r="P6727" s="226"/>
      <c r="Q6727" s="226"/>
      <c r="R6727" s="226"/>
      <c r="S6727" s="226"/>
      <c r="T6727" s="226"/>
      <c r="U6727" s="226"/>
    </row>
    <row r="6728" spans="16:21" x14ac:dyDescent="0.35">
      <c r="P6728" s="226"/>
      <c r="Q6728" s="226"/>
      <c r="R6728" s="226"/>
      <c r="S6728" s="226"/>
      <c r="T6728" s="226"/>
      <c r="U6728" s="226"/>
    </row>
    <row r="6729" spans="16:21" x14ac:dyDescent="0.35">
      <c r="P6729" s="226"/>
      <c r="Q6729" s="226"/>
      <c r="R6729" s="226"/>
      <c r="S6729" s="226"/>
      <c r="T6729" s="226"/>
      <c r="U6729" s="226"/>
    </row>
    <row r="6730" spans="16:21" x14ac:dyDescent="0.35">
      <c r="P6730" s="226"/>
      <c r="Q6730" s="226"/>
      <c r="R6730" s="226"/>
      <c r="S6730" s="226"/>
      <c r="T6730" s="226"/>
      <c r="U6730" s="226"/>
    </row>
    <row r="6731" spans="16:21" x14ac:dyDescent="0.35">
      <c r="P6731" s="226"/>
      <c r="Q6731" s="226"/>
      <c r="R6731" s="226"/>
      <c r="S6731" s="226"/>
      <c r="T6731" s="226"/>
      <c r="U6731" s="226"/>
    </row>
    <row r="6732" spans="16:21" x14ac:dyDescent="0.35">
      <c r="P6732" s="226"/>
      <c r="Q6732" s="226"/>
      <c r="R6732" s="226"/>
      <c r="S6732" s="226"/>
      <c r="T6732" s="226"/>
      <c r="U6732" s="226"/>
    </row>
    <row r="6733" spans="16:21" x14ac:dyDescent="0.35">
      <c r="P6733" s="226"/>
      <c r="Q6733" s="226"/>
      <c r="R6733" s="226"/>
      <c r="S6733" s="226"/>
      <c r="T6733" s="226"/>
      <c r="U6733" s="226"/>
    </row>
    <row r="6734" spans="16:21" x14ac:dyDescent="0.35">
      <c r="P6734" s="226"/>
      <c r="Q6734" s="226"/>
      <c r="R6734" s="226"/>
      <c r="S6734" s="226"/>
      <c r="T6734" s="226"/>
      <c r="U6734" s="226"/>
    </row>
    <row r="6735" spans="16:21" x14ac:dyDescent="0.35">
      <c r="P6735" s="226"/>
      <c r="Q6735" s="226"/>
      <c r="R6735" s="226"/>
      <c r="S6735" s="226"/>
      <c r="T6735" s="226"/>
      <c r="U6735" s="226"/>
    </row>
    <row r="6736" spans="16:21" x14ac:dyDescent="0.35">
      <c r="P6736" s="226"/>
      <c r="Q6736" s="226"/>
      <c r="R6736" s="226"/>
      <c r="S6736" s="226"/>
      <c r="T6736" s="226"/>
      <c r="U6736" s="226"/>
    </row>
    <row r="6737" spans="16:21" x14ac:dyDescent="0.35">
      <c r="P6737" s="226"/>
      <c r="Q6737" s="226"/>
      <c r="R6737" s="226"/>
      <c r="S6737" s="226"/>
      <c r="T6737" s="226"/>
      <c r="U6737" s="226"/>
    </row>
    <row r="6738" spans="16:21" x14ac:dyDescent="0.35">
      <c r="P6738" s="226"/>
      <c r="Q6738" s="226"/>
      <c r="R6738" s="226"/>
      <c r="S6738" s="226"/>
      <c r="T6738" s="226"/>
      <c r="U6738" s="226"/>
    </row>
    <row r="6739" spans="16:21" x14ac:dyDescent="0.35">
      <c r="P6739" s="226"/>
      <c r="Q6739" s="226"/>
      <c r="R6739" s="226"/>
      <c r="S6739" s="226"/>
      <c r="T6739" s="226"/>
      <c r="U6739" s="226"/>
    </row>
    <row r="6740" spans="16:21" x14ac:dyDescent="0.35">
      <c r="P6740" s="226"/>
      <c r="Q6740" s="226"/>
      <c r="R6740" s="226"/>
      <c r="S6740" s="226"/>
      <c r="T6740" s="226"/>
      <c r="U6740" s="226"/>
    </row>
    <row r="6741" spans="16:21" x14ac:dyDescent="0.35">
      <c r="P6741" s="226"/>
      <c r="Q6741" s="226"/>
      <c r="R6741" s="226"/>
      <c r="S6741" s="226"/>
      <c r="T6741" s="226"/>
      <c r="U6741" s="226"/>
    </row>
    <row r="6742" spans="16:21" x14ac:dyDescent="0.35">
      <c r="P6742" s="226"/>
      <c r="Q6742" s="226"/>
      <c r="R6742" s="226"/>
      <c r="S6742" s="226"/>
      <c r="T6742" s="226"/>
      <c r="U6742" s="226"/>
    </row>
    <row r="6743" spans="16:21" x14ac:dyDescent="0.35">
      <c r="P6743" s="226"/>
      <c r="Q6743" s="226"/>
      <c r="R6743" s="226"/>
      <c r="S6743" s="226"/>
      <c r="T6743" s="226"/>
      <c r="U6743" s="226"/>
    </row>
    <row r="6744" spans="16:21" x14ac:dyDescent="0.35">
      <c r="P6744" s="226"/>
      <c r="Q6744" s="226"/>
      <c r="R6744" s="226"/>
      <c r="S6744" s="226"/>
      <c r="T6744" s="226"/>
      <c r="U6744" s="226"/>
    </row>
    <row r="6745" spans="16:21" x14ac:dyDescent="0.35">
      <c r="P6745" s="226"/>
      <c r="Q6745" s="226"/>
      <c r="R6745" s="226"/>
      <c r="S6745" s="226"/>
      <c r="T6745" s="226"/>
      <c r="U6745" s="226"/>
    </row>
    <row r="6746" spans="16:21" x14ac:dyDescent="0.35">
      <c r="P6746" s="226"/>
      <c r="Q6746" s="226"/>
      <c r="R6746" s="226"/>
      <c r="S6746" s="226"/>
      <c r="T6746" s="226"/>
      <c r="U6746" s="226"/>
    </row>
    <row r="6747" spans="16:21" x14ac:dyDescent="0.35">
      <c r="P6747" s="226"/>
      <c r="Q6747" s="226"/>
      <c r="R6747" s="226"/>
      <c r="S6747" s="226"/>
      <c r="T6747" s="226"/>
      <c r="U6747" s="226"/>
    </row>
    <row r="6748" spans="16:21" x14ac:dyDescent="0.35">
      <c r="P6748" s="226"/>
      <c r="Q6748" s="226"/>
      <c r="R6748" s="226"/>
      <c r="S6748" s="226"/>
      <c r="T6748" s="226"/>
      <c r="U6748" s="226"/>
    </row>
    <row r="6749" spans="16:21" x14ac:dyDescent="0.35">
      <c r="P6749" s="226"/>
      <c r="Q6749" s="226"/>
      <c r="R6749" s="226"/>
      <c r="S6749" s="226"/>
      <c r="T6749" s="226"/>
      <c r="U6749" s="226"/>
    </row>
    <row r="6750" spans="16:21" x14ac:dyDescent="0.35">
      <c r="P6750" s="226"/>
      <c r="Q6750" s="226"/>
      <c r="R6750" s="226"/>
      <c r="S6750" s="226"/>
      <c r="T6750" s="226"/>
      <c r="U6750" s="226"/>
    </row>
    <row r="6751" spans="16:21" x14ac:dyDescent="0.35">
      <c r="P6751" s="226"/>
      <c r="Q6751" s="226"/>
      <c r="R6751" s="226"/>
      <c r="S6751" s="226"/>
      <c r="T6751" s="226"/>
      <c r="U6751" s="226"/>
    </row>
    <row r="6752" spans="16:21" x14ac:dyDescent="0.35">
      <c r="P6752" s="226"/>
      <c r="Q6752" s="226"/>
      <c r="R6752" s="226"/>
      <c r="S6752" s="226"/>
      <c r="T6752" s="226"/>
      <c r="U6752" s="226"/>
    </row>
    <row r="6753" spans="16:21" x14ac:dyDescent="0.35">
      <c r="P6753" s="226"/>
      <c r="Q6753" s="226"/>
      <c r="R6753" s="226"/>
      <c r="S6753" s="226"/>
      <c r="T6753" s="226"/>
      <c r="U6753" s="226"/>
    </row>
    <row r="6754" spans="16:21" x14ac:dyDescent="0.35">
      <c r="P6754" s="226"/>
      <c r="Q6754" s="226"/>
      <c r="R6754" s="226"/>
      <c r="S6754" s="226"/>
      <c r="T6754" s="226"/>
      <c r="U6754" s="226"/>
    </row>
    <row r="6755" spans="16:21" x14ac:dyDescent="0.35">
      <c r="P6755" s="226"/>
      <c r="Q6755" s="226"/>
      <c r="R6755" s="226"/>
      <c r="S6755" s="226"/>
      <c r="T6755" s="226"/>
      <c r="U6755" s="226"/>
    </row>
    <row r="6756" spans="16:21" x14ac:dyDescent="0.35">
      <c r="P6756" s="226"/>
      <c r="Q6756" s="226"/>
      <c r="R6756" s="226"/>
      <c r="S6756" s="226"/>
      <c r="T6756" s="226"/>
      <c r="U6756" s="226"/>
    </row>
    <row r="6757" spans="16:21" x14ac:dyDescent="0.35">
      <c r="P6757" s="226"/>
      <c r="Q6757" s="226"/>
      <c r="R6757" s="226"/>
      <c r="S6757" s="226"/>
      <c r="T6757" s="226"/>
      <c r="U6757" s="226"/>
    </row>
    <row r="6758" spans="16:21" x14ac:dyDescent="0.35">
      <c r="P6758" s="226"/>
      <c r="Q6758" s="226"/>
      <c r="R6758" s="226"/>
      <c r="S6758" s="226"/>
      <c r="T6758" s="226"/>
      <c r="U6758" s="226"/>
    </row>
    <row r="6759" spans="16:21" x14ac:dyDescent="0.35">
      <c r="P6759" s="226"/>
      <c r="Q6759" s="226"/>
      <c r="R6759" s="226"/>
      <c r="S6759" s="226"/>
      <c r="T6759" s="226"/>
      <c r="U6759" s="226"/>
    </row>
    <row r="6760" spans="16:21" x14ac:dyDescent="0.35">
      <c r="P6760" s="226"/>
      <c r="Q6760" s="226"/>
      <c r="R6760" s="226"/>
      <c r="S6760" s="226"/>
      <c r="T6760" s="226"/>
      <c r="U6760" s="226"/>
    </row>
    <row r="6761" spans="16:21" x14ac:dyDescent="0.35">
      <c r="P6761" s="226"/>
      <c r="Q6761" s="226"/>
      <c r="R6761" s="226"/>
      <c r="S6761" s="226"/>
      <c r="T6761" s="226"/>
      <c r="U6761" s="226"/>
    </row>
    <row r="6762" spans="16:21" x14ac:dyDescent="0.35">
      <c r="P6762" s="226"/>
      <c r="Q6762" s="226"/>
      <c r="R6762" s="226"/>
      <c r="S6762" s="226"/>
      <c r="T6762" s="226"/>
      <c r="U6762" s="226"/>
    </row>
    <row r="6763" spans="16:21" x14ac:dyDescent="0.35">
      <c r="P6763" s="226"/>
      <c r="Q6763" s="226"/>
      <c r="R6763" s="226"/>
      <c r="S6763" s="226"/>
      <c r="T6763" s="226"/>
      <c r="U6763" s="226"/>
    </row>
    <row r="6764" spans="16:21" x14ac:dyDescent="0.35">
      <c r="P6764" s="226"/>
      <c r="Q6764" s="226"/>
      <c r="R6764" s="226"/>
      <c r="S6764" s="226"/>
      <c r="T6764" s="226"/>
      <c r="U6764" s="226"/>
    </row>
    <row r="6765" spans="16:21" x14ac:dyDescent="0.35">
      <c r="P6765" s="226"/>
      <c r="Q6765" s="226"/>
      <c r="R6765" s="226"/>
      <c r="S6765" s="226"/>
      <c r="T6765" s="226"/>
      <c r="U6765" s="226"/>
    </row>
    <row r="6766" spans="16:21" x14ac:dyDescent="0.35">
      <c r="P6766" s="226"/>
      <c r="Q6766" s="226"/>
      <c r="R6766" s="226"/>
      <c r="S6766" s="226"/>
      <c r="T6766" s="226"/>
      <c r="U6766" s="226"/>
    </row>
    <row r="6767" spans="16:21" x14ac:dyDescent="0.35">
      <c r="P6767" s="226"/>
      <c r="Q6767" s="226"/>
      <c r="R6767" s="226"/>
      <c r="S6767" s="226"/>
      <c r="T6767" s="226"/>
      <c r="U6767" s="226"/>
    </row>
    <row r="6768" spans="16:21" x14ac:dyDescent="0.35">
      <c r="P6768" s="226"/>
      <c r="Q6768" s="226"/>
      <c r="R6768" s="226"/>
      <c r="S6768" s="226"/>
      <c r="T6768" s="226"/>
      <c r="U6768" s="226"/>
    </row>
    <row r="6769" spans="16:21" x14ac:dyDescent="0.35">
      <c r="P6769" s="226"/>
      <c r="Q6769" s="226"/>
      <c r="R6769" s="226"/>
      <c r="S6769" s="226"/>
      <c r="T6769" s="226"/>
      <c r="U6769" s="226"/>
    </row>
    <row r="6770" spans="16:21" x14ac:dyDescent="0.35">
      <c r="P6770" s="226"/>
      <c r="Q6770" s="226"/>
      <c r="R6770" s="226"/>
      <c r="S6770" s="226"/>
      <c r="T6770" s="226"/>
      <c r="U6770" s="226"/>
    </row>
    <row r="6771" spans="16:21" x14ac:dyDescent="0.35">
      <c r="P6771" s="226"/>
      <c r="Q6771" s="226"/>
      <c r="R6771" s="226"/>
      <c r="S6771" s="226"/>
      <c r="T6771" s="226"/>
      <c r="U6771" s="226"/>
    </row>
    <row r="6772" spans="16:21" x14ac:dyDescent="0.35">
      <c r="P6772" s="226"/>
      <c r="Q6772" s="226"/>
      <c r="R6772" s="226"/>
      <c r="S6772" s="226"/>
      <c r="T6772" s="226"/>
      <c r="U6772" s="226"/>
    </row>
    <row r="6773" spans="16:21" x14ac:dyDescent="0.35">
      <c r="P6773" s="226"/>
      <c r="Q6773" s="226"/>
      <c r="R6773" s="226"/>
      <c r="S6773" s="226"/>
      <c r="T6773" s="226"/>
      <c r="U6773" s="226"/>
    </row>
    <row r="6774" spans="16:21" x14ac:dyDescent="0.35">
      <c r="P6774" s="226"/>
      <c r="Q6774" s="226"/>
      <c r="R6774" s="226"/>
      <c r="S6774" s="226"/>
      <c r="T6774" s="226"/>
      <c r="U6774" s="226"/>
    </row>
    <row r="6775" spans="16:21" x14ac:dyDescent="0.35">
      <c r="P6775" s="226"/>
      <c r="Q6775" s="226"/>
      <c r="R6775" s="226"/>
      <c r="S6775" s="226"/>
      <c r="T6775" s="226"/>
      <c r="U6775" s="226"/>
    </row>
    <row r="6776" spans="16:21" x14ac:dyDescent="0.35">
      <c r="P6776" s="226"/>
      <c r="Q6776" s="226"/>
      <c r="R6776" s="226"/>
      <c r="S6776" s="226"/>
      <c r="T6776" s="226"/>
      <c r="U6776" s="226"/>
    </row>
    <row r="6777" spans="16:21" x14ac:dyDescent="0.35">
      <c r="P6777" s="226"/>
      <c r="Q6777" s="226"/>
      <c r="R6777" s="226"/>
      <c r="S6777" s="226"/>
      <c r="T6777" s="226"/>
      <c r="U6777" s="226"/>
    </row>
    <row r="6778" spans="16:21" x14ac:dyDescent="0.35">
      <c r="P6778" s="226"/>
      <c r="Q6778" s="226"/>
      <c r="R6778" s="226"/>
      <c r="S6778" s="226"/>
      <c r="T6778" s="226"/>
      <c r="U6778" s="226"/>
    </row>
    <row r="6779" spans="16:21" x14ac:dyDescent="0.35">
      <c r="P6779" s="226"/>
      <c r="Q6779" s="226"/>
      <c r="R6779" s="226"/>
      <c r="S6779" s="226"/>
      <c r="T6779" s="226"/>
      <c r="U6779" s="226"/>
    </row>
    <row r="6780" spans="16:21" x14ac:dyDescent="0.35">
      <c r="P6780" s="226"/>
      <c r="Q6780" s="226"/>
      <c r="R6780" s="226"/>
      <c r="S6780" s="226"/>
      <c r="T6780" s="226"/>
      <c r="U6780" s="226"/>
    </row>
    <row r="6781" spans="16:21" x14ac:dyDescent="0.35">
      <c r="P6781" s="226"/>
      <c r="Q6781" s="226"/>
      <c r="R6781" s="226"/>
      <c r="S6781" s="226"/>
      <c r="T6781" s="226"/>
      <c r="U6781" s="226"/>
    </row>
    <row r="6782" spans="16:21" x14ac:dyDescent="0.35">
      <c r="P6782" s="226"/>
      <c r="Q6782" s="226"/>
      <c r="R6782" s="226"/>
      <c r="S6782" s="226"/>
      <c r="T6782" s="226"/>
      <c r="U6782" s="226"/>
    </row>
    <row r="6783" spans="16:21" x14ac:dyDescent="0.35">
      <c r="P6783" s="226"/>
      <c r="Q6783" s="226"/>
      <c r="R6783" s="226"/>
      <c r="S6783" s="226"/>
      <c r="T6783" s="226"/>
      <c r="U6783" s="226"/>
    </row>
    <row r="6784" spans="16:21" x14ac:dyDescent="0.35">
      <c r="P6784" s="226"/>
      <c r="Q6784" s="226"/>
      <c r="R6784" s="226"/>
      <c r="S6784" s="226"/>
      <c r="T6784" s="226"/>
      <c r="U6784" s="226"/>
    </row>
    <row r="6785" spans="16:21" x14ac:dyDescent="0.35">
      <c r="P6785" s="226"/>
      <c r="Q6785" s="226"/>
      <c r="R6785" s="226"/>
      <c r="S6785" s="226"/>
      <c r="T6785" s="226"/>
      <c r="U6785" s="226"/>
    </row>
    <row r="6786" spans="16:21" x14ac:dyDescent="0.35">
      <c r="P6786" s="226"/>
      <c r="Q6786" s="226"/>
      <c r="R6786" s="226"/>
      <c r="S6786" s="226"/>
      <c r="T6786" s="226"/>
      <c r="U6786" s="226"/>
    </row>
    <row r="6787" spans="16:21" x14ac:dyDescent="0.35">
      <c r="P6787" s="226"/>
      <c r="Q6787" s="226"/>
      <c r="R6787" s="226"/>
      <c r="S6787" s="226"/>
      <c r="T6787" s="226"/>
      <c r="U6787" s="226"/>
    </row>
    <row r="6788" spans="16:21" x14ac:dyDescent="0.35">
      <c r="P6788" s="226"/>
      <c r="Q6788" s="226"/>
      <c r="R6788" s="226"/>
      <c r="S6788" s="226"/>
      <c r="T6788" s="226"/>
      <c r="U6788" s="226"/>
    </row>
    <row r="6789" spans="16:21" x14ac:dyDescent="0.35">
      <c r="P6789" s="226"/>
      <c r="Q6789" s="226"/>
      <c r="R6789" s="226"/>
      <c r="S6789" s="226"/>
      <c r="T6789" s="226"/>
      <c r="U6789" s="226"/>
    </row>
    <row r="6790" spans="16:21" x14ac:dyDescent="0.35">
      <c r="P6790" s="226"/>
      <c r="Q6790" s="226"/>
      <c r="R6790" s="226"/>
      <c r="S6790" s="226"/>
      <c r="T6790" s="226"/>
      <c r="U6790" s="226"/>
    </row>
    <row r="6791" spans="16:21" x14ac:dyDescent="0.35">
      <c r="P6791" s="226"/>
      <c r="Q6791" s="226"/>
      <c r="R6791" s="226"/>
      <c r="S6791" s="226"/>
      <c r="T6791" s="226"/>
      <c r="U6791" s="226"/>
    </row>
    <row r="6792" spans="16:21" x14ac:dyDescent="0.35">
      <c r="P6792" s="226"/>
      <c r="Q6792" s="226"/>
      <c r="R6792" s="226"/>
      <c r="S6792" s="226"/>
      <c r="T6792" s="226"/>
      <c r="U6792" s="226"/>
    </row>
    <row r="6793" spans="16:21" x14ac:dyDescent="0.35">
      <c r="P6793" s="226"/>
      <c r="Q6793" s="226"/>
      <c r="R6793" s="226"/>
      <c r="S6793" s="226"/>
      <c r="T6793" s="226"/>
      <c r="U6793" s="226"/>
    </row>
    <row r="6794" spans="16:21" x14ac:dyDescent="0.35">
      <c r="P6794" s="226"/>
      <c r="Q6794" s="226"/>
      <c r="R6794" s="226"/>
      <c r="S6794" s="226"/>
      <c r="T6794" s="226"/>
      <c r="U6794" s="226"/>
    </row>
    <row r="6795" spans="16:21" x14ac:dyDescent="0.35">
      <c r="P6795" s="226"/>
      <c r="Q6795" s="226"/>
      <c r="R6795" s="226"/>
      <c r="S6795" s="226"/>
      <c r="T6795" s="226"/>
      <c r="U6795" s="226"/>
    </row>
    <row r="6796" spans="16:21" x14ac:dyDescent="0.35">
      <c r="P6796" s="226"/>
      <c r="Q6796" s="226"/>
      <c r="R6796" s="226"/>
      <c r="S6796" s="226"/>
      <c r="T6796" s="226"/>
      <c r="U6796" s="226"/>
    </row>
    <row r="6797" spans="16:21" x14ac:dyDescent="0.35">
      <c r="P6797" s="226"/>
      <c r="Q6797" s="226"/>
      <c r="R6797" s="226"/>
      <c r="S6797" s="226"/>
      <c r="T6797" s="226"/>
      <c r="U6797" s="226"/>
    </row>
    <row r="6798" spans="16:21" x14ac:dyDescent="0.35">
      <c r="P6798" s="226"/>
      <c r="Q6798" s="226"/>
      <c r="R6798" s="226"/>
      <c r="S6798" s="226"/>
      <c r="T6798" s="226"/>
      <c r="U6798" s="226"/>
    </row>
    <row r="6799" spans="16:21" x14ac:dyDescent="0.35">
      <c r="P6799" s="226"/>
      <c r="Q6799" s="226"/>
      <c r="R6799" s="226"/>
      <c r="S6799" s="226"/>
      <c r="T6799" s="226"/>
      <c r="U6799" s="226"/>
    </row>
    <row r="6800" spans="16:21" x14ac:dyDescent="0.35">
      <c r="P6800" s="226"/>
      <c r="Q6800" s="226"/>
      <c r="R6800" s="226"/>
      <c r="S6800" s="226"/>
      <c r="T6800" s="226"/>
      <c r="U6800" s="226"/>
    </row>
    <row r="6801" spans="16:21" x14ac:dyDescent="0.35">
      <c r="P6801" s="226"/>
      <c r="Q6801" s="226"/>
      <c r="R6801" s="226"/>
      <c r="S6801" s="226"/>
      <c r="T6801" s="226"/>
      <c r="U6801" s="226"/>
    </row>
    <row r="6802" spans="16:21" x14ac:dyDescent="0.35">
      <c r="P6802" s="226"/>
      <c r="Q6802" s="226"/>
      <c r="R6802" s="226"/>
      <c r="S6802" s="226"/>
      <c r="T6802" s="226"/>
      <c r="U6802" s="226"/>
    </row>
    <row r="6803" spans="16:21" x14ac:dyDescent="0.35">
      <c r="P6803" s="226"/>
      <c r="Q6803" s="226"/>
      <c r="R6803" s="226"/>
      <c r="S6803" s="226"/>
      <c r="T6803" s="226"/>
      <c r="U6803" s="226"/>
    </row>
    <row r="6804" spans="16:21" x14ac:dyDescent="0.35">
      <c r="P6804" s="226"/>
      <c r="Q6804" s="226"/>
      <c r="R6804" s="226"/>
      <c r="S6804" s="226"/>
      <c r="T6804" s="226"/>
      <c r="U6804" s="226"/>
    </row>
    <row r="6805" spans="16:21" x14ac:dyDescent="0.35">
      <c r="P6805" s="226"/>
      <c r="Q6805" s="226"/>
      <c r="R6805" s="226"/>
      <c r="S6805" s="226"/>
      <c r="T6805" s="226"/>
      <c r="U6805" s="226"/>
    </row>
    <row r="6806" spans="16:21" x14ac:dyDescent="0.35">
      <c r="P6806" s="226"/>
      <c r="Q6806" s="226"/>
      <c r="R6806" s="226"/>
      <c r="S6806" s="226"/>
      <c r="T6806" s="226"/>
      <c r="U6806" s="226"/>
    </row>
    <row r="6807" spans="16:21" x14ac:dyDescent="0.35">
      <c r="P6807" s="226"/>
      <c r="Q6807" s="226"/>
      <c r="R6807" s="226"/>
      <c r="S6807" s="226"/>
      <c r="T6807" s="226"/>
      <c r="U6807" s="226"/>
    </row>
    <row r="6808" spans="16:21" x14ac:dyDescent="0.35">
      <c r="P6808" s="226"/>
      <c r="Q6808" s="226"/>
      <c r="R6808" s="226"/>
      <c r="S6808" s="226"/>
      <c r="T6808" s="226"/>
      <c r="U6808" s="226"/>
    </row>
    <row r="6809" spans="16:21" x14ac:dyDescent="0.35">
      <c r="P6809" s="226"/>
      <c r="Q6809" s="226"/>
      <c r="R6809" s="226"/>
      <c r="S6809" s="226"/>
      <c r="T6809" s="226"/>
      <c r="U6809" s="226"/>
    </row>
    <row r="6810" spans="16:21" x14ac:dyDescent="0.35">
      <c r="P6810" s="226"/>
      <c r="Q6810" s="226"/>
      <c r="R6810" s="226"/>
      <c r="S6810" s="226"/>
      <c r="T6810" s="226"/>
      <c r="U6810" s="226"/>
    </row>
    <row r="6811" spans="16:21" x14ac:dyDescent="0.35">
      <c r="P6811" s="226"/>
      <c r="Q6811" s="226"/>
      <c r="R6811" s="226"/>
      <c r="S6811" s="226"/>
      <c r="T6811" s="226"/>
      <c r="U6811" s="226"/>
    </row>
    <row r="6812" spans="16:21" x14ac:dyDescent="0.35">
      <c r="P6812" s="226"/>
      <c r="Q6812" s="226"/>
      <c r="R6812" s="226"/>
      <c r="S6812" s="226"/>
      <c r="T6812" s="226"/>
      <c r="U6812" s="226"/>
    </row>
    <row r="6813" spans="16:21" x14ac:dyDescent="0.35">
      <c r="P6813" s="226"/>
      <c r="Q6813" s="226"/>
      <c r="R6813" s="226"/>
      <c r="S6813" s="226"/>
      <c r="T6813" s="226"/>
      <c r="U6813" s="226"/>
    </row>
    <row r="6814" spans="16:21" x14ac:dyDescent="0.35">
      <c r="P6814" s="226"/>
      <c r="Q6814" s="226"/>
      <c r="R6814" s="226"/>
      <c r="S6814" s="226"/>
      <c r="T6814" s="226"/>
      <c r="U6814" s="226"/>
    </row>
    <row r="6815" spans="16:21" x14ac:dyDescent="0.35">
      <c r="P6815" s="226"/>
      <c r="Q6815" s="226"/>
      <c r="R6815" s="226"/>
      <c r="S6815" s="226"/>
      <c r="T6815" s="226"/>
      <c r="U6815" s="226"/>
    </row>
    <row r="6816" spans="16:21" x14ac:dyDescent="0.35">
      <c r="P6816" s="226"/>
      <c r="Q6816" s="226"/>
      <c r="R6816" s="226"/>
      <c r="S6816" s="226"/>
      <c r="T6816" s="226"/>
      <c r="U6816" s="226"/>
    </row>
    <row r="6817" spans="16:21" x14ac:dyDescent="0.35">
      <c r="P6817" s="226"/>
      <c r="Q6817" s="226"/>
      <c r="R6817" s="226"/>
      <c r="S6817" s="226"/>
      <c r="T6817" s="226"/>
      <c r="U6817" s="226"/>
    </row>
    <row r="6818" spans="16:21" x14ac:dyDescent="0.35">
      <c r="P6818" s="226"/>
      <c r="Q6818" s="226"/>
      <c r="R6818" s="226"/>
      <c r="S6818" s="226"/>
      <c r="T6818" s="226"/>
      <c r="U6818" s="226"/>
    </row>
    <row r="6819" spans="16:21" x14ac:dyDescent="0.35">
      <c r="P6819" s="226"/>
      <c r="Q6819" s="226"/>
      <c r="R6819" s="226"/>
      <c r="S6819" s="226"/>
      <c r="T6819" s="226"/>
      <c r="U6819" s="226"/>
    </row>
    <row r="6820" spans="16:21" x14ac:dyDescent="0.35">
      <c r="P6820" s="226"/>
      <c r="Q6820" s="226"/>
      <c r="R6820" s="226"/>
      <c r="S6820" s="226"/>
      <c r="T6820" s="226"/>
      <c r="U6820" s="226"/>
    </row>
    <row r="6821" spans="16:21" x14ac:dyDescent="0.35">
      <c r="P6821" s="226"/>
      <c r="Q6821" s="226"/>
      <c r="R6821" s="226"/>
      <c r="S6821" s="226"/>
      <c r="T6821" s="226"/>
      <c r="U6821" s="226"/>
    </row>
    <row r="6822" spans="16:21" x14ac:dyDescent="0.35">
      <c r="P6822" s="226"/>
      <c r="Q6822" s="226"/>
      <c r="R6822" s="226"/>
      <c r="S6822" s="226"/>
      <c r="T6822" s="226"/>
      <c r="U6822" s="226"/>
    </row>
    <row r="6823" spans="16:21" x14ac:dyDescent="0.35">
      <c r="P6823" s="226"/>
      <c r="Q6823" s="226"/>
      <c r="R6823" s="226"/>
      <c r="S6823" s="226"/>
      <c r="T6823" s="226"/>
      <c r="U6823" s="226"/>
    </row>
    <row r="6824" spans="16:21" x14ac:dyDescent="0.35">
      <c r="P6824" s="226"/>
      <c r="Q6824" s="226"/>
      <c r="R6824" s="226"/>
      <c r="S6824" s="226"/>
      <c r="T6824" s="226"/>
      <c r="U6824" s="226"/>
    </row>
    <row r="6825" spans="16:21" x14ac:dyDescent="0.35">
      <c r="P6825" s="226"/>
      <c r="Q6825" s="226"/>
      <c r="R6825" s="226"/>
      <c r="S6825" s="226"/>
      <c r="T6825" s="226"/>
      <c r="U6825" s="226"/>
    </row>
    <row r="6826" spans="16:21" x14ac:dyDescent="0.35">
      <c r="P6826" s="226"/>
      <c r="Q6826" s="226"/>
      <c r="R6826" s="226"/>
      <c r="S6826" s="226"/>
      <c r="T6826" s="226"/>
      <c r="U6826" s="226"/>
    </row>
    <row r="6827" spans="16:21" x14ac:dyDescent="0.35">
      <c r="P6827" s="226"/>
      <c r="Q6827" s="226"/>
      <c r="R6827" s="226"/>
      <c r="S6827" s="226"/>
      <c r="T6827" s="226"/>
      <c r="U6827" s="226"/>
    </row>
    <row r="6828" spans="16:21" x14ac:dyDescent="0.35">
      <c r="P6828" s="226"/>
      <c r="Q6828" s="226"/>
      <c r="R6828" s="226"/>
      <c r="S6828" s="226"/>
      <c r="T6828" s="226"/>
      <c r="U6828" s="226"/>
    </row>
    <row r="6829" spans="16:21" x14ac:dyDescent="0.35">
      <c r="P6829" s="226"/>
      <c r="Q6829" s="226"/>
      <c r="R6829" s="226"/>
      <c r="S6829" s="226"/>
      <c r="T6829" s="226"/>
      <c r="U6829" s="226"/>
    </row>
    <row r="6830" spans="16:21" x14ac:dyDescent="0.35">
      <c r="P6830" s="226"/>
      <c r="Q6830" s="226"/>
      <c r="R6830" s="226"/>
      <c r="S6830" s="226"/>
      <c r="T6830" s="226"/>
      <c r="U6830" s="226"/>
    </row>
    <row r="6831" spans="16:21" x14ac:dyDescent="0.35">
      <c r="P6831" s="226"/>
      <c r="Q6831" s="226"/>
      <c r="R6831" s="226"/>
      <c r="S6831" s="226"/>
      <c r="T6831" s="226"/>
      <c r="U6831" s="226"/>
    </row>
    <row r="6832" spans="16:21" x14ac:dyDescent="0.35">
      <c r="P6832" s="226"/>
      <c r="Q6832" s="226"/>
      <c r="R6832" s="226"/>
      <c r="S6832" s="226"/>
      <c r="T6832" s="226"/>
      <c r="U6832" s="226"/>
    </row>
    <row r="6833" spans="16:21" x14ac:dyDescent="0.35">
      <c r="P6833" s="226"/>
      <c r="Q6833" s="226"/>
      <c r="R6833" s="226"/>
      <c r="S6833" s="226"/>
      <c r="T6833" s="226"/>
      <c r="U6833" s="226"/>
    </row>
    <row r="6834" spans="16:21" x14ac:dyDescent="0.35">
      <c r="P6834" s="226"/>
      <c r="Q6834" s="226"/>
      <c r="R6834" s="226"/>
      <c r="S6834" s="226"/>
      <c r="T6834" s="226"/>
      <c r="U6834" s="226"/>
    </row>
    <row r="6835" spans="16:21" x14ac:dyDescent="0.35">
      <c r="P6835" s="226"/>
      <c r="Q6835" s="226"/>
      <c r="R6835" s="226"/>
      <c r="S6835" s="226"/>
      <c r="T6835" s="226"/>
      <c r="U6835" s="226"/>
    </row>
    <row r="6836" spans="16:21" x14ac:dyDescent="0.35">
      <c r="P6836" s="226"/>
      <c r="Q6836" s="226"/>
      <c r="R6836" s="226"/>
      <c r="S6836" s="226"/>
      <c r="T6836" s="226"/>
      <c r="U6836" s="226"/>
    </row>
    <row r="6837" spans="16:21" x14ac:dyDescent="0.35">
      <c r="P6837" s="226"/>
      <c r="Q6837" s="226"/>
      <c r="R6837" s="226"/>
      <c r="S6837" s="226"/>
      <c r="T6837" s="226"/>
      <c r="U6837" s="226"/>
    </row>
    <row r="6838" spans="16:21" x14ac:dyDescent="0.35">
      <c r="P6838" s="226"/>
      <c r="Q6838" s="226"/>
      <c r="R6838" s="226"/>
      <c r="S6838" s="226"/>
      <c r="T6838" s="226"/>
      <c r="U6838" s="226"/>
    </row>
    <row r="6839" spans="16:21" x14ac:dyDescent="0.35">
      <c r="P6839" s="226"/>
      <c r="Q6839" s="226"/>
      <c r="R6839" s="226"/>
      <c r="S6839" s="226"/>
      <c r="T6839" s="226"/>
      <c r="U6839" s="226"/>
    </row>
    <row r="6840" spans="16:21" x14ac:dyDescent="0.35">
      <c r="P6840" s="226"/>
      <c r="Q6840" s="226"/>
      <c r="R6840" s="226"/>
      <c r="S6840" s="226"/>
      <c r="T6840" s="226"/>
      <c r="U6840" s="226"/>
    </row>
    <row r="6841" spans="16:21" x14ac:dyDescent="0.35">
      <c r="P6841" s="226"/>
      <c r="Q6841" s="226"/>
      <c r="R6841" s="226"/>
      <c r="S6841" s="226"/>
      <c r="T6841" s="226"/>
      <c r="U6841" s="226"/>
    </row>
    <row r="6842" spans="16:21" x14ac:dyDescent="0.35">
      <c r="P6842" s="226"/>
      <c r="Q6842" s="226"/>
      <c r="R6842" s="226"/>
      <c r="S6842" s="226"/>
      <c r="T6842" s="226"/>
      <c r="U6842" s="226"/>
    </row>
    <row r="6843" spans="16:21" x14ac:dyDescent="0.35">
      <c r="P6843" s="226"/>
      <c r="Q6843" s="226"/>
      <c r="R6843" s="226"/>
      <c r="S6843" s="226"/>
      <c r="T6843" s="226"/>
      <c r="U6843" s="226"/>
    </row>
    <row r="6844" spans="16:21" x14ac:dyDescent="0.35">
      <c r="P6844" s="226"/>
      <c r="Q6844" s="226"/>
      <c r="R6844" s="226"/>
      <c r="S6844" s="226"/>
      <c r="T6844" s="226"/>
      <c r="U6844" s="226"/>
    </row>
    <row r="6845" spans="16:21" x14ac:dyDescent="0.35">
      <c r="P6845" s="226"/>
      <c r="Q6845" s="226"/>
      <c r="R6845" s="226"/>
      <c r="S6845" s="226"/>
      <c r="T6845" s="226"/>
      <c r="U6845" s="226"/>
    </row>
    <row r="6846" spans="16:21" x14ac:dyDescent="0.35">
      <c r="P6846" s="226"/>
      <c r="Q6846" s="226"/>
      <c r="R6846" s="226"/>
      <c r="S6846" s="226"/>
      <c r="T6846" s="226"/>
      <c r="U6846" s="226"/>
    </row>
    <row r="6847" spans="16:21" x14ac:dyDescent="0.35">
      <c r="P6847" s="226"/>
      <c r="Q6847" s="226"/>
      <c r="R6847" s="226"/>
      <c r="S6847" s="226"/>
      <c r="T6847" s="226"/>
      <c r="U6847" s="226"/>
    </row>
    <row r="6848" spans="16:21" x14ac:dyDescent="0.35">
      <c r="P6848" s="226"/>
      <c r="Q6848" s="226"/>
      <c r="R6848" s="226"/>
      <c r="S6848" s="226"/>
      <c r="T6848" s="226"/>
      <c r="U6848" s="226"/>
    </row>
    <row r="6849" spans="16:21" x14ac:dyDescent="0.35">
      <c r="P6849" s="226"/>
      <c r="Q6849" s="226"/>
      <c r="R6849" s="226"/>
      <c r="S6849" s="226"/>
      <c r="T6849" s="226"/>
      <c r="U6849" s="226"/>
    </row>
    <row r="6850" spans="16:21" x14ac:dyDescent="0.35">
      <c r="P6850" s="226"/>
      <c r="Q6850" s="226"/>
      <c r="R6850" s="226"/>
      <c r="S6850" s="226"/>
      <c r="T6850" s="226"/>
      <c r="U6850" s="226"/>
    </row>
    <row r="6851" spans="16:21" x14ac:dyDescent="0.35">
      <c r="P6851" s="226"/>
      <c r="Q6851" s="226"/>
      <c r="R6851" s="226"/>
      <c r="S6851" s="226"/>
      <c r="T6851" s="226"/>
      <c r="U6851" s="226"/>
    </row>
    <row r="6852" spans="16:21" x14ac:dyDescent="0.35">
      <c r="P6852" s="226"/>
      <c r="Q6852" s="226"/>
      <c r="R6852" s="226"/>
      <c r="S6852" s="226"/>
      <c r="T6852" s="226"/>
      <c r="U6852" s="226"/>
    </row>
    <row r="6853" spans="16:21" x14ac:dyDescent="0.35">
      <c r="P6853" s="226"/>
      <c r="Q6853" s="226"/>
      <c r="R6853" s="226"/>
      <c r="S6853" s="226"/>
      <c r="T6853" s="226"/>
      <c r="U6853" s="226"/>
    </row>
    <row r="6854" spans="16:21" x14ac:dyDescent="0.35">
      <c r="P6854" s="226"/>
      <c r="Q6854" s="226"/>
      <c r="R6854" s="226"/>
      <c r="S6854" s="226"/>
      <c r="T6854" s="226"/>
      <c r="U6854" s="226"/>
    </row>
    <row r="6855" spans="16:21" x14ac:dyDescent="0.35">
      <c r="P6855" s="226"/>
      <c r="Q6855" s="226"/>
      <c r="R6855" s="226"/>
      <c r="S6855" s="226"/>
      <c r="T6855" s="226"/>
      <c r="U6855" s="226"/>
    </row>
    <row r="6856" spans="16:21" x14ac:dyDescent="0.35">
      <c r="P6856" s="226"/>
      <c r="Q6856" s="226"/>
      <c r="R6856" s="226"/>
      <c r="S6856" s="226"/>
      <c r="T6856" s="226"/>
      <c r="U6856" s="226"/>
    </row>
    <row r="6857" spans="16:21" x14ac:dyDescent="0.35">
      <c r="P6857" s="226"/>
      <c r="Q6857" s="226"/>
      <c r="R6857" s="226"/>
      <c r="S6857" s="226"/>
      <c r="T6857" s="226"/>
      <c r="U6857" s="226"/>
    </row>
    <row r="6858" spans="16:21" x14ac:dyDescent="0.35">
      <c r="P6858" s="226"/>
      <c r="Q6858" s="226"/>
      <c r="R6858" s="226"/>
      <c r="S6858" s="226"/>
      <c r="T6858" s="226"/>
      <c r="U6858" s="226"/>
    </row>
    <row r="6859" spans="16:21" x14ac:dyDescent="0.35">
      <c r="P6859" s="226"/>
      <c r="Q6859" s="226"/>
      <c r="R6859" s="226"/>
      <c r="S6859" s="226"/>
      <c r="T6859" s="226"/>
      <c r="U6859" s="226"/>
    </row>
    <row r="6860" spans="16:21" x14ac:dyDescent="0.35">
      <c r="P6860" s="226"/>
      <c r="Q6860" s="226"/>
      <c r="R6860" s="226"/>
      <c r="S6860" s="226"/>
      <c r="T6860" s="226"/>
      <c r="U6860" s="226"/>
    </row>
    <row r="6861" spans="16:21" x14ac:dyDescent="0.35">
      <c r="P6861" s="226"/>
      <c r="Q6861" s="226"/>
      <c r="R6861" s="226"/>
      <c r="S6861" s="226"/>
      <c r="T6861" s="226"/>
      <c r="U6861" s="226"/>
    </row>
    <row r="6862" spans="16:21" x14ac:dyDescent="0.35">
      <c r="P6862" s="226"/>
      <c r="Q6862" s="226"/>
      <c r="R6862" s="226"/>
      <c r="S6862" s="226"/>
      <c r="T6862" s="226"/>
      <c r="U6862" s="226"/>
    </row>
    <row r="6863" spans="16:21" x14ac:dyDescent="0.35">
      <c r="P6863" s="226"/>
      <c r="Q6863" s="226"/>
      <c r="R6863" s="226"/>
      <c r="S6863" s="226"/>
      <c r="T6863" s="226"/>
      <c r="U6863" s="226"/>
    </row>
    <row r="6864" spans="16:21" x14ac:dyDescent="0.35">
      <c r="P6864" s="226"/>
      <c r="Q6864" s="226"/>
      <c r="R6864" s="226"/>
      <c r="S6864" s="226"/>
      <c r="T6864" s="226"/>
      <c r="U6864" s="226"/>
    </row>
    <row r="6865" spans="16:21" x14ac:dyDescent="0.35">
      <c r="P6865" s="226"/>
      <c r="Q6865" s="226"/>
      <c r="R6865" s="226"/>
      <c r="S6865" s="226"/>
      <c r="T6865" s="226"/>
      <c r="U6865" s="226"/>
    </row>
    <row r="6866" spans="16:21" x14ac:dyDescent="0.35">
      <c r="P6866" s="226"/>
      <c r="Q6866" s="226"/>
      <c r="R6866" s="226"/>
      <c r="S6866" s="226"/>
      <c r="T6866" s="226"/>
      <c r="U6866" s="226"/>
    </row>
    <row r="6867" spans="16:21" x14ac:dyDescent="0.35">
      <c r="P6867" s="226"/>
      <c r="Q6867" s="226"/>
      <c r="R6867" s="226"/>
      <c r="S6867" s="226"/>
      <c r="T6867" s="226"/>
      <c r="U6867" s="226"/>
    </row>
    <row r="6868" spans="16:21" x14ac:dyDescent="0.35">
      <c r="P6868" s="226"/>
      <c r="Q6868" s="226"/>
      <c r="R6868" s="226"/>
      <c r="S6868" s="226"/>
      <c r="T6868" s="226"/>
      <c r="U6868" s="226"/>
    </row>
    <row r="6869" spans="16:21" x14ac:dyDescent="0.35">
      <c r="P6869" s="226"/>
      <c r="Q6869" s="226"/>
      <c r="R6869" s="226"/>
      <c r="S6869" s="226"/>
      <c r="T6869" s="226"/>
      <c r="U6869" s="226"/>
    </row>
    <row r="6870" spans="16:21" x14ac:dyDescent="0.35">
      <c r="P6870" s="226"/>
      <c r="Q6870" s="226"/>
      <c r="R6870" s="226"/>
      <c r="S6870" s="226"/>
      <c r="T6870" s="226"/>
      <c r="U6870" s="226"/>
    </row>
    <row r="6871" spans="16:21" x14ac:dyDescent="0.35">
      <c r="P6871" s="226"/>
      <c r="Q6871" s="226"/>
      <c r="R6871" s="226"/>
      <c r="S6871" s="226"/>
      <c r="T6871" s="226"/>
      <c r="U6871" s="226"/>
    </row>
    <row r="6872" spans="16:21" x14ac:dyDescent="0.35">
      <c r="P6872" s="226"/>
      <c r="Q6872" s="226"/>
      <c r="R6872" s="226"/>
      <c r="S6872" s="226"/>
      <c r="T6872" s="226"/>
      <c r="U6872" s="226"/>
    </row>
    <row r="6873" spans="16:21" x14ac:dyDescent="0.35">
      <c r="P6873" s="226"/>
      <c r="Q6873" s="226"/>
      <c r="R6873" s="226"/>
      <c r="S6873" s="226"/>
      <c r="T6873" s="226"/>
      <c r="U6873" s="226"/>
    </row>
    <row r="6874" spans="16:21" x14ac:dyDescent="0.35">
      <c r="P6874" s="226"/>
      <c r="Q6874" s="226"/>
      <c r="R6874" s="226"/>
      <c r="S6874" s="226"/>
      <c r="T6874" s="226"/>
      <c r="U6874" s="226"/>
    </row>
    <row r="6875" spans="16:21" x14ac:dyDescent="0.35">
      <c r="P6875" s="226"/>
      <c r="Q6875" s="226"/>
      <c r="R6875" s="226"/>
      <c r="S6875" s="226"/>
      <c r="T6875" s="226"/>
      <c r="U6875" s="226"/>
    </row>
    <row r="6876" spans="16:21" x14ac:dyDescent="0.35">
      <c r="P6876" s="226"/>
      <c r="Q6876" s="226"/>
      <c r="R6876" s="226"/>
      <c r="S6876" s="226"/>
      <c r="T6876" s="226"/>
      <c r="U6876" s="226"/>
    </row>
    <row r="6877" spans="16:21" x14ac:dyDescent="0.35">
      <c r="P6877" s="226"/>
      <c r="Q6877" s="226"/>
      <c r="R6877" s="226"/>
      <c r="S6877" s="226"/>
      <c r="T6877" s="226"/>
      <c r="U6877" s="226"/>
    </row>
    <row r="6878" spans="16:21" x14ac:dyDescent="0.35">
      <c r="P6878" s="226"/>
      <c r="Q6878" s="226"/>
      <c r="R6878" s="226"/>
      <c r="S6878" s="226"/>
      <c r="T6878" s="226"/>
      <c r="U6878" s="226"/>
    </row>
    <row r="6879" spans="16:21" x14ac:dyDescent="0.35">
      <c r="P6879" s="226"/>
      <c r="Q6879" s="226"/>
      <c r="R6879" s="226"/>
      <c r="S6879" s="226"/>
      <c r="T6879" s="226"/>
      <c r="U6879" s="226"/>
    </row>
    <row r="6880" spans="16:21" x14ac:dyDescent="0.35">
      <c r="P6880" s="226"/>
      <c r="Q6880" s="226"/>
      <c r="R6880" s="226"/>
      <c r="S6880" s="226"/>
      <c r="T6880" s="226"/>
      <c r="U6880" s="226"/>
    </row>
    <row r="6881" spans="16:21" x14ac:dyDescent="0.35">
      <c r="P6881" s="226"/>
      <c r="Q6881" s="226"/>
      <c r="R6881" s="226"/>
      <c r="S6881" s="226"/>
      <c r="T6881" s="226"/>
      <c r="U6881" s="226"/>
    </row>
    <row r="6882" spans="16:21" x14ac:dyDescent="0.35">
      <c r="P6882" s="226"/>
      <c r="Q6882" s="226"/>
      <c r="R6882" s="226"/>
      <c r="S6882" s="226"/>
      <c r="T6882" s="226"/>
      <c r="U6882" s="226"/>
    </row>
    <row r="6883" spans="16:21" x14ac:dyDescent="0.35">
      <c r="P6883" s="226"/>
      <c r="Q6883" s="226"/>
      <c r="R6883" s="226"/>
      <c r="S6883" s="226"/>
      <c r="T6883" s="226"/>
      <c r="U6883" s="226"/>
    </row>
    <row r="6884" spans="16:21" x14ac:dyDescent="0.35">
      <c r="P6884" s="226"/>
      <c r="Q6884" s="226"/>
      <c r="R6884" s="226"/>
      <c r="S6884" s="226"/>
      <c r="T6884" s="226"/>
      <c r="U6884" s="226"/>
    </row>
    <row r="6885" spans="16:21" x14ac:dyDescent="0.35">
      <c r="P6885" s="226"/>
      <c r="Q6885" s="226"/>
      <c r="R6885" s="226"/>
      <c r="S6885" s="226"/>
      <c r="T6885" s="226"/>
      <c r="U6885" s="226"/>
    </row>
    <row r="6886" spans="16:21" x14ac:dyDescent="0.35">
      <c r="P6886" s="226"/>
      <c r="Q6886" s="226"/>
      <c r="R6886" s="226"/>
      <c r="S6886" s="226"/>
      <c r="T6886" s="226"/>
      <c r="U6886" s="226"/>
    </row>
    <row r="6887" spans="16:21" x14ac:dyDescent="0.35">
      <c r="P6887" s="226"/>
      <c r="Q6887" s="226"/>
      <c r="R6887" s="226"/>
      <c r="S6887" s="226"/>
      <c r="T6887" s="226"/>
      <c r="U6887" s="226"/>
    </row>
    <row r="6888" spans="16:21" x14ac:dyDescent="0.35">
      <c r="P6888" s="226"/>
      <c r="Q6888" s="226"/>
      <c r="R6888" s="226"/>
      <c r="S6888" s="226"/>
      <c r="T6888" s="226"/>
      <c r="U6888" s="226"/>
    </row>
    <row r="6889" spans="16:21" x14ac:dyDescent="0.35">
      <c r="P6889" s="226"/>
      <c r="Q6889" s="226"/>
      <c r="R6889" s="226"/>
      <c r="S6889" s="226"/>
      <c r="T6889" s="226"/>
      <c r="U6889" s="226"/>
    </row>
    <row r="6890" spans="16:21" x14ac:dyDescent="0.35">
      <c r="P6890" s="226"/>
      <c r="Q6890" s="226"/>
      <c r="R6890" s="226"/>
      <c r="S6890" s="226"/>
      <c r="T6890" s="226"/>
      <c r="U6890" s="226"/>
    </row>
    <row r="6891" spans="16:21" x14ac:dyDescent="0.35">
      <c r="P6891" s="226"/>
      <c r="Q6891" s="226"/>
      <c r="R6891" s="226"/>
      <c r="S6891" s="226"/>
      <c r="T6891" s="226"/>
      <c r="U6891" s="226"/>
    </row>
    <row r="6892" spans="16:21" x14ac:dyDescent="0.35">
      <c r="P6892" s="226"/>
      <c r="Q6892" s="226"/>
      <c r="R6892" s="226"/>
      <c r="S6892" s="226"/>
      <c r="T6892" s="226"/>
      <c r="U6892" s="226"/>
    </row>
    <row r="6893" spans="16:21" x14ac:dyDescent="0.35">
      <c r="P6893" s="226"/>
      <c r="Q6893" s="226"/>
      <c r="R6893" s="226"/>
      <c r="S6893" s="226"/>
      <c r="T6893" s="226"/>
      <c r="U6893" s="226"/>
    </row>
    <row r="6894" spans="16:21" x14ac:dyDescent="0.35">
      <c r="P6894" s="226"/>
      <c r="Q6894" s="226"/>
      <c r="R6894" s="226"/>
      <c r="S6894" s="226"/>
      <c r="T6894" s="226"/>
      <c r="U6894" s="226"/>
    </row>
    <row r="6895" spans="16:21" x14ac:dyDescent="0.35">
      <c r="P6895" s="226"/>
      <c r="Q6895" s="226"/>
      <c r="R6895" s="226"/>
      <c r="S6895" s="226"/>
      <c r="T6895" s="226"/>
      <c r="U6895" s="226"/>
    </row>
    <row r="6896" spans="16:21" x14ac:dyDescent="0.35">
      <c r="P6896" s="226"/>
      <c r="Q6896" s="226"/>
      <c r="R6896" s="226"/>
      <c r="S6896" s="226"/>
      <c r="T6896" s="226"/>
      <c r="U6896" s="226"/>
    </row>
    <row r="6897" spans="16:21" x14ac:dyDescent="0.35">
      <c r="P6897" s="226"/>
      <c r="Q6897" s="226"/>
      <c r="R6897" s="226"/>
      <c r="S6897" s="226"/>
      <c r="T6897" s="226"/>
      <c r="U6897" s="226"/>
    </row>
    <row r="6898" spans="16:21" x14ac:dyDescent="0.35">
      <c r="P6898" s="226"/>
      <c r="Q6898" s="226"/>
      <c r="R6898" s="226"/>
      <c r="S6898" s="226"/>
      <c r="T6898" s="226"/>
      <c r="U6898" s="226"/>
    </row>
    <row r="6899" spans="16:21" x14ac:dyDescent="0.35">
      <c r="P6899" s="226"/>
      <c r="Q6899" s="226"/>
      <c r="R6899" s="226"/>
      <c r="S6899" s="226"/>
      <c r="T6899" s="226"/>
      <c r="U6899" s="226"/>
    </row>
    <row r="6900" spans="16:21" x14ac:dyDescent="0.35">
      <c r="P6900" s="226"/>
      <c r="Q6900" s="226"/>
      <c r="R6900" s="226"/>
      <c r="S6900" s="226"/>
      <c r="T6900" s="226"/>
      <c r="U6900" s="226"/>
    </row>
    <row r="6901" spans="16:21" x14ac:dyDescent="0.35">
      <c r="P6901" s="226"/>
      <c r="Q6901" s="226"/>
      <c r="R6901" s="226"/>
      <c r="S6901" s="226"/>
      <c r="T6901" s="226"/>
      <c r="U6901" s="226"/>
    </row>
    <row r="6902" spans="16:21" x14ac:dyDescent="0.35">
      <c r="P6902" s="226"/>
      <c r="Q6902" s="226"/>
      <c r="R6902" s="226"/>
      <c r="S6902" s="226"/>
      <c r="T6902" s="226"/>
      <c r="U6902" s="226"/>
    </row>
    <row r="6903" spans="16:21" x14ac:dyDescent="0.35">
      <c r="P6903" s="226"/>
      <c r="Q6903" s="226"/>
      <c r="R6903" s="226"/>
      <c r="S6903" s="226"/>
      <c r="T6903" s="226"/>
      <c r="U6903" s="226"/>
    </row>
    <row r="6904" spans="16:21" x14ac:dyDescent="0.35">
      <c r="P6904" s="226"/>
      <c r="Q6904" s="226"/>
      <c r="R6904" s="226"/>
      <c r="S6904" s="226"/>
      <c r="T6904" s="226"/>
      <c r="U6904" s="226"/>
    </row>
    <row r="6905" spans="16:21" x14ac:dyDescent="0.35">
      <c r="P6905" s="226"/>
      <c r="Q6905" s="226"/>
      <c r="R6905" s="226"/>
      <c r="S6905" s="226"/>
      <c r="T6905" s="226"/>
      <c r="U6905" s="226"/>
    </row>
    <row r="6906" spans="16:21" x14ac:dyDescent="0.35">
      <c r="P6906" s="226"/>
      <c r="Q6906" s="226"/>
      <c r="R6906" s="226"/>
      <c r="S6906" s="226"/>
      <c r="T6906" s="226"/>
      <c r="U6906" s="226"/>
    </row>
    <row r="6907" spans="16:21" x14ac:dyDescent="0.35">
      <c r="P6907" s="226"/>
      <c r="Q6907" s="226"/>
      <c r="R6907" s="226"/>
      <c r="S6907" s="226"/>
      <c r="T6907" s="226"/>
      <c r="U6907" s="226"/>
    </row>
    <row r="6908" spans="16:21" x14ac:dyDescent="0.35">
      <c r="P6908" s="226"/>
      <c r="Q6908" s="226"/>
      <c r="R6908" s="226"/>
      <c r="S6908" s="226"/>
      <c r="T6908" s="226"/>
      <c r="U6908" s="226"/>
    </row>
    <row r="6909" spans="16:21" x14ac:dyDescent="0.35">
      <c r="P6909" s="226"/>
      <c r="Q6909" s="226"/>
      <c r="R6909" s="226"/>
      <c r="S6909" s="226"/>
      <c r="T6909" s="226"/>
      <c r="U6909" s="226"/>
    </row>
    <row r="6910" spans="16:21" x14ac:dyDescent="0.35">
      <c r="P6910" s="226"/>
      <c r="Q6910" s="226"/>
      <c r="R6910" s="226"/>
      <c r="S6910" s="226"/>
      <c r="T6910" s="226"/>
      <c r="U6910" s="226"/>
    </row>
    <row r="6911" spans="16:21" x14ac:dyDescent="0.35">
      <c r="P6911" s="226"/>
      <c r="Q6911" s="226"/>
      <c r="R6911" s="226"/>
      <c r="S6911" s="226"/>
      <c r="T6911" s="226"/>
      <c r="U6911" s="226"/>
    </row>
    <row r="6912" spans="16:21" x14ac:dyDescent="0.35">
      <c r="P6912" s="226"/>
      <c r="Q6912" s="226"/>
      <c r="R6912" s="226"/>
      <c r="S6912" s="226"/>
      <c r="T6912" s="226"/>
      <c r="U6912" s="226"/>
    </row>
    <row r="6913" spans="16:21" x14ac:dyDescent="0.35">
      <c r="P6913" s="226"/>
      <c r="Q6913" s="226"/>
      <c r="R6913" s="226"/>
      <c r="S6913" s="226"/>
      <c r="T6913" s="226"/>
      <c r="U6913" s="226"/>
    </row>
    <row r="6914" spans="16:21" x14ac:dyDescent="0.35">
      <c r="P6914" s="226"/>
      <c r="Q6914" s="226"/>
      <c r="R6914" s="226"/>
      <c r="S6914" s="226"/>
      <c r="T6914" s="226"/>
      <c r="U6914" s="226"/>
    </row>
    <row r="6915" spans="16:21" x14ac:dyDescent="0.35">
      <c r="P6915" s="226"/>
      <c r="Q6915" s="226"/>
      <c r="R6915" s="226"/>
      <c r="S6915" s="226"/>
      <c r="T6915" s="226"/>
      <c r="U6915" s="226"/>
    </row>
    <row r="6916" spans="16:21" x14ac:dyDescent="0.35">
      <c r="P6916" s="226"/>
      <c r="Q6916" s="226"/>
      <c r="R6916" s="226"/>
      <c r="S6916" s="226"/>
      <c r="T6916" s="226"/>
      <c r="U6916" s="226"/>
    </row>
    <row r="6917" spans="16:21" x14ac:dyDescent="0.35">
      <c r="P6917" s="226"/>
      <c r="Q6917" s="226"/>
      <c r="R6917" s="226"/>
      <c r="S6917" s="226"/>
      <c r="T6917" s="226"/>
      <c r="U6917" s="226"/>
    </row>
    <row r="6918" spans="16:21" x14ac:dyDescent="0.35">
      <c r="P6918" s="226"/>
      <c r="Q6918" s="226"/>
      <c r="R6918" s="226"/>
      <c r="S6918" s="226"/>
      <c r="T6918" s="226"/>
      <c r="U6918" s="226"/>
    </row>
    <row r="6919" spans="16:21" x14ac:dyDescent="0.35">
      <c r="P6919" s="226"/>
      <c r="Q6919" s="226"/>
      <c r="R6919" s="226"/>
      <c r="S6919" s="226"/>
      <c r="T6919" s="226"/>
      <c r="U6919" s="226"/>
    </row>
    <row r="6920" spans="16:21" x14ac:dyDescent="0.35">
      <c r="P6920" s="226"/>
      <c r="Q6920" s="226"/>
      <c r="R6920" s="226"/>
      <c r="S6920" s="226"/>
      <c r="T6920" s="226"/>
      <c r="U6920" s="226"/>
    </row>
    <row r="6921" spans="16:21" x14ac:dyDescent="0.35">
      <c r="P6921" s="226"/>
      <c r="Q6921" s="226"/>
      <c r="R6921" s="226"/>
      <c r="S6921" s="226"/>
      <c r="T6921" s="226"/>
      <c r="U6921" s="226"/>
    </row>
    <row r="6922" spans="16:21" x14ac:dyDescent="0.35">
      <c r="P6922" s="226"/>
      <c r="Q6922" s="226"/>
      <c r="R6922" s="226"/>
      <c r="S6922" s="226"/>
      <c r="T6922" s="226"/>
      <c r="U6922" s="226"/>
    </row>
    <row r="6923" spans="16:21" x14ac:dyDescent="0.35">
      <c r="P6923" s="226"/>
      <c r="Q6923" s="226"/>
      <c r="R6923" s="226"/>
      <c r="S6923" s="226"/>
      <c r="T6923" s="226"/>
      <c r="U6923" s="226"/>
    </row>
    <row r="6924" spans="16:21" x14ac:dyDescent="0.35">
      <c r="P6924" s="226"/>
      <c r="Q6924" s="226"/>
      <c r="R6924" s="226"/>
      <c r="S6924" s="226"/>
      <c r="T6924" s="226"/>
      <c r="U6924" s="226"/>
    </row>
    <row r="6925" spans="16:21" x14ac:dyDescent="0.35">
      <c r="P6925" s="226"/>
      <c r="Q6925" s="226"/>
      <c r="R6925" s="226"/>
      <c r="S6925" s="226"/>
      <c r="T6925" s="226"/>
      <c r="U6925" s="226"/>
    </row>
    <row r="6926" spans="16:21" x14ac:dyDescent="0.35">
      <c r="P6926" s="226"/>
      <c r="Q6926" s="226"/>
      <c r="R6926" s="226"/>
      <c r="S6926" s="226"/>
      <c r="T6926" s="226"/>
      <c r="U6926" s="226"/>
    </row>
    <row r="6927" spans="16:21" x14ac:dyDescent="0.35">
      <c r="P6927" s="226"/>
      <c r="Q6927" s="226"/>
      <c r="R6927" s="226"/>
      <c r="S6927" s="226"/>
      <c r="T6927" s="226"/>
      <c r="U6927" s="226"/>
    </row>
    <row r="6928" spans="16:21" x14ac:dyDescent="0.35">
      <c r="P6928" s="226"/>
      <c r="Q6928" s="226"/>
      <c r="R6928" s="226"/>
      <c r="S6928" s="226"/>
      <c r="T6928" s="226"/>
      <c r="U6928" s="226"/>
    </row>
    <row r="6929" spans="16:21" x14ac:dyDescent="0.35">
      <c r="P6929" s="226"/>
      <c r="Q6929" s="226"/>
      <c r="R6929" s="226"/>
      <c r="S6929" s="226"/>
      <c r="T6929" s="226"/>
      <c r="U6929" s="226"/>
    </row>
    <row r="6930" spans="16:21" x14ac:dyDescent="0.35">
      <c r="P6930" s="226"/>
      <c r="Q6930" s="226"/>
      <c r="R6930" s="226"/>
      <c r="S6930" s="226"/>
      <c r="T6930" s="226"/>
      <c r="U6930" s="226"/>
    </row>
    <row r="6931" spans="16:21" x14ac:dyDescent="0.35">
      <c r="P6931" s="226"/>
      <c r="Q6931" s="226"/>
      <c r="R6931" s="226"/>
      <c r="S6931" s="226"/>
      <c r="T6931" s="226"/>
      <c r="U6931" s="226"/>
    </row>
    <row r="6932" spans="16:21" x14ac:dyDescent="0.35">
      <c r="P6932" s="226"/>
      <c r="Q6932" s="226"/>
      <c r="R6932" s="226"/>
      <c r="S6932" s="226"/>
      <c r="T6932" s="226"/>
      <c r="U6932" s="226"/>
    </row>
    <row r="6933" spans="16:21" x14ac:dyDescent="0.35">
      <c r="P6933" s="226"/>
      <c r="Q6933" s="226"/>
      <c r="R6933" s="226"/>
      <c r="S6933" s="226"/>
      <c r="T6933" s="226"/>
      <c r="U6933" s="226"/>
    </row>
    <row r="6934" spans="16:21" x14ac:dyDescent="0.35">
      <c r="P6934" s="226"/>
      <c r="Q6934" s="226"/>
      <c r="R6934" s="226"/>
      <c r="S6934" s="226"/>
      <c r="T6934" s="226"/>
      <c r="U6934" s="226"/>
    </row>
    <row r="6935" spans="16:21" x14ac:dyDescent="0.35">
      <c r="P6935" s="226"/>
      <c r="Q6935" s="226"/>
      <c r="R6935" s="226"/>
      <c r="S6935" s="226"/>
      <c r="T6935" s="226"/>
      <c r="U6935" s="226"/>
    </row>
    <row r="6936" spans="16:21" x14ac:dyDescent="0.35">
      <c r="P6936" s="226"/>
      <c r="Q6936" s="226"/>
      <c r="R6936" s="226"/>
      <c r="S6936" s="226"/>
      <c r="T6936" s="226"/>
      <c r="U6936" s="226"/>
    </row>
    <row r="6937" spans="16:21" x14ac:dyDescent="0.35">
      <c r="P6937" s="226"/>
      <c r="Q6937" s="226"/>
      <c r="R6937" s="226"/>
      <c r="S6937" s="226"/>
      <c r="T6937" s="226"/>
      <c r="U6937" s="226"/>
    </row>
    <row r="6938" spans="16:21" x14ac:dyDescent="0.35">
      <c r="P6938" s="226"/>
      <c r="Q6938" s="226"/>
      <c r="R6938" s="226"/>
      <c r="S6938" s="226"/>
      <c r="T6938" s="226"/>
      <c r="U6938" s="226"/>
    </row>
    <row r="6939" spans="16:21" x14ac:dyDescent="0.35">
      <c r="P6939" s="226"/>
      <c r="Q6939" s="226"/>
      <c r="R6939" s="226"/>
      <c r="S6939" s="226"/>
      <c r="T6939" s="226"/>
      <c r="U6939" s="226"/>
    </row>
    <row r="6940" spans="16:21" x14ac:dyDescent="0.35">
      <c r="P6940" s="226"/>
      <c r="Q6940" s="226"/>
      <c r="R6940" s="226"/>
      <c r="S6940" s="226"/>
      <c r="T6940" s="226"/>
      <c r="U6940" s="226"/>
    </row>
    <row r="6941" spans="16:21" x14ac:dyDescent="0.35">
      <c r="P6941" s="226"/>
      <c r="Q6941" s="226"/>
      <c r="R6941" s="226"/>
      <c r="S6941" s="226"/>
      <c r="T6941" s="226"/>
      <c r="U6941" s="226"/>
    </row>
    <row r="6942" spans="16:21" x14ac:dyDescent="0.35">
      <c r="P6942" s="226"/>
      <c r="Q6942" s="226"/>
      <c r="R6942" s="226"/>
      <c r="S6942" s="226"/>
      <c r="T6942" s="226"/>
      <c r="U6942" s="226"/>
    </row>
    <row r="6943" spans="16:21" x14ac:dyDescent="0.35">
      <c r="P6943" s="226"/>
      <c r="Q6943" s="226"/>
      <c r="R6943" s="226"/>
      <c r="S6943" s="226"/>
      <c r="T6943" s="226"/>
      <c r="U6943" s="226"/>
    </row>
    <row r="6944" spans="16:21" x14ac:dyDescent="0.35">
      <c r="P6944" s="226"/>
      <c r="Q6944" s="226"/>
      <c r="R6944" s="226"/>
      <c r="S6944" s="226"/>
      <c r="T6944" s="226"/>
      <c r="U6944" s="226"/>
    </row>
    <row r="6945" spans="16:21" x14ac:dyDescent="0.35">
      <c r="P6945" s="226"/>
      <c r="Q6945" s="226"/>
      <c r="R6945" s="226"/>
      <c r="S6945" s="226"/>
      <c r="T6945" s="226"/>
      <c r="U6945" s="226"/>
    </row>
    <row r="6946" spans="16:21" x14ac:dyDescent="0.35">
      <c r="P6946" s="226"/>
      <c r="Q6946" s="226"/>
      <c r="R6946" s="226"/>
      <c r="S6946" s="226"/>
      <c r="T6946" s="226"/>
      <c r="U6946" s="226"/>
    </row>
    <row r="6947" spans="16:21" x14ac:dyDescent="0.35">
      <c r="P6947" s="226"/>
      <c r="Q6947" s="226"/>
      <c r="R6947" s="226"/>
      <c r="S6947" s="226"/>
      <c r="T6947" s="226"/>
      <c r="U6947" s="226"/>
    </row>
    <row r="6948" spans="16:21" x14ac:dyDescent="0.35">
      <c r="P6948" s="226"/>
      <c r="Q6948" s="226"/>
      <c r="R6948" s="226"/>
      <c r="S6948" s="226"/>
      <c r="T6948" s="226"/>
      <c r="U6948" s="226"/>
    </row>
    <row r="6949" spans="16:21" x14ac:dyDescent="0.35">
      <c r="P6949" s="226"/>
      <c r="Q6949" s="226"/>
      <c r="R6949" s="226"/>
      <c r="S6949" s="226"/>
      <c r="T6949" s="226"/>
      <c r="U6949" s="226"/>
    </row>
    <row r="6950" spans="16:21" x14ac:dyDescent="0.35">
      <c r="P6950" s="226"/>
      <c r="Q6950" s="226"/>
      <c r="R6950" s="226"/>
      <c r="S6950" s="226"/>
      <c r="T6950" s="226"/>
      <c r="U6950" s="226"/>
    </row>
    <row r="6951" spans="16:21" x14ac:dyDescent="0.35">
      <c r="P6951" s="226"/>
      <c r="Q6951" s="226"/>
      <c r="R6951" s="226"/>
      <c r="S6951" s="226"/>
      <c r="T6951" s="226"/>
      <c r="U6951" s="226"/>
    </row>
    <row r="6952" spans="16:21" x14ac:dyDescent="0.35">
      <c r="P6952" s="226"/>
      <c r="Q6952" s="226"/>
      <c r="R6952" s="226"/>
      <c r="S6952" s="226"/>
      <c r="T6952" s="226"/>
      <c r="U6952" s="226"/>
    </row>
    <row r="6953" spans="16:21" x14ac:dyDescent="0.35">
      <c r="P6953" s="226"/>
      <c r="Q6953" s="226"/>
      <c r="R6953" s="226"/>
      <c r="S6953" s="226"/>
      <c r="T6953" s="226"/>
      <c r="U6953" s="226"/>
    </row>
    <row r="6954" spans="16:21" x14ac:dyDescent="0.35">
      <c r="P6954" s="226"/>
      <c r="Q6954" s="226"/>
      <c r="R6954" s="226"/>
      <c r="S6954" s="226"/>
      <c r="T6954" s="226"/>
      <c r="U6954" s="226"/>
    </row>
    <row r="6955" spans="16:21" x14ac:dyDescent="0.35">
      <c r="P6955" s="226"/>
      <c r="Q6955" s="226"/>
      <c r="R6955" s="226"/>
      <c r="S6955" s="226"/>
      <c r="T6955" s="226"/>
      <c r="U6955" s="226"/>
    </row>
    <row r="6956" spans="16:21" x14ac:dyDescent="0.35">
      <c r="P6956" s="226"/>
      <c r="Q6956" s="226"/>
      <c r="R6956" s="226"/>
      <c r="S6956" s="226"/>
      <c r="T6956" s="226"/>
      <c r="U6956" s="226"/>
    </row>
    <row r="6957" spans="16:21" x14ac:dyDescent="0.35">
      <c r="P6957" s="226"/>
      <c r="Q6957" s="226"/>
      <c r="R6957" s="226"/>
      <c r="S6957" s="226"/>
      <c r="T6957" s="226"/>
      <c r="U6957" s="226"/>
    </row>
    <row r="6958" spans="16:21" x14ac:dyDescent="0.35">
      <c r="P6958" s="226"/>
      <c r="Q6958" s="226"/>
      <c r="R6958" s="226"/>
      <c r="S6958" s="226"/>
      <c r="T6958" s="226"/>
      <c r="U6958" s="226"/>
    </row>
    <row r="6959" spans="16:21" x14ac:dyDescent="0.35">
      <c r="P6959" s="226"/>
      <c r="Q6959" s="226"/>
      <c r="R6959" s="226"/>
      <c r="S6959" s="226"/>
      <c r="T6959" s="226"/>
      <c r="U6959" s="226"/>
    </row>
    <row r="6960" spans="16:21" x14ac:dyDescent="0.35">
      <c r="P6960" s="226"/>
      <c r="Q6960" s="226"/>
      <c r="R6960" s="226"/>
      <c r="S6960" s="226"/>
      <c r="T6960" s="226"/>
      <c r="U6960" s="226"/>
    </row>
    <row r="6961" spans="16:21" x14ac:dyDescent="0.35">
      <c r="P6961" s="226"/>
      <c r="Q6961" s="226"/>
      <c r="R6961" s="226"/>
      <c r="S6961" s="226"/>
      <c r="T6961" s="226"/>
      <c r="U6961" s="226"/>
    </row>
    <row r="6962" spans="16:21" x14ac:dyDescent="0.35">
      <c r="P6962" s="226"/>
      <c r="Q6962" s="226"/>
      <c r="R6962" s="226"/>
      <c r="S6962" s="226"/>
      <c r="T6962" s="226"/>
      <c r="U6962" s="226"/>
    </row>
    <row r="6963" spans="16:21" x14ac:dyDescent="0.35">
      <c r="P6963" s="226"/>
      <c r="Q6963" s="226"/>
      <c r="R6963" s="226"/>
      <c r="S6963" s="226"/>
      <c r="T6963" s="226"/>
      <c r="U6963" s="226"/>
    </row>
    <row r="6964" spans="16:21" x14ac:dyDescent="0.35">
      <c r="P6964" s="226"/>
      <c r="Q6964" s="226"/>
      <c r="R6964" s="226"/>
      <c r="S6964" s="226"/>
      <c r="T6964" s="226"/>
      <c r="U6964" s="226"/>
    </row>
    <row r="6965" spans="16:21" x14ac:dyDescent="0.35">
      <c r="P6965" s="226"/>
      <c r="Q6965" s="226"/>
      <c r="R6965" s="226"/>
      <c r="S6965" s="226"/>
      <c r="T6965" s="226"/>
      <c r="U6965" s="226"/>
    </row>
    <row r="6966" spans="16:21" x14ac:dyDescent="0.35">
      <c r="P6966" s="226"/>
      <c r="Q6966" s="226"/>
      <c r="R6966" s="226"/>
      <c r="S6966" s="226"/>
      <c r="T6966" s="226"/>
      <c r="U6966" s="226"/>
    </row>
    <row r="6967" spans="16:21" x14ac:dyDescent="0.35">
      <c r="P6967" s="226"/>
      <c r="Q6967" s="226"/>
      <c r="R6967" s="226"/>
      <c r="S6967" s="226"/>
      <c r="T6967" s="226"/>
      <c r="U6967" s="226"/>
    </row>
    <row r="6968" spans="16:21" x14ac:dyDescent="0.35">
      <c r="P6968" s="226"/>
      <c r="Q6968" s="226"/>
      <c r="R6968" s="226"/>
      <c r="S6968" s="226"/>
      <c r="T6968" s="226"/>
      <c r="U6968" s="226"/>
    </row>
    <row r="6969" spans="16:21" x14ac:dyDescent="0.35">
      <c r="P6969" s="226"/>
      <c r="Q6969" s="226"/>
      <c r="R6969" s="226"/>
      <c r="S6969" s="226"/>
      <c r="T6969" s="226"/>
      <c r="U6969" s="226"/>
    </row>
    <row r="6970" spans="16:21" x14ac:dyDescent="0.35">
      <c r="P6970" s="226"/>
      <c r="Q6970" s="226"/>
      <c r="R6970" s="226"/>
      <c r="S6970" s="226"/>
      <c r="T6970" s="226"/>
      <c r="U6970" s="226"/>
    </row>
    <row r="6971" spans="16:21" x14ac:dyDescent="0.35">
      <c r="P6971" s="226"/>
      <c r="Q6971" s="226"/>
      <c r="R6971" s="226"/>
      <c r="S6971" s="226"/>
      <c r="T6971" s="226"/>
      <c r="U6971" s="226"/>
    </row>
    <row r="6972" spans="16:21" x14ac:dyDescent="0.35">
      <c r="P6972" s="226"/>
      <c r="Q6972" s="226"/>
      <c r="R6972" s="226"/>
      <c r="S6972" s="226"/>
      <c r="T6972" s="226"/>
      <c r="U6972" s="226"/>
    </row>
    <row r="6973" spans="16:21" x14ac:dyDescent="0.35">
      <c r="P6973" s="226"/>
      <c r="Q6973" s="226"/>
      <c r="R6973" s="226"/>
      <c r="S6973" s="226"/>
      <c r="T6973" s="226"/>
      <c r="U6973" s="226"/>
    </row>
    <row r="6974" spans="16:21" x14ac:dyDescent="0.35">
      <c r="P6974" s="226"/>
      <c r="Q6974" s="226"/>
      <c r="R6974" s="226"/>
      <c r="S6974" s="226"/>
      <c r="T6974" s="226"/>
      <c r="U6974" s="226"/>
    </row>
    <row r="6975" spans="16:21" x14ac:dyDescent="0.35">
      <c r="P6975" s="226"/>
      <c r="Q6975" s="226"/>
      <c r="R6975" s="226"/>
      <c r="S6975" s="226"/>
      <c r="T6975" s="226"/>
      <c r="U6975" s="226"/>
    </row>
    <row r="6976" spans="16:21" x14ac:dyDescent="0.35">
      <c r="P6976" s="226"/>
      <c r="Q6976" s="226"/>
      <c r="R6976" s="226"/>
      <c r="S6976" s="226"/>
      <c r="T6976" s="226"/>
      <c r="U6976" s="226"/>
    </row>
    <row r="6977" spans="16:21" x14ac:dyDescent="0.35">
      <c r="P6977" s="226"/>
      <c r="Q6977" s="226"/>
      <c r="R6977" s="226"/>
      <c r="S6977" s="226"/>
      <c r="T6977" s="226"/>
      <c r="U6977" s="226"/>
    </row>
    <row r="6978" spans="16:21" x14ac:dyDescent="0.35">
      <c r="P6978" s="226"/>
      <c r="Q6978" s="226"/>
      <c r="R6978" s="226"/>
      <c r="S6978" s="226"/>
      <c r="T6978" s="226"/>
      <c r="U6978" s="226"/>
    </row>
    <row r="6979" spans="16:21" x14ac:dyDescent="0.35">
      <c r="P6979" s="226"/>
      <c r="Q6979" s="226"/>
      <c r="R6979" s="226"/>
      <c r="S6979" s="226"/>
      <c r="T6979" s="226"/>
      <c r="U6979" s="226"/>
    </row>
    <row r="6980" spans="16:21" x14ac:dyDescent="0.35">
      <c r="P6980" s="226"/>
      <c r="Q6980" s="226"/>
      <c r="R6980" s="226"/>
      <c r="S6980" s="226"/>
      <c r="T6980" s="226"/>
      <c r="U6980" s="226"/>
    </row>
    <row r="6981" spans="16:21" x14ac:dyDescent="0.35">
      <c r="P6981" s="226"/>
      <c r="Q6981" s="226"/>
      <c r="R6981" s="226"/>
      <c r="S6981" s="226"/>
      <c r="T6981" s="226"/>
      <c r="U6981" s="226"/>
    </row>
    <row r="6982" spans="16:21" x14ac:dyDescent="0.35">
      <c r="P6982" s="226"/>
      <c r="Q6982" s="226"/>
      <c r="R6982" s="226"/>
      <c r="S6982" s="226"/>
      <c r="T6982" s="226"/>
      <c r="U6982" s="226"/>
    </row>
    <row r="6983" spans="16:21" x14ac:dyDescent="0.35">
      <c r="P6983" s="226"/>
      <c r="Q6983" s="226"/>
      <c r="R6983" s="226"/>
      <c r="S6983" s="226"/>
      <c r="T6983" s="226"/>
      <c r="U6983" s="226"/>
    </row>
    <row r="6984" spans="16:21" x14ac:dyDescent="0.35">
      <c r="P6984" s="226"/>
      <c r="Q6984" s="226"/>
      <c r="R6984" s="226"/>
      <c r="S6984" s="226"/>
      <c r="T6984" s="226"/>
      <c r="U6984" s="226"/>
    </row>
    <row r="6985" spans="16:21" x14ac:dyDescent="0.35">
      <c r="P6985" s="226"/>
      <c r="Q6985" s="226"/>
      <c r="R6985" s="226"/>
      <c r="S6985" s="226"/>
      <c r="T6985" s="226"/>
      <c r="U6985" s="226"/>
    </row>
    <row r="6986" spans="16:21" x14ac:dyDescent="0.35">
      <c r="P6986" s="226"/>
      <c r="Q6986" s="226"/>
      <c r="R6986" s="226"/>
      <c r="S6986" s="226"/>
      <c r="T6986" s="226"/>
      <c r="U6986" s="226"/>
    </row>
    <row r="6987" spans="16:21" x14ac:dyDescent="0.35">
      <c r="P6987" s="226"/>
      <c r="Q6987" s="226"/>
      <c r="R6987" s="226"/>
      <c r="S6987" s="226"/>
      <c r="T6987" s="226"/>
      <c r="U6987" s="226"/>
    </row>
    <row r="6988" spans="16:21" x14ac:dyDescent="0.35">
      <c r="P6988" s="226"/>
      <c r="Q6988" s="226"/>
      <c r="R6988" s="226"/>
      <c r="S6988" s="226"/>
      <c r="T6988" s="226"/>
      <c r="U6988" s="226"/>
    </row>
    <row r="6989" spans="16:21" x14ac:dyDescent="0.35">
      <c r="P6989" s="226"/>
      <c r="Q6989" s="226"/>
      <c r="R6989" s="226"/>
      <c r="S6989" s="226"/>
      <c r="T6989" s="226"/>
      <c r="U6989" s="226"/>
    </row>
    <row r="6990" spans="16:21" x14ac:dyDescent="0.35">
      <c r="P6990" s="226"/>
      <c r="Q6990" s="226"/>
      <c r="R6990" s="226"/>
      <c r="S6990" s="226"/>
      <c r="T6990" s="226"/>
      <c r="U6990" s="226"/>
    </row>
    <row r="6991" spans="16:21" x14ac:dyDescent="0.35">
      <c r="P6991" s="226"/>
      <c r="Q6991" s="226"/>
      <c r="R6991" s="226"/>
      <c r="S6991" s="226"/>
      <c r="T6991" s="226"/>
      <c r="U6991" s="226"/>
    </row>
    <row r="6992" spans="16:21" x14ac:dyDescent="0.35">
      <c r="P6992" s="226"/>
      <c r="Q6992" s="226"/>
      <c r="R6992" s="226"/>
      <c r="S6992" s="226"/>
      <c r="T6992" s="226"/>
      <c r="U6992" s="226"/>
    </row>
    <row r="6993" spans="16:21" x14ac:dyDescent="0.35">
      <c r="P6993" s="226"/>
      <c r="Q6993" s="226"/>
      <c r="R6993" s="226"/>
      <c r="S6993" s="226"/>
      <c r="T6993" s="226"/>
      <c r="U6993" s="226"/>
    </row>
    <row r="6994" spans="16:21" x14ac:dyDescent="0.35">
      <c r="P6994" s="226"/>
      <c r="Q6994" s="226"/>
      <c r="R6994" s="226"/>
      <c r="S6994" s="226"/>
      <c r="T6994" s="226"/>
      <c r="U6994" s="226"/>
    </row>
    <row r="6995" spans="16:21" x14ac:dyDescent="0.35">
      <c r="P6995" s="226"/>
      <c r="Q6995" s="226"/>
      <c r="R6995" s="226"/>
      <c r="S6995" s="226"/>
      <c r="T6995" s="226"/>
      <c r="U6995" s="226"/>
    </row>
    <row r="6996" spans="16:21" x14ac:dyDescent="0.35">
      <c r="P6996" s="226"/>
      <c r="Q6996" s="226"/>
      <c r="R6996" s="226"/>
      <c r="S6996" s="226"/>
      <c r="T6996" s="226"/>
      <c r="U6996" s="226"/>
    </row>
    <row r="6997" spans="16:21" x14ac:dyDescent="0.35">
      <c r="P6997" s="226"/>
      <c r="Q6997" s="226"/>
      <c r="R6997" s="226"/>
      <c r="S6997" s="226"/>
      <c r="T6997" s="226"/>
      <c r="U6997" s="226"/>
    </row>
    <row r="6998" spans="16:21" x14ac:dyDescent="0.35">
      <c r="P6998" s="226"/>
      <c r="Q6998" s="226"/>
      <c r="R6998" s="226"/>
      <c r="S6998" s="226"/>
      <c r="T6998" s="226"/>
      <c r="U6998" s="226"/>
    </row>
    <row r="6999" spans="16:21" x14ac:dyDescent="0.35">
      <c r="P6999" s="226"/>
      <c r="Q6999" s="226"/>
      <c r="R6999" s="226"/>
      <c r="S6999" s="226"/>
      <c r="T6999" s="226"/>
      <c r="U6999" s="226"/>
    </row>
    <row r="7000" spans="16:21" x14ac:dyDescent="0.35">
      <c r="P7000" s="226"/>
      <c r="Q7000" s="226"/>
      <c r="R7000" s="226"/>
      <c r="S7000" s="226"/>
      <c r="T7000" s="226"/>
      <c r="U7000" s="226"/>
    </row>
    <row r="7001" spans="16:21" x14ac:dyDescent="0.35">
      <c r="P7001" s="226"/>
      <c r="Q7001" s="226"/>
      <c r="R7001" s="226"/>
      <c r="S7001" s="226"/>
      <c r="T7001" s="226"/>
      <c r="U7001" s="226"/>
    </row>
    <row r="7002" spans="16:21" x14ac:dyDescent="0.35">
      <c r="P7002" s="226"/>
      <c r="Q7002" s="226"/>
      <c r="R7002" s="226"/>
      <c r="S7002" s="226"/>
      <c r="T7002" s="226"/>
      <c r="U7002" s="226"/>
    </row>
    <row r="7003" spans="16:21" x14ac:dyDescent="0.35">
      <c r="P7003" s="226"/>
      <c r="Q7003" s="226"/>
      <c r="R7003" s="226"/>
      <c r="S7003" s="226"/>
      <c r="T7003" s="226"/>
      <c r="U7003" s="226"/>
    </row>
    <row r="7004" spans="16:21" x14ac:dyDescent="0.35">
      <c r="P7004" s="226"/>
      <c r="Q7004" s="226"/>
      <c r="R7004" s="226"/>
      <c r="S7004" s="226"/>
      <c r="T7004" s="226"/>
      <c r="U7004" s="226"/>
    </row>
    <row r="7005" spans="16:21" x14ac:dyDescent="0.35">
      <c r="P7005" s="226"/>
      <c r="Q7005" s="226"/>
      <c r="R7005" s="226"/>
      <c r="S7005" s="226"/>
      <c r="T7005" s="226"/>
      <c r="U7005" s="226"/>
    </row>
    <row r="7006" spans="16:21" x14ac:dyDescent="0.35">
      <c r="P7006" s="226"/>
      <c r="Q7006" s="226"/>
      <c r="R7006" s="226"/>
      <c r="S7006" s="226"/>
      <c r="T7006" s="226"/>
      <c r="U7006" s="226"/>
    </row>
    <row r="7007" spans="16:21" x14ac:dyDescent="0.35">
      <c r="P7007" s="226"/>
      <c r="Q7007" s="226"/>
      <c r="R7007" s="226"/>
      <c r="S7007" s="226"/>
      <c r="T7007" s="226"/>
      <c r="U7007" s="226"/>
    </row>
    <row r="7008" spans="16:21" x14ac:dyDescent="0.35">
      <c r="P7008" s="226"/>
      <c r="Q7008" s="226"/>
      <c r="R7008" s="226"/>
      <c r="S7008" s="226"/>
      <c r="T7008" s="226"/>
      <c r="U7008" s="226"/>
    </row>
    <row r="7009" spans="16:21" x14ac:dyDescent="0.35">
      <c r="P7009" s="226"/>
      <c r="Q7009" s="226"/>
      <c r="R7009" s="226"/>
      <c r="S7009" s="226"/>
      <c r="T7009" s="226"/>
      <c r="U7009" s="226"/>
    </row>
    <row r="7010" spans="16:21" x14ac:dyDescent="0.35">
      <c r="P7010" s="226"/>
      <c r="Q7010" s="226"/>
      <c r="R7010" s="226"/>
      <c r="S7010" s="226"/>
      <c r="T7010" s="226"/>
      <c r="U7010" s="226"/>
    </row>
    <row r="7011" spans="16:21" x14ac:dyDescent="0.35">
      <c r="P7011" s="226"/>
      <c r="Q7011" s="226"/>
      <c r="R7011" s="226"/>
      <c r="S7011" s="226"/>
      <c r="T7011" s="226"/>
      <c r="U7011" s="226"/>
    </row>
    <row r="7012" spans="16:21" x14ac:dyDescent="0.35">
      <c r="P7012" s="226"/>
      <c r="Q7012" s="226"/>
      <c r="R7012" s="226"/>
      <c r="S7012" s="226"/>
      <c r="T7012" s="226"/>
      <c r="U7012" s="226"/>
    </row>
    <row r="7013" spans="16:21" x14ac:dyDescent="0.35">
      <c r="P7013" s="226"/>
      <c r="Q7013" s="226"/>
      <c r="R7013" s="226"/>
      <c r="S7013" s="226"/>
      <c r="T7013" s="226"/>
      <c r="U7013" s="226"/>
    </row>
    <row r="7014" spans="16:21" x14ac:dyDescent="0.35">
      <c r="P7014" s="226"/>
      <c r="Q7014" s="226"/>
      <c r="R7014" s="226"/>
      <c r="S7014" s="226"/>
      <c r="T7014" s="226"/>
      <c r="U7014" s="226"/>
    </row>
    <row r="7015" spans="16:21" x14ac:dyDescent="0.35">
      <c r="P7015" s="226"/>
      <c r="Q7015" s="226"/>
      <c r="R7015" s="226"/>
      <c r="S7015" s="226"/>
      <c r="T7015" s="226"/>
      <c r="U7015" s="226"/>
    </row>
    <row r="7016" spans="16:21" x14ac:dyDescent="0.35">
      <c r="P7016" s="226"/>
      <c r="Q7016" s="226"/>
      <c r="R7016" s="226"/>
      <c r="S7016" s="226"/>
      <c r="T7016" s="226"/>
      <c r="U7016" s="226"/>
    </row>
    <row r="7017" spans="16:21" x14ac:dyDescent="0.35">
      <c r="P7017" s="226"/>
      <c r="Q7017" s="226"/>
      <c r="R7017" s="226"/>
      <c r="S7017" s="226"/>
      <c r="T7017" s="226"/>
      <c r="U7017" s="226"/>
    </row>
    <row r="7018" spans="16:21" x14ac:dyDescent="0.35">
      <c r="P7018" s="226"/>
      <c r="Q7018" s="226"/>
      <c r="R7018" s="226"/>
      <c r="S7018" s="226"/>
      <c r="T7018" s="226"/>
      <c r="U7018" s="226"/>
    </row>
    <row r="7019" spans="16:21" x14ac:dyDescent="0.35">
      <c r="P7019" s="226"/>
      <c r="Q7019" s="226"/>
      <c r="R7019" s="226"/>
      <c r="S7019" s="226"/>
      <c r="T7019" s="226"/>
      <c r="U7019" s="226"/>
    </row>
    <row r="7020" spans="16:21" x14ac:dyDescent="0.35">
      <c r="P7020" s="226"/>
      <c r="Q7020" s="226"/>
      <c r="R7020" s="226"/>
      <c r="S7020" s="226"/>
      <c r="T7020" s="226"/>
      <c r="U7020" s="226"/>
    </row>
    <row r="7021" spans="16:21" x14ac:dyDescent="0.35">
      <c r="P7021" s="226"/>
      <c r="Q7021" s="226"/>
      <c r="R7021" s="226"/>
      <c r="S7021" s="226"/>
      <c r="T7021" s="226"/>
      <c r="U7021" s="226"/>
    </row>
    <row r="7022" spans="16:21" x14ac:dyDescent="0.35">
      <c r="P7022" s="226"/>
      <c r="Q7022" s="226"/>
      <c r="R7022" s="226"/>
      <c r="S7022" s="226"/>
      <c r="T7022" s="226"/>
      <c r="U7022" s="226"/>
    </row>
    <row r="7023" spans="16:21" x14ac:dyDescent="0.35">
      <c r="P7023" s="226"/>
      <c r="Q7023" s="226"/>
      <c r="R7023" s="226"/>
      <c r="S7023" s="226"/>
      <c r="T7023" s="226"/>
      <c r="U7023" s="226"/>
    </row>
    <row r="7024" spans="16:21" x14ac:dyDescent="0.35">
      <c r="P7024" s="226"/>
      <c r="Q7024" s="226"/>
      <c r="R7024" s="226"/>
      <c r="S7024" s="226"/>
      <c r="T7024" s="226"/>
      <c r="U7024" s="226"/>
    </row>
    <row r="7025" spans="16:21" x14ac:dyDescent="0.35">
      <c r="P7025" s="226"/>
      <c r="Q7025" s="226"/>
      <c r="R7025" s="226"/>
      <c r="S7025" s="226"/>
      <c r="T7025" s="226"/>
      <c r="U7025" s="226"/>
    </row>
    <row r="7026" spans="16:21" x14ac:dyDescent="0.35">
      <c r="P7026" s="226"/>
      <c r="Q7026" s="226"/>
      <c r="R7026" s="226"/>
      <c r="S7026" s="226"/>
      <c r="T7026" s="226"/>
      <c r="U7026" s="226"/>
    </row>
    <row r="7027" spans="16:21" x14ac:dyDescent="0.35">
      <c r="P7027" s="226"/>
      <c r="Q7027" s="226"/>
      <c r="R7027" s="226"/>
      <c r="S7027" s="226"/>
      <c r="T7027" s="226"/>
      <c r="U7027" s="226"/>
    </row>
    <row r="7028" spans="16:21" x14ac:dyDescent="0.35">
      <c r="P7028" s="226"/>
      <c r="Q7028" s="226"/>
      <c r="R7028" s="226"/>
      <c r="S7028" s="226"/>
      <c r="T7028" s="226"/>
      <c r="U7028" s="226"/>
    </row>
    <row r="7029" spans="16:21" x14ac:dyDescent="0.35">
      <c r="P7029" s="226"/>
      <c r="Q7029" s="226"/>
      <c r="R7029" s="226"/>
      <c r="S7029" s="226"/>
      <c r="T7029" s="226"/>
      <c r="U7029" s="226"/>
    </row>
    <row r="7030" spans="16:21" x14ac:dyDescent="0.35">
      <c r="P7030" s="226"/>
      <c r="Q7030" s="226"/>
      <c r="R7030" s="226"/>
      <c r="S7030" s="226"/>
      <c r="T7030" s="226"/>
      <c r="U7030" s="226"/>
    </row>
    <row r="7031" spans="16:21" x14ac:dyDescent="0.35">
      <c r="P7031" s="226"/>
      <c r="Q7031" s="226"/>
      <c r="R7031" s="226"/>
      <c r="S7031" s="226"/>
      <c r="T7031" s="226"/>
      <c r="U7031" s="226"/>
    </row>
    <row r="7032" spans="16:21" x14ac:dyDescent="0.35">
      <c r="P7032" s="226"/>
      <c r="Q7032" s="226"/>
      <c r="R7032" s="226"/>
      <c r="S7032" s="226"/>
      <c r="T7032" s="226"/>
      <c r="U7032" s="226"/>
    </row>
    <row r="7033" spans="16:21" x14ac:dyDescent="0.35">
      <c r="P7033" s="226"/>
      <c r="Q7033" s="226"/>
      <c r="R7033" s="226"/>
      <c r="S7033" s="226"/>
      <c r="T7033" s="226"/>
      <c r="U7033" s="226"/>
    </row>
    <row r="7034" spans="16:21" x14ac:dyDescent="0.35">
      <c r="P7034" s="226"/>
      <c r="Q7034" s="226"/>
      <c r="R7034" s="226"/>
      <c r="S7034" s="226"/>
      <c r="T7034" s="226"/>
      <c r="U7034" s="226"/>
    </row>
    <row r="7035" spans="16:21" x14ac:dyDescent="0.35">
      <c r="P7035" s="226"/>
      <c r="Q7035" s="226"/>
      <c r="R7035" s="226"/>
      <c r="S7035" s="226"/>
      <c r="T7035" s="226"/>
      <c r="U7035" s="226"/>
    </row>
    <row r="7036" spans="16:21" x14ac:dyDescent="0.35">
      <c r="P7036" s="226"/>
      <c r="Q7036" s="226"/>
      <c r="R7036" s="226"/>
      <c r="S7036" s="226"/>
      <c r="T7036" s="226"/>
      <c r="U7036" s="226"/>
    </row>
    <row r="7037" spans="16:21" x14ac:dyDescent="0.35">
      <c r="P7037" s="226"/>
      <c r="Q7037" s="226"/>
      <c r="R7037" s="226"/>
      <c r="S7037" s="226"/>
      <c r="T7037" s="226"/>
      <c r="U7037" s="226"/>
    </row>
    <row r="7038" spans="16:21" x14ac:dyDescent="0.35">
      <c r="P7038" s="226"/>
      <c r="Q7038" s="226"/>
      <c r="R7038" s="226"/>
      <c r="S7038" s="226"/>
      <c r="T7038" s="226"/>
      <c r="U7038" s="226"/>
    </row>
    <row r="7039" spans="16:21" x14ac:dyDescent="0.35">
      <c r="P7039" s="226"/>
      <c r="Q7039" s="226"/>
      <c r="R7039" s="226"/>
      <c r="S7039" s="226"/>
      <c r="T7039" s="226"/>
      <c r="U7039" s="226"/>
    </row>
    <row r="7040" spans="16:21" x14ac:dyDescent="0.35">
      <c r="P7040" s="226"/>
      <c r="Q7040" s="226"/>
      <c r="R7040" s="226"/>
      <c r="S7040" s="226"/>
      <c r="T7040" s="226"/>
      <c r="U7040" s="226"/>
    </row>
    <row r="7041" spans="16:21" x14ac:dyDescent="0.35">
      <c r="P7041" s="226"/>
      <c r="Q7041" s="226"/>
      <c r="R7041" s="226"/>
      <c r="S7041" s="226"/>
      <c r="T7041" s="226"/>
      <c r="U7041" s="226"/>
    </row>
    <row r="7042" spans="16:21" x14ac:dyDescent="0.35">
      <c r="P7042" s="226"/>
      <c r="Q7042" s="226"/>
      <c r="R7042" s="226"/>
      <c r="S7042" s="226"/>
      <c r="T7042" s="226"/>
      <c r="U7042" s="226"/>
    </row>
    <row r="7043" spans="16:21" x14ac:dyDescent="0.35">
      <c r="P7043" s="226"/>
      <c r="Q7043" s="226"/>
      <c r="R7043" s="226"/>
      <c r="S7043" s="226"/>
      <c r="T7043" s="226"/>
      <c r="U7043" s="226"/>
    </row>
    <row r="7044" spans="16:21" x14ac:dyDescent="0.35">
      <c r="P7044" s="226"/>
      <c r="Q7044" s="226"/>
      <c r="R7044" s="226"/>
      <c r="S7044" s="226"/>
      <c r="T7044" s="226"/>
      <c r="U7044" s="226"/>
    </row>
    <row r="7045" spans="16:21" x14ac:dyDescent="0.35">
      <c r="P7045" s="226"/>
      <c r="Q7045" s="226"/>
      <c r="R7045" s="226"/>
      <c r="S7045" s="226"/>
      <c r="T7045" s="226"/>
      <c r="U7045" s="226"/>
    </row>
    <row r="7046" spans="16:21" x14ac:dyDescent="0.35">
      <c r="P7046" s="226"/>
      <c r="Q7046" s="226"/>
      <c r="R7046" s="226"/>
      <c r="S7046" s="226"/>
      <c r="T7046" s="226"/>
      <c r="U7046" s="226"/>
    </row>
    <row r="7047" spans="16:21" x14ac:dyDescent="0.35">
      <c r="P7047" s="226"/>
      <c r="Q7047" s="226"/>
      <c r="R7047" s="226"/>
      <c r="S7047" s="226"/>
      <c r="T7047" s="226"/>
      <c r="U7047" s="226"/>
    </row>
    <row r="7048" spans="16:21" x14ac:dyDescent="0.35">
      <c r="P7048" s="226"/>
      <c r="Q7048" s="226"/>
      <c r="R7048" s="226"/>
      <c r="S7048" s="226"/>
      <c r="T7048" s="226"/>
      <c r="U7048" s="226"/>
    </row>
    <row r="7049" spans="16:21" x14ac:dyDescent="0.35">
      <c r="P7049" s="226"/>
      <c r="Q7049" s="226"/>
      <c r="R7049" s="226"/>
      <c r="S7049" s="226"/>
      <c r="T7049" s="226"/>
      <c r="U7049" s="226"/>
    </row>
    <row r="7050" spans="16:21" x14ac:dyDescent="0.35">
      <c r="P7050" s="226"/>
      <c r="Q7050" s="226"/>
      <c r="R7050" s="226"/>
      <c r="S7050" s="226"/>
      <c r="T7050" s="226"/>
      <c r="U7050" s="226"/>
    </row>
    <row r="7051" spans="16:21" x14ac:dyDescent="0.35">
      <c r="P7051" s="226"/>
      <c r="Q7051" s="226"/>
      <c r="R7051" s="226"/>
      <c r="S7051" s="226"/>
      <c r="T7051" s="226"/>
      <c r="U7051" s="226"/>
    </row>
    <row r="7052" spans="16:21" x14ac:dyDescent="0.35">
      <c r="P7052" s="226"/>
      <c r="Q7052" s="226"/>
      <c r="R7052" s="226"/>
      <c r="S7052" s="226"/>
      <c r="T7052" s="226"/>
      <c r="U7052" s="226"/>
    </row>
    <row r="7053" spans="16:21" x14ac:dyDescent="0.35">
      <c r="P7053" s="226"/>
      <c r="Q7053" s="226"/>
      <c r="R7053" s="226"/>
      <c r="S7053" s="226"/>
      <c r="T7053" s="226"/>
      <c r="U7053" s="226"/>
    </row>
    <row r="7054" spans="16:21" x14ac:dyDescent="0.35">
      <c r="P7054" s="226"/>
      <c r="Q7054" s="226"/>
      <c r="R7054" s="226"/>
      <c r="S7054" s="226"/>
      <c r="T7054" s="226"/>
      <c r="U7054" s="226"/>
    </row>
    <row r="7055" spans="16:21" x14ac:dyDescent="0.35">
      <c r="P7055" s="226"/>
      <c r="Q7055" s="226"/>
      <c r="R7055" s="226"/>
      <c r="S7055" s="226"/>
      <c r="T7055" s="226"/>
      <c r="U7055" s="226"/>
    </row>
    <row r="7056" spans="16:21" x14ac:dyDescent="0.35">
      <c r="P7056" s="226"/>
      <c r="Q7056" s="226"/>
      <c r="R7056" s="226"/>
      <c r="S7056" s="226"/>
      <c r="T7056" s="226"/>
      <c r="U7056" s="226"/>
    </row>
    <row r="7057" spans="16:21" x14ac:dyDescent="0.35">
      <c r="P7057" s="226"/>
      <c r="Q7057" s="226"/>
      <c r="R7057" s="226"/>
      <c r="S7057" s="226"/>
      <c r="T7057" s="226"/>
      <c r="U7057" s="226"/>
    </row>
    <row r="7058" spans="16:21" x14ac:dyDescent="0.35">
      <c r="P7058" s="226"/>
      <c r="Q7058" s="226"/>
      <c r="R7058" s="226"/>
      <c r="S7058" s="226"/>
      <c r="T7058" s="226"/>
      <c r="U7058" s="226"/>
    </row>
    <row r="7059" spans="16:21" x14ac:dyDescent="0.35">
      <c r="P7059" s="226"/>
      <c r="Q7059" s="226"/>
      <c r="R7059" s="226"/>
      <c r="S7059" s="226"/>
      <c r="T7059" s="226"/>
      <c r="U7059" s="226"/>
    </row>
    <row r="7060" spans="16:21" x14ac:dyDescent="0.35">
      <c r="P7060" s="226"/>
      <c r="Q7060" s="226"/>
      <c r="R7060" s="226"/>
      <c r="S7060" s="226"/>
      <c r="T7060" s="226"/>
      <c r="U7060" s="226"/>
    </row>
    <row r="7061" spans="16:21" x14ac:dyDescent="0.35">
      <c r="P7061" s="226"/>
      <c r="Q7061" s="226"/>
      <c r="R7061" s="226"/>
      <c r="S7061" s="226"/>
      <c r="T7061" s="226"/>
      <c r="U7061" s="226"/>
    </row>
    <row r="7062" spans="16:21" x14ac:dyDescent="0.35">
      <c r="P7062" s="226"/>
      <c r="Q7062" s="226"/>
      <c r="R7062" s="226"/>
      <c r="S7062" s="226"/>
      <c r="T7062" s="226"/>
      <c r="U7062" s="226"/>
    </row>
    <row r="7063" spans="16:21" x14ac:dyDescent="0.35">
      <c r="P7063" s="226"/>
      <c r="Q7063" s="226"/>
      <c r="R7063" s="226"/>
      <c r="S7063" s="226"/>
      <c r="T7063" s="226"/>
      <c r="U7063" s="226"/>
    </row>
    <row r="7064" spans="16:21" x14ac:dyDescent="0.35">
      <c r="P7064" s="226"/>
      <c r="Q7064" s="226"/>
      <c r="R7064" s="226"/>
      <c r="S7064" s="226"/>
      <c r="T7064" s="226"/>
      <c r="U7064" s="226"/>
    </row>
    <row r="7065" spans="16:21" x14ac:dyDescent="0.35">
      <c r="P7065" s="226"/>
      <c r="Q7065" s="226"/>
      <c r="R7065" s="226"/>
      <c r="S7065" s="226"/>
      <c r="T7065" s="226"/>
      <c r="U7065" s="226"/>
    </row>
    <row r="7066" spans="16:21" x14ac:dyDescent="0.35">
      <c r="P7066" s="226"/>
      <c r="Q7066" s="226"/>
      <c r="R7066" s="226"/>
      <c r="S7066" s="226"/>
      <c r="T7066" s="226"/>
      <c r="U7066" s="226"/>
    </row>
    <row r="7067" spans="16:21" x14ac:dyDescent="0.35">
      <c r="P7067" s="226"/>
      <c r="Q7067" s="226"/>
      <c r="R7067" s="226"/>
      <c r="S7067" s="226"/>
      <c r="T7067" s="226"/>
      <c r="U7067" s="226"/>
    </row>
    <row r="7068" spans="16:21" x14ac:dyDescent="0.35">
      <c r="P7068" s="226"/>
      <c r="Q7068" s="226"/>
      <c r="R7068" s="226"/>
      <c r="S7068" s="226"/>
      <c r="T7068" s="226"/>
      <c r="U7068" s="226"/>
    </row>
    <row r="7069" spans="16:21" x14ac:dyDescent="0.35">
      <c r="P7069" s="226"/>
      <c r="Q7069" s="226"/>
      <c r="R7069" s="226"/>
      <c r="S7069" s="226"/>
      <c r="T7069" s="226"/>
      <c r="U7069" s="226"/>
    </row>
    <row r="7070" spans="16:21" x14ac:dyDescent="0.35">
      <c r="P7070" s="226"/>
      <c r="Q7070" s="226"/>
      <c r="R7070" s="226"/>
      <c r="S7070" s="226"/>
      <c r="T7070" s="226"/>
      <c r="U7070" s="226"/>
    </row>
    <row r="7071" spans="16:21" x14ac:dyDescent="0.35">
      <c r="P7071" s="226"/>
      <c r="Q7071" s="226"/>
      <c r="R7071" s="226"/>
      <c r="S7071" s="226"/>
      <c r="T7071" s="226"/>
      <c r="U7071" s="226"/>
    </row>
    <row r="7072" spans="16:21" x14ac:dyDescent="0.35">
      <c r="P7072" s="226"/>
      <c r="Q7072" s="226"/>
      <c r="R7072" s="226"/>
      <c r="S7072" s="226"/>
      <c r="T7072" s="226"/>
      <c r="U7072" s="226"/>
    </row>
    <row r="7073" spans="16:21" x14ac:dyDescent="0.35">
      <c r="P7073" s="226"/>
      <c r="Q7073" s="226"/>
      <c r="R7073" s="226"/>
      <c r="S7073" s="226"/>
      <c r="T7073" s="226"/>
      <c r="U7073" s="226"/>
    </row>
    <row r="7074" spans="16:21" x14ac:dyDescent="0.35">
      <c r="P7074" s="226"/>
      <c r="Q7074" s="226"/>
      <c r="R7074" s="226"/>
      <c r="S7074" s="226"/>
      <c r="T7074" s="226"/>
      <c r="U7074" s="226"/>
    </row>
    <row r="7075" spans="16:21" x14ac:dyDescent="0.35">
      <c r="P7075" s="226"/>
      <c r="Q7075" s="226"/>
      <c r="R7075" s="226"/>
      <c r="S7075" s="226"/>
      <c r="T7075" s="226"/>
      <c r="U7075" s="226"/>
    </row>
    <row r="7076" spans="16:21" x14ac:dyDescent="0.35">
      <c r="P7076" s="226"/>
      <c r="Q7076" s="226"/>
      <c r="R7076" s="226"/>
      <c r="S7076" s="226"/>
      <c r="T7076" s="226"/>
      <c r="U7076" s="226"/>
    </row>
    <row r="7077" spans="16:21" x14ac:dyDescent="0.35">
      <c r="P7077" s="226"/>
      <c r="Q7077" s="226"/>
      <c r="R7077" s="226"/>
      <c r="S7077" s="226"/>
      <c r="T7077" s="226"/>
      <c r="U7077" s="226"/>
    </row>
    <row r="7078" spans="16:21" x14ac:dyDescent="0.35">
      <c r="P7078" s="226"/>
      <c r="Q7078" s="226"/>
      <c r="R7078" s="226"/>
      <c r="S7078" s="226"/>
      <c r="T7078" s="226"/>
      <c r="U7078" s="226"/>
    </row>
    <row r="7079" spans="16:21" x14ac:dyDescent="0.35">
      <c r="P7079" s="226"/>
      <c r="Q7079" s="226"/>
      <c r="R7079" s="226"/>
      <c r="S7079" s="226"/>
      <c r="T7079" s="226"/>
      <c r="U7079" s="226"/>
    </row>
    <row r="7080" spans="16:21" x14ac:dyDescent="0.35">
      <c r="P7080" s="226"/>
      <c r="Q7080" s="226"/>
      <c r="R7080" s="226"/>
      <c r="S7080" s="226"/>
      <c r="T7080" s="226"/>
      <c r="U7080" s="226"/>
    </row>
    <row r="7081" spans="16:21" x14ac:dyDescent="0.35">
      <c r="P7081" s="226"/>
      <c r="Q7081" s="226"/>
      <c r="R7081" s="226"/>
      <c r="S7081" s="226"/>
      <c r="T7081" s="226"/>
      <c r="U7081" s="226"/>
    </row>
    <row r="7082" spans="16:21" x14ac:dyDescent="0.35">
      <c r="P7082" s="226"/>
      <c r="Q7082" s="226"/>
      <c r="R7082" s="226"/>
      <c r="S7082" s="226"/>
      <c r="T7082" s="226"/>
      <c r="U7082" s="226"/>
    </row>
    <row r="7083" spans="16:21" x14ac:dyDescent="0.35">
      <c r="P7083" s="226"/>
      <c r="Q7083" s="226"/>
      <c r="R7083" s="226"/>
      <c r="S7083" s="226"/>
      <c r="T7083" s="226"/>
      <c r="U7083" s="226"/>
    </row>
    <row r="7084" spans="16:21" x14ac:dyDescent="0.35">
      <c r="P7084" s="226"/>
      <c r="Q7084" s="226"/>
      <c r="R7084" s="226"/>
      <c r="S7084" s="226"/>
      <c r="T7084" s="226"/>
      <c r="U7084" s="226"/>
    </row>
    <row r="7085" spans="16:21" x14ac:dyDescent="0.35">
      <c r="P7085" s="226"/>
      <c r="Q7085" s="226"/>
      <c r="R7085" s="226"/>
      <c r="S7085" s="226"/>
      <c r="T7085" s="226"/>
      <c r="U7085" s="226"/>
    </row>
    <row r="7086" spans="16:21" x14ac:dyDescent="0.35">
      <c r="P7086" s="226"/>
      <c r="Q7086" s="226"/>
      <c r="R7086" s="226"/>
      <c r="S7086" s="226"/>
      <c r="T7086" s="226"/>
      <c r="U7086" s="226"/>
    </row>
    <row r="7087" spans="16:21" x14ac:dyDescent="0.35">
      <c r="P7087" s="226"/>
      <c r="Q7087" s="226"/>
      <c r="R7087" s="226"/>
      <c r="S7087" s="226"/>
      <c r="T7087" s="226"/>
      <c r="U7087" s="226"/>
    </row>
    <row r="7088" spans="16:21" x14ac:dyDescent="0.35">
      <c r="P7088" s="226"/>
      <c r="Q7088" s="226"/>
      <c r="R7088" s="226"/>
      <c r="S7088" s="226"/>
      <c r="T7088" s="226"/>
      <c r="U7088" s="226"/>
    </row>
    <row r="7089" spans="16:21" x14ac:dyDescent="0.35">
      <c r="P7089" s="226"/>
      <c r="Q7089" s="226"/>
      <c r="R7089" s="226"/>
      <c r="S7089" s="226"/>
      <c r="T7089" s="226"/>
      <c r="U7089" s="226"/>
    </row>
    <row r="7090" spans="16:21" x14ac:dyDescent="0.35">
      <c r="P7090" s="226"/>
      <c r="Q7090" s="226"/>
      <c r="R7090" s="226"/>
      <c r="S7090" s="226"/>
      <c r="T7090" s="226"/>
      <c r="U7090" s="226"/>
    </row>
    <row r="7091" spans="16:21" x14ac:dyDescent="0.35">
      <c r="P7091" s="226"/>
      <c r="Q7091" s="226"/>
      <c r="R7091" s="226"/>
      <c r="S7091" s="226"/>
      <c r="T7091" s="226"/>
      <c r="U7091" s="226"/>
    </row>
    <row r="7092" spans="16:21" x14ac:dyDescent="0.35">
      <c r="P7092" s="226"/>
      <c r="Q7092" s="226"/>
      <c r="R7092" s="226"/>
      <c r="S7092" s="226"/>
      <c r="T7092" s="226"/>
      <c r="U7092" s="226"/>
    </row>
    <row r="7093" spans="16:21" x14ac:dyDescent="0.35">
      <c r="P7093" s="226"/>
      <c r="Q7093" s="226"/>
      <c r="R7093" s="226"/>
      <c r="S7093" s="226"/>
      <c r="T7093" s="226"/>
      <c r="U7093" s="226"/>
    </row>
    <row r="7094" spans="16:21" x14ac:dyDescent="0.35">
      <c r="P7094" s="226"/>
      <c r="Q7094" s="226"/>
      <c r="R7094" s="226"/>
      <c r="S7094" s="226"/>
      <c r="T7094" s="226"/>
      <c r="U7094" s="226"/>
    </row>
    <row r="7095" spans="16:21" x14ac:dyDescent="0.35">
      <c r="P7095" s="226"/>
      <c r="Q7095" s="226"/>
      <c r="R7095" s="226"/>
      <c r="S7095" s="226"/>
      <c r="T7095" s="226"/>
      <c r="U7095" s="226"/>
    </row>
    <row r="7096" spans="16:21" x14ac:dyDescent="0.35">
      <c r="P7096" s="226"/>
      <c r="Q7096" s="226"/>
      <c r="R7096" s="226"/>
      <c r="S7096" s="226"/>
      <c r="T7096" s="226"/>
      <c r="U7096" s="226"/>
    </row>
    <row r="7097" spans="16:21" x14ac:dyDescent="0.35">
      <c r="P7097" s="226"/>
      <c r="Q7097" s="226"/>
      <c r="R7097" s="226"/>
      <c r="S7097" s="226"/>
      <c r="T7097" s="226"/>
      <c r="U7097" s="226"/>
    </row>
    <row r="7098" spans="16:21" x14ac:dyDescent="0.35">
      <c r="P7098" s="226"/>
      <c r="Q7098" s="226"/>
      <c r="R7098" s="226"/>
      <c r="S7098" s="226"/>
      <c r="T7098" s="226"/>
      <c r="U7098" s="226"/>
    </row>
    <row r="7099" spans="16:21" x14ac:dyDescent="0.35">
      <c r="P7099" s="226"/>
      <c r="Q7099" s="226"/>
      <c r="R7099" s="226"/>
      <c r="S7099" s="226"/>
      <c r="T7099" s="226"/>
      <c r="U7099" s="226"/>
    </row>
    <row r="7100" spans="16:21" x14ac:dyDescent="0.35">
      <c r="P7100" s="226"/>
      <c r="Q7100" s="226"/>
      <c r="R7100" s="226"/>
      <c r="S7100" s="226"/>
      <c r="T7100" s="226"/>
      <c r="U7100" s="226"/>
    </row>
    <row r="7101" spans="16:21" x14ac:dyDescent="0.35">
      <c r="P7101" s="226"/>
      <c r="Q7101" s="226"/>
      <c r="R7101" s="226"/>
      <c r="S7101" s="226"/>
      <c r="T7101" s="226"/>
      <c r="U7101" s="226"/>
    </row>
    <row r="7102" spans="16:21" x14ac:dyDescent="0.35">
      <c r="P7102" s="226"/>
      <c r="Q7102" s="226"/>
      <c r="R7102" s="226"/>
      <c r="S7102" s="226"/>
      <c r="T7102" s="226"/>
      <c r="U7102" s="226"/>
    </row>
    <row r="7103" spans="16:21" x14ac:dyDescent="0.35">
      <c r="P7103" s="226"/>
      <c r="Q7103" s="226"/>
      <c r="R7103" s="226"/>
      <c r="S7103" s="226"/>
      <c r="T7103" s="226"/>
      <c r="U7103" s="226"/>
    </row>
    <row r="7104" spans="16:21" x14ac:dyDescent="0.35">
      <c r="P7104" s="226"/>
      <c r="Q7104" s="226"/>
      <c r="R7104" s="226"/>
      <c r="S7104" s="226"/>
      <c r="T7104" s="226"/>
      <c r="U7104" s="226"/>
    </row>
    <row r="7105" spans="16:21" x14ac:dyDescent="0.35">
      <c r="P7105" s="226"/>
      <c r="Q7105" s="226"/>
      <c r="R7105" s="226"/>
      <c r="S7105" s="226"/>
      <c r="T7105" s="226"/>
      <c r="U7105" s="226"/>
    </row>
    <row r="7106" spans="16:21" x14ac:dyDescent="0.35">
      <c r="P7106" s="226"/>
      <c r="Q7106" s="226"/>
      <c r="R7106" s="226"/>
      <c r="S7106" s="226"/>
      <c r="T7106" s="226"/>
      <c r="U7106" s="226"/>
    </row>
    <row r="7107" spans="16:21" x14ac:dyDescent="0.35">
      <c r="P7107" s="226"/>
      <c r="Q7107" s="226"/>
      <c r="R7107" s="226"/>
      <c r="S7107" s="226"/>
      <c r="T7107" s="226"/>
      <c r="U7107" s="226"/>
    </row>
    <row r="7108" spans="16:21" x14ac:dyDescent="0.35">
      <c r="P7108" s="226"/>
      <c r="Q7108" s="226"/>
      <c r="R7108" s="226"/>
      <c r="S7108" s="226"/>
      <c r="T7108" s="226"/>
      <c r="U7108" s="226"/>
    </row>
    <row r="7109" spans="16:21" x14ac:dyDescent="0.35">
      <c r="P7109" s="226"/>
      <c r="Q7109" s="226"/>
      <c r="R7109" s="226"/>
      <c r="S7109" s="226"/>
      <c r="T7109" s="226"/>
      <c r="U7109" s="226"/>
    </row>
    <row r="7110" spans="16:21" x14ac:dyDescent="0.35">
      <c r="P7110" s="226"/>
      <c r="Q7110" s="226"/>
      <c r="R7110" s="226"/>
      <c r="S7110" s="226"/>
      <c r="T7110" s="226"/>
      <c r="U7110" s="226"/>
    </row>
    <row r="7111" spans="16:21" x14ac:dyDescent="0.35">
      <c r="P7111" s="226"/>
      <c r="Q7111" s="226"/>
      <c r="R7111" s="226"/>
      <c r="S7111" s="226"/>
      <c r="T7111" s="226"/>
      <c r="U7111" s="226"/>
    </row>
    <row r="7112" spans="16:21" x14ac:dyDescent="0.35">
      <c r="P7112" s="226"/>
      <c r="Q7112" s="226"/>
      <c r="R7112" s="226"/>
      <c r="S7112" s="226"/>
      <c r="T7112" s="226"/>
      <c r="U7112" s="226"/>
    </row>
    <row r="7113" spans="16:21" x14ac:dyDescent="0.35">
      <c r="P7113" s="226"/>
      <c r="Q7113" s="226"/>
      <c r="R7113" s="226"/>
      <c r="S7113" s="226"/>
      <c r="T7113" s="226"/>
      <c r="U7113" s="226"/>
    </row>
    <row r="7114" spans="16:21" x14ac:dyDescent="0.35">
      <c r="P7114" s="226"/>
      <c r="Q7114" s="226"/>
      <c r="R7114" s="226"/>
      <c r="S7114" s="226"/>
      <c r="T7114" s="226"/>
      <c r="U7114" s="226"/>
    </row>
    <row r="7115" spans="16:21" x14ac:dyDescent="0.35">
      <c r="P7115" s="226"/>
      <c r="Q7115" s="226"/>
      <c r="R7115" s="226"/>
      <c r="S7115" s="226"/>
      <c r="T7115" s="226"/>
      <c r="U7115" s="226"/>
    </row>
    <row r="7116" spans="16:21" x14ac:dyDescent="0.35">
      <c r="P7116" s="226"/>
      <c r="Q7116" s="226"/>
      <c r="R7116" s="226"/>
      <c r="S7116" s="226"/>
      <c r="T7116" s="226"/>
      <c r="U7116" s="226"/>
    </row>
    <row r="7117" spans="16:21" x14ac:dyDescent="0.35">
      <c r="P7117" s="226"/>
      <c r="Q7117" s="226"/>
      <c r="R7117" s="226"/>
      <c r="S7117" s="226"/>
      <c r="T7117" s="226"/>
      <c r="U7117" s="226"/>
    </row>
    <row r="7118" spans="16:21" x14ac:dyDescent="0.35">
      <c r="P7118" s="226"/>
      <c r="Q7118" s="226"/>
      <c r="R7118" s="226"/>
      <c r="S7118" s="226"/>
      <c r="T7118" s="226"/>
      <c r="U7118" s="226"/>
    </row>
    <row r="7119" spans="16:21" x14ac:dyDescent="0.35">
      <c r="P7119" s="226"/>
      <c r="Q7119" s="226"/>
      <c r="R7119" s="226"/>
      <c r="S7119" s="226"/>
      <c r="T7119" s="226"/>
      <c r="U7119" s="226"/>
    </row>
    <row r="7120" spans="16:21" x14ac:dyDescent="0.35">
      <c r="P7120" s="226"/>
      <c r="Q7120" s="226"/>
      <c r="R7120" s="226"/>
      <c r="S7120" s="226"/>
      <c r="T7120" s="226"/>
      <c r="U7120" s="226"/>
    </row>
    <row r="7121" spans="16:21" x14ac:dyDescent="0.35">
      <c r="P7121" s="226"/>
      <c r="Q7121" s="226"/>
      <c r="R7121" s="226"/>
      <c r="S7121" s="226"/>
      <c r="T7121" s="226"/>
      <c r="U7121" s="226"/>
    </row>
    <row r="7122" spans="16:21" x14ac:dyDescent="0.35">
      <c r="P7122" s="226"/>
      <c r="Q7122" s="226"/>
      <c r="R7122" s="226"/>
      <c r="S7122" s="226"/>
      <c r="T7122" s="226"/>
      <c r="U7122" s="226"/>
    </row>
    <row r="7123" spans="16:21" x14ac:dyDescent="0.35">
      <c r="P7123" s="226"/>
      <c r="Q7123" s="226"/>
      <c r="R7123" s="226"/>
      <c r="S7123" s="226"/>
      <c r="T7123" s="226"/>
      <c r="U7123" s="226"/>
    </row>
    <row r="7124" spans="16:21" x14ac:dyDescent="0.35">
      <c r="P7124" s="226"/>
      <c r="Q7124" s="226"/>
      <c r="R7124" s="226"/>
      <c r="S7124" s="226"/>
      <c r="T7124" s="226"/>
      <c r="U7124" s="226"/>
    </row>
    <row r="7125" spans="16:21" x14ac:dyDescent="0.35">
      <c r="P7125" s="226"/>
      <c r="Q7125" s="226"/>
      <c r="R7125" s="226"/>
      <c r="S7125" s="226"/>
      <c r="T7125" s="226"/>
      <c r="U7125" s="226"/>
    </row>
    <row r="7126" spans="16:21" x14ac:dyDescent="0.35">
      <c r="P7126" s="226"/>
      <c r="Q7126" s="226"/>
      <c r="R7126" s="226"/>
      <c r="S7126" s="226"/>
      <c r="T7126" s="226"/>
      <c r="U7126" s="226"/>
    </row>
    <row r="7127" spans="16:21" x14ac:dyDescent="0.35">
      <c r="P7127" s="226"/>
      <c r="Q7127" s="226"/>
      <c r="R7127" s="226"/>
      <c r="S7127" s="226"/>
      <c r="T7127" s="226"/>
      <c r="U7127" s="226"/>
    </row>
    <row r="7128" spans="16:21" x14ac:dyDescent="0.35">
      <c r="P7128" s="226"/>
      <c r="Q7128" s="226"/>
      <c r="R7128" s="226"/>
      <c r="S7128" s="226"/>
      <c r="T7128" s="226"/>
      <c r="U7128" s="226"/>
    </row>
    <row r="7129" spans="16:21" x14ac:dyDescent="0.35">
      <c r="P7129" s="226"/>
      <c r="Q7129" s="226"/>
      <c r="R7129" s="226"/>
      <c r="S7129" s="226"/>
      <c r="T7129" s="226"/>
      <c r="U7129" s="226"/>
    </row>
    <row r="7130" spans="16:21" x14ac:dyDescent="0.35">
      <c r="P7130" s="226"/>
      <c r="Q7130" s="226"/>
      <c r="R7130" s="226"/>
      <c r="S7130" s="226"/>
      <c r="T7130" s="226"/>
      <c r="U7130" s="226"/>
    </row>
    <row r="7131" spans="16:21" x14ac:dyDescent="0.35">
      <c r="P7131" s="226"/>
      <c r="Q7131" s="226"/>
      <c r="R7131" s="226"/>
      <c r="S7131" s="226"/>
      <c r="T7131" s="226"/>
      <c r="U7131" s="226"/>
    </row>
    <row r="7132" spans="16:21" x14ac:dyDescent="0.35">
      <c r="P7132" s="226"/>
      <c r="Q7132" s="226"/>
      <c r="R7132" s="226"/>
      <c r="S7132" s="226"/>
      <c r="T7132" s="226"/>
      <c r="U7132" s="226"/>
    </row>
    <row r="7133" spans="16:21" x14ac:dyDescent="0.35">
      <c r="P7133" s="226"/>
      <c r="Q7133" s="226"/>
      <c r="R7133" s="226"/>
      <c r="S7133" s="226"/>
      <c r="T7133" s="226"/>
      <c r="U7133" s="226"/>
    </row>
    <row r="7134" spans="16:21" x14ac:dyDescent="0.35">
      <c r="P7134" s="226"/>
      <c r="Q7134" s="226"/>
      <c r="R7134" s="226"/>
      <c r="S7134" s="226"/>
      <c r="T7134" s="226"/>
      <c r="U7134" s="226"/>
    </row>
    <row r="7135" spans="16:21" x14ac:dyDescent="0.35">
      <c r="P7135" s="226"/>
      <c r="Q7135" s="226"/>
      <c r="R7135" s="226"/>
      <c r="S7135" s="226"/>
      <c r="T7135" s="226"/>
      <c r="U7135" s="226"/>
    </row>
    <row r="7136" spans="16:21" x14ac:dyDescent="0.35">
      <c r="P7136" s="226"/>
      <c r="Q7136" s="226"/>
      <c r="R7136" s="226"/>
      <c r="S7136" s="226"/>
      <c r="T7136" s="226"/>
      <c r="U7136" s="226"/>
    </row>
    <row r="7137" spans="16:21" x14ac:dyDescent="0.35">
      <c r="P7137" s="226"/>
      <c r="Q7137" s="226"/>
      <c r="R7137" s="226"/>
      <c r="S7137" s="226"/>
      <c r="T7137" s="226"/>
      <c r="U7137" s="226"/>
    </row>
    <row r="7138" spans="16:21" x14ac:dyDescent="0.35">
      <c r="P7138" s="226"/>
      <c r="Q7138" s="226"/>
      <c r="R7138" s="226"/>
      <c r="S7138" s="226"/>
      <c r="T7138" s="226"/>
      <c r="U7138" s="226"/>
    </row>
    <row r="7139" spans="16:21" x14ac:dyDescent="0.35">
      <c r="P7139" s="226"/>
      <c r="Q7139" s="226"/>
      <c r="R7139" s="226"/>
      <c r="S7139" s="226"/>
      <c r="T7139" s="226"/>
      <c r="U7139" s="226"/>
    </row>
    <row r="7140" spans="16:21" x14ac:dyDescent="0.35">
      <c r="P7140" s="226"/>
      <c r="Q7140" s="226"/>
      <c r="R7140" s="226"/>
      <c r="S7140" s="226"/>
      <c r="T7140" s="226"/>
      <c r="U7140" s="226"/>
    </row>
    <row r="7141" spans="16:21" x14ac:dyDescent="0.35">
      <c r="P7141" s="226"/>
      <c r="Q7141" s="226"/>
      <c r="R7141" s="226"/>
      <c r="S7141" s="226"/>
      <c r="T7141" s="226"/>
      <c r="U7141" s="226"/>
    </row>
    <row r="7142" spans="16:21" x14ac:dyDescent="0.35">
      <c r="P7142" s="226"/>
      <c r="Q7142" s="226"/>
      <c r="R7142" s="226"/>
      <c r="S7142" s="226"/>
      <c r="T7142" s="226"/>
      <c r="U7142" s="226"/>
    </row>
    <row r="7143" spans="16:21" x14ac:dyDescent="0.35">
      <c r="P7143" s="226"/>
      <c r="Q7143" s="226"/>
      <c r="R7143" s="226"/>
      <c r="S7143" s="226"/>
      <c r="T7143" s="226"/>
      <c r="U7143" s="226"/>
    </row>
    <row r="7144" spans="16:21" x14ac:dyDescent="0.35">
      <c r="P7144" s="226"/>
      <c r="Q7144" s="226"/>
      <c r="R7144" s="226"/>
      <c r="S7144" s="226"/>
      <c r="T7144" s="226"/>
      <c r="U7144" s="226"/>
    </row>
    <row r="7145" spans="16:21" x14ac:dyDescent="0.35">
      <c r="P7145" s="226"/>
      <c r="Q7145" s="226"/>
      <c r="R7145" s="226"/>
      <c r="S7145" s="226"/>
      <c r="T7145" s="226"/>
      <c r="U7145" s="226"/>
    </row>
    <row r="7146" spans="16:21" x14ac:dyDescent="0.35">
      <c r="P7146" s="226"/>
      <c r="Q7146" s="226"/>
      <c r="R7146" s="226"/>
      <c r="S7146" s="226"/>
      <c r="T7146" s="226"/>
      <c r="U7146" s="226"/>
    </row>
    <row r="7147" spans="16:21" x14ac:dyDescent="0.35">
      <c r="P7147" s="226"/>
      <c r="Q7147" s="226"/>
      <c r="R7147" s="226"/>
      <c r="S7147" s="226"/>
      <c r="T7147" s="226"/>
      <c r="U7147" s="226"/>
    </row>
    <row r="7148" spans="16:21" x14ac:dyDescent="0.35">
      <c r="P7148" s="226"/>
      <c r="Q7148" s="226"/>
      <c r="R7148" s="226"/>
      <c r="S7148" s="226"/>
      <c r="T7148" s="226"/>
      <c r="U7148" s="226"/>
    </row>
    <row r="7149" spans="16:21" x14ac:dyDescent="0.35">
      <c r="P7149" s="226"/>
      <c r="Q7149" s="226"/>
      <c r="R7149" s="226"/>
      <c r="S7149" s="226"/>
      <c r="T7149" s="226"/>
      <c r="U7149" s="226"/>
    </row>
    <row r="7150" spans="16:21" x14ac:dyDescent="0.35">
      <c r="P7150" s="226"/>
      <c r="Q7150" s="226"/>
      <c r="R7150" s="226"/>
      <c r="S7150" s="226"/>
      <c r="T7150" s="226"/>
      <c r="U7150" s="226"/>
    </row>
    <row r="7151" spans="16:21" x14ac:dyDescent="0.35">
      <c r="P7151" s="226"/>
      <c r="Q7151" s="226"/>
      <c r="R7151" s="226"/>
      <c r="S7151" s="226"/>
      <c r="T7151" s="226"/>
      <c r="U7151" s="226"/>
    </row>
    <row r="7152" spans="16:21" x14ac:dyDescent="0.35">
      <c r="P7152" s="226"/>
      <c r="Q7152" s="226"/>
      <c r="R7152" s="226"/>
      <c r="S7152" s="226"/>
      <c r="T7152" s="226"/>
      <c r="U7152" s="226"/>
    </row>
    <row r="7153" spans="16:21" x14ac:dyDescent="0.35">
      <c r="P7153" s="226"/>
      <c r="Q7153" s="226"/>
      <c r="R7153" s="226"/>
      <c r="S7153" s="226"/>
      <c r="T7153" s="226"/>
      <c r="U7153" s="226"/>
    </row>
    <row r="7154" spans="16:21" x14ac:dyDescent="0.35">
      <c r="P7154" s="226"/>
      <c r="Q7154" s="226"/>
      <c r="R7154" s="226"/>
      <c r="S7154" s="226"/>
      <c r="T7154" s="226"/>
      <c r="U7154" s="226"/>
    </row>
    <row r="7155" spans="16:21" x14ac:dyDescent="0.35">
      <c r="P7155" s="226"/>
      <c r="Q7155" s="226"/>
      <c r="R7155" s="226"/>
      <c r="S7155" s="226"/>
      <c r="T7155" s="226"/>
      <c r="U7155" s="226"/>
    </row>
    <row r="7156" spans="16:21" x14ac:dyDescent="0.35">
      <c r="P7156" s="226"/>
      <c r="Q7156" s="226"/>
      <c r="R7156" s="226"/>
      <c r="S7156" s="226"/>
      <c r="T7156" s="226"/>
      <c r="U7156" s="226"/>
    </row>
    <row r="7157" spans="16:21" x14ac:dyDescent="0.35">
      <c r="P7157" s="226"/>
      <c r="Q7157" s="226"/>
      <c r="R7157" s="226"/>
      <c r="S7157" s="226"/>
      <c r="T7157" s="226"/>
      <c r="U7157" s="226"/>
    </row>
    <row r="7158" spans="16:21" x14ac:dyDescent="0.35">
      <c r="P7158" s="226"/>
      <c r="Q7158" s="226"/>
      <c r="R7158" s="226"/>
      <c r="S7158" s="226"/>
      <c r="T7158" s="226"/>
      <c r="U7158" s="226"/>
    </row>
    <row r="7159" spans="16:21" x14ac:dyDescent="0.35">
      <c r="P7159" s="226"/>
      <c r="Q7159" s="226"/>
      <c r="R7159" s="226"/>
      <c r="S7159" s="226"/>
      <c r="T7159" s="226"/>
      <c r="U7159" s="226"/>
    </row>
    <row r="7160" spans="16:21" x14ac:dyDescent="0.35">
      <c r="P7160" s="226"/>
      <c r="Q7160" s="226"/>
      <c r="R7160" s="226"/>
      <c r="S7160" s="226"/>
      <c r="T7160" s="226"/>
      <c r="U7160" s="226"/>
    </row>
    <row r="7161" spans="16:21" x14ac:dyDescent="0.35">
      <c r="P7161" s="226"/>
      <c r="Q7161" s="226"/>
      <c r="R7161" s="226"/>
      <c r="S7161" s="226"/>
      <c r="T7161" s="226"/>
      <c r="U7161" s="226"/>
    </row>
    <row r="7162" spans="16:21" x14ac:dyDescent="0.35">
      <c r="P7162" s="226"/>
      <c r="Q7162" s="226"/>
      <c r="R7162" s="226"/>
      <c r="S7162" s="226"/>
      <c r="T7162" s="226"/>
      <c r="U7162" s="226"/>
    </row>
    <row r="7163" spans="16:21" x14ac:dyDescent="0.35">
      <c r="P7163" s="226"/>
      <c r="Q7163" s="226"/>
      <c r="R7163" s="226"/>
      <c r="S7163" s="226"/>
      <c r="T7163" s="226"/>
      <c r="U7163" s="226"/>
    </row>
    <row r="7164" spans="16:21" x14ac:dyDescent="0.35">
      <c r="P7164" s="226"/>
      <c r="Q7164" s="226"/>
      <c r="R7164" s="226"/>
      <c r="S7164" s="226"/>
      <c r="T7164" s="226"/>
      <c r="U7164" s="226"/>
    </row>
    <row r="7165" spans="16:21" x14ac:dyDescent="0.35">
      <c r="P7165" s="226"/>
      <c r="Q7165" s="226"/>
      <c r="R7165" s="226"/>
      <c r="S7165" s="226"/>
      <c r="T7165" s="226"/>
      <c r="U7165" s="226"/>
    </row>
    <row r="7166" spans="16:21" x14ac:dyDescent="0.35">
      <c r="P7166" s="226"/>
      <c r="Q7166" s="226"/>
      <c r="R7166" s="226"/>
      <c r="S7166" s="226"/>
      <c r="T7166" s="226"/>
      <c r="U7166" s="226"/>
    </row>
    <row r="7167" spans="16:21" x14ac:dyDescent="0.35">
      <c r="P7167" s="226"/>
      <c r="Q7167" s="226"/>
      <c r="R7167" s="226"/>
      <c r="S7167" s="226"/>
      <c r="T7167" s="226"/>
      <c r="U7167" s="226"/>
    </row>
    <row r="7168" spans="16:21" x14ac:dyDescent="0.35">
      <c r="P7168" s="226"/>
      <c r="Q7168" s="226"/>
      <c r="R7168" s="226"/>
      <c r="S7168" s="226"/>
      <c r="T7168" s="226"/>
      <c r="U7168" s="226"/>
    </row>
    <row r="7169" spans="16:21" x14ac:dyDescent="0.35">
      <c r="P7169" s="226"/>
      <c r="Q7169" s="226"/>
      <c r="R7169" s="226"/>
      <c r="S7169" s="226"/>
      <c r="T7169" s="226"/>
      <c r="U7169" s="226"/>
    </row>
    <row r="7170" spans="16:21" x14ac:dyDescent="0.35">
      <c r="P7170" s="226"/>
      <c r="Q7170" s="226"/>
      <c r="R7170" s="226"/>
      <c r="S7170" s="226"/>
      <c r="T7170" s="226"/>
      <c r="U7170" s="226"/>
    </row>
    <row r="7171" spans="16:21" x14ac:dyDescent="0.35">
      <c r="P7171" s="226"/>
      <c r="Q7171" s="226"/>
      <c r="R7171" s="226"/>
      <c r="S7171" s="226"/>
      <c r="T7171" s="226"/>
      <c r="U7171" s="226"/>
    </row>
    <row r="7172" spans="16:21" x14ac:dyDescent="0.35">
      <c r="P7172" s="226"/>
      <c r="Q7172" s="226"/>
      <c r="R7172" s="226"/>
      <c r="S7172" s="226"/>
      <c r="T7172" s="226"/>
      <c r="U7172" s="226"/>
    </row>
    <row r="7173" spans="16:21" x14ac:dyDescent="0.35">
      <c r="P7173" s="226"/>
      <c r="Q7173" s="226"/>
      <c r="R7173" s="226"/>
      <c r="S7173" s="226"/>
      <c r="T7173" s="226"/>
      <c r="U7173" s="226"/>
    </row>
    <row r="7174" spans="16:21" x14ac:dyDescent="0.35">
      <c r="P7174" s="226"/>
      <c r="Q7174" s="226"/>
      <c r="R7174" s="226"/>
      <c r="S7174" s="226"/>
      <c r="T7174" s="226"/>
      <c r="U7174" s="226"/>
    </row>
    <row r="7175" spans="16:21" x14ac:dyDescent="0.35">
      <c r="P7175" s="226"/>
      <c r="Q7175" s="226"/>
      <c r="R7175" s="226"/>
      <c r="S7175" s="226"/>
      <c r="T7175" s="226"/>
      <c r="U7175" s="226"/>
    </row>
    <row r="7176" spans="16:21" x14ac:dyDescent="0.35">
      <c r="P7176" s="226"/>
      <c r="Q7176" s="226"/>
      <c r="R7176" s="226"/>
      <c r="S7176" s="226"/>
      <c r="T7176" s="226"/>
      <c r="U7176" s="226"/>
    </row>
    <row r="7177" spans="16:21" x14ac:dyDescent="0.35">
      <c r="P7177" s="226"/>
      <c r="Q7177" s="226"/>
      <c r="R7177" s="226"/>
      <c r="S7177" s="226"/>
      <c r="T7177" s="226"/>
      <c r="U7177" s="226"/>
    </row>
    <row r="7178" spans="16:21" x14ac:dyDescent="0.35">
      <c r="P7178" s="226"/>
      <c r="Q7178" s="226"/>
      <c r="R7178" s="226"/>
      <c r="S7178" s="226"/>
      <c r="T7178" s="226"/>
      <c r="U7178" s="226"/>
    </row>
    <row r="7179" spans="16:21" x14ac:dyDescent="0.35">
      <c r="P7179" s="226"/>
      <c r="Q7179" s="226"/>
      <c r="R7179" s="226"/>
      <c r="S7179" s="226"/>
      <c r="T7179" s="226"/>
      <c r="U7179" s="226"/>
    </row>
    <row r="7180" spans="16:21" x14ac:dyDescent="0.35">
      <c r="P7180" s="226"/>
      <c r="Q7180" s="226"/>
      <c r="R7180" s="226"/>
      <c r="S7180" s="226"/>
      <c r="T7180" s="226"/>
      <c r="U7180" s="226"/>
    </row>
    <row r="7181" spans="16:21" x14ac:dyDescent="0.35">
      <c r="P7181" s="226"/>
      <c r="Q7181" s="226"/>
      <c r="R7181" s="226"/>
      <c r="S7181" s="226"/>
      <c r="T7181" s="226"/>
      <c r="U7181" s="226"/>
    </row>
    <row r="7182" spans="16:21" x14ac:dyDescent="0.35">
      <c r="P7182" s="226"/>
      <c r="Q7182" s="226"/>
      <c r="R7182" s="226"/>
      <c r="S7182" s="226"/>
      <c r="T7182" s="226"/>
      <c r="U7182" s="226"/>
    </row>
    <row r="7183" spans="16:21" x14ac:dyDescent="0.35">
      <c r="P7183" s="226"/>
      <c r="Q7183" s="226"/>
      <c r="R7183" s="226"/>
      <c r="S7183" s="226"/>
      <c r="T7183" s="226"/>
      <c r="U7183" s="226"/>
    </row>
    <row r="7184" spans="16:21" x14ac:dyDescent="0.35">
      <c r="P7184" s="226"/>
      <c r="Q7184" s="226"/>
      <c r="R7184" s="226"/>
      <c r="S7184" s="226"/>
      <c r="T7184" s="226"/>
      <c r="U7184" s="226"/>
    </row>
    <row r="7185" spans="16:21" x14ac:dyDescent="0.35">
      <c r="P7185" s="226"/>
      <c r="Q7185" s="226"/>
      <c r="R7185" s="226"/>
      <c r="S7185" s="226"/>
      <c r="T7185" s="226"/>
      <c r="U7185" s="226"/>
    </row>
    <row r="7186" spans="16:21" x14ac:dyDescent="0.35">
      <c r="P7186" s="226"/>
      <c r="Q7186" s="226"/>
      <c r="R7186" s="226"/>
      <c r="S7186" s="226"/>
      <c r="T7186" s="226"/>
      <c r="U7186" s="226"/>
    </row>
    <row r="7187" spans="16:21" x14ac:dyDescent="0.35">
      <c r="P7187" s="226"/>
      <c r="Q7187" s="226"/>
      <c r="R7187" s="226"/>
      <c r="S7187" s="226"/>
      <c r="T7187" s="226"/>
      <c r="U7187" s="226"/>
    </row>
    <row r="7188" spans="16:21" x14ac:dyDescent="0.35">
      <c r="P7188" s="226"/>
      <c r="Q7188" s="226"/>
      <c r="R7188" s="226"/>
      <c r="S7188" s="226"/>
      <c r="T7188" s="226"/>
      <c r="U7188" s="226"/>
    </row>
    <row r="7189" spans="16:21" x14ac:dyDescent="0.35">
      <c r="P7189" s="226"/>
      <c r="Q7189" s="226"/>
      <c r="R7189" s="226"/>
      <c r="S7189" s="226"/>
      <c r="T7189" s="226"/>
      <c r="U7189" s="226"/>
    </row>
    <row r="7190" spans="16:21" x14ac:dyDescent="0.35">
      <c r="P7190" s="226"/>
      <c r="Q7190" s="226"/>
      <c r="R7190" s="226"/>
      <c r="S7190" s="226"/>
      <c r="T7190" s="226"/>
      <c r="U7190" s="226"/>
    </row>
    <row r="7191" spans="16:21" x14ac:dyDescent="0.35">
      <c r="P7191" s="226"/>
      <c r="Q7191" s="226"/>
      <c r="R7191" s="226"/>
      <c r="S7191" s="226"/>
      <c r="T7191" s="226"/>
      <c r="U7191" s="226"/>
    </row>
    <row r="7192" spans="16:21" x14ac:dyDescent="0.35">
      <c r="P7192" s="226"/>
      <c r="Q7192" s="226"/>
      <c r="R7192" s="226"/>
      <c r="S7192" s="226"/>
      <c r="T7192" s="226"/>
      <c r="U7192" s="226"/>
    </row>
    <row r="7193" spans="16:21" x14ac:dyDescent="0.35">
      <c r="P7193" s="226"/>
      <c r="Q7193" s="226"/>
      <c r="R7193" s="226"/>
      <c r="S7193" s="226"/>
      <c r="T7193" s="226"/>
      <c r="U7193" s="226"/>
    </row>
    <row r="7194" spans="16:21" x14ac:dyDescent="0.35">
      <c r="P7194" s="226"/>
      <c r="Q7194" s="226"/>
      <c r="R7194" s="226"/>
      <c r="S7194" s="226"/>
      <c r="T7194" s="226"/>
      <c r="U7194" s="226"/>
    </row>
    <row r="7195" spans="16:21" x14ac:dyDescent="0.35">
      <c r="P7195" s="226"/>
      <c r="Q7195" s="226"/>
      <c r="R7195" s="226"/>
      <c r="S7195" s="226"/>
      <c r="T7195" s="226"/>
      <c r="U7195" s="226"/>
    </row>
    <row r="7196" spans="16:21" x14ac:dyDescent="0.35">
      <c r="P7196" s="226"/>
      <c r="Q7196" s="226"/>
      <c r="R7196" s="226"/>
      <c r="S7196" s="226"/>
      <c r="T7196" s="226"/>
      <c r="U7196" s="226"/>
    </row>
    <row r="7197" spans="16:21" x14ac:dyDescent="0.35">
      <c r="P7197" s="226"/>
      <c r="Q7197" s="226"/>
      <c r="R7197" s="226"/>
      <c r="S7197" s="226"/>
      <c r="T7197" s="226"/>
      <c r="U7197" s="226"/>
    </row>
    <row r="7198" spans="16:21" x14ac:dyDescent="0.35">
      <c r="P7198" s="226"/>
      <c r="Q7198" s="226"/>
      <c r="R7198" s="226"/>
      <c r="S7198" s="226"/>
      <c r="T7198" s="226"/>
      <c r="U7198" s="226"/>
    </row>
    <row r="7199" spans="16:21" x14ac:dyDescent="0.35">
      <c r="P7199" s="226"/>
      <c r="Q7199" s="226"/>
      <c r="R7199" s="226"/>
      <c r="S7199" s="226"/>
      <c r="T7199" s="226"/>
      <c r="U7199" s="226"/>
    </row>
    <row r="7200" spans="16:21" x14ac:dyDescent="0.35">
      <c r="P7200" s="226"/>
      <c r="Q7200" s="226"/>
      <c r="R7200" s="226"/>
      <c r="S7200" s="226"/>
      <c r="T7200" s="226"/>
      <c r="U7200" s="226"/>
    </row>
    <row r="7201" spans="16:21" x14ac:dyDescent="0.35">
      <c r="P7201" s="226"/>
      <c r="Q7201" s="226"/>
      <c r="R7201" s="226"/>
      <c r="S7201" s="226"/>
      <c r="T7201" s="226"/>
      <c r="U7201" s="226"/>
    </row>
    <row r="7202" spans="16:21" x14ac:dyDescent="0.35">
      <c r="P7202" s="226"/>
      <c r="Q7202" s="226"/>
      <c r="R7202" s="226"/>
      <c r="S7202" s="226"/>
      <c r="T7202" s="226"/>
      <c r="U7202" s="226"/>
    </row>
    <row r="7203" spans="16:21" x14ac:dyDescent="0.35">
      <c r="P7203" s="226"/>
      <c r="Q7203" s="226"/>
      <c r="R7203" s="226"/>
      <c r="S7203" s="226"/>
      <c r="T7203" s="226"/>
      <c r="U7203" s="226"/>
    </row>
    <row r="7204" spans="16:21" x14ac:dyDescent="0.35">
      <c r="P7204" s="226"/>
      <c r="Q7204" s="226"/>
      <c r="R7204" s="226"/>
      <c r="S7204" s="226"/>
      <c r="T7204" s="226"/>
      <c r="U7204" s="226"/>
    </row>
    <row r="7205" spans="16:21" x14ac:dyDescent="0.35">
      <c r="P7205" s="226"/>
      <c r="Q7205" s="226"/>
      <c r="R7205" s="226"/>
      <c r="S7205" s="226"/>
      <c r="T7205" s="226"/>
      <c r="U7205" s="226"/>
    </row>
    <row r="7206" spans="16:21" x14ac:dyDescent="0.35">
      <c r="P7206" s="226"/>
      <c r="Q7206" s="226"/>
      <c r="R7206" s="226"/>
      <c r="S7206" s="226"/>
      <c r="T7206" s="226"/>
      <c r="U7206" s="226"/>
    </row>
    <row r="7207" spans="16:21" x14ac:dyDescent="0.35">
      <c r="P7207" s="226"/>
      <c r="Q7207" s="226"/>
      <c r="R7207" s="226"/>
      <c r="S7207" s="226"/>
      <c r="T7207" s="226"/>
      <c r="U7207" s="226"/>
    </row>
    <row r="7208" spans="16:21" x14ac:dyDescent="0.35">
      <c r="P7208" s="226"/>
      <c r="Q7208" s="226"/>
      <c r="R7208" s="226"/>
      <c r="S7208" s="226"/>
      <c r="T7208" s="226"/>
      <c r="U7208" s="226"/>
    </row>
    <row r="7209" spans="16:21" x14ac:dyDescent="0.35">
      <c r="P7209" s="226"/>
      <c r="Q7209" s="226"/>
      <c r="R7209" s="226"/>
      <c r="S7209" s="226"/>
      <c r="T7209" s="226"/>
      <c r="U7209" s="226"/>
    </row>
    <row r="7210" spans="16:21" x14ac:dyDescent="0.35">
      <c r="P7210" s="226"/>
      <c r="Q7210" s="226"/>
      <c r="R7210" s="226"/>
      <c r="S7210" s="226"/>
      <c r="T7210" s="226"/>
      <c r="U7210" s="226"/>
    </row>
    <row r="7211" spans="16:21" x14ac:dyDescent="0.35">
      <c r="P7211" s="226"/>
      <c r="Q7211" s="226"/>
      <c r="R7211" s="226"/>
      <c r="S7211" s="226"/>
      <c r="T7211" s="226"/>
      <c r="U7211" s="226"/>
    </row>
    <row r="7212" spans="16:21" x14ac:dyDescent="0.35">
      <c r="P7212" s="226"/>
      <c r="Q7212" s="226"/>
      <c r="R7212" s="226"/>
      <c r="S7212" s="226"/>
      <c r="T7212" s="226"/>
      <c r="U7212" s="226"/>
    </row>
    <row r="7213" spans="16:21" x14ac:dyDescent="0.35">
      <c r="P7213" s="226"/>
      <c r="Q7213" s="226"/>
      <c r="R7213" s="226"/>
      <c r="S7213" s="226"/>
      <c r="T7213" s="226"/>
      <c r="U7213" s="226"/>
    </row>
    <row r="7214" spans="16:21" x14ac:dyDescent="0.35">
      <c r="P7214" s="226"/>
      <c r="Q7214" s="226"/>
      <c r="R7214" s="226"/>
      <c r="S7214" s="226"/>
      <c r="T7214" s="226"/>
      <c r="U7214" s="226"/>
    </row>
    <row r="7215" spans="16:21" x14ac:dyDescent="0.35">
      <c r="P7215" s="226"/>
      <c r="Q7215" s="226"/>
      <c r="R7215" s="226"/>
      <c r="S7215" s="226"/>
      <c r="T7215" s="226"/>
      <c r="U7215" s="226"/>
    </row>
    <row r="7216" spans="16:21" x14ac:dyDescent="0.35">
      <c r="P7216" s="226"/>
      <c r="Q7216" s="226"/>
      <c r="R7216" s="226"/>
      <c r="S7216" s="226"/>
      <c r="T7216" s="226"/>
      <c r="U7216" s="226"/>
    </row>
    <row r="7217" spans="16:21" x14ac:dyDescent="0.35">
      <c r="P7217" s="226"/>
      <c r="Q7217" s="226"/>
      <c r="R7217" s="226"/>
      <c r="S7217" s="226"/>
      <c r="T7217" s="226"/>
      <c r="U7217" s="226"/>
    </row>
    <row r="7218" spans="16:21" x14ac:dyDescent="0.35">
      <c r="P7218" s="226"/>
      <c r="Q7218" s="226"/>
      <c r="R7218" s="226"/>
      <c r="S7218" s="226"/>
      <c r="T7218" s="226"/>
      <c r="U7218" s="226"/>
    </row>
    <row r="7219" spans="16:21" x14ac:dyDescent="0.35">
      <c r="P7219" s="226"/>
      <c r="Q7219" s="226"/>
      <c r="R7219" s="226"/>
      <c r="S7219" s="226"/>
      <c r="T7219" s="226"/>
      <c r="U7219" s="226"/>
    </row>
    <row r="7220" spans="16:21" x14ac:dyDescent="0.35">
      <c r="P7220" s="226"/>
      <c r="Q7220" s="226"/>
      <c r="R7220" s="226"/>
      <c r="S7220" s="226"/>
      <c r="T7220" s="226"/>
      <c r="U7220" s="226"/>
    </row>
    <row r="7221" spans="16:21" x14ac:dyDescent="0.35">
      <c r="P7221" s="226"/>
      <c r="Q7221" s="226"/>
      <c r="R7221" s="226"/>
      <c r="S7221" s="226"/>
      <c r="T7221" s="226"/>
      <c r="U7221" s="226"/>
    </row>
    <row r="7222" spans="16:21" x14ac:dyDescent="0.35">
      <c r="P7222" s="226"/>
      <c r="Q7222" s="226"/>
      <c r="R7222" s="226"/>
      <c r="S7222" s="226"/>
      <c r="T7222" s="226"/>
      <c r="U7222" s="226"/>
    </row>
    <row r="7223" spans="16:21" x14ac:dyDescent="0.35">
      <c r="P7223" s="226"/>
      <c r="Q7223" s="226"/>
      <c r="R7223" s="226"/>
      <c r="S7223" s="226"/>
      <c r="T7223" s="226"/>
      <c r="U7223" s="226"/>
    </row>
    <row r="7224" spans="16:21" x14ac:dyDescent="0.35">
      <c r="P7224" s="226"/>
      <c r="Q7224" s="226"/>
      <c r="R7224" s="226"/>
      <c r="S7224" s="226"/>
      <c r="T7224" s="226"/>
      <c r="U7224" s="226"/>
    </row>
    <row r="7225" spans="16:21" x14ac:dyDescent="0.35">
      <c r="P7225" s="226"/>
      <c r="Q7225" s="226"/>
      <c r="R7225" s="226"/>
      <c r="S7225" s="226"/>
      <c r="T7225" s="226"/>
      <c r="U7225" s="226"/>
    </row>
    <row r="7226" spans="16:21" x14ac:dyDescent="0.35">
      <c r="P7226" s="226"/>
      <c r="Q7226" s="226"/>
      <c r="R7226" s="226"/>
      <c r="S7226" s="226"/>
      <c r="T7226" s="226"/>
      <c r="U7226" s="226"/>
    </row>
    <row r="7227" spans="16:21" x14ac:dyDescent="0.35">
      <c r="P7227" s="226"/>
      <c r="Q7227" s="226"/>
      <c r="R7227" s="226"/>
      <c r="S7227" s="226"/>
      <c r="T7227" s="226"/>
      <c r="U7227" s="226"/>
    </row>
    <row r="7228" spans="16:21" x14ac:dyDescent="0.35">
      <c r="P7228" s="226"/>
      <c r="Q7228" s="226"/>
      <c r="R7228" s="226"/>
      <c r="S7228" s="226"/>
      <c r="T7228" s="226"/>
      <c r="U7228" s="226"/>
    </row>
    <row r="7229" spans="16:21" x14ac:dyDescent="0.35">
      <c r="P7229" s="226"/>
      <c r="Q7229" s="226"/>
      <c r="R7229" s="226"/>
      <c r="S7229" s="226"/>
      <c r="T7229" s="226"/>
      <c r="U7229" s="226"/>
    </row>
    <row r="7230" spans="16:21" x14ac:dyDescent="0.35">
      <c r="P7230" s="226"/>
      <c r="Q7230" s="226"/>
      <c r="R7230" s="226"/>
      <c r="S7230" s="226"/>
      <c r="T7230" s="226"/>
      <c r="U7230" s="226"/>
    </row>
    <row r="7231" spans="16:21" x14ac:dyDescent="0.35">
      <c r="P7231" s="226"/>
      <c r="Q7231" s="226"/>
      <c r="R7231" s="226"/>
      <c r="S7231" s="226"/>
      <c r="T7231" s="226"/>
      <c r="U7231" s="226"/>
    </row>
    <row r="7232" spans="16:21" x14ac:dyDescent="0.35">
      <c r="P7232" s="226"/>
      <c r="Q7232" s="226"/>
      <c r="R7232" s="226"/>
      <c r="S7232" s="226"/>
      <c r="T7232" s="226"/>
      <c r="U7232" s="226"/>
    </row>
    <row r="7233" spans="16:21" x14ac:dyDescent="0.35">
      <c r="P7233" s="226"/>
      <c r="Q7233" s="226"/>
      <c r="R7233" s="226"/>
      <c r="S7233" s="226"/>
      <c r="T7233" s="226"/>
      <c r="U7233" s="226"/>
    </row>
    <row r="7234" spans="16:21" x14ac:dyDescent="0.35">
      <c r="P7234" s="226"/>
      <c r="Q7234" s="226"/>
      <c r="R7234" s="226"/>
      <c r="S7234" s="226"/>
      <c r="T7234" s="226"/>
      <c r="U7234" s="226"/>
    </row>
    <row r="7235" spans="16:21" x14ac:dyDescent="0.35">
      <c r="P7235" s="226"/>
      <c r="Q7235" s="226"/>
      <c r="R7235" s="226"/>
      <c r="S7235" s="226"/>
      <c r="T7235" s="226"/>
      <c r="U7235" s="226"/>
    </row>
    <row r="7236" spans="16:21" x14ac:dyDescent="0.35">
      <c r="P7236" s="226"/>
      <c r="Q7236" s="226"/>
      <c r="R7236" s="226"/>
      <c r="S7236" s="226"/>
      <c r="T7236" s="226"/>
      <c r="U7236" s="226"/>
    </row>
    <row r="7237" spans="16:21" x14ac:dyDescent="0.35">
      <c r="P7237" s="226"/>
      <c r="Q7237" s="226"/>
      <c r="R7237" s="226"/>
      <c r="S7237" s="226"/>
      <c r="T7237" s="226"/>
      <c r="U7237" s="226"/>
    </row>
    <row r="7238" spans="16:21" x14ac:dyDescent="0.35">
      <c r="P7238" s="226"/>
      <c r="Q7238" s="226"/>
      <c r="R7238" s="226"/>
      <c r="S7238" s="226"/>
      <c r="T7238" s="226"/>
      <c r="U7238" s="226"/>
    </row>
    <row r="7239" spans="16:21" x14ac:dyDescent="0.35">
      <c r="P7239" s="226"/>
      <c r="Q7239" s="226"/>
      <c r="R7239" s="226"/>
      <c r="S7239" s="226"/>
      <c r="T7239" s="226"/>
      <c r="U7239" s="226"/>
    </row>
    <row r="7240" spans="16:21" x14ac:dyDescent="0.35">
      <c r="P7240" s="226"/>
      <c r="Q7240" s="226"/>
      <c r="R7240" s="226"/>
      <c r="S7240" s="226"/>
      <c r="T7240" s="226"/>
      <c r="U7240" s="226"/>
    </row>
    <row r="7241" spans="16:21" x14ac:dyDescent="0.35">
      <c r="P7241" s="226"/>
      <c r="Q7241" s="226"/>
      <c r="R7241" s="226"/>
      <c r="S7241" s="226"/>
      <c r="T7241" s="226"/>
      <c r="U7241" s="226"/>
    </row>
    <row r="7242" spans="16:21" x14ac:dyDescent="0.35">
      <c r="P7242" s="226"/>
      <c r="Q7242" s="226"/>
      <c r="R7242" s="226"/>
      <c r="S7242" s="226"/>
      <c r="T7242" s="226"/>
      <c r="U7242" s="226"/>
    </row>
    <row r="7243" spans="16:21" x14ac:dyDescent="0.35">
      <c r="P7243" s="226"/>
      <c r="Q7243" s="226"/>
      <c r="R7243" s="226"/>
      <c r="S7243" s="226"/>
      <c r="T7243" s="226"/>
      <c r="U7243" s="226"/>
    </row>
    <row r="7244" spans="16:21" x14ac:dyDescent="0.35">
      <c r="P7244" s="226"/>
      <c r="Q7244" s="226"/>
      <c r="R7244" s="226"/>
      <c r="S7244" s="226"/>
      <c r="T7244" s="226"/>
      <c r="U7244" s="226"/>
    </row>
    <row r="7245" spans="16:21" x14ac:dyDescent="0.35">
      <c r="P7245" s="226"/>
      <c r="Q7245" s="226"/>
      <c r="R7245" s="226"/>
      <c r="S7245" s="226"/>
      <c r="T7245" s="226"/>
      <c r="U7245" s="226"/>
    </row>
    <row r="7246" spans="16:21" x14ac:dyDescent="0.35">
      <c r="P7246" s="226"/>
      <c r="Q7246" s="226"/>
      <c r="R7246" s="226"/>
      <c r="S7246" s="226"/>
      <c r="T7246" s="226"/>
      <c r="U7246" s="226"/>
    </row>
    <row r="7247" spans="16:21" x14ac:dyDescent="0.35">
      <c r="P7247" s="226"/>
      <c r="Q7247" s="226"/>
      <c r="R7247" s="226"/>
      <c r="S7247" s="226"/>
      <c r="T7247" s="226"/>
      <c r="U7247" s="226"/>
    </row>
    <row r="7248" spans="16:21" x14ac:dyDescent="0.35">
      <c r="P7248" s="226"/>
      <c r="Q7248" s="226"/>
      <c r="R7248" s="226"/>
      <c r="S7248" s="226"/>
      <c r="T7248" s="226"/>
      <c r="U7248" s="226"/>
    </row>
    <row r="7249" spans="16:21" x14ac:dyDescent="0.35">
      <c r="P7249" s="226"/>
      <c r="Q7249" s="226"/>
      <c r="R7249" s="226"/>
      <c r="S7249" s="226"/>
      <c r="T7249" s="226"/>
      <c r="U7249" s="226"/>
    </row>
    <row r="7250" spans="16:21" x14ac:dyDescent="0.35">
      <c r="P7250" s="226"/>
      <c r="Q7250" s="226"/>
      <c r="R7250" s="226"/>
      <c r="S7250" s="226"/>
      <c r="T7250" s="226"/>
      <c r="U7250" s="226"/>
    </row>
    <row r="7251" spans="16:21" x14ac:dyDescent="0.35">
      <c r="P7251" s="226"/>
      <c r="Q7251" s="226"/>
      <c r="R7251" s="226"/>
      <c r="S7251" s="226"/>
      <c r="T7251" s="226"/>
      <c r="U7251" s="226"/>
    </row>
    <row r="7252" spans="16:21" x14ac:dyDescent="0.35">
      <c r="P7252" s="226"/>
      <c r="Q7252" s="226"/>
      <c r="R7252" s="226"/>
      <c r="S7252" s="226"/>
      <c r="T7252" s="226"/>
      <c r="U7252" s="226"/>
    </row>
    <row r="7253" spans="16:21" x14ac:dyDescent="0.35">
      <c r="P7253" s="226"/>
      <c r="Q7253" s="226"/>
      <c r="R7253" s="226"/>
      <c r="S7253" s="226"/>
      <c r="T7253" s="226"/>
      <c r="U7253" s="226"/>
    </row>
    <row r="7254" spans="16:21" x14ac:dyDescent="0.35">
      <c r="P7254" s="226"/>
      <c r="Q7254" s="226"/>
      <c r="R7254" s="226"/>
      <c r="S7254" s="226"/>
      <c r="T7254" s="226"/>
      <c r="U7254" s="226"/>
    </row>
    <row r="7255" spans="16:21" x14ac:dyDescent="0.35">
      <c r="P7255" s="226"/>
      <c r="Q7255" s="226"/>
      <c r="R7255" s="226"/>
      <c r="S7255" s="226"/>
      <c r="T7255" s="226"/>
      <c r="U7255" s="226"/>
    </row>
    <row r="7256" spans="16:21" x14ac:dyDescent="0.35">
      <c r="P7256" s="226"/>
      <c r="Q7256" s="226"/>
      <c r="R7256" s="226"/>
      <c r="S7256" s="226"/>
      <c r="T7256" s="226"/>
      <c r="U7256" s="226"/>
    </row>
    <row r="7257" spans="16:21" x14ac:dyDescent="0.35">
      <c r="P7257" s="226"/>
      <c r="Q7257" s="226"/>
      <c r="R7257" s="226"/>
      <c r="S7257" s="226"/>
      <c r="T7257" s="226"/>
      <c r="U7257" s="226"/>
    </row>
    <row r="7258" spans="16:21" x14ac:dyDescent="0.35">
      <c r="P7258" s="226"/>
      <c r="Q7258" s="226"/>
      <c r="R7258" s="226"/>
      <c r="S7258" s="226"/>
      <c r="T7258" s="226"/>
      <c r="U7258" s="226"/>
    </row>
    <row r="7259" spans="16:21" x14ac:dyDescent="0.35">
      <c r="P7259" s="226"/>
      <c r="Q7259" s="226"/>
      <c r="R7259" s="226"/>
      <c r="S7259" s="226"/>
      <c r="T7259" s="226"/>
      <c r="U7259" s="226"/>
    </row>
    <row r="7260" spans="16:21" x14ac:dyDescent="0.35">
      <c r="P7260" s="226"/>
      <c r="Q7260" s="226"/>
      <c r="R7260" s="226"/>
      <c r="S7260" s="226"/>
      <c r="T7260" s="226"/>
      <c r="U7260" s="226"/>
    </row>
    <row r="7261" spans="16:21" x14ac:dyDescent="0.35">
      <c r="P7261" s="226"/>
      <c r="Q7261" s="226"/>
      <c r="R7261" s="226"/>
      <c r="S7261" s="226"/>
      <c r="T7261" s="226"/>
      <c r="U7261" s="226"/>
    </row>
    <row r="7262" spans="16:21" x14ac:dyDescent="0.35">
      <c r="P7262" s="226"/>
      <c r="Q7262" s="226"/>
      <c r="R7262" s="226"/>
      <c r="S7262" s="226"/>
      <c r="T7262" s="226"/>
      <c r="U7262" s="226"/>
    </row>
    <row r="7263" spans="16:21" x14ac:dyDescent="0.35">
      <c r="P7263" s="226"/>
      <c r="Q7263" s="226"/>
      <c r="R7263" s="226"/>
      <c r="S7263" s="226"/>
      <c r="T7263" s="226"/>
      <c r="U7263" s="226"/>
    </row>
    <row r="7264" spans="16:21" x14ac:dyDescent="0.35">
      <c r="P7264" s="226"/>
      <c r="Q7264" s="226"/>
      <c r="R7264" s="226"/>
      <c r="S7264" s="226"/>
      <c r="T7264" s="226"/>
      <c r="U7264" s="226"/>
    </row>
    <row r="7265" spans="16:21" x14ac:dyDescent="0.35">
      <c r="P7265" s="226"/>
      <c r="Q7265" s="226"/>
      <c r="R7265" s="226"/>
      <c r="S7265" s="226"/>
      <c r="T7265" s="226"/>
      <c r="U7265" s="226"/>
    </row>
    <row r="7266" spans="16:21" x14ac:dyDescent="0.35">
      <c r="P7266" s="226"/>
      <c r="Q7266" s="226"/>
      <c r="R7266" s="226"/>
      <c r="S7266" s="226"/>
      <c r="T7266" s="226"/>
      <c r="U7266" s="226"/>
    </row>
    <row r="7267" spans="16:21" x14ac:dyDescent="0.35">
      <c r="P7267" s="226"/>
      <c r="Q7267" s="226"/>
      <c r="R7267" s="226"/>
      <c r="S7267" s="226"/>
      <c r="T7267" s="226"/>
      <c r="U7267" s="226"/>
    </row>
    <row r="7268" spans="16:21" x14ac:dyDescent="0.35">
      <c r="P7268" s="226"/>
      <c r="Q7268" s="226"/>
      <c r="R7268" s="226"/>
      <c r="S7268" s="226"/>
      <c r="T7268" s="226"/>
      <c r="U7268" s="226"/>
    </row>
    <row r="7269" spans="16:21" x14ac:dyDescent="0.35">
      <c r="P7269" s="226"/>
      <c r="Q7269" s="226"/>
      <c r="R7269" s="226"/>
      <c r="S7269" s="226"/>
      <c r="T7269" s="226"/>
      <c r="U7269" s="226"/>
    </row>
    <row r="7270" spans="16:21" x14ac:dyDescent="0.35">
      <c r="P7270" s="226"/>
      <c r="Q7270" s="226"/>
      <c r="R7270" s="226"/>
      <c r="S7270" s="226"/>
      <c r="T7270" s="226"/>
      <c r="U7270" s="226"/>
    </row>
    <row r="7271" spans="16:21" x14ac:dyDescent="0.35">
      <c r="P7271" s="226"/>
      <c r="Q7271" s="226"/>
      <c r="R7271" s="226"/>
      <c r="S7271" s="226"/>
      <c r="T7271" s="226"/>
      <c r="U7271" s="226"/>
    </row>
    <row r="7272" spans="16:21" x14ac:dyDescent="0.35">
      <c r="P7272" s="226"/>
      <c r="Q7272" s="226"/>
      <c r="R7272" s="226"/>
      <c r="S7272" s="226"/>
      <c r="T7272" s="226"/>
      <c r="U7272" s="226"/>
    </row>
    <row r="7273" spans="16:21" x14ac:dyDescent="0.35">
      <c r="P7273" s="226"/>
      <c r="Q7273" s="226"/>
      <c r="R7273" s="226"/>
      <c r="S7273" s="226"/>
      <c r="T7273" s="226"/>
      <c r="U7273" s="226"/>
    </row>
    <row r="7274" spans="16:21" x14ac:dyDescent="0.35">
      <c r="P7274" s="226"/>
      <c r="Q7274" s="226"/>
      <c r="R7274" s="226"/>
      <c r="S7274" s="226"/>
      <c r="T7274" s="226"/>
      <c r="U7274" s="226"/>
    </row>
    <row r="7275" spans="16:21" x14ac:dyDescent="0.35">
      <c r="P7275" s="226"/>
      <c r="Q7275" s="226"/>
      <c r="R7275" s="226"/>
      <c r="S7275" s="226"/>
      <c r="T7275" s="226"/>
      <c r="U7275" s="226"/>
    </row>
    <row r="7276" spans="16:21" x14ac:dyDescent="0.35">
      <c r="P7276" s="226"/>
      <c r="Q7276" s="226"/>
      <c r="R7276" s="226"/>
      <c r="S7276" s="226"/>
      <c r="T7276" s="226"/>
      <c r="U7276" s="226"/>
    </row>
    <row r="7277" spans="16:21" x14ac:dyDescent="0.35">
      <c r="P7277" s="226"/>
      <c r="Q7277" s="226"/>
      <c r="R7277" s="226"/>
      <c r="S7277" s="226"/>
      <c r="T7277" s="226"/>
      <c r="U7277" s="226"/>
    </row>
    <row r="7278" spans="16:21" x14ac:dyDescent="0.35">
      <c r="P7278" s="226"/>
      <c r="Q7278" s="226"/>
      <c r="R7278" s="226"/>
      <c r="S7278" s="226"/>
      <c r="T7278" s="226"/>
      <c r="U7278" s="226"/>
    </row>
    <row r="7279" spans="16:21" x14ac:dyDescent="0.35">
      <c r="P7279" s="226"/>
      <c r="Q7279" s="226"/>
      <c r="R7279" s="226"/>
      <c r="S7279" s="226"/>
      <c r="T7279" s="226"/>
      <c r="U7279" s="226"/>
    </row>
    <row r="7280" spans="16:21" x14ac:dyDescent="0.35">
      <c r="P7280" s="226"/>
      <c r="Q7280" s="226"/>
      <c r="R7280" s="226"/>
      <c r="S7280" s="226"/>
      <c r="T7280" s="226"/>
      <c r="U7280" s="226"/>
    </row>
    <row r="7281" spans="16:21" x14ac:dyDescent="0.35">
      <c r="P7281" s="226"/>
      <c r="Q7281" s="226"/>
      <c r="R7281" s="226"/>
      <c r="S7281" s="226"/>
      <c r="T7281" s="226"/>
      <c r="U7281" s="226"/>
    </row>
    <row r="7282" spans="16:21" x14ac:dyDescent="0.35">
      <c r="P7282" s="226"/>
      <c r="Q7282" s="226"/>
      <c r="R7282" s="226"/>
      <c r="S7282" s="226"/>
      <c r="T7282" s="226"/>
      <c r="U7282" s="226"/>
    </row>
    <row r="7283" spans="16:21" x14ac:dyDescent="0.35">
      <c r="P7283" s="226"/>
      <c r="Q7283" s="226"/>
      <c r="R7283" s="226"/>
      <c r="S7283" s="226"/>
      <c r="T7283" s="226"/>
      <c r="U7283" s="226"/>
    </row>
    <row r="7284" spans="16:21" x14ac:dyDescent="0.35">
      <c r="P7284" s="226"/>
      <c r="Q7284" s="226"/>
      <c r="R7284" s="226"/>
      <c r="S7284" s="226"/>
      <c r="T7284" s="226"/>
      <c r="U7284" s="226"/>
    </row>
    <row r="7285" spans="16:21" x14ac:dyDescent="0.35">
      <c r="P7285" s="226"/>
      <c r="Q7285" s="226"/>
      <c r="R7285" s="226"/>
      <c r="S7285" s="226"/>
      <c r="T7285" s="226"/>
      <c r="U7285" s="226"/>
    </row>
    <row r="7286" spans="16:21" x14ac:dyDescent="0.35">
      <c r="P7286" s="226"/>
      <c r="Q7286" s="226"/>
      <c r="R7286" s="226"/>
      <c r="S7286" s="226"/>
      <c r="T7286" s="226"/>
      <c r="U7286" s="226"/>
    </row>
    <row r="7287" spans="16:21" x14ac:dyDescent="0.35">
      <c r="P7287" s="226"/>
      <c r="Q7287" s="226"/>
      <c r="R7287" s="226"/>
      <c r="S7287" s="226"/>
      <c r="T7287" s="226"/>
      <c r="U7287" s="226"/>
    </row>
    <row r="7288" spans="16:21" x14ac:dyDescent="0.35">
      <c r="P7288" s="226"/>
      <c r="Q7288" s="226"/>
      <c r="R7288" s="226"/>
      <c r="S7288" s="226"/>
      <c r="T7288" s="226"/>
      <c r="U7288" s="226"/>
    </row>
    <row r="7289" spans="16:21" x14ac:dyDescent="0.35">
      <c r="P7289" s="226"/>
      <c r="Q7289" s="226"/>
      <c r="R7289" s="226"/>
      <c r="S7289" s="226"/>
      <c r="T7289" s="226"/>
      <c r="U7289" s="226"/>
    </row>
    <row r="7290" spans="16:21" x14ac:dyDescent="0.35">
      <c r="P7290" s="226"/>
      <c r="Q7290" s="226"/>
      <c r="R7290" s="226"/>
      <c r="S7290" s="226"/>
      <c r="T7290" s="226"/>
      <c r="U7290" s="226"/>
    </row>
    <row r="7291" spans="16:21" x14ac:dyDescent="0.35">
      <c r="P7291" s="226"/>
      <c r="Q7291" s="226"/>
      <c r="R7291" s="226"/>
      <c r="S7291" s="226"/>
      <c r="T7291" s="226"/>
      <c r="U7291" s="226"/>
    </row>
    <row r="7292" spans="16:21" x14ac:dyDescent="0.35">
      <c r="P7292" s="226"/>
      <c r="Q7292" s="226"/>
      <c r="R7292" s="226"/>
      <c r="S7292" s="226"/>
      <c r="T7292" s="226"/>
      <c r="U7292" s="226"/>
    </row>
    <row r="7293" spans="16:21" x14ac:dyDescent="0.35">
      <c r="P7293" s="226"/>
      <c r="Q7293" s="226"/>
      <c r="R7293" s="226"/>
      <c r="S7293" s="226"/>
      <c r="T7293" s="226"/>
      <c r="U7293" s="226"/>
    </row>
    <row r="7294" spans="16:21" x14ac:dyDescent="0.35">
      <c r="P7294" s="226"/>
      <c r="Q7294" s="226"/>
      <c r="R7294" s="226"/>
      <c r="S7294" s="226"/>
      <c r="T7294" s="226"/>
      <c r="U7294" s="226"/>
    </row>
    <row r="7295" spans="16:21" x14ac:dyDescent="0.35">
      <c r="P7295" s="226"/>
      <c r="Q7295" s="226"/>
      <c r="R7295" s="226"/>
      <c r="S7295" s="226"/>
      <c r="T7295" s="226"/>
      <c r="U7295" s="226"/>
    </row>
    <row r="7296" spans="16:21" x14ac:dyDescent="0.35">
      <c r="P7296" s="226"/>
      <c r="Q7296" s="226"/>
      <c r="R7296" s="226"/>
      <c r="S7296" s="226"/>
      <c r="T7296" s="226"/>
      <c r="U7296" s="226"/>
    </row>
    <row r="7297" spans="16:21" x14ac:dyDescent="0.35">
      <c r="P7297" s="226"/>
      <c r="Q7297" s="226"/>
      <c r="R7297" s="226"/>
      <c r="S7297" s="226"/>
      <c r="T7297" s="226"/>
      <c r="U7297" s="226"/>
    </row>
    <row r="7298" spans="16:21" x14ac:dyDescent="0.35">
      <c r="P7298" s="226"/>
      <c r="Q7298" s="226"/>
      <c r="R7298" s="226"/>
      <c r="S7298" s="226"/>
      <c r="T7298" s="226"/>
      <c r="U7298" s="226"/>
    </row>
    <row r="7299" spans="16:21" x14ac:dyDescent="0.35">
      <c r="P7299" s="226"/>
      <c r="Q7299" s="226"/>
      <c r="R7299" s="226"/>
      <c r="S7299" s="226"/>
      <c r="T7299" s="226"/>
      <c r="U7299" s="226"/>
    </row>
    <row r="7300" spans="16:21" x14ac:dyDescent="0.35">
      <c r="P7300" s="226"/>
      <c r="Q7300" s="226"/>
      <c r="R7300" s="226"/>
      <c r="S7300" s="226"/>
      <c r="T7300" s="226"/>
      <c r="U7300" s="226"/>
    </row>
    <row r="7301" spans="16:21" x14ac:dyDescent="0.35">
      <c r="P7301" s="226"/>
      <c r="Q7301" s="226"/>
      <c r="R7301" s="226"/>
      <c r="S7301" s="226"/>
      <c r="T7301" s="226"/>
      <c r="U7301" s="226"/>
    </row>
    <row r="7302" spans="16:21" x14ac:dyDescent="0.35">
      <c r="P7302" s="226"/>
      <c r="Q7302" s="226"/>
      <c r="R7302" s="226"/>
      <c r="S7302" s="226"/>
      <c r="T7302" s="226"/>
      <c r="U7302" s="226"/>
    </row>
    <row r="7303" spans="16:21" x14ac:dyDescent="0.35">
      <c r="P7303" s="226"/>
      <c r="Q7303" s="226"/>
      <c r="R7303" s="226"/>
      <c r="S7303" s="226"/>
      <c r="T7303" s="226"/>
      <c r="U7303" s="226"/>
    </row>
    <row r="7304" spans="16:21" x14ac:dyDescent="0.35">
      <c r="P7304" s="226"/>
      <c r="Q7304" s="226"/>
      <c r="R7304" s="226"/>
      <c r="S7304" s="226"/>
      <c r="T7304" s="226"/>
      <c r="U7304" s="226"/>
    </row>
    <row r="7305" spans="16:21" x14ac:dyDescent="0.35">
      <c r="P7305" s="226"/>
      <c r="Q7305" s="226"/>
      <c r="R7305" s="226"/>
      <c r="S7305" s="226"/>
      <c r="T7305" s="226"/>
      <c r="U7305" s="226"/>
    </row>
    <row r="7306" spans="16:21" x14ac:dyDescent="0.35">
      <c r="P7306" s="226"/>
      <c r="Q7306" s="226"/>
      <c r="R7306" s="226"/>
      <c r="S7306" s="226"/>
      <c r="T7306" s="226"/>
      <c r="U7306" s="226"/>
    </row>
    <row r="7307" spans="16:21" x14ac:dyDescent="0.35">
      <c r="P7307" s="226"/>
      <c r="Q7307" s="226"/>
      <c r="R7307" s="226"/>
      <c r="S7307" s="226"/>
      <c r="T7307" s="226"/>
      <c r="U7307" s="226"/>
    </row>
    <row r="7308" spans="16:21" x14ac:dyDescent="0.35">
      <c r="P7308" s="226"/>
      <c r="Q7308" s="226"/>
      <c r="R7308" s="226"/>
      <c r="S7308" s="226"/>
      <c r="T7308" s="226"/>
      <c r="U7308" s="226"/>
    </row>
    <row r="7309" spans="16:21" x14ac:dyDescent="0.35">
      <c r="P7309" s="226"/>
      <c r="Q7309" s="226"/>
      <c r="R7309" s="226"/>
      <c r="S7309" s="226"/>
      <c r="T7309" s="226"/>
      <c r="U7309" s="226"/>
    </row>
    <row r="7310" spans="16:21" x14ac:dyDescent="0.35">
      <c r="P7310" s="226"/>
      <c r="Q7310" s="226"/>
      <c r="R7310" s="226"/>
      <c r="S7310" s="226"/>
      <c r="T7310" s="226"/>
      <c r="U7310" s="226"/>
    </row>
    <row r="7311" spans="16:21" x14ac:dyDescent="0.35">
      <c r="P7311" s="226"/>
      <c r="Q7311" s="226"/>
      <c r="R7311" s="226"/>
      <c r="S7311" s="226"/>
      <c r="T7311" s="226"/>
      <c r="U7311" s="226"/>
    </row>
    <row r="7312" spans="16:21" x14ac:dyDescent="0.35">
      <c r="P7312" s="226"/>
      <c r="Q7312" s="226"/>
      <c r="R7312" s="226"/>
      <c r="S7312" s="226"/>
      <c r="T7312" s="226"/>
      <c r="U7312" s="226"/>
    </row>
    <row r="7313" spans="16:21" x14ac:dyDescent="0.35">
      <c r="P7313" s="226"/>
      <c r="Q7313" s="226"/>
      <c r="R7313" s="226"/>
      <c r="S7313" s="226"/>
      <c r="T7313" s="226"/>
      <c r="U7313" s="226"/>
    </row>
    <row r="7314" spans="16:21" x14ac:dyDescent="0.35">
      <c r="P7314" s="226"/>
      <c r="Q7314" s="226"/>
      <c r="R7314" s="226"/>
      <c r="S7314" s="226"/>
      <c r="T7314" s="226"/>
      <c r="U7314" s="226"/>
    </row>
    <row r="7315" spans="16:21" x14ac:dyDescent="0.35">
      <c r="P7315" s="226"/>
      <c r="Q7315" s="226"/>
      <c r="R7315" s="226"/>
      <c r="S7315" s="226"/>
      <c r="T7315" s="226"/>
      <c r="U7315" s="226"/>
    </row>
    <row r="7316" spans="16:21" x14ac:dyDescent="0.35">
      <c r="P7316" s="226"/>
      <c r="Q7316" s="226"/>
      <c r="R7316" s="226"/>
      <c r="S7316" s="226"/>
      <c r="T7316" s="226"/>
      <c r="U7316" s="226"/>
    </row>
    <row r="7317" spans="16:21" x14ac:dyDescent="0.35">
      <c r="P7317" s="226"/>
      <c r="Q7317" s="226"/>
      <c r="R7317" s="226"/>
      <c r="S7317" s="226"/>
      <c r="T7317" s="226"/>
      <c r="U7317" s="226"/>
    </row>
    <row r="7318" spans="16:21" x14ac:dyDescent="0.35">
      <c r="P7318" s="226"/>
      <c r="Q7318" s="226"/>
      <c r="R7318" s="226"/>
      <c r="S7318" s="226"/>
      <c r="T7318" s="226"/>
      <c r="U7318" s="226"/>
    </row>
    <row r="7319" spans="16:21" x14ac:dyDescent="0.35">
      <c r="P7319" s="226"/>
      <c r="Q7319" s="226"/>
      <c r="R7319" s="226"/>
      <c r="S7319" s="226"/>
      <c r="T7319" s="226"/>
      <c r="U7319" s="226"/>
    </row>
    <row r="7320" spans="16:21" x14ac:dyDescent="0.35">
      <c r="P7320" s="226"/>
      <c r="Q7320" s="226"/>
      <c r="R7320" s="226"/>
      <c r="S7320" s="226"/>
      <c r="T7320" s="226"/>
      <c r="U7320" s="226"/>
    </row>
    <row r="7321" spans="16:21" x14ac:dyDescent="0.35">
      <c r="P7321" s="226"/>
      <c r="Q7321" s="226"/>
      <c r="R7321" s="226"/>
      <c r="S7321" s="226"/>
      <c r="T7321" s="226"/>
      <c r="U7321" s="226"/>
    </row>
    <row r="7322" spans="16:21" x14ac:dyDescent="0.35">
      <c r="P7322" s="226"/>
      <c r="Q7322" s="226"/>
      <c r="R7322" s="226"/>
      <c r="S7322" s="226"/>
      <c r="T7322" s="226"/>
      <c r="U7322" s="226"/>
    </row>
    <row r="7323" spans="16:21" x14ac:dyDescent="0.35">
      <c r="P7323" s="226"/>
      <c r="Q7323" s="226"/>
      <c r="R7323" s="226"/>
      <c r="S7323" s="226"/>
      <c r="T7323" s="226"/>
      <c r="U7323" s="226"/>
    </row>
    <row r="7324" spans="16:21" x14ac:dyDescent="0.35">
      <c r="P7324" s="226"/>
      <c r="Q7324" s="226"/>
      <c r="R7324" s="226"/>
      <c r="S7324" s="226"/>
      <c r="T7324" s="226"/>
      <c r="U7324" s="226"/>
    </row>
    <row r="7325" spans="16:21" x14ac:dyDescent="0.35">
      <c r="P7325" s="226"/>
      <c r="Q7325" s="226"/>
      <c r="R7325" s="226"/>
      <c r="S7325" s="226"/>
      <c r="T7325" s="226"/>
      <c r="U7325" s="226"/>
    </row>
    <row r="7326" spans="16:21" x14ac:dyDescent="0.35">
      <c r="P7326" s="226"/>
      <c r="Q7326" s="226"/>
      <c r="R7326" s="226"/>
      <c r="S7326" s="226"/>
      <c r="T7326" s="226"/>
      <c r="U7326" s="226"/>
    </row>
    <row r="7327" spans="16:21" x14ac:dyDescent="0.35">
      <c r="P7327" s="226"/>
      <c r="Q7327" s="226"/>
      <c r="R7327" s="226"/>
      <c r="S7327" s="226"/>
      <c r="T7327" s="226"/>
      <c r="U7327" s="226"/>
    </row>
    <row r="7328" spans="16:21" x14ac:dyDescent="0.35">
      <c r="P7328" s="226"/>
      <c r="Q7328" s="226"/>
      <c r="R7328" s="226"/>
      <c r="S7328" s="226"/>
      <c r="T7328" s="226"/>
      <c r="U7328" s="226"/>
    </row>
    <row r="7329" spans="16:21" x14ac:dyDescent="0.35">
      <c r="P7329" s="226"/>
      <c r="Q7329" s="226"/>
      <c r="R7329" s="226"/>
      <c r="S7329" s="226"/>
      <c r="T7329" s="226"/>
      <c r="U7329" s="226"/>
    </row>
    <row r="7330" spans="16:21" x14ac:dyDescent="0.35">
      <c r="P7330" s="226"/>
      <c r="Q7330" s="226"/>
      <c r="R7330" s="226"/>
      <c r="S7330" s="226"/>
      <c r="T7330" s="226"/>
      <c r="U7330" s="226"/>
    </row>
    <row r="7331" spans="16:21" x14ac:dyDescent="0.35">
      <c r="P7331" s="226"/>
      <c r="Q7331" s="226"/>
      <c r="R7331" s="226"/>
      <c r="S7331" s="226"/>
      <c r="T7331" s="226"/>
      <c r="U7331" s="226"/>
    </row>
    <row r="7332" spans="16:21" x14ac:dyDescent="0.35">
      <c r="P7332" s="226"/>
      <c r="Q7332" s="226"/>
      <c r="R7332" s="226"/>
      <c r="S7332" s="226"/>
      <c r="T7332" s="226"/>
      <c r="U7332" s="226"/>
    </row>
    <row r="7333" spans="16:21" x14ac:dyDescent="0.35">
      <c r="P7333" s="226"/>
      <c r="Q7333" s="226"/>
      <c r="R7333" s="226"/>
      <c r="S7333" s="226"/>
      <c r="T7333" s="226"/>
      <c r="U7333" s="226"/>
    </row>
    <row r="7334" spans="16:21" x14ac:dyDescent="0.35">
      <c r="P7334" s="226"/>
      <c r="Q7334" s="226"/>
      <c r="R7334" s="226"/>
      <c r="S7334" s="226"/>
      <c r="T7334" s="226"/>
      <c r="U7334" s="226"/>
    </row>
    <row r="7335" spans="16:21" x14ac:dyDescent="0.35">
      <c r="P7335" s="226"/>
      <c r="Q7335" s="226"/>
      <c r="R7335" s="226"/>
      <c r="S7335" s="226"/>
      <c r="T7335" s="226"/>
      <c r="U7335" s="226"/>
    </row>
    <row r="7336" spans="16:21" x14ac:dyDescent="0.35">
      <c r="P7336" s="226"/>
      <c r="Q7336" s="226"/>
      <c r="R7336" s="226"/>
      <c r="S7336" s="226"/>
      <c r="T7336" s="226"/>
      <c r="U7336" s="226"/>
    </row>
    <row r="7337" spans="16:21" x14ac:dyDescent="0.35">
      <c r="P7337" s="226"/>
      <c r="Q7337" s="226"/>
      <c r="R7337" s="226"/>
      <c r="S7337" s="226"/>
      <c r="T7337" s="226"/>
      <c r="U7337" s="226"/>
    </row>
    <row r="7338" spans="16:21" x14ac:dyDescent="0.35">
      <c r="P7338" s="226"/>
      <c r="Q7338" s="226"/>
      <c r="R7338" s="226"/>
      <c r="S7338" s="226"/>
      <c r="T7338" s="226"/>
      <c r="U7338" s="226"/>
    </row>
    <row r="7339" spans="16:21" x14ac:dyDescent="0.35">
      <c r="P7339" s="226"/>
      <c r="Q7339" s="226"/>
      <c r="R7339" s="226"/>
      <c r="S7339" s="226"/>
      <c r="T7339" s="226"/>
      <c r="U7339" s="226"/>
    </row>
    <row r="7340" spans="16:21" x14ac:dyDescent="0.35">
      <c r="P7340" s="226"/>
      <c r="Q7340" s="226"/>
      <c r="R7340" s="226"/>
      <c r="S7340" s="226"/>
      <c r="T7340" s="226"/>
      <c r="U7340" s="226"/>
    </row>
    <row r="7341" spans="16:21" x14ac:dyDescent="0.35">
      <c r="P7341" s="226"/>
      <c r="Q7341" s="226"/>
      <c r="R7341" s="226"/>
      <c r="S7341" s="226"/>
      <c r="T7341" s="226"/>
      <c r="U7341" s="226"/>
    </row>
    <row r="7342" spans="16:21" x14ac:dyDescent="0.35">
      <c r="P7342" s="226"/>
      <c r="Q7342" s="226"/>
      <c r="R7342" s="226"/>
      <c r="S7342" s="226"/>
      <c r="T7342" s="226"/>
      <c r="U7342" s="226"/>
    </row>
    <row r="7343" spans="16:21" x14ac:dyDescent="0.35">
      <c r="P7343" s="226"/>
      <c r="Q7343" s="226"/>
      <c r="R7343" s="226"/>
      <c r="S7343" s="226"/>
      <c r="T7343" s="226"/>
      <c r="U7343" s="226"/>
    </row>
    <row r="7344" spans="16:21" x14ac:dyDescent="0.35">
      <c r="P7344" s="226"/>
      <c r="Q7344" s="226"/>
      <c r="R7344" s="226"/>
      <c r="S7344" s="226"/>
      <c r="T7344" s="226"/>
      <c r="U7344" s="226"/>
    </row>
    <row r="7345" spans="16:21" x14ac:dyDescent="0.35">
      <c r="P7345" s="226"/>
      <c r="Q7345" s="226"/>
      <c r="R7345" s="226"/>
      <c r="S7345" s="226"/>
      <c r="T7345" s="226"/>
      <c r="U7345" s="226"/>
    </row>
    <row r="7346" spans="16:21" x14ac:dyDescent="0.35">
      <c r="P7346" s="226"/>
      <c r="Q7346" s="226"/>
      <c r="R7346" s="226"/>
      <c r="S7346" s="226"/>
      <c r="T7346" s="226"/>
      <c r="U7346" s="226"/>
    </row>
    <row r="7347" spans="16:21" x14ac:dyDescent="0.35">
      <c r="P7347" s="226"/>
      <c r="Q7347" s="226"/>
      <c r="R7347" s="226"/>
      <c r="S7347" s="226"/>
      <c r="T7347" s="226"/>
      <c r="U7347" s="226"/>
    </row>
    <row r="7348" spans="16:21" x14ac:dyDescent="0.35">
      <c r="P7348" s="226"/>
      <c r="Q7348" s="226"/>
      <c r="R7348" s="226"/>
      <c r="S7348" s="226"/>
      <c r="T7348" s="226"/>
      <c r="U7348" s="226"/>
    </row>
    <row r="7349" spans="16:21" x14ac:dyDescent="0.35">
      <c r="P7349" s="226"/>
      <c r="Q7349" s="226"/>
      <c r="R7349" s="226"/>
      <c r="S7349" s="226"/>
      <c r="T7349" s="226"/>
      <c r="U7349" s="226"/>
    </row>
    <row r="7350" spans="16:21" x14ac:dyDescent="0.35">
      <c r="P7350" s="226"/>
      <c r="Q7350" s="226"/>
      <c r="R7350" s="226"/>
      <c r="S7350" s="226"/>
      <c r="T7350" s="226"/>
      <c r="U7350" s="226"/>
    </row>
    <row r="7351" spans="16:21" x14ac:dyDescent="0.35">
      <c r="P7351" s="226"/>
      <c r="Q7351" s="226"/>
      <c r="R7351" s="226"/>
      <c r="S7351" s="226"/>
      <c r="T7351" s="226"/>
      <c r="U7351" s="226"/>
    </row>
    <row r="7352" spans="16:21" x14ac:dyDescent="0.35">
      <c r="P7352" s="226"/>
      <c r="Q7352" s="226"/>
      <c r="R7352" s="226"/>
      <c r="S7352" s="226"/>
      <c r="T7352" s="226"/>
      <c r="U7352" s="226"/>
    </row>
    <row r="7353" spans="16:21" x14ac:dyDescent="0.35">
      <c r="P7353" s="226"/>
      <c r="Q7353" s="226"/>
      <c r="R7353" s="226"/>
      <c r="S7353" s="226"/>
      <c r="T7353" s="226"/>
      <c r="U7353" s="226"/>
    </row>
    <row r="7354" spans="16:21" x14ac:dyDescent="0.35">
      <c r="P7354" s="226"/>
      <c r="Q7354" s="226"/>
      <c r="R7354" s="226"/>
      <c r="S7354" s="226"/>
      <c r="T7354" s="226"/>
      <c r="U7354" s="226"/>
    </row>
    <row r="7355" spans="16:21" x14ac:dyDescent="0.35">
      <c r="P7355" s="226"/>
      <c r="Q7355" s="226"/>
      <c r="R7355" s="226"/>
      <c r="S7355" s="226"/>
      <c r="T7355" s="226"/>
      <c r="U7355" s="226"/>
    </row>
    <row r="7356" spans="16:21" x14ac:dyDescent="0.35">
      <c r="P7356" s="226"/>
      <c r="Q7356" s="226"/>
      <c r="R7356" s="226"/>
      <c r="S7356" s="226"/>
      <c r="T7356" s="226"/>
      <c r="U7356" s="226"/>
    </row>
    <row r="7357" spans="16:21" x14ac:dyDescent="0.35">
      <c r="P7357" s="226"/>
      <c r="Q7357" s="226"/>
      <c r="R7357" s="226"/>
      <c r="S7357" s="226"/>
      <c r="T7357" s="226"/>
      <c r="U7357" s="226"/>
    </row>
    <row r="7358" spans="16:21" x14ac:dyDescent="0.35">
      <c r="P7358" s="226"/>
      <c r="Q7358" s="226"/>
      <c r="R7358" s="226"/>
      <c r="S7358" s="226"/>
      <c r="T7358" s="226"/>
      <c r="U7358" s="226"/>
    </row>
    <row r="7359" spans="16:21" x14ac:dyDescent="0.35">
      <c r="P7359" s="226"/>
      <c r="Q7359" s="226"/>
      <c r="R7359" s="226"/>
      <c r="S7359" s="226"/>
      <c r="T7359" s="226"/>
      <c r="U7359" s="226"/>
    </row>
    <row r="7360" spans="16:21" x14ac:dyDescent="0.35">
      <c r="P7360" s="226"/>
      <c r="Q7360" s="226"/>
      <c r="R7360" s="226"/>
      <c r="S7360" s="226"/>
      <c r="T7360" s="226"/>
      <c r="U7360" s="226"/>
    </row>
    <row r="7361" spans="16:21" x14ac:dyDescent="0.35">
      <c r="P7361" s="226"/>
      <c r="Q7361" s="226"/>
      <c r="R7361" s="226"/>
      <c r="S7361" s="226"/>
      <c r="T7361" s="226"/>
      <c r="U7361" s="226"/>
    </row>
    <row r="7362" spans="16:21" x14ac:dyDescent="0.35">
      <c r="P7362" s="226"/>
      <c r="Q7362" s="226"/>
      <c r="R7362" s="226"/>
      <c r="S7362" s="226"/>
      <c r="T7362" s="226"/>
      <c r="U7362" s="226"/>
    </row>
    <row r="7363" spans="16:21" x14ac:dyDescent="0.35">
      <c r="P7363" s="226"/>
      <c r="Q7363" s="226"/>
      <c r="R7363" s="226"/>
      <c r="S7363" s="226"/>
      <c r="T7363" s="226"/>
      <c r="U7363" s="226"/>
    </row>
    <row r="7364" spans="16:21" x14ac:dyDescent="0.35">
      <c r="P7364" s="226"/>
      <c r="Q7364" s="226"/>
      <c r="R7364" s="226"/>
      <c r="S7364" s="226"/>
      <c r="T7364" s="226"/>
      <c r="U7364" s="226"/>
    </row>
    <row r="7365" spans="16:21" x14ac:dyDescent="0.35">
      <c r="P7365" s="226"/>
      <c r="Q7365" s="226"/>
      <c r="R7365" s="226"/>
      <c r="S7365" s="226"/>
      <c r="T7365" s="226"/>
      <c r="U7365" s="226"/>
    </row>
    <row r="7366" spans="16:21" x14ac:dyDescent="0.35">
      <c r="P7366" s="226"/>
      <c r="Q7366" s="226"/>
      <c r="R7366" s="226"/>
      <c r="S7366" s="226"/>
      <c r="T7366" s="226"/>
      <c r="U7366" s="226"/>
    </row>
    <row r="7367" spans="16:21" x14ac:dyDescent="0.35">
      <c r="P7367" s="226"/>
      <c r="Q7367" s="226"/>
      <c r="R7367" s="226"/>
      <c r="S7367" s="226"/>
      <c r="T7367" s="226"/>
      <c r="U7367" s="226"/>
    </row>
    <row r="7368" spans="16:21" x14ac:dyDescent="0.35">
      <c r="P7368" s="226"/>
      <c r="Q7368" s="226"/>
      <c r="R7368" s="226"/>
      <c r="S7368" s="226"/>
      <c r="T7368" s="226"/>
      <c r="U7368" s="226"/>
    </row>
    <row r="7369" spans="16:21" x14ac:dyDescent="0.35">
      <c r="P7369" s="226"/>
      <c r="Q7369" s="226"/>
      <c r="R7369" s="226"/>
      <c r="S7369" s="226"/>
      <c r="T7369" s="226"/>
      <c r="U7369" s="226"/>
    </row>
    <row r="7370" spans="16:21" x14ac:dyDescent="0.35">
      <c r="P7370" s="226"/>
      <c r="Q7370" s="226"/>
      <c r="R7370" s="226"/>
      <c r="S7370" s="226"/>
      <c r="T7370" s="226"/>
      <c r="U7370" s="226"/>
    </row>
    <row r="7371" spans="16:21" x14ac:dyDescent="0.35">
      <c r="P7371" s="226"/>
      <c r="Q7371" s="226"/>
      <c r="R7371" s="226"/>
      <c r="S7371" s="226"/>
      <c r="T7371" s="226"/>
      <c r="U7371" s="226"/>
    </row>
    <row r="7372" spans="16:21" x14ac:dyDescent="0.35">
      <c r="P7372" s="226"/>
      <c r="Q7372" s="226"/>
      <c r="R7372" s="226"/>
      <c r="S7372" s="226"/>
      <c r="T7372" s="226"/>
      <c r="U7372" s="226"/>
    </row>
    <row r="7373" spans="16:21" x14ac:dyDescent="0.35">
      <c r="P7373" s="226"/>
      <c r="Q7373" s="226"/>
      <c r="R7373" s="226"/>
      <c r="S7373" s="226"/>
      <c r="T7373" s="226"/>
      <c r="U7373" s="226"/>
    </row>
    <row r="7374" spans="16:21" x14ac:dyDescent="0.35">
      <c r="P7374" s="226"/>
      <c r="Q7374" s="226"/>
      <c r="R7374" s="226"/>
      <c r="S7374" s="226"/>
      <c r="T7374" s="226"/>
      <c r="U7374" s="226"/>
    </row>
    <row r="7375" spans="16:21" x14ac:dyDescent="0.35">
      <c r="P7375" s="226"/>
      <c r="Q7375" s="226"/>
      <c r="R7375" s="226"/>
      <c r="S7375" s="226"/>
      <c r="T7375" s="226"/>
      <c r="U7375" s="226"/>
    </row>
    <row r="7376" spans="16:21" x14ac:dyDescent="0.35">
      <c r="P7376" s="226"/>
      <c r="Q7376" s="226"/>
      <c r="R7376" s="226"/>
      <c r="S7376" s="226"/>
      <c r="T7376" s="226"/>
      <c r="U7376" s="226"/>
    </row>
    <row r="7377" spans="16:21" x14ac:dyDescent="0.35">
      <c r="P7377" s="226"/>
      <c r="Q7377" s="226"/>
      <c r="R7377" s="226"/>
      <c r="S7377" s="226"/>
      <c r="T7377" s="226"/>
      <c r="U7377" s="226"/>
    </row>
    <row r="7378" spans="16:21" x14ac:dyDescent="0.35">
      <c r="P7378" s="226"/>
      <c r="Q7378" s="226"/>
      <c r="R7378" s="226"/>
      <c r="S7378" s="226"/>
      <c r="T7378" s="226"/>
      <c r="U7378" s="226"/>
    </row>
    <row r="7379" spans="16:21" x14ac:dyDescent="0.35">
      <c r="P7379" s="226"/>
      <c r="Q7379" s="226"/>
      <c r="R7379" s="226"/>
      <c r="S7379" s="226"/>
      <c r="T7379" s="226"/>
      <c r="U7379" s="226"/>
    </row>
    <row r="7380" spans="16:21" x14ac:dyDescent="0.35">
      <c r="P7380" s="226"/>
      <c r="Q7380" s="226"/>
      <c r="R7380" s="226"/>
      <c r="S7380" s="226"/>
      <c r="T7380" s="226"/>
      <c r="U7380" s="226"/>
    </row>
    <row r="7381" spans="16:21" x14ac:dyDescent="0.35">
      <c r="P7381" s="226"/>
      <c r="Q7381" s="226"/>
      <c r="R7381" s="226"/>
      <c r="S7381" s="226"/>
      <c r="T7381" s="226"/>
      <c r="U7381" s="226"/>
    </row>
    <row r="7382" spans="16:21" x14ac:dyDescent="0.35">
      <c r="P7382" s="226"/>
      <c r="Q7382" s="226"/>
      <c r="R7382" s="226"/>
      <c r="S7382" s="226"/>
      <c r="T7382" s="226"/>
      <c r="U7382" s="226"/>
    </row>
    <row r="7383" spans="16:21" x14ac:dyDescent="0.35">
      <c r="P7383" s="226"/>
      <c r="Q7383" s="226"/>
      <c r="R7383" s="226"/>
      <c r="S7383" s="226"/>
      <c r="T7383" s="226"/>
      <c r="U7383" s="226"/>
    </row>
    <row r="7384" spans="16:21" x14ac:dyDescent="0.35">
      <c r="P7384" s="226"/>
      <c r="Q7384" s="226"/>
      <c r="R7384" s="226"/>
      <c r="S7384" s="226"/>
      <c r="T7384" s="226"/>
      <c r="U7384" s="226"/>
    </row>
    <row r="7385" spans="16:21" x14ac:dyDescent="0.35">
      <c r="P7385" s="226"/>
      <c r="Q7385" s="226"/>
      <c r="R7385" s="226"/>
      <c r="S7385" s="226"/>
      <c r="T7385" s="226"/>
      <c r="U7385" s="226"/>
    </row>
    <row r="7386" spans="16:21" x14ac:dyDescent="0.35">
      <c r="P7386" s="226"/>
      <c r="Q7386" s="226"/>
      <c r="R7386" s="226"/>
      <c r="S7386" s="226"/>
      <c r="T7386" s="226"/>
      <c r="U7386" s="226"/>
    </row>
    <row r="7387" spans="16:21" x14ac:dyDescent="0.35">
      <c r="P7387" s="226"/>
      <c r="Q7387" s="226"/>
      <c r="R7387" s="226"/>
      <c r="S7387" s="226"/>
      <c r="T7387" s="226"/>
      <c r="U7387" s="226"/>
    </row>
    <row r="7388" spans="16:21" x14ac:dyDescent="0.35">
      <c r="P7388" s="226"/>
      <c r="Q7388" s="226"/>
      <c r="R7388" s="226"/>
      <c r="S7388" s="226"/>
      <c r="T7388" s="226"/>
      <c r="U7388" s="226"/>
    </row>
    <row r="7389" spans="16:21" x14ac:dyDescent="0.35">
      <c r="P7389" s="226"/>
      <c r="Q7389" s="226"/>
      <c r="R7389" s="226"/>
      <c r="S7389" s="226"/>
      <c r="T7389" s="226"/>
      <c r="U7389" s="226"/>
    </row>
    <row r="7390" spans="16:21" x14ac:dyDescent="0.35">
      <c r="P7390" s="226"/>
      <c r="Q7390" s="226"/>
      <c r="R7390" s="226"/>
      <c r="S7390" s="226"/>
      <c r="T7390" s="226"/>
      <c r="U7390" s="226"/>
    </row>
    <row r="7391" spans="16:21" x14ac:dyDescent="0.35">
      <c r="P7391" s="226"/>
      <c r="Q7391" s="226"/>
      <c r="R7391" s="226"/>
      <c r="S7391" s="226"/>
      <c r="T7391" s="226"/>
      <c r="U7391" s="226"/>
    </row>
    <row r="7392" spans="16:21" x14ac:dyDescent="0.35">
      <c r="P7392" s="226"/>
      <c r="Q7392" s="226"/>
      <c r="R7392" s="226"/>
      <c r="S7392" s="226"/>
      <c r="T7392" s="226"/>
      <c r="U7392" s="226"/>
    </row>
    <row r="7393" spans="16:21" x14ac:dyDescent="0.35">
      <c r="P7393" s="226"/>
      <c r="Q7393" s="226"/>
      <c r="R7393" s="226"/>
      <c r="S7393" s="226"/>
      <c r="T7393" s="226"/>
      <c r="U7393" s="226"/>
    </row>
    <row r="7394" spans="16:21" x14ac:dyDescent="0.35">
      <c r="P7394" s="226"/>
      <c r="Q7394" s="226"/>
      <c r="R7394" s="226"/>
      <c r="S7394" s="226"/>
      <c r="T7394" s="226"/>
      <c r="U7394" s="226"/>
    </row>
    <row r="7395" spans="16:21" x14ac:dyDescent="0.35">
      <c r="P7395" s="226"/>
      <c r="Q7395" s="226"/>
      <c r="R7395" s="226"/>
      <c r="S7395" s="226"/>
      <c r="T7395" s="226"/>
      <c r="U7395" s="226"/>
    </row>
    <row r="7396" spans="16:21" x14ac:dyDescent="0.35">
      <c r="P7396" s="226"/>
      <c r="Q7396" s="226"/>
      <c r="R7396" s="226"/>
      <c r="S7396" s="226"/>
      <c r="T7396" s="226"/>
      <c r="U7396" s="226"/>
    </row>
    <row r="7397" spans="16:21" x14ac:dyDescent="0.35">
      <c r="P7397" s="226"/>
      <c r="Q7397" s="226"/>
      <c r="R7397" s="226"/>
      <c r="S7397" s="226"/>
      <c r="T7397" s="226"/>
      <c r="U7397" s="226"/>
    </row>
    <row r="7398" spans="16:21" x14ac:dyDescent="0.35">
      <c r="P7398" s="226"/>
      <c r="Q7398" s="226"/>
      <c r="R7398" s="226"/>
      <c r="S7398" s="226"/>
      <c r="T7398" s="226"/>
      <c r="U7398" s="226"/>
    </row>
    <row r="7399" spans="16:21" x14ac:dyDescent="0.35">
      <c r="P7399" s="226"/>
      <c r="Q7399" s="226"/>
      <c r="R7399" s="226"/>
      <c r="S7399" s="226"/>
      <c r="T7399" s="226"/>
      <c r="U7399" s="226"/>
    </row>
    <row r="7400" spans="16:21" x14ac:dyDescent="0.35">
      <c r="P7400" s="226"/>
      <c r="Q7400" s="226"/>
      <c r="R7400" s="226"/>
      <c r="S7400" s="226"/>
      <c r="T7400" s="226"/>
      <c r="U7400" s="226"/>
    </row>
    <row r="7401" spans="16:21" x14ac:dyDescent="0.35">
      <c r="P7401" s="226"/>
      <c r="Q7401" s="226"/>
      <c r="R7401" s="226"/>
      <c r="S7401" s="226"/>
      <c r="T7401" s="226"/>
      <c r="U7401" s="226"/>
    </row>
    <row r="7402" spans="16:21" x14ac:dyDescent="0.35">
      <c r="P7402" s="226"/>
      <c r="Q7402" s="226"/>
      <c r="R7402" s="226"/>
      <c r="S7402" s="226"/>
      <c r="T7402" s="226"/>
      <c r="U7402" s="226"/>
    </row>
    <row r="7403" spans="16:21" x14ac:dyDescent="0.35">
      <c r="P7403" s="226"/>
      <c r="Q7403" s="226"/>
      <c r="R7403" s="226"/>
      <c r="S7403" s="226"/>
      <c r="T7403" s="226"/>
      <c r="U7403" s="226"/>
    </row>
    <row r="7404" spans="16:21" x14ac:dyDescent="0.35">
      <c r="P7404" s="226"/>
      <c r="Q7404" s="226"/>
      <c r="R7404" s="226"/>
      <c r="S7404" s="226"/>
      <c r="T7404" s="226"/>
      <c r="U7404" s="226"/>
    </row>
    <row r="7405" spans="16:21" x14ac:dyDescent="0.35">
      <c r="P7405" s="226"/>
      <c r="Q7405" s="226"/>
      <c r="R7405" s="226"/>
      <c r="S7405" s="226"/>
      <c r="T7405" s="226"/>
      <c r="U7405" s="226"/>
    </row>
    <row r="7406" spans="16:21" x14ac:dyDescent="0.35">
      <c r="P7406" s="226"/>
      <c r="Q7406" s="226"/>
      <c r="R7406" s="226"/>
      <c r="S7406" s="226"/>
      <c r="T7406" s="226"/>
      <c r="U7406" s="226"/>
    </row>
    <row r="7407" spans="16:21" x14ac:dyDescent="0.35">
      <c r="P7407" s="226"/>
      <c r="Q7407" s="226"/>
      <c r="R7407" s="226"/>
      <c r="S7407" s="226"/>
      <c r="T7407" s="226"/>
      <c r="U7407" s="226"/>
    </row>
    <row r="7408" spans="16:21" x14ac:dyDescent="0.35">
      <c r="P7408" s="226"/>
      <c r="Q7408" s="226"/>
      <c r="R7408" s="226"/>
      <c r="S7408" s="226"/>
      <c r="T7408" s="226"/>
      <c r="U7408" s="226"/>
    </row>
    <row r="7409" spans="16:21" x14ac:dyDescent="0.35">
      <c r="P7409" s="226"/>
      <c r="Q7409" s="226"/>
      <c r="R7409" s="226"/>
      <c r="S7409" s="226"/>
      <c r="T7409" s="226"/>
      <c r="U7409" s="226"/>
    </row>
    <row r="7410" spans="16:21" x14ac:dyDescent="0.35">
      <c r="P7410" s="226"/>
      <c r="Q7410" s="226"/>
      <c r="R7410" s="226"/>
      <c r="S7410" s="226"/>
      <c r="T7410" s="226"/>
      <c r="U7410" s="226"/>
    </row>
    <row r="7411" spans="16:21" x14ac:dyDescent="0.35">
      <c r="P7411" s="226"/>
      <c r="Q7411" s="226"/>
      <c r="R7411" s="226"/>
      <c r="S7411" s="226"/>
      <c r="T7411" s="226"/>
      <c r="U7411" s="226"/>
    </row>
    <row r="7412" spans="16:21" x14ac:dyDescent="0.35">
      <c r="P7412" s="226"/>
      <c r="Q7412" s="226"/>
      <c r="R7412" s="226"/>
      <c r="S7412" s="226"/>
      <c r="T7412" s="226"/>
      <c r="U7412" s="226"/>
    </row>
    <row r="7413" spans="16:21" x14ac:dyDescent="0.35">
      <c r="P7413" s="226"/>
      <c r="Q7413" s="226"/>
      <c r="R7413" s="226"/>
      <c r="S7413" s="226"/>
      <c r="T7413" s="226"/>
      <c r="U7413" s="226"/>
    </row>
    <row r="7414" spans="16:21" x14ac:dyDescent="0.35">
      <c r="P7414" s="226"/>
      <c r="Q7414" s="226"/>
      <c r="R7414" s="226"/>
      <c r="S7414" s="226"/>
      <c r="T7414" s="226"/>
      <c r="U7414" s="226"/>
    </row>
    <row r="7415" spans="16:21" x14ac:dyDescent="0.35">
      <c r="P7415" s="226"/>
      <c r="Q7415" s="226"/>
      <c r="R7415" s="226"/>
      <c r="S7415" s="226"/>
      <c r="T7415" s="226"/>
      <c r="U7415" s="226"/>
    </row>
    <row r="7416" spans="16:21" x14ac:dyDescent="0.35">
      <c r="P7416" s="226"/>
      <c r="Q7416" s="226"/>
      <c r="R7416" s="226"/>
      <c r="S7416" s="226"/>
      <c r="T7416" s="226"/>
      <c r="U7416" s="226"/>
    </row>
    <row r="7417" spans="16:21" x14ac:dyDescent="0.35">
      <c r="P7417" s="226"/>
      <c r="Q7417" s="226"/>
      <c r="R7417" s="226"/>
      <c r="S7417" s="226"/>
      <c r="T7417" s="226"/>
      <c r="U7417" s="226"/>
    </row>
    <row r="7418" spans="16:21" x14ac:dyDescent="0.35">
      <c r="P7418" s="226"/>
      <c r="Q7418" s="226"/>
      <c r="R7418" s="226"/>
      <c r="S7418" s="226"/>
      <c r="T7418" s="226"/>
      <c r="U7418" s="226"/>
    </row>
    <row r="7419" spans="16:21" x14ac:dyDescent="0.35">
      <c r="P7419" s="226"/>
      <c r="Q7419" s="226"/>
      <c r="R7419" s="226"/>
      <c r="S7419" s="226"/>
      <c r="T7419" s="226"/>
      <c r="U7419" s="226"/>
    </row>
    <row r="7420" spans="16:21" x14ac:dyDescent="0.35">
      <c r="P7420" s="226"/>
      <c r="Q7420" s="226"/>
      <c r="R7420" s="226"/>
      <c r="S7420" s="226"/>
      <c r="T7420" s="226"/>
      <c r="U7420" s="226"/>
    </row>
    <row r="7421" spans="16:21" x14ac:dyDescent="0.35">
      <c r="P7421" s="226"/>
      <c r="Q7421" s="226"/>
      <c r="R7421" s="226"/>
      <c r="S7421" s="226"/>
      <c r="T7421" s="226"/>
      <c r="U7421" s="226"/>
    </row>
    <row r="7422" spans="16:21" x14ac:dyDescent="0.35">
      <c r="P7422" s="226"/>
      <c r="Q7422" s="226"/>
      <c r="R7422" s="226"/>
      <c r="S7422" s="226"/>
      <c r="T7422" s="226"/>
      <c r="U7422" s="226"/>
    </row>
    <row r="7423" spans="16:21" x14ac:dyDescent="0.35">
      <c r="P7423" s="226"/>
      <c r="Q7423" s="226"/>
      <c r="R7423" s="226"/>
      <c r="S7423" s="226"/>
      <c r="T7423" s="226"/>
      <c r="U7423" s="226"/>
    </row>
    <row r="7424" spans="16:21" x14ac:dyDescent="0.35">
      <c r="P7424" s="226"/>
      <c r="Q7424" s="226"/>
      <c r="R7424" s="226"/>
      <c r="S7424" s="226"/>
      <c r="T7424" s="226"/>
      <c r="U7424" s="226"/>
    </row>
    <row r="7425" spans="16:21" x14ac:dyDescent="0.35">
      <c r="P7425" s="226"/>
      <c r="Q7425" s="226"/>
      <c r="R7425" s="226"/>
      <c r="S7425" s="226"/>
      <c r="T7425" s="226"/>
      <c r="U7425" s="226"/>
    </row>
    <row r="7426" spans="16:21" x14ac:dyDescent="0.35">
      <c r="P7426" s="226"/>
      <c r="Q7426" s="226"/>
      <c r="R7426" s="226"/>
      <c r="S7426" s="226"/>
      <c r="T7426" s="226"/>
      <c r="U7426" s="226"/>
    </row>
    <row r="7427" spans="16:21" x14ac:dyDescent="0.35">
      <c r="P7427" s="226"/>
      <c r="Q7427" s="226"/>
      <c r="R7427" s="226"/>
      <c r="S7427" s="226"/>
      <c r="T7427" s="226"/>
      <c r="U7427" s="226"/>
    </row>
    <row r="7428" spans="16:21" x14ac:dyDescent="0.35">
      <c r="P7428" s="226"/>
      <c r="Q7428" s="226"/>
      <c r="R7428" s="226"/>
      <c r="S7428" s="226"/>
      <c r="T7428" s="226"/>
      <c r="U7428" s="226"/>
    </row>
    <row r="7429" spans="16:21" x14ac:dyDescent="0.35">
      <c r="P7429" s="226"/>
      <c r="Q7429" s="226"/>
      <c r="R7429" s="226"/>
      <c r="S7429" s="226"/>
      <c r="T7429" s="226"/>
      <c r="U7429" s="226"/>
    </row>
    <row r="7430" spans="16:21" x14ac:dyDescent="0.35">
      <c r="P7430" s="226"/>
      <c r="Q7430" s="226"/>
      <c r="R7430" s="226"/>
      <c r="S7430" s="226"/>
      <c r="T7430" s="226"/>
      <c r="U7430" s="226"/>
    </row>
    <row r="7431" spans="16:21" x14ac:dyDescent="0.35">
      <c r="P7431" s="226"/>
      <c r="Q7431" s="226"/>
      <c r="R7431" s="226"/>
      <c r="S7431" s="226"/>
      <c r="T7431" s="226"/>
      <c r="U7431" s="226"/>
    </row>
    <row r="7432" spans="16:21" x14ac:dyDescent="0.35">
      <c r="P7432" s="226"/>
      <c r="Q7432" s="226"/>
      <c r="R7432" s="226"/>
      <c r="S7432" s="226"/>
      <c r="T7432" s="226"/>
      <c r="U7432" s="226"/>
    </row>
    <row r="7433" spans="16:21" x14ac:dyDescent="0.35">
      <c r="P7433" s="226"/>
      <c r="Q7433" s="226"/>
      <c r="R7433" s="226"/>
      <c r="S7433" s="226"/>
      <c r="T7433" s="226"/>
      <c r="U7433" s="226"/>
    </row>
    <row r="7434" spans="16:21" x14ac:dyDescent="0.35">
      <c r="P7434" s="226"/>
      <c r="Q7434" s="226"/>
      <c r="R7434" s="226"/>
      <c r="S7434" s="226"/>
      <c r="T7434" s="226"/>
      <c r="U7434" s="226"/>
    </row>
    <row r="7435" spans="16:21" x14ac:dyDescent="0.35">
      <c r="P7435" s="226"/>
      <c r="Q7435" s="226"/>
      <c r="R7435" s="226"/>
      <c r="S7435" s="226"/>
      <c r="T7435" s="226"/>
      <c r="U7435" s="226"/>
    </row>
    <row r="7436" spans="16:21" x14ac:dyDescent="0.35">
      <c r="P7436" s="226"/>
      <c r="Q7436" s="226"/>
      <c r="R7436" s="226"/>
      <c r="S7436" s="226"/>
      <c r="T7436" s="226"/>
      <c r="U7436" s="226"/>
    </row>
    <row r="7437" spans="16:21" x14ac:dyDescent="0.35">
      <c r="P7437" s="226"/>
      <c r="Q7437" s="226"/>
      <c r="R7437" s="226"/>
      <c r="S7437" s="226"/>
      <c r="T7437" s="226"/>
      <c r="U7437" s="226"/>
    </row>
    <row r="7438" spans="16:21" x14ac:dyDescent="0.35">
      <c r="P7438" s="226"/>
      <c r="Q7438" s="226"/>
      <c r="R7438" s="226"/>
      <c r="S7438" s="226"/>
      <c r="T7438" s="226"/>
      <c r="U7438" s="226"/>
    </row>
    <row r="7439" spans="16:21" x14ac:dyDescent="0.35">
      <c r="P7439" s="226"/>
      <c r="Q7439" s="226"/>
      <c r="R7439" s="226"/>
      <c r="S7439" s="226"/>
      <c r="T7439" s="226"/>
      <c r="U7439" s="226"/>
    </row>
    <row r="7440" spans="16:21" x14ac:dyDescent="0.35">
      <c r="P7440" s="226"/>
      <c r="Q7440" s="226"/>
      <c r="R7440" s="226"/>
      <c r="S7440" s="226"/>
      <c r="T7440" s="226"/>
      <c r="U7440" s="226"/>
    </row>
    <row r="7441" spans="16:21" x14ac:dyDescent="0.35">
      <c r="P7441" s="226"/>
      <c r="Q7441" s="226"/>
      <c r="R7441" s="226"/>
      <c r="S7441" s="226"/>
      <c r="T7441" s="226"/>
      <c r="U7441" s="226"/>
    </row>
    <row r="7442" spans="16:21" x14ac:dyDescent="0.35">
      <c r="P7442" s="226"/>
      <c r="Q7442" s="226"/>
      <c r="R7442" s="226"/>
      <c r="S7442" s="226"/>
      <c r="T7442" s="226"/>
      <c r="U7442" s="226"/>
    </row>
    <row r="7443" spans="16:21" x14ac:dyDescent="0.35">
      <c r="P7443" s="226"/>
      <c r="Q7443" s="226"/>
      <c r="R7443" s="226"/>
      <c r="S7443" s="226"/>
      <c r="T7443" s="226"/>
      <c r="U7443" s="226"/>
    </row>
    <row r="7444" spans="16:21" x14ac:dyDescent="0.35">
      <c r="P7444" s="226"/>
      <c r="Q7444" s="226"/>
      <c r="R7444" s="226"/>
      <c r="S7444" s="226"/>
      <c r="T7444" s="226"/>
      <c r="U7444" s="226"/>
    </row>
    <row r="7445" spans="16:21" x14ac:dyDescent="0.35">
      <c r="P7445" s="226"/>
      <c r="Q7445" s="226"/>
      <c r="R7445" s="226"/>
      <c r="S7445" s="226"/>
      <c r="T7445" s="226"/>
      <c r="U7445" s="226"/>
    </row>
    <row r="7446" spans="16:21" x14ac:dyDescent="0.35">
      <c r="P7446" s="226"/>
      <c r="Q7446" s="226"/>
      <c r="R7446" s="226"/>
      <c r="S7446" s="226"/>
      <c r="T7446" s="226"/>
      <c r="U7446" s="226"/>
    </row>
    <row r="7447" spans="16:21" x14ac:dyDescent="0.35">
      <c r="P7447" s="226"/>
      <c r="Q7447" s="226"/>
      <c r="R7447" s="226"/>
      <c r="S7447" s="226"/>
      <c r="T7447" s="226"/>
      <c r="U7447" s="226"/>
    </row>
    <row r="7448" spans="16:21" x14ac:dyDescent="0.35">
      <c r="P7448" s="226"/>
      <c r="Q7448" s="226"/>
      <c r="R7448" s="226"/>
      <c r="S7448" s="226"/>
      <c r="T7448" s="226"/>
      <c r="U7448" s="226"/>
    </row>
    <row r="7449" spans="16:21" x14ac:dyDescent="0.35">
      <c r="P7449" s="226"/>
      <c r="Q7449" s="226"/>
      <c r="R7449" s="226"/>
      <c r="S7449" s="226"/>
      <c r="T7449" s="226"/>
      <c r="U7449" s="226"/>
    </row>
    <row r="7450" spans="16:21" x14ac:dyDescent="0.35">
      <c r="P7450" s="226"/>
      <c r="Q7450" s="226"/>
      <c r="R7450" s="226"/>
      <c r="S7450" s="226"/>
      <c r="T7450" s="226"/>
      <c r="U7450" s="226"/>
    </row>
    <row r="7451" spans="16:21" x14ac:dyDescent="0.35">
      <c r="P7451" s="226"/>
      <c r="Q7451" s="226"/>
      <c r="R7451" s="226"/>
      <c r="S7451" s="226"/>
      <c r="T7451" s="226"/>
      <c r="U7451" s="226"/>
    </row>
    <row r="7452" spans="16:21" x14ac:dyDescent="0.35">
      <c r="P7452" s="226"/>
      <c r="Q7452" s="226"/>
      <c r="R7452" s="226"/>
      <c r="S7452" s="226"/>
      <c r="T7452" s="226"/>
      <c r="U7452" s="226"/>
    </row>
    <row r="7453" spans="16:21" x14ac:dyDescent="0.35">
      <c r="P7453" s="226"/>
      <c r="Q7453" s="226"/>
      <c r="R7453" s="226"/>
      <c r="S7453" s="226"/>
      <c r="T7453" s="226"/>
      <c r="U7453" s="226"/>
    </row>
    <row r="7454" spans="16:21" x14ac:dyDescent="0.35">
      <c r="P7454" s="226"/>
      <c r="Q7454" s="226"/>
      <c r="R7454" s="226"/>
      <c r="S7454" s="226"/>
      <c r="T7454" s="226"/>
      <c r="U7454" s="226"/>
    </row>
    <row r="7455" spans="16:21" x14ac:dyDescent="0.35">
      <c r="P7455" s="226"/>
      <c r="Q7455" s="226"/>
      <c r="R7455" s="226"/>
      <c r="S7455" s="226"/>
      <c r="T7455" s="226"/>
      <c r="U7455" s="226"/>
    </row>
    <row r="7456" spans="16:21" x14ac:dyDescent="0.35">
      <c r="P7456" s="226"/>
      <c r="Q7456" s="226"/>
      <c r="R7456" s="226"/>
      <c r="S7456" s="226"/>
      <c r="T7456" s="226"/>
      <c r="U7456" s="226"/>
    </row>
    <row r="7457" spans="16:21" x14ac:dyDescent="0.35">
      <c r="P7457" s="226"/>
      <c r="Q7457" s="226"/>
      <c r="R7457" s="226"/>
      <c r="S7457" s="226"/>
      <c r="T7457" s="226"/>
      <c r="U7457" s="226"/>
    </row>
    <row r="7458" spans="16:21" x14ac:dyDescent="0.35">
      <c r="P7458" s="226"/>
      <c r="Q7458" s="226"/>
      <c r="R7458" s="226"/>
      <c r="S7458" s="226"/>
      <c r="T7458" s="226"/>
      <c r="U7458" s="226"/>
    </row>
    <row r="7459" spans="16:21" x14ac:dyDescent="0.35">
      <c r="P7459" s="226"/>
      <c r="Q7459" s="226"/>
      <c r="R7459" s="226"/>
      <c r="S7459" s="226"/>
      <c r="T7459" s="226"/>
      <c r="U7459" s="226"/>
    </row>
    <row r="7460" spans="16:21" x14ac:dyDescent="0.35">
      <c r="P7460" s="226"/>
      <c r="Q7460" s="226"/>
      <c r="R7460" s="226"/>
      <c r="S7460" s="226"/>
      <c r="T7460" s="226"/>
      <c r="U7460" s="226"/>
    </row>
    <row r="7461" spans="16:21" x14ac:dyDescent="0.35">
      <c r="P7461" s="226"/>
      <c r="Q7461" s="226"/>
      <c r="R7461" s="226"/>
      <c r="S7461" s="226"/>
      <c r="T7461" s="226"/>
      <c r="U7461" s="226"/>
    </row>
    <row r="7462" spans="16:21" x14ac:dyDescent="0.35">
      <c r="P7462" s="226"/>
      <c r="Q7462" s="226"/>
      <c r="R7462" s="226"/>
      <c r="S7462" s="226"/>
      <c r="T7462" s="226"/>
      <c r="U7462" s="226"/>
    </row>
    <row r="7463" spans="16:21" x14ac:dyDescent="0.35">
      <c r="P7463" s="226"/>
      <c r="Q7463" s="226"/>
      <c r="R7463" s="226"/>
      <c r="S7463" s="226"/>
      <c r="T7463" s="226"/>
      <c r="U7463" s="226"/>
    </row>
    <row r="7464" spans="16:21" x14ac:dyDescent="0.35">
      <c r="P7464" s="226"/>
      <c r="Q7464" s="226"/>
      <c r="R7464" s="226"/>
      <c r="S7464" s="226"/>
      <c r="T7464" s="226"/>
      <c r="U7464" s="226"/>
    </row>
    <row r="7465" spans="16:21" x14ac:dyDescent="0.35">
      <c r="P7465" s="226"/>
      <c r="Q7465" s="226"/>
      <c r="R7465" s="226"/>
      <c r="S7465" s="226"/>
      <c r="T7465" s="226"/>
      <c r="U7465" s="226"/>
    </row>
    <row r="7466" spans="16:21" x14ac:dyDescent="0.35">
      <c r="P7466" s="226"/>
      <c r="Q7466" s="226"/>
      <c r="R7466" s="226"/>
      <c r="S7466" s="226"/>
      <c r="T7466" s="226"/>
      <c r="U7466" s="226"/>
    </row>
    <row r="7467" spans="16:21" x14ac:dyDescent="0.35">
      <c r="P7467" s="226"/>
      <c r="Q7467" s="226"/>
      <c r="R7467" s="226"/>
      <c r="S7467" s="226"/>
      <c r="T7467" s="226"/>
      <c r="U7467" s="226"/>
    </row>
    <row r="7468" spans="16:21" x14ac:dyDescent="0.35">
      <c r="P7468" s="226"/>
      <c r="Q7468" s="226"/>
      <c r="R7468" s="226"/>
      <c r="S7468" s="226"/>
      <c r="T7468" s="226"/>
      <c r="U7468" s="226"/>
    </row>
    <row r="7469" spans="16:21" x14ac:dyDescent="0.35">
      <c r="P7469" s="226"/>
      <c r="Q7469" s="226"/>
      <c r="R7469" s="226"/>
      <c r="S7469" s="226"/>
      <c r="T7469" s="226"/>
      <c r="U7469" s="226"/>
    </row>
    <row r="7470" spans="16:21" x14ac:dyDescent="0.35">
      <c r="P7470" s="226"/>
      <c r="Q7470" s="226"/>
      <c r="R7470" s="226"/>
      <c r="S7470" s="226"/>
      <c r="T7470" s="226"/>
      <c r="U7470" s="226"/>
    </row>
    <row r="7471" spans="16:21" x14ac:dyDescent="0.35">
      <c r="P7471" s="226"/>
      <c r="Q7471" s="226"/>
      <c r="R7471" s="226"/>
      <c r="S7471" s="226"/>
      <c r="T7471" s="226"/>
      <c r="U7471" s="226"/>
    </row>
    <row r="7472" spans="16:21" x14ac:dyDescent="0.35">
      <c r="P7472" s="226"/>
      <c r="Q7472" s="226"/>
      <c r="R7472" s="226"/>
      <c r="S7472" s="226"/>
      <c r="T7472" s="226"/>
      <c r="U7472" s="226"/>
    </row>
    <row r="7473" spans="16:21" x14ac:dyDescent="0.35">
      <c r="P7473" s="226"/>
      <c r="Q7473" s="226"/>
      <c r="R7473" s="226"/>
      <c r="S7473" s="226"/>
      <c r="T7473" s="226"/>
      <c r="U7473" s="226"/>
    </row>
    <row r="7474" spans="16:21" x14ac:dyDescent="0.35">
      <c r="P7474" s="226"/>
      <c r="Q7474" s="226"/>
      <c r="R7474" s="226"/>
      <c r="S7474" s="226"/>
      <c r="T7474" s="226"/>
      <c r="U7474" s="226"/>
    </row>
    <row r="7475" spans="16:21" x14ac:dyDescent="0.35">
      <c r="P7475" s="226"/>
      <c r="Q7475" s="226"/>
      <c r="R7475" s="226"/>
      <c r="S7475" s="226"/>
      <c r="T7475" s="226"/>
      <c r="U7475" s="226"/>
    </row>
    <row r="7476" spans="16:21" x14ac:dyDescent="0.35">
      <c r="P7476" s="226"/>
      <c r="Q7476" s="226"/>
      <c r="R7476" s="226"/>
      <c r="S7476" s="226"/>
      <c r="T7476" s="226"/>
      <c r="U7476" s="226"/>
    </row>
    <row r="7477" spans="16:21" x14ac:dyDescent="0.35">
      <c r="P7477" s="226"/>
      <c r="Q7477" s="226"/>
      <c r="R7477" s="226"/>
      <c r="S7477" s="226"/>
      <c r="T7477" s="226"/>
      <c r="U7477" s="226"/>
    </row>
    <row r="7478" spans="16:21" x14ac:dyDescent="0.35">
      <c r="P7478" s="226"/>
      <c r="Q7478" s="226"/>
      <c r="R7478" s="226"/>
      <c r="S7478" s="226"/>
      <c r="T7478" s="226"/>
      <c r="U7478" s="226"/>
    </row>
    <row r="7479" spans="16:21" x14ac:dyDescent="0.35">
      <c r="P7479" s="226"/>
      <c r="Q7479" s="226"/>
      <c r="R7479" s="226"/>
      <c r="S7479" s="226"/>
      <c r="T7479" s="226"/>
      <c r="U7479" s="226"/>
    </row>
    <row r="7480" spans="16:21" x14ac:dyDescent="0.35">
      <c r="P7480" s="226"/>
      <c r="Q7480" s="226"/>
      <c r="R7480" s="226"/>
      <c r="S7480" s="226"/>
      <c r="T7480" s="226"/>
      <c r="U7480" s="226"/>
    </row>
    <row r="7481" spans="16:21" x14ac:dyDescent="0.35">
      <c r="P7481" s="226"/>
      <c r="Q7481" s="226"/>
      <c r="R7481" s="226"/>
      <c r="S7481" s="226"/>
      <c r="T7481" s="226"/>
      <c r="U7481" s="226"/>
    </row>
    <row r="7482" spans="16:21" x14ac:dyDescent="0.35">
      <c r="P7482" s="226"/>
      <c r="Q7482" s="226"/>
      <c r="R7482" s="226"/>
      <c r="S7482" s="226"/>
      <c r="T7482" s="226"/>
      <c r="U7482" s="226"/>
    </row>
    <row r="7483" spans="16:21" x14ac:dyDescent="0.35">
      <c r="P7483" s="226"/>
      <c r="Q7483" s="226"/>
      <c r="R7483" s="226"/>
      <c r="S7483" s="226"/>
      <c r="T7483" s="226"/>
      <c r="U7483" s="226"/>
    </row>
    <row r="7484" spans="16:21" x14ac:dyDescent="0.35">
      <c r="P7484" s="226"/>
      <c r="Q7484" s="226"/>
      <c r="R7484" s="226"/>
      <c r="S7484" s="226"/>
      <c r="T7484" s="226"/>
      <c r="U7484" s="226"/>
    </row>
    <row r="7485" spans="16:21" x14ac:dyDescent="0.35">
      <c r="P7485" s="226"/>
      <c r="Q7485" s="226"/>
      <c r="R7485" s="226"/>
      <c r="S7485" s="226"/>
      <c r="T7485" s="226"/>
      <c r="U7485" s="226"/>
    </row>
    <row r="7486" spans="16:21" x14ac:dyDescent="0.35">
      <c r="P7486" s="226"/>
      <c r="Q7486" s="226"/>
      <c r="R7486" s="226"/>
      <c r="S7486" s="226"/>
      <c r="T7486" s="226"/>
      <c r="U7486" s="226"/>
    </row>
    <row r="7487" spans="16:21" x14ac:dyDescent="0.35">
      <c r="P7487" s="226"/>
      <c r="Q7487" s="226"/>
      <c r="R7487" s="226"/>
      <c r="S7487" s="226"/>
      <c r="T7487" s="226"/>
      <c r="U7487" s="226"/>
    </row>
    <row r="7488" spans="16:21" x14ac:dyDescent="0.35">
      <c r="P7488" s="226"/>
      <c r="Q7488" s="226"/>
      <c r="R7488" s="226"/>
      <c r="S7488" s="226"/>
      <c r="T7488" s="226"/>
      <c r="U7488" s="226"/>
    </row>
    <row r="7489" spans="16:21" x14ac:dyDescent="0.35">
      <c r="P7489" s="226"/>
      <c r="Q7489" s="226"/>
      <c r="R7489" s="226"/>
      <c r="S7489" s="226"/>
      <c r="T7489" s="226"/>
      <c r="U7489" s="226"/>
    </row>
    <row r="7490" spans="16:21" x14ac:dyDescent="0.35">
      <c r="P7490" s="226"/>
      <c r="Q7490" s="226"/>
      <c r="R7490" s="226"/>
      <c r="S7490" s="226"/>
      <c r="T7490" s="226"/>
      <c r="U7490" s="226"/>
    </row>
    <row r="7491" spans="16:21" x14ac:dyDescent="0.35">
      <c r="P7491" s="226"/>
      <c r="Q7491" s="226"/>
      <c r="R7491" s="226"/>
      <c r="S7491" s="226"/>
      <c r="T7491" s="226"/>
      <c r="U7491" s="226"/>
    </row>
    <row r="7492" spans="16:21" x14ac:dyDescent="0.35">
      <c r="P7492" s="226"/>
      <c r="Q7492" s="226"/>
      <c r="R7492" s="226"/>
      <c r="S7492" s="226"/>
      <c r="T7492" s="226"/>
      <c r="U7492" s="226"/>
    </row>
    <row r="7493" spans="16:21" x14ac:dyDescent="0.35">
      <c r="P7493" s="226"/>
      <c r="Q7493" s="226"/>
      <c r="R7493" s="226"/>
      <c r="S7493" s="226"/>
      <c r="T7493" s="226"/>
      <c r="U7493" s="226"/>
    </row>
    <row r="7494" spans="16:21" x14ac:dyDescent="0.35">
      <c r="P7494" s="226"/>
      <c r="Q7494" s="226"/>
      <c r="R7494" s="226"/>
      <c r="S7494" s="226"/>
      <c r="T7494" s="226"/>
      <c r="U7494" s="226"/>
    </row>
    <row r="7495" spans="16:21" x14ac:dyDescent="0.35">
      <c r="P7495" s="226"/>
      <c r="Q7495" s="226"/>
      <c r="R7495" s="226"/>
      <c r="S7495" s="226"/>
      <c r="T7495" s="226"/>
      <c r="U7495" s="226"/>
    </row>
    <row r="7496" spans="16:21" x14ac:dyDescent="0.35">
      <c r="P7496" s="226"/>
      <c r="Q7496" s="226"/>
      <c r="R7496" s="226"/>
      <c r="S7496" s="226"/>
      <c r="T7496" s="226"/>
      <c r="U7496" s="226"/>
    </row>
    <row r="7497" spans="16:21" x14ac:dyDescent="0.35">
      <c r="P7497" s="226"/>
      <c r="Q7497" s="226"/>
      <c r="R7497" s="226"/>
      <c r="S7497" s="226"/>
      <c r="T7497" s="226"/>
      <c r="U7497" s="226"/>
    </row>
    <row r="7498" spans="16:21" x14ac:dyDescent="0.35">
      <c r="P7498" s="226"/>
      <c r="Q7498" s="226"/>
      <c r="R7498" s="226"/>
      <c r="S7498" s="226"/>
      <c r="T7498" s="226"/>
      <c r="U7498" s="226"/>
    </row>
    <row r="7499" spans="16:21" x14ac:dyDescent="0.35">
      <c r="P7499" s="226"/>
      <c r="Q7499" s="226"/>
      <c r="R7499" s="226"/>
      <c r="S7499" s="226"/>
      <c r="T7499" s="226"/>
      <c r="U7499" s="226"/>
    </row>
    <row r="7500" spans="16:21" x14ac:dyDescent="0.35">
      <c r="P7500" s="226"/>
      <c r="Q7500" s="226"/>
      <c r="R7500" s="226"/>
      <c r="S7500" s="226"/>
      <c r="T7500" s="226"/>
      <c r="U7500" s="226"/>
    </row>
    <row r="7501" spans="16:21" x14ac:dyDescent="0.35">
      <c r="P7501" s="226"/>
      <c r="Q7501" s="226"/>
      <c r="R7501" s="226"/>
      <c r="S7501" s="226"/>
      <c r="T7501" s="226"/>
      <c r="U7501" s="226"/>
    </row>
    <row r="7502" spans="16:21" x14ac:dyDescent="0.35">
      <c r="P7502" s="226"/>
      <c r="Q7502" s="226"/>
      <c r="R7502" s="226"/>
      <c r="S7502" s="226"/>
      <c r="T7502" s="226"/>
      <c r="U7502" s="226"/>
    </row>
    <row r="7503" spans="16:21" x14ac:dyDescent="0.35">
      <c r="P7503" s="226"/>
      <c r="Q7503" s="226"/>
      <c r="R7503" s="226"/>
      <c r="S7503" s="226"/>
      <c r="T7503" s="226"/>
      <c r="U7503" s="226"/>
    </row>
    <row r="7504" spans="16:21" x14ac:dyDescent="0.35">
      <c r="P7504" s="226"/>
      <c r="Q7504" s="226"/>
      <c r="R7504" s="226"/>
      <c r="S7504" s="226"/>
      <c r="T7504" s="226"/>
      <c r="U7504" s="226"/>
    </row>
    <row r="7505" spans="16:21" x14ac:dyDescent="0.35">
      <c r="P7505" s="226"/>
      <c r="Q7505" s="226"/>
      <c r="R7505" s="226"/>
      <c r="S7505" s="226"/>
      <c r="T7505" s="226"/>
      <c r="U7505" s="226"/>
    </row>
    <row r="7506" spans="16:21" x14ac:dyDescent="0.35">
      <c r="P7506" s="226"/>
      <c r="Q7506" s="226"/>
      <c r="R7506" s="226"/>
      <c r="S7506" s="226"/>
      <c r="T7506" s="226"/>
      <c r="U7506" s="226"/>
    </row>
    <row r="7507" spans="16:21" x14ac:dyDescent="0.35">
      <c r="P7507" s="226"/>
      <c r="Q7507" s="226"/>
      <c r="R7507" s="226"/>
      <c r="S7507" s="226"/>
      <c r="T7507" s="226"/>
      <c r="U7507" s="226"/>
    </row>
    <row r="7508" spans="16:21" x14ac:dyDescent="0.35">
      <c r="P7508" s="226"/>
      <c r="Q7508" s="226"/>
      <c r="R7508" s="226"/>
      <c r="S7508" s="226"/>
      <c r="T7508" s="226"/>
      <c r="U7508" s="226"/>
    </row>
    <row r="7509" spans="16:21" x14ac:dyDescent="0.35">
      <c r="P7509" s="226"/>
      <c r="Q7509" s="226"/>
      <c r="R7509" s="226"/>
      <c r="S7509" s="226"/>
      <c r="T7509" s="226"/>
      <c r="U7509" s="226"/>
    </row>
    <row r="7510" spans="16:21" x14ac:dyDescent="0.35">
      <c r="P7510" s="226"/>
      <c r="Q7510" s="226"/>
      <c r="R7510" s="226"/>
      <c r="S7510" s="226"/>
      <c r="T7510" s="226"/>
      <c r="U7510" s="226"/>
    </row>
    <row r="7511" spans="16:21" x14ac:dyDescent="0.35">
      <c r="P7511" s="226"/>
      <c r="Q7511" s="226"/>
      <c r="R7511" s="226"/>
      <c r="S7511" s="226"/>
      <c r="T7511" s="226"/>
      <c r="U7511" s="226"/>
    </row>
    <row r="7512" spans="16:21" x14ac:dyDescent="0.35">
      <c r="P7512" s="226"/>
      <c r="Q7512" s="226"/>
      <c r="R7512" s="226"/>
      <c r="S7512" s="226"/>
      <c r="T7512" s="226"/>
      <c r="U7512" s="226"/>
    </row>
    <row r="7513" spans="16:21" x14ac:dyDescent="0.35">
      <c r="P7513" s="226"/>
      <c r="Q7513" s="226"/>
      <c r="R7513" s="226"/>
      <c r="S7513" s="226"/>
      <c r="T7513" s="226"/>
      <c r="U7513" s="226"/>
    </row>
    <row r="7514" spans="16:21" x14ac:dyDescent="0.35">
      <c r="P7514" s="226"/>
      <c r="Q7514" s="226"/>
      <c r="R7514" s="226"/>
      <c r="S7514" s="226"/>
      <c r="T7514" s="226"/>
      <c r="U7514" s="226"/>
    </row>
    <row r="7515" spans="16:21" x14ac:dyDescent="0.35">
      <c r="P7515" s="226"/>
      <c r="Q7515" s="226"/>
      <c r="R7515" s="226"/>
      <c r="S7515" s="226"/>
      <c r="T7515" s="226"/>
      <c r="U7515" s="226"/>
    </row>
    <row r="7516" spans="16:21" x14ac:dyDescent="0.35">
      <c r="P7516" s="226"/>
      <c r="Q7516" s="226"/>
      <c r="R7516" s="226"/>
      <c r="S7516" s="226"/>
      <c r="T7516" s="226"/>
      <c r="U7516" s="226"/>
    </row>
    <row r="7517" spans="16:21" x14ac:dyDescent="0.35">
      <c r="P7517" s="226"/>
      <c r="Q7517" s="226"/>
      <c r="R7517" s="226"/>
      <c r="S7517" s="226"/>
      <c r="T7517" s="226"/>
      <c r="U7517" s="226"/>
    </row>
    <row r="7518" spans="16:21" x14ac:dyDescent="0.35">
      <c r="P7518" s="226"/>
      <c r="Q7518" s="226"/>
      <c r="R7518" s="226"/>
      <c r="S7518" s="226"/>
      <c r="T7518" s="226"/>
      <c r="U7518" s="226"/>
    </row>
    <row r="7519" spans="16:21" x14ac:dyDescent="0.35">
      <c r="P7519" s="226"/>
      <c r="Q7519" s="226"/>
      <c r="R7519" s="226"/>
      <c r="S7519" s="226"/>
      <c r="T7519" s="226"/>
      <c r="U7519" s="226"/>
    </row>
    <row r="7520" spans="16:21" x14ac:dyDescent="0.35">
      <c r="P7520" s="226"/>
      <c r="Q7520" s="226"/>
      <c r="R7520" s="226"/>
      <c r="S7520" s="226"/>
      <c r="T7520" s="226"/>
      <c r="U7520" s="226"/>
    </row>
    <row r="7521" spans="16:21" x14ac:dyDescent="0.35">
      <c r="P7521" s="226"/>
      <c r="Q7521" s="226"/>
      <c r="R7521" s="226"/>
      <c r="S7521" s="226"/>
      <c r="T7521" s="226"/>
      <c r="U7521" s="226"/>
    </row>
    <row r="7522" spans="16:21" x14ac:dyDescent="0.35">
      <c r="P7522" s="226"/>
      <c r="Q7522" s="226"/>
      <c r="R7522" s="226"/>
      <c r="S7522" s="226"/>
      <c r="T7522" s="226"/>
      <c r="U7522" s="226"/>
    </row>
    <row r="7523" spans="16:21" x14ac:dyDescent="0.35">
      <c r="P7523" s="226"/>
      <c r="Q7523" s="226"/>
      <c r="R7523" s="226"/>
      <c r="S7523" s="226"/>
      <c r="T7523" s="226"/>
      <c r="U7523" s="226"/>
    </row>
    <row r="7524" spans="16:21" x14ac:dyDescent="0.35">
      <c r="P7524" s="226"/>
      <c r="Q7524" s="226"/>
      <c r="R7524" s="226"/>
      <c r="S7524" s="226"/>
      <c r="T7524" s="226"/>
      <c r="U7524" s="226"/>
    </row>
    <row r="7525" spans="16:21" x14ac:dyDescent="0.35">
      <c r="P7525" s="226"/>
      <c r="Q7525" s="226"/>
      <c r="R7525" s="226"/>
      <c r="S7525" s="226"/>
      <c r="T7525" s="226"/>
      <c r="U7525" s="226"/>
    </row>
    <row r="7526" spans="16:21" x14ac:dyDescent="0.35">
      <c r="P7526" s="226"/>
      <c r="Q7526" s="226"/>
      <c r="R7526" s="226"/>
      <c r="S7526" s="226"/>
      <c r="T7526" s="226"/>
      <c r="U7526" s="226"/>
    </row>
    <row r="7527" spans="16:21" x14ac:dyDescent="0.35">
      <c r="P7527" s="226"/>
      <c r="Q7527" s="226"/>
      <c r="R7527" s="226"/>
      <c r="S7527" s="226"/>
      <c r="T7527" s="226"/>
      <c r="U7527" s="226"/>
    </row>
    <row r="7528" spans="16:21" x14ac:dyDescent="0.35">
      <c r="P7528" s="226"/>
      <c r="Q7528" s="226"/>
      <c r="R7528" s="226"/>
      <c r="S7528" s="226"/>
      <c r="T7528" s="226"/>
      <c r="U7528" s="226"/>
    </row>
    <row r="7529" spans="16:21" x14ac:dyDescent="0.35">
      <c r="P7529" s="226"/>
      <c r="Q7529" s="226"/>
      <c r="R7529" s="226"/>
      <c r="S7529" s="226"/>
      <c r="T7529" s="226"/>
      <c r="U7529" s="226"/>
    </row>
    <row r="7530" spans="16:21" x14ac:dyDescent="0.35">
      <c r="P7530" s="226"/>
      <c r="Q7530" s="226"/>
      <c r="R7530" s="226"/>
      <c r="S7530" s="226"/>
      <c r="T7530" s="226"/>
      <c r="U7530" s="226"/>
    </row>
    <row r="7531" spans="16:21" x14ac:dyDescent="0.35">
      <c r="P7531" s="226"/>
      <c r="Q7531" s="226"/>
      <c r="R7531" s="226"/>
      <c r="S7531" s="226"/>
      <c r="T7531" s="226"/>
      <c r="U7531" s="226"/>
    </row>
    <row r="7532" spans="16:21" x14ac:dyDescent="0.35">
      <c r="P7532" s="226"/>
      <c r="Q7532" s="226"/>
      <c r="R7532" s="226"/>
      <c r="S7532" s="226"/>
      <c r="T7532" s="226"/>
      <c r="U7532" s="226"/>
    </row>
    <row r="7533" spans="16:21" x14ac:dyDescent="0.35">
      <c r="P7533" s="226"/>
      <c r="Q7533" s="226"/>
      <c r="R7533" s="226"/>
      <c r="S7533" s="226"/>
      <c r="T7533" s="226"/>
      <c r="U7533" s="226"/>
    </row>
    <row r="7534" spans="16:21" x14ac:dyDescent="0.35">
      <c r="P7534" s="226"/>
      <c r="Q7534" s="226"/>
      <c r="R7534" s="226"/>
      <c r="S7534" s="226"/>
      <c r="T7534" s="226"/>
      <c r="U7534" s="226"/>
    </row>
    <row r="7535" spans="16:21" x14ac:dyDescent="0.35">
      <c r="P7535" s="226"/>
      <c r="Q7535" s="226"/>
      <c r="R7535" s="226"/>
      <c r="S7535" s="226"/>
      <c r="T7535" s="226"/>
      <c r="U7535" s="226"/>
    </row>
    <row r="7536" spans="16:21" x14ac:dyDescent="0.35">
      <c r="P7536" s="226"/>
      <c r="Q7536" s="226"/>
      <c r="R7536" s="226"/>
      <c r="S7536" s="226"/>
      <c r="T7536" s="226"/>
      <c r="U7536" s="226"/>
    </row>
    <row r="7537" spans="16:21" x14ac:dyDescent="0.35">
      <c r="P7537" s="226"/>
      <c r="Q7537" s="226"/>
      <c r="R7537" s="226"/>
      <c r="S7537" s="226"/>
      <c r="T7537" s="226"/>
      <c r="U7537" s="226"/>
    </row>
    <row r="7538" spans="16:21" x14ac:dyDescent="0.35">
      <c r="P7538" s="226"/>
      <c r="Q7538" s="226"/>
      <c r="R7538" s="226"/>
      <c r="S7538" s="226"/>
      <c r="T7538" s="226"/>
      <c r="U7538" s="226"/>
    </row>
    <row r="7539" spans="16:21" x14ac:dyDescent="0.35">
      <c r="P7539" s="226"/>
      <c r="Q7539" s="226"/>
      <c r="R7539" s="226"/>
      <c r="S7539" s="226"/>
      <c r="T7539" s="226"/>
      <c r="U7539" s="226"/>
    </row>
    <row r="7540" spans="16:21" x14ac:dyDescent="0.35">
      <c r="P7540" s="226"/>
      <c r="Q7540" s="226"/>
      <c r="R7540" s="226"/>
      <c r="S7540" s="226"/>
      <c r="T7540" s="226"/>
      <c r="U7540" s="226"/>
    </row>
    <row r="7541" spans="16:21" x14ac:dyDescent="0.35">
      <c r="P7541" s="226"/>
      <c r="Q7541" s="226"/>
      <c r="R7541" s="226"/>
      <c r="S7541" s="226"/>
      <c r="T7541" s="226"/>
      <c r="U7541" s="226"/>
    </row>
    <row r="7542" spans="16:21" x14ac:dyDescent="0.35">
      <c r="P7542" s="226"/>
      <c r="Q7542" s="226"/>
      <c r="R7542" s="226"/>
      <c r="S7542" s="226"/>
      <c r="T7542" s="226"/>
      <c r="U7542" s="226"/>
    </row>
    <row r="7543" spans="16:21" x14ac:dyDescent="0.35">
      <c r="P7543" s="226"/>
      <c r="Q7543" s="226"/>
      <c r="R7543" s="226"/>
      <c r="S7543" s="226"/>
      <c r="T7543" s="226"/>
      <c r="U7543" s="226"/>
    </row>
    <row r="7544" spans="16:21" x14ac:dyDescent="0.35">
      <c r="P7544" s="226"/>
      <c r="Q7544" s="226"/>
      <c r="R7544" s="226"/>
      <c r="S7544" s="226"/>
      <c r="T7544" s="226"/>
      <c r="U7544" s="226"/>
    </row>
    <row r="7545" spans="16:21" x14ac:dyDescent="0.35">
      <c r="P7545" s="226"/>
      <c r="Q7545" s="226"/>
      <c r="R7545" s="226"/>
      <c r="S7545" s="226"/>
      <c r="T7545" s="226"/>
      <c r="U7545" s="226"/>
    </row>
    <row r="7546" spans="16:21" x14ac:dyDescent="0.35">
      <c r="P7546" s="226"/>
      <c r="Q7546" s="226"/>
      <c r="R7546" s="226"/>
      <c r="S7546" s="226"/>
      <c r="T7546" s="226"/>
      <c r="U7546" s="226"/>
    </row>
    <row r="7547" spans="16:21" x14ac:dyDescent="0.35">
      <c r="P7547" s="226"/>
      <c r="Q7547" s="226"/>
      <c r="R7547" s="226"/>
      <c r="S7547" s="226"/>
      <c r="T7547" s="226"/>
      <c r="U7547" s="226"/>
    </row>
    <row r="7548" spans="16:21" x14ac:dyDescent="0.35">
      <c r="P7548" s="226"/>
      <c r="Q7548" s="226"/>
      <c r="R7548" s="226"/>
      <c r="S7548" s="226"/>
      <c r="T7548" s="226"/>
      <c r="U7548" s="226"/>
    </row>
    <row r="7549" spans="16:21" x14ac:dyDescent="0.35">
      <c r="P7549" s="226"/>
      <c r="Q7549" s="226"/>
      <c r="R7549" s="226"/>
      <c r="S7549" s="226"/>
      <c r="T7549" s="226"/>
      <c r="U7549" s="226"/>
    </row>
    <row r="7550" spans="16:21" x14ac:dyDescent="0.35">
      <c r="P7550" s="226"/>
      <c r="Q7550" s="226"/>
      <c r="R7550" s="226"/>
      <c r="S7550" s="226"/>
      <c r="T7550" s="226"/>
      <c r="U7550" s="226"/>
    </row>
    <row r="7551" spans="16:21" x14ac:dyDescent="0.35">
      <c r="P7551" s="226"/>
      <c r="Q7551" s="226"/>
      <c r="R7551" s="226"/>
      <c r="S7551" s="226"/>
      <c r="T7551" s="226"/>
      <c r="U7551" s="226"/>
    </row>
    <row r="7552" spans="16:21" x14ac:dyDescent="0.35">
      <c r="P7552" s="226"/>
      <c r="Q7552" s="226"/>
      <c r="R7552" s="226"/>
      <c r="S7552" s="226"/>
      <c r="T7552" s="226"/>
      <c r="U7552" s="226"/>
    </row>
    <row r="7553" spans="16:21" x14ac:dyDescent="0.35">
      <c r="P7553" s="226"/>
      <c r="Q7553" s="226"/>
      <c r="R7553" s="226"/>
      <c r="S7553" s="226"/>
      <c r="T7553" s="226"/>
      <c r="U7553" s="226"/>
    </row>
    <row r="7554" spans="16:21" x14ac:dyDescent="0.35">
      <c r="P7554" s="226"/>
      <c r="Q7554" s="226"/>
      <c r="R7554" s="226"/>
      <c r="S7554" s="226"/>
      <c r="T7554" s="226"/>
      <c r="U7554" s="226"/>
    </row>
    <row r="7555" spans="16:21" x14ac:dyDescent="0.35">
      <c r="P7555" s="226"/>
      <c r="Q7555" s="226"/>
      <c r="R7555" s="226"/>
      <c r="S7555" s="226"/>
      <c r="T7555" s="226"/>
      <c r="U7555" s="226"/>
    </row>
    <row r="7556" spans="16:21" x14ac:dyDescent="0.35">
      <c r="P7556" s="226"/>
      <c r="Q7556" s="226"/>
      <c r="R7556" s="226"/>
      <c r="S7556" s="226"/>
      <c r="T7556" s="226"/>
      <c r="U7556" s="226"/>
    </row>
    <row r="7557" spans="16:21" x14ac:dyDescent="0.35">
      <c r="P7557" s="226"/>
      <c r="Q7557" s="226"/>
      <c r="R7557" s="226"/>
      <c r="S7557" s="226"/>
      <c r="T7557" s="226"/>
      <c r="U7557" s="226"/>
    </row>
    <row r="7558" spans="16:21" x14ac:dyDescent="0.35">
      <c r="P7558" s="226"/>
      <c r="Q7558" s="226"/>
      <c r="R7558" s="226"/>
      <c r="S7558" s="226"/>
      <c r="T7558" s="226"/>
      <c r="U7558" s="226"/>
    </row>
    <row r="7559" spans="16:21" x14ac:dyDescent="0.35">
      <c r="P7559" s="226"/>
      <c r="Q7559" s="226"/>
      <c r="R7559" s="226"/>
      <c r="S7559" s="226"/>
      <c r="T7559" s="226"/>
      <c r="U7559" s="226"/>
    </row>
    <row r="7560" spans="16:21" x14ac:dyDescent="0.35">
      <c r="P7560" s="226"/>
      <c r="Q7560" s="226"/>
      <c r="R7560" s="226"/>
      <c r="S7560" s="226"/>
      <c r="T7560" s="226"/>
      <c r="U7560" s="226"/>
    </row>
    <row r="7561" spans="16:21" x14ac:dyDescent="0.35">
      <c r="P7561" s="226"/>
      <c r="Q7561" s="226"/>
      <c r="R7561" s="226"/>
      <c r="S7561" s="226"/>
      <c r="T7561" s="226"/>
      <c r="U7561" s="226"/>
    </row>
    <row r="7562" spans="16:21" x14ac:dyDescent="0.35">
      <c r="P7562" s="226"/>
      <c r="Q7562" s="226"/>
      <c r="R7562" s="226"/>
      <c r="S7562" s="226"/>
      <c r="T7562" s="226"/>
      <c r="U7562" s="226"/>
    </row>
    <row r="7563" spans="16:21" x14ac:dyDescent="0.35">
      <c r="P7563" s="226"/>
      <c r="Q7563" s="226"/>
      <c r="R7563" s="226"/>
      <c r="S7563" s="226"/>
      <c r="T7563" s="226"/>
      <c r="U7563" s="226"/>
    </row>
    <row r="7564" spans="16:21" x14ac:dyDescent="0.35">
      <c r="P7564" s="226"/>
      <c r="Q7564" s="226"/>
      <c r="R7564" s="226"/>
      <c r="S7564" s="226"/>
      <c r="T7564" s="226"/>
      <c r="U7564" s="226"/>
    </row>
    <row r="7565" spans="16:21" x14ac:dyDescent="0.35">
      <c r="P7565" s="226"/>
      <c r="Q7565" s="226"/>
      <c r="R7565" s="226"/>
      <c r="S7565" s="226"/>
      <c r="T7565" s="226"/>
      <c r="U7565" s="226"/>
    </row>
    <row r="7566" spans="16:21" x14ac:dyDescent="0.35">
      <c r="P7566" s="226"/>
      <c r="Q7566" s="226"/>
      <c r="R7566" s="226"/>
      <c r="S7566" s="226"/>
      <c r="T7566" s="226"/>
      <c r="U7566" s="226"/>
    </row>
    <row r="7567" spans="16:21" x14ac:dyDescent="0.35">
      <c r="P7567" s="226"/>
      <c r="Q7567" s="226"/>
      <c r="R7567" s="226"/>
      <c r="S7567" s="226"/>
      <c r="T7567" s="226"/>
      <c r="U7567" s="226"/>
    </row>
    <row r="7568" spans="16:21" x14ac:dyDescent="0.35">
      <c r="P7568" s="226"/>
      <c r="Q7568" s="226"/>
      <c r="R7568" s="226"/>
      <c r="S7568" s="226"/>
      <c r="T7568" s="226"/>
      <c r="U7568" s="226"/>
    </row>
    <row r="7569" spans="16:21" x14ac:dyDescent="0.35">
      <c r="P7569" s="226"/>
      <c r="Q7569" s="226"/>
      <c r="R7569" s="226"/>
      <c r="S7569" s="226"/>
      <c r="T7569" s="226"/>
      <c r="U7569" s="226"/>
    </row>
    <row r="7570" spans="16:21" x14ac:dyDescent="0.35">
      <c r="P7570" s="226"/>
      <c r="Q7570" s="226"/>
      <c r="R7570" s="226"/>
      <c r="S7570" s="226"/>
      <c r="T7570" s="226"/>
      <c r="U7570" s="226"/>
    </row>
    <row r="7571" spans="16:21" x14ac:dyDescent="0.35">
      <c r="P7571" s="226"/>
      <c r="Q7571" s="226"/>
      <c r="R7571" s="226"/>
      <c r="S7571" s="226"/>
      <c r="T7571" s="226"/>
      <c r="U7571" s="226"/>
    </row>
    <row r="7572" spans="16:21" x14ac:dyDescent="0.35">
      <c r="P7572" s="226"/>
      <c r="Q7572" s="226"/>
      <c r="R7572" s="226"/>
      <c r="S7572" s="226"/>
      <c r="T7572" s="226"/>
      <c r="U7572" s="226"/>
    </row>
    <row r="7573" spans="16:21" x14ac:dyDescent="0.35">
      <c r="P7573" s="226"/>
      <c r="Q7573" s="226"/>
      <c r="R7573" s="226"/>
      <c r="S7573" s="226"/>
      <c r="T7573" s="226"/>
      <c r="U7573" s="226"/>
    </row>
    <row r="7574" spans="16:21" x14ac:dyDescent="0.35">
      <c r="P7574" s="226"/>
      <c r="Q7574" s="226"/>
      <c r="R7574" s="226"/>
      <c r="S7574" s="226"/>
      <c r="T7574" s="226"/>
      <c r="U7574" s="226"/>
    </row>
    <row r="7575" spans="16:21" x14ac:dyDescent="0.35">
      <c r="P7575" s="226"/>
      <c r="Q7575" s="226"/>
      <c r="R7575" s="226"/>
      <c r="S7575" s="226"/>
      <c r="T7575" s="226"/>
      <c r="U7575" s="226"/>
    </row>
    <row r="7576" spans="16:21" x14ac:dyDescent="0.35">
      <c r="P7576" s="226"/>
      <c r="Q7576" s="226"/>
      <c r="R7576" s="226"/>
      <c r="S7576" s="226"/>
      <c r="T7576" s="226"/>
      <c r="U7576" s="226"/>
    </row>
    <row r="7577" spans="16:21" x14ac:dyDescent="0.35">
      <c r="P7577" s="226"/>
      <c r="Q7577" s="226"/>
      <c r="R7577" s="226"/>
      <c r="S7577" s="226"/>
      <c r="T7577" s="226"/>
      <c r="U7577" s="226"/>
    </row>
    <row r="7578" spans="16:21" x14ac:dyDescent="0.35">
      <c r="P7578" s="226"/>
      <c r="Q7578" s="226"/>
      <c r="R7578" s="226"/>
      <c r="S7578" s="226"/>
      <c r="T7578" s="226"/>
      <c r="U7578" s="226"/>
    </row>
    <row r="7579" spans="16:21" x14ac:dyDescent="0.35">
      <c r="P7579" s="226"/>
      <c r="Q7579" s="226"/>
      <c r="R7579" s="226"/>
      <c r="S7579" s="226"/>
      <c r="T7579" s="226"/>
      <c r="U7579" s="226"/>
    </row>
    <row r="7580" spans="16:21" x14ac:dyDescent="0.35">
      <c r="P7580" s="226"/>
      <c r="Q7580" s="226"/>
      <c r="R7580" s="226"/>
      <c r="S7580" s="226"/>
      <c r="T7580" s="226"/>
      <c r="U7580" s="226"/>
    </row>
    <row r="7581" spans="16:21" x14ac:dyDescent="0.35">
      <c r="P7581" s="226"/>
      <c r="Q7581" s="226"/>
      <c r="R7581" s="226"/>
      <c r="S7581" s="226"/>
      <c r="T7581" s="226"/>
      <c r="U7581" s="226"/>
    </row>
    <row r="7582" spans="16:21" x14ac:dyDescent="0.35">
      <c r="P7582" s="226"/>
      <c r="Q7582" s="226"/>
      <c r="R7582" s="226"/>
      <c r="S7582" s="226"/>
      <c r="T7582" s="226"/>
      <c r="U7582" s="226"/>
    </row>
    <row r="7583" spans="16:21" x14ac:dyDescent="0.35">
      <c r="P7583" s="226"/>
      <c r="Q7583" s="226"/>
      <c r="R7583" s="226"/>
      <c r="S7583" s="226"/>
      <c r="T7583" s="226"/>
      <c r="U7583" s="226"/>
    </row>
    <row r="7584" spans="16:21" x14ac:dyDescent="0.35">
      <c r="P7584" s="226"/>
      <c r="Q7584" s="226"/>
      <c r="R7584" s="226"/>
      <c r="S7584" s="226"/>
      <c r="T7584" s="226"/>
      <c r="U7584" s="226"/>
    </row>
    <row r="7585" spans="16:21" x14ac:dyDescent="0.35">
      <c r="P7585" s="226"/>
      <c r="Q7585" s="226"/>
      <c r="R7585" s="226"/>
      <c r="S7585" s="226"/>
      <c r="T7585" s="226"/>
      <c r="U7585" s="226"/>
    </row>
    <row r="7586" spans="16:21" x14ac:dyDescent="0.35">
      <c r="P7586" s="226"/>
      <c r="Q7586" s="226"/>
      <c r="R7586" s="226"/>
      <c r="S7586" s="226"/>
      <c r="T7586" s="226"/>
      <c r="U7586" s="226"/>
    </row>
    <row r="7587" spans="16:21" x14ac:dyDescent="0.35">
      <c r="P7587" s="226"/>
      <c r="Q7587" s="226"/>
      <c r="R7587" s="226"/>
      <c r="S7587" s="226"/>
      <c r="T7587" s="226"/>
      <c r="U7587" s="226"/>
    </row>
    <row r="7588" spans="16:21" x14ac:dyDescent="0.35">
      <c r="P7588" s="226"/>
      <c r="Q7588" s="226"/>
      <c r="R7588" s="226"/>
      <c r="S7588" s="226"/>
      <c r="T7588" s="226"/>
      <c r="U7588" s="226"/>
    </row>
    <row r="7589" spans="16:21" x14ac:dyDescent="0.35">
      <c r="P7589" s="226"/>
      <c r="Q7589" s="226"/>
      <c r="R7589" s="226"/>
      <c r="S7589" s="226"/>
      <c r="T7589" s="226"/>
      <c r="U7589" s="226"/>
    </row>
    <row r="7590" spans="16:21" x14ac:dyDescent="0.35">
      <c r="P7590" s="226"/>
      <c r="Q7590" s="226"/>
      <c r="R7590" s="226"/>
      <c r="S7590" s="226"/>
      <c r="T7590" s="226"/>
      <c r="U7590" s="226"/>
    </row>
    <row r="7591" spans="16:21" x14ac:dyDescent="0.35">
      <c r="P7591" s="226"/>
      <c r="Q7591" s="226"/>
      <c r="R7591" s="226"/>
      <c r="S7591" s="226"/>
      <c r="T7591" s="226"/>
      <c r="U7591" s="226"/>
    </row>
    <row r="7592" spans="16:21" x14ac:dyDescent="0.35">
      <c r="P7592" s="226"/>
      <c r="Q7592" s="226"/>
      <c r="R7592" s="226"/>
      <c r="S7592" s="226"/>
      <c r="T7592" s="226"/>
      <c r="U7592" s="226"/>
    </row>
    <row r="7593" spans="16:21" x14ac:dyDescent="0.35">
      <c r="P7593" s="226"/>
      <c r="Q7593" s="226"/>
      <c r="R7593" s="226"/>
      <c r="S7593" s="226"/>
      <c r="T7593" s="226"/>
      <c r="U7593" s="226"/>
    </row>
    <row r="7594" spans="16:21" x14ac:dyDescent="0.35">
      <c r="P7594" s="226"/>
      <c r="Q7594" s="226"/>
      <c r="R7594" s="226"/>
      <c r="S7594" s="226"/>
      <c r="T7594" s="226"/>
      <c r="U7594" s="226"/>
    </row>
    <row r="7595" spans="16:21" x14ac:dyDescent="0.35">
      <c r="P7595" s="226"/>
      <c r="Q7595" s="226"/>
      <c r="R7595" s="226"/>
      <c r="S7595" s="226"/>
      <c r="T7595" s="226"/>
      <c r="U7595" s="226"/>
    </row>
    <row r="7596" spans="16:21" x14ac:dyDescent="0.35">
      <c r="P7596" s="226"/>
      <c r="Q7596" s="226"/>
      <c r="R7596" s="226"/>
      <c r="S7596" s="226"/>
      <c r="T7596" s="226"/>
      <c r="U7596" s="226"/>
    </row>
    <row r="7597" spans="16:21" x14ac:dyDescent="0.35">
      <c r="P7597" s="226"/>
      <c r="Q7597" s="226"/>
      <c r="R7597" s="226"/>
      <c r="S7597" s="226"/>
      <c r="T7597" s="226"/>
      <c r="U7597" s="226"/>
    </row>
    <row r="7598" spans="16:21" x14ac:dyDescent="0.35">
      <c r="P7598" s="226"/>
      <c r="Q7598" s="226"/>
      <c r="R7598" s="226"/>
      <c r="S7598" s="226"/>
      <c r="T7598" s="226"/>
      <c r="U7598" s="226"/>
    </row>
    <row r="7599" spans="16:21" x14ac:dyDescent="0.35">
      <c r="P7599" s="226"/>
      <c r="Q7599" s="226"/>
      <c r="R7599" s="226"/>
      <c r="S7599" s="226"/>
      <c r="T7599" s="226"/>
      <c r="U7599" s="226"/>
    </row>
    <row r="7600" spans="16:21" x14ac:dyDescent="0.35">
      <c r="P7600" s="226"/>
      <c r="Q7600" s="226"/>
      <c r="R7600" s="226"/>
      <c r="S7600" s="226"/>
      <c r="T7600" s="226"/>
      <c r="U7600" s="226"/>
    </row>
    <row r="7601" spans="16:21" x14ac:dyDescent="0.35">
      <c r="P7601" s="226"/>
      <c r="Q7601" s="226"/>
      <c r="R7601" s="226"/>
      <c r="S7601" s="226"/>
      <c r="T7601" s="226"/>
      <c r="U7601" s="226"/>
    </row>
    <row r="7602" spans="16:21" x14ac:dyDescent="0.35">
      <c r="P7602" s="226"/>
      <c r="Q7602" s="226"/>
      <c r="R7602" s="226"/>
      <c r="S7602" s="226"/>
      <c r="T7602" s="226"/>
      <c r="U7602" s="226"/>
    </row>
    <row r="7603" spans="16:21" x14ac:dyDescent="0.35">
      <c r="P7603" s="226"/>
      <c r="Q7603" s="226"/>
      <c r="R7603" s="226"/>
      <c r="S7603" s="226"/>
      <c r="T7603" s="226"/>
      <c r="U7603" s="226"/>
    </row>
    <row r="7604" spans="16:21" x14ac:dyDescent="0.35">
      <c r="P7604" s="226"/>
      <c r="Q7604" s="226"/>
      <c r="R7604" s="226"/>
      <c r="S7604" s="226"/>
      <c r="T7604" s="226"/>
      <c r="U7604" s="226"/>
    </row>
    <row r="7605" spans="16:21" x14ac:dyDescent="0.35">
      <c r="P7605" s="226"/>
      <c r="Q7605" s="226"/>
      <c r="R7605" s="226"/>
      <c r="S7605" s="226"/>
      <c r="T7605" s="226"/>
      <c r="U7605" s="226"/>
    </row>
    <row r="7606" spans="16:21" x14ac:dyDescent="0.35">
      <c r="P7606" s="226"/>
      <c r="Q7606" s="226"/>
      <c r="R7606" s="226"/>
      <c r="S7606" s="226"/>
      <c r="T7606" s="226"/>
      <c r="U7606" s="226"/>
    </row>
    <row r="7607" spans="16:21" x14ac:dyDescent="0.35">
      <c r="P7607" s="226"/>
      <c r="Q7607" s="226"/>
      <c r="R7607" s="226"/>
      <c r="S7607" s="226"/>
      <c r="T7607" s="226"/>
      <c r="U7607" s="226"/>
    </row>
    <row r="7608" spans="16:21" x14ac:dyDescent="0.35">
      <c r="P7608" s="226"/>
      <c r="Q7608" s="226"/>
      <c r="R7608" s="226"/>
      <c r="S7608" s="226"/>
      <c r="T7608" s="226"/>
      <c r="U7608" s="226"/>
    </row>
    <row r="7609" spans="16:21" x14ac:dyDescent="0.35">
      <c r="P7609" s="226"/>
      <c r="Q7609" s="226"/>
      <c r="R7609" s="226"/>
      <c r="S7609" s="226"/>
      <c r="T7609" s="226"/>
      <c r="U7609" s="226"/>
    </row>
    <row r="7610" spans="16:21" x14ac:dyDescent="0.35">
      <c r="P7610" s="226"/>
      <c r="Q7610" s="226"/>
      <c r="R7610" s="226"/>
      <c r="S7610" s="226"/>
      <c r="T7610" s="226"/>
      <c r="U7610" s="226"/>
    </row>
    <row r="7611" spans="16:21" x14ac:dyDescent="0.35">
      <c r="P7611" s="226"/>
      <c r="Q7611" s="226"/>
      <c r="R7611" s="226"/>
      <c r="S7611" s="226"/>
      <c r="T7611" s="226"/>
      <c r="U7611" s="226"/>
    </row>
    <row r="7612" spans="16:21" x14ac:dyDescent="0.35">
      <c r="P7612" s="226"/>
      <c r="Q7612" s="226"/>
      <c r="R7612" s="226"/>
      <c r="S7612" s="226"/>
      <c r="T7612" s="226"/>
      <c r="U7612" s="226"/>
    </row>
    <row r="7613" spans="16:21" x14ac:dyDescent="0.35">
      <c r="P7613" s="226"/>
      <c r="Q7613" s="226"/>
      <c r="R7613" s="226"/>
      <c r="S7613" s="226"/>
      <c r="T7613" s="226"/>
      <c r="U7613" s="226"/>
    </row>
    <row r="7614" spans="16:21" x14ac:dyDescent="0.35">
      <c r="P7614" s="226"/>
      <c r="Q7614" s="226"/>
      <c r="R7614" s="226"/>
      <c r="S7614" s="226"/>
      <c r="T7614" s="226"/>
      <c r="U7614" s="226"/>
    </row>
    <row r="7615" spans="16:21" x14ac:dyDescent="0.35">
      <c r="P7615" s="226"/>
      <c r="Q7615" s="226"/>
      <c r="R7615" s="226"/>
      <c r="S7615" s="226"/>
      <c r="T7615" s="226"/>
      <c r="U7615" s="226"/>
    </row>
    <row r="7616" spans="16:21" x14ac:dyDescent="0.35">
      <c r="P7616" s="226"/>
      <c r="Q7616" s="226"/>
      <c r="R7616" s="226"/>
      <c r="S7616" s="226"/>
      <c r="T7616" s="226"/>
      <c r="U7616" s="226"/>
    </row>
    <row r="7617" spans="16:21" x14ac:dyDescent="0.35">
      <c r="P7617" s="226"/>
      <c r="Q7617" s="226"/>
      <c r="R7617" s="226"/>
      <c r="S7617" s="226"/>
      <c r="T7617" s="226"/>
      <c r="U7617" s="226"/>
    </row>
    <row r="7618" spans="16:21" x14ac:dyDescent="0.35">
      <c r="P7618" s="226"/>
      <c r="Q7618" s="226"/>
      <c r="R7618" s="226"/>
      <c r="S7618" s="226"/>
      <c r="T7618" s="226"/>
      <c r="U7618" s="226"/>
    </row>
    <row r="7619" spans="16:21" x14ac:dyDescent="0.35">
      <c r="P7619" s="226"/>
      <c r="Q7619" s="226"/>
      <c r="R7619" s="226"/>
      <c r="S7619" s="226"/>
      <c r="T7619" s="226"/>
      <c r="U7619" s="226"/>
    </row>
    <row r="7620" spans="16:21" x14ac:dyDescent="0.35">
      <c r="P7620" s="226"/>
      <c r="Q7620" s="226"/>
      <c r="R7620" s="226"/>
      <c r="S7620" s="226"/>
      <c r="T7620" s="226"/>
      <c r="U7620" s="226"/>
    </row>
    <row r="7621" spans="16:21" x14ac:dyDescent="0.35">
      <c r="P7621" s="226"/>
      <c r="Q7621" s="226"/>
      <c r="R7621" s="226"/>
      <c r="S7621" s="226"/>
      <c r="T7621" s="226"/>
      <c r="U7621" s="226"/>
    </row>
    <row r="7622" spans="16:21" x14ac:dyDescent="0.35">
      <c r="P7622" s="226"/>
      <c r="Q7622" s="226"/>
      <c r="R7622" s="226"/>
      <c r="S7622" s="226"/>
      <c r="T7622" s="226"/>
      <c r="U7622" s="226"/>
    </row>
    <row r="7623" spans="16:21" x14ac:dyDescent="0.35">
      <c r="P7623" s="226"/>
      <c r="Q7623" s="226"/>
      <c r="R7623" s="226"/>
      <c r="S7623" s="226"/>
      <c r="T7623" s="226"/>
      <c r="U7623" s="226"/>
    </row>
    <row r="7624" spans="16:21" x14ac:dyDescent="0.35">
      <c r="P7624" s="226"/>
      <c r="Q7624" s="226"/>
      <c r="R7624" s="226"/>
      <c r="S7624" s="226"/>
      <c r="T7624" s="226"/>
      <c r="U7624" s="226"/>
    </row>
    <row r="7625" spans="16:21" x14ac:dyDescent="0.35">
      <c r="P7625" s="226"/>
      <c r="Q7625" s="226"/>
      <c r="R7625" s="226"/>
      <c r="S7625" s="226"/>
      <c r="T7625" s="226"/>
      <c r="U7625" s="226"/>
    </row>
    <row r="7626" spans="16:21" x14ac:dyDescent="0.35">
      <c r="P7626" s="226"/>
      <c r="Q7626" s="226"/>
      <c r="R7626" s="226"/>
      <c r="S7626" s="226"/>
      <c r="T7626" s="226"/>
      <c r="U7626" s="226"/>
    </row>
    <row r="7627" spans="16:21" x14ac:dyDescent="0.35">
      <c r="P7627" s="226"/>
      <c r="Q7627" s="226"/>
      <c r="R7627" s="226"/>
      <c r="S7627" s="226"/>
      <c r="T7627" s="226"/>
      <c r="U7627" s="226"/>
    </row>
    <row r="7628" spans="16:21" x14ac:dyDescent="0.35">
      <c r="P7628" s="226"/>
      <c r="Q7628" s="226"/>
      <c r="R7628" s="226"/>
      <c r="S7628" s="226"/>
      <c r="T7628" s="226"/>
      <c r="U7628" s="226"/>
    </row>
    <row r="7629" spans="16:21" x14ac:dyDescent="0.35">
      <c r="P7629" s="226"/>
      <c r="Q7629" s="226"/>
      <c r="R7629" s="226"/>
      <c r="S7629" s="226"/>
      <c r="T7629" s="226"/>
      <c r="U7629" s="226"/>
    </row>
    <row r="7630" spans="16:21" x14ac:dyDescent="0.35">
      <c r="P7630" s="226"/>
      <c r="Q7630" s="226"/>
      <c r="R7630" s="226"/>
      <c r="S7630" s="226"/>
      <c r="T7630" s="226"/>
      <c r="U7630" s="226"/>
    </row>
    <row r="7631" spans="16:21" x14ac:dyDescent="0.35">
      <c r="P7631" s="226"/>
      <c r="Q7631" s="226"/>
      <c r="R7631" s="226"/>
      <c r="S7631" s="226"/>
      <c r="T7631" s="226"/>
      <c r="U7631" s="226"/>
    </row>
    <row r="7632" spans="16:21" x14ac:dyDescent="0.35">
      <c r="P7632" s="226"/>
      <c r="Q7632" s="226"/>
      <c r="R7632" s="226"/>
      <c r="S7632" s="226"/>
      <c r="T7632" s="226"/>
      <c r="U7632" s="226"/>
    </row>
    <row r="7633" spans="16:21" x14ac:dyDescent="0.35">
      <c r="P7633" s="226"/>
      <c r="Q7633" s="226"/>
      <c r="R7633" s="226"/>
      <c r="S7633" s="226"/>
      <c r="T7633" s="226"/>
      <c r="U7633" s="226"/>
    </row>
    <row r="7634" spans="16:21" x14ac:dyDescent="0.35">
      <c r="P7634" s="226"/>
      <c r="Q7634" s="226"/>
      <c r="R7634" s="226"/>
      <c r="S7634" s="226"/>
      <c r="T7634" s="226"/>
      <c r="U7634" s="226"/>
    </row>
    <row r="7635" spans="16:21" x14ac:dyDescent="0.35">
      <c r="P7635" s="226"/>
      <c r="Q7635" s="226"/>
      <c r="R7635" s="226"/>
      <c r="S7635" s="226"/>
      <c r="T7635" s="226"/>
      <c r="U7635" s="226"/>
    </row>
    <row r="7636" spans="16:21" x14ac:dyDescent="0.35">
      <c r="P7636" s="226"/>
      <c r="Q7636" s="226"/>
      <c r="R7636" s="226"/>
      <c r="S7636" s="226"/>
      <c r="T7636" s="226"/>
      <c r="U7636" s="226"/>
    </row>
    <row r="7637" spans="16:21" x14ac:dyDescent="0.35">
      <c r="P7637" s="226"/>
      <c r="Q7637" s="226"/>
      <c r="R7637" s="226"/>
      <c r="S7637" s="226"/>
      <c r="T7637" s="226"/>
      <c r="U7637" s="226"/>
    </row>
    <row r="7638" spans="16:21" x14ac:dyDescent="0.35">
      <c r="P7638" s="226"/>
      <c r="Q7638" s="226"/>
      <c r="R7638" s="226"/>
      <c r="S7638" s="226"/>
      <c r="T7638" s="226"/>
      <c r="U7638" s="226"/>
    </row>
    <row r="7639" spans="16:21" x14ac:dyDescent="0.35">
      <c r="P7639" s="226"/>
      <c r="Q7639" s="226"/>
      <c r="R7639" s="226"/>
      <c r="S7639" s="226"/>
      <c r="T7639" s="226"/>
      <c r="U7639" s="226"/>
    </row>
    <row r="7640" spans="16:21" x14ac:dyDescent="0.35">
      <c r="P7640" s="226"/>
      <c r="Q7640" s="226"/>
      <c r="R7640" s="226"/>
      <c r="S7640" s="226"/>
      <c r="T7640" s="226"/>
      <c r="U7640" s="226"/>
    </row>
    <row r="7641" spans="16:21" x14ac:dyDescent="0.35">
      <c r="P7641" s="226"/>
      <c r="Q7641" s="226"/>
      <c r="R7641" s="226"/>
      <c r="S7641" s="226"/>
      <c r="T7641" s="226"/>
      <c r="U7641" s="226"/>
    </row>
    <row r="7642" spans="16:21" x14ac:dyDescent="0.35">
      <c r="P7642" s="226"/>
      <c r="Q7642" s="226"/>
      <c r="R7642" s="226"/>
      <c r="S7642" s="226"/>
      <c r="T7642" s="226"/>
      <c r="U7642" s="226"/>
    </row>
    <row r="7643" spans="16:21" x14ac:dyDescent="0.35">
      <c r="P7643" s="226"/>
      <c r="Q7643" s="226"/>
      <c r="R7643" s="226"/>
      <c r="S7643" s="226"/>
      <c r="T7643" s="226"/>
      <c r="U7643" s="226"/>
    </row>
    <row r="7644" spans="16:21" x14ac:dyDescent="0.35">
      <c r="P7644" s="226"/>
      <c r="Q7644" s="226"/>
      <c r="R7644" s="226"/>
      <c r="S7644" s="226"/>
      <c r="T7644" s="226"/>
      <c r="U7644" s="226"/>
    </row>
    <row r="7645" spans="16:21" x14ac:dyDescent="0.35">
      <c r="P7645" s="226"/>
      <c r="Q7645" s="226"/>
      <c r="R7645" s="226"/>
      <c r="S7645" s="226"/>
      <c r="T7645" s="226"/>
      <c r="U7645" s="226"/>
    </row>
    <row r="7646" spans="16:21" x14ac:dyDescent="0.35">
      <c r="P7646" s="226"/>
      <c r="Q7646" s="226"/>
      <c r="R7646" s="226"/>
      <c r="S7646" s="226"/>
      <c r="T7646" s="226"/>
      <c r="U7646" s="226"/>
    </row>
    <row r="7647" spans="16:21" x14ac:dyDescent="0.35">
      <c r="P7647" s="226"/>
      <c r="Q7647" s="226"/>
      <c r="R7647" s="226"/>
      <c r="S7647" s="226"/>
      <c r="T7647" s="226"/>
      <c r="U7647" s="226"/>
    </row>
    <row r="7648" spans="16:21" x14ac:dyDescent="0.35">
      <c r="P7648" s="226"/>
      <c r="Q7648" s="226"/>
      <c r="R7648" s="226"/>
      <c r="S7648" s="226"/>
      <c r="T7648" s="226"/>
      <c r="U7648" s="226"/>
    </row>
    <row r="7649" spans="16:21" x14ac:dyDescent="0.35">
      <c r="P7649" s="226"/>
      <c r="Q7649" s="226"/>
      <c r="R7649" s="226"/>
      <c r="S7649" s="226"/>
      <c r="T7649" s="226"/>
      <c r="U7649" s="226"/>
    </row>
    <row r="7650" spans="16:21" x14ac:dyDescent="0.35">
      <c r="P7650" s="226"/>
      <c r="Q7650" s="226"/>
      <c r="R7650" s="226"/>
      <c r="S7650" s="226"/>
      <c r="T7650" s="226"/>
      <c r="U7650" s="226"/>
    </row>
    <row r="7651" spans="16:21" x14ac:dyDescent="0.35">
      <c r="P7651" s="226"/>
      <c r="Q7651" s="226"/>
      <c r="R7651" s="226"/>
      <c r="S7651" s="226"/>
      <c r="T7651" s="226"/>
      <c r="U7651" s="226"/>
    </row>
    <row r="7652" spans="16:21" x14ac:dyDescent="0.35">
      <c r="P7652" s="226"/>
      <c r="Q7652" s="226"/>
      <c r="R7652" s="226"/>
      <c r="S7652" s="226"/>
      <c r="T7652" s="226"/>
      <c r="U7652" s="226"/>
    </row>
    <row r="7653" spans="16:21" x14ac:dyDescent="0.35">
      <c r="P7653" s="226"/>
      <c r="Q7653" s="226"/>
      <c r="R7653" s="226"/>
      <c r="S7653" s="226"/>
      <c r="T7653" s="226"/>
      <c r="U7653" s="226"/>
    </row>
    <row r="7654" spans="16:21" x14ac:dyDescent="0.35">
      <c r="P7654" s="226"/>
      <c r="Q7654" s="226"/>
      <c r="R7654" s="226"/>
      <c r="S7654" s="226"/>
      <c r="T7654" s="226"/>
      <c r="U7654" s="226"/>
    </row>
    <row r="7655" spans="16:21" x14ac:dyDescent="0.35">
      <c r="P7655" s="226"/>
      <c r="Q7655" s="226"/>
      <c r="R7655" s="226"/>
      <c r="S7655" s="226"/>
      <c r="T7655" s="226"/>
      <c r="U7655" s="226"/>
    </row>
    <row r="7656" spans="16:21" x14ac:dyDescent="0.35">
      <c r="P7656" s="226"/>
      <c r="Q7656" s="226"/>
      <c r="R7656" s="226"/>
      <c r="S7656" s="226"/>
      <c r="T7656" s="226"/>
      <c r="U7656" s="226"/>
    </row>
    <row r="7657" spans="16:21" x14ac:dyDescent="0.35">
      <c r="P7657" s="226"/>
      <c r="Q7657" s="226"/>
      <c r="R7657" s="226"/>
      <c r="S7657" s="226"/>
      <c r="T7657" s="226"/>
      <c r="U7657" s="226"/>
    </row>
    <row r="7658" spans="16:21" x14ac:dyDescent="0.35">
      <c r="P7658" s="226"/>
      <c r="Q7658" s="226"/>
      <c r="R7658" s="226"/>
      <c r="S7658" s="226"/>
      <c r="T7658" s="226"/>
      <c r="U7658" s="226"/>
    </row>
    <row r="7659" spans="16:21" x14ac:dyDescent="0.35">
      <c r="P7659" s="226"/>
      <c r="Q7659" s="226"/>
      <c r="R7659" s="226"/>
      <c r="S7659" s="226"/>
      <c r="T7659" s="226"/>
      <c r="U7659" s="226"/>
    </row>
    <row r="7660" spans="16:21" x14ac:dyDescent="0.35">
      <c r="P7660" s="226"/>
      <c r="Q7660" s="226"/>
      <c r="R7660" s="226"/>
      <c r="S7660" s="226"/>
      <c r="T7660" s="226"/>
      <c r="U7660" s="226"/>
    </row>
    <row r="7661" spans="16:21" x14ac:dyDescent="0.35">
      <c r="P7661" s="226"/>
      <c r="Q7661" s="226"/>
      <c r="R7661" s="226"/>
      <c r="S7661" s="226"/>
      <c r="T7661" s="226"/>
      <c r="U7661" s="226"/>
    </row>
    <row r="7662" spans="16:21" x14ac:dyDescent="0.35">
      <c r="P7662" s="226"/>
      <c r="Q7662" s="226"/>
      <c r="R7662" s="226"/>
      <c r="S7662" s="226"/>
      <c r="T7662" s="226"/>
      <c r="U7662" s="226"/>
    </row>
    <row r="7663" spans="16:21" x14ac:dyDescent="0.35">
      <c r="P7663" s="226"/>
      <c r="Q7663" s="226"/>
      <c r="R7663" s="226"/>
      <c r="S7663" s="226"/>
      <c r="T7663" s="226"/>
      <c r="U7663" s="226"/>
    </row>
    <row r="7664" spans="16:21" x14ac:dyDescent="0.35">
      <c r="P7664" s="226"/>
      <c r="Q7664" s="226"/>
      <c r="R7664" s="226"/>
      <c r="S7664" s="226"/>
      <c r="T7664" s="226"/>
      <c r="U7664" s="226"/>
    </row>
    <row r="7665" spans="16:21" x14ac:dyDescent="0.35">
      <c r="P7665" s="226"/>
      <c r="Q7665" s="226"/>
      <c r="R7665" s="226"/>
      <c r="S7665" s="226"/>
      <c r="T7665" s="226"/>
      <c r="U7665" s="226"/>
    </row>
    <row r="7666" spans="16:21" x14ac:dyDescent="0.35">
      <c r="P7666" s="226"/>
      <c r="Q7666" s="226"/>
      <c r="R7666" s="226"/>
      <c r="S7666" s="226"/>
      <c r="T7666" s="226"/>
      <c r="U7666" s="226"/>
    </row>
    <row r="7667" spans="16:21" x14ac:dyDescent="0.35">
      <c r="P7667" s="226"/>
      <c r="Q7667" s="226"/>
      <c r="R7667" s="226"/>
      <c r="S7667" s="226"/>
      <c r="T7667" s="226"/>
      <c r="U7667" s="226"/>
    </row>
    <row r="7668" spans="16:21" x14ac:dyDescent="0.35">
      <c r="P7668" s="226"/>
      <c r="Q7668" s="226"/>
      <c r="R7668" s="226"/>
      <c r="S7668" s="226"/>
      <c r="T7668" s="226"/>
      <c r="U7668" s="226"/>
    </row>
    <row r="7669" spans="16:21" x14ac:dyDescent="0.35">
      <c r="P7669" s="226"/>
      <c r="Q7669" s="226"/>
      <c r="R7669" s="226"/>
      <c r="S7669" s="226"/>
      <c r="T7669" s="226"/>
      <c r="U7669" s="226"/>
    </row>
    <row r="7670" spans="16:21" x14ac:dyDescent="0.35">
      <c r="P7670" s="226"/>
      <c r="Q7670" s="226"/>
      <c r="R7670" s="226"/>
      <c r="S7670" s="226"/>
      <c r="T7670" s="226"/>
      <c r="U7670" s="226"/>
    </row>
    <row r="7671" spans="16:21" x14ac:dyDescent="0.35">
      <c r="P7671" s="226"/>
      <c r="Q7671" s="226"/>
      <c r="R7671" s="226"/>
      <c r="S7671" s="226"/>
      <c r="T7671" s="226"/>
      <c r="U7671" s="226"/>
    </row>
    <row r="7672" spans="16:21" x14ac:dyDescent="0.35">
      <c r="P7672" s="226"/>
      <c r="Q7672" s="226"/>
      <c r="R7672" s="226"/>
      <c r="S7672" s="226"/>
      <c r="T7672" s="226"/>
      <c r="U7672" s="226"/>
    </row>
    <row r="7673" spans="16:21" x14ac:dyDescent="0.35">
      <c r="P7673" s="226"/>
      <c r="Q7673" s="226"/>
      <c r="R7673" s="226"/>
      <c r="S7673" s="226"/>
      <c r="T7673" s="226"/>
      <c r="U7673" s="226"/>
    </row>
    <row r="7674" spans="16:21" x14ac:dyDescent="0.35">
      <c r="P7674" s="226"/>
      <c r="Q7674" s="226"/>
      <c r="R7674" s="226"/>
      <c r="S7674" s="226"/>
      <c r="T7674" s="226"/>
      <c r="U7674" s="226"/>
    </row>
    <row r="7675" spans="16:21" x14ac:dyDescent="0.35">
      <c r="P7675" s="226"/>
      <c r="Q7675" s="226"/>
      <c r="R7675" s="226"/>
      <c r="S7675" s="226"/>
      <c r="T7675" s="226"/>
      <c r="U7675" s="226"/>
    </row>
    <row r="7676" spans="16:21" x14ac:dyDescent="0.35">
      <c r="P7676" s="226"/>
      <c r="Q7676" s="226"/>
      <c r="R7676" s="226"/>
      <c r="S7676" s="226"/>
      <c r="T7676" s="226"/>
      <c r="U7676" s="226"/>
    </row>
    <row r="7677" spans="16:21" x14ac:dyDescent="0.35">
      <c r="P7677" s="226"/>
      <c r="Q7677" s="226"/>
      <c r="R7677" s="226"/>
      <c r="S7677" s="226"/>
      <c r="T7677" s="226"/>
      <c r="U7677" s="226"/>
    </row>
    <row r="7678" spans="16:21" x14ac:dyDescent="0.35">
      <c r="P7678" s="226"/>
      <c r="Q7678" s="226"/>
      <c r="R7678" s="226"/>
      <c r="S7678" s="226"/>
      <c r="T7678" s="226"/>
      <c r="U7678" s="226"/>
    </row>
    <row r="7679" spans="16:21" x14ac:dyDescent="0.35">
      <c r="P7679" s="226"/>
      <c r="Q7679" s="226"/>
      <c r="R7679" s="226"/>
      <c r="S7679" s="226"/>
      <c r="T7679" s="226"/>
      <c r="U7679" s="226"/>
    </row>
    <row r="7680" spans="16:21" x14ac:dyDescent="0.35">
      <c r="P7680" s="226"/>
      <c r="Q7680" s="226"/>
      <c r="R7680" s="226"/>
      <c r="S7680" s="226"/>
      <c r="T7680" s="226"/>
      <c r="U7680" s="226"/>
    </row>
    <row r="7681" spans="16:21" x14ac:dyDescent="0.35">
      <c r="P7681" s="226"/>
      <c r="Q7681" s="226"/>
      <c r="R7681" s="226"/>
      <c r="S7681" s="226"/>
      <c r="T7681" s="226"/>
      <c r="U7681" s="226"/>
    </row>
    <row r="7682" spans="16:21" x14ac:dyDescent="0.35">
      <c r="P7682" s="226"/>
      <c r="Q7682" s="226"/>
      <c r="R7682" s="226"/>
      <c r="S7682" s="226"/>
      <c r="T7682" s="226"/>
      <c r="U7682" s="226"/>
    </row>
    <row r="7683" spans="16:21" x14ac:dyDescent="0.35">
      <c r="P7683" s="226"/>
      <c r="Q7683" s="226"/>
      <c r="R7683" s="226"/>
      <c r="S7683" s="226"/>
      <c r="T7683" s="226"/>
      <c r="U7683" s="226"/>
    </row>
    <row r="7684" spans="16:21" x14ac:dyDescent="0.35">
      <c r="P7684" s="226"/>
      <c r="Q7684" s="226"/>
      <c r="R7684" s="226"/>
      <c r="S7684" s="226"/>
      <c r="T7684" s="226"/>
      <c r="U7684" s="226"/>
    </row>
    <row r="7685" spans="16:21" x14ac:dyDescent="0.35">
      <c r="P7685" s="226"/>
      <c r="Q7685" s="226"/>
      <c r="R7685" s="226"/>
      <c r="S7685" s="226"/>
      <c r="T7685" s="226"/>
      <c r="U7685" s="226"/>
    </row>
    <row r="7686" spans="16:21" x14ac:dyDescent="0.35">
      <c r="P7686" s="226"/>
      <c r="Q7686" s="226"/>
      <c r="R7686" s="226"/>
      <c r="S7686" s="226"/>
      <c r="T7686" s="226"/>
      <c r="U7686" s="226"/>
    </row>
    <row r="7687" spans="16:21" x14ac:dyDescent="0.35">
      <c r="P7687" s="226"/>
      <c r="Q7687" s="226"/>
      <c r="R7687" s="226"/>
      <c r="S7687" s="226"/>
      <c r="T7687" s="226"/>
      <c r="U7687" s="226"/>
    </row>
    <row r="7688" spans="16:21" x14ac:dyDescent="0.35">
      <c r="P7688" s="226"/>
      <c r="Q7688" s="226"/>
      <c r="R7688" s="226"/>
      <c r="S7688" s="226"/>
      <c r="T7688" s="226"/>
      <c r="U7688" s="226"/>
    </row>
    <row r="7689" spans="16:21" x14ac:dyDescent="0.35">
      <c r="P7689" s="226"/>
      <c r="Q7689" s="226"/>
      <c r="R7689" s="226"/>
      <c r="S7689" s="226"/>
      <c r="T7689" s="226"/>
      <c r="U7689" s="226"/>
    </row>
    <row r="7690" spans="16:21" x14ac:dyDescent="0.35">
      <c r="P7690" s="226"/>
      <c r="Q7690" s="226"/>
      <c r="R7690" s="226"/>
      <c r="S7690" s="226"/>
      <c r="T7690" s="226"/>
      <c r="U7690" s="226"/>
    </row>
    <row r="7691" spans="16:21" x14ac:dyDescent="0.35">
      <c r="P7691" s="226"/>
      <c r="Q7691" s="226"/>
      <c r="R7691" s="226"/>
      <c r="S7691" s="226"/>
      <c r="T7691" s="226"/>
      <c r="U7691" s="226"/>
    </row>
    <row r="7692" spans="16:21" x14ac:dyDescent="0.35">
      <c r="P7692" s="226"/>
      <c r="Q7692" s="226"/>
      <c r="R7692" s="226"/>
      <c r="S7692" s="226"/>
      <c r="T7692" s="226"/>
      <c r="U7692" s="226"/>
    </row>
    <row r="7693" spans="16:21" x14ac:dyDescent="0.35">
      <c r="P7693" s="226"/>
      <c r="Q7693" s="226"/>
      <c r="R7693" s="226"/>
      <c r="S7693" s="226"/>
      <c r="T7693" s="226"/>
      <c r="U7693" s="226"/>
    </row>
    <row r="7694" spans="16:21" x14ac:dyDescent="0.35">
      <c r="P7694" s="226"/>
      <c r="Q7694" s="226"/>
      <c r="R7694" s="226"/>
      <c r="S7694" s="226"/>
      <c r="T7694" s="226"/>
      <c r="U7694" s="226"/>
    </row>
    <row r="7695" spans="16:21" x14ac:dyDescent="0.35">
      <c r="P7695" s="226"/>
      <c r="Q7695" s="226"/>
      <c r="R7695" s="226"/>
      <c r="S7695" s="226"/>
      <c r="T7695" s="226"/>
      <c r="U7695" s="226"/>
    </row>
    <row r="7696" spans="16:21" x14ac:dyDescent="0.35">
      <c r="P7696" s="226"/>
      <c r="Q7696" s="226"/>
      <c r="R7696" s="226"/>
      <c r="S7696" s="226"/>
      <c r="T7696" s="226"/>
      <c r="U7696" s="226"/>
    </row>
    <row r="7697" spans="16:21" x14ac:dyDescent="0.35">
      <c r="P7697" s="226"/>
      <c r="Q7697" s="226"/>
      <c r="R7697" s="226"/>
      <c r="S7697" s="226"/>
      <c r="T7697" s="226"/>
      <c r="U7697" s="226"/>
    </row>
    <row r="7698" spans="16:21" x14ac:dyDescent="0.35">
      <c r="P7698" s="226"/>
      <c r="Q7698" s="226"/>
      <c r="R7698" s="226"/>
      <c r="S7698" s="226"/>
      <c r="T7698" s="226"/>
      <c r="U7698" s="226"/>
    </row>
    <row r="7699" spans="16:21" x14ac:dyDescent="0.35">
      <c r="P7699" s="226"/>
      <c r="Q7699" s="226"/>
      <c r="R7699" s="226"/>
      <c r="S7699" s="226"/>
      <c r="T7699" s="226"/>
      <c r="U7699" s="226"/>
    </row>
    <row r="7700" spans="16:21" x14ac:dyDescent="0.35">
      <c r="P7700" s="226"/>
      <c r="Q7700" s="226"/>
      <c r="R7700" s="226"/>
      <c r="S7700" s="226"/>
      <c r="T7700" s="226"/>
      <c r="U7700" s="226"/>
    </row>
    <row r="7701" spans="16:21" x14ac:dyDescent="0.35">
      <c r="P7701" s="226"/>
      <c r="Q7701" s="226"/>
      <c r="R7701" s="226"/>
      <c r="S7701" s="226"/>
      <c r="T7701" s="226"/>
      <c r="U7701" s="226"/>
    </row>
    <row r="7702" spans="16:21" x14ac:dyDescent="0.35">
      <c r="P7702" s="226"/>
      <c r="Q7702" s="226"/>
      <c r="R7702" s="226"/>
      <c r="S7702" s="226"/>
      <c r="T7702" s="226"/>
      <c r="U7702" s="226"/>
    </row>
    <row r="7703" spans="16:21" x14ac:dyDescent="0.35">
      <c r="P7703" s="226"/>
      <c r="Q7703" s="226"/>
      <c r="R7703" s="226"/>
      <c r="S7703" s="226"/>
      <c r="T7703" s="226"/>
      <c r="U7703" s="226"/>
    </row>
    <row r="7704" spans="16:21" x14ac:dyDescent="0.35">
      <c r="P7704" s="226"/>
      <c r="Q7704" s="226"/>
      <c r="R7704" s="226"/>
      <c r="S7704" s="226"/>
      <c r="T7704" s="226"/>
      <c r="U7704" s="226"/>
    </row>
    <row r="7705" spans="16:21" x14ac:dyDescent="0.35">
      <c r="P7705" s="226"/>
      <c r="Q7705" s="226"/>
      <c r="R7705" s="226"/>
      <c r="S7705" s="226"/>
      <c r="T7705" s="226"/>
      <c r="U7705" s="226"/>
    </row>
    <row r="7706" spans="16:21" x14ac:dyDescent="0.35">
      <c r="P7706" s="226"/>
      <c r="Q7706" s="226"/>
      <c r="R7706" s="226"/>
      <c r="S7706" s="226"/>
      <c r="T7706" s="226"/>
      <c r="U7706" s="226"/>
    </row>
    <row r="7707" spans="16:21" x14ac:dyDescent="0.35">
      <c r="P7707" s="226"/>
      <c r="Q7707" s="226"/>
      <c r="R7707" s="226"/>
      <c r="S7707" s="226"/>
      <c r="T7707" s="226"/>
      <c r="U7707" s="226"/>
    </row>
    <row r="7708" spans="16:21" x14ac:dyDescent="0.35">
      <c r="P7708" s="226"/>
      <c r="Q7708" s="226"/>
      <c r="R7708" s="226"/>
      <c r="S7708" s="226"/>
      <c r="T7708" s="226"/>
      <c r="U7708" s="226"/>
    </row>
    <row r="7709" spans="16:21" x14ac:dyDescent="0.35">
      <c r="P7709" s="226"/>
      <c r="Q7709" s="226"/>
      <c r="R7709" s="226"/>
      <c r="S7709" s="226"/>
      <c r="T7709" s="226"/>
      <c r="U7709" s="226"/>
    </row>
    <row r="7710" spans="16:21" x14ac:dyDescent="0.35">
      <c r="P7710" s="226"/>
      <c r="Q7710" s="226"/>
      <c r="R7710" s="226"/>
      <c r="S7710" s="226"/>
      <c r="T7710" s="226"/>
      <c r="U7710" s="226"/>
    </row>
    <row r="7711" spans="16:21" x14ac:dyDescent="0.35">
      <c r="P7711" s="226"/>
      <c r="Q7711" s="226"/>
      <c r="R7711" s="226"/>
      <c r="S7711" s="226"/>
      <c r="T7711" s="226"/>
      <c r="U7711" s="226"/>
    </row>
    <row r="7712" spans="16:21" x14ac:dyDescent="0.35">
      <c r="P7712" s="226"/>
      <c r="Q7712" s="226"/>
      <c r="R7712" s="226"/>
      <c r="S7712" s="226"/>
      <c r="T7712" s="226"/>
      <c r="U7712" s="226"/>
    </row>
    <row r="7713" spans="16:21" x14ac:dyDescent="0.35">
      <c r="P7713" s="226"/>
      <c r="Q7713" s="226"/>
      <c r="R7713" s="226"/>
      <c r="S7713" s="226"/>
      <c r="T7713" s="226"/>
      <c r="U7713" s="226"/>
    </row>
    <row r="7714" spans="16:21" x14ac:dyDescent="0.35">
      <c r="P7714" s="226"/>
      <c r="Q7714" s="226"/>
      <c r="R7714" s="226"/>
      <c r="S7714" s="226"/>
      <c r="T7714" s="226"/>
      <c r="U7714" s="226"/>
    </row>
    <row r="7715" spans="16:21" x14ac:dyDescent="0.35">
      <c r="P7715" s="226"/>
      <c r="Q7715" s="226"/>
      <c r="R7715" s="226"/>
      <c r="S7715" s="226"/>
      <c r="T7715" s="226"/>
      <c r="U7715" s="226"/>
    </row>
    <row r="7716" spans="16:21" x14ac:dyDescent="0.35">
      <c r="P7716" s="226"/>
      <c r="Q7716" s="226"/>
      <c r="R7716" s="226"/>
      <c r="S7716" s="226"/>
      <c r="T7716" s="226"/>
      <c r="U7716" s="226"/>
    </row>
    <row r="7717" spans="16:21" x14ac:dyDescent="0.35">
      <c r="P7717" s="226"/>
      <c r="Q7717" s="226"/>
      <c r="R7717" s="226"/>
      <c r="S7717" s="226"/>
      <c r="T7717" s="226"/>
      <c r="U7717" s="226"/>
    </row>
    <row r="7718" spans="16:21" x14ac:dyDescent="0.35">
      <c r="P7718" s="226"/>
      <c r="Q7718" s="226"/>
      <c r="R7718" s="226"/>
      <c r="S7718" s="226"/>
      <c r="T7718" s="226"/>
      <c r="U7718" s="226"/>
    </row>
    <row r="7719" spans="16:21" x14ac:dyDescent="0.35">
      <c r="P7719" s="226"/>
      <c r="Q7719" s="226"/>
      <c r="R7719" s="226"/>
      <c r="S7719" s="226"/>
      <c r="T7719" s="226"/>
      <c r="U7719" s="226"/>
    </row>
    <row r="7720" spans="16:21" x14ac:dyDescent="0.35">
      <c r="P7720" s="226"/>
      <c r="Q7720" s="226"/>
      <c r="R7720" s="226"/>
      <c r="S7720" s="226"/>
      <c r="T7720" s="226"/>
      <c r="U7720" s="226"/>
    </row>
    <row r="7721" spans="16:21" x14ac:dyDescent="0.35">
      <c r="P7721" s="226"/>
      <c r="Q7721" s="226"/>
      <c r="R7721" s="226"/>
      <c r="S7721" s="226"/>
      <c r="T7721" s="226"/>
      <c r="U7721" s="226"/>
    </row>
    <row r="7722" spans="16:21" x14ac:dyDescent="0.35">
      <c r="P7722" s="226"/>
      <c r="Q7722" s="226"/>
      <c r="R7722" s="226"/>
      <c r="S7722" s="226"/>
      <c r="T7722" s="226"/>
      <c r="U7722" s="226"/>
    </row>
    <row r="7723" spans="16:21" x14ac:dyDescent="0.35">
      <c r="P7723" s="226"/>
      <c r="Q7723" s="226"/>
      <c r="R7723" s="226"/>
      <c r="S7723" s="226"/>
      <c r="T7723" s="226"/>
      <c r="U7723" s="226"/>
    </row>
    <row r="7724" spans="16:21" x14ac:dyDescent="0.35">
      <c r="P7724" s="226"/>
      <c r="Q7724" s="226"/>
      <c r="R7724" s="226"/>
      <c r="S7724" s="226"/>
      <c r="T7724" s="226"/>
      <c r="U7724" s="226"/>
    </row>
    <row r="7725" spans="16:21" x14ac:dyDescent="0.35">
      <c r="P7725" s="226"/>
      <c r="Q7725" s="226"/>
      <c r="R7725" s="226"/>
      <c r="S7725" s="226"/>
      <c r="T7725" s="226"/>
      <c r="U7725" s="226"/>
    </row>
    <row r="7726" spans="16:21" x14ac:dyDescent="0.35">
      <c r="P7726" s="226"/>
      <c r="Q7726" s="226"/>
      <c r="R7726" s="226"/>
      <c r="S7726" s="226"/>
      <c r="T7726" s="226"/>
      <c r="U7726" s="226"/>
    </row>
    <row r="7727" spans="16:21" x14ac:dyDescent="0.35">
      <c r="P7727" s="226"/>
      <c r="Q7727" s="226"/>
      <c r="R7727" s="226"/>
      <c r="S7727" s="226"/>
      <c r="T7727" s="226"/>
      <c r="U7727" s="226"/>
    </row>
    <row r="7728" spans="16:21" x14ac:dyDescent="0.35">
      <c r="P7728" s="226"/>
      <c r="Q7728" s="226"/>
      <c r="R7728" s="226"/>
      <c r="S7728" s="226"/>
      <c r="T7728" s="226"/>
      <c r="U7728" s="226"/>
    </row>
    <row r="7729" spans="16:21" x14ac:dyDescent="0.35">
      <c r="P7729" s="226"/>
      <c r="Q7729" s="226"/>
      <c r="R7729" s="226"/>
      <c r="S7729" s="226"/>
      <c r="T7729" s="226"/>
      <c r="U7729" s="226"/>
    </row>
    <row r="7730" spans="16:21" x14ac:dyDescent="0.35">
      <c r="P7730" s="226"/>
      <c r="Q7730" s="226"/>
      <c r="R7730" s="226"/>
      <c r="S7730" s="226"/>
      <c r="T7730" s="226"/>
      <c r="U7730" s="226"/>
    </row>
    <row r="7731" spans="16:21" x14ac:dyDescent="0.35">
      <c r="P7731" s="226"/>
      <c r="Q7731" s="226"/>
      <c r="R7731" s="226"/>
      <c r="S7731" s="226"/>
      <c r="T7731" s="226"/>
      <c r="U7731" s="226"/>
    </row>
    <row r="7732" spans="16:21" x14ac:dyDescent="0.35">
      <c r="P7732" s="226"/>
      <c r="Q7732" s="226"/>
      <c r="R7732" s="226"/>
      <c r="S7732" s="226"/>
      <c r="T7732" s="226"/>
      <c r="U7732" s="226"/>
    </row>
    <row r="7733" spans="16:21" x14ac:dyDescent="0.35">
      <c r="P7733" s="226"/>
      <c r="Q7733" s="226"/>
      <c r="R7733" s="226"/>
      <c r="S7733" s="226"/>
      <c r="T7733" s="226"/>
      <c r="U7733" s="226"/>
    </row>
    <row r="7734" spans="16:21" x14ac:dyDescent="0.35">
      <c r="P7734" s="226"/>
      <c r="Q7734" s="226"/>
      <c r="R7734" s="226"/>
      <c r="S7734" s="226"/>
      <c r="T7734" s="226"/>
      <c r="U7734" s="226"/>
    </row>
    <row r="7735" spans="16:21" x14ac:dyDescent="0.35">
      <c r="P7735" s="226"/>
      <c r="Q7735" s="226"/>
      <c r="R7735" s="226"/>
      <c r="S7735" s="226"/>
      <c r="T7735" s="226"/>
      <c r="U7735" s="226"/>
    </row>
    <row r="7736" spans="16:21" x14ac:dyDescent="0.35">
      <c r="P7736" s="226"/>
      <c r="Q7736" s="226"/>
      <c r="R7736" s="226"/>
      <c r="S7736" s="226"/>
      <c r="T7736" s="226"/>
      <c r="U7736" s="226"/>
    </row>
    <row r="7737" spans="16:21" x14ac:dyDescent="0.35">
      <c r="P7737" s="226"/>
      <c r="Q7737" s="226"/>
      <c r="R7737" s="226"/>
      <c r="S7737" s="226"/>
      <c r="T7737" s="226"/>
      <c r="U7737" s="226"/>
    </row>
    <row r="7738" spans="16:21" x14ac:dyDescent="0.35">
      <c r="P7738" s="226"/>
      <c r="Q7738" s="226"/>
      <c r="R7738" s="226"/>
      <c r="S7738" s="226"/>
      <c r="T7738" s="226"/>
      <c r="U7738" s="226"/>
    </row>
    <row r="7739" spans="16:21" x14ac:dyDescent="0.35">
      <c r="P7739" s="226"/>
      <c r="Q7739" s="226"/>
      <c r="R7739" s="226"/>
      <c r="S7739" s="226"/>
      <c r="T7739" s="226"/>
      <c r="U7739" s="226"/>
    </row>
    <row r="7740" spans="16:21" x14ac:dyDescent="0.35">
      <c r="P7740" s="226"/>
      <c r="Q7740" s="226"/>
      <c r="R7740" s="226"/>
      <c r="S7740" s="226"/>
      <c r="T7740" s="226"/>
      <c r="U7740" s="226"/>
    </row>
    <row r="7741" spans="16:21" x14ac:dyDescent="0.35">
      <c r="P7741" s="226"/>
      <c r="Q7741" s="226"/>
      <c r="R7741" s="226"/>
      <c r="S7741" s="226"/>
      <c r="T7741" s="226"/>
      <c r="U7741" s="226"/>
    </row>
    <row r="7742" spans="16:21" x14ac:dyDescent="0.35">
      <c r="P7742" s="226"/>
      <c r="Q7742" s="226"/>
      <c r="R7742" s="226"/>
      <c r="S7742" s="226"/>
      <c r="T7742" s="226"/>
      <c r="U7742" s="226"/>
    </row>
    <row r="7743" spans="16:21" x14ac:dyDescent="0.35">
      <c r="P7743" s="226"/>
      <c r="Q7743" s="226"/>
      <c r="R7743" s="226"/>
      <c r="S7743" s="226"/>
      <c r="T7743" s="226"/>
      <c r="U7743" s="226"/>
    </row>
    <row r="7744" spans="16:21" x14ac:dyDescent="0.35">
      <c r="P7744" s="226"/>
      <c r="Q7744" s="226"/>
      <c r="R7744" s="226"/>
      <c r="S7744" s="226"/>
      <c r="T7744" s="226"/>
      <c r="U7744" s="226"/>
    </row>
    <row r="7745" spans="16:21" x14ac:dyDescent="0.35">
      <c r="P7745" s="226"/>
      <c r="Q7745" s="226"/>
      <c r="R7745" s="226"/>
      <c r="S7745" s="226"/>
      <c r="T7745" s="226"/>
      <c r="U7745" s="226"/>
    </row>
    <row r="7746" spans="16:21" x14ac:dyDescent="0.35">
      <c r="P7746" s="226"/>
      <c r="Q7746" s="226"/>
      <c r="R7746" s="226"/>
      <c r="S7746" s="226"/>
      <c r="T7746" s="226"/>
      <c r="U7746" s="226"/>
    </row>
    <row r="7747" spans="16:21" x14ac:dyDescent="0.35">
      <c r="P7747" s="226"/>
      <c r="Q7747" s="226"/>
      <c r="R7747" s="226"/>
      <c r="S7747" s="226"/>
      <c r="T7747" s="226"/>
      <c r="U7747" s="226"/>
    </row>
    <row r="7748" spans="16:21" x14ac:dyDescent="0.35">
      <c r="P7748" s="226"/>
      <c r="Q7748" s="226"/>
      <c r="R7748" s="226"/>
      <c r="S7748" s="226"/>
      <c r="T7748" s="226"/>
      <c r="U7748" s="226"/>
    </row>
    <row r="7749" spans="16:21" x14ac:dyDescent="0.35">
      <c r="P7749" s="226"/>
      <c r="Q7749" s="226"/>
      <c r="R7749" s="226"/>
      <c r="S7749" s="226"/>
      <c r="T7749" s="226"/>
      <c r="U7749" s="226"/>
    </row>
    <row r="7750" spans="16:21" x14ac:dyDescent="0.35">
      <c r="P7750" s="226"/>
      <c r="Q7750" s="226"/>
      <c r="R7750" s="226"/>
      <c r="S7750" s="226"/>
      <c r="T7750" s="226"/>
      <c r="U7750" s="226"/>
    </row>
    <row r="7751" spans="16:21" x14ac:dyDescent="0.35">
      <c r="P7751" s="226"/>
      <c r="Q7751" s="226"/>
      <c r="R7751" s="226"/>
      <c r="S7751" s="226"/>
      <c r="T7751" s="226"/>
      <c r="U7751" s="226"/>
    </row>
    <row r="7752" spans="16:21" x14ac:dyDescent="0.35">
      <c r="P7752" s="226"/>
      <c r="Q7752" s="226"/>
      <c r="R7752" s="226"/>
      <c r="S7752" s="226"/>
      <c r="T7752" s="226"/>
      <c r="U7752" s="226"/>
    </row>
    <row r="7753" spans="16:21" x14ac:dyDescent="0.35">
      <c r="P7753" s="226"/>
      <c r="Q7753" s="226"/>
      <c r="R7753" s="226"/>
      <c r="S7753" s="226"/>
      <c r="T7753" s="226"/>
      <c r="U7753" s="226"/>
    </row>
    <row r="7754" spans="16:21" x14ac:dyDescent="0.35">
      <c r="P7754" s="226"/>
      <c r="Q7754" s="226"/>
      <c r="R7754" s="226"/>
      <c r="S7754" s="226"/>
      <c r="T7754" s="226"/>
      <c r="U7754" s="226"/>
    </row>
    <row r="7755" spans="16:21" x14ac:dyDescent="0.35">
      <c r="P7755" s="226"/>
      <c r="Q7755" s="226"/>
      <c r="R7755" s="226"/>
      <c r="S7755" s="226"/>
      <c r="T7755" s="226"/>
      <c r="U7755" s="226"/>
    </row>
    <row r="7756" spans="16:21" x14ac:dyDescent="0.35">
      <c r="P7756" s="226"/>
      <c r="Q7756" s="226"/>
      <c r="R7756" s="226"/>
      <c r="S7756" s="226"/>
      <c r="T7756" s="226"/>
      <c r="U7756" s="226"/>
    </row>
    <row r="7757" spans="16:21" x14ac:dyDescent="0.35">
      <c r="P7757" s="226"/>
      <c r="Q7757" s="226"/>
      <c r="R7757" s="226"/>
      <c r="S7757" s="226"/>
      <c r="T7757" s="226"/>
      <c r="U7757" s="226"/>
    </row>
    <row r="7758" spans="16:21" x14ac:dyDescent="0.35">
      <c r="P7758" s="226"/>
      <c r="Q7758" s="226"/>
      <c r="R7758" s="226"/>
      <c r="S7758" s="226"/>
      <c r="T7758" s="226"/>
      <c r="U7758" s="226"/>
    </row>
    <row r="7759" spans="16:21" x14ac:dyDescent="0.35">
      <c r="P7759" s="226"/>
      <c r="Q7759" s="226"/>
      <c r="R7759" s="226"/>
      <c r="S7759" s="226"/>
      <c r="T7759" s="226"/>
      <c r="U7759" s="226"/>
    </row>
    <row r="7760" spans="16:21" x14ac:dyDescent="0.35">
      <c r="P7760" s="226"/>
      <c r="Q7760" s="226"/>
      <c r="R7760" s="226"/>
      <c r="S7760" s="226"/>
      <c r="T7760" s="226"/>
      <c r="U7760" s="226"/>
    </row>
    <row r="7761" spans="16:21" x14ac:dyDescent="0.35">
      <c r="P7761" s="226"/>
      <c r="Q7761" s="226"/>
      <c r="R7761" s="226"/>
      <c r="S7761" s="226"/>
      <c r="T7761" s="226"/>
      <c r="U7761" s="226"/>
    </row>
    <row r="7762" spans="16:21" x14ac:dyDescent="0.35">
      <c r="P7762" s="226"/>
      <c r="Q7762" s="226"/>
      <c r="R7762" s="226"/>
      <c r="S7762" s="226"/>
      <c r="T7762" s="226"/>
      <c r="U7762" s="226"/>
    </row>
    <row r="7763" spans="16:21" x14ac:dyDescent="0.35">
      <c r="P7763" s="226"/>
      <c r="Q7763" s="226"/>
      <c r="R7763" s="226"/>
      <c r="S7763" s="226"/>
      <c r="T7763" s="226"/>
      <c r="U7763" s="226"/>
    </row>
    <row r="7764" spans="16:21" x14ac:dyDescent="0.35">
      <c r="P7764" s="226"/>
      <c r="Q7764" s="226"/>
      <c r="R7764" s="226"/>
      <c r="S7764" s="226"/>
      <c r="T7764" s="226"/>
      <c r="U7764" s="226"/>
    </row>
    <row r="7765" spans="16:21" x14ac:dyDescent="0.35">
      <c r="P7765" s="226"/>
      <c r="Q7765" s="226"/>
      <c r="R7765" s="226"/>
      <c r="S7765" s="226"/>
      <c r="T7765" s="226"/>
      <c r="U7765" s="226"/>
    </row>
    <row r="7766" spans="16:21" x14ac:dyDescent="0.35">
      <c r="P7766" s="226"/>
      <c r="Q7766" s="226"/>
      <c r="R7766" s="226"/>
      <c r="S7766" s="226"/>
      <c r="T7766" s="226"/>
      <c r="U7766" s="226"/>
    </row>
    <row r="7767" spans="16:21" x14ac:dyDescent="0.35">
      <c r="P7767" s="226"/>
      <c r="Q7767" s="226"/>
      <c r="R7767" s="226"/>
      <c r="S7767" s="226"/>
      <c r="T7767" s="226"/>
      <c r="U7767" s="226"/>
    </row>
    <row r="7768" spans="16:21" x14ac:dyDescent="0.35">
      <c r="P7768" s="226"/>
      <c r="Q7768" s="226"/>
      <c r="R7768" s="226"/>
      <c r="S7768" s="226"/>
      <c r="T7768" s="226"/>
      <c r="U7768" s="226"/>
    </row>
    <row r="7769" spans="16:21" x14ac:dyDescent="0.35">
      <c r="P7769" s="226"/>
      <c r="Q7769" s="226"/>
      <c r="R7769" s="226"/>
      <c r="S7769" s="226"/>
      <c r="T7769" s="226"/>
      <c r="U7769" s="226"/>
    </row>
    <row r="7770" spans="16:21" x14ac:dyDescent="0.35">
      <c r="P7770" s="226"/>
      <c r="Q7770" s="226"/>
      <c r="R7770" s="226"/>
      <c r="S7770" s="226"/>
      <c r="T7770" s="226"/>
      <c r="U7770" s="226"/>
    </row>
    <row r="7771" spans="16:21" x14ac:dyDescent="0.35">
      <c r="P7771" s="226"/>
      <c r="Q7771" s="226"/>
      <c r="R7771" s="226"/>
      <c r="S7771" s="226"/>
      <c r="T7771" s="226"/>
      <c r="U7771" s="226"/>
    </row>
    <row r="7772" spans="16:21" x14ac:dyDescent="0.35">
      <c r="P7772" s="226"/>
      <c r="Q7772" s="226"/>
      <c r="R7772" s="226"/>
      <c r="S7772" s="226"/>
      <c r="T7772" s="226"/>
      <c r="U7772" s="226"/>
    </row>
    <row r="7773" spans="16:21" x14ac:dyDescent="0.35">
      <c r="P7773" s="226"/>
      <c r="Q7773" s="226"/>
      <c r="R7773" s="226"/>
      <c r="S7773" s="226"/>
      <c r="T7773" s="226"/>
      <c r="U7773" s="226"/>
    </row>
    <row r="7774" spans="16:21" x14ac:dyDescent="0.35">
      <c r="P7774" s="226"/>
      <c r="Q7774" s="226"/>
      <c r="R7774" s="226"/>
      <c r="S7774" s="226"/>
      <c r="T7774" s="226"/>
      <c r="U7774" s="226"/>
    </row>
    <row r="7775" spans="16:21" x14ac:dyDescent="0.35">
      <c r="P7775" s="226"/>
      <c r="Q7775" s="226"/>
      <c r="R7775" s="226"/>
      <c r="S7775" s="226"/>
      <c r="T7775" s="226"/>
      <c r="U7775" s="226"/>
    </row>
    <row r="7776" spans="16:21" x14ac:dyDescent="0.35">
      <c r="P7776" s="226"/>
      <c r="Q7776" s="226"/>
      <c r="R7776" s="226"/>
      <c r="S7776" s="226"/>
      <c r="T7776" s="226"/>
      <c r="U7776" s="226"/>
    </row>
    <row r="7777" spans="16:21" x14ac:dyDescent="0.35">
      <c r="P7777" s="226"/>
      <c r="Q7777" s="226"/>
      <c r="R7777" s="226"/>
      <c r="S7777" s="226"/>
      <c r="T7777" s="226"/>
      <c r="U7777" s="226"/>
    </row>
    <row r="7778" spans="16:21" x14ac:dyDescent="0.35">
      <c r="P7778" s="226"/>
      <c r="Q7778" s="226"/>
      <c r="R7778" s="226"/>
      <c r="S7778" s="226"/>
      <c r="T7778" s="226"/>
      <c r="U7778" s="226"/>
    </row>
    <row r="7779" spans="16:21" x14ac:dyDescent="0.35">
      <c r="P7779" s="226"/>
      <c r="Q7779" s="226"/>
      <c r="R7779" s="226"/>
      <c r="S7779" s="226"/>
      <c r="T7779" s="226"/>
      <c r="U7779" s="226"/>
    </row>
    <row r="7780" spans="16:21" x14ac:dyDescent="0.35">
      <c r="P7780" s="226"/>
      <c r="Q7780" s="226"/>
      <c r="R7780" s="226"/>
      <c r="S7780" s="226"/>
      <c r="T7780" s="226"/>
      <c r="U7780" s="226"/>
    </row>
    <row r="7781" spans="16:21" x14ac:dyDescent="0.35">
      <c r="P7781" s="226"/>
      <c r="Q7781" s="226"/>
      <c r="R7781" s="226"/>
      <c r="S7781" s="226"/>
      <c r="T7781" s="226"/>
      <c r="U7781" s="226"/>
    </row>
    <row r="7782" spans="16:21" x14ac:dyDescent="0.35">
      <c r="P7782" s="226"/>
      <c r="Q7782" s="226"/>
      <c r="R7782" s="226"/>
      <c r="S7782" s="226"/>
      <c r="T7782" s="226"/>
      <c r="U7782" s="226"/>
    </row>
    <row r="7783" spans="16:21" x14ac:dyDescent="0.35">
      <c r="P7783" s="226"/>
      <c r="Q7783" s="226"/>
      <c r="R7783" s="226"/>
      <c r="S7783" s="226"/>
      <c r="T7783" s="226"/>
      <c r="U7783" s="226"/>
    </row>
    <row r="7784" spans="16:21" x14ac:dyDescent="0.35">
      <c r="P7784" s="226"/>
      <c r="Q7784" s="226"/>
      <c r="R7784" s="226"/>
      <c r="S7784" s="226"/>
      <c r="T7784" s="226"/>
      <c r="U7784" s="226"/>
    </row>
    <row r="7785" spans="16:21" x14ac:dyDescent="0.35">
      <c r="P7785" s="226"/>
      <c r="Q7785" s="226"/>
      <c r="R7785" s="226"/>
      <c r="S7785" s="226"/>
      <c r="T7785" s="226"/>
      <c r="U7785" s="226"/>
    </row>
    <row r="7786" spans="16:21" x14ac:dyDescent="0.35">
      <c r="P7786" s="226"/>
      <c r="Q7786" s="226"/>
      <c r="R7786" s="226"/>
      <c r="S7786" s="226"/>
      <c r="T7786" s="226"/>
      <c r="U7786" s="226"/>
    </row>
    <row r="7787" spans="16:21" x14ac:dyDescent="0.35">
      <c r="P7787" s="226"/>
      <c r="Q7787" s="226"/>
      <c r="R7787" s="226"/>
      <c r="S7787" s="226"/>
      <c r="T7787" s="226"/>
      <c r="U7787" s="226"/>
    </row>
    <row r="7788" spans="16:21" x14ac:dyDescent="0.35">
      <c r="P7788" s="226"/>
      <c r="Q7788" s="226"/>
      <c r="R7788" s="226"/>
      <c r="S7788" s="226"/>
      <c r="T7788" s="226"/>
      <c r="U7788" s="226"/>
    </row>
    <row r="7789" spans="16:21" x14ac:dyDescent="0.35">
      <c r="P7789" s="226"/>
      <c r="Q7789" s="226"/>
      <c r="R7789" s="226"/>
      <c r="S7789" s="226"/>
      <c r="T7789" s="226"/>
      <c r="U7789" s="226"/>
    </row>
    <row r="7790" spans="16:21" x14ac:dyDescent="0.35">
      <c r="P7790" s="226"/>
      <c r="Q7790" s="226"/>
      <c r="R7790" s="226"/>
      <c r="S7790" s="226"/>
      <c r="T7790" s="226"/>
      <c r="U7790" s="226"/>
    </row>
    <row r="7791" spans="16:21" x14ac:dyDescent="0.35">
      <c r="P7791" s="226"/>
      <c r="Q7791" s="226"/>
      <c r="R7791" s="226"/>
      <c r="S7791" s="226"/>
      <c r="T7791" s="226"/>
      <c r="U7791" s="226"/>
    </row>
    <row r="7792" spans="16:21" x14ac:dyDescent="0.35">
      <c r="P7792" s="226"/>
      <c r="Q7792" s="226"/>
      <c r="R7792" s="226"/>
      <c r="S7792" s="226"/>
      <c r="T7792" s="226"/>
      <c r="U7792" s="226"/>
    </row>
    <row r="7793" spans="16:21" x14ac:dyDescent="0.35">
      <c r="P7793" s="226"/>
      <c r="Q7793" s="226"/>
      <c r="R7793" s="226"/>
      <c r="S7793" s="226"/>
      <c r="T7793" s="226"/>
      <c r="U7793" s="226"/>
    </row>
    <row r="7794" spans="16:21" x14ac:dyDescent="0.35">
      <c r="P7794" s="226"/>
      <c r="Q7794" s="226"/>
      <c r="R7794" s="226"/>
      <c r="S7794" s="226"/>
      <c r="T7794" s="226"/>
      <c r="U7794" s="226"/>
    </row>
    <row r="7795" spans="16:21" x14ac:dyDescent="0.35">
      <c r="P7795" s="226"/>
      <c r="Q7795" s="226"/>
      <c r="R7795" s="226"/>
      <c r="S7795" s="226"/>
      <c r="T7795" s="226"/>
      <c r="U7795" s="226"/>
    </row>
    <row r="7796" spans="16:21" x14ac:dyDescent="0.35">
      <c r="P7796" s="226"/>
      <c r="Q7796" s="226"/>
      <c r="R7796" s="226"/>
      <c r="S7796" s="226"/>
      <c r="T7796" s="226"/>
      <c r="U7796" s="226"/>
    </row>
    <row r="7797" spans="16:21" x14ac:dyDescent="0.35">
      <c r="P7797" s="226"/>
      <c r="Q7797" s="226"/>
      <c r="R7797" s="226"/>
      <c r="S7797" s="226"/>
      <c r="T7797" s="226"/>
      <c r="U7797" s="226"/>
    </row>
    <row r="7798" spans="16:21" x14ac:dyDescent="0.35">
      <c r="P7798" s="226"/>
      <c r="Q7798" s="226"/>
      <c r="R7798" s="226"/>
      <c r="S7798" s="226"/>
      <c r="T7798" s="226"/>
      <c r="U7798" s="226"/>
    </row>
    <row r="7799" spans="16:21" x14ac:dyDescent="0.35">
      <c r="P7799" s="226"/>
      <c r="Q7799" s="226"/>
      <c r="R7799" s="226"/>
      <c r="S7799" s="226"/>
      <c r="T7799" s="226"/>
      <c r="U7799" s="226"/>
    </row>
    <row r="7800" spans="16:21" x14ac:dyDescent="0.35">
      <c r="P7800" s="226"/>
      <c r="Q7800" s="226"/>
      <c r="R7800" s="226"/>
      <c r="S7800" s="226"/>
      <c r="T7800" s="226"/>
      <c r="U7800" s="226"/>
    </row>
    <row r="7801" spans="16:21" x14ac:dyDescent="0.35">
      <c r="P7801" s="226"/>
      <c r="Q7801" s="226"/>
      <c r="R7801" s="226"/>
      <c r="S7801" s="226"/>
      <c r="T7801" s="226"/>
      <c r="U7801" s="226"/>
    </row>
    <row r="7802" spans="16:21" x14ac:dyDescent="0.35">
      <c r="P7802" s="226"/>
      <c r="Q7802" s="226"/>
      <c r="R7802" s="226"/>
      <c r="S7802" s="226"/>
      <c r="T7802" s="226"/>
      <c r="U7802" s="226"/>
    </row>
    <row r="7803" spans="16:21" x14ac:dyDescent="0.35">
      <c r="P7803" s="226"/>
      <c r="Q7803" s="226"/>
      <c r="R7803" s="226"/>
      <c r="S7803" s="226"/>
      <c r="T7803" s="226"/>
      <c r="U7803" s="226"/>
    </row>
    <row r="7804" spans="16:21" x14ac:dyDescent="0.35">
      <c r="P7804" s="226"/>
      <c r="Q7804" s="226"/>
      <c r="R7804" s="226"/>
      <c r="S7804" s="226"/>
      <c r="T7804" s="226"/>
      <c r="U7804" s="226"/>
    </row>
    <row r="7805" spans="16:21" x14ac:dyDescent="0.35">
      <c r="P7805" s="226"/>
      <c r="Q7805" s="226"/>
      <c r="R7805" s="226"/>
      <c r="S7805" s="226"/>
      <c r="T7805" s="226"/>
      <c r="U7805" s="226"/>
    </row>
    <row r="7806" spans="16:21" x14ac:dyDescent="0.35">
      <c r="P7806" s="226"/>
      <c r="Q7806" s="226"/>
      <c r="R7806" s="226"/>
      <c r="S7806" s="226"/>
      <c r="T7806" s="226"/>
      <c r="U7806" s="226"/>
    </row>
    <row r="7807" spans="16:21" x14ac:dyDescent="0.35">
      <c r="P7807" s="226"/>
      <c r="Q7807" s="226"/>
      <c r="R7807" s="226"/>
      <c r="S7807" s="226"/>
      <c r="T7807" s="226"/>
      <c r="U7807" s="226"/>
    </row>
    <row r="7808" spans="16:21" x14ac:dyDescent="0.35">
      <c r="P7808" s="226"/>
      <c r="Q7808" s="226"/>
      <c r="R7808" s="226"/>
      <c r="S7808" s="226"/>
      <c r="T7808" s="226"/>
      <c r="U7808" s="226"/>
    </row>
    <row r="7809" spans="16:21" x14ac:dyDescent="0.35">
      <c r="P7809" s="226"/>
      <c r="Q7809" s="226"/>
      <c r="R7809" s="226"/>
      <c r="S7809" s="226"/>
      <c r="T7809" s="226"/>
      <c r="U7809" s="226"/>
    </row>
    <row r="7810" spans="16:21" x14ac:dyDescent="0.35">
      <c r="P7810" s="226"/>
      <c r="Q7810" s="226"/>
      <c r="R7810" s="226"/>
      <c r="S7810" s="226"/>
      <c r="T7810" s="226"/>
      <c r="U7810" s="226"/>
    </row>
    <row r="7811" spans="16:21" x14ac:dyDescent="0.35">
      <c r="P7811" s="226"/>
      <c r="Q7811" s="226"/>
      <c r="R7811" s="226"/>
      <c r="S7811" s="226"/>
      <c r="T7811" s="226"/>
      <c r="U7811" s="226"/>
    </row>
    <row r="7812" spans="16:21" x14ac:dyDescent="0.35">
      <c r="P7812" s="226"/>
      <c r="Q7812" s="226"/>
      <c r="R7812" s="226"/>
      <c r="S7812" s="226"/>
      <c r="T7812" s="226"/>
      <c r="U7812" s="226"/>
    </row>
    <row r="7813" spans="16:21" x14ac:dyDescent="0.35">
      <c r="P7813" s="226"/>
      <c r="Q7813" s="226"/>
      <c r="R7813" s="226"/>
      <c r="S7813" s="226"/>
      <c r="T7813" s="226"/>
      <c r="U7813" s="226"/>
    </row>
    <row r="7814" spans="16:21" x14ac:dyDescent="0.35">
      <c r="P7814" s="226"/>
      <c r="Q7814" s="226"/>
      <c r="R7814" s="226"/>
      <c r="S7814" s="226"/>
      <c r="T7814" s="226"/>
      <c r="U7814" s="226"/>
    </row>
    <row r="7815" spans="16:21" x14ac:dyDescent="0.35">
      <c r="P7815" s="226"/>
      <c r="Q7815" s="226"/>
      <c r="R7815" s="226"/>
      <c r="S7815" s="226"/>
      <c r="T7815" s="226"/>
      <c r="U7815" s="226"/>
    </row>
    <row r="7816" spans="16:21" x14ac:dyDescent="0.35">
      <c r="P7816" s="226"/>
      <c r="Q7816" s="226"/>
      <c r="R7816" s="226"/>
      <c r="S7816" s="226"/>
      <c r="T7816" s="226"/>
      <c r="U7816" s="226"/>
    </row>
    <row r="7817" spans="16:21" x14ac:dyDescent="0.35">
      <c r="P7817" s="226"/>
      <c r="Q7817" s="226"/>
      <c r="R7817" s="226"/>
      <c r="S7817" s="226"/>
      <c r="T7817" s="226"/>
      <c r="U7817" s="226"/>
    </row>
    <row r="7818" spans="16:21" x14ac:dyDescent="0.35">
      <c r="P7818" s="226"/>
      <c r="Q7818" s="226"/>
      <c r="R7818" s="226"/>
      <c r="S7818" s="226"/>
      <c r="T7818" s="226"/>
      <c r="U7818" s="226"/>
    </row>
    <row r="7819" spans="16:21" x14ac:dyDescent="0.35">
      <c r="P7819" s="226"/>
      <c r="Q7819" s="226"/>
      <c r="R7819" s="226"/>
      <c r="S7819" s="226"/>
      <c r="T7819" s="226"/>
      <c r="U7819" s="226"/>
    </row>
    <row r="7820" spans="16:21" x14ac:dyDescent="0.35">
      <c r="P7820" s="226"/>
      <c r="Q7820" s="226"/>
      <c r="R7820" s="226"/>
      <c r="S7820" s="226"/>
      <c r="T7820" s="226"/>
      <c r="U7820" s="226"/>
    </row>
    <row r="7821" spans="16:21" x14ac:dyDescent="0.35">
      <c r="P7821" s="226"/>
      <c r="Q7821" s="226"/>
      <c r="R7821" s="226"/>
      <c r="S7821" s="226"/>
      <c r="T7821" s="226"/>
      <c r="U7821" s="226"/>
    </row>
    <row r="7822" spans="16:21" x14ac:dyDescent="0.35">
      <c r="P7822" s="226"/>
      <c r="Q7822" s="226"/>
      <c r="R7822" s="226"/>
      <c r="S7822" s="226"/>
      <c r="T7822" s="226"/>
      <c r="U7822" s="226"/>
    </row>
    <row r="7823" spans="16:21" x14ac:dyDescent="0.35">
      <c r="P7823" s="226"/>
      <c r="Q7823" s="226"/>
      <c r="R7823" s="226"/>
      <c r="S7823" s="226"/>
      <c r="T7823" s="226"/>
      <c r="U7823" s="226"/>
    </row>
    <row r="7824" spans="16:21" x14ac:dyDescent="0.35">
      <c r="P7824" s="226"/>
      <c r="Q7824" s="226"/>
      <c r="R7824" s="226"/>
      <c r="S7824" s="226"/>
      <c r="T7824" s="226"/>
      <c r="U7824" s="226"/>
    </row>
    <row r="7825" spans="16:21" x14ac:dyDescent="0.35">
      <c r="P7825" s="226"/>
      <c r="Q7825" s="226"/>
      <c r="R7825" s="226"/>
      <c r="S7825" s="226"/>
      <c r="T7825" s="226"/>
      <c r="U7825" s="226"/>
    </row>
    <row r="7826" spans="16:21" x14ac:dyDescent="0.35">
      <c r="P7826" s="226"/>
      <c r="Q7826" s="226"/>
      <c r="R7826" s="226"/>
      <c r="S7826" s="226"/>
      <c r="T7826" s="226"/>
      <c r="U7826" s="226"/>
    </row>
    <row r="7827" spans="16:21" x14ac:dyDescent="0.35">
      <c r="P7827" s="226"/>
      <c r="Q7827" s="226"/>
      <c r="R7827" s="226"/>
      <c r="S7827" s="226"/>
      <c r="T7827" s="226"/>
      <c r="U7827" s="226"/>
    </row>
    <row r="7828" spans="16:21" x14ac:dyDescent="0.35">
      <c r="P7828" s="226"/>
      <c r="Q7828" s="226"/>
      <c r="R7828" s="226"/>
      <c r="S7828" s="226"/>
      <c r="T7828" s="226"/>
      <c r="U7828" s="226"/>
    </row>
    <row r="7829" spans="16:21" x14ac:dyDescent="0.35">
      <c r="P7829" s="226"/>
      <c r="Q7829" s="226"/>
      <c r="R7829" s="226"/>
      <c r="S7829" s="226"/>
      <c r="T7829" s="226"/>
      <c r="U7829" s="226"/>
    </row>
    <row r="7830" spans="16:21" x14ac:dyDescent="0.35">
      <c r="P7830" s="226"/>
      <c r="Q7830" s="226"/>
      <c r="R7830" s="226"/>
      <c r="S7830" s="226"/>
      <c r="T7830" s="226"/>
      <c r="U7830" s="226"/>
    </row>
    <row r="7831" spans="16:21" x14ac:dyDescent="0.35">
      <c r="P7831" s="226"/>
      <c r="Q7831" s="226"/>
      <c r="R7831" s="226"/>
      <c r="S7831" s="226"/>
      <c r="T7831" s="226"/>
      <c r="U7831" s="226"/>
    </row>
    <row r="7832" spans="16:21" x14ac:dyDescent="0.35">
      <c r="P7832" s="226"/>
      <c r="Q7832" s="226"/>
      <c r="R7832" s="226"/>
      <c r="S7832" s="226"/>
      <c r="T7832" s="226"/>
      <c r="U7832" s="226"/>
    </row>
    <row r="7833" spans="16:21" x14ac:dyDescent="0.35">
      <c r="P7833" s="226"/>
      <c r="Q7833" s="226"/>
      <c r="R7833" s="226"/>
      <c r="S7833" s="226"/>
      <c r="T7833" s="226"/>
      <c r="U7833" s="226"/>
    </row>
    <row r="7834" spans="16:21" x14ac:dyDescent="0.35">
      <c r="P7834" s="226"/>
      <c r="Q7834" s="226"/>
      <c r="R7834" s="226"/>
      <c r="S7834" s="226"/>
      <c r="T7834" s="226"/>
      <c r="U7834" s="226"/>
    </row>
    <row r="7835" spans="16:21" x14ac:dyDescent="0.35">
      <c r="P7835" s="226"/>
      <c r="Q7835" s="226"/>
      <c r="R7835" s="226"/>
      <c r="S7835" s="226"/>
      <c r="T7835" s="226"/>
      <c r="U7835" s="226"/>
    </row>
    <row r="7836" spans="16:21" x14ac:dyDescent="0.35">
      <c r="P7836" s="226"/>
      <c r="Q7836" s="226"/>
      <c r="R7836" s="226"/>
      <c r="S7836" s="226"/>
      <c r="T7836" s="226"/>
      <c r="U7836" s="226"/>
    </row>
    <row r="7837" spans="16:21" x14ac:dyDescent="0.35">
      <c r="P7837" s="226"/>
      <c r="Q7837" s="226"/>
      <c r="R7837" s="226"/>
      <c r="S7837" s="226"/>
      <c r="T7837" s="226"/>
      <c r="U7837" s="226"/>
    </row>
    <row r="7838" spans="16:21" x14ac:dyDescent="0.35">
      <c r="P7838" s="226"/>
      <c r="Q7838" s="226"/>
      <c r="R7838" s="226"/>
      <c r="S7838" s="226"/>
      <c r="T7838" s="226"/>
      <c r="U7838" s="226"/>
    </row>
    <row r="7839" spans="16:21" x14ac:dyDescent="0.35">
      <c r="P7839" s="226"/>
      <c r="Q7839" s="226"/>
      <c r="R7839" s="226"/>
      <c r="S7839" s="226"/>
      <c r="T7839" s="226"/>
      <c r="U7839" s="226"/>
    </row>
    <row r="7840" spans="16:21" x14ac:dyDescent="0.35">
      <c r="P7840" s="226"/>
      <c r="Q7840" s="226"/>
      <c r="R7840" s="226"/>
      <c r="S7840" s="226"/>
      <c r="T7840" s="226"/>
      <c r="U7840" s="226"/>
    </row>
    <row r="7841" spans="16:21" x14ac:dyDescent="0.35">
      <c r="P7841" s="226"/>
      <c r="Q7841" s="226"/>
      <c r="R7841" s="226"/>
      <c r="S7841" s="226"/>
      <c r="T7841" s="226"/>
      <c r="U7841" s="226"/>
    </row>
    <row r="7842" spans="16:21" x14ac:dyDescent="0.35">
      <c r="P7842" s="226"/>
      <c r="Q7842" s="226"/>
      <c r="R7842" s="226"/>
      <c r="S7842" s="226"/>
      <c r="T7842" s="226"/>
      <c r="U7842" s="226"/>
    </row>
    <row r="7843" spans="16:21" x14ac:dyDescent="0.35">
      <c r="P7843" s="226"/>
      <c r="Q7843" s="226"/>
      <c r="R7843" s="226"/>
      <c r="S7843" s="226"/>
      <c r="T7843" s="226"/>
      <c r="U7843" s="226"/>
    </row>
    <row r="7844" spans="16:21" x14ac:dyDescent="0.35">
      <c r="P7844" s="226"/>
      <c r="Q7844" s="226"/>
      <c r="R7844" s="226"/>
      <c r="S7844" s="226"/>
      <c r="T7844" s="226"/>
      <c r="U7844" s="226"/>
    </row>
    <row r="7845" spans="16:21" x14ac:dyDescent="0.35">
      <c r="P7845" s="226"/>
      <c r="Q7845" s="226"/>
      <c r="R7845" s="226"/>
      <c r="S7845" s="226"/>
      <c r="T7845" s="226"/>
      <c r="U7845" s="226"/>
    </row>
    <row r="7846" spans="16:21" x14ac:dyDescent="0.35">
      <c r="P7846" s="226"/>
      <c r="Q7846" s="226"/>
      <c r="R7846" s="226"/>
      <c r="S7846" s="226"/>
      <c r="T7846" s="226"/>
      <c r="U7846" s="226"/>
    </row>
    <row r="7847" spans="16:21" x14ac:dyDescent="0.35">
      <c r="P7847" s="226"/>
      <c r="Q7847" s="226"/>
      <c r="R7847" s="226"/>
      <c r="S7847" s="226"/>
      <c r="T7847" s="226"/>
      <c r="U7847" s="226"/>
    </row>
    <row r="7848" spans="16:21" x14ac:dyDescent="0.35">
      <c r="P7848" s="226"/>
      <c r="Q7848" s="226"/>
      <c r="R7848" s="226"/>
      <c r="S7848" s="226"/>
      <c r="T7848" s="226"/>
      <c r="U7848" s="226"/>
    </row>
    <row r="7849" spans="16:21" x14ac:dyDescent="0.35">
      <c r="P7849" s="226"/>
      <c r="Q7849" s="226"/>
      <c r="R7849" s="226"/>
      <c r="S7849" s="226"/>
      <c r="T7849" s="226"/>
      <c r="U7849" s="226"/>
    </row>
    <row r="7850" spans="16:21" x14ac:dyDescent="0.35">
      <c r="P7850" s="226"/>
      <c r="Q7850" s="226"/>
      <c r="R7850" s="226"/>
      <c r="S7850" s="226"/>
      <c r="T7850" s="226"/>
      <c r="U7850" s="226"/>
    </row>
    <row r="7851" spans="16:21" x14ac:dyDescent="0.35">
      <c r="P7851" s="226"/>
      <c r="Q7851" s="226"/>
      <c r="R7851" s="226"/>
      <c r="S7851" s="226"/>
      <c r="T7851" s="226"/>
      <c r="U7851" s="226"/>
    </row>
    <row r="7852" spans="16:21" x14ac:dyDescent="0.35">
      <c r="P7852" s="226"/>
      <c r="Q7852" s="226"/>
      <c r="R7852" s="226"/>
      <c r="S7852" s="226"/>
      <c r="T7852" s="226"/>
      <c r="U7852" s="226"/>
    </row>
    <row r="7853" spans="16:21" x14ac:dyDescent="0.35">
      <c r="P7853" s="226"/>
      <c r="Q7853" s="226"/>
      <c r="R7853" s="226"/>
      <c r="S7853" s="226"/>
      <c r="T7853" s="226"/>
      <c r="U7853" s="226"/>
    </row>
    <row r="7854" spans="16:21" x14ac:dyDescent="0.35">
      <c r="P7854" s="226"/>
      <c r="Q7854" s="226"/>
      <c r="R7854" s="226"/>
      <c r="S7854" s="226"/>
      <c r="T7854" s="226"/>
      <c r="U7854" s="226"/>
    </row>
    <row r="7855" spans="16:21" x14ac:dyDescent="0.35">
      <c r="P7855" s="226"/>
      <c r="Q7855" s="226"/>
      <c r="R7855" s="226"/>
      <c r="S7855" s="226"/>
      <c r="T7855" s="226"/>
      <c r="U7855" s="226"/>
    </row>
    <row r="7856" spans="16:21" x14ac:dyDescent="0.35">
      <c r="P7856" s="226"/>
      <c r="Q7856" s="226"/>
      <c r="R7856" s="226"/>
      <c r="S7856" s="226"/>
      <c r="T7856" s="226"/>
      <c r="U7856" s="226"/>
    </row>
    <row r="7857" spans="16:21" x14ac:dyDescent="0.35">
      <c r="P7857" s="226"/>
      <c r="Q7857" s="226"/>
      <c r="R7857" s="226"/>
      <c r="S7857" s="226"/>
      <c r="T7857" s="226"/>
      <c r="U7857" s="226"/>
    </row>
    <row r="7858" spans="16:21" x14ac:dyDescent="0.35">
      <c r="P7858" s="226"/>
      <c r="Q7858" s="226"/>
      <c r="R7858" s="226"/>
      <c r="S7858" s="226"/>
      <c r="T7858" s="226"/>
      <c r="U7858" s="226"/>
    </row>
    <row r="7859" spans="16:21" x14ac:dyDescent="0.35">
      <c r="P7859" s="226"/>
      <c r="Q7859" s="226"/>
      <c r="R7859" s="226"/>
      <c r="S7859" s="226"/>
      <c r="T7859" s="226"/>
      <c r="U7859" s="226"/>
    </row>
    <row r="7860" spans="16:21" x14ac:dyDescent="0.35">
      <c r="P7860" s="226"/>
      <c r="Q7860" s="226"/>
      <c r="R7860" s="226"/>
      <c r="S7860" s="226"/>
      <c r="T7860" s="226"/>
      <c r="U7860" s="226"/>
    </row>
    <row r="7861" spans="16:21" x14ac:dyDescent="0.35">
      <c r="P7861" s="226"/>
      <c r="Q7861" s="226"/>
      <c r="R7861" s="226"/>
      <c r="S7861" s="226"/>
      <c r="T7861" s="226"/>
      <c r="U7861" s="226"/>
    </row>
    <row r="7862" spans="16:21" x14ac:dyDescent="0.35">
      <c r="P7862" s="226"/>
      <c r="Q7862" s="226"/>
      <c r="R7862" s="226"/>
      <c r="S7862" s="226"/>
      <c r="T7862" s="226"/>
      <c r="U7862" s="226"/>
    </row>
    <row r="7863" spans="16:21" x14ac:dyDescent="0.35">
      <c r="P7863" s="226"/>
      <c r="Q7863" s="226"/>
      <c r="R7863" s="226"/>
      <c r="S7863" s="226"/>
      <c r="T7863" s="226"/>
      <c r="U7863" s="226"/>
    </row>
    <row r="7864" spans="16:21" x14ac:dyDescent="0.35">
      <c r="P7864" s="226"/>
      <c r="Q7864" s="226"/>
      <c r="R7864" s="226"/>
      <c r="S7864" s="226"/>
      <c r="T7864" s="226"/>
      <c r="U7864" s="226"/>
    </row>
    <row r="7865" spans="16:21" x14ac:dyDescent="0.35">
      <c r="P7865" s="226"/>
      <c r="Q7865" s="226"/>
      <c r="R7865" s="226"/>
      <c r="S7865" s="226"/>
      <c r="T7865" s="226"/>
      <c r="U7865" s="226"/>
    </row>
    <row r="7866" spans="16:21" x14ac:dyDescent="0.35">
      <c r="P7866" s="226"/>
      <c r="Q7866" s="226"/>
      <c r="R7866" s="226"/>
      <c r="S7866" s="226"/>
      <c r="T7866" s="226"/>
      <c r="U7866" s="226"/>
    </row>
    <row r="7867" spans="16:21" x14ac:dyDescent="0.35">
      <c r="P7867" s="226"/>
      <c r="Q7867" s="226"/>
      <c r="R7867" s="226"/>
      <c r="S7867" s="226"/>
      <c r="T7867" s="226"/>
      <c r="U7867" s="226"/>
    </row>
    <row r="7868" spans="16:21" x14ac:dyDescent="0.35">
      <c r="P7868" s="226"/>
      <c r="Q7868" s="226"/>
      <c r="R7868" s="226"/>
      <c r="S7868" s="226"/>
      <c r="T7868" s="226"/>
      <c r="U7868" s="226"/>
    </row>
    <row r="7869" spans="16:21" x14ac:dyDescent="0.35">
      <c r="P7869" s="226"/>
      <c r="Q7869" s="226"/>
      <c r="R7869" s="226"/>
      <c r="S7869" s="226"/>
      <c r="T7869" s="226"/>
      <c r="U7869" s="226"/>
    </row>
    <row r="7870" spans="16:21" x14ac:dyDescent="0.35">
      <c r="P7870" s="226"/>
      <c r="Q7870" s="226"/>
      <c r="R7870" s="226"/>
      <c r="S7870" s="226"/>
      <c r="T7870" s="226"/>
      <c r="U7870" s="226"/>
    </row>
    <row r="7871" spans="16:21" x14ac:dyDescent="0.35">
      <c r="P7871" s="226"/>
      <c r="Q7871" s="226"/>
      <c r="R7871" s="226"/>
      <c r="S7871" s="226"/>
      <c r="T7871" s="226"/>
      <c r="U7871" s="226"/>
    </row>
    <row r="7872" spans="16:21" x14ac:dyDescent="0.35">
      <c r="P7872" s="226"/>
      <c r="Q7872" s="226"/>
      <c r="R7872" s="226"/>
      <c r="S7872" s="226"/>
      <c r="T7872" s="226"/>
      <c r="U7872" s="226"/>
    </row>
    <row r="7873" spans="16:21" x14ac:dyDescent="0.35">
      <c r="P7873" s="226"/>
      <c r="Q7873" s="226"/>
      <c r="R7873" s="226"/>
      <c r="S7873" s="226"/>
      <c r="T7873" s="226"/>
      <c r="U7873" s="226"/>
    </row>
    <row r="7874" spans="16:21" x14ac:dyDescent="0.35">
      <c r="P7874" s="226"/>
      <c r="Q7874" s="226"/>
      <c r="R7874" s="226"/>
      <c r="S7874" s="226"/>
      <c r="T7874" s="226"/>
      <c r="U7874" s="226"/>
    </row>
    <row r="7875" spans="16:21" x14ac:dyDescent="0.35">
      <c r="P7875" s="226"/>
      <c r="Q7875" s="226"/>
      <c r="R7875" s="226"/>
      <c r="S7875" s="226"/>
      <c r="T7875" s="226"/>
      <c r="U7875" s="226"/>
    </row>
    <row r="7876" spans="16:21" x14ac:dyDescent="0.35">
      <c r="P7876" s="226"/>
      <c r="Q7876" s="226"/>
      <c r="R7876" s="226"/>
      <c r="S7876" s="226"/>
      <c r="T7876" s="226"/>
      <c r="U7876" s="226"/>
    </row>
    <row r="7877" spans="16:21" x14ac:dyDescent="0.35">
      <c r="P7877" s="226"/>
      <c r="Q7877" s="226"/>
      <c r="R7877" s="226"/>
      <c r="S7877" s="226"/>
      <c r="T7877" s="226"/>
      <c r="U7877" s="226"/>
    </row>
    <row r="7878" spans="16:21" x14ac:dyDescent="0.35">
      <c r="P7878" s="226"/>
      <c r="Q7878" s="226"/>
      <c r="R7878" s="226"/>
      <c r="S7878" s="226"/>
      <c r="T7878" s="226"/>
      <c r="U7878" s="226"/>
    </row>
    <row r="7879" spans="16:21" x14ac:dyDescent="0.35">
      <c r="P7879" s="226"/>
      <c r="Q7879" s="226"/>
      <c r="R7879" s="226"/>
      <c r="S7879" s="226"/>
      <c r="T7879" s="226"/>
      <c r="U7879" s="226"/>
    </row>
    <row r="7880" spans="16:21" x14ac:dyDescent="0.35">
      <c r="P7880" s="226"/>
      <c r="Q7880" s="226"/>
      <c r="R7880" s="226"/>
      <c r="S7880" s="226"/>
      <c r="T7880" s="226"/>
      <c r="U7880" s="226"/>
    </row>
    <row r="7881" spans="16:21" x14ac:dyDescent="0.35">
      <c r="P7881" s="226"/>
      <c r="Q7881" s="226"/>
      <c r="R7881" s="226"/>
      <c r="S7881" s="226"/>
      <c r="T7881" s="226"/>
      <c r="U7881" s="226"/>
    </row>
    <row r="7882" spans="16:21" x14ac:dyDescent="0.35">
      <c r="P7882" s="226"/>
      <c r="Q7882" s="226"/>
      <c r="R7882" s="226"/>
      <c r="S7882" s="226"/>
      <c r="T7882" s="226"/>
      <c r="U7882" s="226"/>
    </row>
    <row r="7883" spans="16:21" x14ac:dyDescent="0.35">
      <c r="P7883" s="226"/>
      <c r="Q7883" s="226"/>
      <c r="R7883" s="226"/>
      <c r="S7883" s="226"/>
      <c r="T7883" s="226"/>
      <c r="U7883" s="226"/>
    </row>
    <row r="7884" spans="16:21" x14ac:dyDescent="0.35">
      <c r="P7884" s="226"/>
      <c r="Q7884" s="226"/>
      <c r="R7884" s="226"/>
      <c r="S7884" s="226"/>
      <c r="T7884" s="226"/>
      <c r="U7884" s="226"/>
    </row>
    <row r="7885" spans="16:21" x14ac:dyDescent="0.35">
      <c r="P7885" s="226"/>
      <c r="Q7885" s="226"/>
      <c r="R7885" s="226"/>
      <c r="S7885" s="226"/>
      <c r="T7885" s="226"/>
      <c r="U7885" s="226"/>
    </row>
    <row r="7886" spans="16:21" x14ac:dyDescent="0.35">
      <c r="P7886" s="226"/>
      <c r="Q7886" s="226"/>
      <c r="R7886" s="226"/>
      <c r="S7886" s="226"/>
      <c r="T7886" s="226"/>
      <c r="U7886" s="226"/>
    </row>
    <row r="7887" spans="16:21" x14ac:dyDescent="0.35">
      <c r="P7887" s="226"/>
      <c r="Q7887" s="226"/>
      <c r="R7887" s="226"/>
      <c r="S7887" s="226"/>
      <c r="T7887" s="226"/>
      <c r="U7887" s="226"/>
    </row>
    <row r="7888" spans="16:21" x14ac:dyDescent="0.35">
      <c r="P7888" s="226"/>
      <c r="Q7888" s="226"/>
      <c r="R7888" s="226"/>
      <c r="S7888" s="226"/>
      <c r="T7888" s="226"/>
      <c r="U7888" s="226"/>
    </row>
    <row r="7889" spans="16:21" x14ac:dyDescent="0.35">
      <c r="P7889" s="226"/>
      <c r="Q7889" s="226"/>
      <c r="R7889" s="226"/>
      <c r="S7889" s="226"/>
      <c r="T7889" s="226"/>
      <c r="U7889" s="226"/>
    </row>
    <row r="7890" spans="16:21" x14ac:dyDescent="0.35">
      <c r="P7890" s="226"/>
      <c r="Q7890" s="226"/>
      <c r="R7890" s="226"/>
      <c r="S7890" s="226"/>
      <c r="T7890" s="226"/>
      <c r="U7890" s="226"/>
    </row>
    <row r="7891" spans="16:21" x14ac:dyDescent="0.35">
      <c r="P7891" s="226"/>
      <c r="Q7891" s="226"/>
      <c r="R7891" s="226"/>
      <c r="S7891" s="226"/>
      <c r="T7891" s="226"/>
      <c r="U7891" s="226"/>
    </row>
    <row r="7892" spans="16:21" x14ac:dyDescent="0.35">
      <c r="P7892" s="226"/>
      <c r="Q7892" s="226"/>
      <c r="R7892" s="226"/>
      <c r="S7892" s="226"/>
      <c r="T7892" s="226"/>
      <c r="U7892" s="226"/>
    </row>
    <row r="7893" spans="16:21" x14ac:dyDescent="0.35">
      <c r="P7893" s="226"/>
      <c r="Q7893" s="226"/>
      <c r="R7893" s="226"/>
      <c r="S7893" s="226"/>
      <c r="T7893" s="226"/>
      <c r="U7893" s="226"/>
    </row>
    <row r="7894" spans="16:21" x14ac:dyDescent="0.35">
      <c r="P7894" s="226"/>
      <c r="Q7894" s="226"/>
      <c r="R7894" s="226"/>
      <c r="S7894" s="226"/>
      <c r="T7894" s="226"/>
      <c r="U7894" s="226"/>
    </row>
    <row r="7895" spans="16:21" x14ac:dyDescent="0.35">
      <c r="P7895" s="226"/>
      <c r="Q7895" s="226"/>
      <c r="R7895" s="226"/>
      <c r="S7895" s="226"/>
      <c r="T7895" s="226"/>
      <c r="U7895" s="226"/>
    </row>
    <row r="7896" spans="16:21" x14ac:dyDescent="0.35">
      <c r="P7896" s="226"/>
      <c r="Q7896" s="226"/>
      <c r="R7896" s="226"/>
      <c r="S7896" s="226"/>
      <c r="T7896" s="226"/>
      <c r="U7896" s="226"/>
    </row>
    <row r="7897" spans="16:21" x14ac:dyDescent="0.35">
      <c r="P7897" s="226"/>
      <c r="Q7897" s="226"/>
      <c r="R7897" s="226"/>
      <c r="S7897" s="226"/>
      <c r="T7897" s="226"/>
      <c r="U7897" s="226"/>
    </row>
    <row r="7898" spans="16:21" x14ac:dyDescent="0.35">
      <c r="P7898" s="226"/>
      <c r="Q7898" s="226"/>
      <c r="R7898" s="226"/>
      <c r="S7898" s="226"/>
      <c r="T7898" s="226"/>
      <c r="U7898" s="226"/>
    </row>
    <row r="7899" spans="16:21" x14ac:dyDescent="0.35">
      <c r="P7899" s="226"/>
      <c r="Q7899" s="226"/>
      <c r="R7899" s="226"/>
      <c r="S7899" s="226"/>
      <c r="T7899" s="226"/>
      <c r="U7899" s="226"/>
    </row>
    <row r="7900" spans="16:21" x14ac:dyDescent="0.35">
      <c r="P7900" s="226"/>
      <c r="Q7900" s="226"/>
      <c r="R7900" s="226"/>
      <c r="S7900" s="226"/>
      <c r="T7900" s="226"/>
      <c r="U7900" s="226"/>
    </row>
    <row r="7901" spans="16:21" x14ac:dyDescent="0.35">
      <c r="P7901" s="226"/>
      <c r="Q7901" s="226"/>
      <c r="R7901" s="226"/>
      <c r="S7901" s="226"/>
      <c r="T7901" s="226"/>
      <c r="U7901" s="226"/>
    </row>
    <row r="7902" spans="16:21" x14ac:dyDescent="0.35">
      <c r="P7902" s="226"/>
      <c r="Q7902" s="226"/>
      <c r="R7902" s="226"/>
      <c r="S7902" s="226"/>
      <c r="T7902" s="226"/>
      <c r="U7902" s="226"/>
    </row>
    <row r="7903" spans="16:21" x14ac:dyDescent="0.35">
      <c r="P7903" s="226"/>
      <c r="Q7903" s="226"/>
      <c r="R7903" s="226"/>
      <c r="S7903" s="226"/>
      <c r="T7903" s="226"/>
      <c r="U7903" s="226"/>
    </row>
    <row r="7904" spans="16:21" x14ac:dyDescent="0.35">
      <c r="P7904" s="226"/>
      <c r="Q7904" s="226"/>
      <c r="R7904" s="226"/>
      <c r="S7904" s="226"/>
      <c r="T7904" s="226"/>
      <c r="U7904" s="226"/>
    </row>
    <row r="7905" spans="16:21" x14ac:dyDescent="0.35">
      <c r="P7905" s="226"/>
      <c r="Q7905" s="226"/>
      <c r="R7905" s="226"/>
      <c r="S7905" s="226"/>
      <c r="T7905" s="226"/>
      <c r="U7905" s="226"/>
    </row>
    <row r="7906" spans="16:21" x14ac:dyDescent="0.35">
      <c r="P7906" s="226"/>
      <c r="Q7906" s="226"/>
      <c r="R7906" s="226"/>
      <c r="S7906" s="226"/>
      <c r="T7906" s="226"/>
      <c r="U7906" s="226"/>
    </row>
    <row r="7907" spans="16:21" x14ac:dyDescent="0.35">
      <c r="P7907" s="226"/>
      <c r="Q7907" s="226"/>
      <c r="R7907" s="226"/>
      <c r="S7907" s="226"/>
      <c r="T7907" s="226"/>
      <c r="U7907" s="226"/>
    </row>
    <row r="7908" spans="16:21" x14ac:dyDescent="0.35">
      <c r="P7908" s="226"/>
      <c r="Q7908" s="226"/>
      <c r="R7908" s="226"/>
      <c r="S7908" s="226"/>
      <c r="T7908" s="226"/>
      <c r="U7908" s="226"/>
    </row>
    <row r="7909" spans="16:21" x14ac:dyDescent="0.35">
      <c r="P7909" s="226"/>
      <c r="Q7909" s="226"/>
      <c r="R7909" s="226"/>
      <c r="S7909" s="226"/>
      <c r="T7909" s="226"/>
      <c r="U7909" s="226"/>
    </row>
    <row r="7910" spans="16:21" x14ac:dyDescent="0.35">
      <c r="P7910" s="226"/>
      <c r="Q7910" s="226"/>
      <c r="R7910" s="226"/>
      <c r="S7910" s="226"/>
      <c r="T7910" s="226"/>
      <c r="U7910" s="226"/>
    </row>
    <row r="7911" spans="16:21" x14ac:dyDescent="0.35">
      <c r="P7911" s="226"/>
      <c r="Q7911" s="226"/>
      <c r="R7911" s="226"/>
      <c r="S7911" s="226"/>
      <c r="T7911" s="226"/>
      <c r="U7911" s="226"/>
    </row>
    <row r="7912" spans="16:21" x14ac:dyDescent="0.35">
      <c r="P7912" s="226"/>
      <c r="Q7912" s="226"/>
      <c r="R7912" s="226"/>
      <c r="S7912" s="226"/>
      <c r="T7912" s="226"/>
      <c r="U7912" s="226"/>
    </row>
    <row r="7913" spans="16:21" x14ac:dyDescent="0.35">
      <c r="P7913" s="226"/>
      <c r="Q7913" s="226"/>
      <c r="R7913" s="226"/>
      <c r="S7913" s="226"/>
      <c r="T7913" s="226"/>
      <c r="U7913" s="226"/>
    </row>
    <row r="7914" spans="16:21" x14ac:dyDescent="0.35">
      <c r="P7914" s="226"/>
      <c r="Q7914" s="226"/>
      <c r="R7914" s="226"/>
      <c r="S7914" s="226"/>
      <c r="T7914" s="226"/>
      <c r="U7914" s="226"/>
    </row>
    <row r="7915" spans="16:21" x14ac:dyDescent="0.35">
      <c r="P7915" s="226"/>
      <c r="Q7915" s="226"/>
      <c r="R7915" s="226"/>
      <c r="S7915" s="226"/>
      <c r="T7915" s="226"/>
      <c r="U7915" s="226"/>
    </row>
    <row r="7916" spans="16:21" x14ac:dyDescent="0.35">
      <c r="P7916" s="226"/>
      <c r="Q7916" s="226"/>
      <c r="R7916" s="226"/>
      <c r="S7916" s="226"/>
      <c r="T7916" s="226"/>
      <c r="U7916" s="226"/>
    </row>
    <row r="7917" spans="16:21" x14ac:dyDescent="0.35">
      <c r="P7917" s="226"/>
      <c r="Q7917" s="226"/>
      <c r="R7917" s="226"/>
      <c r="S7917" s="226"/>
      <c r="T7917" s="226"/>
      <c r="U7917" s="226"/>
    </row>
    <row r="7918" spans="16:21" x14ac:dyDescent="0.35">
      <c r="P7918" s="226"/>
      <c r="Q7918" s="226"/>
      <c r="R7918" s="226"/>
      <c r="S7918" s="226"/>
      <c r="T7918" s="226"/>
      <c r="U7918" s="226"/>
    </row>
    <row r="7919" spans="16:21" x14ac:dyDescent="0.35">
      <c r="P7919" s="226"/>
      <c r="Q7919" s="226"/>
      <c r="R7919" s="226"/>
      <c r="S7919" s="226"/>
      <c r="T7919" s="226"/>
      <c r="U7919" s="226"/>
    </row>
    <row r="7920" spans="16:21" x14ac:dyDescent="0.35">
      <c r="P7920" s="226"/>
      <c r="Q7920" s="226"/>
      <c r="R7920" s="226"/>
      <c r="S7920" s="226"/>
      <c r="T7920" s="226"/>
      <c r="U7920" s="226"/>
    </row>
    <row r="7921" spans="16:21" x14ac:dyDescent="0.35">
      <c r="P7921" s="226"/>
      <c r="Q7921" s="226"/>
      <c r="R7921" s="226"/>
      <c r="S7921" s="226"/>
      <c r="T7921" s="226"/>
      <c r="U7921" s="226"/>
    </row>
    <row r="7922" spans="16:21" x14ac:dyDescent="0.35">
      <c r="P7922" s="226"/>
      <c r="Q7922" s="226"/>
      <c r="R7922" s="226"/>
      <c r="S7922" s="226"/>
      <c r="T7922" s="226"/>
      <c r="U7922" s="226"/>
    </row>
    <row r="7923" spans="16:21" x14ac:dyDescent="0.35">
      <c r="P7923" s="226"/>
      <c r="Q7923" s="226"/>
      <c r="R7923" s="226"/>
      <c r="S7923" s="226"/>
      <c r="T7923" s="226"/>
      <c r="U7923" s="226"/>
    </row>
    <row r="7924" spans="16:21" x14ac:dyDescent="0.35">
      <c r="P7924" s="226"/>
      <c r="Q7924" s="226"/>
      <c r="R7924" s="226"/>
      <c r="S7924" s="226"/>
      <c r="T7924" s="226"/>
      <c r="U7924" s="226"/>
    </row>
    <row r="7925" spans="16:21" x14ac:dyDescent="0.35">
      <c r="P7925" s="226"/>
      <c r="Q7925" s="226"/>
      <c r="R7925" s="226"/>
      <c r="S7925" s="226"/>
      <c r="T7925" s="226"/>
      <c r="U7925" s="226"/>
    </row>
    <row r="7926" spans="16:21" x14ac:dyDescent="0.35">
      <c r="P7926" s="226"/>
      <c r="Q7926" s="226"/>
      <c r="R7926" s="226"/>
      <c r="S7926" s="226"/>
      <c r="T7926" s="226"/>
      <c r="U7926" s="226"/>
    </row>
    <row r="7927" spans="16:21" x14ac:dyDescent="0.35">
      <c r="P7927" s="226"/>
      <c r="Q7927" s="226"/>
      <c r="R7927" s="226"/>
      <c r="S7927" s="226"/>
      <c r="T7927" s="226"/>
      <c r="U7927" s="226"/>
    </row>
    <row r="7928" spans="16:21" x14ac:dyDescent="0.35">
      <c r="P7928" s="226"/>
      <c r="Q7928" s="226"/>
      <c r="R7928" s="226"/>
      <c r="S7928" s="226"/>
      <c r="T7928" s="226"/>
      <c r="U7928" s="226"/>
    </row>
    <row r="7929" spans="16:21" x14ac:dyDescent="0.35">
      <c r="P7929" s="226"/>
      <c r="Q7929" s="226"/>
      <c r="R7929" s="226"/>
      <c r="S7929" s="226"/>
      <c r="T7929" s="226"/>
      <c r="U7929" s="226"/>
    </row>
    <row r="7930" spans="16:21" x14ac:dyDescent="0.35">
      <c r="P7930" s="226"/>
      <c r="Q7930" s="226"/>
      <c r="R7930" s="226"/>
      <c r="S7930" s="226"/>
      <c r="T7930" s="226"/>
      <c r="U7930" s="226"/>
    </row>
    <row r="7931" spans="16:21" x14ac:dyDescent="0.35">
      <c r="P7931" s="226"/>
      <c r="Q7931" s="226"/>
      <c r="R7931" s="226"/>
      <c r="S7931" s="226"/>
      <c r="T7931" s="226"/>
      <c r="U7931" s="226"/>
    </row>
    <row r="7932" spans="16:21" x14ac:dyDescent="0.35">
      <c r="P7932" s="226"/>
      <c r="Q7932" s="226"/>
      <c r="R7932" s="226"/>
      <c r="S7932" s="226"/>
      <c r="T7932" s="226"/>
      <c r="U7932" s="226"/>
    </row>
    <row r="7933" spans="16:21" x14ac:dyDescent="0.35">
      <c r="P7933" s="226"/>
      <c r="Q7933" s="226"/>
      <c r="R7933" s="226"/>
      <c r="S7933" s="226"/>
      <c r="T7933" s="226"/>
      <c r="U7933" s="226"/>
    </row>
    <row r="7934" spans="16:21" x14ac:dyDescent="0.35">
      <c r="P7934" s="226"/>
      <c r="Q7934" s="226"/>
      <c r="R7934" s="226"/>
      <c r="S7934" s="226"/>
      <c r="T7934" s="226"/>
      <c r="U7934" s="226"/>
    </row>
    <row r="7935" spans="16:21" x14ac:dyDescent="0.35">
      <c r="P7935" s="226"/>
      <c r="Q7935" s="226"/>
      <c r="R7935" s="226"/>
      <c r="S7935" s="226"/>
      <c r="T7935" s="226"/>
      <c r="U7935" s="226"/>
    </row>
    <row r="7936" spans="16:21" x14ac:dyDescent="0.35">
      <c r="P7936" s="226"/>
      <c r="Q7936" s="226"/>
      <c r="R7936" s="226"/>
      <c r="S7936" s="226"/>
      <c r="T7936" s="226"/>
      <c r="U7936" s="226"/>
    </row>
    <row r="7937" spans="16:21" x14ac:dyDescent="0.35">
      <c r="P7937" s="226"/>
      <c r="Q7937" s="226"/>
      <c r="R7937" s="226"/>
      <c r="S7937" s="226"/>
      <c r="T7937" s="226"/>
      <c r="U7937" s="226"/>
    </row>
    <row r="7938" spans="16:21" x14ac:dyDescent="0.35">
      <c r="P7938" s="226"/>
      <c r="Q7938" s="226"/>
      <c r="R7938" s="226"/>
      <c r="S7938" s="226"/>
      <c r="T7938" s="226"/>
      <c r="U7938" s="226"/>
    </row>
    <row r="7939" spans="16:21" x14ac:dyDescent="0.35">
      <c r="P7939" s="226"/>
      <c r="Q7939" s="226"/>
      <c r="R7939" s="226"/>
      <c r="S7939" s="226"/>
      <c r="T7939" s="226"/>
      <c r="U7939" s="226"/>
    </row>
    <row r="7940" spans="16:21" x14ac:dyDescent="0.35">
      <c r="P7940" s="226"/>
      <c r="Q7940" s="226"/>
      <c r="R7940" s="226"/>
      <c r="S7940" s="226"/>
      <c r="T7940" s="226"/>
      <c r="U7940" s="226"/>
    </row>
    <row r="7941" spans="16:21" x14ac:dyDescent="0.35">
      <c r="P7941" s="226"/>
      <c r="Q7941" s="226"/>
      <c r="R7941" s="226"/>
      <c r="S7941" s="226"/>
      <c r="T7941" s="226"/>
      <c r="U7941" s="226"/>
    </row>
    <row r="7942" spans="16:21" x14ac:dyDescent="0.35">
      <c r="P7942" s="226"/>
      <c r="Q7942" s="226"/>
      <c r="R7942" s="226"/>
      <c r="S7942" s="226"/>
      <c r="T7942" s="226"/>
      <c r="U7942" s="226"/>
    </row>
    <row r="7943" spans="16:21" x14ac:dyDescent="0.35">
      <c r="P7943" s="226"/>
      <c r="Q7943" s="226"/>
      <c r="R7943" s="226"/>
      <c r="S7943" s="226"/>
      <c r="T7943" s="226"/>
      <c r="U7943" s="226"/>
    </row>
    <row r="7944" spans="16:21" x14ac:dyDescent="0.35">
      <c r="P7944" s="226"/>
      <c r="Q7944" s="226"/>
      <c r="R7944" s="226"/>
      <c r="S7944" s="226"/>
      <c r="T7944" s="226"/>
      <c r="U7944" s="226"/>
    </row>
    <row r="7945" spans="16:21" x14ac:dyDescent="0.35">
      <c r="P7945" s="226"/>
      <c r="Q7945" s="226"/>
      <c r="R7945" s="226"/>
      <c r="S7945" s="226"/>
      <c r="T7945" s="226"/>
      <c r="U7945" s="226"/>
    </row>
    <row r="7946" spans="16:21" x14ac:dyDescent="0.35">
      <c r="P7946" s="226"/>
      <c r="Q7946" s="226"/>
      <c r="R7946" s="226"/>
      <c r="S7946" s="226"/>
      <c r="T7946" s="226"/>
      <c r="U7946" s="226"/>
    </row>
    <row r="7947" spans="16:21" x14ac:dyDescent="0.35">
      <c r="P7947" s="226"/>
      <c r="Q7947" s="226"/>
      <c r="R7947" s="226"/>
      <c r="S7947" s="226"/>
      <c r="T7947" s="226"/>
      <c r="U7947" s="226"/>
    </row>
    <row r="7948" spans="16:21" x14ac:dyDescent="0.35">
      <c r="P7948" s="226"/>
      <c r="Q7948" s="226"/>
      <c r="R7948" s="226"/>
      <c r="S7948" s="226"/>
      <c r="T7948" s="226"/>
      <c r="U7948" s="226"/>
    </row>
    <row r="7949" spans="16:21" x14ac:dyDescent="0.35">
      <c r="P7949" s="226"/>
      <c r="Q7949" s="226"/>
      <c r="R7949" s="226"/>
      <c r="S7949" s="226"/>
      <c r="T7949" s="226"/>
      <c r="U7949" s="226"/>
    </row>
    <row r="7950" spans="16:21" x14ac:dyDescent="0.35">
      <c r="P7950" s="226"/>
      <c r="Q7950" s="226"/>
      <c r="R7950" s="226"/>
      <c r="S7950" s="226"/>
      <c r="T7950" s="226"/>
      <c r="U7950" s="226"/>
    </row>
    <row r="7951" spans="16:21" x14ac:dyDescent="0.35">
      <c r="P7951" s="226"/>
      <c r="Q7951" s="226"/>
      <c r="R7951" s="226"/>
      <c r="S7951" s="226"/>
      <c r="T7951" s="226"/>
      <c r="U7951" s="226"/>
    </row>
    <row r="7952" spans="16:21" x14ac:dyDescent="0.35">
      <c r="P7952" s="226"/>
      <c r="Q7952" s="226"/>
      <c r="R7952" s="226"/>
      <c r="S7952" s="226"/>
      <c r="T7952" s="226"/>
      <c r="U7952" s="226"/>
    </row>
    <row r="7953" spans="16:21" x14ac:dyDescent="0.35">
      <c r="P7953" s="226"/>
      <c r="Q7953" s="226"/>
      <c r="R7953" s="226"/>
      <c r="S7953" s="226"/>
      <c r="T7953" s="226"/>
      <c r="U7953" s="226"/>
    </row>
    <row r="7954" spans="16:21" x14ac:dyDescent="0.35">
      <c r="P7954" s="226"/>
      <c r="Q7954" s="226"/>
      <c r="R7954" s="226"/>
      <c r="S7954" s="226"/>
      <c r="T7954" s="226"/>
      <c r="U7954" s="226"/>
    </row>
    <row r="7955" spans="16:21" x14ac:dyDescent="0.35">
      <c r="P7955" s="226"/>
      <c r="Q7955" s="226"/>
      <c r="R7955" s="226"/>
      <c r="S7955" s="226"/>
      <c r="T7955" s="226"/>
      <c r="U7955" s="226"/>
    </row>
    <row r="7956" spans="16:21" x14ac:dyDescent="0.35">
      <c r="P7956" s="226"/>
      <c r="Q7956" s="226"/>
      <c r="R7956" s="226"/>
      <c r="S7956" s="226"/>
      <c r="T7956" s="226"/>
      <c r="U7956" s="226"/>
    </row>
    <row r="7957" spans="16:21" x14ac:dyDescent="0.35">
      <c r="P7957" s="226"/>
      <c r="Q7957" s="226"/>
      <c r="R7957" s="226"/>
      <c r="S7957" s="226"/>
      <c r="T7957" s="226"/>
      <c r="U7957" s="226"/>
    </row>
    <row r="7958" spans="16:21" x14ac:dyDescent="0.35">
      <c r="P7958" s="226"/>
      <c r="Q7958" s="226"/>
      <c r="R7958" s="226"/>
      <c r="S7958" s="226"/>
      <c r="T7958" s="226"/>
      <c r="U7958" s="226"/>
    </row>
    <row r="7959" spans="16:21" x14ac:dyDescent="0.35">
      <c r="P7959" s="226"/>
      <c r="Q7959" s="226"/>
      <c r="R7959" s="226"/>
      <c r="S7959" s="226"/>
      <c r="T7959" s="226"/>
      <c r="U7959" s="226"/>
    </row>
    <row r="7960" spans="16:21" x14ac:dyDescent="0.35">
      <c r="P7960" s="226"/>
      <c r="Q7960" s="226"/>
      <c r="R7960" s="226"/>
      <c r="S7960" s="226"/>
      <c r="T7960" s="226"/>
      <c r="U7960" s="226"/>
    </row>
    <row r="7961" spans="16:21" x14ac:dyDescent="0.35">
      <c r="P7961" s="226"/>
      <c r="Q7961" s="226"/>
      <c r="R7961" s="226"/>
      <c r="S7961" s="226"/>
      <c r="T7961" s="226"/>
      <c r="U7961" s="226"/>
    </row>
    <row r="7962" spans="16:21" x14ac:dyDescent="0.35">
      <c r="P7962" s="226"/>
      <c r="Q7962" s="226"/>
      <c r="R7962" s="226"/>
      <c r="S7962" s="226"/>
      <c r="T7962" s="226"/>
      <c r="U7962" s="226"/>
    </row>
    <row r="7963" spans="16:21" x14ac:dyDescent="0.35">
      <c r="P7963" s="226"/>
      <c r="Q7963" s="226"/>
      <c r="R7963" s="226"/>
      <c r="S7963" s="226"/>
      <c r="T7963" s="226"/>
      <c r="U7963" s="226"/>
    </row>
    <row r="7964" spans="16:21" x14ac:dyDescent="0.35">
      <c r="P7964" s="226"/>
      <c r="Q7964" s="226"/>
      <c r="R7964" s="226"/>
      <c r="S7964" s="226"/>
      <c r="T7964" s="226"/>
      <c r="U7964" s="226"/>
    </row>
    <row r="7965" spans="16:21" x14ac:dyDescent="0.35">
      <c r="P7965" s="226"/>
      <c r="Q7965" s="226"/>
      <c r="R7965" s="226"/>
      <c r="S7965" s="226"/>
      <c r="T7965" s="226"/>
      <c r="U7965" s="226"/>
    </row>
    <row r="7966" spans="16:21" x14ac:dyDescent="0.35">
      <c r="P7966" s="226"/>
      <c r="Q7966" s="226"/>
      <c r="R7966" s="226"/>
      <c r="S7966" s="226"/>
      <c r="T7966" s="226"/>
      <c r="U7966" s="226"/>
    </row>
    <row r="7967" spans="16:21" x14ac:dyDescent="0.35">
      <c r="P7967" s="226"/>
      <c r="Q7967" s="226"/>
      <c r="R7967" s="226"/>
      <c r="S7967" s="226"/>
      <c r="T7967" s="226"/>
      <c r="U7967" s="226"/>
    </row>
    <row r="7968" spans="16:21" x14ac:dyDescent="0.35">
      <c r="P7968" s="226"/>
      <c r="Q7968" s="226"/>
      <c r="R7968" s="226"/>
      <c r="S7968" s="226"/>
      <c r="T7968" s="226"/>
      <c r="U7968" s="226"/>
    </row>
    <row r="7969" spans="16:21" x14ac:dyDescent="0.35">
      <c r="P7969" s="226"/>
      <c r="Q7969" s="226"/>
      <c r="R7969" s="226"/>
      <c r="S7969" s="226"/>
      <c r="T7969" s="226"/>
      <c r="U7969" s="226"/>
    </row>
    <row r="7970" spans="16:21" x14ac:dyDescent="0.35">
      <c r="P7970" s="226"/>
      <c r="Q7970" s="226"/>
      <c r="R7970" s="226"/>
      <c r="S7970" s="226"/>
      <c r="T7970" s="226"/>
      <c r="U7970" s="226"/>
    </row>
    <row r="7971" spans="16:21" x14ac:dyDescent="0.35">
      <c r="P7971" s="226"/>
      <c r="Q7971" s="226"/>
      <c r="R7971" s="226"/>
      <c r="S7971" s="226"/>
      <c r="T7971" s="226"/>
      <c r="U7971" s="226"/>
    </row>
    <row r="7972" spans="16:21" x14ac:dyDescent="0.35">
      <c r="P7972" s="226"/>
      <c r="Q7972" s="226"/>
      <c r="R7972" s="226"/>
      <c r="S7972" s="226"/>
      <c r="T7972" s="226"/>
      <c r="U7972" s="226"/>
    </row>
    <row r="7973" spans="16:21" x14ac:dyDescent="0.35">
      <c r="P7973" s="226"/>
      <c r="Q7973" s="226"/>
      <c r="R7973" s="226"/>
      <c r="S7973" s="226"/>
      <c r="T7973" s="226"/>
      <c r="U7973" s="226"/>
    </row>
    <row r="7974" spans="16:21" x14ac:dyDescent="0.35">
      <c r="P7974" s="226"/>
      <c r="Q7974" s="226"/>
      <c r="R7974" s="226"/>
      <c r="S7974" s="226"/>
      <c r="T7974" s="226"/>
      <c r="U7974" s="226"/>
    </row>
    <row r="7975" spans="16:21" x14ac:dyDescent="0.35">
      <c r="P7975" s="226"/>
      <c r="Q7975" s="226"/>
      <c r="R7975" s="226"/>
      <c r="S7975" s="226"/>
      <c r="T7975" s="226"/>
      <c r="U7975" s="226"/>
    </row>
    <row r="7976" spans="16:21" x14ac:dyDescent="0.35">
      <c r="P7976" s="226"/>
      <c r="Q7976" s="226"/>
      <c r="R7976" s="226"/>
      <c r="S7976" s="226"/>
      <c r="T7976" s="226"/>
      <c r="U7976" s="226"/>
    </row>
    <row r="7977" spans="16:21" x14ac:dyDescent="0.35">
      <c r="P7977" s="226"/>
      <c r="Q7977" s="226"/>
      <c r="R7977" s="226"/>
      <c r="S7977" s="226"/>
      <c r="T7977" s="226"/>
      <c r="U7977" s="226"/>
    </row>
    <row r="7978" spans="16:21" x14ac:dyDescent="0.35">
      <c r="P7978" s="226"/>
      <c r="Q7978" s="226"/>
      <c r="R7978" s="226"/>
      <c r="S7978" s="226"/>
      <c r="T7978" s="226"/>
      <c r="U7978" s="226"/>
    </row>
    <row r="7979" spans="16:21" x14ac:dyDescent="0.35">
      <c r="P7979" s="226"/>
      <c r="Q7979" s="226"/>
      <c r="R7979" s="226"/>
      <c r="S7979" s="226"/>
      <c r="T7979" s="226"/>
      <c r="U7979" s="226"/>
    </row>
    <row r="7980" spans="16:21" x14ac:dyDescent="0.35">
      <c r="P7980" s="226"/>
      <c r="Q7980" s="226"/>
      <c r="R7980" s="226"/>
      <c r="S7980" s="226"/>
      <c r="T7980" s="226"/>
      <c r="U7980" s="226"/>
    </row>
    <row r="7981" spans="16:21" x14ac:dyDescent="0.35">
      <c r="P7981" s="226"/>
      <c r="Q7981" s="226"/>
      <c r="R7981" s="226"/>
      <c r="S7981" s="226"/>
      <c r="T7981" s="226"/>
      <c r="U7981" s="226"/>
    </row>
    <row r="7982" spans="16:21" x14ac:dyDescent="0.35">
      <c r="P7982" s="226"/>
      <c r="Q7982" s="226"/>
      <c r="R7982" s="226"/>
      <c r="S7982" s="226"/>
      <c r="T7982" s="226"/>
      <c r="U7982" s="226"/>
    </row>
    <row r="7983" spans="16:21" x14ac:dyDescent="0.35">
      <c r="P7983" s="226"/>
      <c r="Q7983" s="226"/>
      <c r="R7983" s="226"/>
      <c r="S7983" s="226"/>
      <c r="T7983" s="226"/>
      <c r="U7983" s="226"/>
    </row>
    <row r="7984" spans="16:21" x14ac:dyDescent="0.35">
      <c r="P7984" s="226"/>
      <c r="Q7984" s="226"/>
      <c r="R7984" s="226"/>
      <c r="S7984" s="226"/>
      <c r="T7984" s="226"/>
      <c r="U7984" s="226"/>
    </row>
    <row r="7985" spans="16:21" x14ac:dyDescent="0.35">
      <c r="P7985" s="226"/>
      <c r="Q7985" s="226"/>
      <c r="R7985" s="226"/>
      <c r="S7985" s="226"/>
      <c r="T7985" s="226"/>
      <c r="U7985" s="226"/>
    </row>
    <row r="7986" spans="16:21" x14ac:dyDescent="0.35">
      <c r="P7986" s="226"/>
      <c r="Q7986" s="226"/>
      <c r="R7986" s="226"/>
      <c r="S7986" s="226"/>
      <c r="T7986" s="226"/>
      <c r="U7986" s="226"/>
    </row>
    <row r="7987" spans="16:21" x14ac:dyDescent="0.35">
      <c r="P7987" s="226"/>
      <c r="Q7987" s="226"/>
      <c r="R7987" s="226"/>
      <c r="S7987" s="226"/>
      <c r="T7987" s="226"/>
      <c r="U7987" s="226"/>
    </row>
    <row r="7988" spans="16:21" x14ac:dyDescent="0.35">
      <c r="P7988" s="226"/>
      <c r="Q7988" s="226"/>
      <c r="R7988" s="226"/>
      <c r="S7988" s="226"/>
      <c r="T7988" s="226"/>
      <c r="U7988" s="226"/>
    </row>
    <row r="7989" spans="16:21" x14ac:dyDescent="0.35">
      <c r="P7989" s="226"/>
      <c r="Q7989" s="226"/>
      <c r="R7989" s="226"/>
      <c r="S7989" s="226"/>
      <c r="T7989" s="226"/>
      <c r="U7989" s="226"/>
    </row>
    <row r="7990" spans="16:21" x14ac:dyDescent="0.35">
      <c r="P7990" s="226"/>
      <c r="Q7990" s="226"/>
      <c r="R7990" s="226"/>
      <c r="S7990" s="226"/>
      <c r="T7990" s="226"/>
      <c r="U7990" s="226"/>
    </row>
    <row r="7991" spans="16:21" x14ac:dyDescent="0.35">
      <c r="P7991" s="226"/>
      <c r="Q7991" s="226"/>
      <c r="R7991" s="226"/>
      <c r="S7991" s="226"/>
      <c r="T7991" s="226"/>
      <c r="U7991" s="226"/>
    </row>
    <row r="7992" spans="16:21" x14ac:dyDescent="0.35">
      <c r="P7992" s="226"/>
      <c r="Q7992" s="226"/>
      <c r="R7992" s="226"/>
      <c r="S7992" s="226"/>
      <c r="T7992" s="226"/>
      <c r="U7992" s="226"/>
    </row>
    <row r="7993" spans="16:21" x14ac:dyDescent="0.35">
      <c r="P7993" s="226"/>
      <c r="Q7993" s="226"/>
      <c r="R7993" s="226"/>
      <c r="S7993" s="226"/>
      <c r="T7993" s="226"/>
      <c r="U7993" s="226"/>
    </row>
    <row r="7994" spans="16:21" x14ac:dyDescent="0.35">
      <c r="P7994" s="226"/>
      <c r="Q7994" s="226"/>
      <c r="R7994" s="226"/>
      <c r="S7994" s="226"/>
      <c r="T7994" s="226"/>
      <c r="U7994" s="226"/>
    </row>
    <row r="7995" spans="16:21" x14ac:dyDescent="0.35">
      <c r="P7995" s="226"/>
      <c r="Q7995" s="226"/>
      <c r="R7995" s="226"/>
      <c r="S7995" s="226"/>
      <c r="T7995" s="226"/>
      <c r="U7995" s="226"/>
    </row>
    <row r="7996" spans="16:21" x14ac:dyDescent="0.35">
      <c r="P7996" s="226"/>
      <c r="Q7996" s="226"/>
      <c r="R7996" s="226"/>
      <c r="S7996" s="226"/>
      <c r="T7996" s="226"/>
      <c r="U7996" s="226"/>
    </row>
    <row r="7997" spans="16:21" x14ac:dyDescent="0.35">
      <c r="P7997" s="226"/>
      <c r="Q7997" s="226"/>
      <c r="R7997" s="226"/>
      <c r="S7997" s="226"/>
      <c r="T7997" s="226"/>
      <c r="U7997" s="226"/>
    </row>
    <row r="7998" spans="16:21" x14ac:dyDescent="0.35">
      <c r="P7998" s="226"/>
      <c r="Q7998" s="226"/>
      <c r="R7998" s="226"/>
      <c r="S7998" s="226"/>
      <c r="T7998" s="226"/>
      <c r="U7998" s="226"/>
    </row>
    <row r="7999" spans="16:21" x14ac:dyDescent="0.35">
      <c r="P7999" s="226"/>
      <c r="Q7999" s="226"/>
      <c r="R7999" s="226"/>
      <c r="S7999" s="226"/>
      <c r="T7999" s="226"/>
      <c r="U7999" s="226"/>
    </row>
    <row r="8000" spans="16:21" x14ac:dyDescent="0.35">
      <c r="P8000" s="226"/>
      <c r="Q8000" s="226"/>
      <c r="R8000" s="226"/>
      <c r="S8000" s="226"/>
      <c r="T8000" s="226"/>
      <c r="U8000" s="226"/>
    </row>
    <row r="8001" spans="16:21" x14ac:dyDescent="0.35">
      <c r="P8001" s="226"/>
      <c r="Q8001" s="226"/>
      <c r="R8001" s="226"/>
      <c r="S8001" s="226"/>
      <c r="T8001" s="226"/>
      <c r="U8001" s="226"/>
    </row>
    <row r="8002" spans="16:21" x14ac:dyDescent="0.35">
      <c r="P8002" s="226"/>
      <c r="Q8002" s="226"/>
      <c r="R8002" s="226"/>
      <c r="S8002" s="226"/>
      <c r="T8002" s="226"/>
      <c r="U8002" s="226"/>
    </row>
    <row r="8003" spans="16:21" x14ac:dyDescent="0.35">
      <c r="P8003" s="226"/>
      <c r="Q8003" s="226"/>
      <c r="R8003" s="226"/>
      <c r="S8003" s="226"/>
      <c r="T8003" s="226"/>
      <c r="U8003" s="226"/>
    </row>
    <row r="8004" spans="16:21" x14ac:dyDescent="0.35">
      <c r="P8004" s="226"/>
      <c r="Q8004" s="226"/>
      <c r="R8004" s="226"/>
      <c r="S8004" s="226"/>
      <c r="T8004" s="226"/>
      <c r="U8004" s="226"/>
    </row>
    <row r="8005" spans="16:21" x14ac:dyDescent="0.35">
      <c r="P8005" s="226"/>
      <c r="Q8005" s="226"/>
      <c r="R8005" s="226"/>
      <c r="S8005" s="226"/>
      <c r="T8005" s="226"/>
      <c r="U8005" s="226"/>
    </row>
    <row r="8006" spans="16:21" x14ac:dyDescent="0.35">
      <c r="P8006" s="226"/>
      <c r="Q8006" s="226"/>
      <c r="R8006" s="226"/>
      <c r="S8006" s="226"/>
      <c r="T8006" s="226"/>
      <c r="U8006" s="226"/>
    </row>
    <row r="8007" spans="16:21" x14ac:dyDescent="0.35">
      <c r="P8007" s="226"/>
      <c r="Q8007" s="226"/>
      <c r="R8007" s="226"/>
      <c r="S8007" s="226"/>
      <c r="T8007" s="226"/>
      <c r="U8007" s="226"/>
    </row>
    <row r="8008" spans="16:21" x14ac:dyDescent="0.35">
      <c r="P8008" s="226"/>
      <c r="Q8008" s="226"/>
      <c r="R8008" s="226"/>
      <c r="S8008" s="226"/>
      <c r="T8008" s="226"/>
      <c r="U8008" s="226"/>
    </row>
    <row r="8009" spans="16:21" x14ac:dyDescent="0.35">
      <c r="P8009" s="226"/>
      <c r="Q8009" s="226"/>
      <c r="R8009" s="226"/>
      <c r="S8009" s="226"/>
      <c r="T8009" s="226"/>
      <c r="U8009" s="226"/>
    </row>
    <row r="8010" spans="16:21" x14ac:dyDescent="0.35">
      <c r="P8010" s="226"/>
      <c r="Q8010" s="226"/>
      <c r="R8010" s="226"/>
      <c r="S8010" s="226"/>
      <c r="T8010" s="226"/>
      <c r="U8010" s="226"/>
    </row>
    <row r="8011" spans="16:21" x14ac:dyDescent="0.35">
      <c r="P8011" s="226"/>
      <c r="Q8011" s="226"/>
      <c r="R8011" s="226"/>
      <c r="S8011" s="226"/>
      <c r="T8011" s="226"/>
      <c r="U8011" s="226"/>
    </row>
    <row r="8012" spans="16:21" x14ac:dyDescent="0.35">
      <c r="P8012" s="226"/>
      <c r="Q8012" s="226"/>
      <c r="R8012" s="226"/>
      <c r="S8012" s="226"/>
      <c r="T8012" s="226"/>
      <c r="U8012" s="226"/>
    </row>
    <row r="8013" spans="16:21" x14ac:dyDescent="0.35">
      <c r="P8013" s="226"/>
      <c r="Q8013" s="226"/>
      <c r="R8013" s="226"/>
      <c r="S8013" s="226"/>
      <c r="T8013" s="226"/>
      <c r="U8013" s="226"/>
    </row>
    <row r="8014" spans="16:21" x14ac:dyDescent="0.35">
      <c r="P8014" s="226"/>
      <c r="Q8014" s="226"/>
      <c r="R8014" s="226"/>
      <c r="S8014" s="226"/>
      <c r="T8014" s="226"/>
      <c r="U8014" s="226"/>
    </row>
    <row r="8015" spans="16:21" x14ac:dyDescent="0.35">
      <c r="P8015" s="226"/>
      <c r="Q8015" s="226"/>
      <c r="R8015" s="226"/>
      <c r="S8015" s="226"/>
      <c r="T8015" s="226"/>
      <c r="U8015" s="226"/>
    </row>
    <row r="8016" spans="16:21" x14ac:dyDescent="0.35">
      <c r="P8016" s="226"/>
      <c r="Q8016" s="226"/>
      <c r="R8016" s="226"/>
      <c r="S8016" s="226"/>
      <c r="T8016" s="226"/>
      <c r="U8016" s="226"/>
    </row>
    <row r="8017" spans="16:21" x14ac:dyDescent="0.35">
      <c r="P8017" s="226"/>
      <c r="Q8017" s="226"/>
      <c r="R8017" s="226"/>
      <c r="S8017" s="226"/>
      <c r="T8017" s="226"/>
      <c r="U8017" s="226"/>
    </row>
    <row r="8018" spans="16:21" x14ac:dyDescent="0.35">
      <c r="P8018" s="226"/>
      <c r="Q8018" s="226"/>
      <c r="R8018" s="226"/>
      <c r="S8018" s="226"/>
      <c r="T8018" s="226"/>
      <c r="U8018" s="226"/>
    </row>
    <row r="8019" spans="16:21" x14ac:dyDescent="0.35">
      <c r="P8019" s="226"/>
      <c r="Q8019" s="226"/>
      <c r="R8019" s="226"/>
      <c r="S8019" s="226"/>
      <c r="T8019" s="226"/>
      <c r="U8019" s="226"/>
    </row>
    <row r="8020" spans="16:21" x14ac:dyDescent="0.35">
      <c r="P8020" s="226"/>
      <c r="Q8020" s="226"/>
      <c r="R8020" s="226"/>
      <c r="S8020" s="226"/>
      <c r="T8020" s="226"/>
      <c r="U8020" s="226"/>
    </row>
    <row r="8021" spans="16:21" x14ac:dyDescent="0.35">
      <c r="P8021" s="226"/>
      <c r="Q8021" s="226"/>
      <c r="R8021" s="226"/>
      <c r="S8021" s="226"/>
      <c r="T8021" s="226"/>
      <c r="U8021" s="226"/>
    </row>
    <row r="8022" spans="16:21" x14ac:dyDescent="0.35">
      <c r="P8022" s="226"/>
      <c r="Q8022" s="226"/>
      <c r="R8022" s="226"/>
      <c r="S8022" s="226"/>
      <c r="T8022" s="226"/>
      <c r="U8022" s="226"/>
    </row>
    <row r="8023" spans="16:21" x14ac:dyDescent="0.35">
      <c r="P8023" s="226"/>
      <c r="Q8023" s="226"/>
      <c r="R8023" s="226"/>
      <c r="S8023" s="226"/>
      <c r="T8023" s="226"/>
      <c r="U8023" s="226"/>
    </row>
    <row r="8024" spans="16:21" x14ac:dyDescent="0.35">
      <c r="P8024" s="226"/>
      <c r="Q8024" s="226"/>
      <c r="R8024" s="226"/>
      <c r="S8024" s="226"/>
      <c r="T8024" s="226"/>
      <c r="U8024" s="226"/>
    </row>
    <row r="8025" spans="16:21" x14ac:dyDescent="0.35">
      <c r="P8025" s="226"/>
      <c r="Q8025" s="226"/>
      <c r="R8025" s="226"/>
      <c r="S8025" s="226"/>
      <c r="T8025" s="226"/>
      <c r="U8025" s="226"/>
    </row>
    <row r="8026" spans="16:21" x14ac:dyDescent="0.35">
      <c r="P8026" s="226"/>
      <c r="Q8026" s="226"/>
      <c r="R8026" s="226"/>
      <c r="S8026" s="226"/>
      <c r="T8026" s="226"/>
      <c r="U8026" s="226"/>
    </row>
    <row r="8027" spans="16:21" x14ac:dyDescent="0.35">
      <c r="P8027" s="226"/>
      <c r="Q8027" s="226"/>
      <c r="R8027" s="226"/>
      <c r="S8027" s="226"/>
      <c r="T8027" s="226"/>
      <c r="U8027" s="226"/>
    </row>
    <row r="8028" spans="16:21" x14ac:dyDescent="0.35">
      <c r="P8028" s="226"/>
      <c r="Q8028" s="226"/>
      <c r="R8028" s="226"/>
      <c r="S8028" s="226"/>
      <c r="T8028" s="226"/>
      <c r="U8028" s="226"/>
    </row>
    <row r="8029" spans="16:21" x14ac:dyDescent="0.35">
      <c r="P8029" s="226"/>
      <c r="Q8029" s="226"/>
      <c r="R8029" s="226"/>
      <c r="S8029" s="226"/>
      <c r="T8029" s="226"/>
      <c r="U8029" s="226"/>
    </row>
    <row r="8030" spans="16:21" x14ac:dyDescent="0.35">
      <c r="P8030" s="226"/>
      <c r="Q8030" s="226"/>
      <c r="R8030" s="226"/>
      <c r="S8030" s="226"/>
      <c r="T8030" s="226"/>
      <c r="U8030" s="226"/>
    </row>
    <row r="8031" spans="16:21" x14ac:dyDescent="0.35">
      <c r="P8031" s="226"/>
      <c r="Q8031" s="226"/>
      <c r="R8031" s="226"/>
      <c r="S8031" s="226"/>
      <c r="T8031" s="226"/>
      <c r="U8031" s="226"/>
    </row>
    <row r="8032" spans="16:21" x14ac:dyDescent="0.35">
      <c r="P8032" s="226"/>
      <c r="Q8032" s="226"/>
      <c r="R8032" s="226"/>
      <c r="S8032" s="226"/>
      <c r="T8032" s="226"/>
      <c r="U8032" s="226"/>
    </row>
    <row r="8033" spans="16:21" x14ac:dyDescent="0.35">
      <c r="P8033" s="226"/>
      <c r="Q8033" s="226"/>
      <c r="R8033" s="226"/>
      <c r="S8033" s="226"/>
      <c r="T8033" s="226"/>
      <c r="U8033" s="226"/>
    </row>
    <row r="8034" spans="16:21" x14ac:dyDescent="0.35">
      <c r="P8034" s="226"/>
      <c r="Q8034" s="226"/>
      <c r="R8034" s="226"/>
      <c r="S8034" s="226"/>
      <c r="T8034" s="226"/>
      <c r="U8034" s="226"/>
    </row>
    <row r="8035" spans="16:21" x14ac:dyDescent="0.35">
      <c r="P8035" s="226"/>
      <c r="Q8035" s="226"/>
      <c r="R8035" s="226"/>
      <c r="S8035" s="226"/>
      <c r="T8035" s="226"/>
      <c r="U8035" s="226"/>
    </row>
    <row r="8036" spans="16:21" x14ac:dyDescent="0.35">
      <c r="P8036" s="226"/>
      <c r="Q8036" s="226"/>
      <c r="R8036" s="226"/>
      <c r="S8036" s="226"/>
      <c r="T8036" s="226"/>
      <c r="U8036" s="226"/>
    </row>
    <row r="8037" spans="16:21" x14ac:dyDescent="0.35">
      <c r="P8037" s="226"/>
      <c r="Q8037" s="226"/>
      <c r="R8037" s="226"/>
      <c r="S8037" s="226"/>
      <c r="T8037" s="226"/>
      <c r="U8037" s="226"/>
    </row>
    <row r="8038" spans="16:21" x14ac:dyDescent="0.35">
      <c r="P8038" s="226"/>
      <c r="Q8038" s="226"/>
      <c r="R8038" s="226"/>
      <c r="S8038" s="226"/>
      <c r="T8038" s="226"/>
      <c r="U8038" s="226"/>
    </row>
    <row r="8039" spans="16:21" x14ac:dyDescent="0.35">
      <c r="P8039" s="226"/>
      <c r="Q8039" s="226"/>
      <c r="R8039" s="226"/>
      <c r="S8039" s="226"/>
      <c r="T8039" s="226"/>
      <c r="U8039" s="226"/>
    </row>
    <row r="8040" spans="16:21" x14ac:dyDescent="0.35">
      <c r="P8040" s="226"/>
      <c r="Q8040" s="226"/>
      <c r="R8040" s="226"/>
      <c r="S8040" s="226"/>
      <c r="T8040" s="226"/>
      <c r="U8040" s="226"/>
    </row>
    <row r="8041" spans="16:21" x14ac:dyDescent="0.35">
      <c r="P8041" s="226"/>
      <c r="Q8041" s="226"/>
      <c r="R8041" s="226"/>
      <c r="S8041" s="226"/>
      <c r="T8041" s="226"/>
      <c r="U8041" s="226"/>
    </row>
    <row r="8042" spans="16:21" x14ac:dyDescent="0.35">
      <c r="P8042" s="226"/>
      <c r="Q8042" s="226"/>
      <c r="R8042" s="226"/>
      <c r="S8042" s="226"/>
      <c r="T8042" s="226"/>
      <c r="U8042" s="226"/>
    </row>
    <row r="8043" spans="16:21" x14ac:dyDescent="0.35">
      <c r="P8043" s="226"/>
      <c r="Q8043" s="226"/>
      <c r="R8043" s="226"/>
      <c r="S8043" s="226"/>
      <c r="T8043" s="226"/>
      <c r="U8043" s="226"/>
    </row>
    <row r="8044" spans="16:21" x14ac:dyDescent="0.35">
      <c r="P8044" s="226"/>
      <c r="Q8044" s="226"/>
      <c r="R8044" s="226"/>
      <c r="S8044" s="226"/>
      <c r="T8044" s="226"/>
      <c r="U8044" s="226"/>
    </row>
    <row r="8045" spans="16:21" x14ac:dyDescent="0.35">
      <c r="P8045" s="226"/>
      <c r="Q8045" s="226"/>
      <c r="R8045" s="226"/>
      <c r="S8045" s="226"/>
      <c r="T8045" s="226"/>
      <c r="U8045" s="226"/>
    </row>
    <row r="8046" spans="16:21" x14ac:dyDescent="0.35">
      <c r="P8046" s="226"/>
      <c r="Q8046" s="226"/>
      <c r="R8046" s="226"/>
      <c r="S8046" s="226"/>
      <c r="T8046" s="226"/>
      <c r="U8046" s="226"/>
    </row>
    <row r="8047" spans="16:21" x14ac:dyDescent="0.35">
      <c r="P8047" s="226"/>
      <c r="Q8047" s="226"/>
      <c r="R8047" s="226"/>
      <c r="S8047" s="226"/>
      <c r="T8047" s="226"/>
      <c r="U8047" s="226"/>
    </row>
    <row r="8048" spans="16:21" x14ac:dyDescent="0.35">
      <c r="P8048" s="226"/>
      <c r="Q8048" s="226"/>
      <c r="R8048" s="226"/>
      <c r="S8048" s="226"/>
      <c r="T8048" s="226"/>
      <c r="U8048" s="226"/>
    </row>
    <row r="8049" spans="16:21" x14ac:dyDescent="0.35">
      <c r="P8049" s="226"/>
      <c r="Q8049" s="226"/>
      <c r="R8049" s="226"/>
      <c r="S8049" s="226"/>
      <c r="T8049" s="226"/>
      <c r="U8049" s="226"/>
    </row>
    <row r="8050" spans="16:21" x14ac:dyDescent="0.35">
      <c r="P8050" s="226"/>
      <c r="Q8050" s="226"/>
      <c r="R8050" s="226"/>
      <c r="S8050" s="226"/>
      <c r="T8050" s="226"/>
      <c r="U8050" s="226"/>
    </row>
    <row r="8051" spans="16:21" x14ac:dyDescent="0.35">
      <c r="P8051" s="226"/>
      <c r="Q8051" s="226"/>
      <c r="R8051" s="226"/>
      <c r="S8051" s="226"/>
      <c r="T8051" s="226"/>
      <c r="U8051" s="226"/>
    </row>
    <row r="8052" spans="16:21" x14ac:dyDescent="0.35">
      <c r="P8052" s="226"/>
      <c r="Q8052" s="226"/>
      <c r="R8052" s="226"/>
      <c r="S8052" s="226"/>
      <c r="T8052" s="226"/>
      <c r="U8052" s="226"/>
    </row>
    <row r="8053" spans="16:21" x14ac:dyDescent="0.35">
      <c r="P8053" s="226"/>
      <c r="Q8053" s="226"/>
      <c r="R8053" s="226"/>
      <c r="S8053" s="226"/>
      <c r="T8053" s="226"/>
      <c r="U8053" s="226"/>
    </row>
    <row r="8054" spans="16:21" x14ac:dyDescent="0.35">
      <c r="P8054" s="226"/>
      <c r="Q8054" s="226"/>
      <c r="R8054" s="226"/>
      <c r="S8054" s="226"/>
      <c r="T8054" s="226"/>
      <c r="U8054" s="226"/>
    </row>
    <row r="8055" spans="16:21" x14ac:dyDescent="0.35">
      <c r="P8055" s="226"/>
      <c r="Q8055" s="226"/>
      <c r="R8055" s="226"/>
      <c r="S8055" s="226"/>
      <c r="T8055" s="226"/>
      <c r="U8055" s="226"/>
    </row>
    <row r="8056" spans="16:21" x14ac:dyDescent="0.35">
      <c r="P8056" s="226"/>
      <c r="Q8056" s="226"/>
      <c r="R8056" s="226"/>
      <c r="S8056" s="226"/>
      <c r="T8056" s="226"/>
      <c r="U8056" s="226"/>
    </row>
    <row r="8057" spans="16:21" x14ac:dyDescent="0.35">
      <c r="P8057" s="226"/>
      <c r="Q8057" s="226"/>
      <c r="R8057" s="226"/>
      <c r="S8057" s="226"/>
      <c r="T8057" s="226"/>
      <c r="U8057" s="226"/>
    </row>
    <row r="8058" spans="16:21" x14ac:dyDescent="0.35">
      <c r="P8058" s="226"/>
      <c r="Q8058" s="226"/>
      <c r="R8058" s="226"/>
      <c r="S8058" s="226"/>
      <c r="T8058" s="226"/>
      <c r="U8058" s="226"/>
    </row>
    <row r="8059" spans="16:21" x14ac:dyDescent="0.35">
      <c r="P8059" s="226"/>
      <c r="Q8059" s="226"/>
      <c r="R8059" s="226"/>
      <c r="S8059" s="226"/>
      <c r="T8059" s="226"/>
      <c r="U8059" s="226"/>
    </row>
    <row r="8060" spans="16:21" x14ac:dyDescent="0.35">
      <c r="P8060" s="226"/>
      <c r="Q8060" s="226"/>
      <c r="R8060" s="226"/>
      <c r="S8060" s="226"/>
      <c r="T8060" s="226"/>
      <c r="U8060" s="226"/>
    </row>
    <row r="8061" spans="16:21" x14ac:dyDescent="0.35">
      <c r="P8061" s="226"/>
      <c r="Q8061" s="226"/>
      <c r="R8061" s="226"/>
      <c r="S8061" s="226"/>
      <c r="T8061" s="226"/>
      <c r="U8061" s="226"/>
    </row>
    <row r="8062" spans="16:21" x14ac:dyDescent="0.35">
      <c r="P8062" s="226"/>
      <c r="Q8062" s="226"/>
      <c r="R8062" s="226"/>
      <c r="S8062" s="226"/>
      <c r="T8062" s="226"/>
      <c r="U8062" s="226"/>
    </row>
    <row r="8063" spans="16:21" x14ac:dyDescent="0.35">
      <c r="P8063" s="226"/>
      <c r="Q8063" s="226"/>
      <c r="R8063" s="226"/>
      <c r="S8063" s="226"/>
      <c r="T8063" s="226"/>
      <c r="U8063" s="226"/>
    </row>
    <row r="8064" spans="16:21" x14ac:dyDescent="0.35">
      <c r="P8064" s="226"/>
      <c r="Q8064" s="226"/>
      <c r="R8064" s="226"/>
      <c r="S8064" s="226"/>
      <c r="T8064" s="226"/>
      <c r="U8064" s="226"/>
    </row>
    <row r="8065" spans="16:21" x14ac:dyDescent="0.35">
      <c r="P8065" s="226"/>
      <c r="Q8065" s="226"/>
      <c r="R8065" s="226"/>
      <c r="S8065" s="226"/>
      <c r="T8065" s="226"/>
      <c r="U8065" s="226"/>
    </row>
    <row r="8066" spans="16:21" x14ac:dyDescent="0.35">
      <c r="P8066" s="226"/>
      <c r="Q8066" s="226"/>
      <c r="R8066" s="226"/>
      <c r="S8066" s="226"/>
      <c r="T8066" s="226"/>
      <c r="U8066" s="226"/>
    </row>
    <row r="8067" spans="16:21" x14ac:dyDescent="0.35">
      <c r="P8067" s="226"/>
      <c r="Q8067" s="226"/>
      <c r="R8067" s="226"/>
      <c r="S8067" s="226"/>
      <c r="T8067" s="226"/>
      <c r="U8067" s="226"/>
    </row>
    <row r="8068" spans="16:21" x14ac:dyDescent="0.35">
      <c r="P8068" s="226"/>
      <c r="Q8068" s="226"/>
      <c r="R8068" s="226"/>
      <c r="S8068" s="226"/>
      <c r="T8068" s="226"/>
      <c r="U8068" s="226"/>
    </row>
    <row r="8069" spans="16:21" x14ac:dyDescent="0.35">
      <c r="P8069" s="226"/>
      <c r="Q8069" s="226"/>
      <c r="R8069" s="226"/>
      <c r="S8069" s="226"/>
      <c r="T8069" s="226"/>
      <c r="U8069" s="226"/>
    </row>
    <row r="8070" spans="16:21" x14ac:dyDescent="0.35">
      <c r="P8070" s="226"/>
      <c r="Q8070" s="226"/>
      <c r="R8070" s="226"/>
      <c r="S8070" s="226"/>
      <c r="T8070" s="226"/>
      <c r="U8070" s="226"/>
    </row>
    <row r="8071" spans="16:21" x14ac:dyDescent="0.35">
      <c r="P8071" s="226"/>
      <c r="Q8071" s="226"/>
      <c r="R8071" s="226"/>
      <c r="S8071" s="226"/>
      <c r="T8071" s="226"/>
      <c r="U8071" s="226"/>
    </row>
    <row r="8072" spans="16:21" x14ac:dyDescent="0.35">
      <c r="P8072" s="226"/>
      <c r="Q8072" s="226"/>
      <c r="R8072" s="226"/>
      <c r="S8072" s="226"/>
      <c r="T8072" s="226"/>
      <c r="U8072" s="226"/>
    </row>
    <row r="8073" spans="16:21" x14ac:dyDescent="0.35">
      <c r="P8073" s="226"/>
      <c r="Q8073" s="226"/>
      <c r="R8073" s="226"/>
      <c r="S8073" s="226"/>
      <c r="T8073" s="226"/>
      <c r="U8073" s="226"/>
    </row>
    <row r="8074" spans="16:21" x14ac:dyDescent="0.35">
      <c r="P8074" s="226"/>
      <c r="Q8074" s="226"/>
      <c r="R8074" s="226"/>
      <c r="S8074" s="226"/>
      <c r="T8074" s="226"/>
      <c r="U8074" s="226"/>
    </row>
    <row r="8075" spans="16:21" x14ac:dyDescent="0.35">
      <c r="P8075" s="226"/>
      <c r="Q8075" s="226"/>
      <c r="R8075" s="226"/>
      <c r="S8075" s="226"/>
      <c r="T8075" s="226"/>
      <c r="U8075" s="226"/>
    </row>
    <row r="8076" spans="16:21" x14ac:dyDescent="0.35">
      <c r="P8076" s="226"/>
      <c r="Q8076" s="226"/>
      <c r="R8076" s="226"/>
      <c r="S8076" s="226"/>
      <c r="T8076" s="226"/>
      <c r="U8076" s="226"/>
    </row>
    <row r="8077" spans="16:21" x14ac:dyDescent="0.35">
      <c r="P8077" s="226"/>
      <c r="Q8077" s="226"/>
      <c r="R8077" s="226"/>
      <c r="S8077" s="226"/>
      <c r="T8077" s="226"/>
      <c r="U8077" s="226"/>
    </row>
    <row r="8078" spans="16:21" x14ac:dyDescent="0.35">
      <c r="P8078" s="226"/>
      <c r="Q8078" s="226"/>
      <c r="R8078" s="226"/>
      <c r="S8078" s="226"/>
      <c r="T8078" s="226"/>
      <c r="U8078" s="226"/>
    </row>
    <row r="8079" spans="16:21" x14ac:dyDescent="0.35">
      <c r="P8079" s="226"/>
      <c r="Q8079" s="226"/>
      <c r="R8079" s="226"/>
      <c r="S8079" s="226"/>
      <c r="T8079" s="226"/>
      <c r="U8079" s="226"/>
    </row>
    <row r="8080" spans="16:21" x14ac:dyDescent="0.35">
      <c r="P8080" s="226"/>
      <c r="Q8080" s="226"/>
      <c r="R8080" s="226"/>
      <c r="S8080" s="226"/>
      <c r="T8080" s="226"/>
      <c r="U8080" s="226"/>
    </row>
    <row r="8081" spans="16:21" x14ac:dyDescent="0.35">
      <c r="P8081" s="226"/>
      <c r="Q8081" s="226"/>
      <c r="R8081" s="226"/>
      <c r="S8081" s="226"/>
      <c r="T8081" s="226"/>
      <c r="U8081" s="226"/>
    </row>
    <row r="8082" spans="16:21" x14ac:dyDescent="0.35">
      <c r="P8082" s="226"/>
      <c r="Q8082" s="226"/>
      <c r="R8082" s="226"/>
      <c r="S8082" s="226"/>
      <c r="T8082" s="226"/>
      <c r="U8082" s="226"/>
    </row>
    <row r="8083" spans="16:21" x14ac:dyDescent="0.35">
      <c r="P8083" s="226"/>
      <c r="Q8083" s="226"/>
      <c r="R8083" s="226"/>
      <c r="S8083" s="226"/>
      <c r="T8083" s="226"/>
      <c r="U8083" s="226"/>
    </row>
    <row r="8084" spans="16:21" x14ac:dyDescent="0.35">
      <c r="P8084" s="226"/>
      <c r="Q8084" s="226"/>
      <c r="R8084" s="226"/>
      <c r="S8084" s="226"/>
      <c r="T8084" s="226"/>
      <c r="U8084" s="226"/>
    </row>
    <row r="8085" spans="16:21" x14ac:dyDescent="0.35">
      <c r="P8085" s="226"/>
      <c r="Q8085" s="226"/>
      <c r="R8085" s="226"/>
      <c r="S8085" s="226"/>
      <c r="T8085" s="226"/>
      <c r="U8085" s="226"/>
    </row>
    <row r="8086" spans="16:21" x14ac:dyDescent="0.35">
      <c r="P8086" s="226"/>
      <c r="Q8086" s="226"/>
      <c r="R8086" s="226"/>
      <c r="S8086" s="226"/>
      <c r="T8086" s="226"/>
      <c r="U8086" s="226"/>
    </row>
    <row r="8087" spans="16:21" x14ac:dyDescent="0.35">
      <c r="P8087" s="226"/>
      <c r="Q8087" s="226"/>
      <c r="R8087" s="226"/>
      <c r="S8087" s="226"/>
      <c r="T8087" s="226"/>
      <c r="U8087" s="226"/>
    </row>
    <row r="8088" spans="16:21" x14ac:dyDescent="0.35">
      <c r="P8088" s="226"/>
      <c r="Q8088" s="226"/>
      <c r="R8088" s="226"/>
      <c r="S8088" s="226"/>
      <c r="T8088" s="226"/>
      <c r="U8088" s="226"/>
    </row>
    <row r="8089" spans="16:21" x14ac:dyDescent="0.35">
      <c r="P8089" s="226"/>
      <c r="Q8089" s="226"/>
      <c r="R8089" s="226"/>
      <c r="S8089" s="226"/>
      <c r="T8089" s="226"/>
      <c r="U8089" s="226"/>
    </row>
    <row r="8090" spans="16:21" x14ac:dyDescent="0.35">
      <c r="P8090" s="226"/>
      <c r="Q8090" s="226"/>
      <c r="R8090" s="226"/>
      <c r="S8090" s="226"/>
      <c r="T8090" s="226"/>
      <c r="U8090" s="226"/>
    </row>
    <row r="8091" spans="16:21" x14ac:dyDescent="0.35">
      <c r="P8091" s="226"/>
      <c r="Q8091" s="226"/>
      <c r="R8091" s="226"/>
      <c r="S8091" s="226"/>
      <c r="T8091" s="226"/>
      <c r="U8091" s="226"/>
    </row>
    <row r="8092" spans="16:21" x14ac:dyDescent="0.35">
      <c r="P8092" s="226"/>
      <c r="Q8092" s="226"/>
      <c r="R8092" s="226"/>
      <c r="S8092" s="226"/>
      <c r="T8092" s="226"/>
      <c r="U8092" s="226"/>
    </row>
    <row r="8093" spans="16:21" x14ac:dyDescent="0.35">
      <c r="P8093" s="226"/>
      <c r="Q8093" s="226"/>
      <c r="R8093" s="226"/>
      <c r="S8093" s="226"/>
      <c r="T8093" s="226"/>
      <c r="U8093" s="226"/>
    </row>
    <row r="8094" spans="16:21" x14ac:dyDescent="0.35">
      <c r="P8094" s="226"/>
      <c r="Q8094" s="226"/>
      <c r="R8094" s="226"/>
      <c r="S8094" s="226"/>
      <c r="T8094" s="226"/>
      <c r="U8094" s="226"/>
    </row>
    <row r="8095" spans="16:21" x14ac:dyDescent="0.35">
      <c r="P8095" s="226"/>
      <c r="Q8095" s="226"/>
      <c r="R8095" s="226"/>
      <c r="S8095" s="226"/>
      <c r="T8095" s="226"/>
      <c r="U8095" s="226"/>
    </row>
    <row r="8096" spans="16:21" x14ac:dyDescent="0.35">
      <c r="P8096" s="226"/>
      <c r="Q8096" s="226"/>
      <c r="R8096" s="226"/>
      <c r="S8096" s="226"/>
      <c r="T8096" s="226"/>
      <c r="U8096" s="226"/>
    </row>
    <row r="8097" spans="16:21" x14ac:dyDescent="0.35">
      <c r="P8097" s="226"/>
      <c r="Q8097" s="226"/>
      <c r="R8097" s="226"/>
      <c r="S8097" s="226"/>
      <c r="T8097" s="226"/>
      <c r="U8097" s="226"/>
    </row>
    <row r="8098" spans="16:21" x14ac:dyDescent="0.35">
      <c r="P8098" s="226"/>
      <c r="Q8098" s="226"/>
      <c r="R8098" s="226"/>
      <c r="S8098" s="226"/>
      <c r="T8098" s="226"/>
      <c r="U8098" s="226"/>
    </row>
    <row r="8099" spans="16:21" x14ac:dyDescent="0.35">
      <c r="P8099" s="226"/>
      <c r="Q8099" s="226"/>
      <c r="R8099" s="226"/>
      <c r="S8099" s="226"/>
      <c r="T8099" s="226"/>
      <c r="U8099" s="226"/>
    </row>
    <row r="8100" spans="16:21" x14ac:dyDescent="0.35">
      <c r="P8100" s="226"/>
      <c r="Q8100" s="226"/>
      <c r="R8100" s="226"/>
      <c r="S8100" s="226"/>
      <c r="T8100" s="226"/>
      <c r="U8100" s="226"/>
    </row>
    <row r="8101" spans="16:21" x14ac:dyDescent="0.35">
      <c r="P8101" s="226"/>
      <c r="Q8101" s="226"/>
      <c r="R8101" s="226"/>
      <c r="S8101" s="226"/>
      <c r="T8101" s="226"/>
      <c r="U8101" s="226"/>
    </row>
    <row r="8102" spans="16:21" x14ac:dyDescent="0.35">
      <c r="P8102" s="226"/>
      <c r="Q8102" s="226"/>
      <c r="R8102" s="226"/>
      <c r="S8102" s="226"/>
      <c r="T8102" s="226"/>
      <c r="U8102" s="226"/>
    </row>
    <row r="8103" spans="16:21" x14ac:dyDescent="0.35">
      <c r="P8103" s="226"/>
      <c r="Q8103" s="226"/>
      <c r="R8103" s="226"/>
      <c r="S8103" s="226"/>
      <c r="T8103" s="226"/>
      <c r="U8103" s="226"/>
    </row>
    <row r="8104" spans="16:21" x14ac:dyDescent="0.35">
      <c r="P8104" s="226"/>
      <c r="Q8104" s="226"/>
      <c r="R8104" s="226"/>
      <c r="S8104" s="226"/>
      <c r="T8104" s="226"/>
      <c r="U8104" s="226"/>
    </row>
    <row r="8105" spans="16:21" x14ac:dyDescent="0.35">
      <c r="P8105" s="226"/>
      <c r="Q8105" s="226"/>
      <c r="R8105" s="226"/>
      <c r="S8105" s="226"/>
      <c r="T8105" s="226"/>
      <c r="U8105" s="226"/>
    </row>
    <row r="8106" spans="16:21" x14ac:dyDescent="0.35">
      <c r="P8106" s="226"/>
      <c r="Q8106" s="226"/>
      <c r="R8106" s="226"/>
      <c r="S8106" s="226"/>
      <c r="T8106" s="226"/>
      <c r="U8106" s="226"/>
    </row>
    <row r="8107" spans="16:21" x14ac:dyDescent="0.35">
      <c r="P8107" s="226"/>
      <c r="Q8107" s="226"/>
      <c r="R8107" s="226"/>
      <c r="S8107" s="226"/>
      <c r="T8107" s="226"/>
      <c r="U8107" s="226"/>
    </row>
    <row r="8108" spans="16:21" x14ac:dyDescent="0.35">
      <c r="P8108" s="226"/>
      <c r="Q8108" s="226"/>
      <c r="R8108" s="226"/>
      <c r="S8108" s="226"/>
      <c r="T8108" s="226"/>
      <c r="U8108" s="226"/>
    </row>
    <row r="8109" spans="16:21" x14ac:dyDescent="0.35">
      <c r="P8109" s="226"/>
      <c r="Q8109" s="226"/>
      <c r="R8109" s="226"/>
      <c r="S8109" s="226"/>
      <c r="T8109" s="226"/>
      <c r="U8109" s="226"/>
    </row>
    <row r="8110" spans="16:21" x14ac:dyDescent="0.35">
      <c r="P8110" s="226"/>
      <c r="Q8110" s="226"/>
      <c r="R8110" s="226"/>
      <c r="S8110" s="226"/>
      <c r="T8110" s="226"/>
      <c r="U8110" s="226"/>
    </row>
    <row r="8111" spans="16:21" x14ac:dyDescent="0.35">
      <c r="P8111" s="226"/>
      <c r="Q8111" s="226"/>
      <c r="R8111" s="226"/>
      <c r="S8111" s="226"/>
      <c r="T8111" s="226"/>
      <c r="U8111" s="226"/>
    </row>
    <row r="8112" spans="16:21" x14ac:dyDescent="0.35">
      <c r="P8112" s="226"/>
      <c r="Q8112" s="226"/>
      <c r="R8112" s="226"/>
      <c r="S8112" s="226"/>
      <c r="T8112" s="226"/>
      <c r="U8112" s="226"/>
    </row>
    <row r="8113" spans="16:21" x14ac:dyDescent="0.35">
      <c r="P8113" s="226"/>
      <c r="Q8113" s="226"/>
      <c r="R8113" s="226"/>
      <c r="S8113" s="226"/>
      <c r="T8113" s="226"/>
      <c r="U8113" s="226"/>
    </row>
    <row r="8114" spans="16:21" x14ac:dyDescent="0.35">
      <c r="P8114" s="226"/>
      <c r="Q8114" s="226"/>
      <c r="R8114" s="226"/>
      <c r="S8114" s="226"/>
      <c r="T8114" s="226"/>
      <c r="U8114" s="226"/>
    </row>
    <row r="8115" spans="16:21" x14ac:dyDescent="0.35">
      <c r="P8115" s="226"/>
      <c r="Q8115" s="226"/>
      <c r="R8115" s="226"/>
      <c r="S8115" s="226"/>
      <c r="T8115" s="226"/>
      <c r="U8115" s="226"/>
    </row>
    <row r="8116" spans="16:21" x14ac:dyDescent="0.35">
      <c r="P8116" s="226"/>
      <c r="Q8116" s="226"/>
      <c r="R8116" s="226"/>
      <c r="S8116" s="226"/>
      <c r="T8116" s="226"/>
      <c r="U8116" s="226"/>
    </row>
    <row r="8117" spans="16:21" x14ac:dyDescent="0.35">
      <c r="P8117" s="226"/>
      <c r="Q8117" s="226"/>
      <c r="R8117" s="226"/>
      <c r="S8117" s="226"/>
      <c r="T8117" s="226"/>
      <c r="U8117" s="226"/>
    </row>
    <row r="8118" spans="16:21" x14ac:dyDescent="0.35">
      <c r="P8118" s="226"/>
      <c r="Q8118" s="226"/>
      <c r="R8118" s="226"/>
      <c r="S8118" s="226"/>
      <c r="T8118" s="226"/>
      <c r="U8118" s="226"/>
    </row>
    <row r="8119" spans="16:21" x14ac:dyDescent="0.35">
      <c r="P8119" s="226"/>
      <c r="Q8119" s="226"/>
      <c r="R8119" s="226"/>
      <c r="S8119" s="226"/>
      <c r="T8119" s="226"/>
      <c r="U8119" s="226"/>
    </row>
    <row r="8120" spans="16:21" x14ac:dyDescent="0.35">
      <c r="P8120" s="226"/>
      <c r="Q8120" s="226"/>
      <c r="R8120" s="226"/>
      <c r="S8120" s="226"/>
      <c r="T8120" s="226"/>
      <c r="U8120" s="226"/>
    </row>
    <row r="8121" spans="16:21" x14ac:dyDescent="0.35">
      <c r="P8121" s="226"/>
      <c r="Q8121" s="226"/>
      <c r="R8121" s="226"/>
      <c r="S8121" s="226"/>
      <c r="T8121" s="226"/>
      <c r="U8121" s="226"/>
    </row>
    <row r="8122" spans="16:21" x14ac:dyDescent="0.35">
      <c r="P8122" s="226"/>
      <c r="Q8122" s="226"/>
      <c r="R8122" s="226"/>
      <c r="S8122" s="226"/>
      <c r="T8122" s="226"/>
      <c r="U8122" s="226"/>
    </row>
    <row r="8123" spans="16:21" x14ac:dyDescent="0.35">
      <c r="P8123" s="226"/>
      <c r="Q8123" s="226"/>
      <c r="R8123" s="226"/>
      <c r="S8123" s="226"/>
      <c r="T8123" s="226"/>
      <c r="U8123" s="226"/>
    </row>
    <row r="8124" spans="16:21" x14ac:dyDescent="0.35">
      <c r="P8124" s="226"/>
      <c r="Q8124" s="226"/>
      <c r="R8124" s="226"/>
      <c r="S8124" s="226"/>
      <c r="T8124" s="226"/>
      <c r="U8124" s="226"/>
    </row>
    <row r="8125" spans="16:21" x14ac:dyDescent="0.35">
      <c r="P8125" s="226"/>
      <c r="Q8125" s="226"/>
      <c r="R8125" s="226"/>
      <c r="S8125" s="226"/>
      <c r="T8125" s="226"/>
      <c r="U8125" s="226"/>
    </row>
    <row r="8126" spans="16:21" x14ac:dyDescent="0.35">
      <c r="P8126" s="226"/>
      <c r="Q8126" s="226"/>
      <c r="R8126" s="226"/>
      <c r="S8126" s="226"/>
      <c r="T8126" s="226"/>
      <c r="U8126" s="226"/>
    </row>
    <row r="8127" spans="16:21" x14ac:dyDescent="0.35">
      <c r="P8127" s="226"/>
      <c r="Q8127" s="226"/>
      <c r="R8127" s="226"/>
      <c r="S8127" s="226"/>
      <c r="T8127" s="226"/>
      <c r="U8127" s="226"/>
    </row>
    <row r="8128" spans="16:21" x14ac:dyDescent="0.35">
      <c r="P8128" s="226"/>
      <c r="Q8128" s="226"/>
      <c r="R8128" s="226"/>
      <c r="S8128" s="226"/>
      <c r="T8128" s="226"/>
      <c r="U8128" s="226"/>
    </row>
    <row r="8129" spans="16:21" x14ac:dyDescent="0.35">
      <c r="P8129" s="226"/>
      <c r="Q8129" s="226"/>
      <c r="R8129" s="226"/>
      <c r="S8129" s="226"/>
      <c r="T8129" s="226"/>
      <c r="U8129" s="226"/>
    </row>
    <row r="8130" spans="16:21" x14ac:dyDescent="0.35">
      <c r="P8130" s="226"/>
      <c r="Q8130" s="226"/>
      <c r="R8130" s="226"/>
      <c r="S8130" s="226"/>
      <c r="T8130" s="226"/>
      <c r="U8130" s="226"/>
    </row>
    <row r="8131" spans="16:21" x14ac:dyDescent="0.35">
      <c r="P8131" s="226"/>
      <c r="Q8131" s="226"/>
      <c r="R8131" s="226"/>
      <c r="S8131" s="226"/>
      <c r="T8131" s="226"/>
      <c r="U8131" s="226"/>
    </row>
    <row r="8132" spans="16:21" x14ac:dyDescent="0.35">
      <c r="P8132" s="226"/>
      <c r="Q8132" s="226"/>
      <c r="R8132" s="226"/>
      <c r="S8132" s="226"/>
      <c r="T8132" s="226"/>
      <c r="U8132" s="226"/>
    </row>
    <row r="8133" spans="16:21" x14ac:dyDescent="0.35">
      <c r="P8133" s="226"/>
      <c r="Q8133" s="226"/>
      <c r="R8133" s="226"/>
      <c r="S8133" s="226"/>
      <c r="T8133" s="226"/>
      <c r="U8133" s="226"/>
    </row>
    <row r="8134" spans="16:21" x14ac:dyDescent="0.35">
      <c r="P8134" s="226"/>
      <c r="Q8134" s="226"/>
      <c r="R8134" s="226"/>
      <c r="S8134" s="226"/>
      <c r="T8134" s="226"/>
      <c r="U8134" s="226"/>
    </row>
    <row r="8135" spans="16:21" x14ac:dyDescent="0.35">
      <c r="P8135" s="226"/>
      <c r="Q8135" s="226"/>
      <c r="R8135" s="226"/>
      <c r="S8135" s="226"/>
      <c r="T8135" s="226"/>
      <c r="U8135" s="226"/>
    </row>
    <row r="8136" spans="16:21" x14ac:dyDescent="0.35">
      <c r="P8136" s="226"/>
      <c r="Q8136" s="226"/>
      <c r="R8136" s="226"/>
      <c r="S8136" s="226"/>
      <c r="T8136" s="226"/>
      <c r="U8136" s="226"/>
    </row>
    <row r="8137" spans="16:21" x14ac:dyDescent="0.35">
      <c r="P8137" s="226"/>
      <c r="Q8137" s="226"/>
      <c r="R8137" s="226"/>
      <c r="S8137" s="226"/>
      <c r="T8137" s="226"/>
      <c r="U8137" s="226"/>
    </row>
    <row r="8138" spans="16:21" x14ac:dyDescent="0.35">
      <c r="P8138" s="226"/>
      <c r="Q8138" s="226"/>
      <c r="R8138" s="226"/>
      <c r="S8138" s="226"/>
      <c r="T8138" s="226"/>
      <c r="U8138" s="226"/>
    </row>
    <row r="8139" spans="16:21" x14ac:dyDescent="0.35">
      <c r="P8139" s="226"/>
      <c r="Q8139" s="226"/>
      <c r="R8139" s="226"/>
      <c r="S8139" s="226"/>
      <c r="T8139" s="226"/>
      <c r="U8139" s="226"/>
    </row>
    <row r="8140" spans="16:21" x14ac:dyDescent="0.35">
      <c r="P8140" s="226"/>
      <c r="Q8140" s="226"/>
      <c r="R8140" s="226"/>
      <c r="S8140" s="226"/>
      <c r="T8140" s="226"/>
      <c r="U8140" s="226"/>
    </row>
    <row r="8141" spans="16:21" x14ac:dyDescent="0.35">
      <c r="P8141" s="226"/>
      <c r="Q8141" s="226"/>
      <c r="R8141" s="226"/>
      <c r="S8141" s="226"/>
      <c r="T8141" s="226"/>
      <c r="U8141" s="226"/>
    </row>
    <row r="8142" spans="16:21" x14ac:dyDescent="0.35">
      <c r="P8142" s="226"/>
      <c r="Q8142" s="226"/>
      <c r="R8142" s="226"/>
      <c r="S8142" s="226"/>
      <c r="T8142" s="226"/>
      <c r="U8142" s="226"/>
    </row>
    <row r="8143" spans="16:21" x14ac:dyDescent="0.35">
      <c r="P8143" s="226"/>
      <c r="Q8143" s="226"/>
      <c r="R8143" s="226"/>
      <c r="S8143" s="226"/>
      <c r="T8143" s="226"/>
      <c r="U8143" s="226"/>
    </row>
    <row r="8144" spans="16:21" x14ac:dyDescent="0.35">
      <c r="P8144" s="226"/>
      <c r="Q8144" s="226"/>
      <c r="R8144" s="226"/>
      <c r="S8144" s="226"/>
      <c r="T8144" s="226"/>
      <c r="U8144" s="226"/>
    </row>
    <row r="8145" spans="16:21" x14ac:dyDescent="0.35">
      <c r="P8145" s="226"/>
      <c r="Q8145" s="226"/>
      <c r="R8145" s="226"/>
      <c r="S8145" s="226"/>
      <c r="T8145" s="226"/>
      <c r="U8145" s="226"/>
    </row>
    <row r="8146" spans="16:21" x14ac:dyDescent="0.35">
      <c r="P8146" s="226"/>
      <c r="Q8146" s="226"/>
      <c r="R8146" s="226"/>
      <c r="S8146" s="226"/>
      <c r="T8146" s="226"/>
      <c r="U8146" s="226"/>
    </row>
    <row r="8147" spans="16:21" x14ac:dyDescent="0.35">
      <c r="P8147" s="226"/>
      <c r="Q8147" s="226"/>
      <c r="R8147" s="226"/>
      <c r="S8147" s="226"/>
      <c r="T8147" s="226"/>
      <c r="U8147" s="226"/>
    </row>
    <row r="8148" spans="16:21" x14ac:dyDescent="0.35">
      <c r="P8148" s="226"/>
      <c r="Q8148" s="226"/>
      <c r="R8148" s="226"/>
      <c r="S8148" s="226"/>
      <c r="T8148" s="226"/>
      <c r="U8148" s="226"/>
    </row>
    <row r="8149" spans="16:21" x14ac:dyDescent="0.35">
      <c r="P8149" s="226"/>
      <c r="Q8149" s="226"/>
      <c r="R8149" s="226"/>
      <c r="S8149" s="226"/>
      <c r="T8149" s="226"/>
      <c r="U8149" s="226"/>
    </row>
    <row r="8150" spans="16:21" x14ac:dyDescent="0.35">
      <c r="P8150" s="226"/>
      <c r="Q8150" s="226"/>
      <c r="R8150" s="226"/>
      <c r="S8150" s="226"/>
      <c r="T8150" s="226"/>
      <c r="U8150" s="226"/>
    </row>
    <row r="8151" spans="16:21" x14ac:dyDescent="0.35">
      <c r="P8151" s="226"/>
      <c r="Q8151" s="226"/>
      <c r="R8151" s="226"/>
      <c r="S8151" s="226"/>
      <c r="T8151" s="226"/>
      <c r="U8151" s="226"/>
    </row>
    <row r="8152" spans="16:21" x14ac:dyDescent="0.35">
      <c r="P8152" s="226"/>
      <c r="Q8152" s="226"/>
      <c r="R8152" s="226"/>
      <c r="S8152" s="226"/>
      <c r="T8152" s="226"/>
      <c r="U8152" s="226"/>
    </row>
    <row r="8153" spans="16:21" x14ac:dyDescent="0.35">
      <c r="P8153" s="226"/>
      <c r="Q8153" s="226"/>
      <c r="R8153" s="226"/>
      <c r="S8153" s="226"/>
      <c r="T8153" s="226"/>
      <c r="U8153" s="226"/>
    </row>
    <row r="8154" spans="16:21" x14ac:dyDescent="0.35">
      <c r="P8154" s="226"/>
      <c r="Q8154" s="226"/>
      <c r="R8154" s="226"/>
      <c r="S8154" s="226"/>
      <c r="T8154" s="226"/>
      <c r="U8154" s="226"/>
    </row>
    <row r="8155" spans="16:21" x14ac:dyDescent="0.35">
      <c r="P8155" s="226"/>
      <c r="Q8155" s="226"/>
      <c r="R8155" s="226"/>
      <c r="S8155" s="226"/>
      <c r="T8155" s="226"/>
      <c r="U8155" s="226"/>
    </row>
    <row r="8156" spans="16:21" x14ac:dyDescent="0.35">
      <c r="P8156" s="226"/>
      <c r="Q8156" s="226"/>
      <c r="R8156" s="226"/>
      <c r="S8156" s="226"/>
      <c r="T8156" s="226"/>
      <c r="U8156" s="226"/>
    </row>
    <row r="8157" spans="16:21" x14ac:dyDescent="0.35">
      <c r="P8157" s="226"/>
      <c r="Q8157" s="226"/>
      <c r="R8157" s="226"/>
      <c r="S8157" s="226"/>
      <c r="T8157" s="226"/>
      <c r="U8157" s="226"/>
    </row>
    <row r="8158" spans="16:21" x14ac:dyDescent="0.35">
      <c r="P8158" s="226"/>
      <c r="Q8158" s="226"/>
      <c r="R8158" s="226"/>
      <c r="S8158" s="226"/>
      <c r="T8158" s="226"/>
      <c r="U8158" s="226"/>
    </row>
    <row r="8159" spans="16:21" x14ac:dyDescent="0.35">
      <c r="P8159" s="226"/>
      <c r="Q8159" s="226"/>
      <c r="R8159" s="226"/>
      <c r="S8159" s="226"/>
      <c r="T8159" s="226"/>
      <c r="U8159" s="226"/>
    </row>
    <row r="8160" spans="16:21" x14ac:dyDescent="0.35">
      <c r="P8160" s="226"/>
      <c r="Q8160" s="226"/>
      <c r="R8160" s="226"/>
      <c r="S8160" s="226"/>
      <c r="T8160" s="226"/>
      <c r="U8160" s="226"/>
    </row>
    <row r="8161" spans="16:21" x14ac:dyDescent="0.35">
      <c r="P8161" s="226"/>
      <c r="Q8161" s="226"/>
      <c r="R8161" s="226"/>
      <c r="S8161" s="226"/>
      <c r="T8161" s="226"/>
      <c r="U8161" s="226"/>
    </row>
    <row r="8162" spans="16:21" x14ac:dyDescent="0.35">
      <c r="P8162" s="226"/>
      <c r="Q8162" s="226"/>
      <c r="R8162" s="226"/>
      <c r="S8162" s="226"/>
      <c r="T8162" s="226"/>
      <c r="U8162" s="226"/>
    </row>
    <row r="8163" spans="16:21" x14ac:dyDescent="0.35">
      <c r="P8163" s="226"/>
      <c r="Q8163" s="226"/>
      <c r="R8163" s="226"/>
      <c r="S8163" s="226"/>
      <c r="T8163" s="226"/>
      <c r="U8163" s="226"/>
    </row>
    <row r="8164" spans="16:21" x14ac:dyDescent="0.35">
      <c r="P8164" s="226"/>
      <c r="Q8164" s="226"/>
      <c r="R8164" s="226"/>
      <c r="S8164" s="226"/>
      <c r="T8164" s="226"/>
      <c r="U8164" s="226"/>
    </row>
    <row r="8165" spans="16:21" x14ac:dyDescent="0.35">
      <c r="P8165" s="226"/>
      <c r="Q8165" s="226"/>
      <c r="R8165" s="226"/>
      <c r="S8165" s="226"/>
      <c r="T8165" s="226"/>
      <c r="U8165" s="226"/>
    </row>
    <row r="8166" spans="16:21" x14ac:dyDescent="0.35">
      <c r="P8166" s="226"/>
      <c r="Q8166" s="226"/>
      <c r="R8166" s="226"/>
      <c r="S8166" s="226"/>
      <c r="T8166" s="226"/>
      <c r="U8166" s="226"/>
    </row>
    <row r="8167" spans="16:21" x14ac:dyDescent="0.35">
      <c r="P8167" s="226"/>
      <c r="Q8167" s="226"/>
      <c r="R8167" s="226"/>
      <c r="S8167" s="226"/>
      <c r="T8167" s="226"/>
      <c r="U8167" s="226"/>
    </row>
    <row r="8168" spans="16:21" x14ac:dyDescent="0.35">
      <c r="P8168" s="226"/>
      <c r="Q8168" s="226"/>
      <c r="R8168" s="226"/>
      <c r="S8168" s="226"/>
      <c r="T8168" s="226"/>
      <c r="U8168" s="226"/>
    </row>
    <row r="8169" spans="16:21" x14ac:dyDescent="0.35">
      <c r="P8169" s="226"/>
      <c r="Q8169" s="226"/>
      <c r="R8169" s="226"/>
      <c r="S8169" s="226"/>
      <c r="T8169" s="226"/>
      <c r="U8169" s="226"/>
    </row>
    <row r="8170" spans="16:21" x14ac:dyDescent="0.35">
      <c r="P8170" s="226"/>
      <c r="Q8170" s="226"/>
      <c r="R8170" s="226"/>
      <c r="S8170" s="226"/>
      <c r="T8170" s="226"/>
      <c r="U8170" s="226"/>
    </row>
    <row r="8171" spans="16:21" x14ac:dyDescent="0.35">
      <c r="P8171" s="226"/>
      <c r="Q8171" s="226"/>
      <c r="R8171" s="226"/>
      <c r="S8171" s="226"/>
      <c r="T8171" s="226"/>
      <c r="U8171" s="226"/>
    </row>
    <row r="8172" spans="16:21" x14ac:dyDescent="0.35">
      <c r="P8172" s="226"/>
      <c r="Q8172" s="226"/>
      <c r="R8172" s="226"/>
      <c r="S8172" s="226"/>
      <c r="T8172" s="226"/>
      <c r="U8172" s="226"/>
    </row>
    <row r="8173" spans="16:21" x14ac:dyDescent="0.35">
      <c r="P8173" s="226"/>
      <c r="Q8173" s="226"/>
      <c r="R8173" s="226"/>
      <c r="S8173" s="226"/>
      <c r="T8173" s="226"/>
      <c r="U8173" s="226"/>
    </row>
    <row r="8174" spans="16:21" x14ac:dyDescent="0.35">
      <c r="P8174" s="226"/>
      <c r="Q8174" s="226"/>
      <c r="R8174" s="226"/>
      <c r="S8174" s="226"/>
      <c r="T8174" s="226"/>
      <c r="U8174" s="226"/>
    </row>
    <row r="8175" spans="16:21" x14ac:dyDescent="0.35">
      <c r="P8175" s="226"/>
      <c r="Q8175" s="226"/>
      <c r="R8175" s="226"/>
      <c r="S8175" s="226"/>
      <c r="T8175" s="226"/>
      <c r="U8175" s="226"/>
    </row>
    <row r="8176" spans="16:21" x14ac:dyDescent="0.35">
      <c r="P8176" s="226"/>
      <c r="Q8176" s="226"/>
      <c r="R8176" s="226"/>
      <c r="S8176" s="226"/>
      <c r="T8176" s="226"/>
      <c r="U8176" s="226"/>
    </row>
    <row r="8177" spans="16:21" x14ac:dyDescent="0.35">
      <c r="P8177" s="226"/>
      <c r="Q8177" s="226"/>
      <c r="R8177" s="226"/>
      <c r="S8177" s="226"/>
      <c r="T8177" s="226"/>
      <c r="U8177" s="226"/>
    </row>
    <row r="8178" spans="16:21" x14ac:dyDescent="0.35">
      <c r="P8178" s="226"/>
      <c r="Q8178" s="226"/>
      <c r="R8178" s="226"/>
      <c r="S8178" s="226"/>
      <c r="T8178" s="226"/>
      <c r="U8178" s="226"/>
    </row>
    <row r="8179" spans="16:21" x14ac:dyDescent="0.35">
      <c r="P8179" s="226"/>
      <c r="Q8179" s="226"/>
      <c r="R8179" s="226"/>
      <c r="S8179" s="226"/>
      <c r="T8179" s="226"/>
      <c r="U8179" s="226"/>
    </row>
    <row r="8180" spans="16:21" x14ac:dyDescent="0.35">
      <c r="P8180" s="226"/>
      <c r="Q8180" s="226"/>
      <c r="R8180" s="226"/>
      <c r="S8180" s="226"/>
      <c r="T8180" s="226"/>
      <c r="U8180" s="226"/>
    </row>
    <row r="8181" spans="16:21" x14ac:dyDescent="0.35">
      <c r="P8181" s="226"/>
      <c r="Q8181" s="226"/>
      <c r="R8181" s="226"/>
      <c r="S8181" s="226"/>
      <c r="T8181" s="226"/>
      <c r="U8181" s="226"/>
    </row>
    <row r="8182" spans="16:21" x14ac:dyDescent="0.35">
      <c r="P8182" s="226"/>
      <c r="Q8182" s="226"/>
      <c r="R8182" s="226"/>
      <c r="S8182" s="226"/>
      <c r="T8182" s="226"/>
      <c r="U8182" s="226"/>
    </row>
    <row r="8183" spans="16:21" x14ac:dyDescent="0.35">
      <c r="P8183" s="226"/>
      <c r="Q8183" s="226"/>
      <c r="R8183" s="226"/>
      <c r="S8183" s="226"/>
      <c r="T8183" s="226"/>
      <c r="U8183" s="226"/>
    </row>
    <row r="8184" spans="16:21" x14ac:dyDescent="0.35">
      <c r="P8184" s="226"/>
      <c r="Q8184" s="226"/>
      <c r="R8184" s="226"/>
      <c r="S8184" s="226"/>
      <c r="T8184" s="226"/>
      <c r="U8184" s="226"/>
    </row>
    <row r="8185" spans="16:21" x14ac:dyDescent="0.35">
      <c r="P8185" s="226"/>
      <c r="Q8185" s="226"/>
      <c r="R8185" s="226"/>
      <c r="S8185" s="226"/>
      <c r="T8185" s="226"/>
      <c r="U8185" s="226"/>
    </row>
    <row r="8186" spans="16:21" x14ac:dyDescent="0.35">
      <c r="P8186" s="226"/>
      <c r="Q8186" s="226"/>
      <c r="R8186" s="226"/>
      <c r="S8186" s="226"/>
      <c r="T8186" s="226"/>
      <c r="U8186" s="226"/>
    </row>
    <row r="8187" spans="16:21" x14ac:dyDescent="0.35">
      <c r="P8187" s="226"/>
      <c r="Q8187" s="226"/>
      <c r="R8187" s="226"/>
      <c r="S8187" s="226"/>
      <c r="T8187" s="226"/>
      <c r="U8187" s="226"/>
    </row>
    <row r="8188" spans="16:21" x14ac:dyDescent="0.35">
      <c r="P8188" s="226"/>
      <c r="Q8188" s="226"/>
      <c r="R8188" s="226"/>
      <c r="S8188" s="226"/>
      <c r="T8188" s="226"/>
      <c r="U8188" s="226"/>
    </row>
    <row r="8189" spans="16:21" x14ac:dyDescent="0.35">
      <c r="P8189" s="226"/>
      <c r="Q8189" s="226"/>
      <c r="R8189" s="226"/>
      <c r="S8189" s="226"/>
      <c r="T8189" s="226"/>
      <c r="U8189" s="226"/>
    </row>
    <row r="8190" spans="16:21" x14ac:dyDescent="0.35">
      <c r="P8190" s="226"/>
      <c r="Q8190" s="226"/>
      <c r="R8190" s="226"/>
      <c r="S8190" s="226"/>
      <c r="T8190" s="226"/>
      <c r="U8190" s="226"/>
    </row>
    <row r="8191" spans="16:21" x14ac:dyDescent="0.35">
      <c r="P8191" s="226"/>
      <c r="Q8191" s="226"/>
      <c r="R8191" s="226"/>
      <c r="S8191" s="226"/>
      <c r="T8191" s="226"/>
      <c r="U8191" s="226"/>
    </row>
    <row r="8192" spans="16:21" x14ac:dyDescent="0.35">
      <c r="P8192" s="226"/>
      <c r="Q8192" s="226"/>
      <c r="R8192" s="226"/>
      <c r="S8192" s="226"/>
      <c r="T8192" s="226"/>
      <c r="U8192" s="226"/>
    </row>
    <row r="8193" spans="16:21" x14ac:dyDescent="0.35">
      <c r="P8193" s="226"/>
      <c r="Q8193" s="226"/>
      <c r="R8193" s="226"/>
      <c r="S8193" s="226"/>
      <c r="T8193" s="226"/>
      <c r="U8193" s="226"/>
    </row>
    <row r="8194" spans="16:21" x14ac:dyDescent="0.35">
      <c r="P8194" s="226"/>
      <c r="Q8194" s="226"/>
      <c r="R8194" s="226"/>
      <c r="S8194" s="226"/>
      <c r="T8194" s="226"/>
      <c r="U8194" s="226"/>
    </row>
    <row r="8195" spans="16:21" x14ac:dyDescent="0.35">
      <c r="P8195" s="226"/>
      <c r="Q8195" s="226"/>
      <c r="R8195" s="226"/>
      <c r="S8195" s="226"/>
      <c r="T8195" s="226"/>
      <c r="U8195" s="226"/>
    </row>
    <row r="8196" spans="16:21" x14ac:dyDescent="0.35">
      <c r="P8196" s="226"/>
      <c r="Q8196" s="226"/>
      <c r="R8196" s="226"/>
      <c r="S8196" s="226"/>
      <c r="T8196" s="226"/>
      <c r="U8196" s="226"/>
    </row>
    <row r="8197" spans="16:21" x14ac:dyDescent="0.35">
      <c r="P8197" s="226"/>
      <c r="Q8197" s="226"/>
      <c r="R8197" s="226"/>
      <c r="S8197" s="226"/>
      <c r="T8197" s="226"/>
      <c r="U8197" s="226"/>
    </row>
    <row r="8198" spans="16:21" x14ac:dyDescent="0.35">
      <c r="P8198" s="226"/>
      <c r="Q8198" s="226"/>
      <c r="R8198" s="226"/>
      <c r="S8198" s="226"/>
      <c r="T8198" s="226"/>
      <c r="U8198" s="226"/>
    </row>
    <row r="8199" spans="16:21" x14ac:dyDescent="0.35">
      <c r="P8199" s="226"/>
      <c r="Q8199" s="226"/>
      <c r="R8199" s="226"/>
      <c r="S8199" s="226"/>
      <c r="T8199" s="226"/>
      <c r="U8199" s="226"/>
    </row>
    <row r="8200" spans="16:21" x14ac:dyDescent="0.35">
      <c r="P8200" s="226"/>
      <c r="Q8200" s="226"/>
      <c r="R8200" s="226"/>
      <c r="S8200" s="226"/>
      <c r="T8200" s="226"/>
      <c r="U8200" s="226"/>
    </row>
    <row r="8201" spans="16:21" x14ac:dyDescent="0.35">
      <c r="P8201" s="226"/>
      <c r="Q8201" s="226"/>
      <c r="R8201" s="226"/>
      <c r="S8201" s="226"/>
      <c r="T8201" s="226"/>
      <c r="U8201" s="226"/>
    </row>
    <row r="8202" spans="16:21" x14ac:dyDescent="0.35">
      <c r="P8202" s="226"/>
      <c r="Q8202" s="226"/>
      <c r="R8202" s="226"/>
      <c r="S8202" s="226"/>
      <c r="T8202" s="226"/>
      <c r="U8202" s="226"/>
    </row>
    <row r="8203" spans="16:21" x14ac:dyDescent="0.35">
      <c r="P8203" s="226"/>
      <c r="Q8203" s="226"/>
      <c r="R8203" s="226"/>
      <c r="S8203" s="226"/>
      <c r="T8203" s="226"/>
      <c r="U8203" s="226"/>
    </row>
    <row r="8204" spans="16:21" x14ac:dyDescent="0.35">
      <c r="P8204" s="226"/>
      <c r="Q8204" s="226"/>
      <c r="R8204" s="226"/>
      <c r="S8204" s="226"/>
      <c r="T8204" s="226"/>
      <c r="U8204" s="226"/>
    </row>
    <row r="8205" spans="16:21" x14ac:dyDescent="0.35">
      <c r="P8205" s="226"/>
      <c r="Q8205" s="226"/>
      <c r="R8205" s="226"/>
      <c r="S8205" s="226"/>
      <c r="T8205" s="226"/>
      <c r="U8205" s="226"/>
    </row>
    <row r="8206" spans="16:21" x14ac:dyDescent="0.35">
      <c r="P8206" s="226"/>
      <c r="Q8206" s="226"/>
      <c r="R8206" s="226"/>
      <c r="S8206" s="226"/>
      <c r="T8206" s="226"/>
      <c r="U8206" s="226"/>
    </row>
    <row r="8207" spans="16:21" x14ac:dyDescent="0.35">
      <c r="P8207" s="226"/>
      <c r="Q8207" s="226"/>
      <c r="R8207" s="226"/>
      <c r="S8207" s="226"/>
      <c r="T8207" s="226"/>
      <c r="U8207" s="226"/>
    </row>
    <row r="8208" spans="16:21" x14ac:dyDescent="0.35">
      <c r="P8208" s="226"/>
      <c r="Q8208" s="226"/>
      <c r="R8208" s="226"/>
      <c r="S8208" s="226"/>
      <c r="T8208" s="226"/>
      <c r="U8208" s="226"/>
    </row>
    <row r="8209" spans="16:21" x14ac:dyDescent="0.35">
      <c r="P8209" s="226"/>
      <c r="Q8209" s="226"/>
      <c r="R8209" s="226"/>
      <c r="S8209" s="226"/>
      <c r="T8209" s="226"/>
      <c r="U8209" s="226"/>
    </row>
    <row r="8210" spans="16:21" x14ac:dyDescent="0.35">
      <c r="P8210" s="226"/>
      <c r="Q8210" s="226"/>
      <c r="R8210" s="226"/>
      <c r="S8210" s="226"/>
      <c r="T8210" s="226"/>
      <c r="U8210" s="226"/>
    </row>
    <row r="8211" spans="16:21" x14ac:dyDescent="0.35">
      <c r="P8211" s="226"/>
      <c r="Q8211" s="226"/>
      <c r="R8211" s="226"/>
      <c r="S8211" s="226"/>
      <c r="T8211" s="226"/>
      <c r="U8211" s="226"/>
    </row>
    <row r="8212" spans="16:21" x14ac:dyDescent="0.35">
      <c r="P8212" s="226"/>
      <c r="Q8212" s="226"/>
      <c r="R8212" s="226"/>
      <c r="S8212" s="226"/>
      <c r="T8212" s="226"/>
      <c r="U8212" s="226"/>
    </row>
    <row r="8213" spans="16:21" x14ac:dyDescent="0.35">
      <c r="P8213" s="226"/>
      <c r="Q8213" s="226"/>
      <c r="R8213" s="226"/>
      <c r="S8213" s="226"/>
      <c r="T8213" s="226"/>
      <c r="U8213" s="226"/>
    </row>
    <row r="8214" spans="16:21" x14ac:dyDescent="0.35">
      <c r="P8214" s="226"/>
      <c r="Q8214" s="226"/>
      <c r="R8214" s="226"/>
      <c r="S8214" s="226"/>
      <c r="T8214" s="226"/>
      <c r="U8214" s="226"/>
    </row>
    <row r="8215" spans="16:21" x14ac:dyDescent="0.35">
      <c r="P8215" s="226"/>
      <c r="Q8215" s="226"/>
      <c r="R8215" s="226"/>
      <c r="S8215" s="226"/>
      <c r="T8215" s="226"/>
      <c r="U8215" s="226"/>
    </row>
    <row r="8216" spans="16:21" x14ac:dyDescent="0.35">
      <c r="P8216" s="226"/>
      <c r="Q8216" s="226"/>
      <c r="R8216" s="226"/>
      <c r="S8216" s="226"/>
      <c r="T8216" s="226"/>
      <c r="U8216" s="226"/>
    </row>
    <row r="8217" spans="16:21" x14ac:dyDescent="0.35">
      <c r="P8217" s="226"/>
      <c r="Q8217" s="226"/>
      <c r="R8217" s="226"/>
      <c r="S8217" s="226"/>
      <c r="T8217" s="226"/>
      <c r="U8217" s="226"/>
    </row>
    <row r="8218" spans="16:21" x14ac:dyDescent="0.35">
      <c r="P8218" s="226"/>
      <c r="Q8218" s="226"/>
      <c r="R8218" s="226"/>
      <c r="S8218" s="226"/>
      <c r="T8218" s="226"/>
      <c r="U8218" s="226"/>
    </row>
    <row r="8219" spans="16:21" x14ac:dyDescent="0.35">
      <c r="P8219" s="226"/>
      <c r="Q8219" s="226"/>
      <c r="R8219" s="226"/>
      <c r="S8219" s="226"/>
      <c r="T8219" s="226"/>
      <c r="U8219" s="226"/>
    </row>
    <row r="8220" spans="16:21" x14ac:dyDescent="0.35">
      <c r="P8220" s="226"/>
      <c r="Q8220" s="226"/>
      <c r="R8220" s="226"/>
      <c r="S8220" s="226"/>
      <c r="T8220" s="226"/>
      <c r="U8220" s="226"/>
    </row>
    <row r="8221" spans="16:21" x14ac:dyDescent="0.35">
      <c r="P8221" s="226"/>
      <c r="Q8221" s="226"/>
      <c r="R8221" s="226"/>
      <c r="S8221" s="226"/>
      <c r="T8221" s="226"/>
      <c r="U8221" s="226"/>
    </row>
    <row r="8222" spans="16:21" x14ac:dyDescent="0.35">
      <c r="P8222" s="226"/>
      <c r="Q8222" s="226"/>
      <c r="R8222" s="226"/>
      <c r="S8222" s="226"/>
      <c r="T8222" s="226"/>
      <c r="U8222" s="226"/>
    </row>
    <row r="8223" spans="16:21" x14ac:dyDescent="0.35">
      <c r="P8223" s="226"/>
      <c r="Q8223" s="226"/>
      <c r="R8223" s="226"/>
      <c r="S8223" s="226"/>
      <c r="T8223" s="226"/>
      <c r="U8223" s="226"/>
    </row>
    <row r="8224" spans="16:21" x14ac:dyDescent="0.35">
      <c r="P8224" s="226"/>
      <c r="Q8224" s="226"/>
      <c r="R8224" s="226"/>
      <c r="S8224" s="226"/>
      <c r="T8224" s="226"/>
      <c r="U8224" s="226"/>
    </row>
    <row r="8225" spans="16:21" x14ac:dyDescent="0.35">
      <c r="P8225" s="226"/>
      <c r="Q8225" s="226"/>
      <c r="R8225" s="226"/>
      <c r="S8225" s="226"/>
      <c r="T8225" s="226"/>
      <c r="U8225" s="226"/>
    </row>
    <row r="8226" spans="16:21" x14ac:dyDescent="0.35">
      <c r="P8226" s="226"/>
      <c r="Q8226" s="226"/>
      <c r="R8226" s="226"/>
      <c r="S8226" s="226"/>
      <c r="T8226" s="226"/>
      <c r="U8226" s="226"/>
    </row>
    <row r="8227" spans="16:21" x14ac:dyDescent="0.35">
      <c r="P8227" s="226"/>
      <c r="Q8227" s="226"/>
      <c r="R8227" s="226"/>
      <c r="S8227" s="226"/>
      <c r="T8227" s="226"/>
      <c r="U8227" s="226"/>
    </row>
    <row r="8228" spans="16:21" x14ac:dyDescent="0.35">
      <c r="P8228" s="226"/>
      <c r="Q8228" s="226"/>
      <c r="R8228" s="226"/>
      <c r="S8228" s="226"/>
      <c r="T8228" s="226"/>
      <c r="U8228" s="226"/>
    </row>
    <row r="8229" spans="16:21" x14ac:dyDescent="0.35">
      <c r="P8229" s="226"/>
      <c r="Q8229" s="226"/>
      <c r="R8229" s="226"/>
      <c r="S8229" s="226"/>
      <c r="T8229" s="226"/>
      <c r="U8229" s="226"/>
    </row>
    <row r="8230" spans="16:21" x14ac:dyDescent="0.35">
      <c r="P8230" s="226"/>
      <c r="Q8230" s="226"/>
      <c r="R8230" s="226"/>
      <c r="S8230" s="226"/>
      <c r="T8230" s="226"/>
      <c r="U8230" s="226"/>
    </row>
    <row r="8231" spans="16:21" x14ac:dyDescent="0.35">
      <c r="P8231" s="226"/>
      <c r="Q8231" s="226"/>
      <c r="R8231" s="226"/>
      <c r="S8231" s="226"/>
      <c r="T8231" s="226"/>
      <c r="U8231" s="226"/>
    </row>
    <row r="8232" spans="16:21" x14ac:dyDescent="0.35">
      <c r="P8232" s="226"/>
      <c r="Q8232" s="226"/>
      <c r="R8232" s="226"/>
      <c r="S8232" s="226"/>
      <c r="T8232" s="226"/>
      <c r="U8232" s="226"/>
    </row>
    <row r="8233" spans="16:21" x14ac:dyDescent="0.35">
      <c r="P8233" s="226"/>
      <c r="Q8233" s="226"/>
      <c r="R8233" s="226"/>
      <c r="S8233" s="226"/>
      <c r="T8233" s="226"/>
      <c r="U8233" s="226"/>
    </row>
    <row r="8234" spans="16:21" x14ac:dyDescent="0.35">
      <c r="P8234" s="226"/>
      <c r="Q8234" s="226"/>
      <c r="R8234" s="226"/>
      <c r="S8234" s="226"/>
      <c r="T8234" s="226"/>
      <c r="U8234" s="226"/>
    </row>
    <row r="8235" spans="16:21" x14ac:dyDescent="0.35">
      <c r="P8235" s="226"/>
      <c r="Q8235" s="226"/>
      <c r="R8235" s="226"/>
      <c r="S8235" s="226"/>
      <c r="T8235" s="226"/>
      <c r="U8235" s="226"/>
    </row>
    <row r="8236" spans="16:21" x14ac:dyDescent="0.35">
      <c r="P8236" s="226"/>
      <c r="Q8236" s="226"/>
      <c r="R8236" s="226"/>
      <c r="S8236" s="226"/>
      <c r="T8236" s="226"/>
      <c r="U8236" s="226"/>
    </row>
    <row r="8237" spans="16:21" x14ac:dyDescent="0.35">
      <c r="P8237" s="226"/>
      <c r="Q8237" s="226"/>
      <c r="R8237" s="226"/>
      <c r="S8237" s="226"/>
      <c r="T8237" s="226"/>
      <c r="U8237" s="226"/>
    </row>
    <row r="8238" spans="16:21" x14ac:dyDescent="0.35">
      <c r="P8238" s="226"/>
      <c r="Q8238" s="226"/>
      <c r="R8238" s="226"/>
      <c r="S8238" s="226"/>
      <c r="T8238" s="226"/>
      <c r="U8238" s="226"/>
    </row>
    <row r="8239" spans="16:21" x14ac:dyDescent="0.35">
      <c r="P8239" s="226"/>
      <c r="Q8239" s="226"/>
      <c r="R8239" s="226"/>
      <c r="S8239" s="226"/>
      <c r="T8239" s="226"/>
      <c r="U8239" s="226"/>
    </row>
    <row r="8240" spans="16:21" x14ac:dyDescent="0.35">
      <c r="P8240" s="226"/>
      <c r="Q8240" s="226"/>
      <c r="R8240" s="226"/>
      <c r="S8240" s="226"/>
      <c r="T8240" s="226"/>
      <c r="U8240" s="226"/>
    </row>
    <row r="8241" spans="16:21" x14ac:dyDescent="0.35">
      <c r="P8241" s="226"/>
      <c r="Q8241" s="226"/>
      <c r="R8241" s="226"/>
      <c r="S8241" s="226"/>
      <c r="T8241" s="226"/>
      <c r="U8241" s="226"/>
    </row>
    <row r="8242" spans="16:21" x14ac:dyDescent="0.35">
      <c r="P8242" s="226"/>
      <c r="Q8242" s="226"/>
      <c r="R8242" s="226"/>
      <c r="S8242" s="226"/>
      <c r="T8242" s="226"/>
      <c r="U8242" s="226"/>
    </row>
    <row r="8243" spans="16:21" x14ac:dyDescent="0.35">
      <c r="P8243" s="226"/>
      <c r="Q8243" s="226"/>
      <c r="R8243" s="226"/>
      <c r="S8243" s="226"/>
      <c r="T8243" s="226"/>
      <c r="U8243" s="226"/>
    </row>
    <row r="8244" spans="16:21" x14ac:dyDescent="0.35">
      <c r="P8244" s="226"/>
      <c r="Q8244" s="226"/>
      <c r="R8244" s="226"/>
      <c r="S8244" s="226"/>
      <c r="T8244" s="226"/>
      <c r="U8244" s="226"/>
    </row>
    <row r="8245" spans="16:21" x14ac:dyDescent="0.35">
      <c r="P8245" s="226"/>
      <c r="Q8245" s="226"/>
      <c r="R8245" s="226"/>
      <c r="S8245" s="226"/>
      <c r="T8245" s="226"/>
      <c r="U8245" s="226"/>
    </row>
    <row r="8246" spans="16:21" x14ac:dyDescent="0.35">
      <c r="P8246" s="226"/>
      <c r="Q8246" s="226"/>
      <c r="R8246" s="226"/>
      <c r="S8246" s="226"/>
      <c r="T8246" s="226"/>
      <c r="U8246" s="226"/>
    </row>
    <row r="8247" spans="16:21" x14ac:dyDescent="0.35">
      <c r="P8247" s="226"/>
      <c r="Q8247" s="226"/>
      <c r="R8247" s="226"/>
      <c r="S8247" s="226"/>
      <c r="T8247" s="226"/>
      <c r="U8247" s="226"/>
    </row>
    <row r="8248" spans="16:21" x14ac:dyDescent="0.35">
      <c r="P8248" s="226"/>
      <c r="Q8248" s="226"/>
      <c r="R8248" s="226"/>
      <c r="S8248" s="226"/>
      <c r="T8248" s="226"/>
      <c r="U8248" s="226"/>
    </row>
    <row r="8249" spans="16:21" x14ac:dyDescent="0.35">
      <c r="P8249" s="226"/>
      <c r="Q8249" s="226"/>
      <c r="R8249" s="226"/>
      <c r="S8249" s="226"/>
      <c r="T8249" s="226"/>
      <c r="U8249" s="226"/>
    </row>
    <row r="8250" spans="16:21" x14ac:dyDescent="0.35">
      <c r="P8250" s="226"/>
      <c r="Q8250" s="226"/>
      <c r="R8250" s="226"/>
      <c r="S8250" s="226"/>
      <c r="T8250" s="226"/>
      <c r="U8250" s="226"/>
    </row>
    <row r="8251" spans="16:21" x14ac:dyDescent="0.35">
      <c r="P8251" s="226"/>
      <c r="Q8251" s="226"/>
      <c r="R8251" s="226"/>
      <c r="S8251" s="226"/>
      <c r="T8251" s="226"/>
      <c r="U8251" s="226"/>
    </row>
    <row r="8252" spans="16:21" x14ac:dyDescent="0.35">
      <c r="P8252" s="226"/>
      <c r="Q8252" s="226"/>
      <c r="R8252" s="226"/>
      <c r="S8252" s="226"/>
      <c r="T8252" s="226"/>
      <c r="U8252" s="226"/>
    </row>
    <row r="8253" spans="16:21" x14ac:dyDescent="0.35">
      <c r="P8253" s="226"/>
      <c r="Q8253" s="226"/>
      <c r="R8253" s="226"/>
      <c r="S8253" s="226"/>
      <c r="T8253" s="226"/>
      <c r="U8253" s="226"/>
    </row>
    <row r="8254" spans="16:21" x14ac:dyDescent="0.35">
      <c r="P8254" s="226"/>
      <c r="Q8254" s="226"/>
      <c r="R8254" s="226"/>
      <c r="S8254" s="226"/>
      <c r="T8254" s="226"/>
      <c r="U8254" s="226"/>
    </row>
    <row r="8255" spans="16:21" x14ac:dyDescent="0.35">
      <c r="P8255" s="226"/>
      <c r="Q8255" s="226"/>
      <c r="R8255" s="226"/>
      <c r="S8255" s="226"/>
      <c r="T8255" s="226"/>
      <c r="U8255" s="226"/>
    </row>
    <row r="8256" spans="16:21" x14ac:dyDescent="0.35">
      <c r="P8256" s="226"/>
      <c r="Q8256" s="226"/>
      <c r="R8256" s="226"/>
      <c r="S8256" s="226"/>
      <c r="T8256" s="226"/>
      <c r="U8256" s="226"/>
    </row>
    <row r="8257" spans="16:21" x14ac:dyDescent="0.35">
      <c r="P8257" s="226"/>
      <c r="Q8257" s="226"/>
      <c r="R8257" s="226"/>
      <c r="S8257" s="226"/>
      <c r="T8257" s="226"/>
      <c r="U8257" s="226"/>
    </row>
    <row r="8258" spans="16:21" x14ac:dyDescent="0.35">
      <c r="P8258" s="226"/>
      <c r="Q8258" s="226"/>
      <c r="R8258" s="226"/>
      <c r="S8258" s="226"/>
      <c r="T8258" s="226"/>
      <c r="U8258" s="226"/>
    </row>
    <row r="8259" spans="16:21" x14ac:dyDescent="0.35">
      <c r="P8259" s="226"/>
      <c r="Q8259" s="226"/>
      <c r="R8259" s="226"/>
      <c r="S8259" s="226"/>
      <c r="T8259" s="226"/>
      <c r="U8259" s="226"/>
    </row>
    <row r="8260" spans="16:21" x14ac:dyDescent="0.35">
      <c r="P8260" s="226"/>
      <c r="Q8260" s="226"/>
      <c r="R8260" s="226"/>
      <c r="S8260" s="226"/>
      <c r="T8260" s="226"/>
      <c r="U8260" s="226"/>
    </row>
    <row r="8261" spans="16:21" x14ac:dyDescent="0.35">
      <c r="P8261" s="226"/>
      <c r="Q8261" s="226"/>
      <c r="R8261" s="226"/>
      <c r="S8261" s="226"/>
      <c r="T8261" s="226"/>
      <c r="U8261" s="226"/>
    </row>
    <row r="8262" spans="16:21" x14ac:dyDescent="0.35">
      <c r="P8262" s="226"/>
      <c r="Q8262" s="226"/>
      <c r="R8262" s="226"/>
      <c r="S8262" s="226"/>
      <c r="T8262" s="226"/>
      <c r="U8262" s="226"/>
    </row>
    <row r="8263" spans="16:21" x14ac:dyDescent="0.35">
      <c r="P8263" s="226"/>
      <c r="Q8263" s="226"/>
      <c r="R8263" s="226"/>
      <c r="S8263" s="226"/>
      <c r="T8263" s="226"/>
      <c r="U8263" s="226"/>
    </row>
    <row r="8264" spans="16:21" x14ac:dyDescent="0.35">
      <c r="P8264" s="226"/>
      <c r="Q8264" s="226"/>
      <c r="R8264" s="226"/>
      <c r="S8264" s="226"/>
      <c r="T8264" s="226"/>
      <c r="U8264" s="226"/>
    </row>
    <row r="8265" spans="16:21" x14ac:dyDescent="0.35">
      <c r="P8265" s="226"/>
      <c r="Q8265" s="226"/>
      <c r="R8265" s="226"/>
      <c r="S8265" s="226"/>
      <c r="T8265" s="226"/>
      <c r="U8265" s="226"/>
    </row>
    <row r="8266" spans="16:21" x14ac:dyDescent="0.35">
      <c r="P8266" s="226"/>
      <c r="Q8266" s="226"/>
      <c r="R8266" s="226"/>
      <c r="S8266" s="226"/>
      <c r="T8266" s="226"/>
      <c r="U8266" s="226"/>
    </row>
    <row r="8267" spans="16:21" x14ac:dyDescent="0.35">
      <c r="P8267" s="226"/>
      <c r="Q8267" s="226"/>
      <c r="R8267" s="226"/>
      <c r="S8267" s="226"/>
      <c r="T8267" s="226"/>
      <c r="U8267" s="226"/>
    </row>
    <row r="8268" spans="16:21" x14ac:dyDescent="0.35">
      <c r="P8268" s="226"/>
      <c r="Q8268" s="226"/>
      <c r="R8268" s="226"/>
      <c r="S8268" s="226"/>
      <c r="T8268" s="226"/>
      <c r="U8268" s="226"/>
    </row>
    <row r="8269" spans="16:21" x14ac:dyDescent="0.35">
      <c r="P8269" s="226"/>
      <c r="Q8269" s="226"/>
      <c r="R8269" s="226"/>
      <c r="S8269" s="226"/>
      <c r="T8269" s="226"/>
      <c r="U8269" s="226"/>
    </row>
    <row r="8270" spans="16:21" x14ac:dyDescent="0.35">
      <c r="P8270" s="226"/>
      <c r="Q8270" s="226"/>
      <c r="R8270" s="226"/>
      <c r="S8270" s="226"/>
      <c r="T8270" s="226"/>
      <c r="U8270" s="226"/>
    </row>
    <row r="8271" spans="16:21" x14ac:dyDescent="0.35">
      <c r="P8271" s="226"/>
      <c r="Q8271" s="226"/>
      <c r="R8271" s="226"/>
      <c r="S8271" s="226"/>
      <c r="T8271" s="226"/>
      <c r="U8271" s="226"/>
    </row>
    <row r="8272" spans="16:21" x14ac:dyDescent="0.35">
      <c r="P8272" s="226"/>
      <c r="Q8272" s="226"/>
      <c r="R8272" s="226"/>
      <c r="S8272" s="226"/>
      <c r="T8272" s="226"/>
      <c r="U8272" s="226"/>
    </row>
    <row r="8273" spans="16:21" x14ac:dyDescent="0.35">
      <c r="P8273" s="226"/>
      <c r="Q8273" s="226"/>
      <c r="R8273" s="226"/>
      <c r="S8273" s="226"/>
      <c r="T8273" s="226"/>
      <c r="U8273" s="226"/>
    </row>
    <row r="8274" spans="16:21" x14ac:dyDescent="0.35">
      <c r="P8274" s="226"/>
      <c r="Q8274" s="226"/>
      <c r="R8274" s="226"/>
      <c r="S8274" s="226"/>
      <c r="T8274" s="226"/>
      <c r="U8274" s="226"/>
    </row>
    <row r="8275" spans="16:21" x14ac:dyDescent="0.35">
      <c r="P8275" s="226"/>
      <c r="Q8275" s="226"/>
      <c r="R8275" s="226"/>
      <c r="S8275" s="226"/>
      <c r="T8275" s="226"/>
      <c r="U8275" s="226"/>
    </row>
    <row r="8276" spans="16:21" x14ac:dyDescent="0.35">
      <c r="P8276" s="226"/>
      <c r="Q8276" s="226"/>
      <c r="R8276" s="226"/>
      <c r="S8276" s="226"/>
      <c r="T8276" s="226"/>
      <c r="U8276" s="226"/>
    </row>
    <row r="8277" spans="16:21" x14ac:dyDescent="0.35">
      <c r="P8277" s="226"/>
      <c r="Q8277" s="226"/>
      <c r="R8277" s="226"/>
      <c r="S8277" s="226"/>
      <c r="T8277" s="226"/>
      <c r="U8277" s="226"/>
    </row>
    <row r="8278" spans="16:21" x14ac:dyDescent="0.35">
      <c r="P8278" s="226"/>
      <c r="Q8278" s="226"/>
      <c r="R8278" s="226"/>
      <c r="S8278" s="226"/>
      <c r="T8278" s="226"/>
      <c r="U8278" s="226"/>
    </row>
    <row r="8279" spans="16:21" x14ac:dyDescent="0.35">
      <c r="P8279" s="226"/>
      <c r="Q8279" s="226"/>
      <c r="R8279" s="226"/>
      <c r="S8279" s="226"/>
      <c r="T8279" s="226"/>
      <c r="U8279" s="226"/>
    </row>
    <row r="8280" spans="16:21" x14ac:dyDescent="0.35">
      <c r="P8280" s="226"/>
      <c r="Q8280" s="226"/>
      <c r="R8280" s="226"/>
      <c r="S8280" s="226"/>
      <c r="T8280" s="226"/>
      <c r="U8280" s="226"/>
    </row>
    <row r="8281" spans="16:21" x14ac:dyDescent="0.35">
      <c r="P8281" s="226"/>
      <c r="Q8281" s="226"/>
      <c r="R8281" s="226"/>
      <c r="S8281" s="226"/>
      <c r="T8281" s="226"/>
      <c r="U8281" s="226"/>
    </row>
    <row r="8282" spans="16:21" x14ac:dyDescent="0.35">
      <c r="P8282" s="226"/>
      <c r="Q8282" s="226"/>
      <c r="R8282" s="226"/>
      <c r="S8282" s="226"/>
      <c r="T8282" s="226"/>
      <c r="U8282" s="226"/>
    </row>
    <row r="8283" spans="16:21" x14ac:dyDescent="0.35">
      <c r="P8283" s="226"/>
      <c r="Q8283" s="226"/>
      <c r="R8283" s="226"/>
      <c r="S8283" s="226"/>
      <c r="T8283" s="226"/>
      <c r="U8283" s="226"/>
    </row>
    <row r="8284" spans="16:21" x14ac:dyDescent="0.35">
      <c r="P8284" s="226"/>
      <c r="Q8284" s="226"/>
      <c r="R8284" s="226"/>
      <c r="S8284" s="226"/>
      <c r="T8284" s="226"/>
      <c r="U8284" s="226"/>
    </row>
    <row r="8285" spans="16:21" x14ac:dyDescent="0.35">
      <c r="P8285" s="226"/>
      <c r="Q8285" s="226"/>
      <c r="R8285" s="226"/>
      <c r="S8285" s="226"/>
      <c r="T8285" s="226"/>
      <c r="U8285" s="226"/>
    </row>
    <row r="8286" spans="16:21" x14ac:dyDescent="0.35">
      <c r="P8286" s="226"/>
      <c r="Q8286" s="226"/>
      <c r="R8286" s="226"/>
      <c r="S8286" s="226"/>
      <c r="T8286" s="226"/>
      <c r="U8286" s="226"/>
    </row>
    <row r="8287" spans="16:21" x14ac:dyDescent="0.35">
      <c r="P8287" s="226"/>
      <c r="Q8287" s="226"/>
      <c r="R8287" s="226"/>
      <c r="S8287" s="226"/>
      <c r="T8287" s="226"/>
      <c r="U8287" s="226"/>
    </row>
    <row r="8288" spans="16:21" x14ac:dyDescent="0.35">
      <c r="P8288" s="226"/>
      <c r="Q8288" s="226"/>
      <c r="R8288" s="226"/>
      <c r="S8288" s="226"/>
      <c r="T8288" s="226"/>
      <c r="U8288" s="226"/>
    </row>
    <row r="8289" spans="16:21" x14ac:dyDescent="0.35">
      <c r="P8289" s="226"/>
      <c r="Q8289" s="226"/>
      <c r="R8289" s="226"/>
      <c r="S8289" s="226"/>
      <c r="T8289" s="226"/>
      <c r="U8289" s="226"/>
    </row>
    <row r="8290" spans="16:21" x14ac:dyDescent="0.35">
      <c r="P8290" s="226"/>
      <c r="Q8290" s="226"/>
      <c r="R8290" s="226"/>
      <c r="S8290" s="226"/>
      <c r="T8290" s="226"/>
      <c r="U8290" s="226"/>
    </row>
    <row r="8291" spans="16:21" x14ac:dyDescent="0.35">
      <c r="P8291" s="226"/>
      <c r="Q8291" s="226"/>
      <c r="R8291" s="226"/>
      <c r="S8291" s="226"/>
      <c r="T8291" s="226"/>
      <c r="U8291" s="226"/>
    </row>
    <row r="8292" spans="16:21" x14ac:dyDescent="0.35">
      <c r="P8292" s="226"/>
      <c r="Q8292" s="226"/>
      <c r="R8292" s="226"/>
      <c r="S8292" s="226"/>
      <c r="T8292" s="226"/>
      <c r="U8292" s="226"/>
    </row>
    <row r="8293" spans="16:21" x14ac:dyDescent="0.35">
      <c r="P8293" s="226"/>
      <c r="Q8293" s="226"/>
      <c r="R8293" s="226"/>
      <c r="S8293" s="226"/>
      <c r="T8293" s="226"/>
      <c r="U8293" s="226"/>
    </row>
    <row r="8294" spans="16:21" x14ac:dyDescent="0.35">
      <c r="P8294" s="226"/>
      <c r="Q8294" s="226"/>
      <c r="R8294" s="226"/>
      <c r="S8294" s="226"/>
      <c r="T8294" s="226"/>
      <c r="U8294" s="226"/>
    </row>
    <row r="8295" spans="16:21" x14ac:dyDescent="0.35">
      <c r="P8295" s="226"/>
      <c r="Q8295" s="226"/>
      <c r="R8295" s="226"/>
      <c r="S8295" s="226"/>
      <c r="T8295" s="226"/>
      <c r="U8295" s="226"/>
    </row>
    <row r="8296" spans="16:21" x14ac:dyDescent="0.35">
      <c r="P8296" s="226"/>
      <c r="Q8296" s="226"/>
      <c r="R8296" s="226"/>
      <c r="S8296" s="226"/>
      <c r="T8296" s="226"/>
      <c r="U8296" s="226"/>
    </row>
    <row r="8297" spans="16:21" x14ac:dyDescent="0.35">
      <c r="P8297" s="226"/>
      <c r="Q8297" s="226"/>
      <c r="R8297" s="226"/>
      <c r="S8297" s="226"/>
      <c r="T8297" s="226"/>
      <c r="U8297" s="226"/>
    </row>
    <row r="8298" spans="16:21" x14ac:dyDescent="0.35">
      <c r="P8298" s="226"/>
      <c r="Q8298" s="226"/>
      <c r="R8298" s="226"/>
      <c r="S8298" s="226"/>
      <c r="T8298" s="226"/>
      <c r="U8298" s="226"/>
    </row>
    <row r="8299" spans="16:21" x14ac:dyDescent="0.35">
      <c r="P8299" s="226"/>
      <c r="Q8299" s="226"/>
      <c r="R8299" s="226"/>
      <c r="S8299" s="226"/>
      <c r="T8299" s="226"/>
      <c r="U8299" s="226"/>
    </row>
    <row r="8300" spans="16:21" x14ac:dyDescent="0.35">
      <c r="P8300" s="226"/>
      <c r="Q8300" s="226"/>
      <c r="R8300" s="226"/>
      <c r="S8300" s="226"/>
      <c r="T8300" s="226"/>
      <c r="U8300" s="226"/>
    </row>
    <row r="8301" spans="16:21" x14ac:dyDescent="0.35">
      <c r="P8301" s="226"/>
      <c r="Q8301" s="226"/>
      <c r="R8301" s="226"/>
      <c r="S8301" s="226"/>
      <c r="T8301" s="226"/>
      <c r="U8301" s="226"/>
    </row>
    <row r="8302" spans="16:21" x14ac:dyDescent="0.35">
      <c r="P8302" s="226"/>
      <c r="Q8302" s="226"/>
      <c r="R8302" s="226"/>
      <c r="S8302" s="226"/>
      <c r="T8302" s="226"/>
      <c r="U8302" s="226"/>
    </row>
    <row r="8303" spans="16:21" x14ac:dyDescent="0.35">
      <c r="P8303" s="226"/>
      <c r="Q8303" s="226"/>
      <c r="R8303" s="226"/>
      <c r="S8303" s="226"/>
      <c r="T8303" s="226"/>
      <c r="U8303" s="226"/>
    </row>
    <row r="8304" spans="16:21" x14ac:dyDescent="0.35">
      <c r="P8304" s="226"/>
      <c r="Q8304" s="226"/>
      <c r="R8304" s="226"/>
      <c r="S8304" s="226"/>
      <c r="T8304" s="226"/>
      <c r="U8304" s="226"/>
    </row>
    <row r="8305" spans="16:21" x14ac:dyDescent="0.35">
      <c r="P8305" s="226"/>
      <c r="Q8305" s="226"/>
      <c r="R8305" s="226"/>
      <c r="S8305" s="226"/>
      <c r="T8305" s="226"/>
      <c r="U8305" s="226"/>
    </row>
    <row r="8306" spans="16:21" x14ac:dyDescent="0.35">
      <c r="P8306" s="226"/>
      <c r="Q8306" s="226"/>
      <c r="R8306" s="226"/>
      <c r="S8306" s="226"/>
      <c r="T8306" s="226"/>
      <c r="U8306" s="226"/>
    </row>
    <row r="8307" spans="16:21" x14ac:dyDescent="0.35">
      <c r="P8307" s="226"/>
      <c r="Q8307" s="226"/>
      <c r="R8307" s="226"/>
      <c r="S8307" s="226"/>
      <c r="T8307" s="226"/>
      <c r="U8307" s="226"/>
    </row>
    <row r="8308" spans="16:21" x14ac:dyDescent="0.35">
      <c r="P8308" s="226"/>
      <c r="Q8308" s="226"/>
      <c r="R8308" s="226"/>
      <c r="S8308" s="226"/>
      <c r="T8308" s="226"/>
      <c r="U8308" s="226"/>
    </row>
    <row r="8309" spans="16:21" x14ac:dyDescent="0.35">
      <c r="P8309" s="226"/>
      <c r="Q8309" s="226"/>
      <c r="R8309" s="226"/>
      <c r="S8309" s="226"/>
      <c r="T8309" s="226"/>
      <c r="U8309" s="226"/>
    </row>
    <row r="8310" spans="16:21" x14ac:dyDescent="0.35">
      <c r="P8310" s="226"/>
      <c r="Q8310" s="226"/>
      <c r="R8310" s="226"/>
      <c r="S8310" s="226"/>
      <c r="T8310" s="226"/>
      <c r="U8310" s="226"/>
    </row>
    <row r="8311" spans="16:21" x14ac:dyDescent="0.35">
      <c r="P8311" s="226"/>
      <c r="Q8311" s="226"/>
      <c r="R8311" s="226"/>
      <c r="S8311" s="226"/>
      <c r="T8311" s="226"/>
      <c r="U8311" s="226"/>
    </row>
    <row r="8312" spans="16:21" x14ac:dyDescent="0.35">
      <c r="P8312" s="226"/>
      <c r="Q8312" s="226"/>
      <c r="R8312" s="226"/>
      <c r="S8312" s="226"/>
      <c r="T8312" s="226"/>
      <c r="U8312" s="226"/>
    </row>
    <row r="8313" spans="16:21" x14ac:dyDescent="0.35">
      <c r="P8313" s="226"/>
      <c r="Q8313" s="226"/>
      <c r="R8313" s="226"/>
      <c r="S8313" s="226"/>
      <c r="T8313" s="226"/>
      <c r="U8313" s="226"/>
    </row>
    <row r="8314" spans="16:21" x14ac:dyDescent="0.35">
      <c r="P8314" s="226"/>
      <c r="Q8314" s="226"/>
      <c r="R8314" s="226"/>
      <c r="S8314" s="226"/>
      <c r="T8314" s="226"/>
      <c r="U8314" s="226"/>
    </row>
    <row r="8315" spans="16:21" x14ac:dyDescent="0.35">
      <c r="P8315" s="226"/>
      <c r="Q8315" s="226"/>
      <c r="R8315" s="226"/>
      <c r="S8315" s="226"/>
      <c r="T8315" s="226"/>
      <c r="U8315" s="226"/>
    </row>
    <row r="8316" spans="16:21" x14ac:dyDescent="0.35">
      <c r="P8316" s="226"/>
      <c r="Q8316" s="226"/>
      <c r="R8316" s="226"/>
      <c r="S8316" s="226"/>
      <c r="T8316" s="226"/>
      <c r="U8316" s="226"/>
    </row>
    <row r="8317" spans="16:21" x14ac:dyDescent="0.35">
      <c r="P8317" s="226"/>
      <c r="Q8317" s="226"/>
      <c r="R8317" s="226"/>
      <c r="S8317" s="226"/>
      <c r="T8317" s="226"/>
      <c r="U8317" s="226"/>
    </row>
    <row r="8318" spans="16:21" x14ac:dyDescent="0.35">
      <c r="P8318" s="226"/>
      <c r="Q8318" s="226"/>
      <c r="R8318" s="226"/>
      <c r="S8318" s="226"/>
      <c r="T8318" s="226"/>
      <c r="U8318" s="226"/>
    </row>
    <row r="8319" spans="16:21" x14ac:dyDescent="0.35">
      <c r="P8319" s="226"/>
      <c r="Q8319" s="226"/>
      <c r="R8319" s="226"/>
      <c r="S8319" s="226"/>
      <c r="T8319" s="226"/>
      <c r="U8319" s="226"/>
    </row>
    <row r="8320" spans="16:21" x14ac:dyDescent="0.35">
      <c r="P8320" s="226"/>
      <c r="Q8320" s="226"/>
      <c r="R8320" s="226"/>
      <c r="S8320" s="226"/>
      <c r="T8320" s="226"/>
      <c r="U8320" s="226"/>
    </row>
    <row r="8321" spans="16:21" x14ac:dyDescent="0.35">
      <c r="P8321" s="226"/>
      <c r="Q8321" s="226"/>
      <c r="R8321" s="226"/>
      <c r="S8321" s="226"/>
      <c r="T8321" s="226"/>
      <c r="U8321" s="226"/>
    </row>
    <row r="8322" spans="16:21" x14ac:dyDescent="0.35">
      <c r="P8322" s="226"/>
      <c r="Q8322" s="226"/>
      <c r="R8322" s="226"/>
      <c r="S8322" s="226"/>
      <c r="T8322" s="226"/>
      <c r="U8322" s="226"/>
    </row>
    <row r="8323" spans="16:21" x14ac:dyDescent="0.35">
      <c r="P8323" s="226"/>
      <c r="Q8323" s="226"/>
      <c r="R8323" s="226"/>
      <c r="S8323" s="226"/>
      <c r="T8323" s="226"/>
      <c r="U8323" s="226"/>
    </row>
    <row r="8324" spans="16:21" x14ac:dyDescent="0.35">
      <c r="P8324" s="226"/>
      <c r="Q8324" s="226"/>
      <c r="R8324" s="226"/>
      <c r="S8324" s="226"/>
      <c r="T8324" s="226"/>
      <c r="U8324" s="226"/>
    </row>
    <row r="8325" spans="16:21" x14ac:dyDescent="0.35">
      <c r="P8325" s="226"/>
      <c r="Q8325" s="226"/>
      <c r="R8325" s="226"/>
      <c r="S8325" s="226"/>
      <c r="T8325" s="226"/>
      <c r="U8325" s="226"/>
    </row>
    <row r="8326" spans="16:21" x14ac:dyDescent="0.35">
      <c r="P8326" s="226"/>
      <c r="Q8326" s="226"/>
      <c r="R8326" s="226"/>
      <c r="S8326" s="226"/>
      <c r="T8326" s="226"/>
      <c r="U8326" s="226"/>
    </row>
    <row r="8327" spans="16:21" x14ac:dyDescent="0.35">
      <c r="P8327" s="226"/>
      <c r="Q8327" s="226"/>
      <c r="R8327" s="226"/>
      <c r="S8327" s="226"/>
      <c r="T8327" s="226"/>
      <c r="U8327" s="226"/>
    </row>
    <row r="8328" spans="16:21" x14ac:dyDescent="0.35">
      <c r="P8328" s="226"/>
      <c r="Q8328" s="226"/>
      <c r="R8328" s="226"/>
      <c r="S8328" s="226"/>
      <c r="T8328" s="226"/>
      <c r="U8328" s="226"/>
    </row>
    <row r="8329" spans="16:21" x14ac:dyDescent="0.35">
      <c r="P8329" s="226"/>
      <c r="Q8329" s="226"/>
      <c r="R8329" s="226"/>
      <c r="S8329" s="226"/>
      <c r="T8329" s="226"/>
      <c r="U8329" s="226"/>
    </row>
    <row r="8330" spans="16:21" x14ac:dyDescent="0.35">
      <c r="P8330" s="226"/>
      <c r="Q8330" s="226"/>
      <c r="R8330" s="226"/>
      <c r="S8330" s="226"/>
      <c r="T8330" s="226"/>
      <c r="U8330" s="226"/>
    </row>
    <row r="8331" spans="16:21" x14ac:dyDescent="0.35">
      <c r="P8331" s="226"/>
      <c r="Q8331" s="226"/>
      <c r="R8331" s="226"/>
      <c r="S8331" s="226"/>
      <c r="T8331" s="226"/>
      <c r="U8331" s="226"/>
    </row>
    <row r="8332" spans="16:21" x14ac:dyDescent="0.35">
      <c r="P8332" s="226"/>
      <c r="Q8332" s="226"/>
      <c r="R8332" s="226"/>
      <c r="S8332" s="226"/>
      <c r="T8332" s="226"/>
      <c r="U8332" s="226"/>
    </row>
    <row r="8333" spans="16:21" x14ac:dyDescent="0.35">
      <c r="P8333" s="226"/>
      <c r="Q8333" s="226"/>
      <c r="R8333" s="226"/>
      <c r="S8333" s="226"/>
      <c r="T8333" s="226"/>
      <c r="U8333" s="226"/>
    </row>
    <row r="8334" spans="16:21" x14ac:dyDescent="0.35">
      <c r="P8334" s="226"/>
      <c r="Q8334" s="226"/>
      <c r="R8334" s="226"/>
      <c r="S8334" s="226"/>
      <c r="T8334" s="226"/>
      <c r="U8334" s="226"/>
    </row>
    <row r="8335" spans="16:21" x14ac:dyDescent="0.35">
      <c r="P8335" s="226"/>
      <c r="Q8335" s="226"/>
      <c r="R8335" s="226"/>
      <c r="S8335" s="226"/>
      <c r="T8335" s="226"/>
      <c r="U8335" s="226"/>
    </row>
    <row r="8336" spans="16:21" x14ac:dyDescent="0.35">
      <c r="P8336" s="226"/>
      <c r="Q8336" s="226"/>
      <c r="R8336" s="226"/>
      <c r="S8336" s="226"/>
      <c r="T8336" s="226"/>
      <c r="U8336" s="226"/>
    </row>
    <row r="8337" spans="16:21" x14ac:dyDescent="0.35">
      <c r="P8337" s="226"/>
      <c r="Q8337" s="226"/>
      <c r="R8337" s="226"/>
      <c r="S8337" s="226"/>
      <c r="T8337" s="226"/>
      <c r="U8337" s="226"/>
    </row>
    <row r="8338" spans="16:21" x14ac:dyDescent="0.35">
      <c r="P8338" s="226"/>
      <c r="Q8338" s="226"/>
      <c r="R8338" s="226"/>
      <c r="S8338" s="226"/>
      <c r="T8338" s="226"/>
      <c r="U8338" s="226"/>
    </row>
    <row r="8339" spans="16:21" x14ac:dyDescent="0.35">
      <c r="P8339" s="226"/>
      <c r="Q8339" s="226"/>
      <c r="R8339" s="226"/>
      <c r="S8339" s="226"/>
      <c r="T8339" s="226"/>
      <c r="U8339" s="226"/>
    </row>
    <row r="8340" spans="16:21" x14ac:dyDescent="0.35">
      <c r="P8340" s="226"/>
      <c r="Q8340" s="226"/>
      <c r="R8340" s="226"/>
      <c r="S8340" s="226"/>
      <c r="T8340" s="226"/>
      <c r="U8340" s="226"/>
    </row>
    <row r="8341" spans="16:21" x14ac:dyDescent="0.35">
      <c r="P8341" s="226"/>
      <c r="Q8341" s="226"/>
      <c r="R8341" s="226"/>
      <c r="S8341" s="226"/>
      <c r="T8341" s="226"/>
      <c r="U8341" s="226"/>
    </row>
    <row r="8342" spans="16:21" x14ac:dyDescent="0.35">
      <c r="P8342" s="226"/>
      <c r="Q8342" s="226"/>
      <c r="R8342" s="226"/>
      <c r="S8342" s="226"/>
      <c r="T8342" s="226"/>
      <c r="U8342" s="226"/>
    </row>
    <row r="8343" spans="16:21" x14ac:dyDescent="0.35">
      <c r="P8343" s="226"/>
      <c r="Q8343" s="226"/>
      <c r="R8343" s="226"/>
      <c r="S8343" s="226"/>
      <c r="T8343" s="226"/>
      <c r="U8343" s="226"/>
    </row>
    <row r="8344" spans="16:21" x14ac:dyDescent="0.35">
      <c r="P8344" s="226"/>
      <c r="Q8344" s="226"/>
      <c r="R8344" s="226"/>
      <c r="S8344" s="226"/>
      <c r="T8344" s="226"/>
      <c r="U8344" s="226"/>
    </row>
    <row r="8345" spans="16:21" x14ac:dyDescent="0.35">
      <c r="P8345" s="226"/>
      <c r="Q8345" s="226"/>
      <c r="R8345" s="226"/>
      <c r="S8345" s="226"/>
      <c r="T8345" s="226"/>
      <c r="U8345" s="226"/>
    </row>
    <row r="8346" spans="16:21" x14ac:dyDescent="0.35">
      <c r="P8346" s="226"/>
      <c r="Q8346" s="226"/>
      <c r="R8346" s="226"/>
      <c r="S8346" s="226"/>
      <c r="T8346" s="226"/>
      <c r="U8346" s="226"/>
    </row>
    <row r="8347" spans="16:21" x14ac:dyDescent="0.35">
      <c r="P8347" s="226"/>
      <c r="Q8347" s="226"/>
      <c r="R8347" s="226"/>
      <c r="S8347" s="226"/>
      <c r="T8347" s="226"/>
      <c r="U8347" s="226"/>
    </row>
    <row r="8348" spans="16:21" x14ac:dyDescent="0.35">
      <c r="P8348" s="226"/>
      <c r="Q8348" s="226"/>
      <c r="R8348" s="226"/>
      <c r="S8348" s="226"/>
      <c r="T8348" s="226"/>
      <c r="U8348" s="226"/>
    </row>
    <row r="8349" spans="16:21" x14ac:dyDescent="0.35">
      <c r="P8349" s="226"/>
      <c r="Q8349" s="226"/>
      <c r="R8349" s="226"/>
      <c r="S8349" s="226"/>
      <c r="T8349" s="226"/>
      <c r="U8349" s="226"/>
    </row>
    <row r="8350" spans="16:21" x14ac:dyDescent="0.35">
      <c r="P8350" s="226"/>
      <c r="Q8350" s="226"/>
      <c r="R8350" s="226"/>
      <c r="S8350" s="226"/>
      <c r="T8350" s="226"/>
      <c r="U8350" s="226"/>
    </row>
    <row r="8351" spans="16:21" x14ac:dyDescent="0.35">
      <c r="P8351" s="226"/>
      <c r="Q8351" s="226"/>
      <c r="R8351" s="226"/>
      <c r="S8351" s="226"/>
      <c r="T8351" s="226"/>
      <c r="U8351" s="226"/>
    </row>
    <row r="8352" spans="16:21" x14ac:dyDescent="0.35">
      <c r="P8352" s="226"/>
      <c r="Q8352" s="226"/>
      <c r="R8352" s="226"/>
      <c r="S8352" s="226"/>
      <c r="T8352" s="226"/>
      <c r="U8352" s="226"/>
    </row>
    <row r="8353" spans="16:21" x14ac:dyDescent="0.35">
      <c r="P8353" s="226"/>
      <c r="Q8353" s="226"/>
      <c r="R8353" s="226"/>
      <c r="S8353" s="226"/>
      <c r="T8353" s="226"/>
      <c r="U8353" s="226"/>
    </row>
    <row r="8354" spans="16:21" x14ac:dyDescent="0.35">
      <c r="P8354" s="226"/>
      <c r="Q8354" s="226"/>
      <c r="R8354" s="226"/>
      <c r="S8354" s="226"/>
      <c r="T8354" s="226"/>
      <c r="U8354" s="226"/>
    </row>
    <row r="8355" spans="16:21" x14ac:dyDescent="0.35">
      <c r="P8355" s="226"/>
      <c r="Q8355" s="226"/>
      <c r="R8355" s="226"/>
      <c r="S8355" s="226"/>
      <c r="T8355" s="226"/>
      <c r="U8355" s="226"/>
    </row>
    <row r="8356" spans="16:21" x14ac:dyDescent="0.35">
      <c r="P8356" s="226"/>
      <c r="Q8356" s="226"/>
      <c r="R8356" s="226"/>
      <c r="S8356" s="226"/>
      <c r="T8356" s="226"/>
      <c r="U8356" s="226"/>
    </row>
    <row r="8357" spans="16:21" x14ac:dyDescent="0.35">
      <c r="P8357" s="226"/>
      <c r="Q8357" s="226"/>
      <c r="R8357" s="226"/>
      <c r="S8357" s="226"/>
      <c r="T8357" s="226"/>
      <c r="U8357" s="226"/>
    </row>
    <row r="8358" spans="16:21" x14ac:dyDescent="0.35">
      <c r="P8358" s="226"/>
      <c r="Q8358" s="226"/>
      <c r="R8358" s="226"/>
      <c r="S8358" s="226"/>
      <c r="T8358" s="226"/>
      <c r="U8358" s="226"/>
    </row>
    <row r="8359" spans="16:21" x14ac:dyDescent="0.35">
      <c r="P8359" s="226"/>
      <c r="Q8359" s="226"/>
      <c r="R8359" s="226"/>
      <c r="S8359" s="226"/>
      <c r="T8359" s="226"/>
      <c r="U8359" s="226"/>
    </row>
    <row r="8360" spans="16:21" x14ac:dyDescent="0.35">
      <c r="P8360" s="226"/>
      <c r="Q8360" s="226"/>
      <c r="R8360" s="226"/>
      <c r="S8360" s="226"/>
      <c r="T8360" s="226"/>
      <c r="U8360" s="226"/>
    </row>
    <row r="8361" spans="16:21" x14ac:dyDescent="0.35">
      <c r="P8361" s="226"/>
      <c r="Q8361" s="226"/>
      <c r="R8361" s="226"/>
      <c r="S8361" s="226"/>
      <c r="T8361" s="226"/>
      <c r="U8361" s="226"/>
    </row>
    <row r="8362" spans="16:21" x14ac:dyDescent="0.35">
      <c r="P8362" s="226"/>
      <c r="Q8362" s="226"/>
      <c r="R8362" s="226"/>
      <c r="S8362" s="226"/>
      <c r="T8362" s="226"/>
      <c r="U8362" s="226"/>
    </row>
    <row r="8363" spans="16:21" x14ac:dyDescent="0.35">
      <c r="P8363" s="226"/>
      <c r="Q8363" s="226"/>
      <c r="R8363" s="226"/>
      <c r="S8363" s="226"/>
      <c r="T8363" s="226"/>
      <c r="U8363" s="226"/>
    </row>
    <row r="8364" spans="16:21" x14ac:dyDescent="0.35">
      <c r="P8364" s="226"/>
      <c r="Q8364" s="226"/>
      <c r="R8364" s="226"/>
      <c r="S8364" s="226"/>
      <c r="T8364" s="226"/>
      <c r="U8364" s="226"/>
    </row>
    <row r="8365" spans="16:21" x14ac:dyDescent="0.35">
      <c r="P8365" s="226"/>
      <c r="Q8365" s="226"/>
      <c r="R8365" s="226"/>
      <c r="S8365" s="226"/>
      <c r="T8365" s="226"/>
      <c r="U8365" s="226"/>
    </row>
    <row r="8366" spans="16:21" x14ac:dyDescent="0.35">
      <c r="P8366" s="226"/>
      <c r="Q8366" s="226"/>
      <c r="R8366" s="226"/>
      <c r="S8366" s="226"/>
      <c r="T8366" s="226"/>
      <c r="U8366" s="226"/>
    </row>
    <row r="8367" spans="16:21" x14ac:dyDescent="0.35">
      <c r="P8367" s="226"/>
      <c r="Q8367" s="226"/>
      <c r="R8367" s="226"/>
      <c r="S8367" s="226"/>
      <c r="T8367" s="226"/>
      <c r="U8367" s="226"/>
    </row>
    <row r="8368" spans="16:21" x14ac:dyDescent="0.35">
      <c r="P8368" s="226"/>
      <c r="Q8368" s="226"/>
      <c r="R8368" s="226"/>
      <c r="S8368" s="226"/>
      <c r="T8368" s="226"/>
      <c r="U8368" s="226"/>
    </row>
    <row r="8369" spans="16:21" x14ac:dyDescent="0.35">
      <c r="P8369" s="226"/>
      <c r="Q8369" s="226"/>
      <c r="R8369" s="226"/>
      <c r="S8369" s="226"/>
      <c r="T8369" s="226"/>
      <c r="U8369" s="226"/>
    </row>
    <row r="8370" spans="16:21" x14ac:dyDescent="0.35">
      <c r="P8370" s="226"/>
      <c r="Q8370" s="226"/>
      <c r="R8370" s="226"/>
      <c r="S8370" s="226"/>
      <c r="T8370" s="226"/>
      <c r="U8370" s="226"/>
    </row>
    <row r="8371" spans="16:21" x14ac:dyDescent="0.35">
      <c r="P8371" s="226"/>
      <c r="Q8371" s="226"/>
      <c r="R8371" s="226"/>
      <c r="S8371" s="226"/>
      <c r="T8371" s="226"/>
      <c r="U8371" s="226"/>
    </row>
    <row r="8372" spans="16:21" x14ac:dyDescent="0.35">
      <c r="P8372" s="226"/>
      <c r="Q8372" s="226"/>
      <c r="R8372" s="226"/>
      <c r="S8372" s="226"/>
      <c r="T8372" s="226"/>
      <c r="U8372" s="226"/>
    </row>
    <row r="8373" spans="16:21" x14ac:dyDescent="0.35">
      <c r="P8373" s="226"/>
      <c r="Q8373" s="226"/>
      <c r="R8373" s="226"/>
      <c r="S8373" s="226"/>
      <c r="T8373" s="226"/>
      <c r="U8373" s="226"/>
    </row>
    <row r="8374" spans="16:21" x14ac:dyDescent="0.35">
      <c r="P8374" s="226"/>
      <c r="Q8374" s="226"/>
      <c r="R8374" s="226"/>
      <c r="S8374" s="226"/>
      <c r="T8374" s="226"/>
      <c r="U8374" s="226"/>
    </row>
    <row r="8375" spans="16:21" x14ac:dyDescent="0.35">
      <c r="P8375" s="226"/>
      <c r="Q8375" s="226"/>
      <c r="R8375" s="226"/>
      <c r="S8375" s="226"/>
      <c r="T8375" s="226"/>
      <c r="U8375" s="226"/>
    </row>
    <row r="8376" spans="16:21" x14ac:dyDescent="0.35">
      <c r="P8376" s="226"/>
      <c r="Q8376" s="226"/>
      <c r="R8376" s="226"/>
      <c r="S8376" s="226"/>
      <c r="T8376" s="226"/>
      <c r="U8376" s="226"/>
    </row>
    <row r="8377" spans="16:21" x14ac:dyDescent="0.35">
      <c r="P8377" s="226"/>
      <c r="Q8377" s="226"/>
      <c r="R8377" s="226"/>
      <c r="S8377" s="226"/>
      <c r="T8377" s="226"/>
      <c r="U8377" s="226"/>
    </row>
    <row r="8378" spans="16:21" x14ac:dyDescent="0.35">
      <c r="P8378" s="226"/>
      <c r="Q8378" s="226"/>
      <c r="R8378" s="226"/>
      <c r="S8378" s="226"/>
      <c r="T8378" s="226"/>
      <c r="U8378" s="226"/>
    </row>
    <row r="8379" spans="16:21" x14ac:dyDescent="0.35">
      <c r="P8379" s="226"/>
      <c r="Q8379" s="226"/>
      <c r="R8379" s="226"/>
      <c r="S8379" s="226"/>
      <c r="T8379" s="226"/>
      <c r="U8379" s="226"/>
    </row>
    <row r="8380" spans="16:21" x14ac:dyDescent="0.35">
      <c r="P8380" s="226"/>
      <c r="Q8380" s="226"/>
      <c r="R8380" s="226"/>
      <c r="S8380" s="226"/>
      <c r="T8380" s="226"/>
      <c r="U8380" s="226"/>
    </row>
    <row r="8381" spans="16:21" x14ac:dyDescent="0.35">
      <c r="P8381" s="226"/>
      <c r="Q8381" s="226"/>
      <c r="R8381" s="226"/>
      <c r="S8381" s="226"/>
      <c r="T8381" s="226"/>
      <c r="U8381" s="226"/>
    </row>
    <row r="8382" spans="16:21" x14ac:dyDescent="0.35">
      <c r="P8382" s="226"/>
      <c r="Q8382" s="226"/>
      <c r="R8382" s="226"/>
      <c r="S8382" s="226"/>
      <c r="T8382" s="226"/>
      <c r="U8382" s="226"/>
    </row>
    <row r="8383" spans="16:21" x14ac:dyDescent="0.35">
      <c r="P8383" s="226"/>
      <c r="Q8383" s="226"/>
      <c r="R8383" s="226"/>
      <c r="S8383" s="226"/>
      <c r="T8383" s="226"/>
      <c r="U8383" s="226"/>
    </row>
    <row r="8384" spans="16:21" x14ac:dyDescent="0.35">
      <c r="P8384" s="226"/>
      <c r="Q8384" s="226"/>
      <c r="R8384" s="226"/>
      <c r="S8384" s="226"/>
      <c r="T8384" s="226"/>
      <c r="U8384" s="226"/>
    </row>
    <row r="8385" spans="16:21" x14ac:dyDescent="0.35">
      <c r="P8385" s="226"/>
      <c r="Q8385" s="226"/>
      <c r="R8385" s="226"/>
      <c r="S8385" s="226"/>
      <c r="T8385" s="226"/>
      <c r="U8385" s="226"/>
    </row>
    <row r="8386" spans="16:21" x14ac:dyDescent="0.35">
      <c r="P8386" s="226"/>
      <c r="Q8386" s="226"/>
      <c r="R8386" s="226"/>
      <c r="S8386" s="226"/>
      <c r="T8386" s="226"/>
      <c r="U8386" s="226"/>
    </row>
    <row r="8387" spans="16:21" x14ac:dyDescent="0.35">
      <c r="P8387" s="226"/>
      <c r="Q8387" s="226"/>
      <c r="R8387" s="226"/>
      <c r="S8387" s="226"/>
      <c r="T8387" s="226"/>
      <c r="U8387" s="226"/>
    </row>
    <row r="8388" spans="16:21" x14ac:dyDescent="0.35">
      <c r="P8388" s="226"/>
      <c r="Q8388" s="226"/>
      <c r="R8388" s="226"/>
      <c r="S8388" s="226"/>
      <c r="T8388" s="226"/>
      <c r="U8388" s="226"/>
    </row>
    <row r="8389" spans="16:21" x14ac:dyDescent="0.35">
      <c r="P8389" s="226"/>
      <c r="Q8389" s="226"/>
      <c r="R8389" s="226"/>
      <c r="S8389" s="226"/>
      <c r="T8389" s="226"/>
      <c r="U8389" s="226"/>
    </row>
    <row r="8390" spans="16:21" x14ac:dyDescent="0.35">
      <c r="P8390" s="226"/>
      <c r="Q8390" s="226"/>
      <c r="R8390" s="226"/>
      <c r="S8390" s="226"/>
      <c r="T8390" s="226"/>
      <c r="U8390" s="226"/>
    </row>
    <row r="8391" spans="16:21" x14ac:dyDescent="0.35">
      <c r="P8391" s="226"/>
      <c r="Q8391" s="226"/>
      <c r="R8391" s="226"/>
      <c r="S8391" s="226"/>
      <c r="T8391" s="226"/>
      <c r="U8391" s="226"/>
    </row>
    <row r="8392" spans="16:21" x14ac:dyDescent="0.35">
      <c r="P8392" s="226"/>
      <c r="Q8392" s="226"/>
      <c r="R8392" s="226"/>
      <c r="S8392" s="226"/>
      <c r="T8392" s="226"/>
      <c r="U8392" s="226"/>
    </row>
    <row r="8393" spans="16:21" x14ac:dyDescent="0.35">
      <c r="P8393" s="226"/>
      <c r="Q8393" s="226"/>
      <c r="R8393" s="226"/>
      <c r="S8393" s="226"/>
      <c r="T8393" s="226"/>
      <c r="U8393" s="226"/>
    </row>
    <row r="8394" spans="16:21" x14ac:dyDescent="0.35">
      <c r="P8394" s="226"/>
      <c r="Q8394" s="226"/>
      <c r="R8394" s="226"/>
      <c r="S8394" s="226"/>
      <c r="T8394" s="226"/>
      <c r="U8394" s="226"/>
    </row>
    <row r="8395" spans="16:21" x14ac:dyDescent="0.35">
      <c r="P8395" s="226"/>
      <c r="Q8395" s="226"/>
      <c r="R8395" s="226"/>
      <c r="S8395" s="226"/>
      <c r="T8395" s="226"/>
      <c r="U8395" s="226"/>
    </row>
    <row r="8396" spans="16:21" x14ac:dyDescent="0.35">
      <c r="P8396" s="226"/>
      <c r="Q8396" s="226"/>
      <c r="R8396" s="226"/>
      <c r="S8396" s="226"/>
      <c r="T8396" s="226"/>
      <c r="U8396" s="226"/>
    </row>
    <row r="8397" spans="16:21" x14ac:dyDescent="0.35">
      <c r="P8397" s="226"/>
      <c r="Q8397" s="226"/>
      <c r="R8397" s="226"/>
      <c r="S8397" s="226"/>
      <c r="T8397" s="226"/>
      <c r="U8397" s="226"/>
    </row>
    <row r="8398" spans="16:21" x14ac:dyDescent="0.35">
      <c r="P8398" s="226"/>
      <c r="Q8398" s="226"/>
      <c r="R8398" s="226"/>
      <c r="S8398" s="226"/>
      <c r="T8398" s="226"/>
      <c r="U8398" s="226"/>
    </row>
    <row r="8399" spans="16:21" x14ac:dyDescent="0.35">
      <c r="P8399" s="226"/>
      <c r="Q8399" s="226"/>
      <c r="R8399" s="226"/>
      <c r="S8399" s="226"/>
      <c r="T8399" s="226"/>
      <c r="U8399" s="226"/>
    </row>
    <row r="8400" spans="16:21" x14ac:dyDescent="0.35">
      <c r="P8400" s="226"/>
      <c r="Q8400" s="226"/>
      <c r="R8400" s="226"/>
      <c r="S8400" s="226"/>
      <c r="T8400" s="226"/>
      <c r="U8400" s="226"/>
    </row>
    <row r="8401" spans="16:21" x14ac:dyDescent="0.35">
      <c r="P8401" s="226"/>
      <c r="Q8401" s="226"/>
      <c r="R8401" s="226"/>
      <c r="S8401" s="226"/>
      <c r="T8401" s="226"/>
      <c r="U8401" s="226"/>
    </row>
    <row r="8402" spans="16:21" x14ac:dyDescent="0.35">
      <c r="P8402" s="226"/>
      <c r="Q8402" s="226"/>
      <c r="R8402" s="226"/>
      <c r="S8402" s="226"/>
      <c r="T8402" s="226"/>
      <c r="U8402" s="226"/>
    </row>
    <row r="8403" spans="16:21" x14ac:dyDescent="0.35">
      <c r="P8403" s="226"/>
      <c r="Q8403" s="226"/>
      <c r="R8403" s="226"/>
      <c r="S8403" s="226"/>
      <c r="T8403" s="226"/>
      <c r="U8403" s="226"/>
    </row>
    <row r="8404" spans="16:21" x14ac:dyDescent="0.35">
      <c r="P8404" s="226"/>
      <c r="Q8404" s="226"/>
      <c r="R8404" s="226"/>
      <c r="S8404" s="226"/>
      <c r="T8404" s="226"/>
      <c r="U8404" s="226"/>
    </row>
    <row r="8405" spans="16:21" x14ac:dyDescent="0.35">
      <c r="P8405" s="226"/>
      <c r="Q8405" s="226"/>
      <c r="R8405" s="226"/>
      <c r="S8405" s="226"/>
      <c r="T8405" s="226"/>
      <c r="U8405" s="226"/>
    </row>
    <row r="8406" spans="16:21" x14ac:dyDescent="0.35">
      <c r="P8406" s="226"/>
      <c r="Q8406" s="226"/>
      <c r="R8406" s="226"/>
      <c r="S8406" s="226"/>
      <c r="T8406" s="226"/>
      <c r="U8406" s="226"/>
    </row>
    <row r="8407" spans="16:21" x14ac:dyDescent="0.35">
      <c r="P8407" s="226"/>
      <c r="Q8407" s="226"/>
      <c r="R8407" s="226"/>
      <c r="S8407" s="226"/>
      <c r="T8407" s="226"/>
      <c r="U8407" s="226"/>
    </row>
    <row r="8408" spans="16:21" x14ac:dyDescent="0.35">
      <c r="P8408" s="226"/>
      <c r="Q8408" s="226"/>
      <c r="R8408" s="226"/>
      <c r="S8408" s="226"/>
      <c r="T8408" s="226"/>
      <c r="U8408" s="226"/>
    </row>
    <row r="8409" spans="16:21" x14ac:dyDescent="0.35">
      <c r="P8409" s="226"/>
      <c r="Q8409" s="226"/>
      <c r="R8409" s="226"/>
      <c r="S8409" s="226"/>
      <c r="T8409" s="226"/>
      <c r="U8409" s="226"/>
    </row>
    <row r="8410" spans="16:21" x14ac:dyDescent="0.35">
      <c r="P8410" s="226"/>
      <c r="Q8410" s="226"/>
      <c r="R8410" s="226"/>
      <c r="S8410" s="226"/>
      <c r="T8410" s="226"/>
      <c r="U8410" s="226"/>
    </row>
    <row r="8411" spans="16:21" x14ac:dyDescent="0.35">
      <c r="P8411" s="226"/>
      <c r="Q8411" s="226"/>
      <c r="R8411" s="226"/>
      <c r="S8411" s="226"/>
      <c r="T8411" s="226"/>
      <c r="U8411" s="226"/>
    </row>
    <row r="8412" spans="16:21" x14ac:dyDescent="0.35">
      <c r="P8412" s="226"/>
      <c r="Q8412" s="226"/>
      <c r="R8412" s="226"/>
      <c r="S8412" s="226"/>
      <c r="T8412" s="226"/>
      <c r="U8412" s="226"/>
    </row>
    <row r="8413" spans="16:21" x14ac:dyDescent="0.35">
      <c r="P8413" s="226"/>
      <c r="Q8413" s="226"/>
      <c r="R8413" s="226"/>
      <c r="S8413" s="226"/>
      <c r="T8413" s="226"/>
      <c r="U8413" s="226"/>
    </row>
    <row r="8414" spans="16:21" x14ac:dyDescent="0.35">
      <c r="P8414" s="226"/>
      <c r="Q8414" s="226"/>
      <c r="R8414" s="226"/>
      <c r="S8414" s="226"/>
      <c r="T8414" s="226"/>
      <c r="U8414" s="226"/>
    </row>
    <row r="8415" spans="16:21" x14ac:dyDescent="0.35">
      <c r="P8415" s="226"/>
      <c r="Q8415" s="226"/>
      <c r="R8415" s="226"/>
      <c r="S8415" s="226"/>
      <c r="T8415" s="226"/>
      <c r="U8415" s="226"/>
    </row>
    <row r="8416" spans="16:21" x14ac:dyDescent="0.35">
      <c r="P8416" s="226"/>
      <c r="Q8416" s="226"/>
      <c r="R8416" s="226"/>
      <c r="S8416" s="226"/>
      <c r="T8416" s="226"/>
      <c r="U8416" s="226"/>
    </row>
    <row r="8417" spans="16:21" x14ac:dyDescent="0.35">
      <c r="P8417" s="226"/>
      <c r="Q8417" s="226"/>
      <c r="R8417" s="226"/>
      <c r="S8417" s="226"/>
      <c r="T8417" s="226"/>
      <c r="U8417" s="226"/>
    </row>
    <row r="8418" spans="16:21" x14ac:dyDescent="0.35">
      <c r="P8418" s="226"/>
      <c r="Q8418" s="226"/>
      <c r="R8418" s="226"/>
      <c r="S8418" s="226"/>
      <c r="T8418" s="226"/>
      <c r="U8418" s="226"/>
    </row>
    <row r="8419" spans="16:21" x14ac:dyDescent="0.35">
      <c r="P8419" s="226"/>
      <c r="Q8419" s="226"/>
      <c r="R8419" s="226"/>
      <c r="S8419" s="226"/>
      <c r="T8419" s="226"/>
      <c r="U8419" s="226"/>
    </row>
    <row r="8420" spans="16:21" x14ac:dyDescent="0.35">
      <c r="P8420" s="226"/>
      <c r="Q8420" s="226"/>
      <c r="R8420" s="226"/>
      <c r="S8420" s="226"/>
      <c r="T8420" s="226"/>
      <c r="U8420" s="226"/>
    </row>
    <row r="8421" spans="16:21" x14ac:dyDescent="0.35">
      <c r="P8421" s="226"/>
      <c r="Q8421" s="226"/>
      <c r="R8421" s="226"/>
      <c r="S8421" s="226"/>
      <c r="T8421" s="226"/>
      <c r="U8421" s="226"/>
    </row>
    <row r="8422" spans="16:21" x14ac:dyDescent="0.35">
      <c r="P8422" s="226"/>
      <c r="Q8422" s="226"/>
      <c r="R8422" s="226"/>
      <c r="S8422" s="226"/>
      <c r="T8422" s="226"/>
      <c r="U8422" s="226"/>
    </row>
    <row r="8423" spans="16:21" x14ac:dyDescent="0.35">
      <c r="P8423" s="226"/>
      <c r="Q8423" s="226"/>
      <c r="R8423" s="226"/>
      <c r="S8423" s="226"/>
      <c r="T8423" s="226"/>
      <c r="U8423" s="226"/>
    </row>
    <row r="8424" spans="16:21" x14ac:dyDescent="0.35">
      <c r="P8424" s="226"/>
      <c r="Q8424" s="226"/>
      <c r="R8424" s="226"/>
      <c r="S8424" s="226"/>
      <c r="T8424" s="226"/>
      <c r="U8424" s="226"/>
    </row>
    <row r="8425" spans="16:21" x14ac:dyDescent="0.35">
      <c r="P8425" s="226"/>
      <c r="Q8425" s="226"/>
      <c r="R8425" s="226"/>
      <c r="S8425" s="226"/>
      <c r="T8425" s="226"/>
      <c r="U8425" s="226"/>
    </row>
    <row r="8426" spans="16:21" x14ac:dyDescent="0.35">
      <c r="P8426" s="226"/>
      <c r="Q8426" s="226"/>
      <c r="R8426" s="226"/>
      <c r="S8426" s="226"/>
      <c r="T8426" s="226"/>
      <c r="U8426" s="226"/>
    </row>
    <row r="8427" spans="16:21" x14ac:dyDescent="0.35">
      <c r="P8427" s="226"/>
      <c r="Q8427" s="226"/>
      <c r="R8427" s="226"/>
      <c r="S8427" s="226"/>
      <c r="T8427" s="226"/>
      <c r="U8427" s="226"/>
    </row>
    <row r="8428" spans="16:21" x14ac:dyDescent="0.35">
      <c r="P8428" s="226"/>
      <c r="Q8428" s="226"/>
      <c r="R8428" s="226"/>
      <c r="S8428" s="226"/>
      <c r="T8428" s="226"/>
      <c r="U8428" s="226"/>
    </row>
    <row r="8429" spans="16:21" x14ac:dyDescent="0.35">
      <c r="P8429" s="226"/>
      <c r="Q8429" s="226"/>
      <c r="R8429" s="226"/>
      <c r="S8429" s="226"/>
      <c r="T8429" s="226"/>
      <c r="U8429" s="226"/>
    </row>
    <row r="8430" spans="16:21" x14ac:dyDescent="0.35">
      <c r="P8430" s="226"/>
      <c r="Q8430" s="226"/>
      <c r="R8430" s="226"/>
      <c r="S8430" s="226"/>
      <c r="T8430" s="226"/>
      <c r="U8430" s="226"/>
    </row>
    <row r="8431" spans="16:21" x14ac:dyDescent="0.35">
      <c r="P8431" s="226"/>
      <c r="Q8431" s="226"/>
      <c r="R8431" s="226"/>
      <c r="S8431" s="226"/>
      <c r="T8431" s="226"/>
      <c r="U8431" s="226"/>
    </row>
    <row r="8432" spans="16:21" x14ac:dyDescent="0.35">
      <c r="P8432" s="226"/>
      <c r="Q8432" s="226"/>
      <c r="R8432" s="226"/>
      <c r="S8432" s="226"/>
      <c r="T8432" s="226"/>
      <c r="U8432" s="226"/>
    </row>
    <row r="8433" spans="16:21" x14ac:dyDescent="0.35">
      <c r="P8433" s="226"/>
      <c r="Q8433" s="226"/>
      <c r="R8433" s="226"/>
      <c r="S8433" s="226"/>
      <c r="T8433" s="226"/>
      <c r="U8433" s="226"/>
    </row>
    <row r="8434" spans="16:21" x14ac:dyDescent="0.35">
      <c r="P8434" s="226"/>
      <c r="Q8434" s="226"/>
      <c r="R8434" s="226"/>
      <c r="S8434" s="226"/>
      <c r="T8434" s="226"/>
      <c r="U8434" s="226"/>
    </row>
    <row r="8435" spans="16:21" x14ac:dyDescent="0.35">
      <c r="P8435" s="226"/>
      <c r="Q8435" s="226"/>
      <c r="R8435" s="226"/>
      <c r="S8435" s="226"/>
      <c r="T8435" s="226"/>
      <c r="U8435" s="226"/>
    </row>
    <row r="8436" spans="16:21" x14ac:dyDescent="0.35">
      <c r="P8436" s="226"/>
      <c r="Q8436" s="226"/>
      <c r="R8436" s="226"/>
      <c r="S8436" s="226"/>
      <c r="T8436" s="226"/>
      <c r="U8436" s="226"/>
    </row>
    <row r="8437" spans="16:21" x14ac:dyDescent="0.35">
      <c r="P8437" s="226"/>
      <c r="Q8437" s="226"/>
      <c r="R8437" s="226"/>
      <c r="S8437" s="226"/>
      <c r="T8437" s="226"/>
      <c r="U8437" s="226"/>
    </row>
    <row r="8438" spans="16:21" x14ac:dyDescent="0.35">
      <c r="P8438" s="226"/>
      <c r="Q8438" s="226"/>
      <c r="R8438" s="226"/>
      <c r="S8438" s="226"/>
      <c r="T8438" s="226"/>
      <c r="U8438" s="226"/>
    </row>
    <row r="8439" spans="16:21" x14ac:dyDescent="0.35">
      <c r="P8439" s="226"/>
      <c r="Q8439" s="226"/>
      <c r="R8439" s="226"/>
      <c r="S8439" s="226"/>
      <c r="T8439" s="226"/>
      <c r="U8439" s="226"/>
    </row>
    <row r="8440" spans="16:21" x14ac:dyDescent="0.35">
      <c r="P8440" s="226"/>
      <c r="Q8440" s="226"/>
      <c r="R8440" s="226"/>
      <c r="S8440" s="226"/>
      <c r="T8440" s="226"/>
      <c r="U8440" s="226"/>
    </row>
    <row r="8441" spans="16:21" x14ac:dyDescent="0.35">
      <c r="P8441" s="226"/>
      <c r="Q8441" s="226"/>
      <c r="R8441" s="226"/>
      <c r="S8441" s="226"/>
      <c r="T8441" s="226"/>
      <c r="U8441" s="226"/>
    </row>
    <row r="8442" spans="16:21" x14ac:dyDescent="0.35">
      <c r="P8442" s="226"/>
      <c r="Q8442" s="226"/>
      <c r="R8442" s="226"/>
      <c r="S8442" s="226"/>
      <c r="T8442" s="226"/>
      <c r="U8442" s="226"/>
    </row>
    <row r="8443" spans="16:21" x14ac:dyDescent="0.35">
      <c r="P8443" s="226"/>
      <c r="Q8443" s="226"/>
      <c r="R8443" s="226"/>
      <c r="S8443" s="226"/>
      <c r="T8443" s="226"/>
      <c r="U8443" s="226"/>
    </row>
    <row r="8444" spans="16:21" x14ac:dyDescent="0.35">
      <c r="P8444" s="226"/>
      <c r="Q8444" s="226"/>
      <c r="R8444" s="226"/>
      <c r="S8444" s="226"/>
      <c r="T8444" s="226"/>
      <c r="U8444" s="226"/>
    </row>
    <row r="8445" spans="16:21" x14ac:dyDescent="0.35">
      <c r="P8445" s="226"/>
      <c r="Q8445" s="226"/>
      <c r="R8445" s="226"/>
      <c r="S8445" s="226"/>
      <c r="T8445" s="226"/>
      <c r="U8445" s="226"/>
    </row>
    <row r="8446" spans="16:21" x14ac:dyDescent="0.35">
      <c r="P8446" s="226"/>
      <c r="Q8446" s="226"/>
      <c r="R8446" s="226"/>
      <c r="S8446" s="226"/>
      <c r="T8446" s="226"/>
      <c r="U8446" s="226"/>
    </row>
    <row r="8447" spans="16:21" x14ac:dyDescent="0.35">
      <c r="P8447" s="226"/>
      <c r="Q8447" s="226"/>
      <c r="R8447" s="226"/>
      <c r="S8447" s="226"/>
      <c r="T8447" s="226"/>
      <c r="U8447" s="226"/>
    </row>
    <row r="8448" spans="16:21" x14ac:dyDescent="0.35">
      <c r="P8448" s="226"/>
      <c r="Q8448" s="226"/>
      <c r="R8448" s="226"/>
      <c r="S8448" s="226"/>
      <c r="T8448" s="226"/>
      <c r="U8448" s="226"/>
    </row>
    <row r="8449" spans="16:21" x14ac:dyDescent="0.35">
      <c r="P8449" s="226"/>
      <c r="Q8449" s="226"/>
      <c r="R8449" s="226"/>
      <c r="S8449" s="226"/>
      <c r="T8449" s="226"/>
      <c r="U8449" s="226"/>
    </row>
    <row r="8450" spans="16:21" x14ac:dyDescent="0.35">
      <c r="P8450" s="226"/>
      <c r="Q8450" s="226"/>
      <c r="R8450" s="226"/>
      <c r="S8450" s="226"/>
      <c r="T8450" s="226"/>
      <c r="U8450" s="226"/>
    </row>
    <row r="8451" spans="16:21" x14ac:dyDescent="0.35">
      <c r="P8451" s="226"/>
      <c r="Q8451" s="226"/>
      <c r="R8451" s="226"/>
      <c r="S8451" s="226"/>
      <c r="T8451" s="226"/>
      <c r="U8451" s="226"/>
    </row>
    <row r="8452" spans="16:21" x14ac:dyDescent="0.35">
      <c r="P8452" s="226"/>
      <c r="Q8452" s="226"/>
      <c r="R8452" s="226"/>
      <c r="S8452" s="226"/>
      <c r="T8452" s="226"/>
      <c r="U8452" s="226"/>
    </row>
    <row r="8453" spans="16:21" x14ac:dyDescent="0.35">
      <c r="P8453" s="226"/>
      <c r="Q8453" s="226"/>
      <c r="R8453" s="226"/>
      <c r="S8453" s="226"/>
      <c r="T8453" s="226"/>
      <c r="U8453" s="226"/>
    </row>
    <row r="8454" spans="16:21" x14ac:dyDescent="0.35">
      <c r="P8454" s="226"/>
      <c r="Q8454" s="226"/>
      <c r="R8454" s="226"/>
      <c r="S8454" s="226"/>
      <c r="T8454" s="226"/>
      <c r="U8454" s="226"/>
    </row>
    <row r="8455" spans="16:21" x14ac:dyDescent="0.35">
      <c r="P8455" s="226"/>
      <c r="Q8455" s="226"/>
      <c r="R8455" s="226"/>
      <c r="S8455" s="226"/>
      <c r="T8455" s="226"/>
      <c r="U8455" s="226"/>
    </row>
    <row r="8456" spans="16:21" x14ac:dyDescent="0.35">
      <c r="P8456" s="226"/>
      <c r="Q8456" s="226"/>
      <c r="R8456" s="226"/>
      <c r="S8456" s="226"/>
      <c r="T8456" s="226"/>
      <c r="U8456" s="226"/>
    </row>
    <row r="8457" spans="16:21" x14ac:dyDescent="0.35">
      <c r="P8457" s="226"/>
      <c r="Q8457" s="226"/>
      <c r="R8457" s="226"/>
      <c r="S8457" s="226"/>
      <c r="T8457" s="226"/>
      <c r="U8457" s="226"/>
    </row>
    <row r="8458" spans="16:21" x14ac:dyDescent="0.35">
      <c r="P8458" s="226"/>
      <c r="Q8458" s="226"/>
      <c r="R8458" s="226"/>
      <c r="S8458" s="226"/>
      <c r="T8458" s="226"/>
      <c r="U8458" s="226"/>
    </row>
    <row r="8459" spans="16:21" x14ac:dyDescent="0.35">
      <c r="P8459" s="226"/>
      <c r="Q8459" s="226"/>
      <c r="R8459" s="226"/>
      <c r="S8459" s="226"/>
      <c r="T8459" s="226"/>
      <c r="U8459" s="226"/>
    </row>
    <row r="8460" spans="16:21" x14ac:dyDescent="0.35">
      <c r="P8460" s="226"/>
      <c r="Q8460" s="226"/>
      <c r="R8460" s="226"/>
      <c r="S8460" s="226"/>
      <c r="T8460" s="226"/>
      <c r="U8460" s="226"/>
    </row>
    <row r="8461" spans="16:21" x14ac:dyDescent="0.35">
      <c r="P8461" s="226"/>
      <c r="Q8461" s="226"/>
      <c r="R8461" s="226"/>
      <c r="S8461" s="226"/>
      <c r="T8461" s="226"/>
      <c r="U8461" s="226"/>
    </row>
    <row r="8462" spans="16:21" x14ac:dyDescent="0.35">
      <c r="P8462" s="226"/>
      <c r="Q8462" s="226"/>
      <c r="R8462" s="226"/>
      <c r="S8462" s="226"/>
      <c r="T8462" s="226"/>
      <c r="U8462" s="226"/>
    </row>
    <row r="8463" spans="16:21" x14ac:dyDescent="0.35">
      <c r="P8463" s="226"/>
      <c r="Q8463" s="226"/>
      <c r="R8463" s="226"/>
      <c r="S8463" s="226"/>
      <c r="T8463" s="226"/>
      <c r="U8463" s="226"/>
    </row>
    <row r="8464" spans="16:21" x14ac:dyDescent="0.35">
      <c r="P8464" s="226"/>
      <c r="Q8464" s="226"/>
      <c r="R8464" s="226"/>
      <c r="S8464" s="226"/>
      <c r="T8464" s="226"/>
      <c r="U8464" s="226"/>
    </row>
    <row r="8465" spans="16:21" x14ac:dyDescent="0.35">
      <c r="P8465" s="226"/>
      <c r="Q8465" s="226"/>
      <c r="R8465" s="226"/>
      <c r="S8465" s="226"/>
      <c r="T8465" s="226"/>
      <c r="U8465" s="226"/>
    </row>
    <row r="8466" spans="16:21" x14ac:dyDescent="0.35">
      <c r="P8466" s="226"/>
      <c r="Q8466" s="226"/>
      <c r="R8466" s="226"/>
      <c r="S8466" s="226"/>
      <c r="T8466" s="226"/>
      <c r="U8466" s="226"/>
    </row>
    <row r="8467" spans="16:21" x14ac:dyDescent="0.35">
      <c r="P8467" s="226"/>
      <c r="Q8467" s="226"/>
      <c r="R8467" s="226"/>
      <c r="S8467" s="226"/>
      <c r="T8467" s="226"/>
      <c r="U8467" s="226"/>
    </row>
    <row r="8468" spans="16:21" x14ac:dyDescent="0.35">
      <c r="P8468" s="226"/>
      <c r="Q8468" s="226"/>
      <c r="R8468" s="226"/>
      <c r="S8468" s="226"/>
      <c r="T8468" s="226"/>
      <c r="U8468" s="226"/>
    </row>
    <row r="8469" spans="16:21" x14ac:dyDescent="0.35">
      <c r="P8469" s="226"/>
      <c r="Q8469" s="226"/>
      <c r="R8469" s="226"/>
      <c r="S8469" s="226"/>
      <c r="T8469" s="226"/>
      <c r="U8469" s="226"/>
    </row>
    <row r="8470" spans="16:21" x14ac:dyDescent="0.35">
      <c r="P8470" s="226"/>
      <c r="Q8470" s="226"/>
      <c r="R8470" s="226"/>
      <c r="S8470" s="226"/>
      <c r="T8470" s="226"/>
      <c r="U8470" s="226"/>
    </row>
    <row r="8471" spans="16:21" x14ac:dyDescent="0.35">
      <c r="P8471" s="226"/>
      <c r="Q8471" s="226"/>
      <c r="R8471" s="226"/>
      <c r="S8471" s="226"/>
      <c r="T8471" s="226"/>
      <c r="U8471" s="226"/>
    </row>
    <row r="8472" spans="16:21" x14ac:dyDescent="0.35">
      <c r="P8472" s="226"/>
      <c r="Q8472" s="226"/>
      <c r="R8472" s="226"/>
      <c r="S8472" s="226"/>
      <c r="T8472" s="226"/>
      <c r="U8472" s="226"/>
    </row>
    <row r="8473" spans="16:21" x14ac:dyDescent="0.35">
      <c r="P8473" s="226"/>
      <c r="Q8473" s="226"/>
      <c r="R8473" s="226"/>
      <c r="S8473" s="226"/>
      <c r="T8473" s="226"/>
      <c r="U8473" s="226"/>
    </row>
    <row r="8474" spans="16:21" x14ac:dyDescent="0.35">
      <c r="P8474" s="226"/>
      <c r="Q8474" s="226"/>
      <c r="R8474" s="226"/>
      <c r="S8474" s="226"/>
      <c r="T8474" s="226"/>
      <c r="U8474" s="226"/>
    </row>
    <row r="8475" spans="16:21" x14ac:dyDescent="0.35">
      <c r="P8475" s="226"/>
      <c r="Q8475" s="226"/>
      <c r="R8475" s="226"/>
      <c r="S8475" s="226"/>
      <c r="T8475" s="226"/>
      <c r="U8475" s="226"/>
    </row>
    <row r="8476" spans="16:21" x14ac:dyDescent="0.35">
      <c r="P8476" s="226"/>
      <c r="Q8476" s="226"/>
      <c r="R8476" s="226"/>
      <c r="S8476" s="226"/>
      <c r="T8476" s="226"/>
      <c r="U8476" s="226"/>
    </row>
    <row r="8477" spans="16:21" x14ac:dyDescent="0.35">
      <c r="P8477" s="226"/>
      <c r="Q8477" s="226"/>
      <c r="R8477" s="226"/>
      <c r="S8477" s="226"/>
      <c r="T8477" s="226"/>
      <c r="U8477" s="226"/>
    </row>
    <row r="8478" spans="16:21" x14ac:dyDescent="0.35">
      <c r="P8478" s="226"/>
      <c r="Q8478" s="226"/>
      <c r="R8478" s="226"/>
      <c r="S8478" s="226"/>
      <c r="T8478" s="226"/>
      <c r="U8478" s="226"/>
    </row>
    <row r="8479" spans="16:21" x14ac:dyDescent="0.35">
      <c r="P8479" s="226"/>
      <c r="Q8479" s="226"/>
      <c r="R8479" s="226"/>
      <c r="S8479" s="226"/>
      <c r="T8479" s="226"/>
      <c r="U8479" s="226"/>
    </row>
    <row r="8480" spans="16:21" x14ac:dyDescent="0.35">
      <c r="P8480" s="226"/>
      <c r="Q8480" s="226"/>
      <c r="R8480" s="226"/>
      <c r="S8480" s="226"/>
      <c r="T8480" s="226"/>
      <c r="U8480" s="226"/>
    </row>
    <row r="8481" spans="16:21" x14ac:dyDescent="0.35">
      <c r="P8481" s="226"/>
      <c r="Q8481" s="226"/>
      <c r="R8481" s="226"/>
      <c r="S8481" s="226"/>
      <c r="T8481" s="226"/>
      <c r="U8481" s="226"/>
    </row>
    <row r="8482" spans="16:21" x14ac:dyDescent="0.35">
      <c r="P8482" s="226"/>
      <c r="Q8482" s="226"/>
      <c r="R8482" s="226"/>
      <c r="S8482" s="226"/>
      <c r="T8482" s="226"/>
      <c r="U8482" s="226"/>
    </row>
    <row r="8483" spans="16:21" x14ac:dyDescent="0.35">
      <c r="P8483" s="226"/>
      <c r="Q8483" s="226"/>
      <c r="R8483" s="226"/>
      <c r="S8483" s="226"/>
      <c r="T8483" s="226"/>
      <c r="U8483" s="226"/>
    </row>
    <row r="8484" spans="16:21" x14ac:dyDescent="0.35">
      <c r="P8484" s="226"/>
      <c r="Q8484" s="226"/>
      <c r="R8484" s="226"/>
      <c r="S8484" s="226"/>
      <c r="T8484" s="226"/>
      <c r="U8484" s="226"/>
    </row>
    <row r="8485" spans="16:21" x14ac:dyDescent="0.35">
      <c r="P8485" s="226"/>
      <c r="Q8485" s="226"/>
      <c r="R8485" s="226"/>
      <c r="S8485" s="226"/>
      <c r="T8485" s="226"/>
      <c r="U8485" s="226"/>
    </row>
    <row r="8486" spans="16:21" x14ac:dyDescent="0.35">
      <c r="P8486" s="226"/>
      <c r="Q8486" s="226"/>
      <c r="R8486" s="226"/>
      <c r="S8486" s="226"/>
      <c r="T8486" s="226"/>
      <c r="U8486" s="226"/>
    </row>
    <row r="8487" spans="16:21" x14ac:dyDescent="0.35">
      <c r="P8487" s="226"/>
      <c r="Q8487" s="226"/>
      <c r="R8487" s="226"/>
      <c r="S8487" s="226"/>
      <c r="T8487" s="226"/>
      <c r="U8487" s="226"/>
    </row>
    <row r="8488" spans="16:21" x14ac:dyDescent="0.35">
      <c r="P8488" s="226"/>
      <c r="Q8488" s="226"/>
      <c r="R8488" s="226"/>
      <c r="S8488" s="226"/>
      <c r="T8488" s="226"/>
      <c r="U8488" s="226"/>
    </row>
    <row r="8489" spans="16:21" x14ac:dyDescent="0.35">
      <c r="P8489" s="226"/>
      <c r="Q8489" s="226"/>
      <c r="R8489" s="226"/>
      <c r="S8489" s="226"/>
      <c r="T8489" s="226"/>
      <c r="U8489" s="226"/>
    </row>
    <row r="8490" spans="16:21" x14ac:dyDescent="0.35">
      <c r="P8490" s="226"/>
      <c r="Q8490" s="226"/>
      <c r="R8490" s="226"/>
      <c r="S8490" s="226"/>
      <c r="T8490" s="226"/>
      <c r="U8490" s="226"/>
    </row>
    <row r="8491" spans="16:21" x14ac:dyDescent="0.35">
      <c r="P8491" s="226"/>
      <c r="Q8491" s="226"/>
      <c r="R8491" s="226"/>
      <c r="S8491" s="226"/>
      <c r="T8491" s="226"/>
      <c r="U8491" s="226"/>
    </row>
    <row r="8492" spans="16:21" x14ac:dyDescent="0.35">
      <c r="P8492" s="226"/>
      <c r="Q8492" s="226"/>
      <c r="R8492" s="226"/>
      <c r="S8492" s="226"/>
      <c r="T8492" s="226"/>
      <c r="U8492" s="226"/>
    </row>
    <row r="8493" spans="16:21" x14ac:dyDescent="0.35">
      <c r="P8493" s="226"/>
      <c r="Q8493" s="226"/>
      <c r="R8493" s="226"/>
      <c r="S8493" s="226"/>
      <c r="T8493" s="226"/>
      <c r="U8493" s="226"/>
    </row>
    <row r="8494" spans="16:21" x14ac:dyDescent="0.35">
      <c r="P8494" s="226"/>
      <c r="Q8494" s="226"/>
      <c r="R8494" s="226"/>
      <c r="S8494" s="226"/>
      <c r="T8494" s="226"/>
      <c r="U8494" s="226"/>
    </row>
    <row r="8495" spans="16:21" x14ac:dyDescent="0.35">
      <c r="P8495" s="226"/>
      <c r="Q8495" s="226"/>
      <c r="R8495" s="226"/>
      <c r="S8495" s="226"/>
      <c r="T8495" s="226"/>
      <c r="U8495" s="226"/>
    </row>
    <row r="8496" spans="16:21" x14ac:dyDescent="0.35">
      <c r="P8496" s="226"/>
      <c r="Q8496" s="226"/>
      <c r="R8496" s="226"/>
      <c r="S8496" s="226"/>
      <c r="T8496" s="226"/>
      <c r="U8496" s="226"/>
    </row>
    <row r="8497" spans="16:21" x14ac:dyDescent="0.35">
      <c r="P8497" s="226"/>
      <c r="Q8497" s="226"/>
      <c r="R8497" s="226"/>
      <c r="S8497" s="226"/>
      <c r="T8497" s="226"/>
      <c r="U8497" s="226"/>
    </row>
    <row r="8498" spans="16:21" x14ac:dyDescent="0.35">
      <c r="P8498" s="226"/>
      <c r="Q8498" s="226"/>
      <c r="R8498" s="226"/>
      <c r="S8498" s="226"/>
      <c r="T8498" s="226"/>
      <c r="U8498" s="226"/>
    </row>
    <row r="8499" spans="16:21" x14ac:dyDescent="0.35">
      <c r="P8499" s="226"/>
      <c r="Q8499" s="226"/>
      <c r="R8499" s="226"/>
      <c r="S8499" s="226"/>
      <c r="T8499" s="226"/>
      <c r="U8499" s="226"/>
    </row>
    <row r="8500" spans="16:21" x14ac:dyDescent="0.35">
      <c r="P8500" s="226"/>
      <c r="Q8500" s="226"/>
      <c r="R8500" s="226"/>
      <c r="S8500" s="226"/>
      <c r="T8500" s="226"/>
      <c r="U8500" s="226"/>
    </row>
    <row r="8501" spans="16:21" x14ac:dyDescent="0.35">
      <c r="P8501" s="226"/>
      <c r="Q8501" s="226"/>
      <c r="R8501" s="226"/>
      <c r="S8501" s="226"/>
      <c r="T8501" s="226"/>
      <c r="U8501" s="226"/>
    </row>
    <row r="8502" spans="16:21" x14ac:dyDescent="0.35">
      <c r="P8502" s="226"/>
      <c r="Q8502" s="226"/>
      <c r="R8502" s="226"/>
      <c r="S8502" s="226"/>
      <c r="T8502" s="226"/>
      <c r="U8502" s="226"/>
    </row>
    <row r="8503" spans="16:21" x14ac:dyDescent="0.35">
      <c r="P8503" s="226"/>
      <c r="Q8503" s="226"/>
      <c r="R8503" s="226"/>
      <c r="S8503" s="226"/>
      <c r="T8503" s="226"/>
      <c r="U8503" s="226"/>
    </row>
    <row r="8504" spans="16:21" x14ac:dyDescent="0.35">
      <c r="P8504" s="226"/>
      <c r="Q8504" s="226"/>
      <c r="R8504" s="226"/>
      <c r="S8504" s="226"/>
      <c r="T8504" s="226"/>
      <c r="U8504" s="226"/>
    </row>
    <row r="8505" spans="16:21" x14ac:dyDescent="0.35">
      <c r="P8505" s="226"/>
      <c r="Q8505" s="226"/>
      <c r="R8505" s="226"/>
      <c r="S8505" s="226"/>
      <c r="T8505" s="226"/>
      <c r="U8505" s="226"/>
    </row>
    <row r="8506" spans="16:21" x14ac:dyDescent="0.35">
      <c r="P8506" s="226"/>
      <c r="Q8506" s="226"/>
      <c r="R8506" s="226"/>
      <c r="S8506" s="226"/>
      <c r="T8506" s="226"/>
      <c r="U8506" s="226"/>
    </row>
    <row r="8507" spans="16:21" x14ac:dyDescent="0.35">
      <c r="P8507" s="226"/>
      <c r="Q8507" s="226"/>
      <c r="R8507" s="226"/>
      <c r="S8507" s="226"/>
      <c r="T8507" s="226"/>
      <c r="U8507" s="226"/>
    </row>
    <row r="8508" spans="16:21" x14ac:dyDescent="0.35">
      <c r="P8508" s="226"/>
      <c r="Q8508" s="226"/>
      <c r="R8508" s="226"/>
      <c r="S8508" s="226"/>
      <c r="T8508" s="226"/>
      <c r="U8508" s="226"/>
    </row>
    <row r="8509" spans="16:21" x14ac:dyDescent="0.35">
      <c r="P8509" s="226"/>
      <c r="Q8509" s="226"/>
      <c r="R8509" s="226"/>
      <c r="S8509" s="226"/>
      <c r="T8509" s="226"/>
      <c r="U8509" s="226"/>
    </row>
    <row r="8510" spans="16:21" x14ac:dyDescent="0.35">
      <c r="P8510" s="226"/>
      <c r="Q8510" s="226"/>
      <c r="R8510" s="226"/>
      <c r="S8510" s="226"/>
      <c r="T8510" s="226"/>
      <c r="U8510" s="226"/>
    </row>
    <row r="8511" spans="16:21" x14ac:dyDescent="0.35">
      <c r="P8511" s="226"/>
      <c r="Q8511" s="226"/>
      <c r="R8511" s="226"/>
      <c r="S8511" s="226"/>
      <c r="T8511" s="226"/>
      <c r="U8511" s="226"/>
    </row>
    <row r="8512" spans="16:21" x14ac:dyDescent="0.35">
      <c r="P8512" s="226"/>
      <c r="Q8512" s="226"/>
      <c r="R8512" s="226"/>
      <c r="S8512" s="226"/>
      <c r="T8512" s="226"/>
      <c r="U8512" s="226"/>
    </row>
    <row r="8513" spans="16:21" x14ac:dyDescent="0.35">
      <c r="P8513" s="226"/>
      <c r="Q8513" s="226"/>
      <c r="R8513" s="226"/>
      <c r="S8513" s="226"/>
      <c r="T8513" s="226"/>
      <c r="U8513" s="226"/>
    </row>
    <row r="8514" spans="16:21" x14ac:dyDescent="0.35">
      <c r="P8514" s="226"/>
      <c r="Q8514" s="226"/>
      <c r="R8514" s="226"/>
      <c r="S8514" s="226"/>
      <c r="T8514" s="226"/>
      <c r="U8514" s="226"/>
    </row>
    <row r="8515" spans="16:21" x14ac:dyDescent="0.35">
      <c r="P8515" s="226"/>
      <c r="Q8515" s="226"/>
      <c r="R8515" s="226"/>
      <c r="S8515" s="226"/>
      <c r="T8515" s="226"/>
      <c r="U8515" s="226"/>
    </row>
    <row r="8516" spans="16:21" x14ac:dyDescent="0.35">
      <c r="P8516" s="226"/>
      <c r="Q8516" s="226"/>
      <c r="R8516" s="226"/>
      <c r="S8516" s="226"/>
      <c r="T8516" s="226"/>
      <c r="U8516" s="226"/>
    </row>
    <row r="8517" spans="16:21" x14ac:dyDescent="0.35">
      <c r="P8517" s="226"/>
      <c r="Q8517" s="226"/>
      <c r="R8517" s="226"/>
      <c r="S8517" s="226"/>
      <c r="T8517" s="226"/>
      <c r="U8517" s="226"/>
    </row>
    <row r="8518" spans="16:21" x14ac:dyDescent="0.35">
      <c r="P8518" s="226"/>
      <c r="Q8518" s="226"/>
      <c r="R8518" s="226"/>
      <c r="S8518" s="226"/>
      <c r="T8518" s="226"/>
      <c r="U8518" s="226"/>
    </row>
    <row r="8519" spans="16:21" x14ac:dyDescent="0.35">
      <c r="P8519" s="226"/>
      <c r="Q8519" s="226"/>
      <c r="R8519" s="226"/>
      <c r="S8519" s="226"/>
      <c r="T8519" s="226"/>
      <c r="U8519" s="226"/>
    </row>
    <row r="8520" spans="16:21" x14ac:dyDescent="0.35">
      <c r="P8520" s="226"/>
      <c r="Q8520" s="226"/>
      <c r="R8520" s="226"/>
      <c r="S8520" s="226"/>
      <c r="T8520" s="226"/>
      <c r="U8520" s="226"/>
    </row>
    <row r="8521" spans="16:21" x14ac:dyDescent="0.35">
      <c r="P8521" s="226"/>
      <c r="Q8521" s="226"/>
      <c r="R8521" s="226"/>
      <c r="S8521" s="226"/>
      <c r="T8521" s="226"/>
      <c r="U8521" s="226"/>
    </row>
    <row r="8522" spans="16:21" x14ac:dyDescent="0.35">
      <c r="P8522" s="226"/>
      <c r="Q8522" s="226"/>
      <c r="R8522" s="226"/>
      <c r="S8522" s="226"/>
      <c r="T8522" s="226"/>
      <c r="U8522" s="226"/>
    </row>
    <row r="8523" spans="16:21" x14ac:dyDescent="0.35">
      <c r="P8523" s="226"/>
      <c r="Q8523" s="226"/>
      <c r="R8523" s="226"/>
      <c r="S8523" s="226"/>
      <c r="T8523" s="226"/>
      <c r="U8523" s="226"/>
    </row>
    <row r="8524" spans="16:21" x14ac:dyDescent="0.35">
      <c r="P8524" s="226"/>
      <c r="Q8524" s="226"/>
      <c r="R8524" s="226"/>
      <c r="S8524" s="226"/>
      <c r="T8524" s="226"/>
      <c r="U8524" s="226"/>
    </row>
    <row r="8525" spans="16:21" x14ac:dyDescent="0.35">
      <c r="P8525" s="226"/>
      <c r="Q8525" s="226"/>
      <c r="R8525" s="226"/>
      <c r="S8525" s="226"/>
      <c r="T8525" s="226"/>
      <c r="U8525" s="226"/>
    </row>
    <row r="8526" spans="16:21" x14ac:dyDescent="0.35">
      <c r="P8526" s="226"/>
      <c r="Q8526" s="226"/>
      <c r="R8526" s="226"/>
      <c r="S8526" s="226"/>
      <c r="T8526" s="226"/>
      <c r="U8526" s="226"/>
    </row>
    <row r="8527" spans="16:21" x14ac:dyDescent="0.35">
      <c r="P8527" s="226"/>
      <c r="Q8527" s="226"/>
      <c r="R8527" s="226"/>
      <c r="S8527" s="226"/>
      <c r="T8527" s="226"/>
      <c r="U8527" s="226"/>
    </row>
    <row r="8528" spans="16:21" x14ac:dyDescent="0.35">
      <c r="P8528" s="226"/>
      <c r="Q8528" s="226"/>
      <c r="R8528" s="226"/>
      <c r="S8528" s="226"/>
      <c r="T8528" s="226"/>
      <c r="U8528" s="226"/>
    </row>
    <row r="8529" spans="16:21" x14ac:dyDescent="0.35">
      <c r="P8529" s="226"/>
      <c r="Q8529" s="226"/>
      <c r="R8529" s="226"/>
      <c r="S8529" s="226"/>
      <c r="T8529" s="226"/>
      <c r="U8529" s="226"/>
    </row>
    <row r="8530" spans="16:21" x14ac:dyDescent="0.35">
      <c r="P8530" s="226"/>
      <c r="Q8530" s="226"/>
      <c r="R8530" s="226"/>
      <c r="S8530" s="226"/>
      <c r="T8530" s="226"/>
      <c r="U8530" s="226"/>
    </row>
    <row r="8531" spans="16:21" x14ac:dyDescent="0.35">
      <c r="P8531" s="226"/>
      <c r="Q8531" s="226"/>
      <c r="R8531" s="226"/>
      <c r="S8531" s="226"/>
      <c r="T8531" s="226"/>
      <c r="U8531" s="226"/>
    </row>
    <row r="8532" spans="16:21" x14ac:dyDescent="0.35">
      <c r="P8532" s="226"/>
      <c r="Q8532" s="226"/>
      <c r="R8532" s="226"/>
      <c r="S8532" s="226"/>
      <c r="T8532" s="226"/>
      <c r="U8532" s="226"/>
    </row>
    <row r="8533" spans="16:21" x14ac:dyDescent="0.35">
      <c r="P8533" s="226"/>
      <c r="Q8533" s="226"/>
      <c r="R8533" s="226"/>
      <c r="S8533" s="226"/>
      <c r="T8533" s="226"/>
      <c r="U8533" s="226"/>
    </row>
    <row r="8534" spans="16:21" x14ac:dyDescent="0.35">
      <c r="P8534" s="226"/>
      <c r="Q8534" s="226"/>
      <c r="R8534" s="226"/>
      <c r="S8534" s="226"/>
      <c r="T8534" s="226"/>
      <c r="U8534" s="226"/>
    </row>
    <row r="8535" spans="16:21" x14ac:dyDescent="0.35">
      <c r="P8535" s="226"/>
      <c r="Q8535" s="226"/>
      <c r="R8535" s="226"/>
      <c r="S8535" s="226"/>
      <c r="T8535" s="226"/>
      <c r="U8535" s="226"/>
    </row>
    <row r="8536" spans="16:21" x14ac:dyDescent="0.35">
      <c r="P8536" s="226"/>
      <c r="Q8536" s="226"/>
      <c r="R8536" s="226"/>
      <c r="S8536" s="226"/>
      <c r="T8536" s="226"/>
      <c r="U8536" s="226"/>
    </row>
    <row r="8537" spans="16:21" x14ac:dyDescent="0.35">
      <c r="P8537" s="226"/>
      <c r="Q8537" s="226"/>
      <c r="R8537" s="226"/>
      <c r="S8537" s="226"/>
      <c r="T8537" s="226"/>
      <c r="U8537" s="226"/>
    </row>
    <row r="8538" spans="16:21" x14ac:dyDescent="0.35">
      <c r="P8538" s="226"/>
      <c r="Q8538" s="226"/>
      <c r="R8538" s="226"/>
      <c r="S8538" s="226"/>
      <c r="T8538" s="226"/>
      <c r="U8538" s="226"/>
    </row>
    <row r="8539" spans="16:21" x14ac:dyDescent="0.35">
      <c r="P8539" s="226"/>
      <c r="Q8539" s="226"/>
      <c r="R8539" s="226"/>
      <c r="S8539" s="226"/>
      <c r="T8539" s="226"/>
      <c r="U8539" s="226"/>
    </row>
    <row r="8540" spans="16:21" x14ac:dyDescent="0.35">
      <c r="P8540" s="226"/>
      <c r="Q8540" s="226"/>
      <c r="R8540" s="226"/>
      <c r="S8540" s="226"/>
      <c r="T8540" s="226"/>
      <c r="U8540" s="226"/>
    </row>
    <row r="8541" spans="16:21" x14ac:dyDescent="0.35">
      <c r="P8541" s="226"/>
      <c r="Q8541" s="226"/>
      <c r="R8541" s="226"/>
      <c r="S8541" s="226"/>
      <c r="T8541" s="226"/>
      <c r="U8541" s="226"/>
    </row>
    <row r="8542" spans="16:21" x14ac:dyDescent="0.35">
      <c r="P8542" s="226"/>
      <c r="Q8542" s="226"/>
      <c r="R8542" s="226"/>
      <c r="S8542" s="226"/>
      <c r="T8542" s="226"/>
      <c r="U8542" s="226"/>
    </row>
    <row r="8543" spans="16:21" x14ac:dyDescent="0.35">
      <c r="P8543" s="226"/>
      <c r="Q8543" s="226"/>
      <c r="R8543" s="226"/>
      <c r="S8543" s="226"/>
      <c r="T8543" s="226"/>
      <c r="U8543" s="226"/>
    </row>
    <row r="8544" spans="16:21" x14ac:dyDescent="0.35">
      <c r="P8544" s="226"/>
      <c r="Q8544" s="226"/>
      <c r="R8544" s="226"/>
      <c r="S8544" s="226"/>
      <c r="T8544" s="226"/>
      <c r="U8544" s="226"/>
    </row>
    <row r="8545" spans="16:21" x14ac:dyDescent="0.35">
      <c r="P8545" s="226"/>
      <c r="Q8545" s="226"/>
      <c r="R8545" s="226"/>
      <c r="S8545" s="226"/>
      <c r="T8545" s="226"/>
      <c r="U8545" s="226"/>
    </row>
    <row r="8546" spans="16:21" x14ac:dyDescent="0.35">
      <c r="P8546" s="226"/>
      <c r="Q8546" s="226"/>
      <c r="R8546" s="226"/>
      <c r="S8546" s="226"/>
      <c r="T8546" s="226"/>
      <c r="U8546" s="226"/>
    </row>
    <row r="8547" spans="16:21" x14ac:dyDescent="0.35">
      <c r="P8547" s="226"/>
      <c r="Q8547" s="226"/>
      <c r="R8547" s="226"/>
      <c r="S8547" s="226"/>
      <c r="T8547" s="226"/>
      <c r="U8547" s="226"/>
    </row>
    <row r="8548" spans="16:21" x14ac:dyDescent="0.35">
      <c r="P8548" s="226"/>
      <c r="Q8548" s="226"/>
      <c r="R8548" s="226"/>
      <c r="S8548" s="226"/>
      <c r="T8548" s="226"/>
      <c r="U8548" s="226"/>
    </row>
    <row r="8549" spans="16:21" x14ac:dyDescent="0.35">
      <c r="P8549" s="226"/>
      <c r="Q8549" s="226"/>
      <c r="R8549" s="226"/>
      <c r="S8549" s="226"/>
      <c r="T8549" s="226"/>
      <c r="U8549" s="226"/>
    </row>
    <row r="8550" spans="16:21" x14ac:dyDescent="0.35">
      <c r="P8550" s="226"/>
      <c r="Q8550" s="226"/>
      <c r="R8550" s="226"/>
      <c r="S8550" s="226"/>
      <c r="T8550" s="226"/>
      <c r="U8550" s="226"/>
    </row>
    <row r="8551" spans="16:21" x14ac:dyDescent="0.35">
      <c r="P8551" s="226"/>
      <c r="Q8551" s="226"/>
      <c r="R8551" s="226"/>
      <c r="S8551" s="226"/>
      <c r="T8551" s="226"/>
      <c r="U8551" s="226"/>
    </row>
    <row r="8552" spans="16:21" x14ac:dyDescent="0.35">
      <c r="P8552" s="226"/>
      <c r="Q8552" s="226"/>
      <c r="R8552" s="226"/>
      <c r="S8552" s="226"/>
      <c r="T8552" s="226"/>
      <c r="U8552" s="226"/>
    </row>
    <row r="8553" spans="16:21" x14ac:dyDescent="0.35">
      <c r="P8553" s="226"/>
      <c r="Q8553" s="226"/>
      <c r="R8553" s="226"/>
      <c r="S8553" s="226"/>
      <c r="T8553" s="226"/>
      <c r="U8553" s="226"/>
    </row>
    <row r="8554" spans="16:21" x14ac:dyDescent="0.35">
      <c r="P8554" s="226"/>
      <c r="Q8554" s="226"/>
      <c r="R8554" s="226"/>
      <c r="S8554" s="226"/>
      <c r="T8554" s="226"/>
      <c r="U8554" s="226"/>
    </row>
    <row r="8555" spans="16:21" x14ac:dyDescent="0.35">
      <c r="P8555" s="226"/>
      <c r="Q8555" s="226"/>
      <c r="R8555" s="226"/>
      <c r="S8555" s="226"/>
      <c r="T8555" s="226"/>
      <c r="U8555" s="226"/>
    </row>
    <row r="8556" spans="16:21" x14ac:dyDescent="0.35">
      <c r="P8556" s="226"/>
      <c r="Q8556" s="226"/>
      <c r="R8556" s="226"/>
      <c r="S8556" s="226"/>
      <c r="T8556" s="226"/>
      <c r="U8556" s="226"/>
    </row>
    <row r="8557" spans="16:21" x14ac:dyDescent="0.35">
      <c r="P8557" s="226"/>
      <c r="Q8557" s="226"/>
      <c r="R8557" s="226"/>
      <c r="S8557" s="226"/>
      <c r="T8557" s="226"/>
      <c r="U8557" s="226"/>
    </row>
    <row r="8558" spans="16:21" x14ac:dyDescent="0.35">
      <c r="P8558" s="226"/>
      <c r="Q8558" s="226"/>
      <c r="R8558" s="226"/>
      <c r="S8558" s="226"/>
      <c r="T8558" s="226"/>
      <c r="U8558" s="226"/>
    </row>
    <row r="8559" spans="16:21" x14ac:dyDescent="0.35">
      <c r="P8559" s="226"/>
      <c r="Q8559" s="226"/>
      <c r="R8559" s="226"/>
      <c r="S8559" s="226"/>
      <c r="T8559" s="226"/>
      <c r="U8559" s="226"/>
    </row>
    <row r="8560" spans="16:21" x14ac:dyDescent="0.35">
      <c r="P8560" s="226"/>
      <c r="Q8560" s="226"/>
      <c r="R8560" s="226"/>
      <c r="S8560" s="226"/>
      <c r="T8560" s="226"/>
      <c r="U8560" s="226"/>
    </row>
    <row r="8561" spans="16:21" x14ac:dyDescent="0.35">
      <c r="P8561" s="226"/>
      <c r="Q8561" s="226"/>
      <c r="R8561" s="226"/>
      <c r="S8561" s="226"/>
      <c r="T8561" s="226"/>
      <c r="U8561" s="226"/>
    </row>
    <row r="8562" spans="16:21" x14ac:dyDescent="0.35">
      <c r="P8562" s="226"/>
      <c r="Q8562" s="226"/>
      <c r="R8562" s="226"/>
      <c r="S8562" s="226"/>
      <c r="T8562" s="226"/>
      <c r="U8562" s="226"/>
    </row>
    <row r="8563" spans="16:21" x14ac:dyDescent="0.35">
      <c r="P8563" s="226"/>
      <c r="Q8563" s="226"/>
      <c r="R8563" s="226"/>
      <c r="S8563" s="226"/>
      <c r="T8563" s="226"/>
      <c r="U8563" s="226"/>
    </row>
    <row r="8564" spans="16:21" x14ac:dyDescent="0.35">
      <c r="P8564" s="226"/>
      <c r="Q8564" s="226"/>
      <c r="R8564" s="226"/>
      <c r="S8564" s="226"/>
      <c r="T8564" s="226"/>
      <c r="U8564" s="226"/>
    </row>
    <row r="8565" spans="16:21" x14ac:dyDescent="0.35">
      <c r="P8565" s="226"/>
      <c r="Q8565" s="226"/>
      <c r="R8565" s="226"/>
      <c r="S8565" s="226"/>
      <c r="T8565" s="226"/>
      <c r="U8565" s="226"/>
    </row>
    <row r="8566" spans="16:21" x14ac:dyDescent="0.35">
      <c r="P8566" s="226"/>
      <c r="Q8566" s="226"/>
      <c r="R8566" s="226"/>
      <c r="S8566" s="226"/>
      <c r="T8566" s="226"/>
      <c r="U8566" s="226"/>
    </row>
    <row r="8567" spans="16:21" x14ac:dyDescent="0.35">
      <c r="P8567" s="226"/>
      <c r="Q8567" s="226"/>
      <c r="R8567" s="226"/>
      <c r="S8567" s="226"/>
      <c r="T8567" s="226"/>
      <c r="U8567" s="226"/>
    </row>
    <row r="8568" spans="16:21" x14ac:dyDescent="0.35">
      <c r="P8568" s="226"/>
      <c r="Q8568" s="226"/>
      <c r="R8568" s="226"/>
      <c r="S8568" s="226"/>
      <c r="T8568" s="226"/>
      <c r="U8568" s="226"/>
    </row>
    <row r="8569" spans="16:21" x14ac:dyDescent="0.35">
      <c r="P8569" s="226"/>
      <c r="Q8569" s="226"/>
      <c r="R8569" s="226"/>
      <c r="S8569" s="226"/>
      <c r="T8569" s="226"/>
      <c r="U8569" s="226"/>
    </row>
    <row r="8570" spans="16:21" x14ac:dyDescent="0.35">
      <c r="P8570" s="226"/>
      <c r="Q8570" s="226"/>
      <c r="R8570" s="226"/>
      <c r="S8570" s="226"/>
      <c r="T8570" s="226"/>
      <c r="U8570" s="226"/>
    </row>
    <row r="8571" spans="16:21" x14ac:dyDescent="0.35">
      <c r="P8571" s="226"/>
      <c r="Q8571" s="226"/>
      <c r="R8571" s="226"/>
      <c r="S8571" s="226"/>
      <c r="T8571" s="226"/>
      <c r="U8571" s="226"/>
    </row>
    <row r="8572" spans="16:21" x14ac:dyDescent="0.35">
      <c r="P8572" s="226"/>
      <c r="Q8572" s="226"/>
      <c r="R8572" s="226"/>
      <c r="S8572" s="226"/>
      <c r="T8572" s="226"/>
      <c r="U8572" s="226"/>
    </row>
    <row r="8573" spans="16:21" x14ac:dyDescent="0.35">
      <c r="P8573" s="226"/>
      <c r="Q8573" s="226"/>
      <c r="R8573" s="226"/>
      <c r="S8573" s="226"/>
      <c r="T8573" s="226"/>
      <c r="U8573" s="226"/>
    </row>
    <row r="8574" spans="16:21" x14ac:dyDescent="0.35">
      <c r="P8574" s="226"/>
      <c r="Q8574" s="226"/>
      <c r="R8574" s="226"/>
      <c r="S8574" s="226"/>
      <c r="T8574" s="226"/>
      <c r="U8574" s="226"/>
    </row>
    <row r="8575" spans="16:21" x14ac:dyDescent="0.35">
      <c r="P8575" s="226"/>
      <c r="Q8575" s="226"/>
      <c r="R8575" s="226"/>
      <c r="S8575" s="226"/>
      <c r="T8575" s="226"/>
      <c r="U8575" s="226"/>
    </row>
    <row r="8576" spans="16:21" x14ac:dyDescent="0.35">
      <c r="P8576" s="226"/>
      <c r="Q8576" s="226"/>
      <c r="R8576" s="226"/>
      <c r="S8576" s="226"/>
      <c r="T8576" s="226"/>
      <c r="U8576" s="226"/>
    </row>
    <row r="8577" spans="16:21" x14ac:dyDescent="0.35">
      <c r="P8577" s="226"/>
      <c r="Q8577" s="226"/>
      <c r="R8577" s="226"/>
      <c r="S8577" s="226"/>
      <c r="T8577" s="226"/>
      <c r="U8577" s="226"/>
    </row>
    <row r="8578" spans="16:21" x14ac:dyDescent="0.35">
      <c r="P8578" s="226"/>
      <c r="Q8578" s="226"/>
      <c r="R8578" s="226"/>
      <c r="S8578" s="226"/>
      <c r="T8578" s="226"/>
      <c r="U8578" s="226"/>
    </row>
    <row r="8579" spans="16:21" x14ac:dyDescent="0.35">
      <c r="P8579" s="226"/>
      <c r="Q8579" s="226"/>
      <c r="R8579" s="226"/>
      <c r="S8579" s="226"/>
      <c r="T8579" s="226"/>
      <c r="U8579" s="226"/>
    </row>
    <row r="8580" spans="16:21" x14ac:dyDescent="0.35">
      <c r="P8580" s="226"/>
      <c r="Q8580" s="226"/>
      <c r="R8580" s="226"/>
      <c r="S8580" s="226"/>
      <c r="T8580" s="226"/>
      <c r="U8580" s="226"/>
    </row>
    <row r="8581" spans="16:21" x14ac:dyDescent="0.35">
      <c r="P8581" s="226"/>
      <c r="Q8581" s="226"/>
      <c r="R8581" s="226"/>
      <c r="S8581" s="226"/>
      <c r="T8581" s="226"/>
      <c r="U8581" s="226"/>
    </row>
    <row r="8582" spans="16:21" x14ac:dyDescent="0.35">
      <c r="P8582" s="226"/>
      <c r="Q8582" s="226"/>
      <c r="R8582" s="226"/>
      <c r="S8582" s="226"/>
      <c r="T8582" s="226"/>
      <c r="U8582" s="226"/>
    </row>
    <row r="8583" spans="16:21" x14ac:dyDescent="0.35">
      <c r="P8583" s="226"/>
      <c r="Q8583" s="226"/>
      <c r="R8583" s="226"/>
      <c r="S8583" s="226"/>
      <c r="T8583" s="226"/>
      <c r="U8583" s="226"/>
    </row>
    <row r="8584" spans="16:21" x14ac:dyDescent="0.35">
      <c r="P8584" s="226"/>
      <c r="Q8584" s="226"/>
      <c r="R8584" s="226"/>
      <c r="S8584" s="226"/>
      <c r="T8584" s="226"/>
      <c r="U8584" s="226"/>
    </row>
    <row r="8585" spans="16:21" x14ac:dyDescent="0.35">
      <c r="P8585" s="226"/>
      <c r="Q8585" s="226"/>
      <c r="R8585" s="226"/>
      <c r="S8585" s="226"/>
      <c r="T8585" s="226"/>
      <c r="U8585" s="226"/>
    </row>
    <row r="8586" spans="16:21" x14ac:dyDescent="0.35">
      <c r="P8586" s="226"/>
      <c r="Q8586" s="226"/>
      <c r="R8586" s="226"/>
      <c r="S8586" s="226"/>
      <c r="T8586" s="226"/>
      <c r="U8586" s="226"/>
    </row>
    <row r="8587" spans="16:21" x14ac:dyDescent="0.35">
      <c r="P8587" s="226"/>
      <c r="Q8587" s="226"/>
      <c r="R8587" s="226"/>
      <c r="S8587" s="226"/>
      <c r="T8587" s="226"/>
      <c r="U8587" s="226"/>
    </row>
    <row r="8588" spans="16:21" x14ac:dyDescent="0.35">
      <c r="P8588" s="226"/>
      <c r="Q8588" s="226"/>
      <c r="R8588" s="226"/>
      <c r="S8588" s="226"/>
      <c r="T8588" s="226"/>
      <c r="U8588" s="226"/>
    </row>
    <row r="8589" spans="16:21" x14ac:dyDescent="0.35">
      <c r="P8589" s="226"/>
      <c r="Q8589" s="226"/>
      <c r="R8589" s="226"/>
      <c r="S8589" s="226"/>
      <c r="T8589" s="226"/>
      <c r="U8589" s="226"/>
    </row>
    <row r="8590" spans="16:21" x14ac:dyDescent="0.35">
      <c r="P8590" s="226"/>
      <c r="Q8590" s="226"/>
      <c r="R8590" s="226"/>
      <c r="S8590" s="226"/>
      <c r="T8590" s="226"/>
      <c r="U8590" s="226"/>
    </row>
    <row r="8591" spans="16:21" x14ac:dyDescent="0.35">
      <c r="P8591" s="226"/>
      <c r="Q8591" s="226"/>
      <c r="R8591" s="226"/>
      <c r="S8591" s="226"/>
      <c r="T8591" s="226"/>
      <c r="U8591" s="226"/>
    </row>
    <row r="8592" spans="16:21" x14ac:dyDescent="0.35">
      <c r="P8592" s="226"/>
      <c r="Q8592" s="226"/>
      <c r="R8592" s="226"/>
      <c r="S8592" s="226"/>
      <c r="T8592" s="226"/>
      <c r="U8592" s="226"/>
    </row>
    <row r="8593" spans="16:21" x14ac:dyDescent="0.35">
      <c r="P8593" s="226"/>
      <c r="Q8593" s="226"/>
      <c r="R8593" s="226"/>
      <c r="S8593" s="226"/>
      <c r="T8593" s="226"/>
      <c r="U8593" s="226"/>
    </row>
    <row r="8594" spans="16:21" x14ac:dyDescent="0.35">
      <c r="P8594" s="226"/>
      <c r="Q8594" s="226"/>
      <c r="R8594" s="226"/>
      <c r="S8594" s="226"/>
      <c r="T8594" s="226"/>
      <c r="U8594" s="226"/>
    </row>
    <row r="8595" spans="16:21" x14ac:dyDescent="0.35">
      <c r="P8595" s="226"/>
      <c r="Q8595" s="226"/>
      <c r="R8595" s="226"/>
      <c r="S8595" s="226"/>
      <c r="T8595" s="226"/>
      <c r="U8595" s="226"/>
    </row>
    <row r="8596" spans="16:21" x14ac:dyDescent="0.35">
      <c r="P8596" s="226"/>
      <c r="Q8596" s="226"/>
      <c r="R8596" s="226"/>
      <c r="S8596" s="226"/>
      <c r="T8596" s="226"/>
      <c r="U8596" s="226"/>
    </row>
    <row r="8597" spans="16:21" x14ac:dyDescent="0.35">
      <c r="P8597" s="226"/>
      <c r="Q8597" s="226"/>
      <c r="R8597" s="226"/>
      <c r="S8597" s="226"/>
      <c r="T8597" s="226"/>
      <c r="U8597" s="226"/>
    </row>
    <row r="8598" spans="16:21" x14ac:dyDescent="0.35">
      <c r="P8598" s="226"/>
      <c r="Q8598" s="226"/>
      <c r="R8598" s="226"/>
      <c r="S8598" s="226"/>
      <c r="T8598" s="226"/>
      <c r="U8598" s="226"/>
    </row>
    <row r="8599" spans="16:21" x14ac:dyDescent="0.35">
      <c r="P8599" s="226"/>
      <c r="Q8599" s="226"/>
      <c r="R8599" s="226"/>
      <c r="S8599" s="226"/>
      <c r="T8599" s="226"/>
      <c r="U8599" s="226"/>
    </row>
    <row r="8600" spans="16:21" x14ac:dyDescent="0.35">
      <c r="P8600" s="226"/>
      <c r="Q8600" s="226"/>
      <c r="R8600" s="226"/>
      <c r="S8600" s="226"/>
      <c r="T8600" s="226"/>
      <c r="U8600" s="226"/>
    </row>
    <row r="8601" spans="16:21" x14ac:dyDescent="0.35">
      <c r="P8601" s="226"/>
      <c r="Q8601" s="226"/>
      <c r="R8601" s="226"/>
      <c r="S8601" s="226"/>
      <c r="T8601" s="226"/>
      <c r="U8601" s="226"/>
    </row>
    <row r="8602" spans="16:21" x14ac:dyDescent="0.35">
      <c r="P8602" s="226"/>
      <c r="Q8602" s="226"/>
      <c r="R8602" s="226"/>
      <c r="S8602" s="226"/>
      <c r="T8602" s="226"/>
      <c r="U8602" s="226"/>
    </row>
    <row r="8603" spans="16:21" x14ac:dyDescent="0.35">
      <c r="P8603" s="226"/>
      <c r="Q8603" s="226"/>
      <c r="R8603" s="226"/>
      <c r="S8603" s="226"/>
      <c r="T8603" s="226"/>
      <c r="U8603" s="226"/>
    </row>
    <row r="8604" spans="16:21" x14ac:dyDescent="0.35">
      <c r="P8604" s="226"/>
      <c r="Q8604" s="226"/>
      <c r="R8604" s="226"/>
      <c r="S8604" s="226"/>
      <c r="T8604" s="226"/>
      <c r="U8604" s="226"/>
    </row>
    <row r="8605" spans="16:21" x14ac:dyDescent="0.35">
      <c r="P8605" s="226"/>
      <c r="Q8605" s="226"/>
      <c r="R8605" s="226"/>
      <c r="S8605" s="226"/>
      <c r="T8605" s="226"/>
      <c r="U8605" s="226"/>
    </row>
    <row r="8606" spans="16:21" x14ac:dyDescent="0.35">
      <c r="P8606" s="226"/>
      <c r="Q8606" s="226"/>
      <c r="R8606" s="226"/>
      <c r="S8606" s="226"/>
      <c r="T8606" s="226"/>
      <c r="U8606" s="226"/>
    </row>
    <row r="8607" spans="16:21" x14ac:dyDescent="0.35">
      <c r="P8607" s="226"/>
      <c r="Q8607" s="226"/>
      <c r="R8607" s="226"/>
      <c r="S8607" s="226"/>
      <c r="T8607" s="226"/>
      <c r="U8607" s="226"/>
    </row>
    <row r="8608" spans="16:21" x14ac:dyDescent="0.35">
      <c r="P8608" s="226"/>
      <c r="Q8608" s="226"/>
      <c r="R8608" s="226"/>
      <c r="S8608" s="226"/>
      <c r="T8608" s="226"/>
      <c r="U8608" s="226"/>
    </row>
    <row r="8609" spans="16:21" x14ac:dyDescent="0.35">
      <c r="P8609" s="226"/>
      <c r="Q8609" s="226"/>
      <c r="R8609" s="226"/>
      <c r="S8609" s="226"/>
      <c r="T8609" s="226"/>
      <c r="U8609" s="226"/>
    </row>
    <row r="8610" spans="16:21" x14ac:dyDescent="0.35">
      <c r="P8610" s="226"/>
      <c r="Q8610" s="226"/>
      <c r="R8610" s="226"/>
      <c r="S8610" s="226"/>
      <c r="T8610" s="226"/>
      <c r="U8610" s="226"/>
    </row>
    <row r="8611" spans="16:21" x14ac:dyDescent="0.35">
      <c r="P8611" s="226"/>
      <c r="Q8611" s="226"/>
      <c r="R8611" s="226"/>
      <c r="S8611" s="226"/>
      <c r="T8611" s="226"/>
      <c r="U8611" s="226"/>
    </row>
    <row r="8612" spans="16:21" x14ac:dyDescent="0.35">
      <c r="P8612" s="226"/>
      <c r="Q8612" s="226"/>
      <c r="R8612" s="226"/>
      <c r="S8612" s="226"/>
      <c r="T8612" s="226"/>
      <c r="U8612" s="226"/>
    </row>
    <row r="8613" spans="16:21" x14ac:dyDescent="0.35">
      <c r="P8613" s="226"/>
      <c r="Q8613" s="226"/>
      <c r="R8613" s="226"/>
      <c r="S8613" s="226"/>
      <c r="T8613" s="226"/>
      <c r="U8613" s="226"/>
    </row>
    <row r="8614" spans="16:21" x14ac:dyDescent="0.35">
      <c r="P8614" s="226"/>
      <c r="Q8614" s="226"/>
      <c r="R8614" s="226"/>
      <c r="S8614" s="226"/>
      <c r="T8614" s="226"/>
      <c r="U8614" s="226"/>
    </row>
    <row r="8615" spans="16:21" x14ac:dyDescent="0.35">
      <c r="P8615" s="226"/>
      <c r="Q8615" s="226"/>
      <c r="R8615" s="226"/>
      <c r="S8615" s="226"/>
      <c r="T8615" s="226"/>
      <c r="U8615" s="226"/>
    </row>
    <row r="8616" spans="16:21" x14ac:dyDescent="0.35">
      <c r="P8616" s="226"/>
      <c r="Q8616" s="226"/>
      <c r="R8616" s="226"/>
      <c r="S8616" s="226"/>
      <c r="T8616" s="226"/>
      <c r="U8616" s="226"/>
    </row>
    <row r="8617" spans="16:21" x14ac:dyDescent="0.35">
      <c r="P8617" s="226"/>
      <c r="Q8617" s="226"/>
      <c r="R8617" s="226"/>
      <c r="S8617" s="226"/>
      <c r="T8617" s="226"/>
      <c r="U8617" s="226"/>
    </row>
    <row r="8618" spans="16:21" x14ac:dyDescent="0.35">
      <c r="P8618" s="226"/>
      <c r="Q8618" s="226"/>
      <c r="R8618" s="226"/>
      <c r="S8618" s="226"/>
      <c r="T8618" s="226"/>
      <c r="U8618" s="226"/>
    </row>
    <row r="8619" spans="16:21" x14ac:dyDescent="0.35">
      <c r="P8619" s="226"/>
      <c r="Q8619" s="226"/>
      <c r="R8619" s="226"/>
      <c r="S8619" s="226"/>
      <c r="T8619" s="226"/>
      <c r="U8619" s="226"/>
    </row>
    <row r="8620" spans="16:21" x14ac:dyDescent="0.35">
      <c r="P8620" s="226"/>
      <c r="Q8620" s="226"/>
      <c r="R8620" s="226"/>
      <c r="S8620" s="226"/>
      <c r="T8620" s="226"/>
      <c r="U8620" s="226"/>
    </row>
    <row r="8621" spans="16:21" x14ac:dyDescent="0.35">
      <c r="P8621" s="226"/>
      <c r="Q8621" s="226"/>
      <c r="R8621" s="226"/>
      <c r="S8621" s="226"/>
      <c r="T8621" s="226"/>
      <c r="U8621" s="226"/>
    </row>
    <row r="8622" spans="16:21" x14ac:dyDescent="0.35">
      <c r="P8622" s="226"/>
      <c r="Q8622" s="226"/>
      <c r="R8622" s="226"/>
      <c r="S8622" s="226"/>
      <c r="T8622" s="226"/>
      <c r="U8622" s="226"/>
    </row>
    <row r="8623" spans="16:21" x14ac:dyDescent="0.35">
      <c r="P8623" s="226"/>
      <c r="Q8623" s="226"/>
      <c r="R8623" s="226"/>
      <c r="S8623" s="226"/>
      <c r="T8623" s="226"/>
      <c r="U8623" s="226"/>
    </row>
    <row r="8624" spans="16:21" x14ac:dyDescent="0.35">
      <c r="P8624" s="226"/>
      <c r="Q8624" s="226"/>
      <c r="R8624" s="226"/>
      <c r="S8624" s="226"/>
      <c r="T8624" s="226"/>
      <c r="U8624" s="226"/>
    </row>
    <row r="8625" spans="16:21" x14ac:dyDescent="0.35">
      <c r="P8625" s="226"/>
      <c r="Q8625" s="226"/>
      <c r="R8625" s="226"/>
      <c r="S8625" s="226"/>
      <c r="T8625" s="226"/>
      <c r="U8625" s="226"/>
    </row>
    <row r="8626" spans="16:21" x14ac:dyDescent="0.35">
      <c r="P8626" s="226"/>
      <c r="Q8626" s="226"/>
      <c r="R8626" s="226"/>
      <c r="S8626" s="226"/>
      <c r="T8626" s="226"/>
      <c r="U8626" s="226"/>
    </row>
    <row r="8627" spans="16:21" x14ac:dyDescent="0.35">
      <c r="P8627" s="226"/>
      <c r="Q8627" s="226"/>
      <c r="R8627" s="226"/>
      <c r="S8627" s="226"/>
      <c r="T8627" s="226"/>
      <c r="U8627" s="226"/>
    </row>
    <row r="8628" spans="16:21" x14ac:dyDescent="0.35">
      <c r="P8628" s="226"/>
      <c r="Q8628" s="226"/>
      <c r="R8628" s="226"/>
      <c r="S8628" s="226"/>
      <c r="T8628" s="226"/>
      <c r="U8628" s="226"/>
    </row>
    <row r="8629" spans="16:21" x14ac:dyDescent="0.35">
      <c r="P8629" s="226"/>
      <c r="Q8629" s="226"/>
      <c r="R8629" s="226"/>
      <c r="S8629" s="226"/>
      <c r="T8629" s="226"/>
      <c r="U8629" s="226"/>
    </row>
    <row r="8630" spans="16:21" x14ac:dyDescent="0.35">
      <c r="P8630" s="226"/>
      <c r="Q8630" s="226"/>
      <c r="R8630" s="226"/>
      <c r="S8630" s="226"/>
      <c r="T8630" s="226"/>
      <c r="U8630" s="226"/>
    </row>
    <row r="8631" spans="16:21" x14ac:dyDescent="0.35">
      <c r="P8631" s="226"/>
      <c r="Q8631" s="226"/>
      <c r="R8631" s="226"/>
      <c r="S8631" s="226"/>
      <c r="T8631" s="226"/>
      <c r="U8631" s="226"/>
    </row>
    <row r="8632" spans="16:21" x14ac:dyDescent="0.35">
      <c r="P8632" s="226"/>
      <c r="Q8632" s="226"/>
      <c r="R8632" s="226"/>
      <c r="S8632" s="226"/>
      <c r="T8632" s="226"/>
      <c r="U8632" s="226"/>
    </row>
    <row r="8633" spans="16:21" x14ac:dyDescent="0.35">
      <c r="P8633" s="226"/>
      <c r="Q8633" s="226"/>
      <c r="R8633" s="226"/>
      <c r="S8633" s="226"/>
      <c r="T8633" s="226"/>
      <c r="U8633" s="226"/>
    </row>
    <row r="8634" spans="16:21" x14ac:dyDescent="0.35">
      <c r="P8634" s="226"/>
      <c r="Q8634" s="226"/>
      <c r="R8634" s="226"/>
      <c r="S8634" s="226"/>
      <c r="T8634" s="226"/>
      <c r="U8634" s="226"/>
    </row>
    <row r="8635" spans="16:21" x14ac:dyDescent="0.35">
      <c r="P8635" s="226"/>
      <c r="Q8635" s="226"/>
      <c r="R8635" s="226"/>
      <c r="S8635" s="226"/>
      <c r="T8635" s="226"/>
      <c r="U8635" s="226"/>
    </row>
    <row r="8636" spans="16:21" x14ac:dyDescent="0.35">
      <c r="P8636" s="226"/>
      <c r="Q8636" s="226"/>
      <c r="R8636" s="226"/>
      <c r="S8636" s="226"/>
      <c r="T8636" s="226"/>
      <c r="U8636" s="226"/>
    </row>
    <row r="8637" spans="16:21" x14ac:dyDescent="0.35">
      <c r="P8637" s="226"/>
      <c r="Q8637" s="226"/>
      <c r="R8637" s="226"/>
      <c r="S8637" s="226"/>
      <c r="T8637" s="226"/>
      <c r="U8637" s="226"/>
    </row>
    <row r="8638" spans="16:21" x14ac:dyDescent="0.35">
      <c r="P8638" s="226"/>
      <c r="Q8638" s="226"/>
      <c r="R8638" s="226"/>
      <c r="S8638" s="226"/>
      <c r="T8638" s="226"/>
      <c r="U8638" s="226"/>
    </row>
    <row r="8639" spans="16:21" x14ac:dyDescent="0.35">
      <c r="P8639" s="226"/>
      <c r="Q8639" s="226"/>
      <c r="R8639" s="226"/>
      <c r="S8639" s="226"/>
      <c r="T8639" s="226"/>
      <c r="U8639" s="226"/>
    </row>
    <row r="8640" spans="16:21" x14ac:dyDescent="0.35">
      <c r="P8640" s="226"/>
      <c r="Q8640" s="226"/>
      <c r="R8640" s="226"/>
      <c r="S8640" s="226"/>
      <c r="T8640" s="226"/>
      <c r="U8640" s="226"/>
    </row>
    <row r="8641" spans="16:21" x14ac:dyDescent="0.35">
      <c r="P8641" s="226"/>
      <c r="Q8641" s="226"/>
      <c r="R8641" s="226"/>
      <c r="S8641" s="226"/>
      <c r="T8641" s="226"/>
      <c r="U8641" s="226"/>
    </row>
    <row r="8642" spans="16:21" x14ac:dyDescent="0.35">
      <c r="P8642" s="226"/>
      <c r="Q8642" s="226"/>
      <c r="R8642" s="226"/>
      <c r="S8642" s="226"/>
      <c r="T8642" s="226"/>
      <c r="U8642" s="226"/>
    </row>
    <row r="8643" spans="16:21" x14ac:dyDescent="0.35">
      <c r="P8643" s="226"/>
      <c r="Q8643" s="226"/>
      <c r="R8643" s="226"/>
      <c r="S8643" s="226"/>
      <c r="T8643" s="226"/>
      <c r="U8643" s="226"/>
    </row>
    <row r="8644" spans="16:21" x14ac:dyDescent="0.35">
      <c r="P8644" s="226"/>
      <c r="Q8644" s="226"/>
      <c r="R8644" s="226"/>
      <c r="S8644" s="226"/>
      <c r="T8644" s="226"/>
      <c r="U8644" s="226"/>
    </row>
    <row r="8645" spans="16:21" x14ac:dyDescent="0.35">
      <c r="P8645" s="226"/>
      <c r="Q8645" s="226"/>
      <c r="R8645" s="226"/>
      <c r="S8645" s="226"/>
      <c r="T8645" s="226"/>
      <c r="U8645" s="226"/>
    </row>
    <row r="8646" spans="16:21" x14ac:dyDescent="0.35">
      <c r="P8646" s="226"/>
      <c r="Q8646" s="226"/>
      <c r="R8646" s="226"/>
      <c r="S8646" s="226"/>
      <c r="T8646" s="226"/>
      <c r="U8646" s="226"/>
    </row>
    <row r="8647" spans="16:21" x14ac:dyDescent="0.35">
      <c r="P8647" s="226"/>
      <c r="Q8647" s="226"/>
      <c r="R8647" s="226"/>
      <c r="S8647" s="226"/>
      <c r="T8647" s="226"/>
      <c r="U8647" s="226"/>
    </row>
    <row r="8648" spans="16:21" x14ac:dyDescent="0.35">
      <c r="P8648" s="226"/>
      <c r="Q8648" s="226"/>
      <c r="R8648" s="226"/>
      <c r="S8648" s="226"/>
      <c r="T8648" s="226"/>
      <c r="U8648" s="226"/>
    </row>
    <row r="8649" spans="16:21" x14ac:dyDescent="0.35">
      <c r="P8649" s="226"/>
      <c r="Q8649" s="226"/>
      <c r="R8649" s="226"/>
      <c r="S8649" s="226"/>
      <c r="T8649" s="226"/>
      <c r="U8649" s="226"/>
    </row>
    <row r="8650" spans="16:21" x14ac:dyDescent="0.35">
      <c r="P8650" s="226"/>
      <c r="Q8650" s="226"/>
      <c r="R8650" s="226"/>
      <c r="S8650" s="226"/>
      <c r="T8650" s="226"/>
      <c r="U8650" s="226"/>
    </row>
    <row r="8651" spans="16:21" x14ac:dyDescent="0.35">
      <c r="P8651" s="226"/>
      <c r="Q8651" s="226"/>
      <c r="R8651" s="226"/>
      <c r="S8651" s="226"/>
      <c r="T8651" s="226"/>
      <c r="U8651" s="226"/>
    </row>
    <row r="8652" spans="16:21" x14ac:dyDescent="0.35">
      <c r="P8652" s="226"/>
      <c r="Q8652" s="226"/>
      <c r="R8652" s="226"/>
      <c r="S8652" s="226"/>
      <c r="T8652" s="226"/>
      <c r="U8652" s="226"/>
    </row>
    <row r="8653" spans="16:21" x14ac:dyDescent="0.35">
      <c r="P8653" s="226"/>
      <c r="Q8653" s="226"/>
      <c r="R8653" s="226"/>
      <c r="S8653" s="226"/>
      <c r="T8653" s="226"/>
      <c r="U8653" s="226"/>
    </row>
    <row r="8654" spans="16:21" x14ac:dyDescent="0.35">
      <c r="P8654" s="226"/>
      <c r="Q8654" s="226"/>
      <c r="R8654" s="226"/>
      <c r="S8654" s="226"/>
      <c r="T8654" s="226"/>
      <c r="U8654" s="226"/>
    </row>
    <row r="8655" spans="16:21" x14ac:dyDescent="0.35">
      <c r="P8655" s="226"/>
      <c r="Q8655" s="226"/>
      <c r="R8655" s="226"/>
      <c r="S8655" s="226"/>
      <c r="T8655" s="226"/>
      <c r="U8655" s="226"/>
    </row>
    <row r="8656" spans="16:21" x14ac:dyDescent="0.35">
      <c r="P8656" s="226"/>
      <c r="Q8656" s="226"/>
      <c r="R8656" s="226"/>
      <c r="S8656" s="226"/>
      <c r="T8656" s="226"/>
      <c r="U8656" s="226"/>
    </row>
    <row r="8657" spans="16:21" x14ac:dyDescent="0.35">
      <c r="P8657" s="226"/>
      <c r="Q8657" s="226"/>
      <c r="R8657" s="226"/>
      <c r="S8657" s="226"/>
      <c r="T8657" s="226"/>
      <c r="U8657" s="226"/>
    </row>
    <row r="8658" spans="16:21" x14ac:dyDescent="0.35">
      <c r="P8658" s="226"/>
      <c r="Q8658" s="226"/>
      <c r="R8658" s="226"/>
      <c r="S8658" s="226"/>
      <c r="T8658" s="226"/>
      <c r="U8658" s="226"/>
    </row>
    <row r="8659" spans="16:21" x14ac:dyDescent="0.35">
      <c r="P8659" s="226"/>
      <c r="Q8659" s="226"/>
      <c r="R8659" s="226"/>
      <c r="S8659" s="226"/>
      <c r="T8659" s="226"/>
      <c r="U8659" s="226"/>
    </row>
    <row r="8660" spans="16:21" x14ac:dyDescent="0.35">
      <c r="P8660" s="226"/>
      <c r="Q8660" s="226"/>
      <c r="R8660" s="226"/>
      <c r="S8660" s="226"/>
      <c r="T8660" s="226"/>
      <c r="U8660" s="226"/>
    </row>
    <row r="8661" spans="16:21" x14ac:dyDescent="0.35">
      <c r="P8661" s="226"/>
      <c r="Q8661" s="226"/>
      <c r="R8661" s="226"/>
      <c r="S8661" s="226"/>
      <c r="T8661" s="226"/>
      <c r="U8661" s="226"/>
    </row>
    <row r="8662" spans="16:21" x14ac:dyDescent="0.35">
      <c r="P8662" s="226"/>
      <c r="Q8662" s="226"/>
      <c r="R8662" s="226"/>
      <c r="S8662" s="226"/>
      <c r="T8662" s="226"/>
      <c r="U8662" s="226"/>
    </row>
    <row r="8663" spans="16:21" x14ac:dyDescent="0.35">
      <c r="P8663" s="226"/>
      <c r="Q8663" s="226"/>
      <c r="R8663" s="226"/>
      <c r="S8663" s="226"/>
      <c r="T8663" s="226"/>
      <c r="U8663" s="226"/>
    </row>
    <row r="8664" spans="16:21" x14ac:dyDescent="0.35">
      <c r="P8664" s="226"/>
      <c r="Q8664" s="226"/>
      <c r="R8664" s="226"/>
      <c r="S8664" s="226"/>
      <c r="T8664" s="226"/>
      <c r="U8664" s="226"/>
    </row>
    <row r="8665" spans="16:21" x14ac:dyDescent="0.35">
      <c r="P8665" s="226"/>
      <c r="Q8665" s="226"/>
      <c r="R8665" s="226"/>
      <c r="S8665" s="226"/>
      <c r="T8665" s="226"/>
      <c r="U8665" s="226"/>
    </row>
    <row r="8666" spans="16:21" x14ac:dyDescent="0.35">
      <c r="P8666" s="226"/>
      <c r="Q8666" s="226"/>
      <c r="R8666" s="226"/>
      <c r="S8666" s="226"/>
      <c r="T8666" s="226"/>
      <c r="U8666" s="226"/>
    </row>
    <row r="8667" spans="16:21" x14ac:dyDescent="0.35">
      <c r="P8667" s="226"/>
      <c r="Q8667" s="226"/>
      <c r="R8667" s="226"/>
      <c r="S8667" s="226"/>
      <c r="T8667" s="226"/>
      <c r="U8667" s="226"/>
    </row>
    <row r="8668" spans="16:21" x14ac:dyDescent="0.35">
      <c r="P8668" s="226"/>
      <c r="Q8668" s="226"/>
      <c r="R8668" s="226"/>
      <c r="S8668" s="226"/>
      <c r="T8668" s="226"/>
      <c r="U8668" s="226"/>
    </row>
    <row r="8669" spans="16:21" x14ac:dyDescent="0.35">
      <c r="P8669" s="226"/>
      <c r="Q8669" s="226"/>
      <c r="R8669" s="226"/>
      <c r="S8669" s="226"/>
      <c r="T8669" s="226"/>
      <c r="U8669" s="226"/>
    </row>
    <row r="8670" spans="16:21" x14ac:dyDescent="0.35">
      <c r="P8670" s="226"/>
      <c r="Q8670" s="226"/>
      <c r="R8670" s="226"/>
      <c r="S8670" s="226"/>
      <c r="T8670" s="226"/>
      <c r="U8670" s="226"/>
    </row>
    <row r="8671" spans="16:21" x14ac:dyDescent="0.35">
      <c r="P8671" s="226"/>
      <c r="Q8671" s="226"/>
      <c r="R8671" s="226"/>
      <c r="S8671" s="226"/>
      <c r="T8671" s="226"/>
      <c r="U8671" s="226"/>
    </row>
    <row r="8672" spans="16:21" x14ac:dyDescent="0.35">
      <c r="P8672" s="226"/>
      <c r="Q8672" s="226"/>
      <c r="R8672" s="226"/>
      <c r="S8672" s="226"/>
      <c r="T8672" s="226"/>
      <c r="U8672" s="226"/>
    </row>
    <row r="8673" spans="16:21" x14ac:dyDescent="0.35">
      <c r="P8673" s="226"/>
      <c r="Q8673" s="226"/>
      <c r="R8673" s="226"/>
      <c r="S8673" s="226"/>
      <c r="T8673" s="226"/>
      <c r="U8673" s="226"/>
    </row>
    <row r="8674" spans="16:21" x14ac:dyDescent="0.35">
      <c r="P8674" s="226"/>
      <c r="Q8674" s="226"/>
      <c r="R8674" s="226"/>
      <c r="S8674" s="226"/>
      <c r="T8674" s="226"/>
      <c r="U8674" s="226"/>
    </row>
    <row r="8675" spans="16:21" x14ac:dyDescent="0.35">
      <c r="P8675" s="226"/>
      <c r="Q8675" s="226"/>
      <c r="R8675" s="226"/>
      <c r="S8675" s="226"/>
      <c r="T8675" s="226"/>
      <c r="U8675" s="226"/>
    </row>
    <row r="8676" spans="16:21" x14ac:dyDescent="0.35">
      <c r="P8676" s="226"/>
      <c r="Q8676" s="226"/>
      <c r="R8676" s="226"/>
      <c r="S8676" s="226"/>
      <c r="T8676" s="226"/>
      <c r="U8676" s="226"/>
    </row>
    <row r="8677" spans="16:21" x14ac:dyDescent="0.35">
      <c r="P8677" s="226"/>
      <c r="Q8677" s="226"/>
      <c r="R8677" s="226"/>
      <c r="S8677" s="226"/>
      <c r="T8677" s="226"/>
      <c r="U8677" s="226"/>
    </row>
    <row r="8678" spans="16:21" x14ac:dyDescent="0.35">
      <c r="P8678" s="226"/>
      <c r="Q8678" s="226"/>
      <c r="R8678" s="226"/>
      <c r="S8678" s="226"/>
      <c r="T8678" s="226"/>
      <c r="U8678" s="226"/>
    </row>
    <row r="8679" spans="16:21" x14ac:dyDescent="0.35">
      <c r="P8679" s="226"/>
      <c r="Q8679" s="226"/>
      <c r="R8679" s="226"/>
      <c r="S8679" s="226"/>
      <c r="T8679" s="226"/>
      <c r="U8679" s="226"/>
    </row>
    <row r="8680" spans="16:21" x14ac:dyDescent="0.35">
      <c r="P8680" s="226"/>
      <c r="Q8680" s="226"/>
      <c r="R8680" s="226"/>
      <c r="S8680" s="226"/>
      <c r="T8680" s="226"/>
      <c r="U8680" s="226"/>
    </row>
    <row r="8681" spans="16:21" x14ac:dyDescent="0.35">
      <c r="P8681" s="226"/>
      <c r="Q8681" s="226"/>
      <c r="R8681" s="226"/>
      <c r="S8681" s="226"/>
      <c r="T8681" s="226"/>
      <c r="U8681" s="226"/>
    </row>
    <row r="8682" spans="16:21" x14ac:dyDescent="0.35">
      <c r="P8682" s="226"/>
      <c r="Q8682" s="226"/>
      <c r="R8682" s="226"/>
      <c r="S8682" s="226"/>
      <c r="T8682" s="226"/>
      <c r="U8682" s="226"/>
    </row>
    <row r="8683" spans="16:21" x14ac:dyDescent="0.35">
      <c r="P8683" s="226"/>
      <c r="Q8683" s="226"/>
      <c r="R8683" s="226"/>
      <c r="S8683" s="226"/>
      <c r="T8683" s="226"/>
      <c r="U8683" s="226"/>
    </row>
    <row r="8684" spans="16:21" x14ac:dyDescent="0.35">
      <c r="P8684" s="226"/>
      <c r="Q8684" s="226"/>
      <c r="R8684" s="226"/>
      <c r="S8684" s="226"/>
      <c r="T8684" s="226"/>
      <c r="U8684" s="226"/>
    </row>
    <row r="8685" spans="16:21" x14ac:dyDescent="0.35">
      <c r="P8685" s="226"/>
      <c r="Q8685" s="226"/>
      <c r="R8685" s="226"/>
      <c r="S8685" s="226"/>
      <c r="T8685" s="226"/>
      <c r="U8685" s="226"/>
    </row>
    <row r="8686" spans="16:21" x14ac:dyDescent="0.35">
      <c r="P8686" s="226"/>
      <c r="Q8686" s="226"/>
      <c r="R8686" s="226"/>
      <c r="S8686" s="226"/>
      <c r="T8686" s="226"/>
      <c r="U8686" s="226"/>
    </row>
    <row r="8687" spans="16:21" x14ac:dyDescent="0.35">
      <c r="P8687" s="226"/>
      <c r="Q8687" s="226"/>
      <c r="R8687" s="226"/>
      <c r="S8687" s="226"/>
      <c r="T8687" s="226"/>
      <c r="U8687" s="226"/>
    </row>
    <row r="8688" spans="16:21" x14ac:dyDescent="0.35">
      <c r="P8688" s="226"/>
      <c r="Q8688" s="226"/>
      <c r="R8688" s="226"/>
      <c r="S8688" s="226"/>
      <c r="T8688" s="226"/>
      <c r="U8688" s="226"/>
    </row>
    <row r="8689" spans="16:21" x14ac:dyDescent="0.35">
      <c r="P8689" s="226"/>
      <c r="Q8689" s="226"/>
      <c r="R8689" s="226"/>
      <c r="S8689" s="226"/>
      <c r="T8689" s="226"/>
      <c r="U8689" s="226"/>
    </row>
    <row r="8690" spans="16:21" x14ac:dyDescent="0.35">
      <c r="P8690" s="226"/>
      <c r="Q8690" s="226"/>
      <c r="R8690" s="226"/>
      <c r="S8690" s="226"/>
      <c r="T8690" s="226"/>
      <c r="U8690" s="226"/>
    </row>
    <row r="8691" spans="16:21" x14ac:dyDescent="0.35">
      <c r="P8691" s="226"/>
      <c r="Q8691" s="226"/>
      <c r="R8691" s="226"/>
      <c r="S8691" s="226"/>
      <c r="T8691" s="226"/>
      <c r="U8691" s="226"/>
    </row>
    <row r="8692" spans="16:21" x14ac:dyDescent="0.35">
      <c r="P8692" s="226"/>
      <c r="Q8692" s="226"/>
      <c r="R8692" s="226"/>
      <c r="S8692" s="226"/>
      <c r="T8692" s="226"/>
      <c r="U8692" s="226"/>
    </row>
    <row r="8693" spans="16:21" x14ac:dyDescent="0.35">
      <c r="P8693" s="226"/>
      <c r="Q8693" s="226"/>
      <c r="R8693" s="226"/>
      <c r="S8693" s="226"/>
      <c r="T8693" s="226"/>
      <c r="U8693" s="226"/>
    </row>
    <row r="8694" spans="16:21" x14ac:dyDescent="0.35">
      <c r="P8694" s="226"/>
      <c r="Q8694" s="226"/>
      <c r="R8694" s="226"/>
      <c r="S8694" s="226"/>
      <c r="T8694" s="226"/>
      <c r="U8694" s="226"/>
    </row>
    <row r="8695" spans="16:21" x14ac:dyDescent="0.35">
      <c r="P8695" s="226"/>
      <c r="Q8695" s="226"/>
      <c r="R8695" s="226"/>
      <c r="S8695" s="226"/>
      <c r="T8695" s="226"/>
      <c r="U8695" s="226"/>
    </row>
    <row r="8696" spans="16:21" x14ac:dyDescent="0.35">
      <c r="P8696" s="226"/>
      <c r="Q8696" s="226"/>
      <c r="R8696" s="226"/>
      <c r="S8696" s="226"/>
      <c r="T8696" s="226"/>
      <c r="U8696" s="226"/>
    </row>
    <row r="8697" spans="16:21" x14ac:dyDescent="0.35">
      <c r="P8697" s="226"/>
      <c r="Q8697" s="226"/>
      <c r="R8697" s="226"/>
      <c r="S8697" s="226"/>
      <c r="T8697" s="226"/>
      <c r="U8697" s="226"/>
    </row>
    <row r="8698" spans="16:21" x14ac:dyDescent="0.35">
      <c r="P8698" s="226"/>
      <c r="Q8698" s="226"/>
      <c r="R8698" s="226"/>
      <c r="S8698" s="226"/>
      <c r="T8698" s="226"/>
      <c r="U8698" s="226"/>
    </row>
    <row r="8699" spans="16:21" x14ac:dyDescent="0.35">
      <c r="P8699" s="226"/>
      <c r="Q8699" s="226"/>
      <c r="R8699" s="226"/>
      <c r="S8699" s="226"/>
      <c r="T8699" s="226"/>
      <c r="U8699" s="226"/>
    </row>
    <row r="8700" spans="16:21" x14ac:dyDescent="0.35">
      <c r="P8700" s="226"/>
      <c r="Q8700" s="226"/>
      <c r="R8700" s="226"/>
      <c r="S8700" s="226"/>
      <c r="T8700" s="226"/>
      <c r="U8700" s="226"/>
    </row>
    <row r="8701" spans="16:21" x14ac:dyDescent="0.35">
      <c r="P8701" s="226"/>
      <c r="Q8701" s="226"/>
      <c r="R8701" s="226"/>
      <c r="S8701" s="226"/>
      <c r="T8701" s="226"/>
      <c r="U8701" s="226"/>
    </row>
    <row r="8702" spans="16:21" x14ac:dyDescent="0.35">
      <c r="P8702" s="226"/>
      <c r="Q8702" s="226"/>
      <c r="R8702" s="226"/>
      <c r="S8702" s="226"/>
      <c r="T8702" s="226"/>
      <c r="U8702" s="226"/>
    </row>
    <row r="8703" spans="16:21" x14ac:dyDescent="0.35">
      <c r="P8703" s="226"/>
      <c r="Q8703" s="226"/>
      <c r="R8703" s="226"/>
      <c r="S8703" s="226"/>
      <c r="T8703" s="226"/>
      <c r="U8703" s="226"/>
    </row>
    <row r="8704" spans="16:21" x14ac:dyDescent="0.35">
      <c r="P8704" s="226"/>
      <c r="Q8704" s="226"/>
      <c r="R8704" s="226"/>
      <c r="S8704" s="226"/>
      <c r="T8704" s="226"/>
      <c r="U8704" s="226"/>
    </row>
    <row r="8705" spans="16:21" x14ac:dyDescent="0.35">
      <c r="P8705" s="226"/>
      <c r="Q8705" s="226"/>
      <c r="R8705" s="226"/>
      <c r="S8705" s="226"/>
      <c r="T8705" s="226"/>
      <c r="U8705" s="226"/>
    </row>
    <row r="8706" spans="16:21" x14ac:dyDescent="0.35">
      <c r="P8706" s="226"/>
      <c r="Q8706" s="226"/>
      <c r="R8706" s="226"/>
      <c r="S8706" s="226"/>
      <c r="T8706" s="226"/>
      <c r="U8706" s="226"/>
    </row>
    <row r="8707" spans="16:21" x14ac:dyDescent="0.35">
      <c r="P8707" s="226"/>
      <c r="Q8707" s="226"/>
      <c r="R8707" s="226"/>
      <c r="S8707" s="226"/>
      <c r="T8707" s="226"/>
      <c r="U8707" s="226"/>
    </row>
    <row r="8708" spans="16:21" x14ac:dyDescent="0.35">
      <c r="P8708" s="226"/>
      <c r="Q8708" s="226"/>
      <c r="R8708" s="226"/>
      <c r="S8708" s="226"/>
      <c r="T8708" s="226"/>
      <c r="U8708" s="226"/>
    </row>
    <row r="8709" spans="16:21" x14ac:dyDescent="0.35">
      <c r="P8709" s="226"/>
      <c r="Q8709" s="226"/>
      <c r="R8709" s="226"/>
      <c r="S8709" s="226"/>
      <c r="T8709" s="226"/>
      <c r="U8709" s="226"/>
    </row>
    <row r="8710" spans="16:21" x14ac:dyDescent="0.35">
      <c r="P8710" s="226"/>
      <c r="Q8710" s="226"/>
      <c r="R8710" s="226"/>
      <c r="S8710" s="226"/>
      <c r="T8710" s="226"/>
      <c r="U8710" s="226"/>
    </row>
    <row r="8711" spans="16:21" x14ac:dyDescent="0.35">
      <c r="P8711" s="226"/>
      <c r="Q8711" s="226"/>
      <c r="R8711" s="226"/>
      <c r="S8711" s="226"/>
      <c r="T8711" s="226"/>
      <c r="U8711" s="226"/>
    </row>
    <row r="8712" spans="16:21" x14ac:dyDescent="0.35">
      <c r="P8712" s="226"/>
      <c r="Q8712" s="226"/>
      <c r="R8712" s="226"/>
      <c r="S8712" s="226"/>
      <c r="T8712" s="226"/>
      <c r="U8712" s="226"/>
    </row>
    <row r="8713" spans="16:21" x14ac:dyDescent="0.35">
      <c r="P8713" s="226"/>
      <c r="Q8713" s="226"/>
      <c r="R8713" s="226"/>
      <c r="S8713" s="226"/>
      <c r="T8713" s="226"/>
      <c r="U8713" s="226"/>
    </row>
    <row r="8714" spans="16:21" x14ac:dyDescent="0.35">
      <c r="P8714" s="226"/>
      <c r="Q8714" s="226"/>
      <c r="R8714" s="226"/>
      <c r="S8714" s="226"/>
      <c r="T8714" s="226"/>
      <c r="U8714" s="226"/>
    </row>
    <row r="8715" spans="16:21" x14ac:dyDescent="0.35">
      <c r="P8715" s="226"/>
      <c r="Q8715" s="226"/>
      <c r="R8715" s="226"/>
      <c r="S8715" s="226"/>
      <c r="T8715" s="226"/>
      <c r="U8715" s="226"/>
    </row>
    <row r="8716" spans="16:21" x14ac:dyDescent="0.35">
      <c r="P8716" s="226"/>
      <c r="Q8716" s="226"/>
      <c r="R8716" s="226"/>
      <c r="S8716" s="226"/>
      <c r="T8716" s="226"/>
      <c r="U8716" s="226"/>
    </row>
    <row r="8717" spans="16:21" x14ac:dyDescent="0.35">
      <c r="P8717" s="226"/>
      <c r="Q8717" s="226"/>
      <c r="R8717" s="226"/>
      <c r="S8717" s="226"/>
      <c r="T8717" s="226"/>
      <c r="U8717" s="226"/>
    </row>
    <row r="8718" spans="16:21" x14ac:dyDescent="0.35">
      <c r="P8718" s="226"/>
      <c r="Q8718" s="226"/>
      <c r="R8718" s="226"/>
      <c r="S8718" s="226"/>
      <c r="T8718" s="226"/>
      <c r="U8718" s="226"/>
    </row>
    <row r="8719" spans="16:21" x14ac:dyDescent="0.35">
      <c r="P8719" s="226"/>
      <c r="Q8719" s="226"/>
      <c r="R8719" s="226"/>
      <c r="S8719" s="226"/>
      <c r="T8719" s="226"/>
      <c r="U8719" s="226"/>
    </row>
    <row r="8720" spans="16:21" x14ac:dyDescent="0.35">
      <c r="P8720" s="226"/>
      <c r="Q8720" s="226"/>
      <c r="R8720" s="226"/>
      <c r="S8720" s="226"/>
      <c r="T8720" s="226"/>
      <c r="U8720" s="226"/>
    </row>
    <row r="8721" spans="16:21" x14ac:dyDescent="0.35">
      <c r="P8721" s="226"/>
      <c r="Q8721" s="226"/>
      <c r="R8721" s="226"/>
      <c r="S8721" s="226"/>
      <c r="T8721" s="226"/>
      <c r="U8721" s="226"/>
    </row>
    <row r="8722" spans="16:21" x14ac:dyDescent="0.35">
      <c r="P8722" s="226"/>
      <c r="Q8722" s="226"/>
      <c r="R8722" s="226"/>
      <c r="S8722" s="226"/>
      <c r="T8722" s="226"/>
      <c r="U8722" s="226"/>
    </row>
    <row r="8723" spans="16:21" x14ac:dyDescent="0.35">
      <c r="P8723" s="226"/>
      <c r="Q8723" s="226"/>
      <c r="R8723" s="226"/>
      <c r="S8723" s="226"/>
      <c r="T8723" s="226"/>
      <c r="U8723" s="226"/>
    </row>
    <row r="8724" spans="16:21" x14ac:dyDescent="0.35">
      <c r="P8724" s="226"/>
      <c r="Q8724" s="226"/>
      <c r="R8724" s="226"/>
      <c r="S8724" s="226"/>
      <c r="T8724" s="226"/>
      <c r="U8724" s="226"/>
    </row>
    <row r="8725" spans="16:21" x14ac:dyDescent="0.35">
      <c r="P8725" s="226"/>
      <c r="Q8725" s="226"/>
      <c r="R8725" s="226"/>
      <c r="S8725" s="226"/>
      <c r="T8725" s="226"/>
      <c r="U8725" s="226"/>
    </row>
    <row r="8726" spans="16:21" x14ac:dyDescent="0.35">
      <c r="P8726" s="226"/>
      <c r="Q8726" s="226"/>
      <c r="R8726" s="226"/>
      <c r="S8726" s="226"/>
      <c r="T8726" s="226"/>
      <c r="U8726" s="226"/>
    </row>
    <row r="8727" spans="16:21" x14ac:dyDescent="0.35">
      <c r="P8727" s="226"/>
      <c r="Q8727" s="226"/>
      <c r="R8727" s="226"/>
      <c r="S8727" s="226"/>
      <c r="T8727" s="226"/>
      <c r="U8727" s="226"/>
    </row>
    <row r="8728" spans="16:21" x14ac:dyDescent="0.35">
      <c r="P8728" s="226"/>
      <c r="Q8728" s="226"/>
      <c r="R8728" s="226"/>
      <c r="S8728" s="226"/>
      <c r="T8728" s="226"/>
      <c r="U8728" s="226"/>
    </row>
    <row r="8729" spans="16:21" x14ac:dyDescent="0.35">
      <c r="P8729" s="226"/>
      <c r="Q8729" s="226"/>
      <c r="R8729" s="226"/>
      <c r="S8729" s="226"/>
      <c r="T8729" s="226"/>
      <c r="U8729" s="226"/>
    </row>
    <row r="8730" spans="16:21" x14ac:dyDescent="0.35">
      <c r="P8730" s="226"/>
      <c r="Q8730" s="226"/>
      <c r="R8730" s="226"/>
      <c r="S8730" s="226"/>
      <c r="T8730" s="226"/>
      <c r="U8730" s="226"/>
    </row>
    <row r="8731" spans="16:21" x14ac:dyDescent="0.35">
      <c r="P8731" s="226"/>
      <c r="Q8731" s="226"/>
      <c r="R8731" s="226"/>
      <c r="S8731" s="226"/>
      <c r="T8731" s="226"/>
      <c r="U8731" s="226"/>
    </row>
    <row r="8732" spans="16:21" x14ac:dyDescent="0.35">
      <c r="P8732" s="226"/>
      <c r="Q8732" s="226"/>
      <c r="R8732" s="226"/>
      <c r="S8732" s="226"/>
      <c r="T8732" s="226"/>
      <c r="U8732" s="226"/>
    </row>
    <row r="8733" spans="16:21" x14ac:dyDescent="0.35">
      <c r="P8733" s="226"/>
      <c r="Q8733" s="226"/>
      <c r="R8733" s="226"/>
      <c r="S8733" s="226"/>
      <c r="T8733" s="226"/>
      <c r="U8733" s="226"/>
    </row>
    <row r="8734" spans="16:21" x14ac:dyDescent="0.35">
      <c r="P8734" s="226"/>
      <c r="Q8734" s="226"/>
      <c r="R8734" s="226"/>
      <c r="S8734" s="226"/>
      <c r="T8734" s="226"/>
      <c r="U8734" s="226"/>
    </row>
    <row r="8735" spans="16:21" x14ac:dyDescent="0.35">
      <c r="P8735" s="226"/>
      <c r="Q8735" s="226"/>
      <c r="R8735" s="226"/>
      <c r="S8735" s="226"/>
      <c r="T8735" s="226"/>
      <c r="U8735" s="226"/>
    </row>
    <row r="8736" spans="16:21" x14ac:dyDescent="0.35">
      <c r="P8736" s="226"/>
      <c r="Q8736" s="226"/>
      <c r="R8736" s="226"/>
      <c r="S8736" s="226"/>
      <c r="T8736" s="226"/>
      <c r="U8736" s="226"/>
    </row>
    <row r="8737" spans="16:21" x14ac:dyDescent="0.35">
      <c r="P8737" s="226"/>
      <c r="Q8737" s="226"/>
      <c r="R8737" s="226"/>
      <c r="S8737" s="226"/>
      <c r="T8737" s="226"/>
      <c r="U8737" s="226"/>
    </row>
    <row r="8738" spans="16:21" x14ac:dyDescent="0.35">
      <c r="P8738" s="226"/>
      <c r="Q8738" s="226"/>
      <c r="R8738" s="226"/>
      <c r="S8738" s="226"/>
      <c r="T8738" s="226"/>
      <c r="U8738" s="226"/>
    </row>
    <row r="8739" spans="16:21" x14ac:dyDescent="0.35">
      <c r="P8739" s="226"/>
      <c r="Q8739" s="226"/>
      <c r="R8739" s="226"/>
      <c r="S8739" s="226"/>
      <c r="T8739" s="226"/>
      <c r="U8739" s="226"/>
    </row>
    <row r="8740" spans="16:21" x14ac:dyDescent="0.35">
      <c r="P8740" s="226"/>
      <c r="Q8740" s="226"/>
      <c r="R8740" s="226"/>
      <c r="S8740" s="226"/>
      <c r="T8740" s="226"/>
      <c r="U8740" s="226"/>
    </row>
    <row r="8741" spans="16:21" x14ac:dyDescent="0.35">
      <c r="P8741" s="226"/>
      <c r="Q8741" s="226"/>
      <c r="R8741" s="226"/>
      <c r="S8741" s="226"/>
      <c r="T8741" s="226"/>
      <c r="U8741" s="226"/>
    </row>
    <row r="8742" spans="16:21" x14ac:dyDescent="0.35">
      <c r="P8742" s="226"/>
      <c r="Q8742" s="226"/>
      <c r="R8742" s="226"/>
      <c r="S8742" s="226"/>
      <c r="T8742" s="226"/>
      <c r="U8742" s="226"/>
    </row>
    <row r="8743" spans="16:21" x14ac:dyDescent="0.35">
      <c r="P8743" s="226"/>
      <c r="Q8743" s="226"/>
      <c r="R8743" s="226"/>
      <c r="S8743" s="226"/>
      <c r="T8743" s="226"/>
      <c r="U8743" s="226"/>
    </row>
    <row r="8744" spans="16:21" x14ac:dyDescent="0.35">
      <c r="P8744" s="226"/>
      <c r="Q8744" s="226"/>
      <c r="R8744" s="226"/>
      <c r="S8744" s="226"/>
      <c r="T8744" s="226"/>
      <c r="U8744" s="226"/>
    </row>
    <row r="8745" spans="16:21" x14ac:dyDescent="0.35">
      <c r="P8745" s="226"/>
      <c r="Q8745" s="226"/>
      <c r="R8745" s="226"/>
      <c r="S8745" s="226"/>
      <c r="T8745" s="226"/>
      <c r="U8745" s="226"/>
    </row>
    <row r="8746" spans="16:21" x14ac:dyDescent="0.35">
      <c r="P8746" s="226"/>
      <c r="Q8746" s="226"/>
      <c r="R8746" s="226"/>
      <c r="S8746" s="226"/>
      <c r="T8746" s="226"/>
      <c r="U8746" s="226"/>
    </row>
    <row r="8747" spans="16:21" x14ac:dyDescent="0.35">
      <c r="P8747" s="226"/>
      <c r="Q8747" s="226"/>
      <c r="R8747" s="226"/>
      <c r="S8747" s="226"/>
      <c r="T8747" s="226"/>
      <c r="U8747" s="226"/>
    </row>
    <row r="8748" spans="16:21" x14ac:dyDescent="0.35">
      <c r="P8748" s="226"/>
      <c r="Q8748" s="226"/>
      <c r="R8748" s="226"/>
      <c r="S8748" s="226"/>
      <c r="T8748" s="226"/>
      <c r="U8748" s="226"/>
    </row>
    <row r="8749" spans="16:21" x14ac:dyDescent="0.35">
      <c r="P8749" s="226"/>
      <c r="Q8749" s="226"/>
      <c r="R8749" s="226"/>
      <c r="S8749" s="226"/>
      <c r="T8749" s="226"/>
      <c r="U8749" s="226"/>
    </row>
    <row r="8750" spans="16:21" x14ac:dyDescent="0.35">
      <c r="P8750" s="226"/>
      <c r="Q8750" s="226"/>
      <c r="R8750" s="226"/>
      <c r="S8750" s="226"/>
      <c r="T8750" s="226"/>
      <c r="U8750" s="226"/>
    </row>
    <row r="8751" spans="16:21" x14ac:dyDescent="0.35">
      <c r="P8751" s="226"/>
      <c r="Q8751" s="226"/>
      <c r="R8751" s="226"/>
      <c r="S8751" s="226"/>
      <c r="T8751" s="226"/>
      <c r="U8751" s="226"/>
    </row>
    <row r="8752" spans="16:21" x14ac:dyDescent="0.35">
      <c r="P8752" s="226"/>
      <c r="Q8752" s="226"/>
      <c r="R8752" s="226"/>
      <c r="S8752" s="226"/>
      <c r="T8752" s="226"/>
      <c r="U8752" s="226"/>
    </row>
    <row r="8753" spans="16:21" x14ac:dyDescent="0.35">
      <c r="P8753" s="226"/>
      <c r="Q8753" s="226"/>
      <c r="R8753" s="226"/>
      <c r="S8753" s="226"/>
      <c r="T8753" s="226"/>
      <c r="U8753" s="226"/>
    </row>
    <row r="8754" spans="16:21" x14ac:dyDescent="0.35">
      <c r="P8754" s="226"/>
      <c r="Q8754" s="226"/>
      <c r="R8754" s="226"/>
      <c r="S8754" s="226"/>
      <c r="T8754" s="226"/>
      <c r="U8754" s="226"/>
    </row>
    <row r="8755" spans="16:21" x14ac:dyDescent="0.35">
      <c r="P8755" s="226"/>
      <c r="Q8755" s="226"/>
      <c r="R8755" s="226"/>
      <c r="S8755" s="226"/>
      <c r="T8755" s="226"/>
      <c r="U8755" s="226"/>
    </row>
    <row r="8756" spans="16:21" x14ac:dyDescent="0.35">
      <c r="P8756" s="226"/>
      <c r="Q8756" s="226"/>
      <c r="R8756" s="226"/>
      <c r="S8756" s="226"/>
      <c r="T8756" s="226"/>
      <c r="U8756" s="226"/>
    </row>
    <row r="8757" spans="16:21" x14ac:dyDescent="0.35">
      <c r="P8757" s="226"/>
      <c r="Q8757" s="226"/>
      <c r="R8757" s="226"/>
      <c r="S8757" s="226"/>
      <c r="T8757" s="226"/>
      <c r="U8757" s="226"/>
    </row>
    <row r="8758" spans="16:21" x14ac:dyDescent="0.35">
      <c r="P8758" s="226"/>
      <c r="Q8758" s="226"/>
      <c r="R8758" s="226"/>
      <c r="S8758" s="226"/>
      <c r="T8758" s="226"/>
      <c r="U8758" s="226"/>
    </row>
    <row r="8759" spans="16:21" x14ac:dyDescent="0.35">
      <c r="P8759" s="226"/>
      <c r="Q8759" s="226"/>
      <c r="R8759" s="226"/>
      <c r="S8759" s="226"/>
      <c r="T8759" s="226"/>
      <c r="U8759" s="226"/>
    </row>
    <row r="8760" spans="16:21" x14ac:dyDescent="0.35">
      <c r="P8760" s="226"/>
      <c r="Q8760" s="226"/>
      <c r="R8760" s="226"/>
      <c r="S8760" s="226"/>
      <c r="T8760" s="226"/>
      <c r="U8760" s="226"/>
    </row>
    <row r="8761" spans="16:21" x14ac:dyDescent="0.35">
      <c r="P8761" s="226"/>
      <c r="Q8761" s="226"/>
      <c r="R8761" s="226"/>
      <c r="S8761" s="226"/>
      <c r="T8761" s="226"/>
      <c r="U8761" s="226"/>
    </row>
    <row r="8762" spans="16:21" x14ac:dyDescent="0.35">
      <c r="P8762" s="226"/>
      <c r="Q8762" s="226"/>
      <c r="R8762" s="226"/>
      <c r="S8762" s="226"/>
      <c r="T8762" s="226"/>
      <c r="U8762" s="226"/>
    </row>
    <row r="8763" spans="16:21" x14ac:dyDescent="0.35">
      <c r="P8763" s="226"/>
      <c r="Q8763" s="226"/>
      <c r="R8763" s="226"/>
      <c r="S8763" s="226"/>
      <c r="T8763" s="226"/>
      <c r="U8763" s="226"/>
    </row>
    <row r="8764" spans="16:21" x14ac:dyDescent="0.35">
      <c r="P8764" s="226"/>
      <c r="Q8764" s="226"/>
      <c r="R8764" s="226"/>
      <c r="S8764" s="226"/>
      <c r="T8764" s="226"/>
      <c r="U8764" s="226"/>
    </row>
    <row r="8765" spans="16:21" x14ac:dyDescent="0.35">
      <c r="P8765" s="226"/>
      <c r="Q8765" s="226"/>
      <c r="R8765" s="226"/>
      <c r="S8765" s="226"/>
      <c r="T8765" s="226"/>
      <c r="U8765" s="226"/>
    </row>
    <row r="8766" spans="16:21" x14ac:dyDescent="0.35">
      <c r="P8766" s="226"/>
      <c r="Q8766" s="226"/>
      <c r="R8766" s="226"/>
      <c r="S8766" s="226"/>
      <c r="T8766" s="226"/>
      <c r="U8766" s="226"/>
    </row>
    <row r="8767" spans="16:21" x14ac:dyDescent="0.35">
      <c r="P8767" s="226"/>
      <c r="Q8767" s="226"/>
      <c r="R8767" s="226"/>
      <c r="S8767" s="226"/>
      <c r="T8767" s="226"/>
      <c r="U8767" s="226"/>
    </row>
    <row r="8768" spans="16:21" x14ac:dyDescent="0.35">
      <c r="P8768" s="226"/>
      <c r="Q8768" s="226"/>
      <c r="R8768" s="226"/>
      <c r="S8768" s="226"/>
      <c r="T8768" s="226"/>
      <c r="U8768" s="226"/>
    </row>
    <row r="8769" spans="16:21" x14ac:dyDescent="0.35">
      <c r="P8769" s="226"/>
      <c r="Q8769" s="226"/>
      <c r="R8769" s="226"/>
      <c r="S8769" s="226"/>
      <c r="T8769" s="226"/>
      <c r="U8769" s="226"/>
    </row>
    <row r="8770" spans="16:21" x14ac:dyDescent="0.35">
      <c r="P8770" s="226"/>
      <c r="Q8770" s="226"/>
      <c r="R8770" s="226"/>
      <c r="S8770" s="226"/>
      <c r="T8770" s="226"/>
      <c r="U8770" s="226"/>
    </row>
    <row r="8771" spans="16:21" x14ac:dyDescent="0.35">
      <c r="P8771" s="226"/>
      <c r="Q8771" s="226"/>
      <c r="R8771" s="226"/>
      <c r="S8771" s="226"/>
      <c r="T8771" s="226"/>
      <c r="U8771" s="226"/>
    </row>
    <row r="8772" spans="16:21" x14ac:dyDescent="0.35">
      <c r="P8772" s="226"/>
      <c r="Q8772" s="226"/>
      <c r="R8772" s="226"/>
      <c r="S8772" s="226"/>
      <c r="T8772" s="226"/>
      <c r="U8772" s="226"/>
    </row>
    <row r="8773" spans="16:21" x14ac:dyDescent="0.35">
      <c r="P8773" s="226"/>
      <c r="Q8773" s="226"/>
      <c r="R8773" s="226"/>
      <c r="S8773" s="226"/>
      <c r="T8773" s="226"/>
      <c r="U8773" s="226"/>
    </row>
    <row r="8774" spans="16:21" x14ac:dyDescent="0.35">
      <c r="P8774" s="226"/>
      <c r="Q8774" s="226"/>
      <c r="R8774" s="226"/>
      <c r="S8774" s="226"/>
      <c r="T8774" s="226"/>
      <c r="U8774" s="226"/>
    </row>
    <row r="8775" spans="16:21" x14ac:dyDescent="0.35">
      <c r="P8775" s="226"/>
      <c r="Q8775" s="226"/>
      <c r="R8775" s="226"/>
      <c r="S8775" s="226"/>
      <c r="T8775" s="226"/>
      <c r="U8775" s="226"/>
    </row>
    <row r="8776" spans="16:21" x14ac:dyDescent="0.35">
      <c r="P8776" s="226"/>
      <c r="Q8776" s="226"/>
      <c r="R8776" s="226"/>
      <c r="S8776" s="226"/>
      <c r="T8776" s="226"/>
      <c r="U8776" s="226"/>
    </row>
    <row r="8777" spans="16:21" x14ac:dyDescent="0.35">
      <c r="P8777" s="226"/>
      <c r="Q8777" s="226"/>
      <c r="R8777" s="226"/>
      <c r="S8777" s="226"/>
      <c r="T8777" s="226"/>
      <c r="U8777" s="226"/>
    </row>
    <row r="8778" spans="16:21" x14ac:dyDescent="0.35">
      <c r="P8778" s="226"/>
      <c r="Q8778" s="226"/>
      <c r="R8778" s="226"/>
      <c r="S8778" s="226"/>
      <c r="T8778" s="226"/>
      <c r="U8778" s="226"/>
    </row>
    <row r="8779" spans="16:21" x14ac:dyDescent="0.35">
      <c r="P8779" s="226"/>
      <c r="Q8779" s="226"/>
      <c r="R8779" s="226"/>
      <c r="S8779" s="226"/>
      <c r="T8779" s="226"/>
      <c r="U8779" s="226"/>
    </row>
    <row r="8780" spans="16:21" x14ac:dyDescent="0.35">
      <c r="P8780" s="226"/>
      <c r="Q8780" s="226"/>
      <c r="R8780" s="226"/>
      <c r="S8780" s="226"/>
      <c r="T8780" s="226"/>
      <c r="U8780" s="226"/>
    </row>
    <row r="8781" spans="16:21" x14ac:dyDescent="0.35">
      <c r="P8781" s="226"/>
      <c r="Q8781" s="226"/>
      <c r="R8781" s="226"/>
      <c r="S8781" s="226"/>
      <c r="T8781" s="226"/>
      <c r="U8781" s="226"/>
    </row>
    <row r="8782" spans="16:21" x14ac:dyDescent="0.35">
      <c r="P8782" s="226"/>
      <c r="Q8782" s="226"/>
      <c r="R8782" s="226"/>
      <c r="S8782" s="226"/>
      <c r="T8782" s="226"/>
      <c r="U8782" s="226"/>
    </row>
    <row r="8783" spans="16:21" x14ac:dyDescent="0.35">
      <c r="P8783" s="226"/>
      <c r="Q8783" s="226"/>
      <c r="R8783" s="226"/>
      <c r="S8783" s="226"/>
      <c r="T8783" s="226"/>
      <c r="U8783" s="226"/>
    </row>
    <row r="8784" spans="16:21" x14ac:dyDescent="0.35">
      <c r="P8784" s="226"/>
      <c r="Q8784" s="226"/>
      <c r="R8784" s="226"/>
      <c r="S8784" s="226"/>
      <c r="T8784" s="226"/>
      <c r="U8784" s="226"/>
    </row>
    <row r="8785" spans="16:21" x14ac:dyDescent="0.35">
      <c r="P8785" s="226"/>
      <c r="Q8785" s="226"/>
      <c r="R8785" s="226"/>
      <c r="S8785" s="226"/>
      <c r="T8785" s="226"/>
      <c r="U8785" s="226"/>
    </row>
    <row r="8786" spans="16:21" x14ac:dyDescent="0.35">
      <c r="P8786" s="226"/>
      <c r="Q8786" s="226"/>
      <c r="R8786" s="226"/>
      <c r="S8786" s="226"/>
      <c r="T8786" s="226"/>
      <c r="U8786" s="226"/>
    </row>
    <row r="8787" spans="16:21" x14ac:dyDescent="0.35">
      <c r="P8787" s="226"/>
      <c r="Q8787" s="226"/>
      <c r="R8787" s="226"/>
      <c r="S8787" s="226"/>
      <c r="T8787" s="226"/>
      <c r="U8787" s="226"/>
    </row>
    <row r="8788" spans="16:21" x14ac:dyDescent="0.35">
      <c r="P8788" s="226"/>
      <c r="Q8788" s="226"/>
      <c r="R8788" s="226"/>
      <c r="S8788" s="226"/>
      <c r="T8788" s="226"/>
      <c r="U8788" s="226"/>
    </row>
    <row r="8789" spans="16:21" x14ac:dyDescent="0.35">
      <c r="P8789" s="226"/>
      <c r="Q8789" s="226"/>
      <c r="R8789" s="226"/>
      <c r="S8789" s="226"/>
      <c r="T8789" s="226"/>
      <c r="U8789" s="226"/>
    </row>
    <row r="8790" spans="16:21" x14ac:dyDescent="0.35">
      <c r="P8790" s="226"/>
      <c r="Q8790" s="226"/>
      <c r="R8790" s="226"/>
      <c r="S8790" s="226"/>
      <c r="T8790" s="226"/>
      <c r="U8790" s="226"/>
    </row>
    <row r="8791" spans="16:21" x14ac:dyDescent="0.35">
      <c r="P8791" s="226"/>
      <c r="Q8791" s="226"/>
      <c r="R8791" s="226"/>
      <c r="S8791" s="226"/>
      <c r="T8791" s="226"/>
      <c r="U8791" s="226"/>
    </row>
    <row r="8792" spans="16:21" x14ac:dyDescent="0.35">
      <c r="P8792" s="226"/>
      <c r="Q8792" s="226"/>
      <c r="R8792" s="226"/>
      <c r="S8792" s="226"/>
      <c r="T8792" s="226"/>
      <c r="U8792" s="226"/>
    </row>
    <row r="8793" spans="16:21" x14ac:dyDescent="0.35">
      <c r="P8793" s="226"/>
      <c r="Q8793" s="226"/>
      <c r="R8793" s="226"/>
      <c r="S8793" s="226"/>
      <c r="T8793" s="226"/>
      <c r="U8793" s="226"/>
    </row>
    <row r="8794" spans="16:21" x14ac:dyDescent="0.35">
      <c r="P8794" s="226"/>
      <c r="Q8794" s="226"/>
      <c r="R8794" s="226"/>
      <c r="S8794" s="226"/>
      <c r="T8794" s="226"/>
      <c r="U8794" s="226"/>
    </row>
    <row r="8795" spans="16:21" x14ac:dyDescent="0.35">
      <c r="P8795" s="226"/>
      <c r="Q8795" s="226"/>
      <c r="R8795" s="226"/>
      <c r="S8795" s="226"/>
      <c r="T8795" s="226"/>
      <c r="U8795" s="226"/>
    </row>
    <row r="8796" spans="16:21" x14ac:dyDescent="0.35">
      <c r="P8796" s="226"/>
      <c r="Q8796" s="226"/>
      <c r="R8796" s="226"/>
      <c r="S8796" s="226"/>
      <c r="T8796" s="226"/>
      <c r="U8796" s="226"/>
    </row>
    <row r="8797" spans="16:21" x14ac:dyDescent="0.35">
      <c r="P8797" s="226"/>
      <c r="Q8797" s="226"/>
      <c r="R8797" s="226"/>
      <c r="S8797" s="226"/>
      <c r="T8797" s="226"/>
      <c r="U8797" s="226"/>
    </row>
    <row r="8798" spans="16:21" x14ac:dyDescent="0.35">
      <c r="P8798" s="226"/>
      <c r="Q8798" s="226"/>
      <c r="R8798" s="226"/>
      <c r="S8798" s="226"/>
      <c r="T8798" s="226"/>
      <c r="U8798" s="226"/>
    </row>
    <row r="8799" spans="16:21" x14ac:dyDescent="0.35">
      <c r="P8799" s="226"/>
      <c r="Q8799" s="226"/>
      <c r="R8799" s="226"/>
      <c r="S8799" s="226"/>
      <c r="T8799" s="226"/>
      <c r="U8799" s="226"/>
    </row>
    <row r="8800" spans="16:21" x14ac:dyDescent="0.35">
      <c r="P8800" s="226"/>
      <c r="Q8800" s="226"/>
      <c r="R8800" s="226"/>
      <c r="S8800" s="226"/>
      <c r="T8800" s="226"/>
      <c r="U8800" s="226"/>
    </row>
    <row r="8801" spans="16:21" x14ac:dyDescent="0.35">
      <c r="P8801" s="226"/>
      <c r="Q8801" s="226"/>
      <c r="R8801" s="226"/>
      <c r="S8801" s="226"/>
      <c r="T8801" s="226"/>
      <c r="U8801" s="226"/>
    </row>
    <row r="8802" spans="16:21" x14ac:dyDescent="0.35">
      <c r="P8802" s="226"/>
      <c r="Q8802" s="226"/>
      <c r="R8802" s="226"/>
      <c r="S8802" s="226"/>
      <c r="T8802" s="226"/>
      <c r="U8802" s="226"/>
    </row>
    <row r="8803" spans="16:21" x14ac:dyDescent="0.35">
      <c r="P8803" s="226"/>
      <c r="Q8803" s="226"/>
      <c r="R8803" s="226"/>
      <c r="S8803" s="226"/>
      <c r="T8803" s="226"/>
      <c r="U8803" s="226"/>
    </row>
    <row r="8804" spans="16:21" x14ac:dyDescent="0.35">
      <c r="P8804" s="226"/>
      <c r="Q8804" s="226"/>
      <c r="R8804" s="226"/>
      <c r="S8804" s="226"/>
      <c r="T8804" s="226"/>
      <c r="U8804" s="226"/>
    </row>
    <row r="8805" spans="16:21" x14ac:dyDescent="0.35">
      <c r="P8805" s="226"/>
      <c r="Q8805" s="226"/>
      <c r="R8805" s="226"/>
      <c r="S8805" s="226"/>
      <c r="T8805" s="226"/>
      <c r="U8805" s="226"/>
    </row>
    <row r="8806" spans="16:21" x14ac:dyDescent="0.35">
      <c r="P8806" s="226"/>
      <c r="Q8806" s="226"/>
      <c r="R8806" s="226"/>
      <c r="S8806" s="226"/>
      <c r="T8806" s="226"/>
      <c r="U8806" s="226"/>
    </row>
    <row r="8807" spans="16:21" x14ac:dyDescent="0.35">
      <c r="P8807" s="226"/>
      <c r="Q8807" s="226"/>
      <c r="R8807" s="226"/>
      <c r="S8807" s="226"/>
      <c r="T8807" s="226"/>
      <c r="U8807" s="226"/>
    </row>
    <row r="8808" spans="16:21" x14ac:dyDescent="0.35">
      <c r="P8808" s="226"/>
      <c r="Q8808" s="226"/>
      <c r="R8808" s="226"/>
      <c r="S8808" s="226"/>
      <c r="T8808" s="226"/>
      <c r="U8808" s="226"/>
    </row>
    <row r="8809" spans="16:21" x14ac:dyDescent="0.35">
      <c r="P8809" s="226"/>
      <c r="Q8809" s="226"/>
      <c r="R8809" s="226"/>
      <c r="S8809" s="226"/>
      <c r="T8809" s="226"/>
      <c r="U8809" s="226"/>
    </row>
    <row r="8810" spans="16:21" x14ac:dyDescent="0.35">
      <c r="P8810" s="226"/>
      <c r="Q8810" s="226"/>
      <c r="R8810" s="226"/>
      <c r="S8810" s="226"/>
      <c r="T8810" s="226"/>
      <c r="U8810" s="226"/>
    </row>
    <row r="8811" spans="16:21" x14ac:dyDescent="0.35">
      <c r="P8811" s="226"/>
      <c r="Q8811" s="226"/>
      <c r="R8811" s="226"/>
      <c r="S8811" s="226"/>
      <c r="T8811" s="226"/>
      <c r="U8811" s="226"/>
    </row>
    <row r="8812" spans="16:21" x14ac:dyDescent="0.35">
      <c r="P8812" s="226"/>
      <c r="Q8812" s="226"/>
      <c r="R8812" s="226"/>
      <c r="S8812" s="226"/>
      <c r="T8812" s="226"/>
      <c r="U8812" s="226"/>
    </row>
    <row r="8813" spans="16:21" x14ac:dyDescent="0.35">
      <c r="P8813" s="226"/>
      <c r="Q8813" s="226"/>
      <c r="R8813" s="226"/>
      <c r="S8813" s="226"/>
      <c r="T8813" s="226"/>
      <c r="U8813" s="226"/>
    </row>
    <row r="8814" spans="16:21" x14ac:dyDescent="0.35">
      <c r="P8814" s="226"/>
      <c r="Q8814" s="226"/>
      <c r="R8814" s="226"/>
      <c r="S8814" s="226"/>
      <c r="T8814" s="226"/>
      <c r="U8814" s="226"/>
    </row>
    <row r="8815" spans="16:21" x14ac:dyDescent="0.35">
      <c r="P8815" s="226"/>
      <c r="Q8815" s="226"/>
      <c r="R8815" s="226"/>
      <c r="S8815" s="226"/>
      <c r="T8815" s="226"/>
      <c r="U8815" s="226"/>
    </row>
    <row r="8816" spans="16:21" x14ac:dyDescent="0.35">
      <c r="P8816" s="226"/>
      <c r="Q8816" s="226"/>
      <c r="R8816" s="226"/>
      <c r="S8816" s="226"/>
      <c r="T8816" s="226"/>
      <c r="U8816" s="226"/>
    </row>
    <row r="8817" spans="16:21" x14ac:dyDescent="0.35">
      <c r="P8817" s="226"/>
      <c r="Q8817" s="226"/>
      <c r="R8817" s="226"/>
      <c r="S8817" s="226"/>
      <c r="T8817" s="226"/>
      <c r="U8817" s="226"/>
    </row>
    <row r="8818" spans="16:21" x14ac:dyDescent="0.35">
      <c r="P8818" s="226"/>
      <c r="Q8818" s="226"/>
      <c r="R8818" s="226"/>
      <c r="S8818" s="226"/>
      <c r="T8818" s="226"/>
      <c r="U8818" s="226"/>
    </row>
    <row r="8819" spans="16:21" x14ac:dyDescent="0.35">
      <c r="P8819" s="226"/>
      <c r="Q8819" s="226"/>
      <c r="R8819" s="226"/>
      <c r="S8819" s="226"/>
      <c r="T8819" s="226"/>
      <c r="U8819" s="226"/>
    </row>
    <row r="8820" spans="16:21" x14ac:dyDescent="0.35">
      <c r="P8820" s="226"/>
      <c r="Q8820" s="226"/>
      <c r="R8820" s="226"/>
      <c r="S8820" s="226"/>
      <c r="T8820" s="226"/>
      <c r="U8820" s="226"/>
    </row>
    <row r="8821" spans="16:21" x14ac:dyDescent="0.35">
      <c r="P8821" s="226"/>
      <c r="Q8821" s="226"/>
      <c r="R8821" s="226"/>
      <c r="S8821" s="226"/>
      <c r="T8821" s="226"/>
      <c r="U8821" s="226"/>
    </row>
    <row r="8822" spans="16:21" x14ac:dyDescent="0.35">
      <c r="P8822" s="226"/>
      <c r="Q8822" s="226"/>
      <c r="R8822" s="226"/>
      <c r="S8822" s="226"/>
      <c r="T8822" s="226"/>
      <c r="U8822" s="226"/>
    </row>
    <row r="8823" spans="16:21" x14ac:dyDescent="0.35">
      <c r="P8823" s="226"/>
      <c r="Q8823" s="226"/>
      <c r="R8823" s="226"/>
      <c r="S8823" s="226"/>
      <c r="T8823" s="226"/>
      <c r="U8823" s="226"/>
    </row>
    <row r="8824" spans="16:21" x14ac:dyDescent="0.35">
      <c r="P8824" s="226"/>
      <c r="Q8824" s="226"/>
      <c r="R8824" s="226"/>
      <c r="S8824" s="226"/>
      <c r="T8824" s="226"/>
      <c r="U8824" s="226"/>
    </row>
    <row r="8825" spans="16:21" x14ac:dyDescent="0.35">
      <c r="P8825" s="226"/>
      <c r="Q8825" s="226"/>
      <c r="R8825" s="226"/>
      <c r="S8825" s="226"/>
      <c r="T8825" s="226"/>
      <c r="U8825" s="226"/>
    </row>
    <row r="8826" spans="16:21" x14ac:dyDescent="0.35">
      <c r="P8826" s="226"/>
      <c r="Q8826" s="226"/>
      <c r="R8826" s="226"/>
      <c r="S8826" s="226"/>
      <c r="T8826" s="226"/>
      <c r="U8826" s="226"/>
    </row>
    <row r="8827" spans="16:21" x14ac:dyDescent="0.35">
      <c r="P8827" s="226"/>
      <c r="Q8827" s="226"/>
      <c r="R8827" s="226"/>
      <c r="S8827" s="226"/>
      <c r="T8827" s="226"/>
      <c r="U8827" s="226"/>
    </row>
    <row r="8828" spans="16:21" x14ac:dyDescent="0.35">
      <c r="P8828" s="226"/>
      <c r="Q8828" s="226"/>
      <c r="R8828" s="226"/>
      <c r="S8828" s="226"/>
      <c r="T8828" s="226"/>
      <c r="U8828" s="226"/>
    </row>
    <row r="8829" spans="16:21" x14ac:dyDescent="0.35">
      <c r="P8829" s="226"/>
      <c r="Q8829" s="226"/>
      <c r="R8829" s="226"/>
      <c r="S8829" s="226"/>
      <c r="T8829" s="226"/>
      <c r="U8829" s="226"/>
    </row>
    <row r="8830" spans="16:21" x14ac:dyDescent="0.35">
      <c r="P8830" s="226"/>
      <c r="Q8830" s="226"/>
      <c r="R8830" s="226"/>
      <c r="S8830" s="226"/>
      <c r="T8830" s="226"/>
      <c r="U8830" s="226"/>
    </row>
    <row r="8831" spans="16:21" x14ac:dyDescent="0.35">
      <c r="P8831" s="226"/>
      <c r="Q8831" s="226"/>
      <c r="R8831" s="226"/>
      <c r="S8831" s="226"/>
      <c r="T8831" s="226"/>
      <c r="U8831" s="226"/>
    </row>
    <row r="8832" spans="16:21" x14ac:dyDescent="0.35">
      <c r="P8832" s="226"/>
      <c r="Q8832" s="226"/>
      <c r="R8832" s="226"/>
      <c r="S8832" s="226"/>
      <c r="T8832" s="226"/>
      <c r="U8832" s="226"/>
    </row>
    <row r="8833" spans="16:21" x14ac:dyDescent="0.35">
      <c r="P8833" s="226"/>
      <c r="Q8833" s="226"/>
      <c r="R8833" s="226"/>
      <c r="S8833" s="226"/>
      <c r="T8833" s="226"/>
      <c r="U8833" s="226"/>
    </row>
    <row r="8834" spans="16:21" x14ac:dyDescent="0.35">
      <c r="P8834" s="226"/>
      <c r="Q8834" s="226"/>
      <c r="R8834" s="226"/>
      <c r="S8834" s="226"/>
      <c r="T8834" s="226"/>
      <c r="U8834" s="226"/>
    </row>
    <row r="8835" spans="16:21" x14ac:dyDescent="0.35">
      <c r="P8835" s="226"/>
      <c r="Q8835" s="226"/>
      <c r="R8835" s="226"/>
      <c r="S8835" s="226"/>
      <c r="T8835" s="226"/>
      <c r="U8835" s="226"/>
    </row>
    <row r="8836" spans="16:21" x14ac:dyDescent="0.35">
      <c r="P8836" s="226"/>
      <c r="Q8836" s="226"/>
      <c r="R8836" s="226"/>
      <c r="S8836" s="226"/>
      <c r="T8836" s="226"/>
      <c r="U8836" s="226"/>
    </row>
    <row r="8837" spans="16:21" x14ac:dyDescent="0.35">
      <c r="P8837" s="226"/>
      <c r="Q8837" s="226"/>
      <c r="R8837" s="226"/>
      <c r="S8837" s="226"/>
      <c r="T8837" s="226"/>
      <c r="U8837" s="226"/>
    </row>
    <row r="8838" spans="16:21" x14ac:dyDescent="0.35">
      <c r="P8838" s="226"/>
      <c r="Q8838" s="226"/>
      <c r="R8838" s="226"/>
      <c r="S8838" s="226"/>
      <c r="T8838" s="226"/>
      <c r="U8838" s="226"/>
    </row>
    <row r="8839" spans="16:21" x14ac:dyDescent="0.35">
      <c r="P8839" s="226"/>
      <c r="Q8839" s="226"/>
      <c r="R8839" s="226"/>
      <c r="S8839" s="226"/>
      <c r="T8839" s="226"/>
      <c r="U8839" s="226"/>
    </row>
    <row r="8840" spans="16:21" x14ac:dyDescent="0.35">
      <c r="P8840" s="226"/>
      <c r="Q8840" s="226"/>
      <c r="R8840" s="226"/>
      <c r="S8840" s="226"/>
      <c r="T8840" s="226"/>
      <c r="U8840" s="226"/>
    </row>
    <row r="8841" spans="16:21" x14ac:dyDescent="0.35">
      <c r="P8841" s="226"/>
      <c r="Q8841" s="226"/>
      <c r="R8841" s="226"/>
      <c r="S8841" s="226"/>
      <c r="T8841" s="226"/>
      <c r="U8841" s="226"/>
    </row>
    <row r="8842" spans="16:21" x14ac:dyDescent="0.35">
      <c r="P8842" s="226"/>
      <c r="Q8842" s="226"/>
      <c r="R8842" s="226"/>
      <c r="S8842" s="226"/>
      <c r="T8842" s="226"/>
      <c r="U8842" s="226"/>
    </row>
    <row r="8843" spans="16:21" x14ac:dyDescent="0.35">
      <c r="P8843" s="226"/>
      <c r="Q8843" s="226"/>
      <c r="R8843" s="226"/>
      <c r="S8843" s="226"/>
      <c r="T8843" s="226"/>
      <c r="U8843" s="226"/>
    </row>
    <row r="8844" spans="16:21" x14ac:dyDescent="0.35">
      <c r="P8844" s="226"/>
      <c r="Q8844" s="226"/>
      <c r="R8844" s="226"/>
      <c r="S8844" s="226"/>
      <c r="T8844" s="226"/>
      <c r="U8844" s="226"/>
    </row>
    <row r="8845" spans="16:21" x14ac:dyDescent="0.35">
      <c r="P8845" s="226"/>
      <c r="Q8845" s="226"/>
      <c r="R8845" s="226"/>
      <c r="S8845" s="226"/>
      <c r="T8845" s="226"/>
      <c r="U8845" s="226"/>
    </row>
    <row r="8846" spans="16:21" x14ac:dyDescent="0.35">
      <c r="P8846" s="226"/>
      <c r="Q8846" s="226"/>
      <c r="R8846" s="226"/>
      <c r="S8846" s="226"/>
      <c r="T8846" s="226"/>
      <c r="U8846" s="226"/>
    </row>
    <row r="8847" spans="16:21" x14ac:dyDescent="0.35">
      <c r="P8847" s="226"/>
      <c r="Q8847" s="226"/>
      <c r="R8847" s="226"/>
      <c r="S8847" s="226"/>
      <c r="T8847" s="226"/>
      <c r="U8847" s="226"/>
    </row>
    <row r="8848" spans="16:21" x14ac:dyDescent="0.35">
      <c r="P8848" s="226"/>
      <c r="Q8848" s="226"/>
      <c r="R8848" s="226"/>
      <c r="S8848" s="226"/>
      <c r="T8848" s="226"/>
      <c r="U8848" s="226"/>
    </row>
    <row r="8849" spans="16:21" x14ac:dyDescent="0.35">
      <c r="P8849" s="226"/>
      <c r="Q8849" s="226"/>
      <c r="R8849" s="226"/>
      <c r="S8849" s="226"/>
      <c r="T8849" s="226"/>
      <c r="U8849" s="226"/>
    </row>
    <row r="8850" spans="16:21" x14ac:dyDescent="0.35">
      <c r="P8850" s="226"/>
      <c r="Q8850" s="226"/>
      <c r="R8850" s="226"/>
      <c r="S8850" s="226"/>
      <c r="T8850" s="226"/>
      <c r="U8850" s="226"/>
    </row>
    <row r="8851" spans="16:21" x14ac:dyDescent="0.35">
      <c r="P8851" s="226"/>
      <c r="Q8851" s="226"/>
      <c r="R8851" s="226"/>
      <c r="S8851" s="226"/>
      <c r="T8851" s="226"/>
      <c r="U8851" s="226"/>
    </row>
    <row r="8852" spans="16:21" x14ac:dyDescent="0.35">
      <c r="P8852" s="226"/>
      <c r="Q8852" s="226"/>
      <c r="R8852" s="226"/>
      <c r="S8852" s="226"/>
      <c r="T8852" s="226"/>
      <c r="U8852" s="226"/>
    </row>
    <row r="8853" spans="16:21" x14ac:dyDescent="0.35">
      <c r="P8853" s="226"/>
      <c r="Q8853" s="226"/>
      <c r="R8853" s="226"/>
      <c r="S8853" s="226"/>
      <c r="T8853" s="226"/>
      <c r="U8853" s="226"/>
    </row>
    <row r="8854" spans="16:21" x14ac:dyDescent="0.35">
      <c r="P8854" s="226"/>
      <c r="Q8854" s="226"/>
      <c r="R8854" s="226"/>
      <c r="S8854" s="226"/>
      <c r="T8854" s="226"/>
      <c r="U8854" s="226"/>
    </row>
    <row r="8855" spans="16:21" x14ac:dyDescent="0.35">
      <c r="P8855" s="226"/>
      <c r="Q8855" s="226"/>
      <c r="R8855" s="226"/>
      <c r="S8855" s="226"/>
      <c r="T8855" s="226"/>
      <c r="U8855" s="226"/>
    </row>
    <row r="8856" spans="16:21" x14ac:dyDescent="0.35">
      <c r="P8856" s="226"/>
      <c r="Q8856" s="226"/>
      <c r="R8856" s="226"/>
      <c r="S8856" s="226"/>
      <c r="T8856" s="226"/>
      <c r="U8856" s="226"/>
    </row>
    <row r="8857" spans="16:21" x14ac:dyDescent="0.35">
      <c r="P8857" s="226"/>
      <c r="Q8857" s="226"/>
      <c r="R8857" s="226"/>
      <c r="S8857" s="226"/>
      <c r="T8857" s="226"/>
      <c r="U8857" s="226"/>
    </row>
    <row r="8858" spans="16:21" x14ac:dyDescent="0.35">
      <c r="P8858" s="226"/>
      <c r="Q8858" s="226"/>
      <c r="R8858" s="226"/>
      <c r="S8858" s="226"/>
      <c r="T8858" s="226"/>
      <c r="U8858" s="226"/>
    </row>
    <row r="8859" spans="16:21" x14ac:dyDescent="0.35">
      <c r="P8859" s="226"/>
      <c r="Q8859" s="226"/>
      <c r="R8859" s="226"/>
      <c r="S8859" s="226"/>
      <c r="T8859" s="226"/>
      <c r="U8859" s="226"/>
    </row>
    <row r="8860" spans="16:21" x14ac:dyDescent="0.35">
      <c r="P8860" s="226"/>
      <c r="Q8860" s="226"/>
      <c r="R8860" s="226"/>
      <c r="S8860" s="226"/>
      <c r="T8860" s="226"/>
      <c r="U8860" s="226"/>
    </row>
    <row r="8861" spans="16:21" x14ac:dyDescent="0.35">
      <c r="P8861" s="226"/>
      <c r="Q8861" s="226"/>
      <c r="R8861" s="226"/>
      <c r="S8861" s="226"/>
      <c r="T8861" s="226"/>
      <c r="U8861" s="226"/>
    </row>
    <row r="8862" spans="16:21" x14ac:dyDescent="0.35">
      <c r="P8862" s="226"/>
      <c r="Q8862" s="226"/>
      <c r="R8862" s="226"/>
      <c r="S8862" s="226"/>
      <c r="T8862" s="226"/>
      <c r="U8862" s="226"/>
    </row>
    <row r="8863" spans="16:21" x14ac:dyDescent="0.35">
      <c r="P8863" s="226"/>
      <c r="Q8863" s="226"/>
      <c r="R8863" s="226"/>
      <c r="S8863" s="226"/>
      <c r="T8863" s="226"/>
      <c r="U8863" s="226"/>
    </row>
    <row r="8864" spans="16:21" x14ac:dyDescent="0.35">
      <c r="P8864" s="226"/>
      <c r="Q8864" s="226"/>
      <c r="R8864" s="226"/>
      <c r="S8864" s="226"/>
      <c r="T8864" s="226"/>
      <c r="U8864" s="226"/>
    </row>
    <row r="8865" spans="16:21" x14ac:dyDescent="0.35">
      <c r="P8865" s="226"/>
      <c r="Q8865" s="226"/>
      <c r="R8865" s="226"/>
      <c r="S8865" s="226"/>
      <c r="T8865" s="226"/>
      <c r="U8865" s="226"/>
    </row>
    <row r="8866" spans="16:21" x14ac:dyDescent="0.35">
      <c r="P8866" s="226"/>
      <c r="Q8866" s="226"/>
      <c r="R8866" s="226"/>
      <c r="S8866" s="226"/>
      <c r="T8866" s="226"/>
      <c r="U8866" s="226"/>
    </row>
    <row r="8867" spans="16:21" x14ac:dyDescent="0.35">
      <c r="P8867" s="226"/>
      <c r="Q8867" s="226"/>
      <c r="R8867" s="226"/>
      <c r="S8867" s="226"/>
      <c r="T8867" s="226"/>
      <c r="U8867" s="226"/>
    </row>
    <row r="8868" spans="16:21" x14ac:dyDescent="0.35">
      <c r="P8868" s="226"/>
      <c r="Q8868" s="226"/>
      <c r="R8868" s="226"/>
      <c r="S8868" s="226"/>
      <c r="T8868" s="226"/>
      <c r="U8868" s="226"/>
    </row>
    <row r="8869" spans="16:21" x14ac:dyDescent="0.35">
      <c r="P8869" s="226"/>
      <c r="Q8869" s="226"/>
      <c r="R8869" s="226"/>
      <c r="S8869" s="226"/>
      <c r="T8869" s="226"/>
      <c r="U8869" s="226"/>
    </row>
    <row r="8870" spans="16:21" x14ac:dyDescent="0.35">
      <c r="P8870" s="226"/>
      <c r="Q8870" s="226"/>
      <c r="R8870" s="226"/>
      <c r="S8870" s="226"/>
      <c r="T8870" s="226"/>
      <c r="U8870" s="226"/>
    </row>
    <row r="8871" spans="16:21" x14ac:dyDescent="0.35">
      <c r="P8871" s="226"/>
      <c r="Q8871" s="226"/>
      <c r="R8871" s="226"/>
      <c r="S8871" s="226"/>
      <c r="T8871" s="226"/>
      <c r="U8871" s="226"/>
    </row>
    <row r="8872" spans="16:21" x14ac:dyDescent="0.35">
      <c r="P8872" s="226"/>
      <c r="Q8872" s="226"/>
      <c r="R8872" s="226"/>
      <c r="S8872" s="226"/>
      <c r="T8872" s="226"/>
      <c r="U8872" s="226"/>
    </row>
    <row r="8873" spans="16:21" x14ac:dyDescent="0.35">
      <c r="P8873" s="226"/>
      <c r="Q8873" s="226"/>
      <c r="R8873" s="226"/>
      <c r="S8873" s="226"/>
      <c r="T8873" s="226"/>
      <c r="U8873" s="226"/>
    </row>
    <row r="8874" spans="16:21" x14ac:dyDescent="0.35">
      <c r="P8874" s="226"/>
      <c r="Q8874" s="226"/>
      <c r="R8874" s="226"/>
      <c r="S8874" s="226"/>
      <c r="T8874" s="226"/>
      <c r="U8874" s="226"/>
    </row>
    <row r="8875" spans="16:21" x14ac:dyDescent="0.35">
      <c r="P8875" s="226"/>
      <c r="Q8875" s="226"/>
      <c r="R8875" s="226"/>
      <c r="S8875" s="226"/>
      <c r="T8875" s="226"/>
      <c r="U8875" s="226"/>
    </row>
    <row r="8876" spans="16:21" x14ac:dyDescent="0.35">
      <c r="P8876" s="226"/>
      <c r="Q8876" s="226"/>
      <c r="R8876" s="226"/>
      <c r="S8876" s="226"/>
      <c r="T8876" s="226"/>
      <c r="U8876" s="226"/>
    </row>
    <row r="8877" spans="16:21" x14ac:dyDescent="0.35">
      <c r="P8877" s="226"/>
      <c r="Q8877" s="226"/>
      <c r="R8877" s="226"/>
      <c r="S8877" s="226"/>
      <c r="T8877" s="226"/>
      <c r="U8877" s="226"/>
    </row>
    <row r="8878" spans="16:21" x14ac:dyDescent="0.35">
      <c r="P8878" s="226"/>
      <c r="Q8878" s="226"/>
      <c r="R8878" s="226"/>
      <c r="S8878" s="226"/>
      <c r="T8878" s="226"/>
      <c r="U8878" s="226"/>
    </row>
    <row r="8879" spans="16:21" x14ac:dyDescent="0.35">
      <c r="P8879" s="226"/>
      <c r="Q8879" s="226"/>
      <c r="R8879" s="226"/>
      <c r="S8879" s="226"/>
      <c r="T8879" s="226"/>
      <c r="U8879" s="226"/>
    </row>
    <row r="8880" spans="16:21" x14ac:dyDescent="0.35">
      <c r="P8880" s="226"/>
      <c r="Q8880" s="226"/>
      <c r="R8880" s="226"/>
      <c r="S8880" s="226"/>
      <c r="T8880" s="226"/>
      <c r="U8880" s="226"/>
    </row>
    <row r="8881" spans="16:21" x14ac:dyDescent="0.35">
      <c r="P8881" s="226"/>
      <c r="Q8881" s="226"/>
      <c r="R8881" s="226"/>
      <c r="S8881" s="226"/>
      <c r="T8881" s="226"/>
      <c r="U8881" s="226"/>
    </row>
    <row r="8882" spans="16:21" x14ac:dyDescent="0.35">
      <c r="P8882" s="226"/>
      <c r="Q8882" s="226"/>
      <c r="R8882" s="226"/>
      <c r="S8882" s="226"/>
      <c r="T8882" s="226"/>
      <c r="U8882" s="226"/>
    </row>
    <row r="8883" spans="16:21" x14ac:dyDescent="0.35">
      <c r="P8883" s="226"/>
      <c r="Q8883" s="226"/>
      <c r="R8883" s="226"/>
      <c r="S8883" s="226"/>
      <c r="T8883" s="226"/>
      <c r="U8883" s="226"/>
    </row>
    <row r="8884" spans="16:21" x14ac:dyDescent="0.35">
      <c r="P8884" s="226"/>
      <c r="Q8884" s="226"/>
      <c r="R8884" s="226"/>
      <c r="S8884" s="226"/>
      <c r="T8884" s="226"/>
      <c r="U8884" s="226"/>
    </row>
    <row r="8885" spans="16:21" x14ac:dyDescent="0.35">
      <c r="P8885" s="226"/>
      <c r="Q8885" s="226"/>
      <c r="R8885" s="226"/>
      <c r="S8885" s="226"/>
      <c r="T8885" s="226"/>
      <c r="U8885" s="226"/>
    </row>
    <row r="8886" spans="16:21" x14ac:dyDescent="0.35">
      <c r="P8886" s="226"/>
      <c r="Q8886" s="226"/>
      <c r="R8886" s="226"/>
      <c r="S8886" s="226"/>
      <c r="T8886" s="226"/>
      <c r="U8886" s="226"/>
    </row>
    <row r="8887" spans="16:21" x14ac:dyDescent="0.35">
      <c r="P8887" s="226"/>
      <c r="Q8887" s="226"/>
      <c r="R8887" s="226"/>
      <c r="S8887" s="226"/>
      <c r="T8887" s="226"/>
      <c r="U8887" s="226"/>
    </row>
    <row r="8888" spans="16:21" x14ac:dyDescent="0.35">
      <c r="P8888" s="226"/>
      <c r="Q8888" s="226"/>
      <c r="R8888" s="226"/>
      <c r="S8888" s="226"/>
      <c r="T8888" s="226"/>
      <c r="U8888" s="226"/>
    </row>
    <row r="8889" spans="16:21" x14ac:dyDescent="0.35">
      <c r="P8889" s="226"/>
      <c r="Q8889" s="226"/>
      <c r="R8889" s="226"/>
      <c r="S8889" s="226"/>
      <c r="T8889" s="226"/>
      <c r="U8889" s="226"/>
    </row>
    <row r="8890" spans="16:21" x14ac:dyDescent="0.35">
      <c r="P8890" s="226"/>
      <c r="Q8890" s="226"/>
      <c r="R8890" s="226"/>
      <c r="S8890" s="226"/>
      <c r="T8890" s="226"/>
      <c r="U8890" s="226"/>
    </row>
    <row r="8891" spans="16:21" x14ac:dyDescent="0.35">
      <c r="P8891" s="226"/>
      <c r="Q8891" s="226"/>
      <c r="R8891" s="226"/>
      <c r="S8891" s="226"/>
      <c r="T8891" s="226"/>
      <c r="U8891" s="226"/>
    </row>
    <row r="8892" spans="16:21" x14ac:dyDescent="0.35">
      <c r="P8892" s="226"/>
      <c r="Q8892" s="226"/>
      <c r="R8892" s="226"/>
      <c r="S8892" s="226"/>
      <c r="T8892" s="226"/>
      <c r="U8892" s="226"/>
    </row>
    <row r="8893" spans="16:21" x14ac:dyDescent="0.35">
      <c r="P8893" s="226"/>
      <c r="Q8893" s="226"/>
      <c r="R8893" s="226"/>
      <c r="S8893" s="226"/>
      <c r="T8893" s="226"/>
      <c r="U8893" s="226"/>
    </row>
    <row r="8894" spans="16:21" x14ac:dyDescent="0.35">
      <c r="P8894" s="226"/>
      <c r="Q8894" s="226"/>
      <c r="R8894" s="226"/>
      <c r="S8894" s="226"/>
      <c r="T8894" s="226"/>
      <c r="U8894" s="226"/>
    </row>
    <row r="8895" spans="16:21" x14ac:dyDescent="0.35">
      <c r="P8895" s="226"/>
      <c r="Q8895" s="226"/>
      <c r="R8895" s="226"/>
      <c r="S8895" s="226"/>
      <c r="T8895" s="226"/>
      <c r="U8895" s="226"/>
    </row>
    <row r="8896" spans="16:21" x14ac:dyDescent="0.35">
      <c r="P8896" s="226"/>
      <c r="Q8896" s="226"/>
      <c r="R8896" s="226"/>
      <c r="S8896" s="226"/>
      <c r="T8896" s="226"/>
      <c r="U8896" s="226"/>
    </row>
    <row r="8897" spans="16:21" x14ac:dyDescent="0.35">
      <c r="P8897" s="226"/>
      <c r="Q8897" s="226"/>
      <c r="R8897" s="226"/>
      <c r="S8897" s="226"/>
      <c r="T8897" s="226"/>
      <c r="U8897" s="226"/>
    </row>
    <row r="8898" spans="16:21" x14ac:dyDescent="0.35">
      <c r="P8898" s="226"/>
      <c r="Q8898" s="226"/>
      <c r="R8898" s="226"/>
      <c r="S8898" s="226"/>
      <c r="T8898" s="226"/>
      <c r="U8898" s="226"/>
    </row>
    <row r="8899" spans="16:21" x14ac:dyDescent="0.35">
      <c r="P8899" s="226"/>
      <c r="Q8899" s="226"/>
      <c r="R8899" s="226"/>
      <c r="S8899" s="226"/>
      <c r="T8899" s="226"/>
      <c r="U8899" s="226"/>
    </row>
    <row r="8900" spans="16:21" x14ac:dyDescent="0.35">
      <c r="P8900" s="226"/>
      <c r="Q8900" s="226"/>
      <c r="R8900" s="226"/>
      <c r="S8900" s="226"/>
      <c r="T8900" s="226"/>
      <c r="U8900" s="226"/>
    </row>
    <row r="8901" spans="16:21" x14ac:dyDescent="0.35">
      <c r="P8901" s="226"/>
      <c r="Q8901" s="226"/>
      <c r="R8901" s="226"/>
      <c r="S8901" s="226"/>
      <c r="T8901" s="226"/>
      <c r="U8901" s="226"/>
    </row>
    <row r="8902" spans="16:21" x14ac:dyDescent="0.35">
      <c r="P8902" s="226"/>
      <c r="Q8902" s="226"/>
      <c r="R8902" s="226"/>
      <c r="S8902" s="226"/>
      <c r="T8902" s="226"/>
      <c r="U8902" s="226"/>
    </row>
    <row r="8903" spans="16:21" x14ac:dyDescent="0.35">
      <c r="P8903" s="226"/>
      <c r="Q8903" s="226"/>
      <c r="R8903" s="226"/>
      <c r="S8903" s="226"/>
      <c r="T8903" s="226"/>
      <c r="U8903" s="226"/>
    </row>
    <row r="8904" spans="16:21" x14ac:dyDescent="0.35">
      <c r="P8904" s="226"/>
      <c r="Q8904" s="226"/>
      <c r="R8904" s="226"/>
      <c r="S8904" s="226"/>
      <c r="T8904" s="226"/>
      <c r="U8904" s="226"/>
    </row>
    <row r="8905" spans="16:21" x14ac:dyDescent="0.35">
      <c r="P8905" s="226"/>
      <c r="Q8905" s="226"/>
      <c r="R8905" s="226"/>
      <c r="S8905" s="226"/>
      <c r="T8905" s="226"/>
      <c r="U8905" s="226"/>
    </row>
    <row r="8906" spans="16:21" x14ac:dyDescent="0.35">
      <c r="P8906" s="226"/>
      <c r="Q8906" s="226"/>
      <c r="R8906" s="226"/>
      <c r="S8906" s="226"/>
      <c r="T8906" s="226"/>
      <c r="U8906" s="226"/>
    </row>
    <row r="8907" spans="16:21" x14ac:dyDescent="0.35">
      <c r="P8907" s="226"/>
      <c r="Q8907" s="226"/>
      <c r="R8907" s="226"/>
      <c r="S8907" s="226"/>
      <c r="T8907" s="226"/>
      <c r="U8907" s="226"/>
    </row>
    <row r="8908" spans="16:21" x14ac:dyDescent="0.35">
      <c r="P8908" s="226"/>
      <c r="Q8908" s="226"/>
      <c r="R8908" s="226"/>
      <c r="S8908" s="226"/>
      <c r="T8908" s="226"/>
      <c r="U8908" s="226"/>
    </row>
    <row r="8909" spans="16:21" x14ac:dyDescent="0.35">
      <c r="P8909" s="226"/>
      <c r="Q8909" s="226"/>
      <c r="R8909" s="226"/>
      <c r="S8909" s="226"/>
      <c r="T8909" s="226"/>
      <c r="U8909" s="226"/>
    </row>
    <row r="8910" spans="16:21" x14ac:dyDescent="0.35">
      <c r="P8910" s="226"/>
      <c r="Q8910" s="226"/>
      <c r="R8910" s="226"/>
      <c r="S8910" s="226"/>
      <c r="T8910" s="226"/>
      <c r="U8910" s="226"/>
    </row>
    <row r="8911" spans="16:21" x14ac:dyDescent="0.35">
      <c r="P8911" s="226"/>
      <c r="Q8911" s="226"/>
      <c r="R8911" s="226"/>
      <c r="S8911" s="226"/>
      <c r="T8911" s="226"/>
      <c r="U8911" s="226"/>
    </row>
    <row r="8912" spans="16:21" x14ac:dyDescent="0.35">
      <c r="P8912" s="226"/>
      <c r="Q8912" s="226"/>
      <c r="R8912" s="226"/>
      <c r="S8912" s="226"/>
      <c r="T8912" s="226"/>
      <c r="U8912" s="226"/>
    </row>
    <row r="8913" spans="16:21" x14ac:dyDescent="0.35">
      <c r="P8913" s="226"/>
      <c r="Q8913" s="226"/>
      <c r="R8913" s="226"/>
      <c r="S8913" s="226"/>
      <c r="T8913" s="226"/>
      <c r="U8913" s="226"/>
    </row>
    <row r="8914" spans="16:21" x14ac:dyDescent="0.35">
      <c r="P8914" s="226"/>
      <c r="Q8914" s="226"/>
      <c r="R8914" s="226"/>
      <c r="S8914" s="226"/>
      <c r="T8914" s="226"/>
      <c r="U8914" s="226"/>
    </row>
    <row r="8915" spans="16:21" x14ac:dyDescent="0.35">
      <c r="P8915" s="226"/>
      <c r="Q8915" s="226"/>
      <c r="R8915" s="226"/>
      <c r="S8915" s="226"/>
      <c r="T8915" s="226"/>
      <c r="U8915" s="226"/>
    </row>
    <row r="8916" spans="16:21" x14ac:dyDescent="0.35">
      <c r="P8916" s="226"/>
      <c r="Q8916" s="226"/>
      <c r="R8916" s="226"/>
      <c r="S8916" s="226"/>
      <c r="T8916" s="226"/>
      <c r="U8916" s="226"/>
    </row>
    <row r="8917" spans="16:21" x14ac:dyDescent="0.35">
      <c r="P8917" s="226"/>
      <c r="Q8917" s="226"/>
      <c r="R8917" s="226"/>
      <c r="S8917" s="226"/>
      <c r="T8917" s="226"/>
      <c r="U8917" s="226"/>
    </row>
    <row r="8918" spans="16:21" x14ac:dyDescent="0.35">
      <c r="P8918" s="226"/>
      <c r="Q8918" s="226"/>
      <c r="R8918" s="226"/>
      <c r="S8918" s="226"/>
      <c r="T8918" s="226"/>
      <c r="U8918" s="226"/>
    </row>
    <row r="8919" spans="16:21" x14ac:dyDescent="0.35">
      <c r="P8919" s="226"/>
      <c r="Q8919" s="226"/>
      <c r="R8919" s="226"/>
      <c r="S8919" s="226"/>
      <c r="T8919" s="226"/>
      <c r="U8919" s="226"/>
    </row>
    <row r="8920" spans="16:21" x14ac:dyDescent="0.35">
      <c r="P8920" s="226"/>
      <c r="Q8920" s="226"/>
      <c r="R8920" s="226"/>
      <c r="S8920" s="226"/>
      <c r="T8920" s="226"/>
      <c r="U8920" s="226"/>
    </row>
    <row r="8921" spans="16:21" x14ac:dyDescent="0.35">
      <c r="P8921" s="226"/>
      <c r="Q8921" s="226"/>
      <c r="R8921" s="226"/>
      <c r="S8921" s="226"/>
      <c r="T8921" s="226"/>
      <c r="U8921" s="226"/>
    </row>
    <row r="8922" spans="16:21" x14ac:dyDescent="0.35">
      <c r="P8922" s="226"/>
      <c r="Q8922" s="226"/>
      <c r="R8922" s="226"/>
      <c r="S8922" s="226"/>
      <c r="T8922" s="226"/>
      <c r="U8922" s="226"/>
    </row>
    <row r="8923" spans="16:21" x14ac:dyDescent="0.35">
      <c r="P8923" s="226"/>
      <c r="Q8923" s="226"/>
      <c r="R8923" s="226"/>
      <c r="S8923" s="226"/>
      <c r="T8923" s="226"/>
      <c r="U8923" s="226"/>
    </row>
    <row r="8924" spans="16:21" x14ac:dyDescent="0.35">
      <c r="P8924" s="226"/>
      <c r="Q8924" s="226"/>
      <c r="R8924" s="226"/>
      <c r="S8924" s="226"/>
      <c r="T8924" s="226"/>
      <c r="U8924" s="226"/>
    </row>
    <row r="8925" spans="16:21" x14ac:dyDescent="0.35">
      <c r="P8925" s="226"/>
      <c r="Q8925" s="226"/>
      <c r="R8925" s="226"/>
      <c r="S8925" s="226"/>
      <c r="T8925" s="226"/>
      <c r="U8925" s="226"/>
    </row>
    <row r="8926" spans="16:21" x14ac:dyDescent="0.35">
      <c r="P8926" s="226"/>
      <c r="Q8926" s="226"/>
      <c r="R8926" s="226"/>
      <c r="S8926" s="226"/>
      <c r="T8926" s="226"/>
      <c r="U8926" s="226"/>
    </row>
    <row r="8927" spans="16:21" x14ac:dyDescent="0.35">
      <c r="P8927" s="226"/>
      <c r="Q8927" s="226"/>
      <c r="R8927" s="226"/>
      <c r="S8927" s="226"/>
      <c r="T8927" s="226"/>
      <c r="U8927" s="226"/>
    </row>
    <row r="8928" spans="16:21" x14ac:dyDescent="0.35">
      <c r="P8928" s="226"/>
      <c r="Q8928" s="226"/>
      <c r="R8928" s="226"/>
      <c r="S8928" s="226"/>
      <c r="T8928" s="226"/>
      <c r="U8928" s="226"/>
    </row>
    <row r="8929" spans="16:21" x14ac:dyDescent="0.35">
      <c r="P8929" s="226"/>
      <c r="Q8929" s="226"/>
      <c r="R8929" s="226"/>
      <c r="S8929" s="226"/>
      <c r="T8929" s="226"/>
      <c r="U8929" s="226"/>
    </row>
    <row r="8930" spans="16:21" x14ac:dyDescent="0.35">
      <c r="P8930" s="226"/>
      <c r="Q8930" s="226"/>
      <c r="R8930" s="226"/>
      <c r="S8930" s="226"/>
      <c r="T8930" s="226"/>
      <c r="U8930" s="226"/>
    </row>
    <row r="8931" spans="16:21" x14ac:dyDescent="0.35">
      <c r="P8931" s="226"/>
      <c r="Q8931" s="226"/>
      <c r="R8931" s="226"/>
      <c r="S8931" s="226"/>
      <c r="T8931" s="226"/>
      <c r="U8931" s="226"/>
    </row>
    <row r="8932" spans="16:21" x14ac:dyDescent="0.35">
      <c r="P8932" s="226"/>
      <c r="Q8932" s="226"/>
      <c r="R8932" s="226"/>
      <c r="S8932" s="226"/>
      <c r="T8932" s="226"/>
      <c r="U8932" s="226"/>
    </row>
    <row r="8933" spans="16:21" x14ac:dyDescent="0.35">
      <c r="P8933" s="226"/>
      <c r="Q8933" s="226"/>
      <c r="R8933" s="226"/>
      <c r="S8933" s="226"/>
      <c r="T8933" s="226"/>
      <c r="U8933" s="226"/>
    </row>
    <row r="8934" spans="16:21" x14ac:dyDescent="0.35">
      <c r="P8934" s="226"/>
      <c r="Q8934" s="226"/>
      <c r="R8934" s="226"/>
      <c r="S8934" s="226"/>
      <c r="T8934" s="226"/>
      <c r="U8934" s="226"/>
    </row>
    <row r="8935" spans="16:21" x14ac:dyDescent="0.35">
      <c r="P8935" s="226"/>
      <c r="Q8935" s="226"/>
      <c r="R8935" s="226"/>
      <c r="S8935" s="226"/>
      <c r="T8935" s="226"/>
      <c r="U8935" s="226"/>
    </row>
    <row r="8936" spans="16:21" x14ac:dyDescent="0.35">
      <c r="P8936" s="226"/>
      <c r="Q8936" s="226"/>
      <c r="R8936" s="226"/>
      <c r="S8936" s="226"/>
      <c r="T8936" s="226"/>
      <c r="U8936" s="226"/>
    </row>
    <row r="8937" spans="16:21" x14ac:dyDescent="0.35">
      <c r="P8937" s="226"/>
      <c r="Q8937" s="226"/>
      <c r="R8937" s="226"/>
      <c r="S8937" s="226"/>
      <c r="T8937" s="226"/>
      <c r="U8937" s="226"/>
    </row>
    <row r="8938" spans="16:21" x14ac:dyDescent="0.35">
      <c r="P8938" s="226"/>
      <c r="Q8938" s="226"/>
      <c r="R8938" s="226"/>
      <c r="S8938" s="226"/>
      <c r="T8938" s="226"/>
      <c r="U8938" s="226"/>
    </row>
    <row r="8939" spans="16:21" x14ac:dyDescent="0.35">
      <c r="P8939" s="226"/>
      <c r="Q8939" s="226"/>
      <c r="R8939" s="226"/>
      <c r="S8939" s="226"/>
      <c r="T8939" s="226"/>
      <c r="U8939" s="226"/>
    </row>
    <row r="8940" spans="16:21" x14ac:dyDescent="0.35">
      <c r="P8940" s="226"/>
      <c r="Q8940" s="226"/>
      <c r="R8940" s="226"/>
      <c r="S8940" s="226"/>
      <c r="T8940" s="226"/>
      <c r="U8940" s="226"/>
    </row>
    <row r="8941" spans="16:21" x14ac:dyDescent="0.35">
      <c r="P8941" s="226"/>
      <c r="Q8941" s="226"/>
      <c r="R8941" s="226"/>
      <c r="S8941" s="226"/>
      <c r="T8941" s="226"/>
      <c r="U8941" s="226"/>
    </row>
    <row r="8942" spans="16:21" x14ac:dyDescent="0.35">
      <c r="P8942" s="226"/>
      <c r="Q8942" s="226"/>
      <c r="R8942" s="226"/>
      <c r="S8942" s="226"/>
      <c r="T8942" s="226"/>
      <c r="U8942" s="226"/>
    </row>
    <row r="8943" spans="16:21" x14ac:dyDescent="0.35">
      <c r="P8943" s="226"/>
      <c r="Q8943" s="226"/>
      <c r="R8943" s="226"/>
      <c r="S8943" s="226"/>
      <c r="T8943" s="226"/>
      <c r="U8943" s="226"/>
    </row>
    <row r="8944" spans="16:21" x14ac:dyDescent="0.35">
      <c r="P8944" s="226"/>
      <c r="Q8944" s="226"/>
      <c r="R8944" s="226"/>
      <c r="S8944" s="226"/>
      <c r="T8944" s="226"/>
      <c r="U8944" s="226"/>
    </row>
    <row r="8945" spans="16:21" x14ac:dyDescent="0.35">
      <c r="P8945" s="226"/>
      <c r="Q8945" s="226"/>
      <c r="R8945" s="226"/>
      <c r="S8945" s="226"/>
      <c r="T8945" s="226"/>
      <c r="U8945" s="226"/>
    </row>
    <row r="8946" spans="16:21" x14ac:dyDescent="0.35">
      <c r="P8946" s="226"/>
      <c r="Q8946" s="226"/>
      <c r="R8946" s="226"/>
      <c r="S8946" s="226"/>
      <c r="T8946" s="226"/>
      <c r="U8946" s="226"/>
    </row>
    <row r="8947" spans="16:21" x14ac:dyDescent="0.35">
      <c r="P8947" s="226"/>
      <c r="Q8947" s="226"/>
      <c r="R8947" s="226"/>
      <c r="S8947" s="226"/>
      <c r="T8947" s="226"/>
      <c r="U8947" s="226"/>
    </row>
    <row r="8948" spans="16:21" x14ac:dyDescent="0.35">
      <c r="P8948" s="226"/>
      <c r="Q8948" s="226"/>
      <c r="R8948" s="226"/>
      <c r="S8948" s="226"/>
      <c r="T8948" s="226"/>
      <c r="U8948" s="226"/>
    </row>
    <row r="8949" spans="16:21" x14ac:dyDescent="0.35">
      <c r="P8949" s="226"/>
      <c r="Q8949" s="226"/>
      <c r="R8949" s="226"/>
      <c r="S8949" s="226"/>
      <c r="T8949" s="226"/>
      <c r="U8949" s="226"/>
    </row>
    <row r="8950" spans="16:21" x14ac:dyDescent="0.35">
      <c r="P8950" s="226"/>
      <c r="Q8950" s="226"/>
      <c r="R8950" s="226"/>
      <c r="S8950" s="226"/>
      <c r="T8950" s="226"/>
      <c r="U8950" s="226"/>
    </row>
    <row r="8951" spans="16:21" x14ac:dyDescent="0.35">
      <c r="P8951" s="226"/>
      <c r="Q8951" s="226"/>
      <c r="R8951" s="226"/>
      <c r="S8951" s="226"/>
      <c r="T8951" s="226"/>
      <c r="U8951" s="226"/>
    </row>
    <row r="8952" spans="16:21" x14ac:dyDescent="0.35">
      <c r="P8952" s="226"/>
      <c r="Q8952" s="226"/>
      <c r="R8952" s="226"/>
      <c r="S8952" s="226"/>
      <c r="T8952" s="226"/>
      <c r="U8952" s="226"/>
    </row>
    <row r="8953" spans="16:21" x14ac:dyDescent="0.35">
      <c r="P8953" s="226"/>
      <c r="Q8953" s="226"/>
      <c r="R8953" s="226"/>
      <c r="S8953" s="226"/>
      <c r="T8953" s="226"/>
      <c r="U8953" s="226"/>
    </row>
    <row r="8954" spans="16:21" x14ac:dyDescent="0.35">
      <c r="P8954" s="226"/>
      <c r="Q8954" s="226"/>
      <c r="R8954" s="226"/>
      <c r="S8954" s="226"/>
      <c r="T8954" s="226"/>
      <c r="U8954" s="226"/>
    </row>
    <row r="8955" spans="16:21" x14ac:dyDescent="0.35">
      <c r="P8955" s="226"/>
      <c r="Q8955" s="226"/>
      <c r="R8955" s="226"/>
      <c r="S8955" s="226"/>
      <c r="T8955" s="226"/>
      <c r="U8955" s="226"/>
    </row>
    <row r="8956" spans="16:21" x14ac:dyDescent="0.35">
      <c r="P8956" s="226"/>
      <c r="Q8956" s="226"/>
      <c r="R8956" s="226"/>
      <c r="S8956" s="226"/>
      <c r="T8956" s="226"/>
      <c r="U8956" s="226"/>
    </row>
    <row r="8957" spans="16:21" x14ac:dyDescent="0.35">
      <c r="P8957" s="226"/>
      <c r="Q8957" s="226"/>
      <c r="R8957" s="226"/>
      <c r="S8957" s="226"/>
      <c r="T8957" s="226"/>
      <c r="U8957" s="226"/>
    </row>
    <row r="8958" spans="16:21" x14ac:dyDescent="0.35">
      <c r="P8958" s="226"/>
      <c r="Q8958" s="226"/>
      <c r="R8958" s="226"/>
      <c r="S8958" s="226"/>
      <c r="T8958" s="226"/>
      <c r="U8958" s="226"/>
    </row>
    <row r="8959" spans="16:21" x14ac:dyDescent="0.35">
      <c r="P8959" s="226"/>
      <c r="Q8959" s="226"/>
      <c r="R8959" s="226"/>
      <c r="S8959" s="226"/>
      <c r="T8959" s="226"/>
      <c r="U8959" s="226"/>
    </row>
    <row r="8960" spans="16:21" x14ac:dyDescent="0.35">
      <c r="P8960" s="226"/>
      <c r="Q8960" s="226"/>
      <c r="R8960" s="226"/>
      <c r="S8960" s="226"/>
      <c r="T8960" s="226"/>
      <c r="U8960" s="226"/>
    </row>
    <row r="8961" spans="16:21" x14ac:dyDescent="0.35">
      <c r="P8961" s="226"/>
      <c r="Q8961" s="226"/>
      <c r="R8961" s="226"/>
      <c r="S8961" s="226"/>
      <c r="T8961" s="226"/>
      <c r="U8961" s="226"/>
    </row>
    <row r="8962" spans="16:21" x14ac:dyDescent="0.35">
      <c r="P8962" s="226"/>
      <c r="Q8962" s="226"/>
      <c r="R8962" s="226"/>
      <c r="S8962" s="226"/>
      <c r="T8962" s="226"/>
      <c r="U8962" s="226"/>
    </row>
    <row r="8963" spans="16:21" x14ac:dyDescent="0.35">
      <c r="P8963" s="226"/>
      <c r="Q8963" s="226"/>
      <c r="R8963" s="226"/>
      <c r="S8963" s="226"/>
      <c r="T8963" s="226"/>
      <c r="U8963" s="226"/>
    </row>
    <row r="8964" spans="16:21" x14ac:dyDescent="0.35">
      <c r="P8964" s="226"/>
      <c r="Q8964" s="226"/>
      <c r="R8964" s="226"/>
      <c r="S8964" s="226"/>
      <c r="T8964" s="226"/>
      <c r="U8964" s="226"/>
    </row>
    <row r="8965" spans="16:21" x14ac:dyDescent="0.35">
      <c r="P8965" s="226"/>
      <c r="Q8965" s="226"/>
      <c r="R8965" s="226"/>
      <c r="S8965" s="226"/>
      <c r="T8965" s="226"/>
      <c r="U8965" s="226"/>
    </row>
    <row r="8966" spans="16:21" x14ac:dyDescent="0.35">
      <c r="P8966" s="226"/>
      <c r="Q8966" s="226"/>
      <c r="R8966" s="226"/>
      <c r="S8966" s="226"/>
      <c r="T8966" s="226"/>
      <c r="U8966" s="226"/>
    </row>
    <row r="8967" spans="16:21" x14ac:dyDescent="0.35">
      <c r="P8967" s="226"/>
      <c r="Q8967" s="226"/>
      <c r="R8967" s="226"/>
      <c r="S8967" s="226"/>
      <c r="T8967" s="226"/>
      <c r="U8967" s="226"/>
    </row>
    <row r="8968" spans="16:21" x14ac:dyDescent="0.35">
      <c r="P8968" s="226"/>
      <c r="Q8968" s="226"/>
      <c r="R8968" s="226"/>
      <c r="S8968" s="226"/>
      <c r="T8968" s="226"/>
      <c r="U8968" s="226"/>
    </row>
    <row r="8969" spans="16:21" x14ac:dyDescent="0.35">
      <c r="P8969" s="226"/>
      <c r="Q8969" s="226"/>
      <c r="R8969" s="226"/>
      <c r="S8969" s="226"/>
      <c r="T8969" s="226"/>
      <c r="U8969" s="226"/>
    </row>
    <row r="8970" spans="16:21" x14ac:dyDescent="0.35">
      <c r="P8970" s="226"/>
      <c r="Q8970" s="226"/>
      <c r="R8970" s="226"/>
      <c r="S8970" s="226"/>
      <c r="T8970" s="226"/>
      <c r="U8970" s="226"/>
    </row>
    <row r="8971" spans="16:21" x14ac:dyDescent="0.35">
      <c r="P8971" s="226"/>
      <c r="Q8971" s="226"/>
      <c r="R8971" s="226"/>
      <c r="S8971" s="226"/>
      <c r="T8971" s="226"/>
      <c r="U8971" s="226"/>
    </row>
    <row r="8972" spans="16:21" x14ac:dyDescent="0.35">
      <c r="P8972" s="226"/>
      <c r="Q8972" s="226"/>
      <c r="R8972" s="226"/>
      <c r="S8972" s="226"/>
      <c r="T8972" s="226"/>
      <c r="U8972" s="226"/>
    </row>
    <row r="8973" spans="16:21" x14ac:dyDescent="0.35">
      <c r="P8973" s="226"/>
      <c r="Q8973" s="226"/>
      <c r="R8973" s="226"/>
      <c r="S8973" s="226"/>
      <c r="T8973" s="226"/>
      <c r="U8973" s="226"/>
    </row>
    <row r="8974" spans="16:21" x14ac:dyDescent="0.35">
      <c r="P8974" s="226"/>
      <c r="Q8974" s="226"/>
      <c r="R8974" s="226"/>
      <c r="S8974" s="226"/>
      <c r="T8974" s="226"/>
      <c r="U8974" s="226"/>
    </row>
    <row r="8975" spans="16:21" x14ac:dyDescent="0.35">
      <c r="P8975" s="226"/>
      <c r="Q8975" s="226"/>
      <c r="R8975" s="226"/>
      <c r="S8975" s="226"/>
      <c r="T8975" s="226"/>
      <c r="U8975" s="226"/>
    </row>
    <row r="8976" spans="16:21" x14ac:dyDescent="0.35">
      <c r="P8976" s="226"/>
      <c r="Q8976" s="226"/>
      <c r="R8976" s="226"/>
      <c r="S8976" s="226"/>
      <c r="T8976" s="226"/>
      <c r="U8976" s="226"/>
    </row>
    <row r="8977" spans="16:21" x14ac:dyDescent="0.35">
      <c r="P8977" s="226"/>
      <c r="Q8977" s="226"/>
      <c r="R8977" s="226"/>
      <c r="S8977" s="226"/>
      <c r="T8977" s="226"/>
      <c r="U8977" s="226"/>
    </row>
    <row r="8978" spans="16:21" x14ac:dyDescent="0.35">
      <c r="P8978" s="226"/>
      <c r="Q8978" s="226"/>
      <c r="R8978" s="226"/>
      <c r="S8978" s="226"/>
      <c r="T8978" s="226"/>
      <c r="U8978" s="226"/>
    </row>
    <row r="8979" spans="16:21" x14ac:dyDescent="0.35">
      <c r="P8979" s="226"/>
      <c r="Q8979" s="226"/>
      <c r="R8979" s="226"/>
      <c r="S8979" s="226"/>
      <c r="T8979" s="226"/>
      <c r="U8979" s="226"/>
    </row>
    <row r="8980" spans="16:21" x14ac:dyDescent="0.35">
      <c r="P8980" s="226"/>
      <c r="Q8980" s="226"/>
      <c r="R8980" s="226"/>
      <c r="S8980" s="226"/>
      <c r="T8980" s="226"/>
      <c r="U8980" s="226"/>
    </row>
    <row r="8981" spans="16:21" x14ac:dyDescent="0.35">
      <c r="P8981" s="226"/>
      <c r="Q8981" s="226"/>
      <c r="R8981" s="226"/>
      <c r="S8981" s="226"/>
      <c r="T8981" s="226"/>
      <c r="U8981" s="226"/>
    </row>
    <row r="8982" spans="16:21" x14ac:dyDescent="0.35">
      <c r="P8982" s="226"/>
      <c r="Q8982" s="226"/>
      <c r="R8982" s="226"/>
      <c r="S8982" s="226"/>
      <c r="T8982" s="226"/>
      <c r="U8982" s="226"/>
    </row>
    <row r="8983" spans="16:21" x14ac:dyDescent="0.35">
      <c r="P8983" s="226"/>
      <c r="Q8983" s="226"/>
      <c r="R8983" s="226"/>
      <c r="S8983" s="226"/>
      <c r="T8983" s="226"/>
      <c r="U8983" s="226"/>
    </row>
    <row r="8984" spans="16:21" x14ac:dyDescent="0.35">
      <c r="P8984" s="226"/>
      <c r="Q8984" s="226"/>
      <c r="R8984" s="226"/>
      <c r="S8984" s="226"/>
      <c r="T8984" s="226"/>
      <c r="U8984" s="226"/>
    </row>
    <row r="8985" spans="16:21" x14ac:dyDescent="0.35">
      <c r="P8985" s="226"/>
      <c r="Q8985" s="226"/>
      <c r="R8985" s="226"/>
      <c r="S8985" s="226"/>
      <c r="T8985" s="226"/>
      <c r="U8985" s="226"/>
    </row>
    <row r="8986" spans="16:21" x14ac:dyDescent="0.35">
      <c r="P8986" s="226"/>
      <c r="Q8986" s="226"/>
      <c r="R8986" s="226"/>
      <c r="S8986" s="226"/>
      <c r="T8986" s="226"/>
      <c r="U8986" s="226"/>
    </row>
    <row r="8987" spans="16:21" x14ac:dyDescent="0.35">
      <c r="P8987" s="226"/>
      <c r="Q8987" s="226"/>
      <c r="R8987" s="226"/>
      <c r="S8987" s="226"/>
      <c r="T8987" s="226"/>
      <c r="U8987" s="226"/>
    </row>
    <row r="8988" spans="16:21" x14ac:dyDescent="0.35">
      <c r="P8988" s="226"/>
      <c r="Q8988" s="226"/>
      <c r="R8988" s="226"/>
      <c r="S8988" s="226"/>
      <c r="T8988" s="226"/>
      <c r="U8988" s="226"/>
    </row>
    <row r="8989" spans="16:21" x14ac:dyDescent="0.35">
      <c r="P8989" s="226"/>
      <c r="Q8989" s="226"/>
      <c r="R8989" s="226"/>
      <c r="S8989" s="226"/>
      <c r="T8989" s="226"/>
      <c r="U8989" s="226"/>
    </row>
    <row r="8990" spans="16:21" x14ac:dyDescent="0.35">
      <c r="P8990" s="226"/>
      <c r="Q8990" s="226"/>
      <c r="R8990" s="226"/>
      <c r="S8990" s="226"/>
      <c r="T8990" s="226"/>
      <c r="U8990" s="226"/>
    </row>
    <row r="8991" spans="16:21" x14ac:dyDescent="0.35">
      <c r="P8991" s="226"/>
      <c r="Q8991" s="226"/>
      <c r="R8991" s="226"/>
      <c r="S8991" s="226"/>
      <c r="T8991" s="226"/>
      <c r="U8991" s="226"/>
    </row>
    <row r="8992" spans="16:21" x14ac:dyDescent="0.35">
      <c r="P8992" s="226"/>
      <c r="Q8992" s="226"/>
      <c r="R8992" s="226"/>
      <c r="S8992" s="226"/>
      <c r="T8992" s="226"/>
      <c r="U8992" s="226"/>
    </row>
    <row r="8993" spans="16:21" x14ac:dyDescent="0.35">
      <c r="P8993" s="226"/>
      <c r="Q8993" s="226"/>
      <c r="R8993" s="226"/>
      <c r="S8993" s="226"/>
      <c r="T8993" s="226"/>
      <c r="U8993" s="226"/>
    </row>
    <row r="8994" spans="16:21" x14ac:dyDescent="0.35">
      <c r="P8994" s="226"/>
      <c r="Q8994" s="226"/>
      <c r="R8994" s="226"/>
      <c r="S8994" s="226"/>
      <c r="T8994" s="226"/>
      <c r="U8994" s="226"/>
    </row>
    <row r="8995" spans="16:21" x14ac:dyDescent="0.35">
      <c r="P8995" s="226"/>
      <c r="Q8995" s="226"/>
      <c r="R8995" s="226"/>
      <c r="S8995" s="226"/>
      <c r="T8995" s="226"/>
      <c r="U8995" s="226"/>
    </row>
    <row r="8996" spans="16:21" x14ac:dyDescent="0.35">
      <c r="P8996" s="226"/>
      <c r="Q8996" s="226"/>
      <c r="R8996" s="226"/>
      <c r="S8996" s="226"/>
      <c r="T8996" s="226"/>
      <c r="U8996" s="226"/>
    </row>
    <row r="8997" spans="16:21" x14ac:dyDescent="0.35">
      <c r="P8997" s="226"/>
      <c r="Q8997" s="226"/>
      <c r="R8997" s="226"/>
      <c r="S8997" s="226"/>
      <c r="T8997" s="226"/>
      <c r="U8997" s="226"/>
    </row>
    <row r="8998" spans="16:21" x14ac:dyDescent="0.35">
      <c r="P8998" s="226"/>
      <c r="Q8998" s="226"/>
      <c r="R8998" s="226"/>
      <c r="S8998" s="226"/>
      <c r="T8998" s="226"/>
      <c r="U8998" s="226"/>
    </row>
    <row r="8999" spans="16:21" x14ac:dyDescent="0.35">
      <c r="P8999" s="226"/>
      <c r="Q8999" s="226"/>
      <c r="R8999" s="226"/>
      <c r="S8999" s="226"/>
      <c r="T8999" s="226"/>
      <c r="U8999" s="226"/>
    </row>
    <row r="9000" spans="16:21" x14ac:dyDescent="0.35">
      <c r="P9000" s="226"/>
      <c r="Q9000" s="226"/>
      <c r="R9000" s="226"/>
      <c r="S9000" s="226"/>
      <c r="T9000" s="226"/>
      <c r="U9000" s="226"/>
    </row>
    <row r="9001" spans="16:21" x14ac:dyDescent="0.35">
      <c r="P9001" s="226"/>
      <c r="Q9001" s="226"/>
      <c r="R9001" s="226"/>
      <c r="S9001" s="226"/>
      <c r="T9001" s="226"/>
      <c r="U9001" s="226"/>
    </row>
    <row r="9002" spans="16:21" x14ac:dyDescent="0.35">
      <c r="P9002" s="226"/>
      <c r="Q9002" s="226"/>
      <c r="R9002" s="226"/>
      <c r="S9002" s="226"/>
      <c r="T9002" s="226"/>
      <c r="U9002" s="226"/>
    </row>
    <row r="9003" spans="16:21" x14ac:dyDescent="0.35">
      <c r="P9003" s="226"/>
      <c r="Q9003" s="226"/>
      <c r="R9003" s="226"/>
      <c r="S9003" s="226"/>
      <c r="T9003" s="226"/>
      <c r="U9003" s="226"/>
    </row>
    <row r="9004" spans="16:21" x14ac:dyDescent="0.35">
      <c r="P9004" s="226"/>
      <c r="Q9004" s="226"/>
      <c r="R9004" s="226"/>
      <c r="S9004" s="226"/>
      <c r="T9004" s="226"/>
      <c r="U9004" s="226"/>
    </row>
    <row r="9005" spans="16:21" x14ac:dyDescent="0.35">
      <c r="P9005" s="226"/>
      <c r="Q9005" s="226"/>
      <c r="R9005" s="226"/>
      <c r="S9005" s="226"/>
      <c r="T9005" s="226"/>
      <c r="U9005" s="226"/>
    </row>
    <row r="9006" spans="16:21" x14ac:dyDescent="0.35">
      <c r="P9006" s="226"/>
      <c r="Q9006" s="226"/>
      <c r="R9006" s="226"/>
      <c r="S9006" s="226"/>
      <c r="T9006" s="226"/>
      <c r="U9006" s="226"/>
    </row>
    <row r="9007" spans="16:21" x14ac:dyDescent="0.35">
      <c r="P9007" s="226"/>
      <c r="Q9007" s="226"/>
      <c r="R9007" s="226"/>
      <c r="S9007" s="226"/>
      <c r="T9007" s="226"/>
      <c r="U9007" s="226"/>
    </row>
    <row r="9008" spans="16:21" x14ac:dyDescent="0.35">
      <c r="P9008" s="226"/>
      <c r="Q9008" s="226"/>
      <c r="R9008" s="226"/>
      <c r="S9008" s="226"/>
      <c r="T9008" s="226"/>
      <c r="U9008" s="226"/>
    </row>
    <row r="9009" spans="16:21" x14ac:dyDescent="0.35">
      <c r="P9009" s="226"/>
      <c r="Q9009" s="226"/>
      <c r="R9009" s="226"/>
      <c r="S9009" s="226"/>
      <c r="T9009" s="226"/>
      <c r="U9009" s="226"/>
    </row>
    <row r="9010" spans="16:21" x14ac:dyDescent="0.35">
      <c r="P9010" s="226"/>
      <c r="Q9010" s="226"/>
      <c r="R9010" s="226"/>
      <c r="S9010" s="226"/>
      <c r="T9010" s="226"/>
      <c r="U9010" s="226"/>
    </row>
    <row r="9011" spans="16:21" x14ac:dyDescent="0.35">
      <c r="P9011" s="226"/>
      <c r="Q9011" s="226"/>
      <c r="R9011" s="226"/>
      <c r="S9011" s="226"/>
      <c r="T9011" s="226"/>
      <c r="U9011" s="226"/>
    </row>
    <row r="9012" spans="16:21" x14ac:dyDescent="0.35">
      <c r="P9012" s="226"/>
      <c r="Q9012" s="226"/>
      <c r="R9012" s="226"/>
      <c r="S9012" s="226"/>
      <c r="T9012" s="226"/>
      <c r="U9012" s="226"/>
    </row>
    <row r="9013" spans="16:21" x14ac:dyDescent="0.35">
      <c r="P9013" s="226"/>
      <c r="Q9013" s="226"/>
      <c r="R9013" s="226"/>
      <c r="S9013" s="226"/>
      <c r="T9013" s="226"/>
      <c r="U9013" s="226"/>
    </row>
    <row r="9014" spans="16:21" x14ac:dyDescent="0.35">
      <c r="P9014" s="226"/>
      <c r="Q9014" s="226"/>
      <c r="R9014" s="226"/>
      <c r="S9014" s="226"/>
      <c r="T9014" s="226"/>
      <c r="U9014" s="226"/>
    </row>
    <row r="9015" spans="16:21" x14ac:dyDescent="0.35">
      <c r="P9015" s="226"/>
      <c r="Q9015" s="226"/>
      <c r="R9015" s="226"/>
      <c r="S9015" s="226"/>
      <c r="T9015" s="226"/>
      <c r="U9015" s="226"/>
    </row>
    <row r="9016" spans="16:21" x14ac:dyDescent="0.35">
      <c r="P9016" s="226"/>
      <c r="Q9016" s="226"/>
      <c r="R9016" s="226"/>
      <c r="S9016" s="226"/>
      <c r="T9016" s="226"/>
      <c r="U9016" s="226"/>
    </row>
    <row r="9017" spans="16:21" x14ac:dyDescent="0.35">
      <c r="P9017" s="226"/>
      <c r="Q9017" s="226"/>
      <c r="R9017" s="226"/>
      <c r="S9017" s="226"/>
      <c r="T9017" s="226"/>
      <c r="U9017" s="226"/>
    </row>
    <row r="9018" spans="16:21" x14ac:dyDescent="0.35">
      <c r="P9018" s="226"/>
      <c r="Q9018" s="226"/>
      <c r="R9018" s="226"/>
      <c r="S9018" s="226"/>
      <c r="T9018" s="226"/>
      <c r="U9018" s="226"/>
    </row>
    <row r="9019" spans="16:21" x14ac:dyDescent="0.35">
      <c r="P9019" s="226"/>
      <c r="Q9019" s="226"/>
      <c r="R9019" s="226"/>
      <c r="S9019" s="226"/>
      <c r="T9019" s="226"/>
      <c r="U9019" s="226"/>
    </row>
    <row r="9020" spans="16:21" x14ac:dyDescent="0.35">
      <c r="P9020" s="226"/>
      <c r="Q9020" s="226"/>
      <c r="R9020" s="226"/>
      <c r="S9020" s="226"/>
      <c r="T9020" s="226"/>
      <c r="U9020" s="226"/>
    </row>
    <row r="9021" spans="16:21" x14ac:dyDescent="0.35">
      <c r="P9021" s="226"/>
      <c r="Q9021" s="226"/>
      <c r="R9021" s="226"/>
      <c r="S9021" s="226"/>
      <c r="T9021" s="226"/>
      <c r="U9021" s="226"/>
    </row>
    <row r="9022" spans="16:21" x14ac:dyDescent="0.35">
      <c r="P9022" s="226"/>
      <c r="Q9022" s="226"/>
      <c r="R9022" s="226"/>
      <c r="S9022" s="226"/>
      <c r="T9022" s="226"/>
      <c r="U9022" s="226"/>
    </row>
    <row r="9023" spans="16:21" x14ac:dyDescent="0.35">
      <c r="P9023" s="226"/>
      <c r="Q9023" s="226"/>
      <c r="R9023" s="226"/>
      <c r="S9023" s="226"/>
      <c r="T9023" s="226"/>
      <c r="U9023" s="226"/>
    </row>
    <row r="9024" spans="16:21" x14ac:dyDescent="0.35">
      <c r="P9024" s="226"/>
      <c r="Q9024" s="226"/>
      <c r="R9024" s="226"/>
      <c r="S9024" s="226"/>
      <c r="T9024" s="226"/>
      <c r="U9024" s="226"/>
    </row>
    <row r="9025" spans="16:21" x14ac:dyDescent="0.35">
      <c r="P9025" s="226"/>
      <c r="Q9025" s="226"/>
      <c r="R9025" s="226"/>
      <c r="S9025" s="226"/>
      <c r="T9025" s="226"/>
      <c r="U9025" s="226"/>
    </row>
    <row r="9026" spans="16:21" x14ac:dyDescent="0.35">
      <c r="P9026" s="226"/>
      <c r="Q9026" s="226"/>
      <c r="R9026" s="226"/>
      <c r="S9026" s="226"/>
      <c r="T9026" s="226"/>
      <c r="U9026" s="226"/>
    </row>
    <row r="9027" spans="16:21" x14ac:dyDescent="0.35">
      <c r="P9027" s="226"/>
      <c r="Q9027" s="226"/>
      <c r="R9027" s="226"/>
      <c r="S9027" s="226"/>
      <c r="T9027" s="226"/>
      <c r="U9027" s="226"/>
    </row>
    <row r="9028" spans="16:21" x14ac:dyDescent="0.35">
      <c r="P9028" s="226"/>
      <c r="Q9028" s="226"/>
      <c r="R9028" s="226"/>
      <c r="S9028" s="226"/>
      <c r="T9028" s="226"/>
      <c r="U9028" s="226"/>
    </row>
    <row r="9029" spans="16:21" x14ac:dyDescent="0.35">
      <c r="P9029" s="226"/>
      <c r="Q9029" s="226"/>
      <c r="R9029" s="226"/>
      <c r="S9029" s="226"/>
      <c r="T9029" s="226"/>
      <c r="U9029" s="226"/>
    </row>
    <row r="9030" spans="16:21" x14ac:dyDescent="0.35">
      <c r="P9030" s="226"/>
      <c r="Q9030" s="226"/>
      <c r="R9030" s="226"/>
      <c r="S9030" s="226"/>
      <c r="T9030" s="226"/>
      <c r="U9030" s="226"/>
    </row>
    <row r="9031" spans="16:21" x14ac:dyDescent="0.35">
      <c r="P9031" s="226"/>
      <c r="Q9031" s="226"/>
      <c r="R9031" s="226"/>
      <c r="S9031" s="226"/>
      <c r="T9031" s="226"/>
      <c r="U9031" s="226"/>
    </row>
    <row r="9032" spans="16:21" x14ac:dyDescent="0.35">
      <c r="P9032" s="226"/>
      <c r="Q9032" s="226"/>
      <c r="R9032" s="226"/>
      <c r="S9032" s="226"/>
      <c r="T9032" s="226"/>
      <c r="U9032" s="226"/>
    </row>
    <row r="9033" spans="16:21" x14ac:dyDescent="0.35">
      <c r="P9033" s="226"/>
      <c r="Q9033" s="226"/>
      <c r="R9033" s="226"/>
      <c r="S9033" s="226"/>
      <c r="T9033" s="226"/>
      <c r="U9033" s="226"/>
    </row>
    <row r="9034" spans="16:21" x14ac:dyDescent="0.35">
      <c r="P9034" s="226"/>
      <c r="Q9034" s="226"/>
      <c r="R9034" s="226"/>
      <c r="S9034" s="226"/>
      <c r="T9034" s="226"/>
      <c r="U9034" s="226"/>
    </row>
    <row r="9035" spans="16:21" x14ac:dyDescent="0.35">
      <c r="P9035" s="226"/>
      <c r="Q9035" s="226"/>
      <c r="R9035" s="226"/>
      <c r="S9035" s="226"/>
      <c r="T9035" s="226"/>
      <c r="U9035" s="226"/>
    </row>
    <row r="9036" spans="16:21" x14ac:dyDescent="0.35">
      <c r="P9036" s="226"/>
      <c r="Q9036" s="226"/>
      <c r="R9036" s="226"/>
      <c r="S9036" s="226"/>
      <c r="T9036" s="226"/>
      <c r="U9036" s="226"/>
    </row>
    <row r="9037" spans="16:21" x14ac:dyDescent="0.35">
      <c r="P9037" s="226"/>
      <c r="Q9037" s="226"/>
      <c r="R9037" s="226"/>
      <c r="S9037" s="226"/>
      <c r="T9037" s="226"/>
      <c r="U9037" s="226"/>
    </row>
    <row r="9038" spans="16:21" x14ac:dyDescent="0.35">
      <c r="P9038" s="226"/>
      <c r="Q9038" s="226"/>
      <c r="R9038" s="226"/>
      <c r="S9038" s="226"/>
      <c r="T9038" s="226"/>
      <c r="U9038" s="226"/>
    </row>
    <row r="9039" spans="16:21" x14ac:dyDescent="0.35">
      <c r="P9039" s="226"/>
      <c r="Q9039" s="226"/>
      <c r="R9039" s="226"/>
      <c r="S9039" s="226"/>
      <c r="T9039" s="226"/>
      <c r="U9039" s="226"/>
    </row>
    <row r="9040" spans="16:21" x14ac:dyDescent="0.35">
      <c r="P9040" s="226"/>
      <c r="Q9040" s="226"/>
      <c r="R9040" s="226"/>
      <c r="S9040" s="226"/>
      <c r="T9040" s="226"/>
      <c r="U9040" s="226"/>
    </row>
    <row r="9041" spans="16:21" x14ac:dyDescent="0.35">
      <c r="P9041" s="226"/>
      <c r="Q9041" s="226"/>
      <c r="R9041" s="226"/>
      <c r="S9041" s="226"/>
      <c r="T9041" s="226"/>
      <c r="U9041" s="226"/>
    </row>
    <row r="9042" spans="16:21" x14ac:dyDescent="0.35">
      <c r="P9042" s="226"/>
      <c r="Q9042" s="226"/>
      <c r="R9042" s="226"/>
      <c r="S9042" s="226"/>
      <c r="T9042" s="226"/>
      <c r="U9042" s="226"/>
    </row>
    <row r="9043" spans="16:21" x14ac:dyDescent="0.35">
      <c r="P9043" s="226"/>
      <c r="Q9043" s="226"/>
      <c r="R9043" s="226"/>
      <c r="S9043" s="226"/>
      <c r="T9043" s="226"/>
      <c r="U9043" s="226"/>
    </row>
    <row r="9044" spans="16:21" x14ac:dyDescent="0.35">
      <c r="P9044" s="226"/>
      <c r="Q9044" s="226"/>
      <c r="R9044" s="226"/>
      <c r="S9044" s="226"/>
      <c r="T9044" s="226"/>
      <c r="U9044" s="226"/>
    </row>
    <row r="9045" spans="16:21" x14ac:dyDescent="0.35">
      <c r="P9045" s="226"/>
      <c r="Q9045" s="226"/>
      <c r="R9045" s="226"/>
      <c r="S9045" s="226"/>
      <c r="T9045" s="226"/>
      <c r="U9045" s="226"/>
    </row>
    <row r="9046" spans="16:21" x14ac:dyDescent="0.35">
      <c r="P9046" s="226"/>
      <c r="Q9046" s="226"/>
      <c r="R9046" s="226"/>
      <c r="S9046" s="226"/>
      <c r="T9046" s="226"/>
      <c r="U9046" s="226"/>
    </row>
    <row r="9047" spans="16:21" x14ac:dyDescent="0.35">
      <c r="P9047" s="226"/>
      <c r="Q9047" s="226"/>
      <c r="R9047" s="226"/>
      <c r="S9047" s="226"/>
      <c r="T9047" s="226"/>
      <c r="U9047" s="226"/>
    </row>
    <row r="9048" spans="16:21" x14ac:dyDescent="0.35">
      <c r="P9048" s="226"/>
      <c r="Q9048" s="226"/>
      <c r="R9048" s="226"/>
      <c r="S9048" s="226"/>
      <c r="T9048" s="226"/>
      <c r="U9048" s="226"/>
    </row>
    <row r="9049" spans="16:21" x14ac:dyDescent="0.35">
      <c r="P9049" s="226"/>
      <c r="Q9049" s="226"/>
      <c r="R9049" s="226"/>
      <c r="S9049" s="226"/>
      <c r="T9049" s="226"/>
      <c r="U9049" s="226"/>
    </row>
    <row r="9050" spans="16:21" x14ac:dyDescent="0.35">
      <c r="P9050" s="226"/>
      <c r="Q9050" s="226"/>
      <c r="R9050" s="226"/>
      <c r="S9050" s="226"/>
      <c r="T9050" s="226"/>
      <c r="U9050" s="226"/>
    </row>
    <row r="9051" spans="16:21" x14ac:dyDescent="0.35">
      <c r="P9051" s="226"/>
      <c r="Q9051" s="226"/>
      <c r="R9051" s="226"/>
      <c r="S9051" s="226"/>
      <c r="T9051" s="226"/>
      <c r="U9051" s="226"/>
    </row>
    <row r="9052" spans="16:21" x14ac:dyDescent="0.35">
      <c r="P9052" s="226"/>
      <c r="Q9052" s="226"/>
      <c r="R9052" s="226"/>
      <c r="S9052" s="226"/>
      <c r="T9052" s="226"/>
      <c r="U9052" s="226"/>
    </row>
    <row r="9053" spans="16:21" x14ac:dyDescent="0.35">
      <c r="P9053" s="226"/>
      <c r="Q9053" s="226"/>
      <c r="R9053" s="226"/>
      <c r="S9053" s="226"/>
      <c r="T9053" s="226"/>
      <c r="U9053" s="226"/>
    </row>
    <row r="9054" spans="16:21" x14ac:dyDescent="0.35">
      <c r="P9054" s="226"/>
      <c r="Q9054" s="226"/>
      <c r="R9054" s="226"/>
      <c r="S9054" s="226"/>
      <c r="T9054" s="226"/>
      <c r="U9054" s="226"/>
    </row>
    <row r="9055" spans="16:21" x14ac:dyDescent="0.35">
      <c r="P9055" s="226"/>
      <c r="Q9055" s="226"/>
      <c r="R9055" s="226"/>
      <c r="S9055" s="226"/>
      <c r="T9055" s="226"/>
      <c r="U9055" s="226"/>
    </row>
    <row r="9056" spans="16:21" x14ac:dyDescent="0.35">
      <c r="P9056" s="226"/>
      <c r="Q9056" s="226"/>
      <c r="R9056" s="226"/>
      <c r="S9056" s="226"/>
      <c r="T9056" s="226"/>
      <c r="U9056" s="226"/>
    </row>
    <row r="9057" spans="16:21" x14ac:dyDescent="0.35">
      <c r="P9057" s="226"/>
      <c r="Q9057" s="226"/>
      <c r="R9057" s="226"/>
      <c r="S9057" s="226"/>
      <c r="T9057" s="226"/>
      <c r="U9057" s="226"/>
    </row>
    <row r="9058" spans="16:21" x14ac:dyDescent="0.35">
      <c r="P9058" s="226"/>
      <c r="Q9058" s="226"/>
      <c r="R9058" s="226"/>
      <c r="S9058" s="226"/>
      <c r="T9058" s="226"/>
      <c r="U9058" s="226"/>
    </row>
    <row r="9059" spans="16:21" x14ac:dyDescent="0.35">
      <c r="P9059" s="226"/>
      <c r="Q9059" s="226"/>
      <c r="R9059" s="226"/>
      <c r="S9059" s="226"/>
      <c r="T9059" s="226"/>
      <c r="U9059" s="226"/>
    </row>
    <row r="9060" spans="16:21" x14ac:dyDescent="0.35">
      <c r="P9060" s="226"/>
      <c r="Q9060" s="226"/>
      <c r="R9060" s="226"/>
      <c r="S9060" s="226"/>
      <c r="T9060" s="226"/>
      <c r="U9060" s="226"/>
    </row>
    <row r="9061" spans="16:21" x14ac:dyDescent="0.35">
      <c r="P9061" s="226"/>
      <c r="Q9061" s="226"/>
      <c r="R9061" s="226"/>
      <c r="S9061" s="226"/>
      <c r="T9061" s="226"/>
      <c r="U9061" s="226"/>
    </row>
    <row r="9062" spans="16:21" x14ac:dyDescent="0.35">
      <c r="P9062" s="226"/>
      <c r="Q9062" s="226"/>
      <c r="R9062" s="226"/>
      <c r="S9062" s="226"/>
      <c r="T9062" s="226"/>
      <c r="U9062" s="226"/>
    </row>
    <row r="9063" spans="16:21" x14ac:dyDescent="0.35">
      <c r="P9063" s="226"/>
      <c r="Q9063" s="226"/>
      <c r="R9063" s="226"/>
      <c r="S9063" s="226"/>
      <c r="T9063" s="226"/>
      <c r="U9063" s="226"/>
    </row>
    <row r="9064" spans="16:21" x14ac:dyDescent="0.35">
      <c r="P9064" s="226"/>
      <c r="Q9064" s="226"/>
      <c r="R9064" s="226"/>
      <c r="S9064" s="226"/>
      <c r="T9064" s="226"/>
      <c r="U9064" s="226"/>
    </row>
    <row r="9065" spans="16:21" x14ac:dyDescent="0.35">
      <c r="P9065" s="226"/>
      <c r="Q9065" s="226"/>
      <c r="R9065" s="226"/>
      <c r="S9065" s="226"/>
      <c r="T9065" s="226"/>
      <c r="U9065" s="226"/>
    </row>
    <row r="9066" spans="16:21" x14ac:dyDescent="0.35">
      <c r="P9066" s="226"/>
      <c r="Q9066" s="226"/>
      <c r="R9066" s="226"/>
      <c r="S9066" s="226"/>
      <c r="T9066" s="226"/>
      <c r="U9066" s="226"/>
    </row>
    <row r="9067" spans="16:21" x14ac:dyDescent="0.35">
      <c r="P9067" s="226"/>
      <c r="Q9067" s="226"/>
      <c r="R9067" s="226"/>
      <c r="S9067" s="226"/>
      <c r="T9067" s="226"/>
      <c r="U9067" s="226"/>
    </row>
    <row r="9068" spans="16:21" x14ac:dyDescent="0.35">
      <c r="P9068" s="226"/>
      <c r="Q9068" s="226"/>
      <c r="R9068" s="226"/>
      <c r="S9068" s="226"/>
      <c r="T9068" s="226"/>
      <c r="U9068" s="226"/>
    </row>
    <row r="9069" spans="16:21" x14ac:dyDescent="0.35">
      <c r="P9069" s="226"/>
      <c r="Q9069" s="226"/>
      <c r="R9069" s="226"/>
      <c r="S9069" s="226"/>
      <c r="T9069" s="226"/>
      <c r="U9069" s="226"/>
    </row>
    <row r="9070" spans="16:21" x14ac:dyDescent="0.35">
      <c r="P9070" s="226"/>
      <c r="Q9070" s="226"/>
      <c r="R9070" s="226"/>
      <c r="S9070" s="226"/>
      <c r="T9070" s="226"/>
      <c r="U9070" s="226"/>
    </row>
    <row r="9071" spans="16:21" x14ac:dyDescent="0.35">
      <c r="P9071" s="226"/>
      <c r="Q9071" s="226"/>
      <c r="R9071" s="226"/>
      <c r="S9071" s="226"/>
      <c r="T9071" s="226"/>
      <c r="U9071" s="226"/>
    </row>
    <row r="9072" spans="16:21" x14ac:dyDescent="0.35">
      <c r="P9072" s="226"/>
      <c r="Q9072" s="226"/>
      <c r="R9072" s="226"/>
      <c r="S9072" s="226"/>
      <c r="T9072" s="226"/>
      <c r="U9072" s="226"/>
    </row>
    <row r="9073" spans="16:21" x14ac:dyDescent="0.35">
      <c r="P9073" s="226"/>
      <c r="Q9073" s="226"/>
      <c r="R9073" s="226"/>
      <c r="S9073" s="226"/>
      <c r="T9073" s="226"/>
      <c r="U9073" s="226"/>
    </row>
    <row r="9074" spans="16:21" x14ac:dyDescent="0.35">
      <c r="P9074" s="226"/>
      <c r="Q9074" s="226"/>
      <c r="R9074" s="226"/>
      <c r="S9074" s="226"/>
      <c r="T9074" s="226"/>
      <c r="U9074" s="226"/>
    </row>
    <row r="9075" spans="16:21" x14ac:dyDescent="0.35">
      <c r="P9075" s="226"/>
      <c r="Q9075" s="226"/>
      <c r="R9075" s="226"/>
      <c r="S9075" s="226"/>
      <c r="T9075" s="226"/>
      <c r="U9075" s="226"/>
    </row>
    <row r="9076" spans="16:21" x14ac:dyDescent="0.35">
      <c r="P9076" s="226"/>
      <c r="Q9076" s="226"/>
      <c r="R9076" s="226"/>
      <c r="S9076" s="226"/>
      <c r="T9076" s="226"/>
      <c r="U9076" s="226"/>
    </row>
    <row r="9077" spans="16:21" x14ac:dyDescent="0.35">
      <c r="P9077" s="226"/>
      <c r="Q9077" s="226"/>
      <c r="R9077" s="226"/>
      <c r="S9077" s="226"/>
      <c r="T9077" s="226"/>
      <c r="U9077" s="226"/>
    </row>
    <row r="9078" spans="16:21" x14ac:dyDescent="0.35">
      <c r="P9078" s="226"/>
      <c r="Q9078" s="226"/>
      <c r="R9078" s="226"/>
      <c r="S9078" s="226"/>
      <c r="T9078" s="226"/>
      <c r="U9078" s="226"/>
    </row>
    <row r="9079" spans="16:21" x14ac:dyDescent="0.35">
      <c r="P9079" s="226"/>
      <c r="Q9079" s="226"/>
      <c r="R9079" s="226"/>
      <c r="S9079" s="226"/>
      <c r="T9079" s="226"/>
      <c r="U9079" s="226"/>
    </row>
    <row r="9080" spans="16:21" x14ac:dyDescent="0.35">
      <c r="P9080" s="226"/>
      <c r="Q9080" s="226"/>
      <c r="R9080" s="226"/>
      <c r="S9080" s="226"/>
      <c r="T9080" s="226"/>
      <c r="U9080" s="226"/>
    </row>
    <row r="9081" spans="16:21" x14ac:dyDescent="0.35">
      <c r="P9081" s="226"/>
      <c r="Q9081" s="226"/>
      <c r="R9081" s="226"/>
      <c r="S9081" s="226"/>
      <c r="T9081" s="226"/>
      <c r="U9081" s="226"/>
    </row>
    <row r="9082" spans="16:21" x14ac:dyDescent="0.35">
      <c r="P9082" s="226"/>
      <c r="Q9082" s="226"/>
      <c r="R9082" s="226"/>
      <c r="S9082" s="226"/>
      <c r="T9082" s="226"/>
      <c r="U9082" s="226"/>
    </row>
    <row r="9083" spans="16:21" x14ac:dyDescent="0.35">
      <c r="P9083" s="226"/>
      <c r="Q9083" s="226"/>
      <c r="R9083" s="226"/>
      <c r="S9083" s="226"/>
      <c r="T9083" s="226"/>
      <c r="U9083" s="226"/>
    </row>
    <row r="9084" spans="16:21" x14ac:dyDescent="0.35">
      <c r="P9084" s="226"/>
      <c r="Q9084" s="226"/>
      <c r="R9084" s="226"/>
      <c r="S9084" s="226"/>
      <c r="T9084" s="226"/>
      <c r="U9084" s="226"/>
    </row>
    <row r="9085" spans="16:21" x14ac:dyDescent="0.35">
      <c r="P9085" s="226"/>
      <c r="Q9085" s="226"/>
      <c r="R9085" s="226"/>
      <c r="S9085" s="226"/>
      <c r="T9085" s="226"/>
      <c r="U9085" s="226"/>
    </row>
    <row r="9086" spans="16:21" x14ac:dyDescent="0.35">
      <c r="P9086" s="226"/>
      <c r="Q9086" s="226"/>
      <c r="R9086" s="226"/>
      <c r="S9086" s="226"/>
      <c r="T9086" s="226"/>
      <c r="U9086" s="226"/>
    </row>
    <row r="9087" spans="16:21" x14ac:dyDescent="0.35">
      <c r="P9087" s="226"/>
      <c r="Q9087" s="226"/>
      <c r="R9087" s="226"/>
      <c r="S9087" s="226"/>
      <c r="T9087" s="226"/>
      <c r="U9087" s="226"/>
    </row>
    <row r="9088" spans="16:21" x14ac:dyDescent="0.35">
      <c r="P9088" s="226"/>
      <c r="Q9088" s="226"/>
      <c r="R9088" s="226"/>
      <c r="S9088" s="226"/>
      <c r="T9088" s="226"/>
      <c r="U9088" s="226"/>
    </row>
    <row r="9089" spans="16:21" x14ac:dyDescent="0.35">
      <c r="P9089" s="226"/>
      <c r="Q9089" s="226"/>
      <c r="R9089" s="226"/>
      <c r="S9089" s="226"/>
      <c r="T9089" s="226"/>
      <c r="U9089" s="226"/>
    </row>
    <row r="9090" spans="16:21" x14ac:dyDescent="0.35">
      <c r="P9090" s="226"/>
      <c r="Q9090" s="226"/>
      <c r="R9090" s="226"/>
      <c r="S9090" s="226"/>
      <c r="T9090" s="226"/>
      <c r="U9090" s="226"/>
    </row>
    <row r="9091" spans="16:21" x14ac:dyDescent="0.35">
      <c r="P9091" s="226"/>
      <c r="Q9091" s="226"/>
      <c r="R9091" s="226"/>
      <c r="S9091" s="226"/>
      <c r="T9091" s="226"/>
      <c r="U9091" s="226"/>
    </row>
    <row r="9092" spans="16:21" x14ac:dyDescent="0.35">
      <c r="P9092" s="226"/>
      <c r="Q9092" s="226"/>
      <c r="R9092" s="226"/>
      <c r="S9092" s="226"/>
      <c r="T9092" s="226"/>
      <c r="U9092" s="226"/>
    </row>
    <row r="9093" spans="16:21" x14ac:dyDescent="0.35">
      <c r="P9093" s="226"/>
      <c r="Q9093" s="226"/>
      <c r="R9093" s="226"/>
      <c r="S9093" s="226"/>
      <c r="T9093" s="226"/>
      <c r="U9093" s="226"/>
    </row>
    <row r="9094" spans="16:21" x14ac:dyDescent="0.35">
      <c r="P9094" s="226"/>
      <c r="Q9094" s="226"/>
      <c r="R9094" s="226"/>
      <c r="S9094" s="226"/>
      <c r="T9094" s="226"/>
      <c r="U9094" s="226"/>
    </row>
    <row r="9095" spans="16:21" x14ac:dyDescent="0.35">
      <c r="P9095" s="226"/>
      <c r="Q9095" s="226"/>
      <c r="R9095" s="226"/>
      <c r="S9095" s="226"/>
      <c r="T9095" s="226"/>
      <c r="U9095" s="226"/>
    </row>
    <row r="9096" spans="16:21" x14ac:dyDescent="0.35">
      <c r="P9096" s="226"/>
      <c r="Q9096" s="226"/>
      <c r="R9096" s="226"/>
      <c r="S9096" s="226"/>
      <c r="T9096" s="226"/>
      <c r="U9096" s="226"/>
    </row>
    <row r="9097" spans="16:21" x14ac:dyDescent="0.35">
      <c r="P9097" s="226"/>
      <c r="Q9097" s="226"/>
      <c r="R9097" s="226"/>
      <c r="S9097" s="226"/>
      <c r="T9097" s="226"/>
      <c r="U9097" s="226"/>
    </row>
    <row r="9098" spans="16:21" x14ac:dyDescent="0.35">
      <c r="P9098" s="226"/>
      <c r="Q9098" s="226"/>
      <c r="R9098" s="226"/>
      <c r="S9098" s="226"/>
      <c r="T9098" s="226"/>
      <c r="U9098" s="226"/>
    </row>
    <row r="9099" spans="16:21" x14ac:dyDescent="0.35">
      <c r="P9099" s="226"/>
      <c r="Q9099" s="226"/>
      <c r="R9099" s="226"/>
      <c r="S9099" s="226"/>
      <c r="T9099" s="226"/>
      <c r="U9099" s="226"/>
    </row>
    <row r="9100" spans="16:21" x14ac:dyDescent="0.35">
      <c r="P9100" s="226"/>
      <c r="Q9100" s="226"/>
      <c r="R9100" s="226"/>
      <c r="S9100" s="226"/>
      <c r="T9100" s="226"/>
      <c r="U9100" s="226"/>
    </row>
    <row r="9101" spans="16:21" x14ac:dyDescent="0.35">
      <c r="P9101" s="226"/>
      <c r="Q9101" s="226"/>
      <c r="R9101" s="226"/>
      <c r="S9101" s="226"/>
      <c r="T9101" s="226"/>
      <c r="U9101" s="226"/>
    </row>
    <row r="9102" spans="16:21" x14ac:dyDescent="0.35">
      <c r="P9102" s="226"/>
      <c r="Q9102" s="226"/>
      <c r="R9102" s="226"/>
      <c r="S9102" s="226"/>
      <c r="T9102" s="226"/>
      <c r="U9102" s="226"/>
    </row>
    <row r="9103" spans="16:21" x14ac:dyDescent="0.35">
      <c r="P9103" s="226"/>
      <c r="Q9103" s="226"/>
      <c r="R9103" s="226"/>
      <c r="S9103" s="226"/>
      <c r="T9103" s="226"/>
      <c r="U9103" s="226"/>
    </row>
    <row r="9104" spans="16:21" x14ac:dyDescent="0.35">
      <c r="P9104" s="226"/>
      <c r="Q9104" s="226"/>
      <c r="R9104" s="226"/>
      <c r="S9104" s="226"/>
      <c r="T9104" s="226"/>
      <c r="U9104" s="226"/>
    </row>
    <row r="9105" spans="16:21" x14ac:dyDescent="0.35">
      <c r="P9105" s="226"/>
      <c r="Q9105" s="226"/>
      <c r="R9105" s="226"/>
      <c r="S9105" s="226"/>
      <c r="T9105" s="226"/>
      <c r="U9105" s="226"/>
    </row>
    <row r="9106" spans="16:21" x14ac:dyDescent="0.35">
      <c r="P9106" s="226"/>
      <c r="Q9106" s="226"/>
      <c r="R9106" s="226"/>
      <c r="S9106" s="226"/>
      <c r="T9106" s="226"/>
      <c r="U9106" s="226"/>
    </row>
    <row r="9107" spans="16:21" x14ac:dyDescent="0.35">
      <c r="P9107" s="226"/>
      <c r="Q9107" s="226"/>
      <c r="R9107" s="226"/>
      <c r="S9107" s="226"/>
      <c r="T9107" s="226"/>
      <c r="U9107" s="226"/>
    </row>
    <row r="9108" spans="16:21" x14ac:dyDescent="0.35">
      <c r="P9108" s="226"/>
      <c r="Q9108" s="226"/>
      <c r="R9108" s="226"/>
      <c r="S9108" s="226"/>
      <c r="T9108" s="226"/>
      <c r="U9108" s="226"/>
    </row>
    <row r="9109" spans="16:21" x14ac:dyDescent="0.35">
      <c r="P9109" s="226"/>
      <c r="Q9109" s="226"/>
      <c r="R9109" s="226"/>
      <c r="S9109" s="226"/>
      <c r="T9109" s="226"/>
      <c r="U9109" s="226"/>
    </row>
    <row r="9110" spans="16:21" x14ac:dyDescent="0.35">
      <c r="P9110" s="226"/>
      <c r="Q9110" s="226"/>
      <c r="R9110" s="226"/>
      <c r="S9110" s="226"/>
      <c r="T9110" s="226"/>
      <c r="U9110" s="226"/>
    </row>
    <row r="9111" spans="16:21" x14ac:dyDescent="0.35">
      <c r="P9111" s="226"/>
      <c r="Q9111" s="226"/>
      <c r="R9111" s="226"/>
      <c r="S9111" s="226"/>
      <c r="T9111" s="226"/>
      <c r="U9111" s="226"/>
    </row>
    <row r="9112" spans="16:21" x14ac:dyDescent="0.35">
      <c r="P9112" s="226"/>
      <c r="Q9112" s="226"/>
      <c r="R9112" s="226"/>
      <c r="S9112" s="226"/>
      <c r="T9112" s="226"/>
      <c r="U9112" s="226"/>
    </row>
    <row r="9113" spans="16:21" x14ac:dyDescent="0.35">
      <c r="P9113" s="226"/>
      <c r="Q9113" s="226"/>
      <c r="R9113" s="226"/>
      <c r="S9113" s="226"/>
      <c r="T9113" s="226"/>
      <c r="U9113" s="226"/>
    </row>
    <row r="9114" spans="16:21" x14ac:dyDescent="0.35">
      <c r="P9114" s="226"/>
      <c r="Q9114" s="226"/>
      <c r="R9114" s="226"/>
      <c r="S9114" s="226"/>
      <c r="T9114" s="226"/>
      <c r="U9114" s="226"/>
    </row>
    <row r="9115" spans="16:21" x14ac:dyDescent="0.35">
      <c r="P9115" s="226"/>
      <c r="Q9115" s="226"/>
      <c r="R9115" s="226"/>
      <c r="S9115" s="226"/>
      <c r="T9115" s="226"/>
      <c r="U9115" s="226"/>
    </row>
    <row r="9116" spans="16:21" x14ac:dyDescent="0.35">
      <c r="P9116" s="226"/>
      <c r="Q9116" s="226"/>
      <c r="R9116" s="226"/>
      <c r="S9116" s="226"/>
      <c r="T9116" s="226"/>
      <c r="U9116" s="226"/>
    </row>
    <row r="9117" spans="16:21" x14ac:dyDescent="0.35">
      <c r="P9117" s="226"/>
      <c r="Q9117" s="226"/>
      <c r="R9117" s="226"/>
      <c r="S9117" s="226"/>
      <c r="T9117" s="226"/>
      <c r="U9117" s="226"/>
    </row>
    <row r="9118" spans="16:21" x14ac:dyDescent="0.35">
      <c r="P9118" s="226"/>
      <c r="Q9118" s="226"/>
      <c r="R9118" s="226"/>
      <c r="S9118" s="226"/>
      <c r="T9118" s="226"/>
      <c r="U9118" s="226"/>
    </row>
    <row r="9119" spans="16:21" x14ac:dyDescent="0.35">
      <c r="P9119" s="226"/>
      <c r="Q9119" s="226"/>
      <c r="R9119" s="226"/>
      <c r="S9119" s="226"/>
      <c r="T9119" s="226"/>
      <c r="U9119" s="226"/>
    </row>
    <row r="9120" spans="16:21" x14ac:dyDescent="0.35">
      <c r="P9120" s="226"/>
      <c r="Q9120" s="226"/>
      <c r="R9120" s="226"/>
      <c r="S9120" s="226"/>
      <c r="T9120" s="226"/>
      <c r="U9120" s="226"/>
    </row>
    <row r="9121" spans="16:21" x14ac:dyDescent="0.35">
      <c r="P9121" s="226"/>
      <c r="Q9121" s="226"/>
      <c r="R9121" s="226"/>
      <c r="S9121" s="226"/>
      <c r="T9121" s="226"/>
      <c r="U9121" s="226"/>
    </row>
    <row r="9122" spans="16:21" x14ac:dyDescent="0.35">
      <c r="P9122" s="226"/>
      <c r="Q9122" s="226"/>
      <c r="R9122" s="226"/>
      <c r="S9122" s="226"/>
      <c r="T9122" s="226"/>
      <c r="U9122" s="226"/>
    </row>
    <row r="9123" spans="16:21" x14ac:dyDescent="0.35">
      <c r="P9123" s="226"/>
      <c r="Q9123" s="226"/>
      <c r="R9123" s="226"/>
      <c r="S9123" s="226"/>
      <c r="T9123" s="226"/>
      <c r="U9123" s="226"/>
    </row>
    <row r="9124" spans="16:21" x14ac:dyDescent="0.35">
      <c r="P9124" s="226"/>
      <c r="Q9124" s="226"/>
      <c r="R9124" s="226"/>
      <c r="S9124" s="226"/>
      <c r="T9124" s="226"/>
      <c r="U9124" s="226"/>
    </row>
    <row r="9125" spans="16:21" x14ac:dyDescent="0.35">
      <c r="P9125" s="226"/>
      <c r="Q9125" s="226"/>
      <c r="R9125" s="226"/>
      <c r="S9125" s="226"/>
      <c r="T9125" s="226"/>
      <c r="U9125" s="226"/>
    </row>
    <row r="9126" spans="16:21" x14ac:dyDescent="0.35">
      <c r="P9126" s="226"/>
      <c r="Q9126" s="226"/>
      <c r="R9126" s="226"/>
      <c r="S9126" s="226"/>
      <c r="T9126" s="226"/>
      <c r="U9126" s="226"/>
    </row>
    <row r="9127" spans="16:21" x14ac:dyDescent="0.35">
      <c r="P9127" s="226"/>
      <c r="Q9127" s="226"/>
      <c r="R9127" s="226"/>
      <c r="S9127" s="226"/>
      <c r="T9127" s="226"/>
      <c r="U9127" s="226"/>
    </row>
    <row r="9128" spans="16:21" x14ac:dyDescent="0.35">
      <c r="P9128" s="226"/>
      <c r="Q9128" s="226"/>
      <c r="R9128" s="226"/>
      <c r="S9128" s="226"/>
      <c r="T9128" s="226"/>
      <c r="U9128" s="226"/>
    </row>
    <row r="9129" spans="16:21" x14ac:dyDescent="0.35">
      <c r="P9129" s="226"/>
      <c r="Q9129" s="226"/>
      <c r="R9129" s="226"/>
      <c r="S9129" s="226"/>
      <c r="T9129" s="226"/>
      <c r="U9129" s="226"/>
    </row>
    <row r="9130" spans="16:21" x14ac:dyDescent="0.35">
      <c r="P9130" s="226"/>
      <c r="Q9130" s="226"/>
      <c r="R9130" s="226"/>
      <c r="S9130" s="226"/>
      <c r="T9130" s="226"/>
      <c r="U9130" s="226"/>
    </row>
    <row r="9131" spans="16:21" x14ac:dyDescent="0.35">
      <c r="P9131" s="226"/>
      <c r="Q9131" s="226"/>
      <c r="R9131" s="226"/>
      <c r="S9131" s="226"/>
      <c r="T9131" s="226"/>
      <c r="U9131" s="226"/>
    </row>
    <row r="9132" spans="16:21" x14ac:dyDescent="0.35">
      <c r="P9132" s="226"/>
      <c r="Q9132" s="226"/>
      <c r="R9132" s="226"/>
      <c r="S9132" s="226"/>
      <c r="T9132" s="226"/>
      <c r="U9132" s="226"/>
    </row>
    <row r="9133" spans="16:21" x14ac:dyDescent="0.35">
      <c r="P9133" s="226"/>
      <c r="Q9133" s="226"/>
      <c r="R9133" s="226"/>
      <c r="S9133" s="226"/>
      <c r="T9133" s="226"/>
      <c r="U9133" s="226"/>
    </row>
    <row r="9134" spans="16:21" x14ac:dyDescent="0.35">
      <c r="P9134" s="226"/>
      <c r="Q9134" s="226"/>
      <c r="R9134" s="226"/>
      <c r="S9134" s="226"/>
      <c r="T9134" s="226"/>
      <c r="U9134" s="226"/>
    </row>
    <row r="9135" spans="16:21" x14ac:dyDescent="0.35">
      <c r="P9135" s="226"/>
      <c r="Q9135" s="226"/>
      <c r="R9135" s="226"/>
      <c r="S9135" s="226"/>
      <c r="T9135" s="226"/>
      <c r="U9135" s="226"/>
    </row>
    <row r="9136" spans="16:21" x14ac:dyDescent="0.35">
      <c r="P9136" s="226"/>
      <c r="Q9136" s="226"/>
      <c r="R9136" s="226"/>
      <c r="S9136" s="226"/>
      <c r="T9136" s="226"/>
      <c r="U9136" s="226"/>
    </row>
    <row r="9137" spans="16:21" x14ac:dyDescent="0.35">
      <c r="P9137" s="226"/>
      <c r="Q9137" s="226"/>
      <c r="R9137" s="226"/>
      <c r="S9137" s="226"/>
      <c r="T9137" s="226"/>
      <c r="U9137" s="226"/>
    </row>
    <row r="9138" spans="16:21" x14ac:dyDescent="0.35">
      <c r="P9138" s="226"/>
      <c r="Q9138" s="226"/>
      <c r="R9138" s="226"/>
      <c r="S9138" s="226"/>
      <c r="T9138" s="226"/>
      <c r="U9138" s="226"/>
    </row>
    <row r="9139" spans="16:21" x14ac:dyDescent="0.35">
      <c r="P9139" s="226"/>
      <c r="Q9139" s="226"/>
      <c r="R9139" s="226"/>
      <c r="S9139" s="226"/>
      <c r="T9139" s="226"/>
      <c r="U9139" s="226"/>
    </row>
    <row r="9140" spans="16:21" x14ac:dyDescent="0.35">
      <c r="P9140" s="226"/>
      <c r="Q9140" s="226"/>
      <c r="R9140" s="226"/>
      <c r="S9140" s="226"/>
      <c r="T9140" s="226"/>
      <c r="U9140" s="226"/>
    </row>
    <row r="9141" spans="16:21" x14ac:dyDescent="0.35">
      <c r="P9141" s="226"/>
      <c r="Q9141" s="226"/>
      <c r="R9141" s="226"/>
      <c r="S9141" s="226"/>
      <c r="T9141" s="226"/>
      <c r="U9141" s="226"/>
    </row>
    <row r="9142" spans="16:21" x14ac:dyDescent="0.35">
      <c r="P9142" s="226"/>
      <c r="Q9142" s="226"/>
      <c r="R9142" s="226"/>
      <c r="S9142" s="226"/>
      <c r="T9142" s="226"/>
      <c r="U9142" s="226"/>
    </row>
    <row r="9143" spans="16:21" x14ac:dyDescent="0.35">
      <c r="P9143" s="226"/>
      <c r="Q9143" s="226"/>
      <c r="R9143" s="226"/>
      <c r="S9143" s="226"/>
      <c r="T9143" s="226"/>
      <c r="U9143" s="226"/>
    </row>
    <row r="9144" spans="16:21" x14ac:dyDescent="0.35">
      <c r="P9144" s="226"/>
      <c r="Q9144" s="226"/>
      <c r="R9144" s="226"/>
      <c r="S9144" s="226"/>
      <c r="T9144" s="226"/>
      <c r="U9144" s="226"/>
    </row>
    <row r="9145" spans="16:21" x14ac:dyDescent="0.35">
      <c r="P9145" s="226"/>
      <c r="Q9145" s="226"/>
      <c r="R9145" s="226"/>
      <c r="S9145" s="226"/>
      <c r="T9145" s="226"/>
      <c r="U9145" s="226"/>
    </row>
    <row r="9146" spans="16:21" x14ac:dyDescent="0.35">
      <c r="P9146" s="226"/>
      <c r="Q9146" s="226"/>
      <c r="R9146" s="226"/>
      <c r="S9146" s="226"/>
      <c r="T9146" s="226"/>
      <c r="U9146" s="226"/>
    </row>
    <row r="9147" spans="16:21" x14ac:dyDescent="0.35">
      <c r="P9147" s="226"/>
      <c r="Q9147" s="226"/>
      <c r="R9147" s="226"/>
      <c r="S9147" s="226"/>
      <c r="T9147" s="226"/>
      <c r="U9147" s="226"/>
    </row>
    <row r="9148" spans="16:21" x14ac:dyDescent="0.35">
      <c r="P9148" s="226"/>
      <c r="Q9148" s="226"/>
      <c r="R9148" s="226"/>
      <c r="S9148" s="226"/>
      <c r="T9148" s="226"/>
      <c r="U9148" s="226"/>
    </row>
    <row r="9149" spans="16:21" x14ac:dyDescent="0.35">
      <c r="P9149" s="226"/>
      <c r="Q9149" s="226"/>
      <c r="R9149" s="226"/>
      <c r="S9149" s="226"/>
      <c r="T9149" s="226"/>
      <c r="U9149" s="226"/>
    </row>
    <row r="9150" spans="16:21" x14ac:dyDescent="0.35">
      <c r="P9150" s="226"/>
      <c r="Q9150" s="226"/>
      <c r="R9150" s="226"/>
      <c r="S9150" s="226"/>
      <c r="T9150" s="226"/>
      <c r="U9150" s="226"/>
    </row>
    <row r="9151" spans="16:21" x14ac:dyDescent="0.35">
      <c r="P9151" s="226"/>
      <c r="Q9151" s="226"/>
      <c r="R9151" s="226"/>
      <c r="S9151" s="226"/>
      <c r="T9151" s="226"/>
      <c r="U9151" s="226"/>
    </row>
    <row r="9152" spans="16:21" x14ac:dyDescent="0.35">
      <c r="P9152" s="226"/>
      <c r="Q9152" s="226"/>
      <c r="R9152" s="226"/>
      <c r="S9152" s="226"/>
      <c r="T9152" s="226"/>
      <c r="U9152" s="226"/>
    </row>
    <row r="9153" spans="16:21" x14ac:dyDescent="0.35">
      <c r="P9153" s="226"/>
      <c r="Q9153" s="226"/>
      <c r="R9153" s="226"/>
      <c r="S9153" s="226"/>
      <c r="T9153" s="226"/>
      <c r="U9153" s="226"/>
    </row>
    <row r="9154" spans="16:21" x14ac:dyDescent="0.35">
      <c r="P9154" s="226"/>
      <c r="Q9154" s="226"/>
      <c r="R9154" s="226"/>
      <c r="S9154" s="226"/>
      <c r="T9154" s="226"/>
      <c r="U9154" s="226"/>
    </row>
    <row r="9155" spans="16:21" x14ac:dyDescent="0.35">
      <c r="P9155" s="226"/>
      <c r="Q9155" s="226"/>
      <c r="R9155" s="226"/>
      <c r="S9155" s="226"/>
      <c r="T9155" s="226"/>
      <c r="U9155" s="226"/>
    </row>
    <row r="9156" spans="16:21" x14ac:dyDescent="0.35">
      <c r="P9156" s="226"/>
      <c r="Q9156" s="226"/>
      <c r="R9156" s="226"/>
      <c r="S9156" s="226"/>
      <c r="T9156" s="226"/>
      <c r="U9156" s="226"/>
    </row>
    <row r="9157" spans="16:21" x14ac:dyDescent="0.35">
      <c r="P9157" s="226"/>
      <c r="Q9157" s="226"/>
      <c r="R9157" s="226"/>
      <c r="S9157" s="226"/>
      <c r="T9157" s="226"/>
      <c r="U9157" s="226"/>
    </row>
    <row r="9158" spans="16:21" x14ac:dyDescent="0.35">
      <c r="P9158" s="226"/>
      <c r="Q9158" s="226"/>
      <c r="R9158" s="226"/>
      <c r="S9158" s="226"/>
      <c r="T9158" s="226"/>
      <c r="U9158" s="226"/>
    </row>
    <row r="9159" spans="16:21" x14ac:dyDescent="0.35">
      <c r="P9159" s="226"/>
      <c r="Q9159" s="226"/>
      <c r="R9159" s="226"/>
      <c r="S9159" s="226"/>
      <c r="T9159" s="226"/>
      <c r="U9159" s="226"/>
    </row>
    <row r="9160" spans="16:21" x14ac:dyDescent="0.35">
      <c r="P9160" s="226"/>
      <c r="Q9160" s="226"/>
      <c r="R9160" s="226"/>
      <c r="S9160" s="226"/>
      <c r="T9160" s="226"/>
      <c r="U9160" s="226"/>
    </row>
    <row r="9161" spans="16:21" x14ac:dyDescent="0.35">
      <c r="P9161" s="226"/>
      <c r="Q9161" s="226"/>
      <c r="R9161" s="226"/>
      <c r="S9161" s="226"/>
      <c r="T9161" s="226"/>
      <c r="U9161" s="226"/>
    </row>
    <row r="9162" spans="16:21" x14ac:dyDescent="0.35">
      <c r="P9162" s="226"/>
      <c r="Q9162" s="226"/>
      <c r="R9162" s="226"/>
      <c r="S9162" s="226"/>
      <c r="T9162" s="226"/>
      <c r="U9162" s="226"/>
    </row>
    <row r="9163" spans="16:21" x14ac:dyDescent="0.35">
      <c r="P9163" s="226"/>
      <c r="Q9163" s="226"/>
      <c r="R9163" s="226"/>
      <c r="S9163" s="226"/>
      <c r="T9163" s="226"/>
      <c r="U9163" s="226"/>
    </row>
    <row r="9164" spans="16:21" x14ac:dyDescent="0.35">
      <c r="P9164" s="226"/>
      <c r="Q9164" s="226"/>
      <c r="R9164" s="226"/>
      <c r="S9164" s="226"/>
      <c r="T9164" s="226"/>
      <c r="U9164" s="226"/>
    </row>
    <row r="9165" spans="16:21" x14ac:dyDescent="0.35">
      <c r="P9165" s="226"/>
      <c r="Q9165" s="226"/>
      <c r="R9165" s="226"/>
      <c r="S9165" s="226"/>
      <c r="T9165" s="226"/>
      <c r="U9165" s="226"/>
    </row>
    <row r="9166" spans="16:21" x14ac:dyDescent="0.35">
      <c r="P9166" s="226"/>
      <c r="Q9166" s="226"/>
      <c r="R9166" s="226"/>
      <c r="S9166" s="226"/>
      <c r="T9166" s="226"/>
      <c r="U9166" s="226"/>
    </row>
    <row r="9167" spans="16:21" x14ac:dyDescent="0.35">
      <c r="P9167" s="226"/>
      <c r="Q9167" s="226"/>
      <c r="R9167" s="226"/>
      <c r="S9167" s="226"/>
      <c r="T9167" s="226"/>
      <c r="U9167" s="226"/>
    </row>
    <row r="9168" spans="16:21" x14ac:dyDescent="0.35">
      <c r="P9168" s="226"/>
      <c r="Q9168" s="226"/>
      <c r="R9168" s="226"/>
      <c r="S9168" s="226"/>
      <c r="T9168" s="226"/>
      <c r="U9168" s="226"/>
    </row>
    <row r="9169" spans="16:21" x14ac:dyDescent="0.35">
      <c r="P9169" s="226"/>
      <c r="Q9169" s="226"/>
      <c r="R9169" s="226"/>
      <c r="S9169" s="226"/>
      <c r="T9169" s="226"/>
      <c r="U9169" s="226"/>
    </row>
    <row r="9170" spans="16:21" x14ac:dyDescent="0.35">
      <c r="P9170" s="226"/>
      <c r="Q9170" s="226"/>
      <c r="R9170" s="226"/>
      <c r="S9170" s="226"/>
      <c r="T9170" s="226"/>
      <c r="U9170" s="226"/>
    </row>
    <row r="9171" spans="16:21" x14ac:dyDescent="0.35">
      <c r="P9171" s="226"/>
      <c r="Q9171" s="226"/>
      <c r="R9171" s="226"/>
      <c r="S9171" s="226"/>
      <c r="T9171" s="226"/>
      <c r="U9171" s="226"/>
    </row>
    <row r="9172" spans="16:21" x14ac:dyDescent="0.35">
      <c r="P9172" s="226"/>
      <c r="Q9172" s="226"/>
      <c r="R9172" s="226"/>
      <c r="S9172" s="226"/>
      <c r="T9172" s="226"/>
      <c r="U9172" s="226"/>
    </row>
    <row r="9173" spans="16:21" x14ac:dyDescent="0.35">
      <c r="P9173" s="226"/>
      <c r="Q9173" s="226"/>
      <c r="R9173" s="226"/>
      <c r="S9173" s="226"/>
      <c r="T9173" s="226"/>
      <c r="U9173" s="226"/>
    </row>
    <row r="9174" spans="16:21" x14ac:dyDescent="0.35">
      <c r="P9174" s="226"/>
      <c r="Q9174" s="226"/>
      <c r="R9174" s="226"/>
      <c r="S9174" s="226"/>
      <c r="T9174" s="226"/>
      <c r="U9174" s="226"/>
    </row>
    <row r="9175" spans="16:21" x14ac:dyDescent="0.35">
      <c r="P9175" s="226"/>
      <c r="Q9175" s="226"/>
      <c r="R9175" s="226"/>
      <c r="S9175" s="226"/>
      <c r="T9175" s="226"/>
      <c r="U9175" s="226"/>
    </row>
    <row r="9176" spans="16:21" x14ac:dyDescent="0.35">
      <c r="P9176" s="226"/>
      <c r="Q9176" s="226"/>
      <c r="R9176" s="226"/>
      <c r="S9176" s="226"/>
      <c r="T9176" s="226"/>
      <c r="U9176" s="226"/>
    </row>
    <row r="9177" spans="16:21" x14ac:dyDescent="0.35">
      <c r="P9177" s="226"/>
      <c r="Q9177" s="226"/>
      <c r="R9177" s="226"/>
      <c r="S9177" s="226"/>
      <c r="T9177" s="226"/>
      <c r="U9177" s="226"/>
    </row>
    <row r="9178" spans="16:21" x14ac:dyDescent="0.35">
      <c r="P9178" s="226"/>
      <c r="Q9178" s="226"/>
      <c r="R9178" s="226"/>
      <c r="S9178" s="226"/>
      <c r="T9178" s="226"/>
      <c r="U9178" s="226"/>
    </row>
    <row r="9179" spans="16:21" x14ac:dyDescent="0.35">
      <c r="P9179" s="226"/>
      <c r="Q9179" s="226"/>
      <c r="R9179" s="226"/>
      <c r="S9179" s="226"/>
      <c r="T9179" s="226"/>
      <c r="U9179" s="226"/>
    </row>
    <row r="9180" spans="16:21" x14ac:dyDescent="0.35">
      <c r="P9180" s="226"/>
      <c r="Q9180" s="226"/>
      <c r="R9180" s="226"/>
      <c r="S9180" s="226"/>
      <c r="T9180" s="226"/>
      <c r="U9180" s="226"/>
    </row>
    <row r="9181" spans="16:21" x14ac:dyDescent="0.35">
      <c r="P9181" s="226"/>
      <c r="Q9181" s="226"/>
      <c r="R9181" s="226"/>
      <c r="S9181" s="226"/>
      <c r="T9181" s="226"/>
      <c r="U9181" s="226"/>
    </row>
    <row r="9182" spans="16:21" x14ac:dyDescent="0.35">
      <c r="P9182" s="226"/>
      <c r="Q9182" s="226"/>
      <c r="R9182" s="226"/>
      <c r="S9182" s="226"/>
      <c r="T9182" s="226"/>
      <c r="U9182" s="226"/>
    </row>
    <row r="9183" spans="16:21" x14ac:dyDescent="0.35">
      <c r="P9183" s="226"/>
      <c r="Q9183" s="226"/>
      <c r="R9183" s="226"/>
      <c r="S9183" s="226"/>
      <c r="T9183" s="226"/>
      <c r="U9183" s="226"/>
    </row>
    <row r="9184" spans="16:21" x14ac:dyDescent="0.35">
      <c r="P9184" s="226"/>
      <c r="Q9184" s="226"/>
      <c r="R9184" s="226"/>
      <c r="S9184" s="226"/>
      <c r="T9184" s="226"/>
      <c r="U9184" s="226"/>
    </row>
    <row r="9185" spans="16:21" x14ac:dyDescent="0.35">
      <c r="P9185" s="226"/>
      <c r="Q9185" s="226"/>
      <c r="R9185" s="226"/>
      <c r="S9185" s="226"/>
      <c r="T9185" s="226"/>
      <c r="U9185" s="226"/>
    </row>
    <row r="9186" spans="16:21" x14ac:dyDescent="0.35">
      <c r="P9186" s="226"/>
      <c r="Q9186" s="226"/>
      <c r="R9186" s="226"/>
      <c r="S9186" s="226"/>
      <c r="T9186" s="226"/>
      <c r="U9186" s="226"/>
    </row>
    <row r="9187" spans="16:21" x14ac:dyDescent="0.35">
      <c r="P9187" s="226"/>
      <c r="Q9187" s="226"/>
      <c r="R9187" s="226"/>
      <c r="S9187" s="226"/>
      <c r="T9187" s="226"/>
      <c r="U9187" s="226"/>
    </row>
    <row r="9188" spans="16:21" x14ac:dyDescent="0.35">
      <c r="P9188" s="226"/>
      <c r="Q9188" s="226"/>
      <c r="R9188" s="226"/>
      <c r="S9188" s="226"/>
      <c r="T9188" s="226"/>
      <c r="U9188" s="226"/>
    </row>
    <row r="9189" spans="16:21" x14ac:dyDescent="0.35">
      <c r="P9189" s="226"/>
      <c r="Q9189" s="226"/>
      <c r="R9189" s="226"/>
      <c r="S9189" s="226"/>
      <c r="T9189" s="226"/>
      <c r="U9189" s="226"/>
    </row>
    <row r="9190" spans="16:21" x14ac:dyDescent="0.35">
      <c r="P9190" s="226"/>
      <c r="Q9190" s="226"/>
      <c r="R9190" s="226"/>
      <c r="S9190" s="226"/>
      <c r="T9190" s="226"/>
      <c r="U9190" s="226"/>
    </row>
    <row r="9191" spans="16:21" x14ac:dyDescent="0.35">
      <c r="P9191" s="226"/>
      <c r="Q9191" s="226"/>
      <c r="R9191" s="226"/>
      <c r="S9191" s="226"/>
      <c r="T9191" s="226"/>
      <c r="U9191" s="226"/>
    </row>
    <row r="9192" spans="16:21" x14ac:dyDescent="0.35">
      <c r="P9192" s="226"/>
      <c r="Q9192" s="226"/>
      <c r="R9192" s="226"/>
      <c r="S9192" s="226"/>
      <c r="T9192" s="226"/>
      <c r="U9192" s="226"/>
    </row>
    <row r="9193" spans="16:21" x14ac:dyDescent="0.35">
      <c r="P9193" s="226"/>
      <c r="Q9193" s="226"/>
      <c r="R9193" s="226"/>
      <c r="S9193" s="226"/>
      <c r="T9193" s="226"/>
      <c r="U9193" s="226"/>
    </row>
    <row r="9194" spans="16:21" x14ac:dyDescent="0.35">
      <c r="P9194" s="226"/>
      <c r="Q9194" s="226"/>
      <c r="R9194" s="226"/>
      <c r="S9194" s="226"/>
      <c r="T9194" s="226"/>
      <c r="U9194" s="226"/>
    </row>
    <row r="9195" spans="16:21" x14ac:dyDescent="0.35">
      <c r="P9195" s="226"/>
      <c r="Q9195" s="226"/>
      <c r="R9195" s="226"/>
      <c r="S9195" s="226"/>
      <c r="T9195" s="226"/>
      <c r="U9195" s="226"/>
    </row>
    <row r="9196" spans="16:21" x14ac:dyDescent="0.35">
      <c r="P9196" s="226"/>
      <c r="Q9196" s="226"/>
      <c r="R9196" s="226"/>
      <c r="S9196" s="226"/>
      <c r="T9196" s="226"/>
      <c r="U9196" s="226"/>
    </row>
    <row r="9197" spans="16:21" x14ac:dyDescent="0.35">
      <c r="P9197" s="226"/>
      <c r="Q9197" s="226"/>
      <c r="R9197" s="226"/>
      <c r="S9197" s="226"/>
      <c r="T9197" s="226"/>
      <c r="U9197" s="226"/>
    </row>
    <row r="9198" spans="16:21" x14ac:dyDescent="0.35">
      <c r="P9198" s="226"/>
      <c r="Q9198" s="226"/>
      <c r="R9198" s="226"/>
      <c r="S9198" s="226"/>
      <c r="T9198" s="226"/>
      <c r="U9198" s="226"/>
    </row>
    <row r="9199" spans="16:21" x14ac:dyDescent="0.35">
      <c r="P9199" s="226"/>
      <c r="Q9199" s="226"/>
      <c r="R9199" s="226"/>
      <c r="S9199" s="226"/>
      <c r="T9199" s="226"/>
      <c r="U9199" s="226"/>
    </row>
    <row r="9200" spans="16:21" x14ac:dyDescent="0.35">
      <c r="P9200" s="226"/>
      <c r="Q9200" s="226"/>
      <c r="R9200" s="226"/>
      <c r="S9200" s="226"/>
      <c r="T9200" s="226"/>
      <c r="U9200" s="226"/>
    </row>
    <row r="9201" spans="16:21" x14ac:dyDescent="0.35">
      <c r="P9201" s="226"/>
      <c r="Q9201" s="226"/>
      <c r="R9201" s="226"/>
      <c r="S9201" s="226"/>
      <c r="T9201" s="226"/>
      <c r="U9201" s="226"/>
    </row>
    <row r="9202" spans="16:21" x14ac:dyDescent="0.35">
      <c r="P9202" s="226"/>
      <c r="Q9202" s="226"/>
      <c r="R9202" s="226"/>
      <c r="S9202" s="226"/>
      <c r="T9202" s="226"/>
      <c r="U9202" s="226"/>
    </row>
    <row r="9203" spans="16:21" x14ac:dyDescent="0.35">
      <c r="P9203" s="226"/>
      <c r="Q9203" s="226"/>
      <c r="R9203" s="226"/>
      <c r="S9203" s="226"/>
      <c r="T9203" s="226"/>
      <c r="U9203" s="226"/>
    </row>
    <row r="9204" spans="16:21" x14ac:dyDescent="0.35">
      <c r="P9204" s="226"/>
      <c r="Q9204" s="226"/>
      <c r="R9204" s="226"/>
      <c r="S9204" s="226"/>
      <c r="T9204" s="226"/>
      <c r="U9204" s="226"/>
    </row>
    <row r="9205" spans="16:21" x14ac:dyDescent="0.35">
      <c r="P9205" s="226"/>
      <c r="Q9205" s="226"/>
      <c r="R9205" s="226"/>
      <c r="S9205" s="226"/>
      <c r="T9205" s="226"/>
      <c r="U9205" s="226"/>
    </row>
    <row r="9206" spans="16:21" x14ac:dyDescent="0.35">
      <c r="P9206" s="226"/>
      <c r="Q9206" s="226"/>
      <c r="R9206" s="226"/>
      <c r="S9206" s="226"/>
      <c r="T9206" s="226"/>
      <c r="U9206" s="226"/>
    </row>
    <row r="9207" spans="16:21" x14ac:dyDescent="0.35">
      <c r="P9207" s="226"/>
      <c r="Q9207" s="226"/>
      <c r="R9207" s="226"/>
      <c r="S9207" s="226"/>
      <c r="T9207" s="226"/>
      <c r="U9207" s="226"/>
    </row>
    <row r="9208" spans="16:21" x14ac:dyDescent="0.35">
      <c r="P9208" s="226"/>
      <c r="Q9208" s="226"/>
      <c r="R9208" s="226"/>
      <c r="S9208" s="226"/>
      <c r="T9208" s="226"/>
      <c r="U9208" s="226"/>
    </row>
    <row r="9209" spans="16:21" x14ac:dyDescent="0.35">
      <c r="P9209" s="226"/>
      <c r="Q9209" s="226"/>
      <c r="R9209" s="226"/>
      <c r="S9209" s="226"/>
      <c r="T9209" s="226"/>
      <c r="U9209" s="226"/>
    </row>
    <row r="9210" spans="16:21" x14ac:dyDescent="0.35">
      <c r="P9210" s="226"/>
      <c r="Q9210" s="226"/>
      <c r="R9210" s="226"/>
      <c r="S9210" s="226"/>
      <c r="T9210" s="226"/>
      <c r="U9210" s="226"/>
    </row>
    <row r="9211" spans="16:21" x14ac:dyDescent="0.35">
      <c r="P9211" s="226"/>
      <c r="Q9211" s="226"/>
      <c r="R9211" s="226"/>
      <c r="S9211" s="226"/>
      <c r="T9211" s="226"/>
      <c r="U9211" s="226"/>
    </row>
    <row r="9212" spans="16:21" x14ac:dyDescent="0.35">
      <c r="P9212" s="226"/>
      <c r="Q9212" s="226"/>
      <c r="R9212" s="226"/>
      <c r="S9212" s="226"/>
      <c r="T9212" s="226"/>
      <c r="U9212" s="226"/>
    </row>
    <row r="9213" spans="16:21" x14ac:dyDescent="0.35">
      <c r="P9213" s="226"/>
      <c r="Q9213" s="226"/>
      <c r="R9213" s="226"/>
      <c r="S9213" s="226"/>
      <c r="T9213" s="226"/>
      <c r="U9213" s="226"/>
    </row>
    <row r="9214" spans="16:21" x14ac:dyDescent="0.35">
      <c r="P9214" s="226"/>
      <c r="Q9214" s="226"/>
      <c r="R9214" s="226"/>
      <c r="S9214" s="226"/>
      <c r="T9214" s="226"/>
      <c r="U9214" s="226"/>
    </row>
    <row r="9215" spans="16:21" x14ac:dyDescent="0.35">
      <c r="P9215" s="226"/>
      <c r="Q9215" s="226"/>
      <c r="R9215" s="226"/>
      <c r="S9215" s="226"/>
      <c r="T9215" s="226"/>
      <c r="U9215" s="226"/>
    </row>
    <row r="9216" spans="16:21" x14ac:dyDescent="0.35">
      <c r="P9216" s="226"/>
      <c r="Q9216" s="226"/>
      <c r="R9216" s="226"/>
      <c r="S9216" s="226"/>
      <c r="T9216" s="226"/>
      <c r="U9216" s="226"/>
    </row>
    <row r="9217" spans="16:21" x14ac:dyDescent="0.35">
      <c r="P9217" s="226"/>
      <c r="Q9217" s="226"/>
      <c r="R9217" s="226"/>
      <c r="S9217" s="226"/>
      <c r="T9217" s="226"/>
      <c r="U9217" s="226"/>
    </row>
    <row r="9218" spans="16:21" x14ac:dyDescent="0.35">
      <c r="P9218" s="226"/>
      <c r="Q9218" s="226"/>
      <c r="R9218" s="226"/>
      <c r="S9218" s="226"/>
      <c r="T9218" s="226"/>
      <c r="U9218" s="226"/>
    </row>
    <row r="9219" spans="16:21" x14ac:dyDescent="0.35">
      <c r="P9219" s="226"/>
      <c r="Q9219" s="226"/>
      <c r="R9219" s="226"/>
      <c r="S9219" s="226"/>
      <c r="T9219" s="226"/>
      <c r="U9219" s="226"/>
    </row>
    <row r="9220" spans="16:21" x14ac:dyDescent="0.35">
      <c r="P9220" s="226"/>
      <c r="Q9220" s="226"/>
      <c r="R9220" s="226"/>
      <c r="S9220" s="226"/>
      <c r="T9220" s="226"/>
      <c r="U9220" s="226"/>
    </row>
    <row r="9221" spans="16:21" x14ac:dyDescent="0.35">
      <c r="P9221" s="226"/>
      <c r="Q9221" s="226"/>
      <c r="R9221" s="226"/>
      <c r="S9221" s="226"/>
      <c r="T9221" s="226"/>
      <c r="U9221" s="226"/>
    </row>
    <row r="9222" spans="16:21" x14ac:dyDescent="0.35">
      <c r="P9222" s="226"/>
      <c r="Q9222" s="226"/>
      <c r="R9222" s="226"/>
      <c r="S9222" s="226"/>
      <c r="T9222" s="226"/>
      <c r="U9222" s="226"/>
    </row>
    <row r="9223" spans="16:21" x14ac:dyDescent="0.35">
      <c r="P9223" s="226"/>
      <c r="Q9223" s="226"/>
      <c r="R9223" s="226"/>
      <c r="S9223" s="226"/>
      <c r="T9223" s="226"/>
      <c r="U9223" s="226"/>
    </row>
    <row r="9224" spans="16:21" x14ac:dyDescent="0.35">
      <c r="P9224" s="226"/>
      <c r="Q9224" s="226"/>
      <c r="R9224" s="226"/>
      <c r="S9224" s="226"/>
      <c r="T9224" s="226"/>
      <c r="U9224" s="226"/>
    </row>
    <row r="9225" spans="16:21" x14ac:dyDescent="0.35">
      <c r="P9225" s="226"/>
      <c r="Q9225" s="226"/>
      <c r="R9225" s="226"/>
      <c r="S9225" s="226"/>
      <c r="T9225" s="226"/>
      <c r="U9225" s="226"/>
    </row>
    <row r="9226" spans="16:21" x14ac:dyDescent="0.35">
      <c r="P9226" s="226"/>
      <c r="Q9226" s="226"/>
      <c r="R9226" s="226"/>
      <c r="S9226" s="226"/>
      <c r="T9226" s="226"/>
      <c r="U9226" s="226"/>
    </row>
    <row r="9227" spans="16:21" x14ac:dyDescent="0.35">
      <c r="P9227" s="226"/>
      <c r="Q9227" s="226"/>
      <c r="R9227" s="226"/>
      <c r="S9227" s="226"/>
      <c r="T9227" s="226"/>
      <c r="U9227" s="226"/>
    </row>
    <row r="9228" spans="16:21" x14ac:dyDescent="0.35">
      <c r="P9228" s="226"/>
      <c r="Q9228" s="226"/>
      <c r="R9228" s="226"/>
      <c r="S9228" s="226"/>
      <c r="T9228" s="226"/>
      <c r="U9228" s="226"/>
    </row>
    <row r="9229" spans="16:21" x14ac:dyDescent="0.35">
      <c r="P9229" s="226"/>
      <c r="Q9229" s="226"/>
      <c r="R9229" s="226"/>
      <c r="S9229" s="226"/>
      <c r="T9229" s="226"/>
      <c r="U9229" s="226"/>
    </row>
    <row r="9230" spans="16:21" x14ac:dyDescent="0.35">
      <c r="P9230" s="226"/>
      <c r="Q9230" s="226"/>
      <c r="R9230" s="226"/>
      <c r="S9230" s="226"/>
      <c r="T9230" s="226"/>
      <c r="U9230" s="226"/>
    </row>
    <row r="9231" spans="16:21" x14ac:dyDescent="0.35">
      <c r="P9231" s="226"/>
      <c r="Q9231" s="226"/>
      <c r="R9231" s="226"/>
      <c r="S9231" s="226"/>
      <c r="T9231" s="226"/>
      <c r="U9231" s="226"/>
    </row>
    <row r="9232" spans="16:21" x14ac:dyDescent="0.35">
      <c r="P9232" s="226"/>
      <c r="Q9232" s="226"/>
      <c r="R9232" s="226"/>
      <c r="S9232" s="226"/>
      <c r="T9232" s="226"/>
      <c r="U9232" s="226"/>
    </row>
    <row r="9233" spans="16:21" x14ac:dyDescent="0.35">
      <c r="P9233" s="226"/>
      <c r="Q9233" s="226"/>
      <c r="R9233" s="226"/>
      <c r="S9233" s="226"/>
      <c r="T9233" s="226"/>
      <c r="U9233" s="226"/>
    </row>
    <row r="9234" spans="16:21" x14ac:dyDescent="0.35">
      <c r="P9234" s="226"/>
      <c r="Q9234" s="226"/>
      <c r="R9234" s="226"/>
      <c r="S9234" s="226"/>
      <c r="T9234" s="226"/>
      <c r="U9234" s="226"/>
    </row>
    <row r="9235" spans="16:21" x14ac:dyDescent="0.35">
      <c r="P9235" s="226"/>
      <c r="Q9235" s="226"/>
      <c r="R9235" s="226"/>
      <c r="S9235" s="226"/>
      <c r="T9235" s="226"/>
      <c r="U9235" s="226"/>
    </row>
    <row r="9236" spans="16:21" x14ac:dyDescent="0.35">
      <c r="P9236" s="226"/>
      <c r="Q9236" s="226"/>
      <c r="R9236" s="226"/>
      <c r="S9236" s="226"/>
      <c r="T9236" s="226"/>
      <c r="U9236" s="226"/>
    </row>
    <row r="9237" spans="16:21" x14ac:dyDescent="0.35">
      <c r="P9237" s="226"/>
      <c r="Q9237" s="226"/>
      <c r="R9237" s="226"/>
      <c r="S9237" s="226"/>
      <c r="T9237" s="226"/>
      <c r="U9237" s="226"/>
    </row>
    <row r="9238" spans="16:21" x14ac:dyDescent="0.35">
      <c r="P9238" s="226"/>
      <c r="Q9238" s="226"/>
      <c r="R9238" s="226"/>
      <c r="S9238" s="226"/>
      <c r="T9238" s="226"/>
      <c r="U9238" s="226"/>
    </row>
    <row r="9239" spans="16:21" x14ac:dyDescent="0.35">
      <c r="P9239" s="226"/>
      <c r="Q9239" s="226"/>
      <c r="R9239" s="226"/>
      <c r="S9239" s="226"/>
      <c r="T9239" s="226"/>
      <c r="U9239" s="226"/>
    </row>
    <row r="9240" spans="16:21" x14ac:dyDescent="0.35">
      <c r="P9240" s="226"/>
      <c r="Q9240" s="226"/>
      <c r="R9240" s="226"/>
      <c r="S9240" s="226"/>
      <c r="T9240" s="226"/>
      <c r="U9240" s="226"/>
    </row>
    <row r="9241" spans="16:21" x14ac:dyDescent="0.35">
      <c r="P9241" s="226"/>
      <c r="Q9241" s="226"/>
      <c r="R9241" s="226"/>
      <c r="S9241" s="226"/>
      <c r="T9241" s="226"/>
      <c r="U9241" s="226"/>
    </row>
    <row r="9242" spans="16:21" x14ac:dyDescent="0.35">
      <c r="P9242" s="226"/>
      <c r="Q9242" s="226"/>
      <c r="R9242" s="226"/>
      <c r="S9242" s="226"/>
      <c r="T9242" s="226"/>
      <c r="U9242" s="226"/>
    </row>
    <row r="9243" spans="16:21" x14ac:dyDescent="0.35">
      <c r="P9243" s="226"/>
      <c r="Q9243" s="226"/>
      <c r="R9243" s="226"/>
      <c r="S9243" s="226"/>
      <c r="T9243" s="226"/>
      <c r="U9243" s="226"/>
    </row>
    <row r="9244" spans="16:21" x14ac:dyDescent="0.35">
      <c r="P9244" s="226"/>
      <c r="Q9244" s="226"/>
      <c r="R9244" s="226"/>
      <c r="S9244" s="226"/>
      <c r="T9244" s="226"/>
      <c r="U9244" s="226"/>
    </row>
    <row r="9245" spans="16:21" x14ac:dyDescent="0.35">
      <c r="P9245" s="226"/>
      <c r="Q9245" s="226"/>
      <c r="R9245" s="226"/>
      <c r="S9245" s="226"/>
      <c r="T9245" s="226"/>
      <c r="U9245" s="226"/>
    </row>
    <row r="9246" spans="16:21" x14ac:dyDescent="0.35">
      <c r="P9246" s="226"/>
      <c r="Q9246" s="226"/>
      <c r="R9246" s="226"/>
      <c r="S9246" s="226"/>
      <c r="T9246" s="226"/>
      <c r="U9246" s="226"/>
    </row>
    <row r="9247" spans="16:21" x14ac:dyDescent="0.35">
      <c r="P9247" s="226"/>
      <c r="Q9247" s="226"/>
      <c r="R9247" s="226"/>
      <c r="S9247" s="226"/>
      <c r="T9247" s="226"/>
      <c r="U9247" s="226"/>
    </row>
    <row r="9248" spans="16:21" x14ac:dyDescent="0.35">
      <c r="P9248" s="226"/>
      <c r="Q9248" s="226"/>
      <c r="R9248" s="226"/>
      <c r="S9248" s="226"/>
      <c r="T9248" s="226"/>
      <c r="U9248" s="226"/>
    </row>
    <row r="9249" spans="16:21" x14ac:dyDescent="0.35">
      <c r="P9249" s="226"/>
      <c r="Q9249" s="226"/>
      <c r="R9249" s="226"/>
      <c r="S9249" s="226"/>
      <c r="T9249" s="226"/>
      <c r="U9249" s="226"/>
    </row>
    <row r="9250" spans="16:21" x14ac:dyDescent="0.35">
      <c r="P9250" s="226"/>
      <c r="Q9250" s="226"/>
      <c r="R9250" s="226"/>
      <c r="S9250" s="226"/>
      <c r="T9250" s="226"/>
      <c r="U9250" s="226"/>
    </row>
    <row r="9251" spans="16:21" x14ac:dyDescent="0.35">
      <c r="P9251" s="226"/>
      <c r="Q9251" s="226"/>
      <c r="R9251" s="226"/>
      <c r="S9251" s="226"/>
      <c r="T9251" s="226"/>
      <c r="U9251" s="226"/>
    </row>
    <row r="9252" spans="16:21" x14ac:dyDescent="0.35">
      <c r="P9252" s="226"/>
      <c r="Q9252" s="226"/>
      <c r="R9252" s="226"/>
      <c r="S9252" s="226"/>
      <c r="T9252" s="226"/>
      <c r="U9252" s="226"/>
    </row>
    <row r="9253" spans="16:21" x14ac:dyDescent="0.35">
      <c r="P9253" s="226"/>
      <c r="Q9253" s="226"/>
      <c r="R9253" s="226"/>
      <c r="S9253" s="226"/>
      <c r="T9253" s="226"/>
      <c r="U9253" s="226"/>
    </row>
    <row r="9254" spans="16:21" x14ac:dyDescent="0.35">
      <c r="P9254" s="226"/>
      <c r="Q9254" s="226"/>
      <c r="R9254" s="226"/>
      <c r="S9254" s="226"/>
      <c r="T9254" s="226"/>
      <c r="U9254" s="226"/>
    </row>
    <row r="9255" spans="16:21" x14ac:dyDescent="0.35">
      <c r="P9255" s="226"/>
      <c r="Q9255" s="226"/>
      <c r="R9255" s="226"/>
      <c r="S9255" s="226"/>
      <c r="T9255" s="226"/>
      <c r="U9255" s="226"/>
    </row>
    <row r="9256" spans="16:21" x14ac:dyDescent="0.35">
      <c r="P9256" s="226"/>
      <c r="Q9256" s="226"/>
      <c r="R9256" s="226"/>
      <c r="S9256" s="226"/>
      <c r="T9256" s="226"/>
      <c r="U9256" s="226"/>
    </row>
    <row r="9257" spans="16:21" x14ac:dyDescent="0.35">
      <c r="P9257" s="226"/>
      <c r="Q9257" s="226"/>
      <c r="R9257" s="226"/>
      <c r="S9257" s="226"/>
      <c r="T9257" s="226"/>
      <c r="U9257" s="226"/>
    </row>
    <row r="9258" spans="16:21" x14ac:dyDescent="0.35">
      <c r="P9258" s="226"/>
      <c r="Q9258" s="226"/>
      <c r="R9258" s="226"/>
      <c r="S9258" s="226"/>
      <c r="T9258" s="226"/>
      <c r="U9258" s="226"/>
    </row>
    <row r="9259" spans="16:21" x14ac:dyDescent="0.35">
      <c r="P9259" s="226"/>
      <c r="Q9259" s="226"/>
      <c r="R9259" s="226"/>
      <c r="S9259" s="226"/>
      <c r="T9259" s="226"/>
      <c r="U9259" s="226"/>
    </row>
    <row r="9260" spans="16:21" x14ac:dyDescent="0.35">
      <c r="P9260" s="226"/>
      <c r="Q9260" s="226"/>
      <c r="R9260" s="226"/>
      <c r="S9260" s="226"/>
      <c r="T9260" s="226"/>
      <c r="U9260" s="226"/>
    </row>
    <row r="9261" spans="16:21" x14ac:dyDescent="0.35">
      <c r="P9261" s="226"/>
      <c r="Q9261" s="226"/>
      <c r="R9261" s="226"/>
      <c r="S9261" s="226"/>
      <c r="T9261" s="226"/>
      <c r="U9261" s="226"/>
    </row>
    <row r="9262" spans="16:21" x14ac:dyDescent="0.35">
      <c r="P9262" s="226"/>
      <c r="Q9262" s="226"/>
      <c r="R9262" s="226"/>
      <c r="S9262" s="226"/>
      <c r="T9262" s="226"/>
      <c r="U9262" s="226"/>
    </row>
    <row r="9263" spans="16:21" x14ac:dyDescent="0.35">
      <c r="P9263" s="226"/>
      <c r="Q9263" s="226"/>
      <c r="R9263" s="226"/>
      <c r="S9263" s="226"/>
      <c r="T9263" s="226"/>
      <c r="U9263" s="226"/>
    </row>
    <row r="9264" spans="16:21" x14ac:dyDescent="0.35">
      <c r="P9264" s="226"/>
      <c r="Q9264" s="226"/>
      <c r="R9264" s="226"/>
      <c r="S9264" s="226"/>
      <c r="T9264" s="226"/>
      <c r="U9264" s="226"/>
    </row>
    <row r="9265" spans="16:21" x14ac:dyDescent="0.35">
      <c r="P9265" s="226"/>
      <c r="Q9265" s="226"/>
      <c r="R9265" s="226"/>
      <c r="S9265" s="226"/>
      <c r="T9265" s="226"/>
      <c r="U9265" s="226"/>
    </row>
    <row r="9266" spans="16:21" x14ac:dyDescent="0.35">
      <c r="P9266" s="226"/>
      <c r="Q9266" s="226"/>
      <c r="R9266" s="226"/>
      <c r="S9266" s="226"/>
      <c r="T9266" s="226"/>
      <c r="U9266" s="226"/>
    </row>
    <row r="9267" spans="16:21" x14ac:dyDescent="0.35">
      <c r="P9267" s="226"/>
      <c r="Q9267" s="226"/>
      <c r="R9267" s="226"/>
      <c r="S9267" s="226"/>
      <c r="T9267" s="226"/>
      <c r="U9267" s="226"/>
    </row>
    <row r="9268" spans="16:21" x14ac:dyDescent="0.35">
      <c r="P9268" s="226"/>
      <c r="Q9268" s="226"/>
      <c r="R9268" s="226"/>
      <c r="S9268" s="226"/>
      <c r="T9268" s="226"/>
      <c r="U9268" s="226"/>
    </row>
    <row r="9269" spans="16:21" x14ac:dyDescent="0.35">
      <c r="P9269" s="226"/>
      <c r="Q9269" s="226"/>
      <c r="R9269" s="226"/>
      <c r="S9269" s="226"/>
      <c r="T9269" s="226"/>
      <c r="U9269" s="226"/>
    </row>
    <row r="9270" spans="16:21" x14ac:dyDescent="0.35">
      <c r="P9270" s="226"/>
      <c r="Q9270" s="226"/>
      <c r="R9270" s="226"/>
      <c r="S9270" s="226"/>
      <c r="T9270" s="226"/>
      <c r="U9270" s="226"/>
    </row>
    <row r="9271" spans="16:21" x14ac:dyDescent="0.35">
      <c r="P9271" s="226"/>
      <c r="Q9271" s="226"/>
      <c r="R9271" s="226"/>
      <c r="S9271" s="226"/>
      <c r="T9271" s="226"/>
      <c r="U9271" s="226"/>
    </row>
    <row r="9272" spans="16:21" x14ac:dyDescent="0.35">
      <c r="P9272" s="226"/>
      <c r="Q9272" s="226"/>
      <c r="R9272" s="226"/>
      <c r="S9272" s="226"/>
      <c r="T9272" s="226"/>
      <c r="U9272" s="226"/>
    </row>
    <row r="9273" spans="16:21" x14ac:dyDescent="0.35">
      <c r="P9273" s="226"/>
      <c r="Q9273" s="226"/>
      <c r="R9273" s="226"/>
      <c r="S9273" s="226"/>
      <c r="T9273" s="226"/>
      <c r="U9273" s="226"/>
    </row>
    <row r="9274" spans="16:21" x14ac:dyDescent="0.35">
      <c r="P9274" s="226"/>
      <c r="Q9274" s="226"/>
      <c r="R9274" s="226"/>
      <c r="S9274" s="226"/>
      <c r="T9274" s="226"/>
      <c r="U9274" s="226"/>
    </row>
    <row r="9275" spans="16:21" x14ac:dyDescent="0.35">
      <c r="P9275" s="226"/>
      <c r="Q9275" s="226"/>
      <c r="R9275" s="226"/>
      <c r="S9275" s="226"/>
      <c r="T9275" s="226"/>
      <c r="U9275" s="226"/>
    </row>
    <row r="9276" spans="16:21" x14ac:dyDescent="0.35">
      <c r="P9276" s="226"/>
      <c r="Q9276" s="226"/>
      <c r="R9276" s="226"/>
      <c r="S9276" s="226"/>
      <c r="T9276" s="226"/>
      <c r="U9276" s="226"/>
    </row>
    <row r="9277" spans="16:21" x14ac:dyDescent="0.35">
      <c r="P9277" s="226"/>
      <c r="Q9277" s="226"/>
      <c r="R9277" s="226"/>
      <c r="S9277" s="226"/>
      <c r="T9277" s="226"/>
      <c r="U9277" s="226"/>
    </row>
    <row r="9278" spans="16:21" x14ac:dyDescent="0.35">
      <c r="P9278" s="226"/>
      <c r="Q9278" s="226"/>
      <c r="R9278" s="226"/>
      <c r="S9278" s="226"/>
      <c r="T9278" s="226"/>
      <c r="U9278" s="226"/>
    </row>
    <row r="9279" spans="16:21" x14ac:dyDescent="0.35">
      <c r="P9279" s="226"/>
      <c r="Q9279" s="226"/>
      <c r="R9279" s="226"/>
      <c r="S9279" s="226"/>
      <c r="T9279" s="226"/>
      <c r="U9279" s="226"/>
    </row>
    <row r="9280" spans="16:21" x14ac:dyDescent="0.35">
      <c r="P9280" s="226"/>
      <c r="Q9280" s="226"/>
      <c r="R9280" s="226"/>
      <c r="S9280" s="226"/>
      <c r="T9280" s="226"/>
      <c r="U9280" s="226"/>
    </row>
    <row r="9281" spans="16:21" x14ac:dyDescent="0.35">
      <c r="P9281" s="226"/>
      <c r="Q9281" s="226"/>
      <c r="R9281" s="226"/>
      <c r="S9281" s="226"/>
      <c r="T9281" s="226"/>
      <c r="U9281" s="226"/>
    </row>
    <row r="9282" spans="16:21" x14ac:dyDescent="0.35">
      <c r="P9282" s="226"/>
      <c r="Q9282" s="226"/>
      <c r="R9282" s="226"/>
      <c r="S9282" s="226"/>
      <c r="T9282" s="226"/>
      <c r="U9282" s="226"/>
    </row>
    <row r="9283" spans="16:21" x14ac:dyDescent="0.35">
      <c r="P9283" s="226"/>
      <c r="Q9283" s="226"/>
      <c r="R9283" s="226"/>
      <c r="S9283" s="226"/>
      <c r="T9283" s="226"/>
      <c r="U9283" s="226"/>
    </row>
    <row r="9284" spans="16:21" x14ac:dyDescent="0.35">
      <c r="P9284" s="226"/>
      <c r="Q9284" s="226"/>
      <c r="R9284" s="226"/>
      <c r="S9284" s="226"/>
      <c r="T9284" s="226"/>
      <c r="U9284" s="226"/>
    </row>
    <row r="9285" spans="16:21" x14ac:dyDescent="0.35">
      <c r="P9285" s="226"/>
      <c r="Q9285" s="226"/>
      <c r="R9285" s="226"/>
      <c r="S9285" s="226"/>
      <c r="T9285" s="226"/>
      <c r="U9285" s="226"/>
    </row>
    <row r="9286" spans="16:21" x14ac:dyDescent="0.35">
      <c r="P9286" s="226"/>
      <c r="Q9286" s="226"/>
      <c r="R9286" s="226"/>
      <c r="S9286" s="226"/>
      <c r="T9286" s="226"/>
      <c r="U9286" s="226"/>
    </row>
    <row r="9287" spans="16:21" x14ac:dyDescent="0.35">
      <c r="P9287" s="226"/>
      <c r="Q9287" s="226"/>
      <c r="R9287" s="226"/>
      <c r="S9287" s="226"/>
      <c r="T9287" s="226"/>
      <c r="U9287" s="226"/>
    </row>
    <row r="9288" spans="16:21" x14ac:dyDescent="0.35">
      <c r="P9288" s="226"/>
      <c r="Q9288" s="226"/>
      <c r="R9288" s="226"/>
      <c r="S9288" s="226"/>
      <c r="T9288" s="226"/>
      <c r="U9288" s="226"/>
    </row>
    <row r="9289" spans="16:21" x14ac:dyDescent="0.35">
      <c r="P9289" s="226"/>
      <c r="Q9289" s="226"/>
      <c r="R9289" s="226"/>
      <c r="S9289" s="226"/>
      <c r="T9289" s="226"/>
      <c r="U9289" s="226"/>
    </row>
    <row r="9290" spans="16:21" x14ac:dyDescent="0.35">
      <c r="P9290" s="226"/>
      <c r="Q9290" s="226"/>
      <c r="R9290" s="226"/>
      <c r="S9290" s="226"/>
      <c r="T9290" s="226"/>
      <c r="U9290" s="226"/>
    </row>
    <row r="9291" spans="16:21" x14ac:dyDescent="0.35">
      <c r="P9291" s="226"/>
      <c r="Q9291" s="226"/>
      <c r="R9291" s="226"/>
      <c r="S9291" s="226"/>
      <c r="T9291" s="226"/>
      <c r="U9291" s="226"/>
    </row>
    <row r="9292" spans="16:21" x14ac:dyDescent="0.35">
      <c r="P9292" s="226"/>
      <c r="Q9292" s="226"/>
      <c r="R9292" s="226"/>
      <c r="S9292" s="226"/>
      <c r="T9292" s="226"/>
      <c r="U9292" s="226"/>
    </row>
    <row r="9293" spans="16:21" x14ac:dyDescent="0.35">
      <c r="P9293" s="226"/>
      <c r="Q9293" s="226"/>
      <c r="R9293" s="226"/>
      <c r="S9293" s="226"/>
      <c r="T9293" s="226"/>
      <c r="U9293" s="226"/>
    </row>
    <row r="9294" spans="16:21" x14ac:dyDescent="0.35">
      <c r="P9294" s="226"/>
      <c r="Q9294" s="226"/>
      <c r="R9294" s="226"/>
      <c r="S9294" s="226"/>
      <c r="T9294" s="226"/>
      <c r="U9294" s="226"/>
    </row>
    <row r="9295" spans="16:21" x14ac:dyDescent="0.35">
      <c r="P9295" s="226"/>
      <c r="Q9295" s="226"/>
      <c r="R9295" s="226"/>
      <c r="S9295" s="226"/>
      <c r="T9295" s="226"/>
      <c r="U9295" s="226"/>
    </row>
    <row r="9296" spans="16:21" x14ac:dyDescent="0.35">
      <c r="P9296" s="226"/>
      <c r="Q9296" s="226"/>
      <c r="R9296" s="226"/>
      <c r="S9296" s="226"/>
      <c r="T9296" s="226"/>
      <c r="U9296" s="226"/>
    </row>
    <row r="9297" spans="16:21" x14ac:dyDescent="0.35">
      <c r="P9297" s="226"/>
      <c r="Q9297" s="226"/>
      <c r="R9297" s="226"/>
      <c r="S9297" s="226"/>
      <c r="T9297" s="226"/>
      <c r="U9297" s="226"/>
    </row>
    <row r="9298" spans="16:21" x14ac:dyDescent="0.35">
      <c r="P9298" s="226"/>
      <c r="Q9298" s="226"/>
      <c r="R9298" s="226"/>
      <c r="S9298" s="226"/>
      <c r="T9298" s="226"/>
      <c r="U9298" s="226"/>
    </row>
    <row r="9299" spans="16:21" x14ac:dyDescent="0.35">
      <c r="P9299" s="226"/>
      <c r="Q9299" s="226"/>
      <c r="R9299" s="226"/>
      <c r="S9299" s="226"/>
      <c r="T9299" s="226"/>
      <c r="U9299" s="226"/>
    </row>
    <row r="9300" spans="16:21" x14ac:dyDescent="0.35">
      <c r="P9300" s="226"/>
      <c r="Q9300" s="226"/>
      <c r="R9300" s="226"/>
      <c r="S9300" s="226"/>
      <c r="T9300" s="226"/>
      <c r="U9300" s="226"/>
    </row>
    <row r="9301" spans="16:21" x14ac:dyDescent="0.35">
      <c r="P9301" s="226"/>
      <c r="Q9301" s="226"/>
      <c r="R9301" s="226"/>
      <c r="S9301" s="226"/>
      <c r="T9301" s="226"/>
      <c r="U9301" s="226"/>
    </row>
    <row r="9302" spans="16:21" x14ac:dyDescent="0.35">
      <c r="P9302" s="226"/>
      <c r="Q9302" s="226"/>
      <c r="R9302" s="226"/>
      <c r="S9302" s="226"/>
      <c r="T9302" s="226"/>
      <c r="U9302" s="226"/>
    </row>
    <row r="9303" spans="16:21" x14ac:dyDescent="0.35">
      <c r="P9303" s="226"/>
      <c r="Q9303" s="226"/>
      <c r="R9303" s="226"/>
      <c r="S9303" s="226"/>
      <c r="T9303" s="226"/>
      <c r="U9303" s="226"/>
    </row>
    <row r="9304" spans="16:21" x14ac:dyDescent="0.35">
      <c r="P9304" s="226"/>
      <c r="Q9304" s="226"/>
      <c r="R9304" s="226"/>
      <c r="S9304" s="226"/>
      <c r="T9304" s="226"/>
      <c r="U9304" s="226"/>
    </row>
    <row r="9305" spans="16:21" x14ac:dyDescent="0.35">
      <c r="P9305" s="226"/>
      <c r="Q9305" s="226"/>
      <c r="R9305" s="226"/>
      <c r="S9305" s="226"/>
      <c r="T9305" s="226"/>
      <c r="U9305" s="226"/>
    </row>
    <row r="9306" spans="16:21" x14ac:dyDescent="0.35">
      <c r="P9306" s="226"/>
      <c r="Q9306" s="226"/>
      <c r="R9306" s="226"/>
      <c r="S9306" s="226"/>
      <c r="T9306" s="226"/>
      <c r="U9306" s="226"/>
    </row>
    <row r="9307" spans="16:21" x14ac:dyDescent="0.35">
      <c r="P9307" s="226"/>
      <c r="Q9307" s="226"/>
      <c r="R9307" s="226"/>
      <c r="S9307" s="226"/>
      <c r="T9307" s="226"/>
      <c r="U9307" s="226"/>
    </row>
    <row r="9308" spans="16:21" x14ac:dyDescent="0.35">
      <c r="P9308" s="226"/>
      <c r="Q9308" s="226"/>
      <c r="R9308" s="226"/>
      <c r="S9308" s="226"/>
      <c r="T9308" s="226"/>
      <c r="U9308" s="226"/>
    </row>
    <row r="9309" spans="16:21" x14ac:dyDescent="0.35">
      <c r="P9309" s="226"/>
      <c r="Q9309" s="226"/>
      <c r="R9309" s="226"/>
      <c r="S9309" s="226"/>
      <c r="T9309" s="226"/>
      <c r="U9309" s="226"/>
    </row>
    <row r="9310" spans="16:21" x14ac:dyDescent="0.35">
      <c r="P9310" s="226"/>
      <c r="Q9310" s="226"/>
      <c r="R9310" s="226"/>
      <c r="S9310" s="226"/>
      <c r="T9310" s="226"/>
      <c r="U9310" s="226"/>
    </row>
    <row r="9311" spans="16:21" x14ac:dyDescent="0.35">
      <c r="P9311" s="226"/>
      <c r="Q9311" s="226"/>
      <c r="R9311" s="226"/>
      <c r="S9311" s="226"/>
      <c r="T9311" s="226"/>
      <c r="U9311" s="226"/>
    </row>
    <row r="9312" spans="16:21" x14ac:dyDescent="0.35">
      <c r="P9312" s="226"/>
      <c r="Q9312" s="226"/>
      <c r="R9312" s="226"/>
      <c r="S9312" s="226"/>
      <c r="T9312" s="226"/>
      <c r="U9312" s="226"/>
    </row>
    <row r="9313" spans="16:21" x14ac:dyDescent="0.35">
      <c r="P9313" s="226"/>
      <c r="Q9313" s="226"/>
      <c r="R9313" s="226"/>
      <c r="S9313" s="226"/>
      <c r="T9313" s="226"/>
      <c r="U9313" s="226"/>
    </row>
    <row r="9314" spans="16:21" x14ac:dyDescent="0.35">
      <c r="P9314" s="226"/>
      <c r="Q9314" s="226"/>
      <c r="R9314" s="226"/>
      <c r="S9314" s="226"/>
      <c r="T9314" s="226"/>
      <c r="U9314" s="226"/>
    </row>
    <row r="9315" spans="16:21" x14ac:dyDescent="0.35">
      <c r="P9315" s="226"/>
      <c r="Q9315" s="226"/>
      <c r="R9315" s="226"/>
      <c r="S9315" s="226"/>
      <c r="T9315" s="226"/>
      <c r="U9315" s="226"/>
    </row>
    <row r="9316" spans="16:21" x14ac:dyDescent="0.35">
      <c r="P9316" s="226"/>
      <c r="Q9316" s="226"/>
      <c r="R9316" s="226"/>
      <c r="S9316" s="226"/>
      <c r="T9316" s="226"/>
      <c r="U9316" s="226"/>
    </row>
    <row r="9317" spans="16:21" x14ac:dyDescent="0.35">
      <c r="P9317" s="226"/>
      <c r="Q9317" s="226"/>
      <c r="R9317" s="226"/>
      <c r="S9317" s="226"/>
      <c r="T9317" s="226"/>
      <c r="U9317" s="226"/>
    </row>
    <row r="9318" spans="16:21" x14ac:dyDescent="0.35">
      <c r="P9318" s="226"/>
      <c r="Q9318" s="226"/>
      <c r="R9318" s="226"/>
      <c r="S9318" s="226"/>
      <c r="T9318" s="226"/>
      <c r="U9318" s="226"/>
    </row>
    <row r="9319" spans="16:21" x14ac:dyDescent="0.35">
      <c r="P9319" s="226"/>
      <c r="Q9319" s="226"/>
      <c r="R9319" s="226"/>
      <c r="S9319" s="226"/>
      <c r="T9319" s="226"/>
      <c r="U9319" s="226"/>
    </row>
    <row r="9320" spans="16:21" x14ac:dyDescent="0.35">
      <c r="P9320" s="226"/>
      <c r="Q9320" s="226"/>
      <c r="R9320" s="226"/>
      <c r="S9320" s="226"/>
      <c r="T9320" s="226"/>
      <c r="U9320" s="226"/>
    </row>
    <row r="9321" spans="16:21" x14ac:dyDescent="0.35">
      <c r="P9321" s="226"/>
      <c r="Q9321" s="226"/>
      <c r="R9321" s="226"/>
      <c r="S9321" s="226"/>
      <c r="T9321" s="226"/>
      <c r="U9321" s="226"/>
    </row>
    <row r="9322" spans="16:21" x14ac:dyDescent="0.35">
      <c r="P9322" s="226"/>
      <c r="Q9322" s="226"/>
      <c r="R9322" s="226"/>
      <c r="S9322" s="226"/>
      <c r="T9322" s="226"/>
      <c r="U9322" s="226"/>
    </row>
    <row r="9323" spans="16:21" x14ac:dyDescent="0.35">
      <c r="P9323" s="226"/>
      <c r="Q9323" s="226"/>
      <c r="R9323" s="226"/>
      <c r="S9323" s="226"/>
      <c r="T9323" s="226"/>
      <c r="U9323" s="226"/>
    </row>
    <row r="9324" spans="16:21" x14ac:dyDescent="0.35">
      <c r="P9324" s="226"/>
      <c r="Q9324" s="226"/>
      <c r="R9324" s="226"/>
      <c r="S9324" s="226"/>
      <c r="T9324" s="226"/>
      <c r="U9324" s="226"/>
    </row>
    <row r="9325" spans="16:21" x14ac:dyDescent="0.35">
      <c r="P9325" s="226"/>
      <c r="Q9325" s="226"/>
      <c r="R9325" s="226"/>
      <c r="S9325" s="226"/>
      <c r="T9325" s="226"/>
      <c r="U9325" s="226"/>
    </row>
    <row r="9326" spans="16:21" x14ac:dyDescent="0.35">
      <c r="P9326" s="226"/>
      <c r="Q9326" s="226"/>
      <c r="R9326" s="226"/>
      <c r="S9326" s="226"/>
      <c r="T9326" s="226"/>
      <c r="U9326" s="226"/>
    </row>
    <row r="9327" spans="16:21" x14ac:dyDescent="0.35">
      <c r="P9327" s="226"/>
      <c r="Q9327" s="226"/>
      <c r="R9327" s="226"/>
      <c r="S9327" s="226"/>
      <c r="T9327" s="226"/>
      <c r="U9327" s="226"/>
    </row>
    <row r="9328" spans="16:21" x14ac:dyDescent="0.35">
      <c r="P9328" s="226"/>
      <c r="Q9328" s="226"/>
      <c r="R9328" s="226"/>
      <c r="S9328" s="226"/>
      <c r="T9328" s="226"/>
      <c r="U9328" s="226"/>
    </row>
    <row r="9329" spans="16:21" x14ac:dyDescent="0.35">
      <c r="P9329" s="226"/>
      <c r="Q9329" s="226"/>
      <c r="R9329" s="226"/>
      <c r="S9329" s="226"/>
      <c r="T9329" s="226"/>
      <c r="U9329" s="226"/>
    </row>
    <row r="9330" spans="16:21" x14ac:dyDescent="0.35">
      <c r="P9330" s="226"/>
      <c r="Q9330" s="226"/>
      <c r="R9330" s="226"/>
      <c r="S9330" s="226"/>
      <c r="T9330" s="226"/>
      <c r="U9330" s="226"/>
    </row>
    <row r="9331" spans="16:21" x14ac:dyDescent="0.35">
      <c r="P9331" s="226"/>
      <c r="Q9331" s="226"/>
      <c r="R9331" s="226"/>
      <c r="S9331" s="226"/>
      <c r="T9331" s="226"/>
      <c r="U9331" s="226"/>
    </row>
    <row r="9332" spans="16:21" x14ac:dyDescent="0.35">
      <c r="P9332" s="226"/>
      <c r="Q9332" s="226"/>
      <c r="R9332" s="226"/>
      <c r="S9332" s="226"/>
      <c r="T9332" s="226"/>
      <c r="U9332" s="226"/>
    </row>
    <row r="9333" spans="16:21" x14ac:dyDescent="0.35">
      <c r="P9333" s="226"/>
      <c r="Q9333" s="226"/>
      <c r="R9333" s="226"/>
      <c r="S9333" s="226"/>
      <c r="T9333" s="226"/>
      <c r="U9333" s="226"/>
    </row>
    <row r="9334" spans="16:21" x14ac:dyDescent="0.35">
      <c r="P9334" s="226"/>
      <c r="Q9334" s="226"/>
      <c r="R9334" s="226"/>
      <c r="S9334" s="226"/>
      <c r="T9334" s="226"/>
      <c r="U9334" s="226"/>
    </row>
    <row r="9335" spans="16:21" x14ac:dyDescent="0.35">
      <c r="P9335" s="226"/>
      <c r="Q9335" s="226"/>
      <c r="R9335" s="226"/>
      <c r="S9335" s="226"/>
      <c r="T9335" s="226"/>
      <c r="U9335" s="226"/>
    </row>
    <row r="9336" spans="16:21" x14ac:dyDescent="0.35">
      <c r="P9336" s="226"/>
      <c r="Q9336" s="226"/>
      <c r="R9336" s="226"/>
      <c r="S9336" s="226"/>
      <c r="T9336" s="226"/>
      <c r="U9336" s="226"/>
    </row>
    <row r="9337" spans="16:21" x14ac:dyDescent="0.35">
      <c r="P9337" s="226"/>
      <c r="Q9337" s="226"/>
      <c r="R9337" s="226"/>
      <c r="S9337" s="226"/>
      <c r="T9337" s="226"/>
      <c r="U9337" s="226"/>
    </row>
    <row r="9338" spans="16:21" x14ac:dyDescent="0.35">
      <c r="P9338" s="226"/>
      <c r="Q9338" s="226"/>
      <c r="R9338" s="226"/>
      <c r="S9338" s="226"/>
      <c r="T9338" s="226"/>
      <c r="U9338" s="226"/>
    </row>
    <row r="9339" spans="16:21" x14ac:dyDescent="0.35">
      <c r="P9339" s="226"/>
      <c r="Q9339" s="226"/>
      <c r="R9339" s="226"/>
      <c r="S9339" s="226"/>
      <c r="T9339" s="226"/>
      <c r="U9339" s="226"/>
    </row>
    <row r="9340" spans="16:21" x14ac:dyDescent="0.35">
      <c r="P9340" s="226"/>
      <c r="Q9340" s="226"/>
      <c r="R9340" s="226"/>
      <c r="S9340" s="226"/>
      <c r="T9340" s="226"/>
      <c r="U9340" s="226"/>
    </row>
    <row r="9341" spans="16:21" x14ac:dyDescent="0.35">
      <c r="P9341" s="226"/>
      <c r="Q9341" s="226"/>
      <c r="R9341" s="226"/>
      <c r="S9341" s="226"/>
      <c r="T9341" s="226"/>
      <c r="U9341" s="226"/>
    </row>
    <row r="9342" spans="16:21" x14ac:dyDescent="0.35">
      <c r="P9342" s="226"/>
      <c r="Q9342" s="226"/>
      <c r="R9342" s="226"/>
      <c r="S9342" s="226"/>
      <c r="T9342" s="226"/>
      <c r="U9342" s="226"/>
    </row>
    <row r="9343" spans="16:21" x14ac:dyDescent="0.35">
      <c r="P9343" s="226"/>
      <c r="Q9343" s="226"/>
      <c r="R9343" s="226"/>
      <c r="S9343" s="226"/>
      <c r="T9343" s="226"/>
      <c r="U9343" s="226"/>
    </row>
    <row r="9344" spans="16:21" x14ac:dyDescent="0.35">
      <c r="P9344" s="226"/>
      <c r="Q9344" s="226"/>
      <c r="R9344" s="226"/>
      <c r="S9344" s="226"/>
      <c r="T9344" s="226"/>
      <c r="U9344" s="226"/>
    </row>
    <row r="9345" spans="16:21" x14ac:dyDescent="0.35">
      <c r="P9345" s="226"/>
      <c r="Q9345" s="226"/>
      <c r="R9345" s="226"/>
      <c r="S9345" s="226"/>
      <c r="T9345" s="226"/>
      <c r="U9345" s="226"/>
    </row>
    <row r="9346" spans="16:21" x14ac:dyDescent="0.35">
      <c r="P9346" s="226"/>
      <c r="Q9346" s="226"/>
      <c r="R9346" s="226"/>
      <c r="S9346" s="226"/>
      <c r="T9346" s="226"/>
      <c r="U9346" s="226"/>
    </row>
    <row r="9347" spans="16:21" x14ac:dyDescent="0.35">
      <c r="P9347" s="226"/>
      <c r="Q9347" s="226"/>
      <c r="R9347" s="226"/>
      <c r="S9347" s="226"/>
      <c r="T9347" s="226"/>
      <c r="U9347" s="226"/>
    </row>
    <row r="9348" spans="16:21" x14ac:dyDescent="0.35">
      <c r="P9348" s="226"/>
      <c r="Q9348" s="226"/>
      <c r="R9348" s="226"/>
      <c r="S9348" s="226"/>
      <c r="T9348" s="226"/>
      <c r="U9348" s="226"/>
    </row>
    <row r="9349" spans="16:21" x14ac:dyDescent="0.35">
      <c r="P9349" s="226"/>
      <c r="Q9349" s="226"/>
      <c r="R9349" s="226"/>
      <c r="S9349" s="226"/>
      <c r="T9349" s="226"/>
      <c r="U9349" s="226"/>
    </row>
    <row r="9350" spans="16:21" x14ac:dyDescent="0.35">
      <c r="P9350" s="226"/>
      <c r="Q9350" s="226"/>
      <c r="R9350" s="226"/>
      <c r="S9350" s="226"/>
      <c r="T9350" s="226"/>
      <c r="U9350" s="226"/>
    </row>
    <row r="9351" spans="16:21" x14ac:dyDescent="0.35">
      <c r="P9351" s="226"/>
      <c r="Q9351" s="226"/>
      <c r="R9351" s="226"/>
      <c r="S9351" s="226"/>
      <c r="T9351" s="226"/>
      <c r="U9351" s="226"/>
    </row>
    <row r="9352" spans="16:21" x14ac:dyDescent="0.35">
      <c r="P9352" s="226"/>
      <c r="Q9352" s="226"/>
      <c r="R9352" s="226"/>
      <c r="S9352" s="226"/>
      <c r="T9352" s="226"/>
      <c r="U9352" s="226"/>
    </row>
    <row r="9353" spans="16:21" x14ac:dyDescent="0.35">
      <c r="P9353" s="226"/>
      <c r="Q9353" s="226"/>
      <c r="R9353" s="226"/>
      <c r="S9353" s="226"/>
      <c r="T9353" s="226"/>
      <c r="U9353" s="226"/>
    </row>
    <row r="9354" spans="16:21" x14ac:dyDescent="0.35">
      <c r="P9354" s="226"/>
      <c r="Q9354" s="226"/>
      <c r="R9354" s="226"/>
      <c r="S9354" s="226"/>
      <c r="T9354" s="226"/>
      <c r="U9354" s="226"/>
    </row>
    <row r="9355" spans="16:21" x14ac:dyDescent="0.35">
      <c r="P9355" s="226"/>
      <c r="Q9355" s="226"/>
      <c r="R9355" s="226"/>
      <c r="S9355" s="226"/>
      <c r="T9355" s="226"/>
      <c r="U9355" s="226"/>
    </row>
    <row r="9356" spans="16:21" x14ac:dyDescent="0.35">
      <c r="P9356" s="226"/>
      <c r="Q9356" s="226"/>
      <c r="R9356" s="226"/>
      <c r="S9356" s="226"/>
      <c r="T9356" s="226"/>
      <c r="U9356" s="226"/>
    </row>
    <row r="9357" spans="16:21" x14ac:dyDescent="0.35">
      <c r="P9357" s="226"/>
      <c r="Q9357" s="226"/>
      <c r="R9357" s="226"/>
      <c r="S9357" s="226"/>
      <c r="T9357" s="226"/>
      <c r="U9357" s="226"/>
    </row>
    <row r="9358" spans="16:21" x14ac:dyDescent="0.35">
      <c r="P9358" s="226"/>
      <c r="Q9358" s="226"/>
      <c r="R9358" s="226"/>
      <c r="S9358" s="226"/>
      <c r="T9358" s="226"/>
      <c r="U9358" s="226"/>
    </row>
    <row r="9359" spans="16:21" x14ac:dyDescent="0.35">
      <c r="P9359" s="226"/>
      <c r="Q9359" s="226"/>
      <c r="R9359" s="226"/>
      <c r="S9359" s="226"/>
      <c r="T9359" s="226"/>
      <c r="U9359" s="226"/>
    </row>
    <row r="9360" spans="16:21" x14ac:dyDescent="0.35">
      <c r="P9360" s="226"/>
      <c r="Q9360" s="226"/>
      <c r="R9360" s="226"/>
      <c r="S9360" s="226"/>
      <c r="T9360" s="226"/>
      <c r="U9360" s="226"/>
    </row>
    <row r="9361" spans="16:21" x14ac:dyDescent="0.35">
      <c r="P9361" s="226"/>
      <c r="Q9361" s="226"/>
      <c r="R9361" s="226"/>
      <c r="S9361" s="226"/>
      <c r="T9361" s="226"/>
      <c r="U9361" s="226"/>
    </row>
    <row r="9362" spans="16:21" x14ac:dyDescent="0.35">
      <c r="P9362" s="226"/>
      <c r="Q9362" s="226"/>
      <c r="R9362" s="226"/>
      <c r="S9362" s="226"/>
      <c r="T9362" s="226"/>
      <c r="U9362" s="226"/>
    </row>
    <row r="9363" spans="16:21" x14ac:dyDescent="0.35">
      <c r="P9363" s="226"/>
      <c r="Q9363" s="226"/>
      <c r="R9363" s="226"/>
      <c r="S9363" s="226"/>
      <c r="T9363" s="226"/>
      <c r="U9363" s="226"/>
    </row>
    <row r="9364" spans="16:21" x14ac:dyDescent="0.35">
      <c r="P9364" s="226"/>
      <c r="Q9364" s="226"/>
      <c r="R9364" s="226"/>
      <c r="S9364" s="226"/>
      <c r="T9364" s="226"/>
      <c r="U9364" s="226"/>
    </row>
    <row r="9365" spans="16:21" x14ac:dyDescent="0.35">
      <c r="P9365" s="226"/>
      <c r="Q9365" s="226"/>
      <c r="R9365" s="226"/>
      <c r="S9365" s="226"/>
      <c r="T9365" s="226"/>
      <c r="U9365" s="226"/>
    </row>
    <row r="9366" spans="16:21" x14ac:dyDescent="0.35">
      <c r="P9366" s="226"/>
      <c r="Q9366" s="226"/>
      <c r="R9366" s="226"/>
      <c r="S9366" s="226"/>
      <c r="T9366" s="226"/>
      <c r="U9366" s="226"/>
    </row>
    <row r="9367" spans="16:21" x14ac:dyDescent="0.35">
      <c r="P9367" s="226"/>
      <c r="Q9367" s="226"/>
      <c r="R9367" s="226"/>
      <c r="S9367" s="226"/>
      <c r="T9367" s="226"/>
      <c r="U9367" s="226"/>
    </row>
    <row r="9368" spans="16:21" x14ac:dyDescent="0.35">
      <c r="P9368" s="226"/>
      <c r="Q9368" s="226"/>
      <c r="R9368" s="226"/>
      <c r="S9368" s="226"/>
      <c r="T9368" s="226"/>
      <c r="U9368" s="226"/>
    </row>
    <row r="9369" spans="16:21" x14ac:dyDescent="0.35">
      <c r="P9369" s="226"/>
      <c r="Q9369" s="226"/>
      <c r="R9369" s="226"/>
      <c r="S9369" s="226"/>
      <c r="T9369" s="226"/>
      <c r="U9369" s="226"/>
    </row>
    <row r="9370" spans="16:21" x14ac:dyDescent="0.35">
      <c r="P9370" s="226"/>
      <c r="Q9370" s="226"/>
      <c r="R9370" s="226"/>
      <c r="S9370" s="226"/>
      <c r="T9370" s="226"/>
      <c r="U9370" s="226"/>
    </row>
    <row r="9371" spans="16:21" x14ac:dyDescent="0.35">
      <c r="P9371" s="226"/>
      <c r="Q9371" s="226"/>
      <c r="R9371" s="226"/>
      <c r="S9371" s="226"/>
      <c r="T9371" s="226"/>
      <c r="U9371" s="226"/>
    </row>
    <row r="9372" spans="16:21" x14ac:dyDescent="0.35">
      <c r="P9372" s="226"/>
      <c r="Q9372" s="226"/>
      <c r="R9372" s="226"/>
      <c r="S9372" s="226"/>
      <c r="T9372" s="226"/>
      <c r="U9372" s="226"/>
    </row>
    <row r="9373" spans="16:21" x14ac:dyDescent="0.35">
      <c r="P9373" s="226"/>
      <c r="Q9373" s="226"/>
      <c r="R9373" s="226"/>
      <c r="S9373" s="226"/>
      <c r="T9373" s="226"/>
      <c r="U9373" s="226"/>
    </row>
    <row r="9374" spans="16:21" x14ac:dyDescent="0.35">
      <c r="P9374" s="226"/>
      <c r="Q9374" s="226"/>
      <c r="R9374" s="226"/>
      <c r="S9374" s="226"/>
      <c r="T9374" s="226"/>
      <c r="U9374" s="226"/>
    </row>
    <row r="9375" spans="16:21" x14ac:dyDescent="0.35">
      <c r="P9375" s="226"/>
      <c r="Q9375" s="226"/>
      <c r="R9375" s="226"/>
      <c r="S9375" s="226"/>
      <c r="T9375" s="226"/>
      <c r="U9375" s="226"/>
    </row>
    <row r="9376" spans="16:21" x14ac:dyDescent="0.35">
      <c r="P9376" s="226"/>
      <c r="Q9376" s="226"/>
      <c r="R9376" s="226"/>
      <c r="S9376" s="226"/>
      <c r="T9376" s="226"/>
      <c r="U9376" s="226"/>
    </row>
    <row r="9377" spans="16:21" x14ac:dyDescent="0.35">
      <c r="P9377" s="226"/>
      <c r="Q9377" s="226"/>
      <c r="R9377" s="226"/>
      <c r="S9377" s="226"/>
      <c r="T9377" s="226"/>
      <c r="U9377" s="226"/>
    </row>
    <row r="9378" spans="16:21" x14ac:dyDescent="0.35">
      <c r="P9378" s="226"/>
      <c r="Q9378" s="226"/>
      <c r="R9378" s="226"/>
      <c r="S9378" s="226"/>
      <c r="T9378" s="226"/>
      <c r="U9378" s="226"/>
    </row>
    <row r="9379" spans="16:21" x14ac:dyDescent="0.35">
      <c r="P9379" s="226"/>
      <c r="Q9379" s="226"/>
      <c r="R9379" s="226"/>
      <c r="S9379" s="226"/>
      <c r="T9379" s="226"/>
      <c r="U9379" s="226"/>
    </row>
    <row r="9380" spans="16:21" x14ac:dyDescent="0.35">
      <c r="P9380" s="226"/>
      <c r="Q9380" s="226"/>
      <c r="R9380" s="226"/>
      <c r="S9380" s="226"/>
      <c r="T9380" s="226"/>
      <c r="U9380" s="226"/>
    </row>
    <row r="9381" spans="16:21" x14ac:dyDescent="0.35">
      <c r="P9381" s="226"/>
      <c r="Q9381" s="226"/>
      <c r="R9381" s="226"/>
      <c r="S9381" s="226"/>
      <c r="T9381" s="226"/>
      <c r="U9381" s="226"/>
    </row>
    <row r="9382" spans="16:21" x14ac:dyDescent="0.35">
      <c r="P9382" s="226"/>
      <c r="Q9382" s="226"/>
      <c r="R9382" s="226"/>
      <c r="S9382" s="226"/>
      <c r="T9382" s="226"/>
      <c r="U9382" s="226"/>
    </row>
    <row r="9383" spans="16:21" x14ac:dyDescent="0.35">
      <c r="P9383" s="226"/>
      <c r="Q9383" s="226"/>
      <c r="R9383" s="226"/>
      <c r="S9383" s="226"/>
      <c r="T9383" s="226"/>
      <c r="U9383" s="226"/>
    </row>
    <row r="9384" spans="16:21" x14ac:dyDescent="0.35">
      <c r="P9384" s="226"/>
      <c r="Q9384" s="226"/>
      <c r="R9384" s="226"/>
      <c r="S9384" s="226"/>
      <c r="T9384" s="226"/>
      <c r="U9384" s="226"/>
    </row>
    <row r="9385" spans="16:21" x14ac:dyDescent="0.35">
      <c r="P9385" s="226"/>
      <c r="Q9385" s="226"/>
      <c r="R9385" s="226"/>
      <c r="S9385" s="226"/>
      <c r="T9385" s="226"/>
      <c r="U9385" s="226"/>
    </row>
    <row r="9386" spans="16:21" x14ac:dyDescent="0.35">
      <c r="P9386" s="226"/>
      <c r="Q9386" s="226"/>
      <c r="R9386" s="226"/>
      <c r="S9386" s="226"/>
      <c r="T9386" s="226"/>
      <c r="U9386" s="226"/>
    </row>
    <row r="9387" spans="16:21" x14ac:dyDescent="0.35">
      <c r="P9387" s="226"/>
      <c r="Q9387" s="226"/>
      <c r="R9387" s="226"/>
      <c r="S9387" s="226"/>
      <c r="T9387" s="226"/>
      <c r="U9387" s="226"/>
    </row>
    <row r="9388" spans="16:21" x14ac:dyDescent="0.35">
      <c r="P9388" s="226"/>
      <c r="Q9388" s="226"/>
      <c r="R9388" s="226"/>
      <c r="S9388" s="226"/>
      <c r="T9388" s="226"/>
      <c r="U9388" s="226"/>
    </row>
    <row r="9389" spans="16:21" x14ac:dyDescent="0.35">
      <c r="P9389" s="226"/>
      <c r="Q9389" s="226"/>
      <c r="R9389" s="226"/>
      <c r="S9389" s="226"/>
      <c r="T9389" s="226"/>
      <c r="U9389" s="226"/>
    </row>
    <row r="9390" spans="16:21" x14ac:dyDescent="0.35">
      <c r="P9390" s="226"/>
      <c r="Q9390" s="226"/>
      <c r="R9390" s="226"/>
      <c r="S9390" s="226"/>
      <c r="T9390" s="226"/>
      <c r="U9390" s="226"/>
    </row>
    <row r="9391" spans="16:21" x14ac:dyDescent="0.35">
      <c r="P9391" s="226"/>
      <c r="Q9391" s="226"/>
      <c r="R9391" s="226"/>
      <c r="S9391" s="226"/>
      <c r="T9391" s="226"/>
      <c r="U9391" s="226"/>
    </row>
    <row r="9392" spans="16:21" x14ac:dyDescent="0.35">
      <c r="P9392" s="226"/>
      <c r="Q9392" s="226"/>
      <c r="R9392" s="226"/>
      <c r="S9392" s="226"/>
      <c r="T9392" s="226"/>
      <c r="U9392" s="226"/>
    </row>
    <row r="9393" spans="16:21" x14ac:dyDescent="0.35">
      <c r="P9393" s="226"/>
      <c r="Q9393" s="226"/>
      <c r="R9393" s="226"/>
      <c r="S9393" s="226"/>
      <c r="T9393" s="226"/>
      <c r="U9393" s="226"/>
    </row>
    <row r="9394" spans="16:21" x14ac:dyDescent="0.35">
      <c r="P9394" s="226"/>
      <c r="Q9394" s="226"/>
      <c r="R9394" s="226"/>
      <c r="S9394" s="226"/>
      <c r="T9394" s="226"/>
      <c r="U9394" s="226"/>
    </row>
    <row r="9395" spans="16:21" x14ac:dyDescent="0.35">
      <c r="P9395" s="226"/>
      <c r="Q9395" s="226"/>
      <c r="R9395" s="226"/>
      <c r="S9395" s="226"/>
      <c r="T9395" s="226"/>
      <c r="U9395" s="226"/>
    </row>
    <row r="9396" spans="16:21" x14ac:dyDescent="0.35">
      <c r="P9396" s="226"/>
      <c r="Q9396" s="226"/>
      <c r="R9396" s="226"/>
      <c r="S9396" s="226"/>
      <c r="T9396" s="226"/>
      <c r="U9396" s="226"/>
    </row>
    <row r="9397" spans="16:21" x14ac:dyDescent="0.35">
      <c r="P9397" s="226"/>
      <c r="Q9397" s="226"/>
      <c r="R9397" s="226"/>
      <c r="S9397" s="226"/>
      <c r="T9397" s="226"/>
      <c r="U9397" s="226"/>
    </row>
    <row r="9398" spans="16:21" x14ac:dyDescent="0.35">
      <c r="P9398" s="226"/>
      <c r="Q9398" s="226"/>
      <c r="R9398" s="226"/>
      <c r="S9398" s="226"/>
      <c r="T9398" s="226"/>
      <c r="U9398" s="226"/>
    </row>
    <row r="9399" spans="16:21" x14ac:dyDescent="0.35">
      <c r="P9399" s="226"/>
      <c r="Q9399" s="226"/>
      <c r="R9399" s="226"/>
      <c r="S9399" s="226"/>
      <c r="T9399" s="226"/>
      <c r="U9399" s="226"/>
    </row>
    <row r="9400" spans="16:21" x14ac:dyDescent="0.35">
      <c r="P9400" s="226"/>
      <c r="Q9400" s="226"/>
      <c r="R9400" s="226"/>
      <c r="S9400" s="226"/>
      <c r="T9400" s="226"/>
      <c r="U9400" s="226"/>
    </row>
    <row r="9401" spans="16:21" x14ac:dyDescent="0.35">
      <c r="P9401" s="226"/>
      <c r="Q9401" s="226"/>
      <c r="R9401" s="226"/>
      <c r="S9401" s="226"/>
      <c r="T9401" s="226"/>
      <c r="U9401" s="226"/>
    </row>
    <row r="9402" spans="16:21" x14ac:dyDescent="0.35">
      <c r="P9402" s="226"/>
      <c r="Q9402" s="226"/>
      <c r="R9402" s="226"/>
      <c r="S9402" s="226"/>
      <c r="T9402" s="226"/>
      <c r="U9402" s="226"/>
    </row>
    <row r="9403" spans="16:21" x14ac:dyDescent="0.35">
      <c r="P9403" s="226"/>
      <c r="Q9403" s="226"/>
      <c r="R9403" s="226"/>
      <c r="S9403" s="226"/>
      <c r="T9403" s="226"/>
      <c r="U9403" s="226"/>
    </row>
    <row r="9404" spans="16:21" x14ac:dyDescent="0.35">
      <c r="P9404" s="226"/>
      <c r="Q9404" s="226"/>
      <c r="R9404" s="226"/>
      <c r="S9404" s="226"/>
      <c r="T9404" s="226"/>
      <c r="U9404" s="226"/>
    </row>
    <row r="9405" spans="16:21" x14ac:dyDescent="0.35">
      <c r="P9405" s="226"/>
      <c r="Q9405" s="226"/>
      <c r="R9405" s="226"/>
      <c r="S9405" s="226"/>
      <c r="T9405" s="226"/>
      <c r="U9405" s="226"/>
    </row>
    <row r="9406" spans="16:21" x14ac:dyDescent="0.35">
      <c r="P9406" s="226"/>
      <c r="Q9406" s="226"/>
      <c r="R9406" s="226"/>
      <c r="S9406" s="226"/>
      <c r="T9406" s="226"/>
      <c r="U9406" s="226"/>
    </row>
    <row r="9407" spans="16:21" x14ac:dyDescent="0.35">
      <c r="P9407" s="226"/>
      <c r="Q9407" s="226"/>
      <c r="R9407" s="226"/>
      <c r="S9407" s="226"/>
      <c r="T9407" s="226"/>
      <c r="U9407" s="226"/>
    </row>
    <row r="9408" spans="16:21" x14ac:dyDescent="0.35">
      <c r="P9408" s="226"/>
      <c r="Q9408" s="226"/>
      <c r="R9408" s="226"/>
      <c r="S9408" s="226"/>
      <c r="T9408" s="226"/>
      <c r="U9408" s="226"/>
    </row>
    <row r="9409" spans="16:21" x14ac:dyDescent="0.35">
      <c r="P9409" s="226"/>
      <c r="Q9409" s="226"/>
      <c r="R9409" s="226"/>
      <c r="S9409" s="226"/>
      <c r="T9409" s="226"/>
      <c r="U9409" s="226"/>
    </row>
    <row r="9410" spans="16:21" x14ac:dyDescent="0.35">
      <c r="P9410" s="226"/>
      <c r="Q9410" s="226"/>
      <c r="R9410" s="226"/>
      <c r="S9410" s="226"/>
      <c r="T9410" s="226"/>
      <c r="U9410" s="226"/>
    </row>
    <row r="9411" spans="16:21" x14ac:dyDescent="0.35">
      <c r="P9411" s="226"/>
      <c r="Q9411" s="226"/>
      <c r="R9411" s="226"/>
      <c r="S9411" s="226"/>
      <c r="T9411" s="226"/>
      <c r="U9411" s="226"/>
    </row>
    <row r="9412" spans="16:21" x14ac:dyDescent="0.35">
      <c r="P9412" s="226"/>
      <c r="Q9412" s="226"/>
      <c r="R9412" s="226"/>
      <c r="S9412" s="226"/>
      <c r="T9412" s="226"/>
      <c r="U9412" s="226"/>
    </row>
    <row r="9413" spans="16:21" x14ac:dyDescent="0.35">
      <c r="P9413" s="226"/>
      <c r="Q9413" s="226"/>
      <c r="R9413" s="226"/>
      <c r="S9413" s="226"/>
      <c r="T9413" s="226"/>
      <c r="U9413" s="226"/>
    </row>
    <row r="9414" spans="16:21" x14ac:dyDescent="0.35">
      <c r="P9414" s="226"/>
      <c r="Q9414" s="226"/>
      <c r="R9414" s="226"/>
      <c r="S9414" s="226"/>
      <c r="T9414" s="226"/>
      <c r="U9414" s="226"/>
    </row>
    <row r="9415" spans="16:21" x14ac:dyDescent="0.35">
      <c r="P9415" s="226"/>
      <c r="Q9415" s="226"/>
      <c r="R9415" s="226"/>
      <c r="S9415" s="226"/>
      <c r="T9415" s="226"/>
      <c r="U9415" s="226"/>
    </row>
    <row r="9416" spans="16:21" x14ac:dyDescent="0.35">
      <c r="P9416" s="226"/>
      <c r="Q9416" s="226"/>
      <c r="R9416" s="226"/>
      <c r="S9416" s="226"/>
      <c r="T9416" s="226"/>
      <c r="U9416" s="226"/>
    </row>
    <row r="9417" spans="16:21" x14ac:dyDescent="0.35">
      <c r="P9417" s="226"/>
      <c r="Q9417" s="226"/>
      <c r="R9417" s="226"/>
      <c r="S9417" s="226"/>
      <c r="T9417" s="226"/>
      <c r="U9417" s="226"/>
    </row>
    <row r="9418" spans="16:21" x14ac:dyDescent="0.35">
      <c r="P9418" s="226"/>
      <c r="Q9418" s="226"/>
      <c r="R9418" s="226"/>
      <c r="S9418" s="226"/>
      <c r="T9418" s="226"/>
      <c r="U9418" s="226"/>
    </row>
    <row r="9419" spans="16:21" x14ac:dyDescent="0.35">
      <c r="P9419" s="226"/>
      <c r="Q9419" s="226"/>
      <c r="R9419" s="226"/>
      <c r="S9419" s="226"/>
      <c r="T9419" s="226"/>
      <c r="U9419" s="226"/>
    </row>
    <row r="9420" spans="16:21" x14ac:dyDescent="0.35">
      <c r="P9420" s="226"/>
      <c r="Q9420" s="226"/>
      <c r="R9420" s="226"/>
      <c r="S9420" s="226"/>
      <c r="T9420" s="226"/>
      <c r="U9420" s="226"/>
    </row>
    <row r="9421" spans="16:21" x14ac:dyDescent="0.35">
      <c r="P9421" s="226"/>
      <c r="Q9421" s="226"/>
      <c r="R9421" s="226"/>
      <c r="S9421" s="226"/>
      <c r="T9421" s="226"/>
      <c r="U9421" s="226"/>
    </row>
    <row r="9422" spans="16:21" x14ac:dyDescent="0.35">
      <c r="P9422" s="226"/>
      <c r="Q9422" s="226"/>
      <c r="R9422" s="226"/>
      <c r="S9422" s="226"/>
      <c r="T9422" s="226"/>
      <c r="U9422" s="226"/>
    </row>
    <row r="9423" spans="16:21" x14ac:dyDescent="0.35">
      <c r="P9423" s="226"/>
      <c r="Q9423" s="226"/>
      <c r="R9423" s="226"/>
      <c r="S9423" s="226"/>
      <c r="T9423" s="226"/>
      <c r="U9423" s="226"/>
    </row>
    <row r="9424" spans="16:21" x14ac:dyDescent="0.35">
      <c r="P9424" s="226"/>
      <c r="Q9424" s="226"/>
      <c r="R9424" s="226"/>
      <c r="S9424" s="226"/>
      <c r="T9424" s="226"/>
      <c r="U9424" s="226"/>
    </row>
    <row r="9425" spans="16:21" x14ac:dyDescent="0.35">
      <c r="P9425" s="226"/>
      <c r="Q9425" s="226"/>
      <c r="R9425" s="226"/>
      <c r="S9425" s="226"/>
      <c r="T9425" s="226"/>
      <c r="U9425" s="226"/>
    </row>
    <row r="9426" spans="16:21" x14ac:dyDescent="0.35">
      <c r="P9426" s="226"/>
      <c r="Q9426" s="226"/>
      <c r="R9426" s="226"/>
      <c r="S9426" s="226"/>
      <c r="T9426" s="226"/>
      <c r="U9426" s="226"/>
    </row>
    <row r="9427" spans="16:21" x14ac:dyDescent="0.35">
      <c r="P9427" s="226"/>
      <c r="Q9427" s="226"/>
      <c r="R9427" s="226"/>
      <c r="S9427" s="226"/>
      <c r="T9427" s="226"/>
      <c r="U9427" s="226"/>
    </row>
    <row r="9428" spans="16:21" x14ac:dyDescent="0.35">
      <c r="P9428" s="226"/>
      <c r="Q9428" s="226"/>
      <c r="R9428" s="226"/>
      <c r="S9428" s="226"/>
      <c r="T9428" s="226"/>
      <c r="U9428" s="226"/>
    </row>
    <row r="9429" spans="16:21" x14ac:dyDescent="0.35">
      <c r="P9429" s="226"/>
      <c r="Q9429" s="226"/>
      <c r="R9429" s="226"/>
      <c r="S9429" s="226"/>
      <c r="T9429" s="226"/>
      <c r="U9429" s="226"/>
    </row>
    <row r="9430" spans="16:21" x14ac:dyDescent="0.35">
      <c r="P9430" s="226"/>
      <c r="Q9430" s="226"/>
      <c r="R9430" s="226"/>
      <c r="S9430" s="226"/>
      <c r="T9430" s="226"/>
      <c r="U9430" s="226"/>
    </row>
    <row r="9431" spans="16:21" x14ac:dyDescent="0.35">
      <c r="P9431" s="226"/>
      <c r="Q9431" s="226"/>
      <c r="R9431" s="226"/>
      <c r="S9431" s="226"/>
      <c r="T9431" s="226"/>
      <c r="U9431" s="226"/>
    </row>
    <row r="9432" spans="16:21" x14ac:dyDescent="0.35">
      <c r="P9432" s="226"/>
      <c r="Q9432" s="226"/>
      <c r="R9432" s="226"/>
      <c r="S9432" s="226"/>
      <c r="T9432" s="226"/>
      <c r="U9432" s="226"/>
    </row>
    <row r="9433" spans="16:21" x14ac:dyDescent="0.35">
      <c r="P9433" s="226"/>
      <c r="Q9433" s="226"/>
      <c r="R9433" s="226"/>
      <c r="S9433" s="226"/>
      <c r="T9433" s="226"/>
      <c r="U9433" s="226"/>
    </row>
    <row r="9434" spans="16:21" x14ac:dyDescent="0.35">
      <c r="P9434" s="226"/>
      <c r="Q9434" s="226"/>
      <c r="R9434" s="226"/>
      <c r="S9434" s="226"/>
      <c r="T9434" s="226"/>
      <c r="U9434" s="226"/>
    </row>
    <row r="9435" spans="16:21" x14ac:dyDescent="0.35">
      <c r="P9435" s="226"/>
      <c r="Q9435" s="226"/>
      <c r="R9435" s="226"/>
      <c r="S9435" s="226"/>
      <c r="T9435" s="226"/>
      <c r="U9435" s="226"/>
    </row>
    <row r="9436" spans="16:21" x14ac:dyDescent="0.35">
      <c r="P9436" s="226"/>
      <c r="Q9436" s="226"/>
      <c r="R9436" s="226"/>
      <c r="S9436" s="226"/>
      <c r="T9436" s="226"/>
      <c r="U9436" s="226"/>
    </row>
    <row r="9437" spans="16:21" x14ac:dyDescent="0.35">
      <c r="P9437" s="226"/>
      <c r="Q9437" s="226"/>
      <c r="R9437" s="226"/>
      <c r="S9437" s="226"/>
      <c r="T9437" s="226"/>
      <c r="U9437" s="226"/>
    </row>
    <row r="9438" spans="16:21" x14ac:dyDescent="0.35">
      <c r="P9438" s="226"/>
      <c r="Q9438" s="226"/>
      <c r="R9438" s="226"/>
      <c r="S9438" s="226"/>
      <c r="T9438" s="226"/>
      <c r="U9438" s="226"/>
    </row>
    <row r="9439" spans="16:21" x14ac:dyDescent="0.35">
      <c r="P9439" s="226"/>
      <c r="Q9439" s="226"/>
      <c r="R9439" s="226"/>
      <c r="S9439" s="226"/>
      <c r="T9439" s="226"/>
      <c r="U9439" s="226"/>
    </row>
    <row r="9440" spans="16:21" x14ac:dyDescent="0.35">
      <c r="P9440" s="226"/>
      <c r="Q9440" s="226"/>
      <c r="R9440" s="226"/>
      <c r="S9440" s="226"/>
      <c r="T9440" s="226"/>
      <c r="U9440" s="226"/>
    </row>
    <row r="9441" spans="16:21" x14ac:dyDescent="0.35">
      <c r="P9441" s="226"/>
      <c r="Q9441" s="226"/>
      <c r="R9441" s="226"/>
      <c r="S9441" s="226"/>
      <c r="T9441" s="226"/>
      <c r="U9441" s="226"/>
    </row>
    <row r="9442" spans="16:21" x14ac:dyDescent="0.35">
      <c r="P9442" s="226"/>
      <c r="Q9442" s="226"/>
      <c r="R9442" s="226"/>
      <c r="S9442" s="226"/>
      <c r="T9442" s="226"/>
      <c r="U9442" s="226"/>
    </row>
    <row r="9443" spans="16:21" x14ac:dyDescent="0.35">
      <c r="P9443" s="226"/>
      <c r="Q9443" s="226"/>
      <c r="R9443" s="226"/>
      <c r="S9443" s="226"/>
      <c r="T9443" s="226"/>
      <c r="U9443" s="226"/>
    </row>
    <row r="9444" spans="16:21" x14ac:dyDescent="0.35">
      <c r="P9444" s="226"/>
      <c r="Q9444" s="226"/>
      <c r="R9444" s="226"/>
      <c r="S9444" s="226"/>
      <c r="T9444" s="226"/>
      <c r="U9444" s="226"/>
    </row>
    <row r="9445" spans="16:21" x14ac:dyDescent="0.35">
      <c r="P9445" s="226"/>
      <c r="Q9445" s="226"/>
      <c r="R9445" s="226"/>
      <c r="S9445" s="226"/>
      <c r="T9445" s="226"/>
      <c r="U9445" s="226"/>
    </row>
    <row r="9446" spans="16:21" x14ac:dyDescent="0.35">
      <c r="P9446" s="226"/>
      <c r="Q9446" s="226"/>
      <c r="R9446" s="226"/>
      <c r="S9446" s="226"/>
      <c r="T9446" s="226"/>
      <c r="U9446" s="226"/>
    </row>
    <row r="9447" spans="16:21" x14ac:dyDescent="0.35">
      <c r="P9447" s="226"/>
      <c r="Q9447" s="226"/>
      <c r="R9447" s="226"/>
      <c r="S9447" s="226"/>
      <c r="T9447" s="226"/>
      <c r="U9447" s="226"/>
    </row>
    <row r="9448" spans="16:21" x14ac:dyDescent="0.35">
      <c r="P9448" s="226"/>
      <c r="Q9448" s="226"/>
      <c r="R9448" s="226"/>
      <c r="S9448" s="226"/>
      <c r="T9448" s="226"/>
      <c r="U9448" s="226"/>
    </row>
    <row r="9449" spans="16:21" x14ac:dyDescent="0.35">
      <c r="P9449" s="226"/>
      <c r="Q9449" s="226"/>
      <c r="R9449" s="226"/>
      <c r="S9449" s="226"/>
      <c r="T9449" s="226"/>
      <c r="U9449" s="226"/>
    </row>
    <row r="9450" spans="16:21" x14ac:dyDescent="0.35">
      <c r="P9450" s="226"/>
      <c r="Q9450" s="226"/>
      <c r="R9450" s="226"/>
      <c r="S9450" s="226"/>
      <c r="T9450" s="226"/>
      <c r="U9450" s="226"/>
    </row>
    <row r="9451" spans="16:21" x14ac:dyDescent="0.35">
      <c r="P9451" s="226"/>
      <c r="Q9451" s="226"/>
      <c r="R9451" s="226"/>
      <c r="S9451" s="226"/>
      <c r="T9451" s="226"/>
      <c r="U9451" s="226"/>
    </row>
    <row r="9452" spans="16:21" x14ac:dyDescent="0.35">
      <c r="P9452" s="226"/>
      <c r="Q9452" s="226"/>
      <c r="R9452" s="226"/>
      <c r="S9452" s="226"/>
      <c r="T9452" s="226"/>
      <c r="U9452" s="226"/>
    </row>
    <row r="9453" spans="16:21" x14ac:dyDescent="0.35">
      <c r="P9453" s="226"/>
      <c r="Q9453" s="226"/>
      <c r="R9453" s="226"/>
      <c r="S9453" s="226"/>
      <c r="T9453" s="226"/>
      <c r="U9453" s="226"/>
    </row>
    <row r="9454" spans="16:21" x14ac:dyDescent="0.35">
      <c r="P9454" s="226"/>
      <c r="Q9454" s="226"/>
      <c r="R9454" s="226"/>
      <c r="S9454" s="226"/>
      <c r="T9454" s="226"/>
      <c r="U9454" s="226"/>
    </row>
    <row r="9455" spans="16:21" x14ac:dyDescent="0.35">
      <c r="P9455" s="226"/>
      <c r="Q9455" s="226"/>
      <c r="R9455" s="226"/>
      <c r="S9455" s="226"/>
      <c r="T9455" s="226"/>
      <c r="U9455" s="226"/>
    </row>
    <row r="9456" spans="16:21" x14ac:dyDescent="0.35">
      <c r="P9456" s="226"/>
      <c r="Q9456" s="226"/>
      <c r="R9456" s="226"/>
      <c r="S9456" s="226"/>
      <c r="T9456" s="226"/>
      <c r="U9456" s="226"/>
    </row>
    <row r="9457" spans="16:21" x14ac:dyDescent="0.35">
      <c r="P9457" s="226"/>
      <c r="Q9457" s="226"/>
      <c r="R9457" s="226"/>
      <c r="S9457" s="226"/>
      <c r="T9457" s="226"/>
      <c r="U9457" s="226"/>
    </row>
    <row r="9458" spans="16:21" x14ac:dyDescent="0.35">
      <c r="P9458" s="226"/>
      <c r="Q9458" s="226"/>
      <c r="R9458" s="226"/>
      <c r="S9458" s="226"/>
      <c r="T9458" s="226"/>
      <c r="U9458" s="226"/>
    </row>
    <row r="9459" spans="16:21" x14ac:dyDescent="0.35">
      <c r="P9459" s="226"/>
      <c r="Q9459" s="226"/>
      <c r="R9459" s="226"/>
      <c r="S9459" s="226"/>
      <c r="T9459" s="226"/>
      <c r="U9459" s="226"/>
    </row>
    <row r="9460" spans="16:21" x14ac:dyDescent="0.35">
      <c r="P9460" s="226"/>
      <c r="Q9460" s="226"/>
      <c r="R9460" s="226"/>
      <c r="S9460" s="226"/>
      <c r="T9460" s="226"/>
      <c r="U9460" s="226"/>
    </row>
    <row r="9461" spans="16:21" x14ac:dyDescent="0.35">
      <c r="P9461" s="226"/>
      <c r="Q9461" s="226"/>
      <c r="R9461" s="226"/>
      <c r="S9461" s="226"/>
      <c r="T9461" s="226"/>
      <c r="U9461" s="226"/>
    </row>
    <row r="9462" spans="16:21" x14ac:dyDescent="0.35">
      <c r="P9462" s="226"/>
      <c r="Q9462" s="226"/>
      <c r="R9462" s="226"/>
      <c r="S9462" s="226"/>
      <c r="T9462" s="226"/>
      <c r="U9462" s="226"/>
    </row>
    <row r="9463" spans="16:21" x14ac:dyDescent="0.35">
      <c r="P9463" s="226"/>
      <c r="Q9463" s="226"/>
      <c r="R9463" s="226"/>
      <c r="S9463" s="226"/>
      <c r="T9463" s="226"/>
      <c r="U9463" s="226"/>
    </row>
    <row r="9464" spans="16:21" x14ac:dyDescent="0.35">
      <c r="P9464" s="226"/>
      <c r="Q9464" s="226"/>
      <c r="R9464" s="226"/>
      <c r="S9464" s="226"/>
      <c r="T9464" s="226"/>
      <c r="U9464" s="226"/>
    </row>
    <row r="9465" spans="16:21" x14ac:dyDescent="0.35">
      <c r="P9465" s="226"/>
      <c r="Q9465" s="226"/>
      <c r="R9465" s="226"/>
      <c r="S9465" s="226"/>
      <c r="T9465" s="226"/>
      <c r="U9465" s="226"/>
    </row>
    <row r="9466" spans="16:21" x14ac:dyDescent="0.35">
      <c r="P9466" s="226"/>
      <c r="Q9466" s="226"/>
      <c r="R9466" s="226"/>
      <c r="S9466" s="226"/>
      <c r="T9466" s="226"/>
      <c r="U9466" s="226"/>
    </row>
    <row r="9467" spans="16:21" x14ac:dyDescent="0.35">
      <c r="P9467" s="226"/>
      <c r="Q9467" s="226"/>
      <c r="R9467" s="226"/>
      <c r="S9467" s="226"/>
      <c r="T9467" s="226"/>
      <c r="U9467" s="226"/>
    </row>
    <row r="9468" spans="16:21" x14ac:dyDescent="0.35">
      <c r="P9468" s="226"/>
      <c r="Q9468" s="226"/>
      <c r="R9468" s="226"/>
      <c r="S9468" s="226"/>
      <c r="T9468" s="226"/>
      <c r="U9468" s="226"/>
    </row>
    <row r="9469" spans="16:21" x14ac:dyDescent="0.35">
      <c r="P9469" s="226"/>
      <c r="Q9469" s="226"/>
      <c r="R9469" s="226"/>
      <c r="S9469" s="226"/>
      <c r="T9469" s="226"/>
      <c r="U9469" s="226"/>
    </row>
    <row r="9470" spans="16:21" x14ac:dyDescent="0.35">
      <c r="P9470" s="226"/>
      <c r="Q9470" s="226"/>
      <c r="R9470" s="226"/>
      <c r="S9470" s="226"/>
      <c r="T9470" s="226"/>
      <c r="U9470" s="226"/>
    </row>
    <row r="9471" spans="16:21" x14ac:dyDescent="0.35">
      <c r="P9471" s="226"/>
      <c r="Q9471" s="226"/>
      <c r="R9471" s="226"/>
      <c r="S9471" s="226"/>
      <c r="T9471" s="226"/>
      <c r="U9471" s="226"/>
    </row>
    <row r="9472" spans="16:21" x14ac:dyDescent="0.35">
      <c r="P9472" s="226"/>
      <c r="Q9472" s="226"/>
      <c r="R9472" s="226"/>
      <c r="S9472" s="226"/>
      <c r="T9472" s="226"/>
      <c r="U9472" s="226"/>
    </row>
    <row r="9473" spans="16:21" x14ac:dyDescent="0.35">
      <c r="P9473" s="226"/>
      <c r="Q9473" s="226"/>
      <c r="R9473" s="226"/>
      <c r="S9473" s="226"/>
      <c r="T9473" s="226"/>
      <c r="U9473" s="226"/>
    </row>
    <row r="9474" spans="16:21" x14ac:dyDescent="0.35">
      <c r="P9474" s="226"/>
      <c r="Q9474" s="226"/>
      <c r="R9474" s="226"/>
      <c r="S9474" s="226"/>
      <c r="T9474" s="226"/>
      <c r="U9474" s="226"/>
    </row>
    <row r="9475" spans="16:21" x14ac:dyDescent="0.35">
      <c r="P9475" s="226"/>
      <c r="Q9475" s="226"/>
      <c r="R9475" s="226"/>
      <c r="S9475" s="226"/>
      <c r="T9475" s="226"/>
      <c r="U9475" s="226"/>
    </row>
    <row r="9476" spans="16:21" x14ac:dyDescent="0.35">
      <c r="P9476" s="226"/>
      <c r="Q9476" s="226"/>
      <c r="R9476" s="226"/>
      <c r="S9476" s="226"/>
      <c r="T9476" s="226"/>
      <c r="U9476" s="226"/>
    </row>
    <row r="9477" spans="16:21" x14ac:dyDescent="0.35">
      <c r="P9477" s="226"/>
      <c r="Q9477" s="226"/>
      <c r="R9477" s="226"/>
      <c r="S9477" s="226"/>
      <c r="T9477" s="226"/>
      <c r="U9477" s="226"/>
    </row>
    <row r="9478" spans="16:21" x14ac:dyDescent="0.35">
      <c r="P9478" s="226"/>
      <c r="Q9478" s="226"/>
      <c r="R9478" s="226"/>
      <c r="S9478" s="226"/>
      <c r="T9478" s="226"/>
      <c r="U9478" s="226"/>
    </row>
    <row r="9479" spans="16:21" x14ac:dyDescent="0.35">
      <c r="P9479" s="226"/>
      <c r="Q9479" s="226"/>
      <c r="R9479" s="226"/>
      <c r="S9479" s="226"/>
      <c r="T9479" s="226"/>
      <c r="U9479" s="226"/>
    </row>
    <row r="9480" spans="16:21" x14ac:dyDescent="0.35">
      <c r="P9480" s="226"/>
      <c r="Q9480" s="226"/>
      <c r="R9480" s="226"/>
      <c r="S9480" s="226"/>
      <c r="T9480" s="226"/>
      <c r="U9480" s="226"/>
    </row>
    <row r="9481" spans="16:21" x14ac:dyDescent="0.35">
      <c r="P9481" s="226"/>
      <c r="Q9481" s="226"/>
      <c r="R9481" s="226"/>
      <c r="S9481" s="226"/>
      <c r="T9481" s="226"/>
      <c r="U9481" s="226"/>
    </row>
    <row r="9482" spans="16:21" x14ac:dyDescent="0.35">
      <c r="P9482" s="226"/>
      <c r="Q9482" s="226"/>
      <c r="R9482" s="226"/>
      <c r="S9482" s="226"/>
      <c r="T9482" s="226"/>
      <c r="U9482" s="226"/>
    </row>
    <row r="9483" spans="16:21" x14ac:dyDescent="0.35">
      <c r="P9483" s="226"/>
      <c r="Q9483" s="226"/>
      <c r="R9483" s="226"/>
      <c r="S9483" s="226"/>
      <c r="T9483" s="226"/>
      <c r="U9483" s="226"/>
    </row>
    <row r="9484" spans="16:21" x14ac:dyDescent="0.35">
      <c r="P9484" s="226"/>
      <c r="Q9484" s="226"/>
      <c r="R9484" s="226"/>
      <c r="S9484" s="226"/>
      <c r="T9484" s="226"/>
      <c r="U9484" s="226"/>
    </row>
    <row r="9485" spans="16:21" x14ac:dyDescent="0.35">
      <c r="P9485" s="226"/>
      <c r="Q9485" s="226"/>
      <c r="R9485" s="226"/>
      <c r="S9485" s="226"/>
      <c r="T9485" s="226"/>
      <c r="U9485" s="226"/>
    </row>
    <row r="9486" spans="16:21" x14ac:dyDescent="0.35">
      <c r="P9486" s="226"/>
      <c r="Q9486" s="226"/>
      <c r="R9486" s="226"/>
      <c r="S9486" s="226"/>
      <c r="T9486" s="226"/>
      <c r="U9486" s="226"/>
    </row>
    <row r="9487" spans="16:21" x14ac:dyDescent="0.35">
      <c r="P9487" s="226"/>
      <c r="Q9487" s="226"/>
      <c r="R9487" s="226"/>
      <c r="S9487" s="226"/>
      <c r="T9487" s="226"/>
      <c r="U9487" s="226"/>
    </row>
    <row r="9488" spans="16:21" x14ac:dyDescent="0.35">
      <c r="P9488" s="226"/>
      <c r="Q9488" s="226"/>
      <c r="R9488" s="226"/>
      <c r="S9488" s="226"/>
      <c r="T9488" s="226"/>
      <c r="U9488" s="226"/>
    </row>
    <row r="9489" spans="16:21" x14ac:dyDescent="0.35">
      <c r="P9489" s="226"/>
      <c r="Q9489" s="226"/>
      <c r="R9489" s="226"/>
      <c r="S9489" s="226"/>
      <c r="T9489" s="226"/>
      <c r="U9489" s="226"/>
    </row>
    <row r="9490" spans="16:21" x14ac:dyDescent="0.35">
      <c r="P9490" s="226"/>
      <c r="Q9490" s="226"/>
      <c r="R9490" s="226"/>
      <c r="S9490" s="226"/>
      <c r="T9490" s="226"/>
      <c r="U9490" s="226"/>
    </row>
    <row r="9491" spans="16:21" x14ac:dyDescent="0.35">
      <c r="P9491" s="226"/>
      <c r="Q9491" s="226"/>
      <c r="R9491" s="226"/>
      <c r="S9491" s="226"/>
      <c r="T9491" s="226"/>
      <c r="U9491" s="226"/>
    </row>
    <row r="9492" spans="16:21" x14ac:dyDescent="0.35">
      <c r="P9492" s="226"/>
      <c r="Q9492" s="226"/>
      <c r="R9492" s="226"/>
      <c r="S9492" s="226"/>
      <c r="T9492" s="226"/>
      <c r="U9492" s="226"/>
    </row>
    <row r="9493" spans="16:21" x14ac:dyDescent="0.35">
      <c r="P9493" s="226"/>
      <c r="Q9493" s="226"/>
      <c r="R9493" s="226"/>
      <c r="S9493" s="226"/>
      <c r="T9493" s="226"/>
      <c r="U9493" s="226"/>
    </row>
    <row r="9494" spans="16:21" x14ac:dyDescent="0.35">
      <c r="P9494" s="226"/>
      <c r="Q9494" s="226"/>
      <c r="R9494" s="226"/>
      <c r="S9494" s="226"/>
      <c r="T9494" s="226"/>
      <c r="U9494" s="226"/>
    </row>
    <row r="9495" spans="16:21" x14ac:dyDescent="0.35">
      <c r="P9495" s="226"/>
      <c r="Q9495" s="226"/>
      <c r="R9495" s="226"/>
      <c r="S9495" s="226"/>
      <c r="T9495" s="226"/>
      <c r="U9495" s="226"/>
    </row>
    <row r="9496" spans="16:21" x14ac:dyDescent="0.35">
      <c r="P9496" s="226"/>
      <c r="Q9496" s="226"/>
      <c r="R9496" s="226"/>
      <c r="S9496" s="226"/>
      <c r="T9496" s="226"/>
      <c r="U9496" s="226"/>
    </row>
    <row r="9497" spans="16:21" x14ac:dyDescent="0.35">
      <c r="P9497" s="226"/>
      <c r="Q9497" s="226"/>
      <c r="R9497" s="226"/>
      <c r="S9497" s="226"/>
      <c r="T9497" s="226"/>
      <c r="U9497" s="226"/>
    </row>
    <row r="9498" spans="16:21" x14ac:dyDescent="0.35">
      <c r="P9498" s="226"/>
      <c r="Q9498" s="226"/>
      <c r="R9498" s="226"/>
      <c r="S9498" s="226"/>
      <c r="T9498" s="226"/>
      <c r="U9498" s="226"/>
    </row>
    <row r="9499" spans="16:21" x14ac:dyDescent="0.35">
      <c r="P9499" s="226"/>
      <c r="Q9499" s="226"/>
      <c r="R9499" s="226"/>
      <c r="S9499" s="226"/>
      <c r="T9499" s="226"/>
      <c r="U9499" s="226"/>
    </row>
    <row r="9500" spans="16:21" x14ac:dyDescent="0.35">
      <c r="P9500" s="226"/>
      <c r="Q9500" s="226"/>
      <c r="R9500" s="226"/>
      <c r="S9500" s="226"/>
      <c r="T9500" s="226"/>
      <c r="U9500" s="226"/>
    </row>
    <row r="9501" spans="16:21" x14ac:dyDescent="0.35">
      <c r="P9501" s="226"/>
      <c r="Q9501" s="226"/>
      <c r="R9501" s="226"/>
      <c r="S9501" s="226"/>
      <c r="T9501" s="226"/>
      <c r="U9501" s="226"/>
    </row>
    <row r="9502" spans="16:21" x14ac:dyDescent="0.35">
      <c r="P9502" s="226"/>
      <c r="Q9502" s="226"/>
      <c r="R9502" s="226"/>
      <c r="S9502" s="226"/>
      <c r="T9502" s="226"/>
      <c r="U9502" s="226"/>
    </row>
    <row r="9503" spans="16:21" x14ac:dyDescent="0.35">
      <c r="P9503" s="226"/>
      <c r="Q9503" s="226"/>
      <c r="R9503" s="226"/>
      <c r="S9503" s="226"/>
      <c r="T9503" s="226"/>
      <c r="U9503" s="226"/>
    </row>
    <row r="9504" spans="16:21" x14ac:dyDescent="0.35">
      <c r="P9504" s="226"/>
      <c r="Q9504" s="226"/>
      <c r="R9504" s="226"/>
      <c r="S9504" s="226"/>
      <c r="T9504" s="226"/>
      <c r="U9504" s="226"/>
    </row>
    <row r="9505" spans="16:21" x14ac:dyDescent="0.35">
      <c r="P9505" s="226"/>
      <c r="Q9505" s="226"/>
      <c r="R9505" s="226"/>
      <c r="S9505" s="226"/>
      <c r="T9505" s="226"/>
      <c r="U9505" s="226"/>
    </row>
    <row r="9506" spans="16:21" x14ac:dyDescent="0.35">
      <c r="P9506" s="226"/>
      <c r="Q9506" s="226"/>
      <c r="R9506" s="226"/>
      <c r="S9506" s="226"/>
      <c r="T9506" s="226"/>
      <c r="U9506" s="226"/>
    </row>
    <row r="9507" spans="16:21" x14ac:dyDescent="0.35">
      <c r="P9507" s="226"/>
      <c r="Q9507" s="226"/>
      <c r="R9507" s="226"/>
      <c r="S9507" s="226"/>
      <c r="T9507" s="226"/>
      <c r="U9507" s="226"/>
    </row>
    <row r="9508" spans="16:21" x14ac:dyDescent="0.35">
      <c r="P9508" s="226"/>
      <c r="Q9508" s="226"/>
      <c r="R9508" s="226"/>
      <c r="S9508" s="226"/>
      <c r="T9508" s="226"/>
      <c r="U9508" s="226"/>
    </row>
    <row r="9509" spans="16:21" x14ac:dyDescent="0.35">
      <c r="P9509" s="226"/>
      <c r="Q9509" s="226"/>
      <c r="R9509" s="226"/>
      <c r="S9509" s="226"/>
      <c r="T9509" s="226"/>
      <c r="U9509" s="226"/>
    </row>
    <row r="9510" spans="16:21" x14ac:dyDescent="0.35">
      <c r="P9510" s="226"/>
      <c r="Q9510" s="226"/>
      <c r="R9510" s="226"/>
      <c r="S9510" s="226"/>
      <c r="T9510" s="226"/>
      <c r="U9510" s="226"/>
    </row>
    <row r="9511" spans="16:21" x14ac:dyDescent="0.35">
      <c r="P9511" s="226"/>
      <c r="Q9511" s="226"/>
      <c r="R9511" s="226"/>
      <c r="S9511" s="226"/>
      <c r="T9511" s="226"/>
      <c r="U9511" s="226"/>
    </row>
    <row r="9512" spans="16:21" x14ac:dyDescent="0.35">
      <c r="P9512" s="226"/>
      <c r="Q9512" s="226"/>
      <c r="R9512" s="226"/>
      <c r="S9512" s="226"/>
      <c r="T9512" s="226"/>
      <c r="U9512" s="226"/>
    </row>
    <row r="9513" spans="16:21" x14ac:dyDescent="0.35">
      <c r="P9513" s="226"/>
      <c r="Q9513" s="226"/>
      <c r="R9513" s="226"/>
      <c r="S9513" s="226"/>
      <c r="T9513" s="226"/>
      <c r="U9513" s="226"/>
    </row>
    <row r="9514" spans="16:21" x14ac:dyDescent="0.35">
      <c r="P9514" s="226"/>
      <c r="Q9514" s="226"/>
      <c r="R9514" s="226"/>
      <c r="S9514" s="226"/>
      <c r="T9514" s="226"/>
      <c r="U9514" s="226"/>
    </row>
    <row r="9515" spans="16:21" x14ac:dyDescent="0.35">
      <c r="P9515" s="226"/>
      <c r="Q9515" s="226"/>
      <c r="R9515" s="226"/>
      <c r="S9515" s="226"/>
      <c r="T9515" s="226"/>
      <c r="U9515" s="226"/>
    </row>
    <row r="9516" spans="16:21" x14ac:dyDescent="0.35">
      <c r="P9516" s="226"/>
      <c r="Q9516" s="226"/>
      <c r="R9516" s="226"/>
      <c r="S9516" s="226"/>
      <c r="T9516" s="226"/>
      <c r="U9516" s="226"/>
    </row>
    <row r="9517" spans="16:21" x14ac:dyDescent="0.35">
      <c r="P9517" s="226"/>
      <c r="Q9517" s="226"/>
      <c r="R9517" s="226"/>
      <c r="S9517" s="226"/>
      <c r="T9517" s="226"/>
      <c r="U9517" s="226"/>
    </row>
    <row r="9518" spans="16:21" x14ac:dyDescent="0.35">
      <c r="P9518" s="226"/>
      <c r="Q9518" s="226"/>
      <c r="R9518" s="226"/>
      <c r="S9518" s="226"/>
      <c r="T9518" s="226"/>
      <c r="U9518" s="226"/>
    </row>
    <row r="9519" spans="16:21" x14ac:dyDescent="0.35">
      <c r="P9519" s="226"/>
      <c r="Q9519" s="226"/>
      <c r="R9519" s="226"/>
      <c r="S9519" s="226"/>
      <c r="T9519" s="226"/>
      <c r="U9519" s="226"/>
    </row>
    <row r="9520" spans="16:21" x14ac:dyDescent="0.35">
      <c r="P9520" s="226"/>
      <c r="Q9520" s="226"/>
      <c r="R9520" s="226"/>
      <c r="S9520" s="226"/>
      <c r="T9520" s="226"/>
      <c r="U9520" s="226"/>
    </row>
    <row r="9521" spans="16:21" x14ac:dyDescent="0.35">
      <c r="P9521" s="226"/>
      <c r="Q9521" s="226"/>
      <c r="R9521" s="226"/>
      <c r="S9521" s="226"/>
      <c r="T9521" s="226"/>
      <c r="U9521" s="226"/>
    </row>
    <row r="9522" spans="16:21" x14ac:dyDescent="0.35">
      <c r="P9522" s="226"/>
      <c r="Q9522" s="226"/>
      <c r="R9522" s="226"/>
      <c r="S9522" s="226"/>
      <c r="T9522" s="226"/>
      <c r="U9522" s="226"/>
    </row>
    <row r="9523" spans="16:21" x14ac:dyDescent="0.35">
      <c r="P9523" s="226"/>
      <c r="Q9523" s="226"/>
      <c r="R9523" s="226"/>
      <c r="S9523" s="226"/>
      <c r="T9523" s="226"/>
      <c r="U9523" s="226"/>
    </row>
    <row r="9524" spans="16:21" x14ac:dyDescent="0.35">
      <c r="P9524" s="226"/>
      <c r="Q9524" s="226"/>
      <c r="R9524" s="226"/>
      <c r="S9524" s="226"/>
      <c r="T9524" s="226"/>
      <c r="U9524" s="226"/>
    </row>
    <row r="9525" spans="16:21" x14ac:dyDescent="0.35">
      <c r="P9525" s="226"/>
      <c r="Q9525" s="226"/>
      <c r="R9525" s="226"/>
      <c r="S9525" s="226"/>
      <c r="T9525" s="226"/>
      <c r="U9525" s="226"/>
    </row>
    <row r="9526" spans="16:21" x14ac:dyDescent="0.35">
      <c r="P9526" s="226"/>
      <c r="Q9526" s="226"/>
      <c r="R9526" s="226"/>
      <c r="S9526" s="226"/>
      <c r="T9526" s="226"/>
      <c r="U9526" s="226"/>
    </row>
    <row r="9527" spans="16:21" x14ac:dyDescent="0.35">
      <c r="P9527" s="226"/>
      <c r="Q9527" s="226"/>
      <c r="R9527" s="226"/>
      <c r="S9527" s="226"/>
      <c r="T9527" s="226"/>
      <c r="U9527" s="226"/>
    </row>
    <row r="9528" spans="16:21" x14ac:dyDescent="0.35">
      <c r="P9528" s="226"/>
      <c r="Q9528" s="226"/>
      <c r="R9528" s="226"/>
      <c r="S9528" s="226"/>
      <c r="T9528" s="226"/>
      <c r="U9528" s="226"/>
    </row>
    <row r="9529" spans="16:21" x14ac:dyDescent="0.35">
      <c r="P9529" s="226"/>
      <c r="Q9529" s="226"/>
      <c r="R9529" s="226"/>
      <c r="S9529" s="226"/>
      <c r="T9529" s="226"/>
      <c r="U9529" s="226"/>
    </row>
    <row r="9530" spans="16:21" x14ac:dyDescent="0.35">
      <c r="P9530" s="226"/>
      <c r="Q9530" s="226"/>
      <c r="R9530" s="226"/>
      <c r="S9530" s="226"/>
      <c r="T9530" s="226"/>
      <c r="U9530" s="226"/>
    </row>
    <row r="9531" spans="16:21" x14ac:dyDescent="0.35">
      <c r="P9531" s="226"/>
      <c r="Q9531" s="226"/>
      <c r="R9531" s="226"/>
      <c r="S9531" s="226"/>
      <c r="T9531" s="226"/>
      <c r="U9531" s="226"/>
    </row>
    <row r="9532" spans="16:21" x14ac:dyDescent="0.35">
      <c r="P9532" s="226"/>
      <c r="Q9532" s="226"/>
      <c r="R9532" s="226"/>
      <c r="S9532" s="226"/>
      <c r="T9532" s="226"/>
      <c r="U9532" s="226"/>
    </row>
    <row r="9533" spans="16:21" x14ac:dyDescent="0.35">
      <c r="P9533" s="226"/>
      <c r="Q9533" s="226"/>
      <c r="R9533" s="226"/>
      <c r="S9533" s="226"/>
      <c r="T9533" s="226"/>
      <c r="U9533" s="226"/>
    </row>
    <row r="9534" spans="16:21" x14ac:dyDescent="0.35">
      <c r="P9534" s="226"/>
      <c r="Q9534" s="226"/>
      <c r="R9534" s="226"/>
      <c r="S9534" s="226"/>
      <c r="T9534" s="226"/>
      <c r="U9534" s="226"/>
    </row>
    <row r="9535" spans="16:21" x14ac:dyDescent="0.35">
      <c r="P9535" s="226"/>
      <c r="Q9535" s="226"/>
      <c r="R9535" s="226"/>
      <c r="S9535" s="226"/>
      <c r="T9535" s="226"/>
      <c r="U9535" s="226"/>
    </row>
    <row r="9536" spans="16:21" x14ac:dyDescent="0.35">
      <c r="P9536" s="226"/>
      <c r="Q9536" s="226"/>
      <c r="R9536" s="226"/>
      <c r="S9536" s="226"/>
      <c r="T9536" s="226"/>
      <c r="U9536" s="226"/>
    </row>
    <row r="9537" spans="16:21" x14ac:dyDescent="0.35">
      <c r="P9537" s="226"/>
      <c r="Q9537" s="226"/>
      <c r="R9537" s="226"/>
      <c r="S9537" s="226"/>
      <c r="T9537" s="226"/>
      <c r="U9537" s="226"/>
    </row>
    <row r="9538" spans="16:21" x14ac:dyDescent="0.35">
      <c r="P9538" s="226"/>
      <c r="Q9538" s="226"/>
      <c r="R9538" s="226"/>
      <c r="S9538" s="226"/>
      <c r="T9538" s="226"/>
      <c r="U9538" s="226"/>
    </row>
    <row r="9539" spans="16:21" x14ac:dyDescent="0.35">
      <c r="P9539" s="226"/>
      <c r="Q9539" s="226"/>
      <c r="R9539" s="226"/>
      <c r="S9539" s="226"/>
      <c r="T9539" s="226"/>
      <c r="U9539" s="226"/>
    </row>
    <row r="9540" spans="16:21" x14ac:dyDescent="0.35">
      <c r="P9540" s="226"/>
      <c r="Q9540" s="226"/>
      <c r="R9540" s="226"/>
      <c r="S9540" s="226"/>
      <c r="T9540" s="226"/>
      <c r="U9540" s="226"/>
    </row>
    <row r="9541" spans="16:21" x14ac:dyDescent="0.35">
      <c r="P9541" s="226"/>
      <c r="Q9541" s="226"/>
      <c r="R9541" s="226"/>
      <c r="S9541" s="226"/>
      <c r="T9541" s="226"/>
      <c r="U9541" s="226"/>
    </row>
    <row r="9542" spans="16:21" x14ac:dyDescent="0.35">
      <c r="P9542" s="226"/>
      <c r="Q9542" s="226"/>
      <c r="R9542" s="226"/>
      <c r="S9542" s="226"/>
      <c r="T9542" s="226"/>
      <c r="U9542" s="226"/>
    </row>
    <row r="9543" spans="16:21" x14ac:dyDescent="0.35">
      <c r="P9543" s="226"/>
      <c r="Q9543" s="226"/>
      <c r="R9543" s="226"/>
      <c r="S9543" s="226"/>
      <c r="T9543" s="226"/>
      <c r="U9543" s="226"/>
    </row>
    <row r="9544" spans="16:21" x14ac:dyDescent="0.35">
      <c r="P9544" s="226"/>
      <c r="Q9544" s="226"/>
      <c r="R9544" s="226"/>
      <c r="S9544" s="226"/>
      <c r="T9544" s="226"/>
      <c r="U9544" s="226"/>
    </row>
    <row r="9545" spans="16:21" x14ac:dyDescent="0.35">
      <c r="P9545" s="226"/>
      <c r="Q9545" s="226"/>
      <c r="R9545" s="226"/>
      <c r="S9545" s="226"/>
      <c r="T9545" s="226"/>
      <c r="U9545" s="226"/>
    </row>
    <row r="9546" spans="16:21" x14ac:dyDescent="0.35">
      <c r="P9546" s="226"/>
      <c r="Q9546" s="226"/>
      <c r="R9546" s="226"/>
      <c r="S9546" s="226"/>
      <c r="T9546" s="226"/>
      <c r="U9546" s="226"/>
    </row>
    <row r="9547" spans="16:21" x14ac:dyDescent="0.35">
      <c r="P9547" s="226"/>
      <c r="Q9547" s="226"/>
      <c r="R9547" s="226"/>
      <c r="S9547" s="226"/>
      <c r="T9547" s="226"/>
      <c r="U9547" s="226"/>
    </row>
    <row r="9548" spans="16:21" x14ac:dyDescent="0.35">
      <c r="P9548" s="226"/>
      <c r="Q9548" s="226"/>
      <c r="R9548" s="226"/>
      <c r="S9548" s="226"/>
      <c r="T9548" s="226"/>
      <c r="U9548" s="226"/>
    </row>
    <row r="9549" spans="16:21" x14ac:dyDescent="0.35">
      <c r="P9549" s="226"/>
      <c r="Q9549" s="226"/>
      <c r="R9549" s="226"/>
      <c r="S9549" s="226"/>
      <c r="T9549" s="226"/>
      <c r="U9549" s="226"/>
    </row>
    <row r="9550" spans="16:21" x14ac:dyDescent="0.35">
      <c r="P9550" s="226"/>
      <c r="Q9550" s="226"/>
      <c r="R9550" s="226"/>
      <c r="S9550" s="226"/>
      <c r="T9550" s="226"/>
      <c r="U9550" s="226"/>
    </row>
    <row r="9551" spans="16:21" x14ac:dyDescent="0.35">
      <c r="P9551" s="226"/>
      <c r="Q9551" s="226"/>
      <c r="R9551" s="226"/>
      <c r="S9551" s="226"/>
      <c r="T9551" s="226"/>
      <c r="U9551" s="226"/>
    </row>
    <row r="9552" spans="16:21" x14ac:dyDescent="0.35">
      <c r="P9552" s="226"/>
      <c r="Q9552" s="226"/>
      <c r="R9552" s="226"/>
      <c r="S9552" s="226"/>
      <c r="T9552" s="226"/>
      <c r="U9552" s="226"/>
    </row>
    <row r="9553" spans="16:21" x14ac:dyDescent="0.35">
      <c r="P9553" s="226"/>
      <c r="Q9553" s="226"/>
      <c r="R9553" s="226"/>
      <c r="S9553" s="226"/>
      <c r="T9553" s="226"/>
      <c r="U9553" s="226"/>
    </row>
    <row r="9554" spans="16:21" x14ac:dyDescent="0.35">
      <c r="P9554" s="226"/>
      <c r="Q9554" s="226"/>
      <c r="R9554" s="226"/>
      <c r="S9554" s="226"/>
      <c r="T9554" s="226"/>
      <c r="U9554" s="226"/>
    </row>
    <row r="9555" spans="16:21" x14ac:dyDescent="0.35">
      <c r="P9555" s="226"/>
      <c r="Q9555" s="226"/>
      <c r="R9555" s="226"/>
      <c r="S9555" s="226"/>
      <c r="T9555" s="226"/>
      <c r="U9555" s="226"/>
    </row>
    <row r="9556" spans="16:21" x14ac:dyDescent="0.35">
      <c r="P9556" s="226"/>
      <c r="Q9556" s="226"/>
      <c r="R9556" s="226"/>
      <c r="S9556" s="226"/>
      <c r="T9556" s="226"/>
      <c r="U9556" s="226"/>
    </row>
    <row r="9557" spans="16:21" x14ac:dyDescent="0.35">
      <c r="P9557" s="226"/>
      <c r="Q9557" s="226"/>
      <c r="R9557" s="226"/>
      <c r="S9557" s="226"/>
      <c r="T9557" s="226"/>
      <c r="U9557" s="226"/>
    </row>
    <row r="9558" spans="16:21" x14ac:dyDescent="0.35">
      <c r="P9558" s="226"/>
      <c r="Q9558" s="226"/>
      <c r="R9558" s="226"/>
      <c r="S9558" s="226"/>
      <c r="T9558" s="226"/>
      <c r="U9558" s="226"/>
    </row>
    <row r="9559" spans="16:21" x14ac:dyDescent="0.35">
      <c r="P9559" s="226"/>
      <c r="Q9559" s="226"/>
      <c r="R9559" s="226"/>
      <c r="S9559" s="226"/>
      <c r="T9559" s="226"/>
      <c r="U9559" s="226"/>
    </row>
    <row r="9560" spans="16:21" x14ac:dyDescent="0.35">
      <c r="P9560" s="226"/>
      <c r="Q9560" s="226"/>
      <c r="R9560" s="226"/>
      <c r="S9560" s="226"/>
      <c r="T9560" s="226"/>
      <c r="U9560" s="226"/>
    </row>
    <row r="9561" spans="16:21" x14ac:dyDescent="0.35">
      <c r="P9561" s="226"/>
      <c r="Q9561" s="226"/>
      <c r="R9561" s="226"/>
      <c r="S9561" s="226"/>
      <c r="T9561" s="226"/>
      <c r="U9561" s="226"/>
    </row>
    <row r="9562" spans="16:21" x14ac:dyDescent="0.35">
      <c r="P9562" s="226"/>
      <c r="Q9562" s="226"/>
      <c r="R9562" s="226"/>
      <c r="S9562" s="226"/>
      <c r="T9562" s="226"/>
      <c r="U9562" s="226"/>
    </row>
    <row r="9563" spans="16:21" x14ac:dyDescent="0.35">
      <c r="P9563" s="226"/>
      <c r="Q9563" s="226"/>
      <c r="R9563" s="226"/>
      <c r="S9563" s="226"/>
      <c r="T9563" s="226"/>
      <c r="U9563" s="226"/>
    </row>
    <row r="9564" spans="16:21" x14ac:dyDescent="0.35">
      <c r="P9564" s="226"/>
      <c r="Q9564" s="226"/>
      <c r="R9564" s="226"/>
      <c r="S9564" s="226"/>
      <c r="T9564" s="226"/>
      <c r="U9564" s="226"/>
    </row>
    <row r="9565" spans="16:21" x14ac:dyDescent="0.35">
      <c r="P9565" s="226"/>
      <c r="Q9565" s="226"/>
      <c r="R9565" s="226"/>
      <c r="S9565" s="226"/>
      <c r="T9565" s="226"/>
      <c r="U9565" s="226"/>
    </row>
    <row r="9566" spans="16:21" x14ac:dyDescent="0.35">
      <c r="P9566" s="226"/>
      <c r="Q9566" s="226"/>
      <c r="R9566" s="226"/>
      <c r="S9566" s="226"/>
      <c r="T9566" s="226"/>
      <c r="U9566" s="226"/>
    </row>
    <row r="9567" spans="16:21" x14ac:dyDescent="0.35">
      <c r="P9567" s="226"/>
      <c r="Q9567" s="226"/>
      <c r="R9567" s="226"/>
      <c r="S9567" s="226"/>
      <c r="T9567" s="226"/>
      <c r="U9567" s="226"/>
    </row>
    <row r="9568" spans="16:21" x14ac:dyDescent="0.35">
      <c r="P9568" s="226"/>
      <c r="Q9568" s="226"/>
      <c r="R9568" s="226"/>
      <c r="S9568" s="226"/>
      <c r="T9568" s="226"/>
      <c r="U9568" s="226"/>
    </row>
    <row r="9569" spans="16:21" x14ac:dyDescent="0.35">
      <c r="P9569" s="226"/>
      <c r="Q9569" s="226"/>
      <c r="R9569" s="226"/>
      <c r="S9569" s="226"/>
      <c r="T9569" s="226"/>
      <c r="U9569" s="226"/>
    </row>
    <row r="9570" spans="16:21" x14ac:dyDescent="0.35">
      <c r="P9570" s="226"/>
      <c r="Q9570" s="226"/>
      <c r="R9570" s="226"/>
      <c r="S9570" s="226"/>
      <c r="T9570" s="226"/>
      <c r="U9570" s="226"/>
    </row>
    <row r="9571" spans="16:21" x14ac:dyDescent="0.35">
      <c r="P9571" s="226"/>
      <c r="Q9571" s="226"/>
      <c r="R9571" s="226"/>
      <c r="S9571" s="226"/>
      <c r="T9571" s="226"/>
      <c r="U9571" s="226"/>
    </row>
    <row r="9572" spans="16:21" x14ac:dyDescent="0.35">
      <c r="P9572" s="226"/>
      <c r="Q9572" s="226"/>
      <c r="R9572" s="226"/>
      <c r="S9572" s="226"/>
      <c r="T9572" s="226"/>
      <c r="U9572" s="226"/>
    </row>
    <row r="9573" spans="16:21" x14ac:dyDescent="0.35">
      <c r="P9573" s="226"/>
      <c r="Q9573" s="226"/>
      <c r="R9573" s="226"/>
      <c r="S9573" s="226"/>
      <c r="T9573" s="226"/>
      <c r="U9573" s="226"/>
    </row>
    <row r="9574" spans="16:21" x14ac:dyDescent="0.35">
      <c r="P9574" s="226"/>
      <c r="Q9574" s="226"/>
      <c r="R9574" s="226"/>
      <c r="S9574" s="226"/>
      <c r="T9574" s="226"/>
      <c r="U9574" s="226"/>
    </row>
    <row r="9575" spans="16:21" x14ac:dyDescent="0.35">
      <c r="P9575" s="226"/>
      <c r="Q9575" s="226"/>
      <c r="R9575" s="226"/>
      <c r="S9575" s="226"/>
      <c r="T9575" s="226"/>
      <c r="U9575" s="226"/>
    </row>
    <row r="9576" spans="16:21" x14ac:dyDescent="0.35">
      <c r="P9576" s="226"/>
      <c r="Q9576" s="226"/>
      <c r="R9576" s="226"/>
      <c r="S9576" s="226"/>
      <c r="T9576" s="226"/>
      <c r="U9576" s="226"/>
    </row>
    <row r="9577" spans="16:21" x14ac:dyDescent="0.35">
      <c r="P9577" s="226"/>
      <c r="Q9577" s="226"/>
      <c r="R9577" s="226"/>
      <c r="S9577" s="226"/>
      <c r="T9577" s="226"/>
      <c r="U9577" s="226"/>
    </row>
    <row r="9578" spans="16:21" x14ac:dyDescent="0.35">
      <c r="P9578" s="226"/>
      <c r="Q9578" s="226"/>
      <c r="R9578" s="226"/>
      <c r="S9578" s="226"/>
      <c r="T9578" s="226"/>
      <c r="U9578" s="226"/>
    </row>
    <row r="9579" spans="16:21" x14ac:dyDescent="0.35">
      <c r="P9579" s="226"/>
      <c r="Q9579" s="226"/>
      <c r="R9579" s="226"/>
      <c r="S9579" s="226"/>
      <c r="T9579" s="226"/>
      <c r="U9579" s="226"/>
    </row>
    <row r="9580" spans="16:21" x14ac:dyDescent="0.35">
      <c r="P9580" s="226"/>
      <c r="Q9580" s="226"/>
      <c r="R9580" s="226"/>
      <c r="S9580" s="226"/>
      <c r="T9580" s="226"/>
      <c r="U9580" s="226"/>
    </row>
    <row r="9581" spans="16:21" x14ac:dyDescent="0.35">
      <c r="P9581" s="226"/>
      <c r="Q9581" s="226"/>
      <c r="R9581" s="226"/>
      <c r="S9581" s="226"/>
      <c r="T9581" s="226"/>
      <c r="U9581" s="226"/>
    </row>
    <row r="9582" spans="16:21" x14ac:dyDescent="0.35">
      <c r="P9582" s="226"/>
      <c r="Q9582" s="226"/>
      <c r="R9582" s="226"/>
      <c r="S9582" s="226"/>
      <c r="T9582" s="226"/>
      <c r="U9582" s="226"/>
    </row>
    <row r="9583" spans="16:21" x14ac:dyDescent="0.35">
      <c r="P9583" s="226"/>
      <c r="Q9583" s="226"/>
      <c r="R9583" s="226"/>
      <c r="S9583" s="226"/>
      <c r="T9583" s="226"/>
      <c r="U9583" s="226"/>
    </row>
    <row r="9584" spans="16:21" x14ac:dyDescent="0.35">
      <c r="P9584" s="226"/>
      <c r="Q9584" s="226"/>
      <c r="R9584" s="226"/>
      <c r="S9584" s="226"/>
      <c r="T9584" s="226"/>
      <c r="U9584" s="226"/>
    </row>
    <row r="9585" spans="16:21" x14ac:dyDescent="0.35">
      <c r="P9585" s="226"/>
      <c r="Q9585" s="226"/>
      <c r="R9585" s="226"/>
      <c r="S9585" s="226"/>
      <c r="T9585" s="226"/>
      <c r="U9585" s="226"/>
    </row>
    <row r="9586" spans="16:21" x14ac:dyDescent="0.35">
      <c r="P9586" s="226"/>
      <c r="Q9586" s="226"/>
      <c r="R9586" s="226"/>
      <c r="S9586" s="226"/>
      <c r="T9586" s="226"/>
      <c r="U9586" s="226"/>
    </row>
    <row r="9587" spans="16:21" x14ac:dyDescent="0.35">
      <c r="P9587" s="226"/>
      <c r="Q9587" s="226"/>
      <c r="R9587" s="226"/>
      <c r="S9587" s="226"/>
      <c r="T9587" s="226"/>
      <c r="U9587" s="226"/>
    </row>
    <row r="9588" spans="16:21" x14ac:dyDescent="0.35">
      <c r="P9588" s="226"/>
      <c r="Q9588" s="226"/>
      <c r="R9588" s="226"/>
      <c r="S9588" s="226"/>
      <c r="T9588" s="226"/>
      <c r="U9588" s="226"/>
    </row>
    <row r="9589" spans="16:21" x14ac:dyDescent="0.35">
      <c r="P9589" s="226"/>
      <c r="Q9589" s="226"/>
      <c r="R9589" s="226"/>
      <c r="S9589" s="226"/>
      <c r="T9589" s="226"/>
      <c r="U9589" s="226"/>
    </row>
    <row r="9590" spans="16:21" x14ac:dyDescent="0.35">
      <c r="P9590" s="226"/>
      <c r="Q9590" s="226"/>
      <c r="R9590" s="226"/>
      <c r="S9590" s="226"/>
      <c r="T9590" s="226"/>
      <c r="U9590" s="226"/>
    </row>
    <row r="9591" spans="16:21" x14ac:dyDescent="0.35">
      <c r="P9591" s="226"/>
      <c r="Q9591" s="226"/>
      <c r="R9591" s="226"/>
      <c r="S9591" s="226"/>
      <c r="T9591" s="226"/>
      <c r="U9591" s="226"/>
    </row>
    <row r="9592" spans="16:21" x14ac:dyDescent="0.35">
      <c r="P9592" s="226"/>
      <c r="Q9592" s="226"/>
      <c r="R9592" s="226"/>
      <c r="S9592" s="226"/>
      <c r="T9592" s="226"/>
      <c r="U9592" s="226"/>
    </row>
    <row r="9593" spans="16:21" x14ac:dyDescent="0.35">
      <c r="P9593" s="226"/>
      <c r="Q9593" s="226"/>
      <c r="R9593" s="226"/>
      <c r="S9593" s="226"/>
      <c r="T9593" s="226"/>
      <c r="U9593" s="226"/>
    </row>
    <row r="9594" spans="16:21" x14ac:dyDescent="0.35">
      <c r="P9594" s="226"/>
      <c r="Q9594" s="226"/>
      <c r="R9594" s="226"/>
      <c r="S9594" s="226"/>
      <c r="T9594" s="226"/>
      <c r="U9594" s="226"/>
    </row>
    <row r="9595" spans="16:21" x14ac:dyDescent="0.35">
      <c r="P9595" s="226"/>
      <c r="Q9595" s="226"/>
      <c r="R9595" s="226"/>
      <c r="S9595" s="226"/>
      <c r="T9595" s="226"/>
      <c r="U9595" s="226"/>
    </row>
    <row r="9596" spans="16:21" x14ac:dyDescent="0.35">
      <c r="P9596" s="226"/>
      <c r="Q9596" s="226"/>
      <c r="R9596" s="226"/>
      <c r="S9596" s="226"/>
      <c r="T9596" s="226"/>
      <c r="U9596" s="226"/>
    </row>
    <row r="9597" spans="16:21" x14ac:dyDescent="0.35">
      <c r="P9597" s="226"/>
      <c r="Q9597" s="226"/>
      <c r="R9597" s="226"/>
      <c r="S9597" s="226"/>
      <c r="T9597" s="226"/>
      <c r="U9597" s="226"/>
    </row>
    <row r="9598" spans="16:21" x14ac:dyDescent="0.35">
      <c r="P9598" s="226"/>
      <c r="Q9598" s="226"/>
      <c r="R9598" s="226"/>
      <c r="S9598" s="226"/>
      <c r="T9598" s="226"/>
      <c r="U9598" s="226"/>
    </row>
    <row r="9599" spans="16:21" x14ac:dyDescent="0.35">
      <c r="P9599" s="226"/>
      <c r="Q9599" s="226"/>
      <c r="R9599" s="226"/>
      <c r="S9599" s="226"/>
      <c r="T9599" s="226"/>
      <c r="U9599" s="226"/>
    </row>
    <row r="9600" spans="16:21" x14ac:dyDescent="0.35">
      <c r="P9600" s="226"/>
      <c r="Q9600" s="226"/>
      <c r="R9600" s="226"/>
      <c r="S9600" s="226"/>
      <c r="T9600" s="226"/>
      <c r="U9600" s="226"/>
    </row>
    <row r="9601" spans="16:21" x14ac:dyDescent="0.35">
      <c r="P9601" s="226"/>
      <c r="Q9601" s="226"/>
      <c r="R9601" s="226"/>
      <c r="S9601" s="226"/>
      <c r="T9601" s="226"/>
      <c r="U9601" s="226"/>
    </row>
    <row r="9602" spans="16:21" x14ac:dyDescent="0.35">
      <c r="P9602" s="226"/>
      <c r="Q9602" s="226"/>
      <c r="R9602" s="226"/>
      <c r="S9602" s="226"/>
      <c r="T9602" s="226"/>
      <c r="U9602" s="226"/>
    </row>
    <row r="9603" spans="16:21" x14ac:dyDescent="0.35">
      <c r="P9603" s="226"/>
      <c r="Q9603" s="226"/>
      <c r="R9603" s="226"/>
      <c r="S9603" s="226"/>
      <c r="T9603" s="226"/>
      <c r="U9603" s="226"/>
    </row>
    <row r="9604" spans="16:21" x14ac:dyDescent="0.35">
      <c r="P9604" s="226"/>
      <c r="Q9604" s="226"/>
      <c r="R9604" s="226"/>
      <c r="S9604" s="226"/>
      <c r="T9604" s="226"/>
      <c r="U9604" s="226"/>
    </row>
    <row r="9605" spans="16:21" x14ac:dyDescent="0.35">
      <c r="P9605" s="226"/>
      <c r="Q9605" s="226"/>
      <c r="R9605" s="226"/>
      <c r="S9605" s="226"/>
      <c r="T9605" s="226"/>
      <c r="U9605" s="226"/>
    </row>
    <row r="9606" spans="16:21" x14ac:dyDescent="0.35">
      <c r="P9606" s="226"/>
      <c r="Q9606" s="226"/>
      <c r="R9606" s="226"/>
      <c r="S9606" s="226"/>
      <c r="T9606" s="226"/>
      <c r="U9606" s="226"/>
    </row>
    <row r="9607" spans="16:21" x14ac:dyDescent="0.35">
      <c r="P9607" s="226"/>
      <c r="Q9607" s="226"/>
      <c r="R9607" s="226"/>
      <c r="S9607" s="226"/>
      <c r="T9607" s="226"/>
      <c r="U9607" s="226"/>
    </row>
    <row r="9608" spans="16:21" x14ac:dyDescent="0.35">
      <c r="P9608" s="226"/>
      <c r="Q9608" s="226"/>
      <c r="R9608" s="226"/>
      <c r="S9608" s="226"/>
      <c r="T9608" s="226"/>
      <c r="U9608" s="226"/>
    </row>
    <row r="9609" spans="16:21" x14ac:dyDescent="0.35">
      <c r="P9609" s="226"/>
      <c r="Q9609" s="226"/>
      <c r="R9609" s="226"/>
      <c r="S9609" s="226"/>
      <c r="T9609" s="226"/>
      <c r="U9609" s="226"/>
    </row>
    <row r="9610" spans="16:21" x14ac:dyDescent="0.35">
      <c r="P9610" s="226"/>
      <c r="Q9610" s="226"/>
      <c r="R9610" s="226"/>
      <c r="S9610" s="226"/>
      <c r="T9610" s="226"/>
      <c r="U9610" s="226"/>
    </row>
    <row r="9611" spans="16:21" x14ac:dyDescent="0.35">
      <c r="P9611" s="226"/>
      <c r="Q9611" s="226"/>
      <c r="R9611" s="226"/>
      <c r="S9611" s="226"/>
      <c r="T9611" s="226"/>
      <c r="U9611" s="226"/>
    </row>
    <row r="9612" spans="16:21" x14ac:dyDescent="0.35">
      <c r="P9612" s="226"/>
      <c r="Q9612" s="226"/>
      <c r="R9612" s="226"/>
      <c r="S9612" s="226"/>
      <c r="T9612" s="226"/>
      <c r="U9612" s="226"/>
    </row>
    <row r="9613" spans="16:21" x14ac:dyDescent="0.35">
      <c r="P9613" s="226"/>
      <c r="Q9613" s="226"/>
      <c r="R9613" s="226"/>
      <c r="S9613" s="226"/>
      <c r="T9613" s="226"/>
      <c r="U9613" s="226"/>
    </row>
    <row r="9614" spans="16:21" x14ac:dyDescent="0.35">
      <c r="P9614" s="226"/>
      <c r="Q9614" s="226"/>
      <c r="R9614" s="226"/>
      <c r="S9614" s="226"/>
      <c r="T9614" s="226"/>
      <c r="U9614" s="226"/>
    </row>
    <row r="9615" spans="16:21" x14ac:dyDescent="0.35">
      <c r="P9615" s="226"/>
      <c r="Q9615" s="226"/>
      <c r="R9615" s="226"/>
      <c r="S9615" s="226"/>
      <c r="T9615" s="226"/>
      <c r="U9615" s="226"/>
    </row>
    <row r="9616" spans="16:21" x14ac:dyDescent="0.35">
      <c r="P9616" s="226"/>
      <c r="Q9616" s="226"/>
      <c r="R9616" s="226"/>
      <c r="S9616" s="226"/>
      <c r="T9616" s="226"/>
      <c r="U9616" s="226"/>
    </row>
    <row r="9617" spans="16:21" x14ac:dyDescent="0.35">
      <c r="P9617" s="226"/>
      <c r="Q9617" s="226"/>
      <c r="R9617" s="226"/>
      <c r="S9617" s="226"/>
      <c r="T9617" s="226"/>
      <c r="U9617" s="226"/>
    </row>
    <row r="9618" spans="16:21" x14ac:dyDescent="0.35">
      <c r="P9618" s="226"/>
      <c r="Q9618" s="226"/>
      <c r="R9618" s="226"/>
      <c r="S9618" s="226"/>
      <c r="T9618" s="226"/>
      <c r="U9618" s="226"/>
    </row>
    <row r="9619" spans="16:21" x14ac:dyDescent="0.35">
      <c r="P9619" s="226"/>
      <c r="Q9619" s="226"/>
      <c r="R9619" s="226"/>
      <c r="S9619" s="226"/>
      <c r="T9619" s="226"/>
      <c r="U9619" s="226"/>
    </row>
    <row r="9620" spans="16:21" x14ac:dyDescent="0.35">
      <c r="P9620" s="226"/>
      <c r="Q9620" s="226"/>
      <c r="R9620" s="226"/>
      <c r="S9620" s="226"/>
      <c r="T9620" s="226"/>
      <c r="U9620" s="226"/>
    </row>
    <row r="9621" spans="16:21" x14ac:dyDescent="0.35">
      <c r="P9621" s="226"/>
      <c r="Q9621" s="226"/>
      <c r="R9621" s="226"/>
      <c r="S9621" s="226"/>
      <c r="T9621" s="226"/>
      <c r="U9621" s="226"/>
    </row>
    <row r="9622" spans="16:21" x14ac:dyDescent="0.35">
      <c r="P9622" s="226"/>
      <c r="Q9622" s="226"/>
      <c r="R9622" s="226"/>
      <c r="S9622" s="226"/>
      <c r="T9622" s="226"/>
      <c r="U9622" s="226"/>
    </row>
    <row r="9623" spans="16:21" x14ac:dyDescent="0.35">
      <c r="P9623" s="226"/>
      <c r="Q9623" s="226"/>
      <c r="R9623" s="226"/>
      <c r="S9623" s="226"/>
      <c r="T9623" s="226"/>
      <c r="U9623" s="226"/>
    </row>
    <row r="9624" spans="16:21" x14ac:dyDescent="0.35">
      <c r="P9624" s="226"/>
      <c r="Q9624" s="226"/>
      <c r="R9624" s="226"/>
      <c r="S9624" s="226"/>
      <c r="T9624" s="226"/>
      <c r="U9624" s="226"/>
    </row>
    <row r="9625" spans="16:21" x14ac:dyDescent="0.35">
      <c r="P9625" s="226"/>
      <c r="Q9625" s="226"/>
      <c r="R9625" s="226"/>
      <c r="S9625" s="226"/>
      <c r="T9625" s="226"/>
      <c r="U9625" s="226"/>
    </row>
    <row r="9626" spans="16:21" x14ac:dyDescent="0.35">
      <c r="P9626" s="226"/>
      <c r="Q9626" s="226"/>
      <c r="R9626" s="226"/>
      <c r="S9626" s="226"/>
      <c r="T9626" s="226"/>
      <c r="U9626" s="226"/>
    </row>
    <row r="9627" spans="16:21" x14ac:dyDescent="0.35">
      <c r="P9627" s="226"/>
      <c r="Q9627" s="226"/>
      <c r="R9627" s="226"/>
      <c r="S9627" s="226"/>
      <c r="T9627" s="226"/>
      <c r="U9627" s="226"/>
    </row>
    <row r="9628" spans="16:21" x14ac:dyDescent="0.35">
      <c r="P9628" s="226"/>
      <c r="Q9628" s="226"/>
      <c r="R9628" s="226"/>
      <c r="S9628" s="226"/>
      <c r="T9628" s="226"/>
      <c r="U9628" s="226"/>
    </row>
    <row r="9629" spans="16:21" x14ac:dyDescent="0.35">
      <c r="P9629" s="226"/>
      <c r="Q9629" s="226"/>
      <c r="R9629" s="226"/>
      <c r="S9629" s="226"/>
      <c r="T9629" s="226"/>
      <c r="U9629" s="226"/>
    </row>
    <row r="9630" spans="16:21" x14ac:dyDescent="0.35">
      <c r="P9630" s="226"/>
      <c r="Q9630" s="226"/>
      <c r="R9630" s="226"/>
      <c r="S9630" s="226"/>
      <c r="T9630" s="226"/>
      <c r="U9630" s="226"/>
    </row>
    <row r="9631" spans="16:21" x14ac:dyDescent="0.35">
      <c r="P9631" s="226"/>
      <c r="Q9631" s="226"/>
      <c r="R9631" s="226"/>
      <c r="S9631" s="226"/>
      <c r="T9631" s="226"/>
      <c r="U9631" s="226"/>
    </row>
    <row r="9632" spans="16:21" x14ac:dyDescent="0.35">
      <c r="P9632" s="226"/>
      <c r="Q9632" s="226"/>
      <c r="R9632" s="226"/>
      <c r="S9632" s="226"/>
      <c r="T9632" s="226"/>
      <c r="U9632" s="226"/>
    </row>
    <row r="9633" spans="16:21" x14ac:dyDescent="0.35">
      <c r="P9633" s="226"/>
      <c r="Q9633" s="226"/>
      <c r="R9633" s="226"/>
      <c r="S9633" s="226"/>
      <c r="T9633" s="226"/>
      <c r="U9633" s="226"/>
    </row>
    <row r="9634" spans="16:21" x14ac:dyDescent="0.35">
      <c r="P9634" s="226"/>
      <c r="Q9634" s="226"/>
      <c r="R9634" s="226"/>
      <c r="S9634" s="226"/>
      <c r="T9634" s="226"/>
      <c r="U9634" s="226"/>
    </row>
    <row r="9635" spans="16:21" x14ac:dyDescent="0.35">
      <c r="P9635" s="226"/>
      <c r="Q9635" s="226"/>
      <c r="R9635" s="226"/>
      <c r="S9635" s="226"/>
      <c r="T9635" s="226"/>
      <c r="U9635" s="226"/>
    </row>
    <row r="9636" spans="16:21" x14ac:dyDescent="0.35">
      <c r="P9636" s="226"/>
      <c r="Q9636" s="226"/>
      <c r="R9636" s="226"/>
      <c r="S9636" s="226"/>
      <c r="T9636" s="226"/>
      <c r="U9636" s="226"/>
    </row>
    <row r="9637" spans="16:21" x14ac:dyDescent="0.35">
      <c r="P9637" s="226"/>
      <c r="Q9637" s="226"/>
      <c r="R9637" s="226"/>
      <c r="S9637" s="226"/>
      <c r="T9637" s="226"/>
      <c r="U9637" s="226"/>
    </row>
    <row r="9638" spans="16:21" x14ac:dyDescent="0.35">
      <c r="P9638" s="226"/>
      <c r="Q9638" s="226"/>
      <c r="R9638" s="226"/>
      <c r="S9638" s="226"/>
      <c r="T9638" s="226"/>
      <c r="U9638" s="226"/>
    </row>
    <row r="9639" spans="16:21" x14ac:dyDescent="0.35">
      <c r="P9639" s="226"/>
      <c r="Q9639" s="226"/>
      <c r="R9639" s="226"/>
      <c r="S9639" s="226"/>
      <c r="T9639" s="226"/>
      <c r="U9639" s="226"/>
    </row>
    <row r="9640" spans="16:21" x14ac:dyDescent="0.35">
      <c r="P9640" s="226"/>
      <c r="Q9640" s="226"/>
      <c r="R9640" s="226"/>
      <c r="S9640" s="226"/>
      <c r="T9640" s="226"/>
      <c r="U9640" s="226"/>
    </row>
    <row r="9641" spans="16:21" x14ac:dyDescent="0.35">
      <c r="P9641" s="226"/>
      <c r="Q9641" s="226"/>
      <c r="R9641" s="226"/>
      <c r="S9641" s="226"/>
      <c r="T9641" s="226"/>
      <c r="U9641" s="226"/>
    </row>
    <row r="9642" spans="16:21" x14ac:dyDescent="0.35">
      <c r="P9642" s="226"/>
      <c r="Q9642" s="226"/>
      <c r="R9642" s="226"/>
      <c r="S9642" s="226"/>
      <c r="T9642" s="226"/>
      <c r="U9642" s="226"/>
    </row>
    <row r="9643" spans="16:21" x14ac:dyDescent="0.35">
      <c r="P9643" s="226"/>
      <c r="Q9643" s="226"/>
      <c r="R9643" s="226"/>
      <c r="S9643" s="226"/>
      <c r="T9643" s="226"/>
      <c r="U9643" s="226"/>
    </row>
    <row r="9644" spans="16:21" x14ac:dyDescent="0.35">
      <c r="P9644" s="226"/>
      <c r="Q9644" s="226"/>
      <c r="R9644" s="226"/>
      <c r="S9644" s="226"/>
      <c r="T9644" s="226"/>
      <c r="U9644" s="226"/>
    </row>
    <row r="9645" spans="16:21" x14ac:dyDescent="0.35">
      <c r="P9645" s="226"/>
      <c r="Q9645" s="226"/>
      <c r="R9645" s="226"/>
      <c r="S9645" s="226"/>
      <c r="T9645" s="226"/>
      <c r="U9645" s="226"/>
    </row>
    <row r="9646" spans="16:21" x14ac:dyDescent="0.35">
      <c r="P9646" s="226"/>
      <c r="Q9646" s="226"/>
      <c r="R9646" s="226"/>
      <c r="S9646" s="226"/>
      <c r="T9646" s="226"/>
      <c r="U9646" s="226"/>
    </row>
    <row r="9647" spans="16:21" x14ac:dyDescent="0.35">
      <c r="P9647" s="226"/>
      <c r="Q9647" s="226"/>
      <c r="R9647" s="226"/>
      <c r="S9647" s="226"/>
      <c r="T9647" s="226"/>
      <c r="U9647" s="226"/>
    </row>
    <row r="9648" spans="16:21" x14ac:dyDescent="0.35">
      <c r="P9648" s="226"/>
      <c r="Q9648" s="226"/>
      <c r="R9648" s="226"/>
      <c r="S9648" s="226"/>
      <c r="T9648" s="226"/>
      <c r="U9648" s="226"/>
    </row>
    <row r="9649" spans="16:21" x14ac:dyDescent="0.35">
      <c r="P9649" s="226"/>
      <c r="Q9649" s="226"/>
      <c r="R9649" s="226"/>
      <c r="S9649" s="226"/>
      <c r="T9649" s="226"/>
      <c r="U9649" s="226"/>
    </row>
    <row r="9650" spans="16:21" x14ac:dyDescent="0.35">
      <c r="P9650" s="226"/>
      <c r="Q9650" s="226"/>
      <c r="R9650" s="226"/>
      <c r="S9650" s="226"/>
      <c r="T9650" s="226"/>
      <c r="U9650" s="226"/>
    </row>
    <row r="9651" spans="16:21" x14ac:dyDescent="0.35">
      <c r="P9651" s="226"/>
      <c r="Q9651" s="226"/>
      <c r="R9651" s="226"/>
      <c r="S9651" s="226"/>
      <c r="T9651" s="226"/>
      <c r="U9651" s="226"/>
    </row>
    <row r="9652" spans="16:21" x14ac:dyDescent="0.35">
      <c r="P9652" s="226"/>
      <c r="Q9652" s="226"/>
      <c r="R9652" s="226"/>
      <c r="S9652" s="226"/>
      <c r="T9652" s="226"/>
      <c r="U9652" s="226"/>
    </row>
    <row r="9653" spans="16:21" x14ac:dyDescent="0.35">
      <c r="P9653" s="226"/>
      <c r="Q9653" s="226"/>
      <c r="R9653" s="226"/>
      <c r="S9653" s="226"/>
      <c r="T9653" s="226"/>
      <c r="U9653" s="226"/>
    </row>
    <row r="9654" spans="16:21" x14ac:dyDescent="0.35">
      <c r="P9654" s="226"/>
      <c r="Q9654" s="226"/>
      <c r="R9654" s="226"/>
      <c r="S9654" s="226"/>
      <c r="T9654" s="226"/>
      <c r="U9654" s="226"/>
    </row>
    <row r="9655" spans="16:21" x14ac:dyDescent="0.35">
      <c r="P9655" s="226"/>
      <c r="Q9655" s="226"/>
      <c r="R9655" s="226"/>
      <c r="S9655" s="226"/>
      <c r="T9655" s="226"/>
      <c r="U9655" s="226"/>
    </row>
    <row r="9656" spans="16:21" x14ac:dyDescent="0.35">
      <c r="P9656" s="226"/>
      <c r="Q9656" s="226"/>
      <c r="R9656" s="226"/>
      <c r="S9656" s="226"/>
      <c r="T9656" s="226"/>
      <c r="U9656" s="226"/>
    </row>
    <row r="9657" spans="16:21" x14ac:dyDescent="0.35">
      <c r="P9657" s="226"/>
      <c r="Q9657" s="226"/>
      <c r="R9657" s="226"/>
      <c r="S9657" s="226"/>
      <c r="T9657" s="226"/>
      <c r="U9657" s="226"/>
    </row>
    <row r="9658" spans="16:21" x14ac:dyDescent="0.35">
      <c r="P9658" s="226"/>
      <c r="Q9658" s="226"/>
      <c r="R9658" s="226"/>
      <c r="S9658" s="226"/>
      <c r="T9658" s="226"/>
      <c r="U9658" s="226"/>
    </row>
    <row r="9659" spans="16:21" x14ac:dyDescent="0.35">
      <c r="P9659" s="226"/>
      <c r="Q9659" s="226"/>
      <c r="R9659" s="226"/>
      <c r="S9659" s="226"/>
      <c r="T9659" s="226"/>
      <c r="U9659" s="226"/>
    </row>
    <row r="9660" spans="16:21" x14ac:dyDescent="0.35">
      <c r="P9660" s="226"/>
      <c r="Q9660" s="226"/>
      <c r="R9660" s="226"/>
      <c r="S9660" s="226"/>
      <c r="T9660" s="226"/>
      <c r="U9660" s="226"/>
    </row>
    <row r="9661" spans="16:21" x14ac:dyDescent="0.35">
      <c r="P9661" s="226"/>
      <c r="Q9661" s="226"/>
      <c r="R9661" s="226"/>
      <c r="S9661" s="226"/>
      <c r="T9661" s="226"/>
      <c r="U9661" s="226"/>
    </row>
    <row r="9662" spans="16:21" x14ac:dyDescent="0.35">
      <c r="P9662" s="226"/>
      <c r="Q9662" s="226"/>
      <c r="R9662" s="226"/>
      <c r="S9662" s="226"/>
      <c r="T9662" s="226"/>
      <c r="U9662" s="226"/>
    </row>
    <row r="9663" spans="16:21" x14ac:dyDescent="0.35">
      <c r="P9663" s="226"/>
      <c r="Q9663" s="226"/>
      <c r="R9663" s="226"/>
      <c r="S9663" s="226"/>
      <c r="T9663" s="226"/>
      <c r="U9663" s="226"/>
    </row>
    <row r="9664" spans="16:21" x14ac:dyDescent="0.35">
      <c r="P9664" s="226"/>
      <c r="Q9664" s="226"/>
      <c r="R9664" s="226"/>
      <c r="S9664" s="226"/>
      <c r="T9664" s="226"/>
      <c r="U9664" s="226"/>
    </row>
    <row r="9665" spans="16:21" x14ac:dyDescent="0.35">
      <c r="P9665" s="226"/>
      <c r="Q9665" s="226"/>
      <c r="R9665" s="226"/>
      <c r="S9665" s="226"/>
      <c r="T9665" s="226"/>
      <c r="U9665" s="226"/>
    </row>
    <row r="9666" spans="16:21" x14ac:dyDescent="0.35">
      <c r="P9666" s="226"/>
      <c r="Q9666" s="226"/>
      <c r="R9666" s="226"/>
      <c r="S9666" s="226"/>
      <c r="T9666" s="226"/>
      <c r="U9666" s="226"/>
    </row>
    <row r="9667" spans="16:21" x14ac:dyDescent="0.35">
      <c r="P9667" s="226"/>
      <c r="Q9667" s="226"/>
      <c r="R9667" s="226"/>
      <c r="S9667" s="226"/>
      <c r="T9667" s="226"/>
      <c r="U9667" s="226"/>
    </row>
    <row r="9668" spans="16:21" x14ac:dyDescent="0.35">
      <c r="P9668" s="226"/>
      <c r="Q9668" s="226"/>
      <c r="R9668" s="226"/>
      <c r="S9668" s="226"/>
      <c r="T9668" s="226"/>
      <c r="U9668" s="226"/>
    </row>
    <row r="9669" spans="16:21" x14ac:dyDescent="0.35">
      <c r="P9669" s="226"/>
      <c r="Q9669" s="226"/>
      <c r="R9669" s="226"/>
      <c r="S9669" s="226"/>
      <c r="T9669" s="226"/>
      <c r="U9669" s="226"/>
    </row>
    <row r="9670" spans="16:21" x14ac:dyDescent="0.35">
      <c r="P9670" s="226"/>
      <c r="Q9670" s="226"/>
      <c r="R9670" s="226"/>
      <c r="S9670" s="226"/>
      <c r="T9670" s="226"/>
      <c r="U9670" s="226"/>
    </row>
    <row r="9671" spans="16:21" x14ac:dyDescent="0.35">
      <c r="P9671" s="226"/>
      <c r="Q9671" s="226"/>
      <c r="R9671" s="226"/>
      <c r="S9671" s="226"/>
      <c r="T9671" s="226"/>
      <c r="U9671" s="226"/>
    </row>
    <row r="9672" spans="16:21" x14ac:dyDescent="0.35">
      <c r="P9672" s="226"/>
      <c r="Q9672" s="226"/>
      <c r="R9672" s="226"/>
      <c r="S9672" s="226"/>
      <c r="T9672" s="226"/>
      <c r="U9672" s="226"/>
    </row>
    <row r="9673" spans="16:21" x14ac:dyDescent="0.35">
      <c r="P9673" s="226"/>
      <c r="Q9673" s="226"/>
      <c r="R9673" s="226"/>
      <c r="S9673" s="226"/>
      <c r="T9673" s="226"/>
      <c r="U9673" s="226"/>
    </row>
    <row r="9674" spans="16:21" x14ac:dyDescent="0.35">
      <c r="P9674" s="226"/>
      <c r="Q9674" s="226"/>
      <c r="R9674" s="226"/>
      <c r="S9674" s="226"/>
      <c r="T9674" s="226"/>
      <c r="U9674" s="226"/>
    </row>
    <row r="9675" spans="16:21" x14ac:dyDescent="0.35">
      <c r="P9675" s="226"/>
      <c r="Q9675" s="226"/>
      <c r="R9675" s="226"/>
      <c r="S9675" s="226"/>
      <c r="T9675" s="226"/>
      <c r="U9675" s="226"/>
    </row>
    <row r="9676" spans="16:21" x14ac:dyDescent="0.35">
      <c r="P9676" s="226"/>
      <c r="Q9676" s="226"/>
      <c r="R9676" s="226"/>
      <c r="S9676" s="226"/>
      <c r="T9676" s="226"/>
      <c r="U9676" s="226"/>
    </row>
    <row r="9677" spans="16:21" x14ac:dyDescent="0.35">
      <c r="P9677" s="226"/>
      <c r="Q9677" s="226"/>
      <c r="R9677" s="226"/>
      <c r="S9677" s="226"/>
      <c r="T9677" s="226"/>
      <c r="U9677" s="226"/>
    </row>
    <row r="9678" spans="16:21" x14ac:dyDescent="0.35">
      <c r="P9678" s="226"/>
      <c r="Q9678" s="226"/>
      <c r="R9678" s="226"/>
      <c r="S9678" s="226"/>
      <c r="T9678" s="226"/>
      <c r="U9678" s="226"/>
    </row>
    <row r="9679" spans="16:21" x14ac:dyDescent="0.35">
      <c r="P9679" s="226"/>
      <c r="Q9679" s="226"/>
      <c r="R9679" s="226"/>
      <c r="S9679" s="226"/>
      <c r="T9679" s="226"/>
      <c r="U9679" s="226"/>
    </row>
    <row r="9680" spans="16:21" x14ac:dyDescent="0.35">
      <c r="P9680" s="226"/>
      <c r="Q9680" s="226"/>
      <c r="R9680" s="226"/>
      <c r="S9680" s="226"/>
      <c r="T9680" s="226"/>
      <c r="U9680" s="226"/>
    </row>
    <row r="9681" spans="16:21" x14ac:dyDescent="0.35">
      <c r="P9681" s="226"/>
      <c r="Q9681" s="226"/>
      <c r="R9681" s="226"/>
      <c r="S9681" s="226"/>
      <c r="T9681" s="226"/>
      <c r="U9681" s="226"/>
    </row>
    <row r="9682" spans="16:21" x14ac:dyDescent="0.35">
      <c r="P9682" s="226"/>
      <c r="Q9682" s="226"/>
      <c r="R9682" s="226"/>
      <c r="S9682" s="226"/>
      <c r="T9682" s="226"/>
      <c r="U9682" s="226"/>
    </row>
    <row r="9683" spans="16:21" x14ac:dyDescent="0.35">
      <c r="P9683" s="226"/>
      <c r="Q9683" s="226"/>
      <c r="R9683" s="226"/>
      <c r="S9683" s="226"/>
      <c r="T9683" s="226"/>
      <c r="U9683" s="226"/>
    </row>
    <row r="9684" spans="16:21" x14ac:dyDescent="0.35">
      <c r="P9684" s="226"/>
      <c r="Q9684" s="226"/>
      <c r="R9684" s="226"/>
      <c r="S9684" s="226"/>
      <c r="T9684" s="226"/>
      <c r="U9684" s="226"/>
    </row>
    <row r="9685" spans="16:21" x14ac:dyDescent="0.35">
      <c r="P9685" s="226"/>
      <c r="Q9685" s="226"/>
      <c r="R9685" s="226"/>
      <c r="S9685" s="226"/>
      <c r="T9685" s="226"/>
      <c r="U9685" s="226"/>
    </row>
    <row r="9686" spans="16:21" x14ac:dyDescent="0.35">
      <c r="P9686" s="226"/>
      <c r="Q9686" s="226"/>
      <c r="R9686" s="226"/>
      <c r="S9686" s="226"/>
      <c r="T9686" s="226"/>
      <c r="U9686" s="226"/>
    </row>
    <row r="9687" spans="16:21" x14ac:dyDescent="0.35">
      <c r="P9687" s="226"/>
      <c r="Q9687" s="226"/>
      <c r="R9687" s="226"/>
      <c r="S9687" s="226"/>
      <c r="T9687" s="226"/>
      <c r="U9687" s="226"/>
    </row>
    <row r="9688" spans="16:21" x14ac:dyDescent="0.35">
      <c r="P9688" s="226"/>
      <c r="Q9688" s="226"/>
      <c r="R9688" s="226"/>
      <c r="S9688" s="226"/>
      <c r="T9688" s="226"/>
      <c r="U9688" s="226"/>
    </row>
    <row r="9689" spans="16:21" x14ac:dyDescent="0.35">
      <c r="P9689" s="226"/>
      <c r="Q9689" s="226"/>
      <c r="R9689" s="226"/>
      <c r="S9689" s="226"/>
      <c r="T9689" s="226"/>
      <c r="U9689" s="226"/>
    </row>
    <row r="9690" spans="16:21" x14ac:dyDescent="0.35">
      <c r="P9690" s="226"/>
      <c r="Q9690" s="226"/>
      <c r="R9690" s="226"/>
      <c r="S9690" s="226"/>
      <c r="T9690" s="226"/>
      <c r="U9690" s="226"/>
    </row>
    <row r="9691" spans="16:21" x14ac:dyDescent="0.35">
      <c r="P9691" s="226"/>
      <c r="Q9691" s="226"/>
      <c r="R9691" s="226"/>
      <c r="S9691" s="226"/>
      <c r="T9691" s="226"/>
      <c r="U9691" s="226"/>
    </row>
    <row r="9692" spans="16:21" x14ac:dyDescent="0.35">
      <c r="P9692" s="226"/>
      <c r="Q9692" s="226"/>
      <c r="R9692" s="226"/>
      <c r="S9692" s="226"/>
      <c r="T9692" s="226"/>
      <c r="U9692" s="226"/>
    </row>
    <row r="9693" spans="16:21" x14ac:dyDescent="0.35">
      <c r="P9693" s="226"/>
      <c r="Q9693" s="226"/>
      <c r="R9693" s="226"/>
      <c r="S9693" s="226"/>
      <c r="T9693" s="226"/>
      <c r="U9693" s="226"/>
    </row>
    <row r="9694" spans="16:21" x14ac:dyDescent="0.35">
      <c r="P9694" s="226"/>
      <c r="Q9694" s="226"/>
      <c r="R9694" s="226"/>
      <c r="S9694" s="226"/>
      <c r="T9694" s="226"/>
      <c r="U9694" s="226"/>
    </row>
    <row r="9695" spans="16:21" x14ac:dyDescent="0.35">
      <c r="P9695" s="226"/>
      <c r="Q9695" s="226"/>
      <c r="R9695" s="226"/>
      <c r="S9695" s="226"/>
      <c r="T9695" s="226"/>
      <c r="U9695" s="226"/>
    </row>
    <row r="9696" spans="16:21" x14ac:dyDescent="0.35">
      <c r="P9696" s="226"/>
      <c r="Q9696" s="226"/>
      <c r="R9696" s="226"/>
      <c r="S9696" s="226"/>
      <c r="T9696" s="226"/>
      <c r="U9696" s="226"/>
    </row>
    <row r="9697" spans="16:21" x14ac:dyDescent="0.35">
      <c r="P9697" s="226"/>
      <c r="Q9697" s="226"/>
      <c r="R9697" s="226"/>
      <c r="S9697" s="226"/>
      <c r="T9697" s="226"/>
      <c r="U9697" s="226"/>
    </row>
    <row r="9698" spans="16:21" x14ac:dyDescent="0.35">
      <c r="P9698" s="226"/>
      <c r="Q9698" s="226"/>
      <c r="R9698" s="226"/>
      <c r="S9698" s="226"/>
      <c r="T9698" s="226"/>
      <c r="U9698" s="226"/>
    </row>
    <row r="9699" spans="16:21" x14ac:dyDescent="0.35">
      <c r="P9699" s="226"/>
      <c r="Q9699" s="226"/>
      <c r="R9699" s="226"/>
      <c r="S9699" s="226"/>
      <c r="T9699" s="226"/>
      <c r="U9699" s="226"/>
    </row>
    <row r="9700" spans="16:21" x14ac:dyDescent="0.35">
      <c r="P9700" s="226"/>
      <c r="Q9700" s="226"/>
      <c r="R9700" s="226"/>
      <c r="S9700" s="226"/>
      <c r="T9700" s="226"/>
      <c r="U9700" s="226"/>
    </row>
    <row r="9701" spans="16:21" x14ac:dyDescent="0.35">
      <c r="P9701" s="226"/>
      <c r="Q9701" s="226"/>
      <c r="R9701" s="226"/>
      <c r="S9701" s="226"/>
      <c r="T9701" s="226"/>
      <c r="U9701" s="226"/>
    </row>
    <row r="9702" spans="16:21" x14ac:dyDescent="0.35">
      <c r="P9702" s="226"/>
      <c r="Q9702" s="226"/>
      <c r="R9702" s="226"/>
      <c r="S9702" s="226"/>
      <c r="T9702" s="226"/>
      <c r="U9702" s="226"/>
    </row>
    <row r="9703" spans="16:21" x14ac:dyDescent="0.35">
      <c r="P9703" s="226"/>
      <c r="Q9703" s="226"/>
      <c r="R9703" s="226"/>
      <c r="S9703" s="226"/>
      <c r="T9703" s="226"/>
      <c r="U9703" s="226"/>
    </row>
    <row r="9704" spans="16:21" x14ac:dyDescent="0.35">
      <c r="P9704" s="226"/>
      <c r="Q9704" s="226"/>
      <c r="R9704" s="226"/>
      <c r="S9704" s="226"/>
      <c r="T9704" s="226"/>
      <c r="U9704" s="226"/>
    </row>
    <row r="9705" spans="16:21" x14ac:dyDescent="0.35">
      <c r="P9705" s="226"/>
      <c r="Q9705" s="226"/>
      <c r="R9705" s="226"/>
      <c r="S9705" s="226"/>
      <c r="T9705" s="226"/>
      <c r="U9705" s="226"/>
    </row>
    <row r="9706" spans="16:21" x14ac:dyDescent="0.35">
      <c r="P9706" s="226"/>
      <c r="Q9706" s="226"/>
      <c r="R9706" s="226"/>
      <c r="S9706" s="226"/>
      <c r="T9706" s="226"/>
      <c r="U9706" s="226"/>
    </row>
    <row r="9707" spans="16:21" x14ac:dyDescent="0.35">
      <c r="P9707" s="226"/>
      <c r="Q9707" s="226"/>
      <c r="R9707" s="226"/>
      <c r="S9707" s="226"/>
      <c r="T9707" s="226"/>
      <c r="U9707" s="226"/>
    </row>
    <row r="9708" spans="16:21" x14ac:dyDescent="0.35">
      <c r="P9708" s="226"/>
      <c r="Q9708" s="226"/>
      <c r="R9708" s="226"/>
      <c r="S9708" s="226"/>
      <c r="T9708" s="226"/>
      <c r="U9708" s="226"/>
    </row>
    <row r="9709" spans="16:21" x14ac:dyDescent="0.35">
      <c r="P9709" s="226"/>
      <c r="Q9709" s="226"/>
      <c r="R9709" s="226"/>
      <c r="S9709" s="226"/>
      <c r="T9709" s="226"/>
      <c r="U9709" s="226"/>
    </row>
    <row r="9710" spans="16:21" x14ac:dyDescent="0.35">
      <c r="P9710" s="226"/>
      <c r="Q9710" s="226"/>
      <c r="R9710" s="226"/>
      <c r="S9710" s="226"/>
      <c r="T9710" s="226"/>
      <c r="U9710" s="226"/>
    </row>
    <row r="9711" spans="16:21" x14ac:dyDescent="0.35">
      <c r="P9711" s="226"/>
      <c r="Q9711" s="226"/>
      <c r="R9711" s="226"/>
      <c r="S9711" s="226"/>
      <c r="T9711" s="226"/>
      <c r="U9711" s="226"/>
    </row>
    <row r="9712" spans="16:21" x14ac:dyDescent="0.35">
      <c r="P9712" s="226"/>
      <c r="Q9712" s="226"/>
      <c r="R9712" s="226"/>
      <c r="S9712" s="226"/>
      <c r="T9712" s="226"/>
      <c r="U9712" s="226"/>
    </row>
    <row r="9713" spans="16:21" x14ac:dyDescent="0.35">
      <c r="P9713" s="226"/>
      <c r="Q9713" s="226"/>
      <c r="R9713" s="226"/>
      <c r="S9713" s="226"/>
      <c r="T9713" s="226"/>
      <c r="U9713" s="226"/>
    </row>
    <row r="9714" spans="16:21" x14ac:dyDescent="0.35">
      <c r="P9714" s="226"/>
      <c r="Q9714" s="226"/>
      <c r="R9714" s="226"/>
      <c r="S9714" s="226"/>
      <c r="T9714" s="226"/>
      <c r="U9714" s="226"/>
    </row>
    <row r="9715" spans="16:21" x14ac:dyDescent="0.35">
      <c r="P9715" s="226"/>
      <c r="Q9715" s="226"/>
      <c r="R9715" s="226"/>
      <c r="S9715" s="226"/>
      <c r="T9715" s="226"/>
      <c r="U9715" s="226"/>
    </row>
    <row r="9716" spans="16:21" x14ac:dyDescent="0.35">
      <c r="P9716" s="226"/>
      <c r="Q9716" s="226"/>
      <c r="R9716" s="226"/>
      <c r="S9716" s="226"/>
      <c r="T9716" s="226"/>
      <c r="U9716" s="226"/>
    </row>
    <row r="9717" spans="16:21" x14ac:dyDescent="0.35">
      <c r="P9717" s="226"/>
      <c r="Q9717" s="226"/>
      <c r="R9717" s="226"/>
      <c r="S9717" s="226"/>
      <c r="T9717" s="226"/>
      <c r="U9717" s="226"/>
    </row>
    <row r="9718" spans="16:21" x14ac:dyDescent="0.35">
      <c r="P9718" s="226"/>
      <c r="Q9718" s="226"/>
      <c r="R9718" s="226"/>
      <c r="S9718" s="226"/>
      <c r="T9718" s="226"/>
      <c r="U9718" s="226"/>
    </row>
    <row r="9719" spans="16:21" x14ac:dyDescent="0.35">
      <c r="P9719" s="226"/>
      <c r="Q9719" s="226"/>
      <c r="R9719" s="226"/>
      <c r="S9719" s="226"/>
      <c r="T9719" s="226"/>
      <c r="U9719" s="226"/>
    </row>
    <row r="9720" spans="16:21" x14ac:dyDescent="0.35">
      <c r="P9720" s="226"/>
      <c r="Q9720" s="226"/>
      <c r="R9720" s="226"/>
      <c r="S9720" s="226"/>
      <c r="T9720" s="226"/>
      <c r="U9720" s="226"/>
    </row>
    <row r="9721" spans="16:21" x14ac:dyDescent="0.35">
      <c r="P9721" s="226"/>
      <c r="Q9721" s="226"/>
      <c r="R9721" s="226"/>
      <c r="S9721" s="226"/>
      <c r="T9721" s="226"/>
      <c r="U9721" s="226"/>
    </row>
    <row r="9722" spans="16:21" x14ac:dyDescent="0.35">
      <c r="P9722" s="226"/>
      <c r="Q9722" s="226"/>
      <c r="R9722" s="226"/>
      <c r="S9722" s="226"/>
      <c r="T9722" s="226"/>
      <c r="U9722" s="226"/>
    </row>
    <row r="9723" spans="16:21" x14ac:dyDescent="0.35">
      <c r="P9723" s="226"/>
      <c r="Q9723" s="226"/>
      <c r="R9723" s="226"/>
      <c r="S9723" s="226"/>
      <c r="T9723" s="226"/>
      <c r="U9723" s="226"/>
    </row>
    <row r="9724" spans="16:21" x14ac:dyDescent="0.35">
      <c r="P9724" s="226"/>
      <c r="Q9724" s="226"/>
      <c r="R9724" s="226"/>
      <c r="S9724" s="226"/>
      <c r="T9724" s="226"/>
      <c r="U9724" s="226"/>
    </row>
    <row r="9725" spans="16:21" x14ac:dyDescent="0.35">
      <c r="P9725" s="226"/>
      <c r="Q9725" s="226"/>
      <c r="R9725" s="226"/>
      <c r="S9725" s="226"/>
      <c r="T9725" s="226"/>
      <c r="U9725" s="226"/>
    </row>
    <row r="9726" spans="16:21" x14ac:dyDescent="0.35">
      <c r="P9726" s="226"/>
      <c r="Q9726" s="226"/>
      <c r="R9726" s="226"/>
      <c r="S9726" s="226"/>
      <c r="T9726" s="226"/>
      <c r="U9726" s="226"/>
    </row>
    <row r="9727" spans="16:21" x14ac:dyDescent="0.35">
      <c r="P9727" s="226"/>
      <c r="Q9727" s="226"/>
      <c r="R9727" s="226"/>
      <c r="S9727" s="226"/>
      <c r="T9727" s="226"/>
      <c r="U9727" s="226"/>
    </row>
    <row r="9728" spans="16:21" x14ac:dyDescent="0.35">
      <c r="P9728" s="226"/>
      <c r="Q9728" s="226"/>
      <c r="R9728" s="226"/>
      <c r="S9728" s="226"/>
      <c r="T9728" s="226"/>
      <c r="U9728" s="226"/>
    </row>
    <row r="9729" spans="16:21" x14ac:dyDescent="0.35">
      <c r="P9729" s="226"/>
      <c r="Q9729" s="226"/>
      <c r="R9729" s="226"/>
      <c r="S9729" s="226"/>
      <c r="T9729" s="226"/>
      <c r="U9729" s="226"/>
    </row>
    <row r="9730" spans="16:21" x14ac:dyDescent="0.35">
      <c r="P9730" s="226"/>
      <c r="Q9730" s="226"/>
      <c r="R9730" s="226"/>
      <c r="S9730" s="226"/>
      <c r="T9730" s="226"/>
      <c r="U9730" s="226"/>
    </row>
    <row r="9731" spans="16:21" x14ac:dyDescent="0.35">
      <c r="P9731" s="226"/>
      <c r="Q9731" s="226"/>
      <c r="R9731" s="226"/>
      <c r="S9731" s="226"/>
      <c r="T9731" s="226"/>
      <c r="U9731" s="226"/>
    </row>
    <row r="9732" spans="16:21" x14ac:dyDescent="0.35">
      <c r="P9732" s="226"/>
      <c r="Q9732" s="226"/>
      <c r="R9732" s="226"/>
      <c r="S9732" s="226"/>
      <c r="T9732" s="226"/>
      <c r="U9732" s="226"/>
    </row>
    <row r="9733" spans="16:21" x14ac:dyDescent="0.35">
      <c r="P9733" s="226"/>
      <c r="Q9733" s="226"/>
      <c r="R9733" s="226"/>
      <c r="S9733" s="226"/>
      <c r="T9733" s="226"/>
      <c r="U9733" s="226"/>
    </row>
    <row r="9734" spans="16:21" x14ac:dyDescent="0.35">
      <c r="P9734" s="226"/>
      <c r="Q9734" s="226"/>
      <c r="R9734" s="226"/>
      <c r="S9734" s="226"/>
      <c r="T9734" s="226"/>
      <c r="U9734" s="226"/>
    </row>
    <row r="9735" spans="16:21" x14ac:dyDescent="0.35">
      <c r="P9735" s="226"/>
      <c r="Q9735" s="226"/>
      <c r="R9735" s="226"/>
      <c r="S9735" s="226"/>
      <c r="T9735" s="226"/>
      <c r="U9735" s="226"/>
    </row>
    <row r="9736" spans="16:21" x14ac:dyDescent="0.35">
      <c r="P9736" s="226"/>
      <c r="Q9736" s="226"/>
      <c r="R9736" s="226"/>
      <c r="S9736" s="226"/>
      <c r="T9736" s="226"/>
      <c r="U9736" s="226"/>
    </row>
    <row r="9737" spans="16:21" x14ac:dyDescent="0.35">
      <c r="P9737" s="226"/>
      <c r="Q9737" s="226"/>
      <c r="R9737" s="226"/>
      <c r="S9737" s="226"/>
      <c r="T9737" s="226"/>
      <c r="U9737" s="226"/>
    </row>
    <row r="9738" spans="16:21" x14ac:dyDescent="0.35">
      <c r="P9738" s="226"/>
      <c r="Q9738" s="226"/>
      <c r="R9738" s="226"/>
      <c r="S9738" s="226"/>
      <c r="T9738" s="226"/>
      <c r="U9738" s="226"/>
    </row>
    <row r="9739" spans="16:21" x14ac:dyDescent="0.35">
      <c r="P9739" s="226"/>
      <c r="Q9739" s="226"/>
      <c r="R9739" s="226"/>
      <c r="S9739" s="226"/>
      <c r="T9739" s="226"/>
      <c r="U9739" s="226"/>
    </row>
    <row r="9740" spans="16:21" x14ac:dyDescent="0.35">
      <c r="P9740" s="226"/>
      <c r="Q9740" s="226"/>
      <c r="R9740" s="226"/>
      <c r="S9740" s="226"/>
      <c r="T9740" s="226"/>
      <c r="U9740" s="226"/>
    </row>
    <row r="9741" spans="16:21" x14ac:dyDescent="0.35">
      <c r="P9741" s="226"/>
      <c r="Q9741" s="226"/>
      <c r="R9741" s="226"/>
      <c r="S9741" s="226"/>
      <c r="T9741" s="226"/>
      <c r="U9741" s="226"/>
    </row>
    <row r="9742" spans="16:21" x14ac:dyDescent="0.35">
      <c r="P9742" s="226"/>
      <c r="Q9742" s="226"/>
      <c r="R9742" s="226"/>
      <c r="S9742" s="226"/>
      <c r="T9742" s="226"/>
      <c r="U9742" s="226"/>
    </row>
    <row r="9743" spans="16:21" x14ac:dyDescent="0.35">
      <c r="P9743" s="226"/>
      <c r="Q9743" s="226"/>
      <c r="R9743" s="226"/>
      <c r="S9743" s="226"/>
      <c r="T9743" s="226"/>
      <c r="U9743" s="226"/>
    </row>
    <row r="9744" spans="16:21" x14ac:dyDescent="0.35">
      <c r="P9744" s="226"/>
      <c r="Q9744" s="226"/>
      <c r="R9744" s="226"/>
      <c r="S9744" s="226"/>
      <c r="T9744" s="226"/>
      <c r="U9744" s="226"/>
    </row>
    <row r="9745" spans="16:21" x14ac:dyDescent="0.35">
      <c r="P9745" s="226"/>
      <c r="Q9745" s="226"/>
      <c r="R9745" s="226"/>
      <c r="S9745" s="226"/>
      <c r="T9745" s="226"/>
      <c r="U9745" s="226"/>
    </row>
    <row r="9746" spans="16:21" x14ac:dyDescent="0.35">
      <c r="P9746" s="226"/>
      <c r="Q9746" s="226"/>
      <c r="R9746" s="226"/>
      <c r="S9746" s="226"/>
      <c r="T9746" s="226"/>
      <c r="U9746" s="226"/>
    </row>
    <row r="9747" spans="16:21" x14ac:dyDescent="0.35">
      <c r="P9747" s="226"/>
      <c r="Q9747" s="226"/>
      <c r="R9747" s="226"/>
      <c r="S9747" s="226"/>
      <c r="T9747" s="226"/>
      <c r="U9747" s="226"/>
    </row>
    <row r="9748" spans="16:21" x14ac:dyDescent="0.35">
      <c r="P9748" s="226"/>
      <c r="Q9748" s="226"/>
      <c r="R9748" s="226"/>
      <c r="S9748" s="226"/>
      <c r="T9748" s="226"/>
      <c r="U9748" s="226"/>
    </row>
    <row r="9749" spans="16:21" x14ac:dyDescent="0.35">
      <c r="P9749" s="226"/>
      <c r="Q9749" s="226"/>
      <c r="R9749" s="226"/>
      <c r="S9749" s="226"/>
      <c r="T9749" s="226"/>
      <c r="U9749" s="226"/>
    </row>
    <row r="9750" spans="16:21" x14ac:dyDescent="0.35">
      <c r="P9750" s="226"/>
      <c r="Q9750" s="226"/>
      <c r="R9750" s="226"/>
      <c r="S9750" s="226"/>
      <c r="T9750" s="226"/>
      <c r="U9750" s="226"/>
    </row>
    <row r="9751" spans="16:21" x14ac:dyDescent="0.35">
      <c r="P9751" s="226"/>
      <c r="Q9751" s="226"/>
      <c r="R9751" s="226"/>
      <c r="S9751" s="226"/>
      <c r="T9751" s="226"/>
      <c r="U9751" s="226"/>
    </row>
    <row r="9752" spans="16:21" x14ac:dyDescent="0.35">
      <c r="P9752" s="226"/>
      <c r="Q9752" s="226"/>
      <c r="R9752" s="226"/>
      <c r="S9752" s="226"/>
      <c r="T9752" s="226"/>
      <c r="U9752" s="226"/>
    </row>
    <row r="9753" spans="16:21" x14ac:dyDescent="0.35">
      <c r="P9753" s="226"/>
      <c r="Q9753" s="226"/>
      <c r="R9753" s="226"/>
      <c r="S9753" s="226"/>
      <c r="T9753" s="226"/>
      <c r="U9753" s="226"/>
    </row>
    <row r="9754" spans="16:21" x14ac:dyDescent="0.35">
      <c r="P9754" s="226"/>
      <c r="Q9754" s="226"/>
      <c r="R9754" s="226"/>
      <c r="S9754" s="226"/>
      <c r="T9754" s="226"/>
      <c r="U9754" s="226"/>
    </row>
    <row r="9755" spans="16:21" x14ac:dyDescent="0.35">
      <c r="P9755" s="226"/>
      <c r="Q9755" s="226"/>
      <c r="R9755" s="226"/>
      <c r="S9755" s="226"/>
      <c r="T9755" s="226"/>
      <c r="U9755" s="226"/>
    </row>
    <row r="9756" spans="16:21" x14ac:dyDescent="0.35">
      <c r="P9756" s="226"/>
      <c r="Q9756" s="226"/>
      <c r="R9756" s="226"/>
      <c r="S9756" s="226"/>
      <c r="T9756" s="226"/>
      <c r="U9756" s="226"/>
    </row>
    <row r="9757" spans="16:21" x14ac:dyDescent="0.35">
      <c r="P9757" s="226"/>
      <c r="Q9757" s="226"/>
      <c r="R9757" s="226"/>
      <c r="S9757" s="226"/>
      <c r="T9757" s="226"/>
      <c r="U9757" s="226"/>
    </row>
    <row r="9758" spans="16:21" x14ac:dyDescent="0.35">
      <c r="P9758" s="226"/>
      <c r="Q9758" s="226"/>
      <c r="R9758" s="226"/>
      <c r="S9758" s="226"/>
      <c r="T9758" s="226"/>
      <c r="U9758" s="226"/>
    </row>
    <row r="9759" spans="16:21" x14ac:dyDescent="0.35">
      <c r="P9759" s="226"/>
      <c r="Q9759" s="226"/>
      <c r="R9759" s="226"/>
      <c r="S9759" s="226"/>
      <c r="T9759" s="226"/>
      <c r="U9759" s="226"/>
    </row>
    <row r="9760" spans="16:21" x14ac:dyDescent="0.35">
      <c r="P9760" s="226"/>
      <c r="Q9760" s="226"/>
      <c r="R9760" s="226"/>
      <c r="S9760" s="226"/>
      <c r="T9760" s="226"/>
      <c r="U9760" s="226"/>
    </row>
    <row r="9761" spans="16:21" x14ac:dyDescent="0.35">
      <c r="P9761" s="226"/>
      <c r="Q9761" s="226"/>
      <c r="R9761" s="226"/>
      <c r="S9761" s="226"/>
      <c r="T9761" s="226"/>
      <c r="U9761" s="226"/>
    </row>
    <row r="9762" spans="16:21" x14ac:dyDescent="0.35">
      <c r="P9762" s="226"/>
      <c r="Q9762" s="226"/>
      <c r="R9762" s="226"/>
      <c r="S9762" s="226"/>
      <c r="T9762" s="226"/>
      <c r="U9762" s="226"/>
    </row>
    <row r="9763" spans="16:21" x14ac:dyDescent="0.35">
      <c r="P9763" s="226"/>
      <c r="Q9763" s="226"/>
      <c r="R9763" s="226"/>
      <c r="S9763" s="226"/>
      <c r="T9763" s="226"/>
      <c r="U9763" s="226"/>
    </row>
    <row r="9764" spans="16:21" x14ac:dyDescent="0.35">
      <c r="P9764" s="226"/>
      <c r="Q9764" s="226"/>
      <c r="R9764" s="226"/>
      <c r="S9764" s="226"/>
      <c r="T9764" s="226"/>
      <c r="U9764" s="226"/>
    </row>
    <row r="9765" spans="16:21" x14ac:dyDescent="0.35">
      <c r="P9765" s="226"/>
      <c r="Q9765" s="226"/>
      <c r="R9765" s="226"/>
      <c r="S9765" s="226"/>
      <c r="T9765" s="226"/>
      <c r="U9765" s="226"/>
    </row>
    <row r="9766" spans="16:21" x14ac:dyDescent="0.35">
      <c r="P9766" s="226"/>
      <c r="Q9766" s="226"/>
      <c r="R9766" s="226"/>
      <c r="S9766" s="226"/>
      <c r="T9766" s="226"/>
      <c r="U9766" s="226"/>
    </row>
    <row r="9767" spans="16:21" x14ac:dyDescent="0.35">
      <c r="P9767" s="226"/>
      <c r="Q9767" s="226"/>
      <c r="R9767" s="226"/>
      <c r="S9767" s="226"/>
      <c r="T9767" s="226"/>
      <c r="U9767" s="226"/>
    </row>
    <row r="9768" spans="16:21" x14ac:dyDescent="0.35">
      <c r="P9768" s="226"/>
      <c r="Q9768" s="226"/>
      <c r="R9768" s="226"/>
      <c r="S9768" s="226"/>
      <c r="T9768" s="226"/>
      <c r="U9768" s="226"/>
    </row>
    <row r="9769" spans="16:21" x14ac:dyDescent="0.35">
      <c r="P9769" s="226"/>
      <c r="Q9769" s="226"/>
      <c r="R9769" s="226"/>
      <c r="S9769" s="226"/>
      <c r="T9769" s="226"/>
      <c r="U9769" s="226"/>
    </row>
    <row r="9770" spans="16:21" x14ac:dyDescent="0.35">
      <c r="P9770" s="226"/>
      <c r="Q9770" s="226"/>
      <c r="R9770" s="226"/>
      <c r="S9770" s="226"/>
      <c r="T9770" s="226"/>
      <c r="U9770" s="226"/>
    </row>
    <row r="9771" spans="16:21" x14ac:dyDescent="0.35">
      <c r="P9771" s="226"/>
      <c r="Q9771" s="226"/>
      <c r="R9771" s="226"/>
      <c r="S9771" s="226"/>
      <c r="T9771" s="226"/>
      <c r="U9771" s="226"/>
    </row>
    <row r="9772" spans="16:21" x14ac:dyDescent="0.35">
      <c r="P9772" s="226"/>
      <c r="Q9772" s="226"/>
      <c r="R9772" s="226"/>
      <c r="S9772" s="226"/>
      <c r="T9772" s="226"/>
      <c r="U9772" s="226"/>
    </row>
    <row r="9773" spans="16:21" x14ac:dyDescent="0.35">
      <c r="P9773" s="226"/>
      <c r="Q9773" s="226"/>
      <c r="R9773" s="226"/>
      <c r="S9773" s="226"/>
      <c r="T9773" s="226"/>
      <c r="U9773" s="226"/>
    </row>
    <row r="9774" spans="16:21" x14ac:dyDescent="0.35">
      <c r="P9774" s="226"/>
      <c r="Q9774" s="226"/>
      <c r="R9774" s="226"/>
      <c r="S9774" s="226"/>
      <c r="T9774" s="226"/>
      <c r="U9774" s="226"/>
    </row>
    <row r="9775" spans="16:21" x14ac:dyDescent="0.35">
      <c r="P9775" s="226"/>
      <c r="Q9775" s="226"/>
      <c r="R9775" s="226"/>
      <c r="S9775" s="226"/>
      <c r="T9775" s="226"/>
      <c r="U9775" s="226"/>
    </row>
    <row r="9776" spans="16:21" x14ac:dyDescent="0.35">
      <c r="P9776" s="226"/>
      <c r="Q9776" s="226"/>
      <c r="R9776" s="226"/>
      <c r="S9776" s="226"/>
      <c r="T9776" s="226"/>
      <c r="U9776" s="226"/>
    </row>
    <row r="9777" spans="16:21" x14ac:dyDescent="0.35">
      <c r="P9777" s="226"/>
      <c r="Q9777" s="226"/>
      <c r="R9777" s="226"/>
      <c r="S9777" s="226"/>
      <c r="T9777" s="226"/>
      <c r="U9777" s="226"/>
    </row>
    <row r="9778" spans="16:21" x14ac:dyDescent="0.35">
      <c r="P9778" s="226"/>
      <c r="Q9778" s="226"/>
      <c r="R9778" s="226"/>
      <c r="S9778" s="226"/>
      <c r="T9778" s="226"/>
      <c r="U9778" s="226"/>
    </row>
    <row r="9779" spans="16:21" x14ac:dyDescent="0.35">
      <c r="P9779" s="226"/>
      <c r="Q9779" s="226"/>
      <c r="R9779" s="226"/>
      <c r="S9779" s="226"/>
      <c r="T9779" s="226"/>
      <c r="U9779" s="226"/>
    </row>
    <row r="9780" spans="16:21" x14ac:dyDescent="0.35">
      <c r="P9780" s="226"/>
      <c r="Q9780" s="226"/>
      <c r="R9780" s="226"/>
      <c r="S9780" s="226"/>
      <c r="T9780" s="226"/>
      <c r="U9780" s="226"/>
    </row>
    <row r="9781" spans="16:21" x14ac:dyDescent="0.35">
      <c r="P9781" s="226"/>
      <c r="Q9781" s="226"/>
      <c r="R9781" s="226"/>
      <c r="S9781" s="226"/>
      <c r="T9781" s="226"/>
      <c r="U9781" s="226"/>
    </row>
    <row r="9782" spans="16:21" x14ac:dyDescent="0.35">
      <c r="P9782" s="226"/>
      <c r="Q9782" s="226"/>
      <c r="R9782" s="226"/>
      <c r="S9782" s="226"/>
      <c r="T9782" s="226"/>
      <c r="U9782" s="226"/>
    </row>
    <row r="9783" spans="16:21" x14ac:dyDescent="0.35">
      <c r="P9783" s="226"/>
      <c r="Q9783" s="226"/>
      <c r="R9783" s="226"/>
      <c r="S9783" s="226"/>
      <c r="T9783" s="226"/>
      <c r="U9783" s="226"/>
    </row>
    <row r="9784" spans="16:21" x14ac:dyDescent="0.35">
      <c r="P9784" s="226"/>
      <c r="Q9784" s="226"/>
      <c r="R9784" s="226"/>
      <c r="S9784" s="226"/>
      <c r="T9784" s="226"/>
      <c r="U9784" s="226"/>
    </row>
    <row r="9785" spans="16:21" x14ac:dyDescent="0.35">
      <c r="P9785" s="226"/>
      <c r="Q9785" s="226"/>
      <c r="R9785" s="226"/>
      <c r="S9785" s="226"/>
      <c r="T9785" s="226"/>
      <c r="U9785" s="226"/>
    </row>
    <row r="9786" spans="16:21" x14ac:dyDescent="0.35">
      <c r="P9786" s="226"/>
      <c r="Q9786" s="226"/>
      <c r="R9786" s="226"/>
      <c r="S9786" s="226"/>
      <c r="T9786" s="226"/>
      <c r="U9786" s="226"/>
    </row>
    <row r="9787" spans="16:21" x14ac:dyDescent="0.35">
      <c r="P9787" s="226"/>
      <c r="Q9787" s="226"/>
      <c r="R9787" s="226"/>
      <c r="S9787" s="226"/>
      <c r="T9787" s="226"/>
      <c r="U9787" s="226"/>
    </row>
    <row r="9788" spans="16:21" x14ac:dyDescent="0.35">
      <c r="P9788" s="226"/>
      <c r="Q9788" s="226"/>
      <c r="R9788" s="226"/>
      <c r="S9788" s="226"/>
      <c r="T9788" s="226"/>
      <c r="U9788" s="226"/>
    </row>
    <row r="9789" spans="16:21" x14ac:dyDescent="0.35">
      <c r="P9789" s="226"/>
      <c r="Q9789" s="226"/>
      <c r="R9789" s="226"/>
      <c r="S9789" s="226"/>
      <c r="T9789" s="226"/>
      <c r="U9789" s="226"/>
    </row>
    <row r="9790" spans="16:21" x14ac:dyDescent="0.35">
      <c r="P9790" s="226"/>
      <c r="Q9790" s="226"/>
      <c r="R9790" s="226"/>
      <c r="S9790" s="226"/>
      <c r="T9790" s="226"/>
      <c r="U9790" s="226"/>
    </row>
    <row r="9791" spans="16:21" x14ac:dyDescent="0.35">
      <c r="P9791" s="226"/>
      <c r="Q9791" s="226"/>
      <c r="R9791" s="226"/>
      <c r="S9791" s="226"/>
      <c r="T9791" s="226"/>
      <c r="U9791" s="226"/>
    </row>
    <row r="9792" spans="16:21" x14ac:dyDescent="0.35">
      <c r="P9792" s="226"/>
      <c r="Q9792" s="226"/>
      <c r="R9792" s="226"/>
      <c r="S9792" s="226"/>
      <c r="T9792" s="226"/>
      <c r="U9792" s="226"/>
    </row>
    <row r="9793" spans="16:21" x14ac:dyDescent="0.35">
      <c r="P9793" s="226"/>
      <c r="Q9793" s="226"/>
      <c r="R9793" s="226"/>
      <c r="S9793" s="226"/>
      <c r="T9793" s="226"/>
      <c r="U9793" s="226"/>
    </row>
    <row r="9794" spans="16:21" x14ac:dyDescent="0.35">
      <c r="P9794" s="226"/>
      <c r="Q9794" s="226"/>
      <c r="R9794" s="226"/>
      <c r="S9794" s="226"/>
      <c r="T9794" s="226"/>
      <c r="U9794" s="226"/>
    </row>
    <row r="9795" spans="16:21" x14ac:dyDescent="0.35">
      <c r="P9795" s="226"/>
      <c r="Q9795" s="226"/>
      <c r="R9795" s="226"/>
      <c r="S9795" s="226"/>
      <c r="T9795" s="226"/>
      <c r="U9795" s="226"/>
    </row>
    <row r="9796" spans="16:21" x14ac:dyDescent="0.35">
      <c r="P9796" s="226"/>
      <c r="Q9796" s="226"/>
      <c r="R9796" s="226"/>
      <c r="S9796" s="226"/>
      <c r="T9796" s="226"/>
      <c r="U9796" s="226"/>
    </row>
    <row r="9797" spans="16:21" x14ac:dyDescent="0.35">
      <c r="P9797" s="226"/>
      <c r="Q9797" s="226"/>
      <c r="R9797" s="226"/>
      <c r="S9797" s="226"/>
      <c r="T9797" s="226"/>
      <c r="U9797" s="226"/>
    </row>
    <row r="9798" spans="16:21" x14ac:dyDescent="0.35">
      <c r="P9798" s="226"/>
      <c r="Q9798" s="226"/>
      <c r="R9798" s="226"/>
      <c r="S9798" s="226"/>
      <c r="T9798" s="226"/>
      <c r="U9798" s="226"/>
    </row>
    <row r="9799" spans="16:21" x14ac:dyDescent="0.35">
      <c r="P9799" s="226"/>
      <c r="Q9799" s="226"/>
      <c r="R9799" s="226"/>
      <c r="S9799" s="226"/>
      <c r="T9799" s="226"/>
      <c r="U9799" s="226"/>
    </row>
    <row r="9800" spans="16:21" x14ac:dyDescent="0.35">
      <c r="P9800" s="226"/>
      <c r="Q9800" s="226"/>
      <c r="R9800" s="226"/>
      <c r="S9800" s="226"/>
      <c r="T9800" s="226"/>
      <c r="U9800" s="226"/>
    </row>
    <row r="9801" spans="16:21" x14ac:dyDescent="0.35">
      <c r="P9801" s="226"/>
      <c r="Q9801" s="226"/>
      <c r="R9801" s="226"/>
      <c r="S9801" s="226"/>
      <c r="T9801" s="226"/>
      <c r="U9801" s="226"/>
    </row>
    <row r="9802" spans="16:21" x14ac:dyDescent="0.35">
      <c r="P9802" s="226"/>
      <c r="Q9802" s="226"/>
      <c r="R9802" s="226"/>
      <c r="S9802" s="226"/>
      <c r="T9802" s="226"/>
      <c r="U9802" s="226"/>
    </row>
    <row r="9803" spans="16:21" x14ac:dyDescent="0.35">
      <c r="P9803" s="226"/>
      <c r="Q9803" s="226"/>
      <c r="R9803" s="226"/>
      <c r="S9803" s="226"/>
      <c r="T9803" s="226"/>
      <c r="U9803" s="226"/>
    </row>
    <row r="9804" spans="16:21" x14ac:dyDescent="0.35">
      <c r="P9804" s="226"/>
      <c r="Q9804" s="226"/>
      <c r="R9804" s="226"/>
      <c r="S9804" s="226"/>
      <c r="T9804" s="226"/>
      <c r="U9804" s="226"/>
    </row>
    <row r="9805" spans="16:21" x14ac:dyDescent="0.35">
      <c r="P9805" s="226"/>
      <c r="Q9805" s="226"/>
      <c r="R9805" s="226"/>
      <c r="S9805" s="226"/>
      <c r="T9805" s="226"/>
      <c r="U9805" s="226"/>
    </row>
    <row r="9806" spans="16:21" x14ac:dyDescent="0.35">
      <c r="P9806" s="226"/>
      <c r="Q9806" s="226"/>
      <c r="R9806" s="226"/>
      <c r="S9806" s="226"/>
      <c r="T9806" s="226"/>
      <c r="U9806" s="226"/>
    </row>
    <row r="9807" spans="16:21" x14ac:dyDescent="0.35">
      <c r="P9807" s="226"/>
      <c r="Q9807" s="226"/>
      <c r="R9807" s="226"/>
      <c r="S9807" s="226"/>
      <c r="T9807" s="226"/>
      <c r="U9807" s="226"/>
    </row>
    <row r="9808" spans="16:21" x14ac:dyDescent="0.35">
      <c r="P9808" s="226"/>
      <c r="Q9808" s="226"/>
      <c r="R9808" s="226"/>
      <c r="S9808" s="226"/>
      <c r="T9808" s="226"/>
      <c r="U9808" s="226"/>
    </row>
    <row r="9809" spans="16:21" x14ac:dyDescent="0.35">
      <c r="P9809" s="226"/>
      <c r="Q9809" s="226"/>
      <c r="R9809" s="226"/>
      <c r="S9809" s="226"/>
      <c r="T9809" s="226"/>
      <c r="U9809" s="226"/>
    </row>
    <row r="9810" spans="16:21" x14ac:dyDescent="0.35">
      <c r="P9810" s="226"/>
      <c r="Q9810" s="226"/>
      <c r="R9810" s="226"/>
      <c r="S9810" s="226"/>
      <c r="T9810" s="226"/>
      <c r="U9810" s="226"/>
    </row>
    <row r="9811" spans="16:21" x14ac:dyDescent="0.35">
      <c r="P9811" s="226"/>
      <c r="Q9811" s="226"/>
      <c r="R9811" s="226"/>
      <c r="S9811" s="226"/>
      <c r="T9811" s="226"/>
      <c r="U9811" s="226"/>
    </row>
    <row r="9812" spans="16:21" x14ac:dyDescent="0.35">
      <c r="P9812" s="226"/>
      <c r="Q9812" s="226"/>
      <c r="R9812" s="226"/>
      <c r="S9812" s="226"/>
      <c r="T9812" s="226"/>
      <c r="U9812" s="226"/>
    </row>
    <row r="9813" spans="16:21" x14ac:dyDescent="0.35">
      <c r="P9813" s="226"/>
      <c r="Q9813" s="226"/>
      <c r="R9813" s="226"/>
      <c r="S9813" s="226"/>
      <c r="T9813" s="226"/>
      <c r="U9813" s="226"/>
    </row>
    <row r="9814" spans="16:21" x14ac:dyDescent="0.35">
      <c r="P9814" s="226"/>
      <c r="Q9814" s="226"/>
      <c r="R9814" s="226"/>
      <c r="S9814" s="226"/>
      <c r="T9814" s="226"/>
      <c r="U9814" s="226"/>
    </row>
    <row r="9815" spans="16:21" x14ac:dyDescent="0.35">
      <c r="P9815" s="226"/>
      <c r="Q9815" s="226"/>
      <c r="R9815" s="226"/>
      <c r="S9815" s="226"/>
      <c r="T9815" s="226"/>
      <c r="U9815" s="226"/>
    </row>
    <row r="9816" spans="16:21" x14ac:dyDescent="0.35">
      <c r="P9816" s="226"/>
      <c r="Q9816" s="226"/>
      <c r="R9816" s="226"/>
      <c r="S9816" s="226"/>
      <c r="T9816" s="226"/>
      <c r="U9816" s="226"/>
    </row>
    <row r="9817" spans="16:21" x14ac:dyDescent="0.35">
      <c r="P9817" s="226"/>
      <c r="Q9817" s="226"/>
      <c r="R9817" s="226"/>
      <c r="S9817" s="226"/>
      <c r="T9817" s="226"/>
      <c r="U9817" s="226"/>
    </row>
    <row r="9818" spans="16:21" x14ac:dyDescent="0.35">
      <c r="P9818" s="226"/>
      <c r="Q9818" s="226"/>
      <c r="R9818" s="226"/>
      <c r="S9818" s="226"/>
      <c r="T9818" s="226"/>
      <c r="U9818" s="226"/>
    </row>
    <row r="9819" spans="16:21" x14ac:dyDescent="0.35">
      <c r="P9819" s="226"/>
      <c r="Q9819" s="226"/>
      <c r="R9819" s="226"/>
      <c r="S9819" s="226"/>
      <c r="T9819" s="226"/>
      <c r="U9819" s="226"/>
    </row>
    <row r="9820" spans="16:21" x14ac:dyDescent="0.35">
      <c r="P9820" s="226"/>
      <c r="Q9820" s="226"/>
      <c r="R9820" s="226"/>
      <c r="S9820" s="226"/>
      <c r="T9820" s="226"/>
      <c r="U9820" s="226"/>
    </row>
    <row r="9821" spans="16:21" x14ac:dyDescent="0.35">
      <c r="P9821" s="226"/>
      <c r="Q9821" s="226"/>
      <c r="R9821" s="226"/>
      <c r="S9821" s="226"/>
      <c r="T9821" s="226"/>
      <c r="U9821" s="226"/>
    </row>
    <row r="9822" spans="16:21" x14ac:dyDescent="0.35">
      <c r="P9822" s="226"/>
      <c r="Q9822" s="226"/>
      <c r="R9822" s="226"/>
      <c r="S9822" s="226"/>
      <c r="T9822" s="226"/>
      <c r="U9822" s="226"/>
    </row>
    <row r="9823" spans="16:21" x14ac:dyDescent="0.35">
      <c r="P9823" s="226"/>
      <c r="Q9823" s="226"/>
      <c r="R9823" s="226"/>
      <c r="S9823" s="226"/>
      <c r="T9823" s="226"/>
      <c r="U9823" s="226"/>
    </row>
    <row r="9824" spans="16:21" x14ac:dyDescent="0.35">
      <c r="P9824" s="226"/>
      <c r="Q9824" s="226"/>
      <c r="R9824" s="226"/>
      <c r="S9824" s="226"/>
      <c r="T9824" s="226"/>
      <c r="U9824" s="226"/>
    </row>
    <row r="9825" spans="16:21" x14ac:dyDescent="0.35">
      <c r="P9825" s="226"/>
      <c r="Q9825" s="226"/>
      <c r="R9825" s="226"/>
      <c r="S9825" s="226"/>
      <c r="T9825" s="226"/>
      <c r="U9825" s="226"/>
    </row>
    <row r="9826" spans="16:21" x14ac:dyDescent="0.35">
      <c r="P9826" s="226"/>
      <c r="Q9826" s="226"/>
      <c r="R9826" s="226"/>
      <c r="S9826" s="226"/>
      <c r="T9826" s="226"/>
      <c r="U9826" s="226"/>
    </row>
    <row r="9827" spans="16:21" x14ac:dyDescent="0.35">
      <c r="P9827" s="226"/>
      <c r="Q9827" s="226"/>
      <c r="R9827" s="226"/>
      <c r="S9827" s="226"/>
      <c r="T9827" s="226"/>
      <c r="U9827" s="226"/>
    </row>
    <row r="9828" spans="16:21" x14ac:dyDescent="0.35">
      <c r="P9828" s="226"/>
      <c r="Q9828" s="226"/>
      <c r="R9828" s="226"/>
      <c r="S9828" s="226"/>
      <c r="T9828" s="226"/>
      <c r="U9828" s="226"/>
    </row>
    <row r="9829" spans="16:21" x14ac:dyDescent="0.35">
      <c r="P9829" s="226"/>
      <c r="Q9829" s="226"/>
      <c r="R9829" s="226"/>
      <c r="S9829" s="226"/>
      <c r="T9829" s="226"/>
      <c r="U9829" s="226"/>
    </row>
    <row r="9830" spans="16:21" x14ac:dyDescent="0.35">
      <c r="P9830" s="226"/>
      <c r="Q9830" s="226"/>
      <c r="R9830" s="226"/>
      <c r="S9830" s="226"/>
      <c r="T9830" s="226"/>
      <c r="U9830" s="226"/>
    </row>
    <row r="9831" spans="16:21" x14ac:dyDescent="0.35">
      <c r="P9831" s="226"/>
      <c r="Q9831" s="226"/>
      <c r="R9831" s="226"/>
      <c r="S9831" s="226"/>
      <c r="T9831" s="226"/>
      <c r="U9831" s="226"/>
    </row>
    <row r="9832" spans="16:21" x14ac:dyDescent="0.35">
      <c r="P9832" s="226"/>
      <c r="Q9832" s="226"/>
      <c r="R9832" s="226"/>
      <c r="S9832" s="226"/>
      <c r="T9832" s="226"/>
      <c r="U9832" s="226"/>
    </row>
    <row r="9833" spans="16:21" x14ac:dyDescent="0.35">
      <c r="P9833" s="226"/>
      <c r="Q9833" s="226"/>
      <c r="R9833" s="226"/>
      <c r="S9833" s="226"/>
      <c r="T9833" s="226"/>
      <c r="U9833" s="226"/>
    </row>
    <row r="9834" spans="16:21" x14ac:dyDescent="0.35">
      <c r="P9834" s="226"/>
      <c r="Q9834" s="226"/>
      <c r="R9834" s="226"/>
      <c r="S9834" s="226"/>
      <c r="T9834" s="226"/>
      <c r="U9834" s="226"/>
    </row>
    <row r="9835" spans="16:21" x14ac:dyDescent="0.35">
      <c r="P9835" s="226"/>
      <c r="Q9835" s="226"/>
      <c r="R9835" s="226"/>
      <c r="S9835" s="226"/>
      <c r="T9835" s="226"/>
      <c r="U9835" s="226"/>
    </row>
    <row r="9836" spans="16:21" x14ac:dyDescent="0.35">
      <c r="P9836" s="226"/>
      <c r="Q9836" s="226"/>
      <c r="R9836" s="226"/>
      <c r="S9836" s="226"/>
      <c r="T9836" s="226"/>
      <c r="U9836" s="226"/>
    </row>
    <row r="9837" spans="16:21" x14ac:dyDescent="0.35">
      <c r="P9837" s="226"/>
      <c r="Q9837" s="226"/>
      <c r="R9837" s="226"/>
      <c r="S9837" s="226"/>
      <c r="T9837" s="226"/>
      <c r="U9837" s="226"/>
    </row>
    <row r="9838" spans="16:21" x14ac:dyDescent="0.35">
      <c r="P9838" s="226"/>
      <c r="Q9838" s="226"/>
      <c r="R9838" s="226"/>
      <c r="S9838" s="226"/>
      <c r="T9838" s="226"/>
      <c r="U9838" s="226"/>
    </row>
    <row r="9839" spans="16:21" x14ac:dyDescent="0.35">
      <c r="P9839" s="226"/>
      <c r="Q9839" s="226"/>
      <c r="R9839" s="226"/>
      <c r="S9839" s="226"/>
      <c r="T9839" s="226"/>
      <c r="U9839" s="226"/>
    </row>
    <row r="9840" spans="16:21" x14ac:dyDescent="0.35">
      <c r="P9840" s="226"/>
      <c r="Q9840" s="226"/>
      <c r="R9840" s="226"/>
      <c r="S9840" s="226"/>
      <c r="T9840" s="226"/>
      <c r="U9840" s="226"/>
    </row>
    <row r="9841" spans="16:21" x14ac:dyDescent="0.35">
      <c r="P9841" s="226"/>
      <c r="Q9841" s="226"/>
      <c r="R9841" s="226"/>
      <c r="S9841" s="226"/>
      <c r="T9841" s="226"/>
      <c r="U9841" s="226"/>
    </row>
    <row r="9842" spans="16:21" x14ac:dyDescent="0.35">
      <c r="P9842" s="226"/>
      <c r="Q9842" s="226"/>
      <c r="R9842" s="226"/>
      <c r="S9842" s="226"/>
      <c r="T9842" s="226"/>
      <c r="U9842" s="226"/>
    </row>
    <row r="9843" spans="16:21" x14ac:dyDescent="0.35">
      <c r="P9843" s="226"/>
      <c r="Q9843" s="226"/>
      <c r="R9843" s="226"/>
      <c r="S9843" s="226"/>
      <c r="T9843" s="226"/>
      <c r="U9843" s="226"/>
    </row>
    <row r="9844" spans="16:21" x14ac:dyDescent="0.35">
      <c r="P9844" s="226"/>
      <c r="Q9844" s="226"/>
      <c r="R9844" s="226"/>
      <c r="S9844" s="226"/>
      <c r="T9844" s="226"/>
      <c r="U9844" s="226"/>
    </row>
    <row r="9845" spans="16:21" x14ac:dyDescent="0.35">
      <c r="P9845" s="226"/>
      <c r="Q9845" s="226"/>
      <c r="R9845" s="226"/>
      <c r="S9845" s="226"/>
      <c r="T9845" s="226"/>
      <c r="U9845" s="226"/>
    </row>
    <row r="9846" spans="16:21" x14ac:dyDescent="0.35">
      <c r="P9846" s="226"/>
      <c r="Q9846" s="226"/>
      <c r="R9846" s="226"/>
      <c r="S9846" s="226"/>
      <c r="T9846" s="226"/>
      <c r="U9846" s="226"/>
    </row>
    <row r="9847" spans="16:21" x14ac:dyDescent="0.35">
      <c r="P9847" s="226"/>
      <c r="Q9847" s="226"/>
      <c r="R9847" s="226"/>
      <c r="S9847" s="226"/>
      <c r="T9847" s="226"/>
      <c r="U9847" s="226"/>
    </row>
    <row r="9848" spans="16:21" x14ac:dyDescent="0.35">
      <c r="P9848" s="226"/>
      <c r="Q9848" s="226"/>
      <c r="R9848" s="226"/>
      <c r="S9848" s="226"/>
      <c r="T9848" s="226"/>
      <c r="U9848" s="226"/>
    </row>
    <row r="9849" spans="16:21" x14ac:dyDescent="0.35">
      <c r="P9849" s="226"/>
      <c r="Q9849" s="226"/>
      <c r="R9849" s="226"/>
      <c r="S9849" s="226"/>
      <c r="T9849" s="226"/>
      <c r="U9849" s="226"/>
    </row>
    <row r="9850" spans="16:21" x14ac:dyDescent="0.35">
      <c r="P9850" s="226"/>
      <c r="Q9850" s="226"/>
      <c r="R9850" s="226"/>
      <c r="S9850" s="226"/>
      <c r="T9850" s="226"/>
      <c r="U9850" s="226"/>
    </row>
    <row r="9851" spans="16:21" x14ac:dyDescent="0.35">
      <c r="P9851" s="226"/>
      <c r="Q9851" s="226"/>
      <c r="R9851" s="226"/>
      <c r="S9851" s="226"/>
      <c r="T9851" s="226"/>
      <c r="U9851" s="226"/>
    </row>
    <row r="9852" spans="16:21" x14ac:dyDescent="0.35">
      <c r="P9852" s="226"/>
      <c r="Q9852" s="226"/>
      <c r="R9852" s="226"/>
      <c r="S9852" s="226"/>
      <c r="T9852" s="226"/>
      <c r="U9852" s="226"/>
    </row>
    <row r="9853" spans="16:21" x14ac:dyDescent="0.35">
      <c r="P9853" s="226"/>
      <c r="Q9853" s="226"/>
      <c r="R9853" s="226"/>
      <c r="S9853" s="226"/>
      <c r="T9853" s="226"/>
      <c r="U9853" s="226"/>
    </row>
    <row r="9854" spans="16:21" x14ac:dyDescent="0.35">
      <c r="P9854" s="226"/>
      <c r="Q9854" s="226"/>
      <c r="R9854" s="226"/>
      <c r="S9854" s="226"/>
      <c r="T9854" s="226"/>
      <c r="U9854" s="226"/>
    </row>
    <row r="9855" spans="16:21" x14ac:dyDescent="0.35">
      <c r="P9855" s="226"/>
      <c r="Q9855" s="226"/>
      <c r="R9855" s="226"/>
      <c r="S9855" s="226"/>
      <c r="T9855" s="226"/>
      <c r="U9855" s="226"/>
    </row>
    <row r="9856" spans="16:21" x14ac:dyDescent="0.35">
      <c r="P9856" s="226"/>
      <c r="Q9856" s="226"/>
      <c r="R9856" s="226"/>
      <c r="S9856" s="226"/>
      <c r="T9856" s="226"/>
      <c r="U9856" s="226"/>
    </row>
    <row r="9857" spans="16:21" x14ac:dyDescent="0.35">
      <c r="P9857" s="226"/>
      <c r="Q9857" s="226"/>
      <c r="R9857" s="226"/>
      <c r="S9857" s="226"/>
      <c r="T9857" s="226"/>
      <c r="U9857" s="226"/>
    </row>
    <row r="9858" spans="16:21" x14ac:dyDescent="0.35">
      <c r="P9858" s="226"/>
      <c r="Q9858" s="226"/>
      <c r="R9858" s="226"/>
      <c r="S9858" s="226"/>
      <c r="T9858" s="226"/>
      <c r="U9858" s="226"/>
    </row>
    <row r="9859" spans="16:21" x14ac:dyDescent="0.35">
      <c r="P9859" s="226"/>
      <c r="Q9859" s="226"/>
      <c r="R9859" s="226"/>
      <c r="S9859" s="226"/>
      <c r="T9859" s="226"/>
      <c r="U9859" s="226"/>
    </row>
    <row r="9860" spans="16:21" x14ac:dyDescent="0.35">
      <c r="P9860" s="226"/>
      <c r="Q9860" s="226"/>
      <c r="R9860" s="226"/>
      <c r="S9860" s="226"/>
      <c r="T9860" s="226"/>
      <c r="U9860" s="226"/>
    </row>
    <row r="9861" spans="16:21" x14ac:dyDescent="0.35">
      <c r="P9861" s="226"/>
      <c r="Q9861" s="226"/>
      <c r="R9861" s="226"/>
      <c r="S9861" s="226"/>
      <c r="T9861" s="226"/>
      <c r="U9861" s="226"/>
    </row>
    <row r="9862" spans="16:21" x14ac:dyDescent="0.35">
      <c r="P9862" s="226"/>
      <c r="Q9862" s="226"/>
      <c r="R9862" s="226"/>
      <c r="S9862" s="226"/>
      <c r="T9862" s="226"/>
      <c r="U9862" s="226"/>
    </row>
    <row r="9863" spans="16:21" x14ac:dyDescent="0.35">
      <c r="P9863" s="226"/>
      <c r="Q9863" s="226"/>
      <c r="R9863" s="226"/>
      <c r="S9863" s="226"/>
      <c r="T9863" s="226"/>
      <c r="U9863" s="226"/>
    </row>
    <row r="9864" spans="16:21" x14ac:dyDescent="0.35">
      <c r="P9864" s="226"/>
      <c r="Q9864" s="226"/>
      <c r="R9864" s="226"/>
      <c r="S9864" s="226"/>
      <c r="T9864" s="226"/>
      <c r="U9864" s="226"/>
    </row>
    <row r="9865" spans="16:21" x14ac:dyDescent="0.35">
      <c r="P9865" s="226"/>
      <c r="Q9865" s="226"/>
      <c r="R9865" s="226"/>
      <c r="S9865" s="226"/>
      <c r="T9865" s="226"/>
      <c r="U9865" s="226"/>
    </row>
    <row r="9866" spans="16:21" x14ac:dyDescent="0.35">
      <c r="P9866" s="226"/>
      <c r="Q9866" s="226"/>
      <c r="R9866" s="226"/>
      <c r="S9866" s="226"/>
      <c r="T9866" s="226"/>
      <c r="U9866" s="226"/>
    </row>
    <row r="9867" spans="16:21" x14ac:dyDescent="0.35">
      <c r="P9867" s="226"/>
      <c r="Q9867" s="226"/>
      <c r="R9867" s="226"/>
      <c r="S9867" s="226"/>
      <c r="T9867" s="226"/>
      <c r="U9867" s="226"/>
    </row>
    <row r="9868" spans="16:21" x14ac:dyDescent="0.35">
      <c r="P9868" s="226"/>
      <c r="Q9868" s="226"/>
      <c r="R9868" s="226"/>
      <c r="S9868" s="226"/>
      <c r="T9868" s="226"/>
      <c r="U9868" s="226"/>
    </row>
    <row r="9869" spans="16:21" x14ac:dyDescent="0.35">
      <c r="P9869" s="226"/>
      <c r="Q9869" s="226"/>
      <c r="R9869" s="226"/>
      <c r="S9869" s="226"/>
      <c r="T9869" s="226"/>
      <c r="U9869" s="226"/>
    </row>
    <row r="9870" spans="16:21" x14ac:dyDescent="0.35">
      <c r="P9870" s="226"/>
      <c r="Q9870" s="226"/>
      <c r="R9870" s="226"/>
      <c r="S9870" s="226"/>
      <c r="T9870" s="226"/>
      <c r="U9870" s="226"/>
    </row>
    <row r="9871" spans="16:21" x14ac:dyDescent="0.35">
      <c r="P9871" s="226"/>
      <c r="Q9871" s="226"/>
      <c r="R9871" s="226"/>
      <c r="S9871" s="226"/>
      <c r="T9871" s="226"/>
      <c r="U9871" s="226"/>
    </row>
    <row r="9872" spans="16:21" x14ac:dyDescent="0.35">
      <c r="P9872" s="226"/>
      <c r="Q9872" s="226"/>
      <c r="R9872" s="226"/>
      <c r="S9872" s="226"/>
      <c r="T9872" s="226"/>
      <c r="U9872" s="226"/>
    </row>
    <row r="9873" spans="16:21" x14ac:dyDescent="0.35">
      <c r="P9873" s="226"/>
      <c r="Q9873" s="226"/>
      <c r="R9873" s="226"/>
      <c r="S9873" s="226"/>
      <c r="T9873" s="226"/>
      <c r="U9873" s="226"/>
    </row>
    <row r="9874" spans="16:21" x14ac:dyDescent="0.35">
      <c r="P9874" s="226"/>
      <c r="Q9874" s="226"/>
      <c r="R9874" s="226"/>
      <c r="S9874" s="226"/>
      <c r="T9874" s="226"/>
      <c r="U9874" s="226"/>
    </row>
    <row r="9875" spans="16:21" x14ac:dyDescent="0.35">
      <c r="P9875" s="226"/>
      <c r="Q9875" s="226"/>
      <c r="R9875" s="226"/>
      <c r="S9875" s="226"/>
      <c r="T9875" s="226"/>
      <c r="U9875" s="226"/>
    </row>
    <row r="9876" spans="16:21" x14ac:dyDescent="0.35">
      <c r="P9876" s="226"/>
      <c r="Q9876" s="226"/>
      <c r="R9876" s="226"/>
      <c r="S9876" s="226"/>
      <c r="T9876" s="226"/>
      <c r="U9876" s="226"/>
    </row>
    <row r="9877" spans="16:21" x14ac:dyDescent="0.35">
      <c r="P9877" s="226"/>
      <c r="Q9877" s="226"/>
      <c r="R9877" s="226"/>
      <c r="S9877" s="226"/>
      <c r="T9877" s="226"/>
      <c r="U9877" s="226"/>
    </row>
    <row r="9878" spans="16:21" x14ac:dyDescent="0.35">
      <c r="P9878" s="226"/>
      <c r="Q9878" s="226"/>
      <c r="R9878" s="226"/>
      <c r="S9878" s="226"/>
      <c r="T9878" s="226"/>
      <c r="U9878" s="226"/>
    </row>
    <row r="9879" spans="16:21" x14ac:dyDescent="0.35">
      <c r="P9879" s="226"/>
      <c r="Q9879" s="226"/>
      <c r="R9879" s="226"/>
      <c r="S9879" s="226"/>
      <c r="T9879" s="226"/>
      <c r="U9879" s="226"/>
    </row>
    <row r="9880" spans="16:21" x14ac:dyDescent="0.35">
      <c r="P9880" s="226"/>
      <c r="Q9880" s="226"/>
      <c r="R9880" s="226"/>
      <c r="S9880" s="226"/>
      <c r="T9880" s="226"/>
      <c r="U9880" s="226"/>
    </row>
    <row r="9881" spans="16:21" x14ac:dyDescent="0.35">
      <c r="P9881" s="226"/>
      <c r="Q9881" s="226"/>
      <c r="R9881" s="226"/>
      <c r="S9881" s="226"/>
      <c r="T9881" s="226"/>
      <c r="U9881" s="226"/>
    </row>
    <row r="9882" spans="16:21" x14ac:dyDescent="0.35">
      <c r="P9882" s="226"/>
      <c r="Q9882" s="226"/>
      <c r="R9882" s="226"/>
      <c r="S9882" s="226"/>
      <c r="T9882" s="226"/>
      <c r="U9882" s="226"/>
    </row>
    <row r="9883" spans="16:21" x14ac:dyDescent="0.35">
      <c r="P9883" s="226"/>
      <c r="Q9883" s="226"/>
      <c r="R9883" s="226"/>
      <c r="S9883" s="226"/>
      <c r="T9883" s="226"/>
      <c r="U9883" s="226"/>
    </row>
    <row r="9884" spans="16:21" x14ac:dyDescent="0.35">
      <c r="P9884" s="226"/>
      <c r="Q9884" s="226"/>
      <c r="R9884" s="226"/>
      <c r="S9884" s="226"/>
      <c r="T9884" s="226"/>
      <c r="U9884" s="226"/>
    </row>
    <row r="9885" spans="16:21" x14ac:dyDescent="0.35">
      <c r="P9885" s="226"/>
      <c r="Q9885" s="226"/>
      <c r="R9885" s="226"/>
      <c r="S9885" s="226"/>
      <c r="T9885" s="226"/>
      <c r="U9885" s="226"/>
    </row>
    <row r="9886" spans="16:21" x14ac:dyDescent="0.35">
      <c r="P9886" s="226"/>
      <c r="Q9886" s="226"/>
      <c r="R9886" s="226"/>
      <c r="S9886" s="226"/>
      <c r="T9886" s="226"/>
      <c r="U9886" s="226"/>
    </row>
    <row r="9887" spans="16:21" x14ac:dyDescent="0.35">
      <c r="P9887" s="226"/>
      <c r="Q9887" s="226"/>
      <c r="R9887" s="226"/>
      <c r="S9887" s="226"/>
      <c r="T9887" s="226"/>
      <c r="U9887" s="226"/>
    </row>
    <row r="9888" spans="16:21" x14ac:dyDescent="0.35">
      <c r="P9888" s="226"/>
      <c r="Q9888" s="226"/>
      <c r="R9888" s="226"/>
      <c r="S9888" s="226"/>
      <c r="T9888" s="226"/>
      <c r="U9888" s="226"/>
    </row>
    <row r="9889" spans="16:21" x14ac:dyDescent="0.35">
      <c r="P9889" s="226"/>
      <c r="Q9889" s="226"/>
      <c r="R9889" s="226"/>
      <c r="S9889" s="226"/>
      <c r="T9889" s="226"/>
      <c r="U9889" s="226"/>
    </row>
    <row r="9890" spans="16:21" x14ac:dyDescent="0.35">
      <c r="P9890" s="226"/>
      <c r="Q9890" s="226"/>
      <c r="R9890" s="226"/>
      <c r="S9890" s="226"/>
      <c r="T9890" s="226"/>
      <c r="U9890" s="226"/>
    </row>
    <row r="9891" spans="16:21" x14ac:dyDescent="0.35">
      <c r="P9891" s="226"/>
      <c r="Q9891" s="226"/>
      <c r="R9891" s="226"/>
      <c r="S9891" s="226"/>
      <c r="T9891" s="226"/>
      <c r="U9891" s="226"/>
    </row>
    <row r="9892" spans="16:21" x14ac:dyDescent="0.35">
      <c r="P9892" s="226"/>
      <c r="Q9892" s="226"/>
      <c r="R9892" s="226"/>
      <c r="S9892" s="226"/>
      <c r="T9892" s="226"/>
      <c r="U9892" s="226"/>
    </row>
    <row r="9893" spans="16:21" x14ac:dyDescent="0.35">
      <c r="P9893" s="226"/>
      <c r="Q9893" s="226"/>
      <c r="R9893" s="226"/>
      <c r="S9893" s="226"/>
      <c r="T9893" s="226"/>
      <c r="U9893" s="226"/>
    </row>
    <row r="9894" spans="16:21" x14ac:dyDescent="0.35">
      <c r="P9894" s="226"/>
      <c r="Q9894" s="226"/>
      <c r="R9894" s="226"/>
      <c r="S9894" s="226"/>
      <c r="T9894" s="226"/>
      <c r="U9894" s="226"/>
    </row>
    <row r="9895" spans="16:21" x14ac:dyDescent="0.35">
      <c r="P9895" s="226"/>
      <c r="Q9895" s="226"/>
      <c r="R9895" s="226"/>
      <c r="S9895" s="226"/>
      <c r="T9895" s="226"/>
      <c r="U9895" s="226"/>
    </row>
    <row r="9896" spans="16:21" x14ac:dyDescent="0.35">
      <c r="P9896" s="226"/>
      <c r="Q9896" s="226"/>
      <c r="R9896" s="226"/>
      <c r="S9896" s="226"/>
      <c r="T9896" s="226"/>
      <c r="U9896" s="226"/>
    </row>
    <row r="9897" spans="16:21" x14ac:dyDescent="0.35">
      <c r="P9897" s="226"/>
      <c r="Q9897" s="226"/>
      <c r="R9897" s="226"/>
      <c r="S9897" s="226"/>
      <c r="T9897" s="226"/>
      <c r="U9897" s="226"/>
    </row>
    <row r="9898" spans="16:21" x14ac:dyDescent="0.35">
      <c r="P9898" s="226"/>
      <c r="Q9898" s="226"/>
      <c r="R9898" s="226"/>
      <c r="S9898" s="226"/>
      <c r="T9898" s="226"/>
      <c r="U9898" s="226"/>
    </row>
    <row r="9899" spans="16:21" x14ac:dyDescent="0.35">
      <c r="P9899" s="226"/>
      <c r="Q9899" s="226"/>
      <c r="R9899" s="226"/>
      <c r="S9899" s="226"/>
      <c r="T9899" s="226"/>
      <c r="U9899" s="226"/>
    </row>
    <row r="9900" spans="16:21" x14ac:dyDescent="0.35">
      <c r="P9900" s="226"/>
      <c r="Q9900" s="226"/>
      <c r="R9900" s="226"/>
      <c r="S9900" s="226"/>
      <c r="T9900" s="226"/>
      <c r="U9900" s="226"/>
    </row>
    <row r="9901" spans="16:21" x14ac:dyDescent="0.35">
      <c r="P9901" s="226"/>
      <c r="Q9901" s="226"/>
      <c r="R9901" s="226"/>
      <c r="S9901" s="226"/>
      <c r="T9901" s="226"/>
      <c r="U9901" s="226"/>
    </row>
    <row r="9902" spans="16:21" x14ac:dyDescent="0.35">
      <c r="P9902" s="226"/>
      <c r="Q9902" s="226"/>
      <c r="R9902" s="226"/>
      <c r="S9902" s="226"/>
      <c r="T9902" s="226"/>
      <c r="U9902" s="226"/>
    </row>
    <row r="9903" spans="16:21" x14ac:dyDescent="0.35">
      <c r="P9903" s="226"/>
      <c r="Q9903" s="226"/>
      <c r="R9903" s="226"/>
      <c r="S9903" s="226"/>
      <c r="T9903" s="226"/>
      <c r="U9903" s="226"/>
    </row>
    <row r="9904" spans="16:21" x14ac:dyDescent="0.35">
      <c r="P9904" s="226"/>
      <c r="Q9904" s="226"/>
      <c r="R9904" s="226"/>
      <c r="S9904" s="226"/>
      <c r="T9904" s="226"/>
      <c r="U9904" s="226"/>
    </row>
    <row r="9905" spans="16:21" x14ac:dyDescent="0.35">
      <c r="P9905" s="226"/>
      <c r="Q9905" s="226"/>
      <c r="R9905" s="226"/>
      <c r="S9905" s="226"/>
      <c r="T9905" s="226"/>
      <c r="U9905" s="226"/>
    </row>
    <row r="9906" spans="16:21" x14ac:dyDescent="0.35">
      <c r="P9906" s="226"/>
      <c r="Q9906" s="226"/>
      <c r="R9906" s="226"/>
      <c r="S9906" s="226"/>
      <c r="T9906" s="226"/>
      <c r="U9906" s="226"/>
    </row>
    <row r="9907" spans="16:21" x14ac:dyDescent="0.35">
      <c r="P9907" s="226"/>
      <c r="Q9907" s="226"/>
      <c r="R9907" s="226"/>
      <c r="S9907" s="226"/>
      <c r="T9907" s="226"/>
      <c r="U9907" s="226"/>
    </row>
    <row r="9908" spans="16:21" x14ac:dyDescent="0.35">
      <c r="P9908" s="226"/>
      <c r="Q9908" s="226"/>
      <c r="R9908" s="226"/>
      <c r="S9908" s="226"/>
      <c r="T9908" s="226"/>
      <c r="U9908" s="226"/>
    </row>
    <row r="9909" spans="16:21" x14ac:dyDescent="0.35">
      <c r="P9909" s="226"/>
      <c r="Q9909" s="226"/>
      <c r="R9909" s="226"/>
      <c r="S9909" s="226"/>
      <c r="T9909" s="226"/>
      <c r="U9909" s="226"/>
    </row>
    <row r="9910" spans="16:21" x14ac:dyDescent="0.35">
      <c r="P9910" s="226"/>
      <c r="Q9910" s="226"/>
      <c r="R9910" s="226"/>
      <c r="S9910" s="226"/>
      <c r="T9910" s="226"/>
      <c r="U9910" s="226"/>
    </row>
    <row r="9911" spans="16:21" x14ac:dyDescent="0.35">
      <c r="P9911" s="226"/>
      <c r="Q9911" s="226"/>
      <c r="R9911" s="226"/>
      <c r="S9911" s="226"/>
      <c r="T9911" s="226"/>
      <c r="U9911" s="226"/>
    </row>
    <row r="9912" spans="16:21" x14ac:dyDescent="0.35">
      <c r="P9912" s="226"/>
      <c r="Q9912" s="226"/>
      <c r="R9912" s="226"/>
      <c r="S9912" s="226"/>
      <c r="T9912" s="226"/>
      <c r="U9912" s="226"/>
    </row>
    <row r="9913" spans="16:21" x14ac:dyDescent="0.35">
      <c r="P9913" s="226"/>
      <c r="Q9913" s="226"/>
      <c r="R9913" s="226"/>
      <c r="S9913" s="226"/>
      <c r="T9913" s="226"/>
      <c r="U9913" s="226"/>
    </row>
    <row r="9914" spans="16:21" x14ac:dyDescent="0.35">
      <c r="P9914" s="226"/>
      <c r="Q9914" s="226"/>
      <c r="R9914" s="226"/>
      <c r="S9914" s="226"/>
      <c r="T9914" s="226"/>
      <c r="U9914" s="226"/>
    </row>
    <row r="9915" spans="16:21" x14ac:dyDescent="0.35">
      <c r="P9915" s="226"/>
      <c r="Q9915" s="226"/>
      <c r="R9915" s="226"/>
      <c r="S9915" s="226"/>
      <c r="T9915" s="226"/>
      <c r="U9915" s="226"/>
    </row>
    <row r="9916" spans="16:21" x14ac:dyDescent="0.35">
      <c r="P9916" s="226"/>
      <c r="Q9916" s="226"/>
      <c r="R9916" s="226"/>
      <c r="S9916" s="226"/>
      <c r="T9916" s="226"/>
      <c r="U9916" s="226"/>
    </row>
    <row r="9917" spans="16:21" x14ac:dyDescent="0.35">
      <c r="P9917" s="226"/>
      <c r="Q9917" s="226"/>
      <c r="R9917" s="226"/>
      <c r="S9917" s="226"/>
      <c r="T9917" s="226"/>
      <c r="U9917" s="226"/>
    </row>
    <row r="9918" spans="16:21" x14ac:dyDescent="0.35">
      <c r="P9918" s="226"/>
      <c r="Q9918" s="226"/>
      <c r="R9918" s="226"/>
      <c r="S9918" s="226"/>
      <c r="T9918" s="226"/>
      <c r="U9918" s="226"/>
    </row>
    <row r="9919" spans="16:21" x14ac:dyDescent="0.35">
      <c r="P9919" s="226"/>
      <c r="Q9919" s="226"/>
      <c r="R9919" s="226"/>
      <c r="S9919" s="226"/>
      <c r="T9919" s="226"/>
      <c r="U9919" s="226"/>
    </row>
    <row r="9920" spans="16:21" x14ac:dyDescent="0.35">
      <c r="P9920" s="226"/>
      <c r="Q9920" s="226"/>
      <c r="R9920" s="226"/>
      <c r="S9920" s="226"/>
      <c r="T9920" s="226"/>
      <c r="U9920" s="226"/>
    </row>
    <row r="9921" spans="16:21" x14ac:dyDescent="0.35">
      <c r="P9921" s="226"/>
      <c r="Q9921" s="226"/>
      <c r="R9921" s="226"/>
      <c r="S9921" s="226"/>
      <c r="T9921" s="226"/>
      <c r="U9921" s="226"/>
    </row>
    <row r="9922" spans="16:21" x14ac:dyDescent="0.35">
      <c r="P9922" s="226"/>
      <c r="Q9922" s="226"/>
      <c r="R9922" s="226"/>
      <c r="S9922" s="226"/>
      <c r="T9922" s="226"/>
      <c r="U9922" s="226"/>
    </row>
    <row r="9923" spans="16:21" x14ac:dyDescent="0.35">
      <c r="P9923" s="226"/>
      <c r="Q9923" s="226"/>
      <c r="R9923" s="226"/>
      <c r="S9923" s="226"/>
      <c r="T9923" s="226"/>
      <c r="U9923" s="226"/>
    </row>
    <row r="9924" spans="16:21" x14ac:dyDescent="0.35">
      <c r="P9924" s="226"/>
      <c r="Q9924" s="226"/>
      <c r="R9924" s="226"/>
      <c r="S9924" s="226"/>
      <c r="T9924" s="226"/>
      <c r="U9924" s="226"/>
    </row>
    <row r="9925" spans="16:21" x14ac:dyDescent="0.35">
      <c r="P9925" s="226"/>
      <c r="Q9925" s="226"/>
      <c r="R9925" s="226"/>
      <c r="S9925" s="226"/>
      <c r="T9925" s="226"/>
      <c r="U9925" s="226"/>
    </row>
    <row r="9926" spans="16:21" x14ac:dyDescent="0.35">
      <c r="P9926" s="226"/>
      <c r="Q9926" s="226"/>
      <c r="R9926" s="226"/>
      <c r="S9926" s="226"/>
      <c r="T9926" s="226"/>
      <c r="U9926" s="226"/>
    </row>
    <row r="9927" spans="16:21" x14ac:dyDescent="0.35">
      <c r="P9927" s="226"/>
      <c r="Q9927" s="226"/>
      <c r="R9927" s="226"/>
      <c r="S9927" s="226"/>
      <c r="T9927" s="226"/>
      <c r="U9927" s="226"/>
    </row>
    <row r="9928" spans="16:21" x14ac:dyDescent="0.35">
      <c r="P9928" s="226"/>
      <c r="Q9928" s="226"/>
      <c r="R9928" s="226"/>
      <c r="S9928" s="226"/>
      <c r="T9928" s="226"/>
      <c r="U9928" s="226"/>
    </row>
    <row r="9929" spans="16:21" x14ac:dyDescent="0.35">
      <c r="P9929" s="226"/>
      <c r="Q9929" s="226"/>
      <c r="R9929" s="226"/>
      <c r="S9929" s="226"/>
      <c r="T9929" s="226"/>
      <c r="U9929" s="226"/>
    </row>
    <row r="9930" spans="16:21" x14ac:dyDescent="0.35">
      <c r="P9930" s="226"/>
      <c r="Q9930" s="226"/>
      <c r="R9930" s="226"/>
      <c r="S9930" s="226"/>
      <c r="T9930" s="226"/>
      <c r="U9930" s="226"/>
    </row>
    <row r="9931" spans="16:21" x14ac:dyDescent="0.35">
      <c r="P9931" s="226"/>
      <c r="Q9931" s="226"/>
      <c r="R9931" s="226"/>
      <c r="S9931" s="226"/>
      <c r="T9931" s="226"/>
      <c r="U9931" s="226"/>
    </row>
    <row r="9932" spans="16:21" x14ac:dyDescent="0.35">
      <c r="P9932" s="226"/>
      <c r="Q9932" s="226"/>
      <c r="R9932" s="226"/>
      <c r="S9932" s="226"/>
      <c r="T9932" s="226"/>
      <c r="U9932" s="226"/>
    </row>
    <row r="9933" spans="16:21" x14ac:dyDescent="0.35">
      <c r="P9933" s="226"/>
      <c r="Q9933" s="226"/>
      <c r="R9933" s="226"/>
      <c r="S9933" s="226"/>
      <c r="T9933" s="226"/>
      <c r="U9933" s="226"/>
    </row>
    <row r="9934" spans="16:21" x14ac:dyDescent="0.35">
      <c r="P9934" s="226"/>
      <c r="Q9934" s="226"/>
      <c r="R9934" s="226"/>
      <c r="S9934" s="226"/>
      <c r="T9934" s="226"/>
      <c r="U9934" s="226"/>
    </row>
    <row r="9935" spans="16:21" x14ac:dyDescent="0.35">
      <c r="P9935" s="226"/>
      <c r="Q9935" s="226"/>
      <c r="R9935" s="226"/>
      <c r="S9935" s="226"/>
      <c r="T9935" s="226"/>
      <c r="U9935" s="226"/>
    </row>
    <row r="9936" spans="16:21" x14ac:dyDescent="0.35">
      <c r="P9936" s="226"/>
      <c r="Q9936" s="226"/>
      <c r="R9936" s="226"/>
      <c r="S9936" s="226"/>
      <c r="T9936" s="226"/>
      <c r="U9936" s="226"/>
    </row>
    <row r="9937" spans="16:21" x14ac:dyDescent="0.35">
      <c r="P9937" s="226"/>
      <c r="Q9937" s="226"/>
      <c r="R9937" s="226"/>
      <c r="S9937" s="226"/>
      <c r="T9937" s="226"/>
      <c r="U9937" s="226"/>
    </row>
    <row r="9938" spans="16:21" x14ac:dyDescent="0.35">
      <c r="P9938" s="226"/>
      <c r="Q9938" s="226"/>
      <c r="R9938" s="226"/>
      <c r="S9938" s="226"/>
      <c r="T9938" s="226"/>
      <c r="U9938" s="226"/>
    </row>
    <row r="9939" spans="16:21" x14ac:dyDescent="0.35">
      <c r="P9939" s="226"/>
      <c r="Q9939" s="226"/>
      <c r="R9939" s="226"/>
      <c r="S9939" s="226"/>
      <c r="T9939" s="226"/>
      <c r="U9939" s="226"/>
    </row>
    <row r="9940" spans="16:21" x14ac:dyDescent="0.35">
      <c r="P9940" s="226"/>
      <c r="Q9940" s="226"/>
      <c r="R9940" s="226"/>
      <c r="S9940" s="226"/>
      <c r="T9940" s="226"/>
      <c r="U9940" s="226"/>
    </row>
    <row r="9941" spans="16:21" x14ac:dyDescent="0.35">
      <c r="P9941" s="226"/>
      <c r="Q9941" s="226"/>
      <c r="R9941" s="226"/>
      <c r="S9941" s="226"/>
      <c r="T9941" s="226"/>
      <c r="U9941" s="226"/>
    </row>
    <row r="9942" spans="16:21" x14ac:dyDescent="0.35">
      <c r="P9942" s="226"/>
      <c r="Q9942" s="226"/>
      <c r="R9942" s="226"/>
      <c r="S9942" s="226"/>
      <c r="T9942" s="226"/>
      <c r="U9942" s="226"/>
    </row>
    <row r="9943" spans="16:21" x14ac:dyDescent="0.35">
      <c r="P9943" s="226"/>
      <c r="Q9943" s="226"/>
      <c r="R9943" s="226"/>
      <c r="S9943" s="226"/>
      <c r="T9943" s="226"/>
      <c r="U9943" s="226"/>
    </row>
    <row r="9944" spans="16:21" x14ac:dyDescent="0.35">
      <c r="P9944" s="226"/>
      <c r="Q9944" s="226"/>
      <c r="R9944" s="226"/>
      <c r="S9944" s="226"/>
      <c r="T9944" s="226"/>
      <c r="U9944" s="226"/>
    </row>
    <row r="9945" spans="16:21" x14ac:dyDescent="0.35">
      <c r="P9945" s="226"/>
      <c r="Q9945" s="226"/>
      <c r="R9945" s="226"/>
      <c r="S9945" s="226"/>
      <c r="T9945" s="226"/>
      <c r="U9945" s="226"/>
    </row>
    <row r="9946" spans="16:21" x14ac:dyDescent="0.35">
      <c r="P9946" s="226"/>
      <c r="Q9946" s="226"/>
      <c r="R9946" s="226"/>
      <c r="S9946" s="226"/>
      <c r="T9946" s="226"/>
      <c r="U9946" s="226"/>
    </row>
    <row r="9947" spans="16:21" x14ac:dyDescent="0.35">
      <c r="P9947" s="226"/>
      <c r="Q9947" s="226"/>
      <c r="R9947" s="226"/>
      <c r="S9947" s="226"/>
      <c r="T9947" s="226"/>
      <c r="U9947" s="226"/>
    </row>
    <row r="9948" spans="16:21" x14ac:dyDescent="0.35">
      <c r="P9948" s="226"/>
      <c r="Q9948" s="226"/>
      <c r="R9948" s="226"/>
      <c r="S9948" s="226"/>
      <c r="T9948" s="226"/>
      <c r="U9948" s="226"/>
    </row>
    <row r="9949" spans="16:21" x14ac:dyDescent="0.35">
      <c r="P9949" s="226"/>
      <c r="Q9949" s="226"/>
      <c r="R9949" s="226"/>
      <c r="S9949" s="226"/>
      <c r="T9949" s="226"/>
      <c r="U9949" s="226"/>
    </row>
    <row r="9950" spans="16:21" x14ac:dyDescent="0.35">
      <c r="P9950" s="226"/>
      <c r="Q9950" s="226"/>
      <c r="R9950" s="226"/>
      <c r="S9950" s="226"/>
      <c r="T9950" s="226"/>
      <c r="U9950" s="226"/>
    </row>
    <row r="9951" spans="16:21" x14ac:dyDescent="0.35">
      <c r="P9951" s="226"/>
      <c r="Q9951" s="226"/>
      <c r="R9951" s="226"/>
      <c r="S9951" s="226"/>
      <c r="T9951" s="226"/>
      <c r="U9951" s="226"/>
    </row>
    <row r="9952" spans="16:21" x14ac:dyDescent="0.35">
      <c r="P9952" s="226"/>
      <c r="Q9952" s="226"/>
      <c r="R9952" s="226"/>
      <c r="S9952" s="226"/>
      <c r="T9952" s="226"/>
      <c r="U9952" s="226"/>
    </row>
    <row r="9953" spans="16:21" x14ac:dyDescent="0.35">
      <c r="P9953" s="226"/>
      <c r="Q9953" s="226"/>
      <c r="R9953" s="226"/>
      <c r="S9953" s="226"/>
      <c r="T9953" s="226"/>
      <c r="U9953" s="226"/>
    </row>
    <row r="9954" spans="16:21" x14ac:dyDescent="0.35">
      <c r="P9954" s="226"/>
      <c r="Q9954" s="226"/>
      <c r="R9954" s="226"/>
      <c r="S9954" s="226"/>
      <c r="T9954" s="226"/>
      <c r="U9954" s="226"/>
    </row>
    <row r="9955" spans="16:21" x14ac:dyDescent="0.35">
      <c r="P9955" s="226"/>
      <c r="Q9955" s="226"/>
      <c r="R9955" s="226"/>
      <c r="S9955" s="226"/>
      <c r="T9955" s="226"/>
      <c r="U9955" s="226"/>
    </row>
    <row r="9956" spans="16:21" x14ac:dyDescent="0.35">
      <c r="P9956" s="226"/>
      <c r="Q9956" s="226"/>
      <c r="R9956" s="226"/>
      <c r="S9956" s="226"/>
      <c r="T9956" s="226"/>
      <c r="U9956" s="226"/>
    </row>
    <row r="9957" spans="16:21" x14ac:dyDescent="0.35">
      <c r="P9957" s="226"/>
      <c r="Q9957" s="226"/>
      <c r="R9957" s="226"/>
      <c r="S9957" s="226"/>
      <c r="T9957" s="226"/>
      <c r="U9957" s="226"/>
    </row>
    <row r="9958" spans="16:21" x14ac:dyDescent="0.35">
      <c r="P9958" s="226"/>
      <c r="Q9958" s="226"/>
      <c r="R9958" s="226"/>
      <c r="S9958" s="226"/>
      <c r="T9958" s="226"/>
      <c r="U9958" s="226"/>
    </row>
    <row r="9959" spans="16:21" x14ac:dyDescent="0.35">
      <c r="P9959" s="226"/>
      <c r="Q9959" s="226"/>
      <c r="R9959" s="226"/>
      <c r="S9959" s="226"/>
      <c r="T9959" s="226"/>
      <c r="U9959" s="226"/>
    </row>
    <row r="9960" spans="16:21" x14ac:dyDescent="0.35">
      <c r="P9960" s="226"/>
      <c r="Q9960" s="226"/>
      <c r="R9960" s="226"/>
      <c r="S9960" s="226"/>
      <c r="T9960" s="226"/>
      <c r="U9960" s="226"/>
    </row>
    <row r="9961" spans="16:21" x14ac:dyDescent="0.35">
      <c r="P9961" s="226"/>
      <c r="Q9961" s="226"/>
      <c r="R9961" s="226"/>
      <c r="S9961" s="226"/>
      <c r="T9961" s="226"/>
      <c r="U9961" s="226"/>
    </row>
    <row r="9962" spans="16:21" x14ac:dyDescent="0.35">
      <c r="P9962" s="226"/>
      <c r="Q9962" s="226"/>
      <c r="R9962" s="226"/>
      <c r="S9962" s="226"/>
      <c r="T9962" s="226"/>
      <c r="U9962" s="226"/>
    </row>
    <row r="9963" spans="16:21" x14ac:dyDescent="0.35">
      <c r="P9963" s="226"/>
      <c r="Q9963" s="226"/>
      <c r="R9963" s="226"/>
      <c r="S9963" s="226"/>
      <c r="T9963" s="226"/>
      <c r="U9963" s="226"/>
    </row>
    <row r="9964" spans="16:21" x14ac:dyDescent="0.35">
      <c r="P9964" s="226"/>
      <c r="Q9964" s="226"/>
      <c r="R9964" s="226"/>
      <c r="S9964" s="226"/>
      <c r="T9964" s="226"/>
      <c r="U9964" s="226"/>
    </row>
    <row r="9965" spans="16:21" x14ac:dyDescent="0.35">
      <c r="P9965" s="226"/>
      <c r="Q9965" s="226"/>
      <c r="R9965" s="226"/>
      <c r="S9965" s="226"/>
      <c r="T9965" s="226"/>
      <c r="U9965" s="226"/>
    </row>
    <row r="9966" spans="16:21" x14ac:dyDescent="0.35">
      <c r="P9966" s="226"/>
      <c r="Q9966" s="226"/>
      <c r="R9966" s="226"/>
      <c r="S9966" s="226"/>
      <c r="T9966" s="226"/>
      <c r="U9966" s="226"/>
    </row>
    <row r="9967" spans="16:21" x14ac:dyDescent="0.35">
      <c r="P9967" s="226"/>
      <c r="Q9967" s="226"/>
      <c r="R9967" s="226"/>
      <c r="S9967" s="226"/>
      <c r="T9967" s="226"/>
      <c r="U9967" s="226"/>
    </row>
    <row r="9968" spans="16:21" x14ac:dyDescent="0.35">
      <c r="P9968" s="226"/>
      <c r="Q9968" s="226"/>
      <c r="R9968" s="226"/>
      <c r="S9968" s="226"/>
      <c r="T9968" s="226"/>
      <c r="U9968" s="226"/>
    </row>
    <row r="9969" spans="16:21" x14ac:dyDescent="0.35">
      <c r="P9969" s="226"/>
      <c r="Q9969" s="226"/>
      <c r="R9969" s="226"/>
      <c r="S9969" s="226"/>
      <c r="T9969" s="226"/>
      <c r="U9969" s="226"/>
    </row>
    <row r="9970" spans="16:21" x14ac:dyDescent="0.35">
      <c r="P9970" s="226"/>
      <c r="Q9970" s="226"/>
      <c r="R9970" s="226"/>
      <c r="S9970" s="226"/>
      <c r="T9970" s="226"/>
      <c r="U9970" s="226"/>
    </row>
    <row r="9971" spans="16:21" x14ac:dyDescent="0.35">
      <c r="P9971" s="226"/>
      <c r="Q9971" s="226"/>
      <c r="R9971" s="226"/>
      <c r="S9971" s="226"/>
      <c r="T9971" s="226"/>
      <c r="U9971" s="226"/>
    </row>
    <row r="9972" spans="16:21" x14ac:dyDescent="0.35">
      <c r="P9972" s="226"/>
      <c r="Q9972" s="226"/>
      <c r="R9972" s="226"/>
      <c r="S9972" s="226"/>
      <c r="T9972" s="226"/>
      <c r="U9972" s="226"/>
    </row>
    <row r="9973" spans="16:21" x14ac:dyDescent="0.35">
      <c r="P9973" s="226"/>
      <c r="Q9973" s="226"/>
      <c r="R9973" s="226"/>
      <c r="S9973" s="226"/>
      <c r="T9973" s="226"/>
      <c r="U9973" s="226"/>
    </row>
    <row r="9974" spans="16:21" x14ac:dyDescent="0.35">
      <c r="P9974" s="226"/>
      <c r="Q9974" s="226"/>
      <c r="R9974" s="226"/>
      <c r="S9974" s="226"/>
      <c r="T9974" s="226"/>
      <c r="U9974" s="226"/>
    </row>
    <row r="9975" spans="16:21" x14ac:dyDescent="0.35">
      <c r="P9975" s="226"/>
      <c r="Q9975" s="226"/>
      <c r="R9975" s="226"/>
      <c r="S9975" s="226"/>
      <c r="T9975" s="226"/>
      <c r="U9975" s="226"/>
    </row>
    <row r="9976" spans="16:21" x14ac:dyDescent="0.35">
      <c r="P9976" s="226"/>
      <c r="Q9976" s="226"/>
      <c r="R9976" s="226"/>
      <c r="S9976" s="226"/>
      <c r="T9976" s="226"/>
      <c r="U9976" s="226"/>
    </row>
    <row r="9977" spans="16:21" x14ac:dyDescent="0.35">
      <c r="P9977" s="226"/>
      <c r="Q9977" s="226"/>
      <c r="R9977" s="226"/>
      <c r="S9977" s="226"/>
      <c r="T9977" s="226"/>
      <c r="U9977" s="226"/>
    </row>
    <row r="9978" spans="16:21" x14ac:dyDescent="0.35">
      <c r="P9978" s="226"/>
      <c r="Q9978" s="226"/>
      <c r="R9978" s="226"/>
      <c r="S9978" s="226"/>
      <c r="T9978" s="226"/>
      <c r="U9978" s="226"/>
    </row>
    <row r="9979" spans="16:21" x14ac:dyDescent="0.35">
      <c r="P9979" s="226"/>
      <c r="Q9979" s="226"/>
      <c r="R9979" s="226"/>
      <c r="S9979" s="226"/>
      <c r="T9979" s="226"/>
      <c r="U9979" s="226"/>
    </row>
    <row r="9980" spans="16:21" x14ac:dyDescent="0.35">
      <c r="P9980" s="226"/>
      <c r="Q9980" s="226"/>
      <c r="R9980" s="226"/>
      <c r="S9980" s="226"/>
      <c r="T9980" s="226"/>
      <c r="U9980" s="226"/>
    </row>
    <row r="9981" spans="16:21" x14ac:dyDescent="0.35">
      <c r="P9981" s="226"/>
      <c r="Q9981" s="226"/>
      <c r="R9981" s="226"/>
      <c r="S9981" s="226"/>
      <c r="T9981" s="226"/>
      <c r="U9981" s="226"/>
    </row>
    <row r="9982" spans="16:21" x14ac:dyDescent="0.35">
      <c r="P9982" s="226"/>
      <c r="Q9982" s="226"/>
      <c r="R9982" s="226"/>
      <c r="S9982" s="226"/>
      <c r="T9982" s="226"/>
      <c r="U9982" s="226"/>
    </row>
    <row r="9983" spans="16:21" x14ac:dyDescent="0.35">
      <c r="P9983" s="226"/>
      <c r="Q9983" s="226"/>
      <c r="R9983" s="226"/>
      <c r="S9983" s="226"/>
      <c r="T9983" s="226"/>
      <c r="U9983" s="226"/>
    </row>
    <row r="9984" spans="16:21" x14ac:dyDescent="0.35">
      <c r="P9984" s="226"/>
      <c r="Q9984" s="226"/>
      <c r="R9984" s="226"/>
      <c r="S9984" s="226"/>
      <c r="T9984" s="226"/>
      <c r="U9984" s="226"/>
    </row>
    <row r="9985" spans="16:21" x14ac:dyDescent="0.35">
      <c r="P9985" s="226"/>
      <c r="Q9985" s="226"/>
      <c r="R9985" s="226"/>
      <c r="S9985" s="226"/>
      <c r="T9985" s="226"/>
      <c r="U9985" s="226"/>
    </row>
    <row r="9986" spans="16:21" x14ac:dyDescent="0.35">
      <c r="P9986" s="226"/>
      <c r="Q9986" s="226"/>
      <c r="R9986" s="226"/>
      <c r="S9986" s="226"/>
      <c r="T9986" s="226"/>
      <c r="U9986" s="226"/>
    </row>
    <row r="9987" spans="16:21" x14ac:dyDescent="0.35">
      <c r="P9987" s="226"/>
      <c r="Q9987" s="226"/>
      <c r="R9987" s="226"/>
      <c r="S9987" s="226"/>
      <c r="T9987" s="226"/>
      <c r="U9987" s="226"/>
    </row>
    <row r="9988" spans="16:21" x14ac:dyDescent="0.35">
      <c r="P9988" s="226"/>
      <c r="Q9988" s="226"/>
      <c r="R9988" s="226"/>
      <c r="S9988" s="226"/>
      <c r="T9988" s="226"/>
      <c r="U9988" s="226"/>
    </row>
    <row r="9989" spans="16:21" x14ac:dyDescent="0.35">
      <c r="P9989" s="226"/>
      <c r="Q9989" s="226"/>
      <c r="R9989" s="226"/>
      <c r="S9989" s="226"/>
      <c r="T9989" s="226"/>
      <c r="U9989" s="226"/>
    </row>
    <row r="9990" spans="16:21" x14ac:dyDescent="0.35">
      <c r="P9990" s="226"/>
      <c r="Q9990" s="226"/>
      <c r="R9990" s="226"/>
      <c r="S9990" s="226"/>
      <c r="T9990" s="226"/>
      <c r="U9990" s="226"/>
    </row>
    <row r="9991" spans="16:21" x14ac:dyDescent="0.35">
      <c r="P9991" s="226"/>
      <c r="Q9991" s="226"/>
      <c r="R9991" s="226"/>
      <c r="S9991" s="226"/>
      <c r="T9991" s="226"/>
      <c r="U9991" s="226"/>
    </row>
    <row r="9992" spans="16:21" x14ac:dyDescent="0.35">
      <c r="P9992" s="226"/>
      <c r="Q9992" s="226"/>
      <c r="R9992" s="226"/>
      <c r="S9992" s="226"/>
      <c r="T9992" s="226"/>
      <c r="U9992" s="226"/>
    </row>
    <row r="9993" spans="16:21" x14ac:dyDescent="0.35">
      <c r="P9993" s="226"/>
      <c r="Q9993" s="226"/>
      <c r="R9993" s="226"/>
      <c r="S9993" s="226"/>
      <c r="T9993" s="226"/>
      <c r="U9993" s="226"/>
    </row>
    <row r="9994" spans="16:21" x14ac:dyDescent="0.35">
      <c r="P9994" s="226"/>
      <c r="Q9994" s="226"/>
      <c r="R9994" s="226"/>
      <c r="S9994" s="226"/>
      <c r="T9994" s="226"/>
      <c r="U9994" s="226"/>
    </row>
    <row r="9995" spans="16:21" x14ac:dyDescent="0.35">
      <c r="P9995" s="226"/>
      <c r="Q9995" s="226"/>
      <c r="R9995" s="226"/>
      <c r="S9995" s="226"/>
      <c r="T9995" s="226"/>
      <c r="U9995" s="226"/>
    </row>
    <row r="9996" spans="16:21" x14ac:dyDescent="0.35">
      <c r="P9996" s="226"/>
      <c r="Q9996" s="226"/>
      <c r="R9996" s="226"/>
      <c r="S9996" s="226"/>
      <c r="T9996" s="226"/>
      <c r="U9996" s="226"/>
    </row>
    <row r="9997" spans="16:21" x14ac:dyDescent="0.35">
      <c r="P9997" s="226"/>
      <c r="Q9997" s="226"/>
      <c r="R9997" s="226"/>
      <c r="S9997" s="226"/>
      <c r="T9997" s="226"/>
      <c r="U9997" s="226"/>
    </row>
    <row r="9998" spans="16:21" x14ac:dyDescent="0.35">
      <c r="P9998" s="226"/>
      <c r="Q9998" s="226"/>
      <c r="R9998" s="226"/>
      <c r="S9998" s="226"/>
      <c r="T9998" s="226"/>
      <c r="U9998" s="226"/>
    </row>
    <row r="9999" spans="16:21" x14ac:dyDescent="0.35">
      <c r="P9999" s="226"/>
      <c r="Q9999" s="226"/>
      <c r="R9999" s="226"/>
      <c r="S9999" s="226"/>
      <c r="T9999" s="226"/>
      <c r="U9999" s="226"/>
    </row>
    <row r="10000" spans="16:21" x14ac:dyDescent="0.35">
      <c r="P10000" s="226"/>
      <c r="Q10000" s="226"/>
      <c r="R10000" s="226"/>
      <c r="S10000" s="226"/>
      <c r="T10000" s="226"/>
      <c r="U10000" s="226"/>
    </row>
    <row r="10001" spans="16:21" x14ac:dyDescent="0.35">
      <c r="P10001" s="226"/>
      <c r="Q10001" s="226"/>
      <c r="R10001" s="226"/>
      <c r="S10001" s="226"/>
      <c r="T10001" s="226"/>
      <c r="U10001" s="226"/>
    </row>
    <row r="10002" spans="16:21" x14ac:dyDescent="0.35">
      <c r="P10002" s="226"/>
      <c r="Q10002" s="226"/>
      <c r="R10002" s="226"/>
      <c r="S10002" s="226"/>
      <c r="T10002" s="226"/>
      <c r="U10002" s="226"/>
    </row>
    <row r="10003" spans="16:21" x14ac:dyDescent="0.35">
      <c r="P10003" s="226"/>
      <c r="Q10003" s="226"/>
      <c r="R10003" s="226"/>
      <c r="S10003" s="226"/>
      <c r="T10003" s="226"/>
      <c r="U10003" s="226"/>
    </row>
    <row r="10004" spans="16:21" x14ac:dyDescent="0.35">
      <c r="P10004" s="226"/>
      <c r="Q10004" s="226"/>
      <c r="R10004" s="226"/>
      <c r="S10004" s="226"/>
      <c r="T10004" s="226"/>
      <c r="U10004" s="226"/>
    </row>
    <row r="10005" spans="16:21" x14ac:dyDescent="0.35">
      <c r="P10005" s="226"/>
      <c r="Q10005" s="226"/>
      <c r="R10005" s="226"/>
      <c r="S10005" s="226"/>
      <c r="T10005" s="226"/>
      <c r="U10005" s="226"/>
    </row>
    <row r="10006" spans="16:21" x14ac:dyDescent="0.35">
      <c r="P10006" s="226"/>
      <c r="Q10006" s="226"/>
      <c r="R10006" s="226"/>
      <c r="S10006" s="226"/>
      <c r="T10006" s="226"/>
      <c r="U10006" s="226"/>
    </row>
    <row r="10007" spans="16:21" x14ac:dyDescent="0.35">
      <c r="P10007" s="226"/>
      <c r="Q10007" s="226"/>
      <c r="R10007" s="226"/>
      <c r="S10007" s="226"/>
      <c r="T10007" s="226"/>
      <c r="U10007" s="226"/>
    </row>
    <row r="10008" spans="16:21" x14ac:dyDescent="0.35">
      <c r="P10008" s="226"/>
      <c r="Q10008" s="226"/>
      <c r="R10008" s="226"/>
      <c r="S10008" s="226"/>
      <c r="T10008" s="226"/>
      <c r="U10008" s="226"/>
    </row>
    <row r="10009" spans="16:21" x14ac:dyDescent="0.35">
      <c r="P10009" s="226"/>
      <c r="Q10009" s="226"/>
      <c r="R10009" s="226"/>
      <c r="S10009" s="226"/>
      <c r="T10009" s="226"/>
      <c r="U10009" s="226"/>
    </row>
    <row r="10010" spans="16:21" x14ac:dyDescent="0.35">
      <c r="P10010" s="226"/>
      <c r="Q10010" s="226"/>
      <c r="R10010" s="226"/>
      <c r="S10010" s="226"/>
      <c r="T10010" s="226"/>
      <c r="U10010" s="226"/>
    </row>
    <row r="10011" spans="16:21" x14ac:dyDescent="0.35">
      <c r="P10011" s="226"/>
      <c r="Q10011" s="226"/>
      <c r="R10011" s="226"/>
      <c r="S10011" s="226"/>
      <c r="T10011" s="226"/>
      <c r="U10011" s="226"/>
    </row>
    <row r="10012" spans="16:21" x14ac:dyDescent="0.35">
      <c r="P10012" s="226"/>
      <c r="Q10012" s="226"/>
      <c r="R10012" s="226"/>
      <c r="S10012" s="226"/>
      <c r="T10012" s="226"/>
      <c r="U10012" s="226"/>
    </row>
    <row r="10013" spans="16:21" x14ac:dyDescent="0.35">
      <c r="P10013" s="226"/>
      <c r="Q10013" s="226"/>
      <c r="R10013" s="226"/>
      <c r="S10013" s="226"/>
      <c r="T10013" s="226"/>
      <c r="U10013" s="226"/>
    </row>
    <row r="10014" spans="16:21" x14ac:dyDescent="0.35">
      <c r="P10014" s="226"/>
      <c r="Q10014" s="226"/>
      <c r="R10014" s="226"/>
      <c r="S10014" s="226"/>
      <c r="T10014" s="226"/>
      <c r="U10014" s="226"/>
    </row>
    <row r="10015" spans="16:21" x14ac:dyDescent="0.35">
      <c r="P10015" s="226"/>
      <c r="Q10015" s="226"/>
      <c r="R10015" s="226"/>
      <c r="S10015" s="226"/>
      <c r="T10015" s="226"/>
      <c r="U10015" s="226"/>
    </row>
    <row r="10016" spans="16:21" x14ac:dyDescent="0.35">
      <c r="P10016" s="226"/>
      <c r="Q10016" s="226"/>
      <c r="R10016" s="226"/>
      <c r="S10016" s="226"/>
      <c r="T10016" s="226"/>
      <c r="U10016" s="226"/>
    </row>
    <row r="10017" spans="16:21" x14ac:dyDescent="0.35">
      <c r="P10017" s="226"/>
      <c r="Q10017" s="226"/>
      <c r="R10017" s="226"/>
      <c r="S10017" s="226"/>
      <c r="T10017" s="226"/>
      <c r="U10017" s="226"/>
    </row>
    <row r="10018" spans="16:21" x14ac:dyDescent="0.35">
      <c r="P10018" s="226"/>
      <c r="Q10018" s="226"/>
      <c r="R10018" s="226"/>
      <c r="S10018" s="226"/>
      <c r="T10018" s="226"/>
      <c r="U10018" s="226"/>
    </row>
    <row r="10019" spans="16:21" x14ac:dyDescent="0.35">
      <c r="P10019" s="226"/>
      <c r="Q10019" s="226"/>
      <c r="R10019" s="226"/>
      <c r="S10019" s="226"/>
      <c r="T10019" s="226"/>
      <c r="U10019" s="226"/>
    </row>
    <row r="10020" spans="16:21" x14ac:dyDescent="0.35">
      <c r="P10020" s="226"/>
      <c r="Q10020" s="226"/>
      <c r="R10020" s="226"/>
      <c r="S10020" s="226"/>
      <c r="T10020" s="226"/>
      <c r="U10020" s="226"/>
    </row>
    <row r="10021" spans="16:21" x14ac:dyDescent="0.35">
      <c r="P10021" s="226"/>
      <c r="Q10021" s="226"/>
      <c r="R10021" s="226"/>
      <c r="S10021" s="226"/>
      <c r="T10021" s="226"/>
      <c r="U10021" s="226"/>
    </row>
    <row r="10022" spans="16:21" x14ac:dyDescent="0.35">
      <c r="P10022" s="226"/>
      <c r="Q10022" s="226"/>
      <c r="R10022" s="226"/>
      <c r="S10022" s="226"/>
      <c r="T10022" s="226"/>
      <c r="U10022" s="226"/>
    </row>
    <row r="10023" spans="16:21" x14ac:dyDescent="0.35">
      <c r="P10023" s="226"/>
      <c r="Q10023" s="226"/>
      <c r="R10023" s="226"/>
      <c r="S10023" s="226"/>
      <c r="T10023" s="226"/>
      <c r="U10023" s="226"/>
    </row>
    <row r="10024" spans="16:21" x14ac:dyDescent="0.35">
      <c r="P10024" s="226"/>
      <c r="Q10024" s="226"/>
      <c r="R10024" s="226"/>
      <c r="S10024" s="226"/>
      <c r="T10024" s="226"/>
      <c r="U10024" s="226"/>
    </row>
    <row r="10025" spans="16:21" x14ac:dyDescent="0.35">
      <c r="P10025" s="226"/>
      <c r="Q10025" s="226"/>
      <c r="R10025" s="226"/>
      <c r="S10025" s="226"/>
      <c r="T10025" s="226"/>
      <c r="U10025" s="226"/>
    </row>
    <row r="10026" spans="16:21" x14ac:dyDescent="0.35">
      <c r="P10026" s="226"/>
      <c r="Q10026" s="226"/>
      <c r="R10026" s="226"/>
      <c r="S10026" s="226"/>
      <c r="T10026" s="226"/>
      <c r="U10026" s="226"/>
    </row>
    <row r="10027" spans="16:21" x14ac:dyDescent="0.35">
      <c r="P10027" s="226"/>
      <c r="Q10027" s="226"/>
      <c r="R10027" s="226"/>
      <c r="S10027" s="226"/>
      <c r="T10027" s="226"/>
      <c r="U10027" s="226"/>
    </row>
    <row r="10028" spans="16:21" x14ac:dyDescent="0.35">
      <c r="P10028" s="226"/>
      <c r="Q10028" s="226"/>
      <c r="R10028" s="226"/>
      <c r="S10028" s="226"/>
      <c r="T10028" s="226"/>
      <c r="U10028" s="226"/>
    </row>
    <row r="10029" spans="16:21" x14ac:dyDescent="0.35">
      <c r="P10029" s="226"/>
      <c r="Q10029" s="226"/>
      <c r="R10029" s="226"/>
      <c r="S10029" s="226"/>
      <c r="T10029" s="226"/>
      <c r="U10029" s="226"/>
    </row>
    <row r="10030" spans="16:21" x14ac:dyDescent="0.35">
      <c r="P10030" s="226"/>
      <c r="Q10030" s="226"/>
      <c r="R10030" s="226"/>
      <c r="S10030" s="226"/>
      <c r="T10030" s="226"/>
      <c r="U10030" s="226"/>
    </row>
    <row r="10031" spans="16:21" x14ac:dyDescent="0.35">
      <c r="P10031" s="226"/>
      <c r="Q10031" s="226"/>
      <c r="R10031" s="226"/>
      <c r="S10031" s="226"/>
      <c r="T10031" s="226"/>
      <c r="U10031" s="226"/>
    </row>
    <row r="10032" spans="16:21" x14ac:dyDescent="0.35">
      <c r="P10032" s="226"/>
      <c r="Q10032" s="226"/>
      <c r="R10032" s="226"/>
      <c r="S10032" s="226"/>
      <c r="T10032" s="226"/>
      <c r="U10032" s="226"/>
    </row>
    <row r="10033" spans="16:21" x14ac:dyDescent="0.35">
      <c r="P10033" s="226"/>
      <c r="Q10033" s="226"/>
      <c r="R10033" s="226"/>
      <c r="S10033" s="226"/>
      <c r="T10033" s="226"/>
      <c r="U10033" s="226"/>
    </row>
    <row r="10034" spans="16:21" x14ac:dyDescent="0.35">
      <c r="P10034" s="226"/>
      <c r="Q10034" s="226"/>
      <c r="R10034" s="226"/>
      <c r="S10034" s="226"/>
      <c r="T10034" s="226"/>
      <c r="U10034" s="226"/>
    </row>
    <row r="10035" spans="16:21" x14ac:dyDescent="0.35">
      <c r="P10035" s="226"/>
      <c r="Q10035" s="226"/>
      <c r="R10035" s="226"/>
      <c r="S10035" s="226"/>
      <c r="T10035" s="226"/>
      <c r="U10035" s="226"/>
    </row>
    <row r="10036" spans="16:21" x14ac:dyDescent="0.35">
      <c r="P10036" s="226"/>
      <c r="Q10036" s="226"/>
      <c r="R10036" s="226"/>
      <c r="S10036" s="226"/>
      <c r="T10036" s="226"/>
      <c r="U10036" s="226"/>
    </row>
    <row r="10037" spans="16:21" x14ac:dyDescent="0.35">
      <c r="P10037" s="226"/>
      <c r="Q10037" s="226"/>
      <c r="R10037" s="226"/>
      <c r="S10037" s="226"/>
      <c r="T10037" s="226"/>
      <c r="U10037" s="226"/>
    </row>
    <row r="10038" spans="16:21" x14ac:dyDescent="0.35">
      <c r="P10038" s="226"/>
      <c r="Q10038" s="226"/>
      <c r="R10038" s="226"/>
      <c r="S10038" s="226"/>
      <c r="T10038" s="226"/>
      <c r="U10038" s="226"/>
    </row>
    <row r="10039" spans="16:21" x14ac:dyDescent="0.35">
      <c r="P10039" s="226"/>
      <c r="Q10039" s="226"/>
      <c r="R10039" s="226"/>
      <c r="S10039" s="226"/>
      <c r="T10039" s="226"/>
      <c r="U10039" s="226"/>
    </row>
    <row r="10040" spans="16:21" x14ac:dyDescent="0.35">
      <c r="P10040" s="226"/>
      <c r="Q10040" s="226"/>
      <c r="R10040" s="226"/>
      <c r="S10040" s="226"/>
      <c r="T10040" s="226"/>
      <c r="U10040" s="226"/>
    </row>
    <row r="10041" spans="16:21" x14ac:dyDescent="0.35">
      <c r="P10041" s="226"/>
      <c r="Q10041" s="226"/>
      <c r="R10041" s="226"/>
      <c r="S10041" s="226"/>
      <c r="T10041" s="226"/>
      <c r="U10041" s="226"/>
    </row>
    <row r="10042" spans="16:21" x14ac:dyDescent="0.35">
      <c r="P10042" s="226"/>
      <c r="Q10042" s="226"/>
      <c r="R10042" s="226"/>
      <c r="S10042" s="226"/>
      <c r="T10042" s="226"/>
      <c r="U10042" s="226"/>
    </row>
    <row r="10043" spans="16:21" x14ac:dyDescent="0.35">
      <c r="P10043" s="226"/>
      <c r="Q10043" s="226"/>
      <c r="R10043" s="226"/>
      <c r="S10043" s="226"/>
      <c r="T10043" s="226"/>
      <c r="U10043" s="226"/>
    </row>
    <row r="10044" spans="16:21" x14ac:dyDescent="0.35">
      <c r="P10044" s="226"/>
      <c r="Q10044" s="226"/>
      <c r="R10044" s="226"/>
      <c r="S10044" s="226"/>
      <c r="T10044" s="226"/>
      <c r="U10044" s="226"/>
    </row>
    <row r="10045" spans="16:21" x14ac:dyDescent="0.35">
      <c r="P10045" s="226"/>
      <c r="Q10045" s="226"/>
      <c r="R10045" s="226"/>
      <c r="S10045" s="226"/>
      <c r="T10045" s="226"/>
      <c r="U10045" s="226"/>
    </row>
    <row r="10046" spans="16:21" x14ac:dyDescent="0.35">
      <c r="P10046" s="226"/>
      <c r="Q10046" s="226"/>
      <c r="R10046" s="226"/>
      <c r="S10046" s="226"/>
      <c r="T10046" s="226"/>
      <c r="U10046" s="226"/>
    </row>
    <row r="10047" spans="16:21" x14ac:dyDescent="0.35">
      <c r="P10047" s="226"/>
      <c r="Q10047" s="226"/>
      <c r="R10047" s="226"/>
      <c r="S10047" s="226"/>
      <c r="T10047" s="226"/>
      <c r="U10047" s="226"/>
    </row>
    <row r="10048" spans="16:21" x14ac:dyDescent="0.35">
      <c r="P10048" s="226"/>
      <c r="Q10048" s="226"/>
      <c r="R10048" s="226"/>
      <c r="S10048" s="226"/>
      <c r="T10048" s="226"/>
      <c r="U10048" s="226"/>
    </row>
    <row r="10049" spans="16:21" x14ac:dyDescent="0.35">
      <c r="P10049" s="226"/>
      <c r="Q10049" s="226"/>
      <c r="R10049" s="226"/>
      <c r="S10049" s="226"/>
      <c r="T10049" s="226"/>
      <c r="U10049" s="226"/>
    </row>
    <row r="10050" spans="16:21" x14ac:dyDescent="0.35">
      <c r="P10050" s="226"/>
      <c r="Q10050" s="226"/>
      <c r="R10050" s="226"/>
      <c r="S10050" s="226"/>
      <c r="T10050" s="226"/>
      <c r="U10050" s="226"/>
    </row>
    <row r="10051" spans="16:21" x14ac:dyDescent="0.35">
      <c r="P10051" s="226"/>
      <c r="Q10051" s="226"/>
      <c r="R10051" s="226"/>
      <c r="S10051" s="226"/>
      <c r="T10051" s="226"/>
      <c r="U10051" s="226"/>
    </row>
    <row r="10052" spans="16:21" x14ac:dyDescent="0.35">
      <c r="P10052" s="226"/>
      <c r="Q10052" s="226"/>
      <c r="R10052" s="226"/>
      <c r="S10052" s="226"/>
      <c r="T10052" s="226"/>
      <c r="U10052" s="226"/>
    </row>
    <row r="10053" spans="16:21" x14ac:dyDescent="0.35">
      <c r="P10053" s="226"/>
      <c r="Q10053" s="226"/>
      <c r="R10053" s="226"/>
      <c r="S10053" s="226"/>
      <c r="T10053" s="226"/>
      <c r="U10053" s="226"/>
    </row>
    <row r="10054" spans="16:21" x14ac:dyDescent="0.35">
      <c r="P10054" s="226"/>
      <c r="Q10054" s="226"/>
      <c r="R10054" s="226"/>
      <c r="S10054" s="226"/>
      <c r="T10054" s="226"/>
      <c r="U10054" s="226"/>
    </row>
    <row r="10055" spans="16:21" x14ac:dyDescent="0.35">
      <c r="P10055" s="226"/>
      <c r="Q10055" s="226"/>
      <c r="R10055" s="226"/>
      <c r="S10055" s="226"/>
      <c r="T10055" s="226"/>
      <c r="U10055" s="226"/>
    </row>
    <row r="10056" spans="16:21" x14ac:dyDescent="0.35">
      <c r="P10056" s="226"/>
      <c r="Q10056" s="226"/>
      <c r="R10056" s="226"/>
      <c r="S10056" s="226"/>
      <c r="T10056" s="226"/>
      <c r="U10056" s="226"/>
    </row>
    <row r="10057" spans="16:21" x14ac:dyDescent="0.35">
      <c r="P10057" s="226"/>
      <c r="Q10057" s="226"/>
      <c r="R10057" s="226"/>
      <c r="S10057" s="226"/>
      <c r="T10057" s="226"/>
      <c r="U10057" s="226"/>
    </row>
    <row r="10058" spans="16:21" x14ac:dyDescent="0.35">
      <c r="P10058" s="226"/>
      <c r="Q10058" s="226"/>
      <c r="R10058" s="226"/>
      <c r="S10058" s="226"/>
      <c r="T10058" s="226"/>
      <c r="U10058" s="226"/>
    </row>
    <row r="10059" spans="16:21" x14ac:dyDescent="0.35">
      <c r="P10059" s="226"/>
      <c r="Q10059" s="226"/>
      <c r="R10059" s="226"/>
      <c r="S10059" s="226"/>
      <c r="T10059" s="226"/>
      <c r="U10059" s="226"/>
    </row>
    <row r="10060" spans="16:21" x14ac:dyDescent="0.35">
      <c r="P10060" s="226"/>
      <c r="Q10060" s="226"/>
      <c r="R10060" s="226"/>
      <c r="S10060" s="226"/>
      <c r="T10060" s="226"/>
      <c r="U10060" s="226"/>
    </row>
    <row r="10061" spans="16:21" x14ac:dyDescent="0.35">
      <c r="P10061" s="226"/>
      <c r="Q10061" s="226"/>
      <c r="R10061" s="226"/>
      <c r="S10061" s="226"/>
      <c r="T10061" s="226"/>
      <c r="U10061" s="226"/>
    </row>
    <row r="10062" spans="16:21" x14ac:dyDescent="0.35">
      <c r="P10062" s="226"/>
      <c r="Q10062" s="226"/>
      <c r="R10062" s="226"/>
      <c r="S10062" s="226"/>
      <c r="T10062" s="226"/>
      <c r="U10062" s="226"/>
    </row>
    <row r="10063" spans="16:21" x14ac:dyDescent="0.35">
      <c r="P10063" s="226"/>
      <c r="Q10063" s="226"/>
      <c r="R10063" s="226"/>
      <c r="S10063" s="226"/>
      <c r="T10063" s="226"/>
      <c r="U10063" s="226"/>
    </row>
    <row r="10064" spans="16:21" x14ac:dyDescent="0.35">
      <c r="P10064" s="226"/>
      <c r="Q10064" s="226"/>
      <c r="R10064" s="226"/>
      <c r="S10064" s="226"/>
      <c r="T10064" s="226"/>
      <c r="U10064" s="226"/>
    </row>
    <row r="10065" spans="16:21" x14ac:dyDescent="0.35">
      <c r="P10065" s="226"/>
      <c r="Q10065" s="226"/>
      <c r="R10065" s="226"/>
      <c r="S10065" s="226"/>
      <c r="T10065" s="226"/>
      <c r="U10065" s="226"/>
    </row>
    <row r="10066" spans="16:21" x14ac:dyDescent="0.35">
      <c r="P10066" s="226"/>
      <c r="Q10066" s="226"/>
      <c r="R10066" s="226"/>
      <c r="S10066" s="226"/>
      <c r="T10066" s="226"/>
      <c r="U10066" s="226"/>
    </row>
    <row r="10067" spans="16:21" x14ac:dyDescent="0.35">
      <c r="P10067" s="226"/>
      <c r="Q10067" s="226"/>
      <c r="R10067" s="226"/>
      <c r="S10067" s="226"/>
      <c r="T10067" s="226"/>
      <c r="U10067" s="226"/>
    </row>
    <row r="10068" spans="16:21" x14ac:dyDescent="0.35">
      <c r="P10068" s="226"/>
      <c r="Q10068" s="226"/>
      <c r="R10068" s="226"/>
      <c r="S10068" s="226"/>
      <c r="T10068" s="226"/>
      <c r="U10068" s="226"/>
    </row>
    <row r="10069" spans="16:21" x14ac:dyDescent="0.35">
      <c r="P10069" s="226"/>
      <c r="Q10069" s="226"/>
      <c r="R10069" s="226"/>
      <c r="S10069" s="226"/>
      <c r="T10069" s="226"/>
      <c r="U10069" s="226"/>
    </row>
    <row r="10070" spans="16:21" x14ac:dyDescent="0.35">
      <c r="P10070" s="226"/>
      <c r="Q10070" s="226"/>
      <c r="R10070" s="226"/>
      <c r="S10070" s="226"/>
      <c r="T10070" s="226"/>
      <c r="U10070" s="226"/>
    </row>
    <row r="10071" spans="16:21" x14ac:dyDescent="0.35">
      <c r="P10071" s="226"/>
      <c r="Q10071" s="226"/>
      <c r="R10071" s="226"/>
      <c r="S10071" s="226"/>
      <c r="T10071" s="226"/>
      <c r="U10071" s="226"/>
    </row>
    <row r="10072" spans="16:21" x14ac:dyDescent="0.35">
      <c r="P10072" s="226"/>
      <c r="Q10072" s="226"/>
      <c r="R10072" s="226"/>
      <c r="S10072" s="226"/>
      <c r="T10072" s="226"/>
      <c r="U10072" s="226"/>
    </row>
    <row r="10073" spans="16:21" x14ac:dyDescent="0.35">
      <c r="P10073" s="226"/>
      <c r="Q10073" s="226"/>
      <c r="R10073" s="226"/>
      <c r="S10073" s="226"/>
      <c r="T10073" s="226"/>
      <c r="U10073" s="226"/>
    </row>
    <row r="10074" spans="16:21" x14ac:dyDescent="0.35">
      <c r="P10074" s="226"/>
      <c r="Q10074" s="226"/>
      <c r="R10074" s="226"/>
      <c r="S10074" s="226"/>
      <c r="T10074" s="226"/>
      <c r="U10074" s="226"/>
    </row>
    <row r="10075" spans="16:21" x14ac:dyDescent="0.35">
      <c r="P10075" s="226"/>
      <c r="Q10075" s="226"/>
      <c r="R10075" s="226"/>
      <c r="S10075" s="226"/>
      <c r="T10075" s="226"/>
      <c r="U10075" s="226"/>
    </row>
    <row r="10076" spans="16:21" x14ac:dyDescent="0.35">
      <c r="P10076" s="226"/>
      <c r="Q10076" s="226"/>
      <c r="R10076" s="226"/>
      <c r="S10076" s="226"/>
      <c r="T10076" s="226"/>
      <c r="U10076" s="226"/>
    </row>
    <row r="10077" spans="16:21" x14ac:dyDescent="0.35">
      <c r="P10077" s="226"/>
      <c r="Q10077" s="226"/>
      <c r="R10077" s="226"/>
      <c r="S10077" s="226"/>
      <c r="T10077" s="226"/>
      <c r="U10077" s="226"/>
    </row>
    <row r="10078" spans="16:21" x14ac:dyDescent="0.35">
      <c r="P10078" s="226"/>
      <c r="Q10078" s="226"/>
      <c r="R10078" s="226"/>
      <c r="S10078" s="226"/>
      <c r="T10078" s="226"/>
      <c r="U10078" s="226"/>
    </row>
    <row r="10079" spans="16:21" x14ac:dyDescent="0.35">
      <c r="P10079" s="226"/>
      <c r="Q10079" s="226"/>
      <c r="R10079" s="226"/>
      <c r="S10079" s="226"/>
      <c r="T10079" s="226"/>
      <c r="U10079" s="226"/>
    </row>
    <row r="10080" spans="16:21" x14ac:dyDescent="0.35">
      <c r="P10080" s="226"/>
      <c r="Q10080" s="226"/>
      <c r="R10080" s="226"/>
      <c r="S10080" s="226"/>
      <c r="T10080" s="226"/>
      <c r="U10080" s="226"/>
    </row>
    <row r="10081" spans="16:21" x14ac:dyDescent="0.35">
      <c r="P10081" s="226"/>
      <c r="Q10081" s="226"/>
      <c r="R10081" s="226"/>
      <c r="S10081" s="226"/>
      <c r="T10081" s="226"/>
      <c r="U10081" s="226"/>
    </row>
    <row r="10082" spans="16:21" x14ac:dyDescent="0.35">
      <c r="P10082" s="226"/>
      <c r="Q10082" s="226"/>
      <c r="R10082" s="226"/>
      <c r="S10082" s="226"/>
      <c r="T10082" s="226"/>
      <c r="U10082" s="226"/>
    </row>
    <row r="10083" spans="16:21" x14ac:dyDescent="0.35">
      <c r="P10083" s="226"/>
      <c r="Q10083" s="226"/>
      <c r="R10083" s="226"/>
      <c r="S10083" s="226"/>
      <c r="T10083" s="226"/>
      <c r="U10083" s="226"/>
    </row>
    <row r="10084" spans="16:21" x14ac:dyDescent="0.35">
      <c r="P10084" s="226"/>
      <c r="Q10084" s="226"/>
      <c r="R10084" s="226"/>
      <c r="S10084" s="226"/>
      <c r="T10084" s="226"/>
      <c r="U10084" s="226"/>
    </row>
    <row r="10085" spans="16:21" x14ac:dyDescent="0.35">
      <c r="P10085" s="226"/>
      <c r="Q10085" s="226"/>
      <c r="R10085" s="226"/>
      <c r="S10085" s="226"/>
      <c r="T10085" s="226"/>
      <c r="U10085" s="226"/>
    </row>
    <row r="10086" spans="16:21" x14ac:dyDescent="0.35">
      <c r="P10086" s="226"/>
      <c r="Q10086" s="226"/>
      <c r="R10086" s="226"/>
      <c r="S10086" s="226"/>
      <c r="T10086" s="226"/>
      <c r="U10086" s="226"/>
    </row>
    <row r="10087" spans="16:21" x14ac:dyDescent="0.35">
      <c r="P10087" s="226"/>
      <c r="Q10087" s="226"/>
      <c r="R10087" s="226"/>
      <c r="S10087" s="226"/>
      <c r="T10087" s="226"/>
      <c r="U10087" s="226"/>
    </row>
    <row r="10088" spans="16:21" x14ac:dyDescent="0.35">
      <c r="P10088" s="226"/>
      <c r="Q10088" s="226"/>
      <c r="R10088" s="226"/>
      <c r="S10088" s="226"/>
      <c r="T10088" s="226"/>
      <c r="U10088" s="226"/>
    </row>
    <row r="10089" spans="16:21" x14ac:dyDescent="0.35">
      <c r="P10089" s="226"/>
      <c r="Q10089" s="226"/>
      <c r="R10089" s="226"/>
      <c r="S10089" s="226"/>
      <c r="T10089" s="226"/>
      <c r="U10089" s="226"/>
    </row>
    <row r="10090" spans="16:21" x14ac:dyDescent="0.35">
      <c r="P10090" s="226"/>
      <c r="Q10090" s="226"/>
      <c r="R10090" s="226"/>
      <c r="S10090" s="226"/>
      <c r="T10090" s="226"/>
      <c r="U10090" s="226"/>
    </row>
    <row r="10091" spans="16:21" x14ac:dyDescent="0.35">
      <c r="P10091" s="226"/>
      <c r="Q10091" s="226"/>
      <c r="R10091" s="226"/>
      <c r="S10091" s="226"/>
      <c r="T10091" s="226"/>
      <c r="U10091" s="226"/>
    </row>
    <row r="10092" spans="16:21" x14ac:dyDescent="0.35">
      <c r="P10092" s="226"/>
      <c r="Q10092" s="226"/>
      <c r="R10092" s="226"/>
      <c r="S10092" s="226"/>
      <c r="T10092" s="226"/>
      <c r="U10092" s="226"/>
    </row>
    <row r="10093" spans="16:21" x14ac:dyDescent="0.35">
      <c r="P10093" s="226"/>
      <c r="Q10093" s="226"/>
      <c r="R10093" s="226"/>
      <c r="S10093" s="226"/>
      <c r="T10093" s="226"/>
      <c r="U10093" s="226"/>
    </row>
    <row r="10094" spans="16:21" x14ac:dyDescent="0.35">
      <c r="P10094" s="226"/>
      <c r="Q10094" s="226"/>
      <c r="R10094" s="226"/>
      <c r="S10094" s="226"/>
      <c r="T10094" s="226"/>
      <c r="U10094" s="226"/>
    </row>
    <row r="10095" spans="16:21" x14ac:dyDescent="0.35">
      <c r="P10095" s="226"/>
      <c r="Q10095" s="226"/>
      <c r="R10095" s="226"/>
      <c r="S10095" s="226"/>
      <c r="T10095" s="226"/>
      <c r="U10095" s="226"/>
    </row>
    <row r="10096" spans="16:21" x14ac:dyDescent="0.35">
      <c r="P10096" s="226"/>
      <c r="Q10096" s="226"/>
      <c r="R10096" s="226"/>
      <c r="S10096" s="226"/>
      <c r="T10096" s="226"/>
      <c r="U10096" s="226"/>
    </row>
    <row r="10097" spans="16:21" x14ac:dyDescent="0.35">
      <c r="P10097" s="226"/>
      <c r="Q10097" s="226"/>
      <c r="R10097" s="226"/>
      <c r="S10097" s="226"/>
      <c r="T10097" s="226"/>
      <c r="U10097" s="226"/>
    </row>
    <row r="10098" spans="16:21" x14ac:dyDescent="0.35">
      <c r="P10098" s="226"/>
      <c r="Q10098" s="226"/>
      <c r="R10098" s="226"/>
      <c r="S10098" s="226"/>
      <c r="T10098" s="226"/>
      <c r="U10098" s="226"/>
    </row>
    <row r="10099" spans="16:21" x14ac:dyDescent="0.35">
      <c r="P10099" s="226"/>
      <c r="Q10099" s="226"/>
      <c r="R10099" s="226"/>
      <c r="S10099" s="226"/>
      <c r="T10099" s="226"/>
      <c r="U10099" s="226"/>
    </row>
    <row r="10100" spans="16:21" x14ac:dyDescent="0.35">
      <c r="P10100" s="226"/>
      <c r="Q10100" s="226"/>
      <c r="R10100" s="226"/>
      <c r="S10100" s="226"/>
      <c r="T10100" s="226"/>
      <c r="U10100" s="226"/>
    </row>
    <row r="10101" spans="16:21" x14ac:dyDescent="0.35">
      <c r="P10101" s="226"/>
      <c r="Q10101" s="226"/>
      <c r="R10101" s="226"/>
      <c r="S10101" s="226"/>
      <c r="T10101" s="226"/>
      <c r="U10101" s="226"/>
    </row>
    <row r="10102" spans="16:21" x14ac:dyDescent="0.35">
      <c r="P10102" s="226"/>
      <c r="Q10102" s="226"/>
      <c r="R10102" s="226"/>
      <c r="S10102" s="226"/>
      <c r="T10102" s="226"/>
      <c r="U10102" s="226"/>
    </row>
    <row r="10103" spans="16:21" x14ac:dyDescent="0.35">
      <c r="P10103" s="226"/>
      <c r="Q10103" s="226"/>
      <c r="R10103" s="226"/>
      <c r="S10103" s="226"/>
      <c r="T10103" s="226"/>
      <c r="U10103" s="226"/>
    </row>
    <row r="10104" spans="16:21" x14ac:dyDescent="0.35">
      <c r="P10104" s="226"/>
      <c r="Q10104" s="226"/>
      <c r="R10104" s="226"/>
      <c r="S10104" s="226"/>
      <c r="T10104" s="226"/>
      <c r="U10104" s="226"/>
    </row>
    <row r="10105" spans="16:21" x14ac:dyDescent="0.35">
      <c r="P10105" s="226"/>
      <c r="Q10105" s="226"/>
      <c r="R10105" s="226"/>
      <c r="S10105" s="226"/>
      <c r="T10105" s="226"/>
      <c r="U10105" s="226"/>
    </row>
    <row r="10106" spans="16:21" x14ac:dyDescent="0.35">
      <c r="P10106" s="226"/>
      <c r="Q10106" s="226"/>
      <c r="R10106" s="226"/>
      <c r="S10106" s="226"/>
      <c r="T10106" s="226"/>
      <c r="U10106" s="226"/>
    </row>
    <row r="10107" spans="16:21" x14ac:dyDescent="0.35">
      <c r="P10107" s="226"/>
      <c r="Q10107" s="226"/>
      <c r="R10107" s="226"/>
      <c r="S10107" s="226"/>
      <c r="T10107" s="226"/>
      <c r="U10107" s="226"/>
    </row>
    <row r="10108" spans="16:21" x14ac:dyDescent="0.35">
      <c r="P10108" s="226"/>
      <c r="Q10108" s="226"/>
      <c r="R10108" s="226"/>
      <c r="S10108" s="226"/>
      <c r="T10108" s="226"/>
      <c r="U10108" s="226"/>
    </row>
    <row r="10109" spans="16:21" x14ac:dyDescent="0.35">
      <c r="P10109" s="226"/>
      <c r="Q10109" s="226"/>
      <c r="R10109" s="226"/>
      <c r="S10109" s="226"/>
      <c r="T10109" s="226"/>
      <c r="U10109" s="226"/>
    </row>
    <row r="10110" spans="16:21" x14ac:dyDescent="0.35">
      <c r="P10110" s="226"/>
      <c r="Q10110" s="226"/>
      <c r="R10110" s="226"/>
      <c r="S10110" s="226"/>
      <c r="T10110" s="226"/>
      <c r="U10110" s="226"/>
    </row>
    <row r="10111" spans="16:21" x14ac:dyDescent="0.35">
      <c r="P10111" s="226"/>
      <c r="Q10111" s="226"/>
      <c r="R10111" s="226"/>
      <c r="S10111" s="226"/>
      <c r="T10111" s="226"/>
      <c r="U10111" s="226"/>
    </row>
    <row r="10112" spans="16:21" x14ac:dyDescent="0.35">
      <c r="P10112" s="226"/>
      <c r="Q10112" s="226"/>
      <c r="R10112" s="226"/>
      <c r="S10112" s="226"/>
      <c r="T10112" s="226"/>
      <c r="U10112" s="226"/>
    </row>
    <row r="10113" spans="16:21" x14ac:dyDescent="0.35">
      <c r="P10113" s="226"/>
      <c r="Q10113" s="226"/>
      <c r="R10113" s="226"/>
      <c r="S10113" s="226"/>
      <c r="T10113" s="226"/>
      <c r="U10113" s="226"/>
    </row>
    <row r="10114" spans="16:21" x14ac:dyDescent="0.35">
      <c r="P10114" s="226"/>
      <c r="Q10114" s="226"/>
      <c r="R10114" s="226"/>
      <c r="S10114" s="226"/>
      <c r="T10114" s="226"/>
      <c r="U10114" s="226"/>
    </row>
    <row r="10115" spans="16:21" x14ac:dyDescent="0.35">
      <c r="P10115" s="226"/>
      <c r="Q10115" s="226"/>
      <c r="R10115" s="226"/>
      <c r="S10115" s="226"/>
      <c r="T10115" s="226"/>
      <c r="U10115" s="226"/>
    </row>
    <row r="10116" spans="16:21" x14ac:dyDescent="0.35">
      <c r="P10116" s="226"/>
      <c r="Q10116" s="226"/>
      <c r="R10116" s="226"/>
      <c r="S10116" s="226"/>
      <c r="T10116" s="226"/>
      <c r="U10116" s="226"/>
    </row>
    <row r="10117" spans="16:21" x14ac:dyDescent="0.35">
      <c r="P10117" s="226"/>
      <c r="Q10117" s="226"/>
      <c r="R10117" s="226"/>
      <c r="S10117" s="226"/>
      <c r="T10117" s="226"/>
      <c r="U10117" s="226"/>
    </row>
    <row r="10118" spans="16:21" x14ac:dyDescent="0.35">
      <c r="P10118" s="226"/>
      <c r="Q10118" s="226"/>
      <c r="R10118" s="226"/>
      <c r="S10118" s="226"/>
      <c r="T10118" s="226"/>
      <c r="U10118" s="226"/>
    </row>
    <row r="10119" spans="16:21" x14ac:dyDescent="0.35">
      <c r="P10119" s="226"/>
      <c r="Q10119" s="226"/>
      <c r="R10119" s="226"/>
      <c r="S10119" s="226"/>
      <c r="T10119" s="226"/>
      <c r="U10119" s="226"/>
    </row>
    <row r="10120" spans="16:21" x14ac:dyDescent="0.35">
      <c r="P10120" s="226"/>
      <c r="Q10120" s="226"/>
      <c r="R10120" s="226"/>
      <c r="S10120" s="226"/>
      <c r="T10120" s="226"/>
      <c r="U10120" s="226"/>
    </row>
    <row r="10121" spans="16:21" x14ac:dyDescent="0.35">
      <c r="P10121" s="226"/>
      <c r="Q10121" s="226"/>
      <c r="R10121" s="226"/>
      <c r="S10121" s="226"/>
      <c r="T10121" s="226"/>
      <c r="U10121" s="226"/>
    </row>
    <row r="10122" spans="16:21" x14ac:dyDescent="0.35">
      <c r="P10122" s="226"/>
      <c r="Q10122" s="226"/>
      <c r="R10122" s="226"/>
      <c r="S10122" s="226"/>
      <c r="T10122" s="226"/>
      <c r="U10122" s="226"/>
    </row>
    <row r="10123" spans="16:21" x14ac:dyDescent="0.35">
      <c r="P10123" s="226"/>
      <c r="Q10123" s="226"/>
      <c r="R10123" s="226"/>
      <c r="S10123" s="226"/>
      <c r="T10123" s="226"/>
      <c r="U10123" s="226"/>
    </row>
    <row r="10124" spans="16:21" x14ac:dyDescent="0.35">
      <c r="P10124" s="226"/>
      <c r="Q10124" s="226"/>
      <c r="R10124" s="226"/>
      <c r="S10124" s="226"/>
      <c r="T10124" s="226"/>
      <c r="U10124" s="226"/>
    </row>
    <row r="10125" spans="16:21" x14ac:dyDescent="0.35">
      <c r="P10125" s="226"/>
      <c r="Q10125" s="226"/>
      <c r="R10125" s="226"/>
      <c r="S10125" s="226"/>
      <c r="T10125" s="226"/>
      <c r="U10125" s="226"/>
    </row>
    <row r="10126" spans="16:21" x14ac:dyDescent="0.35">
      <c r="P10126" s="226"/>
      <c r="Q10126" s="226"/>
      <c r="R10126" s="226"/>
      <c r="S10126" s="226"/>
      <c r="T10126" s="226"/>
      <c r="U10126" s="226"/>
    </row>
    <row r="10127" spans="16:21" x14ac:dyDescent="0.35">
      <c r="P10127" s="226"/>
      <c r="Q10127" s="226"/>
      <c r="R10127" s="226"/>
      <c r="S10127" s="226"/>
      <c r="T10127" s="226"/>
      <c r="U10127" s="226"/>
    </row>
    <row r="10128" spans="16:21" x14ac:dyDescent="0.35">
      <c r="P10128" s="226"/>
      <c r="Q10128" s="226"/>
      <c r="R10128" s="226"/>
      <c r="S10128" s="226"/>
      <c r="T10128" s="226"/>
      <c r="U10128" s="226"/>
    </row>
    <row r="10129" spans="16:21" x14ac:dyDescent="0.35">
      <c r="P10129" s="226"/>
      <c r="Q10129" s="226"/>
      <c r="R10129" s="226"/>
      <c r="S10129" s="226"/>
      <c r="T10129" s="226"/>
      <c r="U10129" s="226"/>
    </row>
    <row r="10130" spans="16:21" x14ac:dyDescent="0.35">
      <c r="P10130" s="226"/>
      <c r="Q10130" s="226"/>
      <c r="R10130" s="226"/>
      <c r="S10130" s="226"/>
      <c r="T10130" s="226"/>
      <c r="U10130" s="226"/>
    </row>
    <row r="10131" spans="16:21" x14ac:dyDescent="0.35">
      <c r="P10131" s="226"/>
      <c r="Q10131" s="226"/>
      <c r="R10131" s="226"/>
      <c r="S10131" s="226"/>
      <c r="T10131" s="226"/>
      <c r="U10131" s="226"/>
    </row>
    <row r="10132" spans="16:21" x14ac:dyDescent="0.35">
      <c r="P10132" s="226"/>
      <c r="Q10132" s="226"/>
      <c r="R10132" s="226"/>
      <c r="S10132" s="226"/>
      <c r="T10132" s="226"/>
      <c r="U10132" s="226"/>
    </row>
    <row r="10133" spans="16:21" x14ac:dyDescent="0.35">
      <c r="P10133" s="226"/>
      <c r="Q10133" s="226"/>
      <c r="R10133" s="226"/>
      <c r="S10133" s="226"/>
      <c r="T10133" s="226"/>
      <c r="U10133" s="226"/>
    </row>
    <row r="10134" spans="16:21" x14ac:dyDescent="0.35">
      <c r="P10134" s="226"/>
      <c r="Q10134" s="226"/>
      <c r="R10134" s="226"/>
      <c r="S10134" s="226"/>
      <c r="T10134" s="226"/>
      <c r="U10134" s="226"/>
    </row>
    <row r="10135" spans="16:21" x14ac:dyDescent="0.35">
      <c r="P10135" s="226"/>
      <c r="Q10135" s="226"/>
      <c r="R10135" s="226"/>
      <c r="S10135" s="226"/>
      <c r="T10135" s="226"/>
      <c r="U10135" s="226"/>
    </row>
    <row r="10136" spans="16:21" x14ac:dyDescent="0.35">
      <c r="P10136" s="226"/>
      <c r="Q10136" s="226"/>
      <c r="R10136" s="226"/>
      <c r="S10136" s="226"/>
      <c r="T10136" s="226"/>
      <c r="U10136" s="226"/>
    </row>
    <row r="10137" spans="16:21" x14ac:dyDescent="0.35">
      <c r="P10137" s="226"/>
      <c r="Q10137" s="226"/>
      <c r="R10137" s="226"/>
      <c r="S10137" s="226"/>
      <c r="T10137" s="226"/>
      <c r="U10137" s="226"/>
    </row>
    <row r="10138" spans="16:21" x14ac:dyDescent="0.35">
      <c r="P10138" s="226"/>
      <c r="Q10138" s="226"/>
      <c r="R10138" s="226"/>
      <c r="S10138" s="226"/>
      <c r="T10138" s="226"/>
      <c r="U10138" s="226"/>
    </row>
    <row r="10139" spans="16:21" x14ac:dyDescent="0.35">
      <c r="P10139" s="226"/>
      <c r="Q10139" s="226"/>
      <c r="R10139" s="226"/>
      <c r="S10139" s="226"/>
      <c r="T10139" s="226"/>
      <c r="U10139" s="226"/>
    </row>
    <row r="10140" spans="16:21" x14ac:dyDescent="0.35">
      <c r="P10140" s="226"/>
      <c r="Q10140" s="226"/>
      <c r="R10140" s="226"/>
      <c r="S10140" s="226"/>
      <c r="T10140" s="226"/>
      <c r="U10140" s="226"/>
    </row>
    <row r="10141" spans="16:21" x14ac:dyDescent="0.35">
      <c r="P10141" s="226"/>
      <c r="Q10141" s="226"/>
      <c r="R10141" s="226"/>
      <c r="S10141" s="226"/>
      <c r="T10141" s="226"/>
      <c r="U10141" s="226"/>
    </row>
    <row r="10142" spans="16:21" x14ac:dyDescent="0.35">
      <c r="P10142" s="226"/>
      <c r="Q10142" s="226"/>
      <c r="R10142" s="226"/>
      <c r="S10142" s="226"/>
      <c r="T10142" s="226"/>
      <c r="U10142" s="226"/>
    </row>
    <row r="10143" spans="16:21" x14ac:dyDescent="0.35">
      <c r="P10143" s="226"/>
      <c r="Q10143" s="226"/>
      <c r="R10143" s="226"/>
      <c r="S10143" s="226"/>
      <c r="T10143" s="226"/>
      <c r="U10143" s="226"/>
    </row>
    <row r="10144" spans="16:21" x14ac:dyDescent="0.35">
      <c r="P10144" s="226"/>
      <c r="Q10144" s="226"/>
      <c r="R10144" s="226"/>
      <c r="S10144" s="226"/>
      <c r="T10144" s="226"/>
      <c r="U10144" s="226"/>
    </row>
    <row r="10145" spans="16:21" x14ac:dyDescent="0.35">
      <c r="P10145" s="226"/>
      <c r="Q10145" s="226"/>
      <c r="R10145" s="226"/>
      <c r="S10145" s="226"/>
      <c r="T10145" s="226"/>
      <c r="U10145" s="226"/>
    </row>
    <row r="10146" spans="16:21" x14ac:dyDescent="0.35">
      <c r="P10146" s="226"/>
      <c r="Q10146" s="226"/>
      <c r="R10146" s="226"/>
      <c r="S10146" s="226"/>
      <c r="T10146" s="226"/>
      <c r="U10146" s="226"/>
    </row>
    <row r="10147" spans="16:21" x14ac:dyDescent="0.35">
      <c r="P10147" s="226"/>
      <c r="Q10147" s="226"/>
      <c r="R10147" s="226"/>
      <c r="S10147" s="226"/>
      <c r="T10147" s="226"/>
      <c r="U10147" s="226"/>
    </row>
    <row r="10148" spans="16:21" x14ac:dyDescent="0.35">
      <c r="P10148" s="226"/>
      <c r="Q10148" s="226"/>
      <c r="R10148" s="226"/>
      <c r="S10148" s="226"/>
      <c r="T10148" s="226"/>
      <c r="U10148" s="226"/>
    </row>
    <row r="10149" spans="16:21" x14ac:dyDescent="0.35">
      <c r="P10149" s="226"/>
      <c r="Q10149" s="226"/>
      <c r="R10149" s="226"/>
      <c r="S10149" s="226"/>
      <c r="T10149" s="226"/>
      <c r="U10149" s="226"/>
    </row>
    <row r="10150" spans="16:21" x14ac:dyDescent="0.35">
      <c r="P10150" s="226"/>
      <c r="Q10150" s="226"/>
      <c r="R10150" s="226"/>
      <c r="S10150" s="226"/>
      <c r="T10150" s="226"/>
      <c r="U10150" s="226"/>
    </row>
    <row r="10151" spans="16:21" x14ac:dyDescent="0.35">
      <c r="P10151" s="226"/>
      <c r="Q10151" s="226"/>
      <c r="R10151" s="226"/>
      <c r="S10151" s="226"/>
      <c r="T10151" s="226"/>
      <c r="U10151" s="226"/>
    </row>
    <row r="10152" spans="16:21" x14ac:dyDescent="0.35">
      <c r="P10152" s="226"/>
      <c r="Q10152" s="226"/>
      <c r="R10152" s="226"/>
      <c r="S10152" s="226"/>
      <c r="T10152" s="226"/>
      <c r="U10152" s="226"/>
    </row>
    <row r="10153" spans="16:21" x14ac:dyDescent="0.35">
      <c r="P10153" s="226"/>
      <c r="Q10153" s="226"/>
      <c r="R10153" s="226"/>
      <c r="S10153" s="226"/>
      <c r="T10153" s="226"/>
      <c r="U10153" s="226"/>
    </row>
    <row r="10154" spans="16:21" x14ac:dyDescent="0.35">
      <c r="P10154" s="226"/>
      <c r="Q10154" s="226"/>
      <c r="R10154" s="226"/>
      <c r="S10154" s="226"/>
      <c r="T10154" s="226"/>
      <c r="U10154" s="226"/>
    </row>
    <row r="10155" spans="16:21" x14ac:dyDescent="0.35">
      <c r="P10155" s="226"/>
      <c r="Q10155" s="226"/>
      <c r="R10155" s="226"/>
      <c r="S10155" s="226"/>
      <c r="T10155" s="226"/>
      <c r="U10155" s="226"/>
    </row>
    <row r="10156" spans="16:21" x14ac:dyDescent="0.35">
      <c r="P10156" s="226"/>
      <c r="Q10156" s="226"/>
      <c r="R10156" s="226"/>
      <c r="S10156" s="226"/>
      <c r="T10156" s="226"/>
      <c r="U10156" s="226"/>
    </row>
    <row r="10157" spans="16:21" x14ac:dyDescent="0.35">
      <c r="P10157" s="226"/>
      <c r="Q10157" s="226"/>
      <c r="R10157" s="226"/>
      <c r="S10157" s="226"/>
      <c r="T10157" s="226"/>
      <c r="U10157" s="226"/>
    </row>
    <row r="10158" spans="16:21" x14ac:dyDescent="0.35">
      <c r="P10158" s="226"/>
      <c r="Q10158" s="226"/>
      <c r="R10158" s="226"/>
      <c r="S10158" s="226"/>
      <c r="T10158" s="226"/>
      <c r="U10158" s="226"/>
    </row>
    <row r="10159" spans="16:21" x14ac:dyDescent="0.35">
      <c r="P10159" s="226"/>
      <c r="Q10159" s="226"/>
      <c r="R10159" s="226"/>
      <c r="S10159" s="226"/>
      <c r="T10159" s="226"/>
      <c r="U10159" s="226"/>
    </row>
    <row r="10160" spans="16:21" x14ac:dyDescent="0.35">
      <c r="P10160" s="226"/>
      <c r="Q10160" s="226"/>
      <c r="R10160" s="226"/>
      <c r="S10160" s="226"/>
      <c r="T10160" s="226"/>
      <c r="U10160" s="226"/>
    </row>
    <row r="10161" spans="16:21" x14ac:dyDescent="0.35">
      <c r="P10161" s="226"/>
      <c r="Q10161" s="226"/>
      <c r="R10161" s="226"/>
      <c r="S10161" s="226"/>
      <c r="T10161" s="226"/>
      <c r="U10161" s="226"/>
    </row>
    <row r="10162" spans="16:21" x14ac:dyDescent="0.35">
      <c r="P10162" s="226"/>
      <c r="Q10162" s="226"/>
      <c r="R10162" s="226"/>
      <c r="S10162" s="226"/>
      <c r="T10162" s="226"/>
      <c r="U10162" s="226"/>
    </row>
    <row r="10163" spans="16:21" x14ac:dyDescent="0.35">
      <c r="P10163" s="226"/>
      <c r="Q10163" s="226"/>
      <c r="R10163" s="226"/>
      <c r="S10163" s="226"/>
      <c r="T10163" s="226"/>
      <c r="U10163" s="226"/>
    </row>
    <row r="10164" spans="16:21" x14ac:dyDescent="0.35">
      <c r="P10164" s="226"/>
      <c r="Q10164" s="226"/>
      <c r="R10164" s="226"/>
      <c r="S10164" s="226"/>
      <c r="T10164" s="226"/>
      <c r="U10164" s="226"/>
    </row>
    <row r="10165" spans="16:21" x14ac:dyDescent="0.35">
      <c r="P10165" s="226"/>
      <c r="Q10165" s="226"/>
      <c r="R10165" s="226"/>
      <c r="S10165" s="226"/>
      <c r="T10165" s="226"/>
      <c r="U10165" s="226"/>
    </row>
    <row r="10166" spans="16:21" x14ac:dyDescent="0.35">
      <c r="P10166" s="226"/>
      <c r="Q10166" s="226"/>
      <c r="R10166" s="226"/>
      <c r="S10166" s="226"/>
      <c r="T10166" s="226"/>
      <c r="U10166" s="226"/>
    </row>
    <row r="10167" spans="16:21" x14ac:dyDescent="0.35">
      <c r="P10167" s="226"/>
      <c r="Q10167" s="226"/>
      <c r="R10167" s="226"/>
      <c r="S10167" s="226"/>
      <c r="T10167" s="226"/>
      <c r="U10167" s="226"/>
    </row>
    <row r="10168" spans="16:21" x14ac:dyDescent="0.35">
      <c r="P10168" s="226"/>
      <c r="Q10168" s="226"/>
      <c r="R10168" s="226"/>
      <c r="S10168" s="226"/>
      <c r="T10168" s="226"/>
      <c r="U10168" s="226"/>
    </row>
    <row r="10169" spans="16:21" x14ac:dyDescent="0.35">
      <c r="P10169" s="226"/>
      <c r="Q10169" s="226"/>
      <c r="R10169" s="226"/>
      <c r="S10169" s="226"/>
      <c r="T10169" s="226"/>
      <c r="U10169" s="226"/>
    </row>
    <row r="10170" spans="16:21" x14ac:dyDescent="0.35">
      <c r="P10170" s="226"/>
      <c r="Q10170" s="226"/>
      <c r="R10170" s="226"/>
      <c r="S10170" s="226"/>
      <c r="T10170" s="226"/>
      <c r="U10170" s="226"/>
    </row>
    <row r="10171" spans="16:21" x14ac:dyDescent="0.35">
      <c r="P10171" s="226"/>
      <c r="Q10171" s="226"/>
      <c r="R10171" s="226"/>
      <c r="S10171" s="226"/>
      <c r="T10171" s="226"/>
      <c r="U10171" s="226"/>
    </row>
    <row r="10172" spans="16:21" x14ac:dyDescent="0.35">
      <c r="P10172" s="226"/>
      <c r="Q10172" s="226"/>
      <c r="R10172" s="226"/>
      <c r="S10172" s="226"/>
      <c r="T10172" s="226"/>
      <c r="U10172" s="226"/>
    </row>
    <row r="10173" spans="16:21" x14ac:dyDescent="0.35">
      <c r="P10173" s="226"/>
      <c r="Q10173" s="226"/>
      <c r="R10173" s="226"/>
      <c r="S10173" s="226"/>
      <c r="T10173" s="226"/>
      <c r="U10173" s="226"/>
    </row>
    <row r="10174" spans="16:21" x14ac:dyDescent="0.35">
      <c r="P10174" s="226"/>
      <c r="Q10174" s="226"/>
      <c r="R10174" s="226"/>
      <c r="S10174" s="226"/>
      <c r="T10174" s="226"/>
      <c r="U10174" s="226"/>
    </row>
    <row r="10175" spans="16:21" x14ac:dyDescent="0.35">
      <c r="P10175" s="226"/>
      <c r="Q10175" s="226"/>
      <c r="R10175" s="226"/>
      <c r="S10175" s="226"/>
      <c r="T10175" s="226"/>
      <c r="U10175" s="226"/>
    </row>
    <row r="10176" spans="16:21" x14ac:dyDescent="0.35">
      <c r="P10176" s="226"/>
      <c r="Q10176" s="226"/>
      <c r="R10176" s="226"/>
      <c r="S10176" s="226"/>
      <c r="T10176" s="226"/>
      <c r="U10176" s="226"/>
    </row>
    <row r="10177" spans="16:21" x14ac:dyDescent="0.35">
      <c r="P10177" s="226"/>
      <c r="Q10177" s="226"/>
      <c r="R10177" s="226"/>
      <c r="S10177" s="226"/>
      <c r="T10177" s="226"/>
      <c r="U10177" s="226"/>
    </row>
    <row r="10178" spans="16:21" x14ac:dyDescent="0.35">
      <c r="P10178" s="226"/>
      <c r="Q10178" s="226"/>
      <c r="R10178" s="226"/>
      <c r="S10178" s="226"/>
      <c r="T10178" s="226"/>
      <c r="U10178" s="226"/>
    </row>
    <row r="10179" spans="16:21" x14ac:dyDescent="0.35">
      <c r="P10179" s="226"/>
      <c r="Q10179" s="226"/>
      <c r="R10179" s="226"/>
      <c r="S10179" s="226"/>
      <c r="T10179" s="226"/>
      <c r="U10179" s="226"/>
    </row>
    <row r="10180" spans="16:21" x14ac:dyDescent="0.35">
      <c r="P10180" s="226"/>
      <c r="Q10180" s="226"/>
      <c r="R10180" s="226"/>
      <c r="S10180" s="226"/>
      <c r="T10180" s="226"/>
      <c r="U10180" s="226"/>
    </row>
    <row r="10181" spans="16:21" x14ac:dyDescent="0.35">
      <c r="P10181" s="226"/>
      <c r="Q10181" s="226"/>
      <c r="R10181" s="226"/>
      <c r="S10181" s="226"/>
      <c r="T10181" s="226"/>
      <c r="U10181" s="226"/>
    </row>
    <row r="10182" spans="16:21" x14ac:dyDescent="0.35">
      <c r="P10182" s="226"/>
      <c r="Q10182" s="226"/>
      <c r="R10182" s="226"/>
      <c r="S10182" s="226"/>
      <c r="T10182" s="226"/>
      <c r="U10182" s="226"/>
    </row>
    <row r="10183" spans="16:21" x14ac:dyDescent="0.35">
      <c r="P10183" s="226"/>
      <c r="Q10183" s="226"/>
      <c r="R10183" s="226"/>
      <c r="S10183" s="226"/>
      <c r="T10183" s="226"/>
      <c r="U10183" s="226"/>
    </row>
    <row r="10184" spans="16:21" x14ac:dyDescent="0.35">
      <c r="P10184" s="226"/>
      <c r="Q10184" s="226"/>
      <c r="R10184" s="226"/>
      <c r="S10184" s="226"/>
      <c r="T10184" s="226"/>
      <c r="U10184" s="226"/>
    </row>
    <row r="10185" spans="16:21" x14ac:dyDescent="0.35">
      <c r="P10185" s="226"/>
      <c r="Q10185" s="226"/>
      <c r="R10185" s="226"/>
      <c r="S10185" s="226"/>
      <c r="T10185" s="226"/>
      <c r="U10185" s="226"/>
    </row>
    <row r="10186" spans="16:21" x14ac:dyDescent="0.35">
      <c r="P10186" s="226"/>
      <c r="Q10186" s="226"/>
      <c r="R10186" s="226"/>
      <c r="S10186" s="226"/>
      <c r="T10186" s="226"/>
      <c r="U10186" s="226"/>
    </row>
    <row r="10187" spans="16:21" x14ac:dyDescent="0.35">
      <c r="P10187" s="226"/>
      <c r="Q10187" s="226"/>
      <c r="R10187" s="226"/>
      <c r="S10187" s="226"/>
      <c r="T10187" s="226"/>
      <c r="U10187" s="226"/>
    </row>
    <row r="10188" spans="16:21" x14ac:dyDescent="0.35">
      <c r="P10188" s="226"/>
      <c r="Q10188" s="226"/>
      <c r="R10188" s="226"/>
      <c r="S10188" s="226"/>
      <c r="T10188" s="226"/>
      <c r="U10188" s="226"/>
    </row>
    <row r="10189" spans="16:21" x14ac:dyDescent="0.35">
      <c r="P10189" s="226"/>
      <c r="Q10189" s="226"/>
      <c r="R10189" s="226"/>
      <c r="S10189" s="226"/>
      <c r="T10189" s="226"/>
      <c r="U10189" s="226"/>
    </row>
    <row r="10190" spans="16:21" x14ac:dyDescent="0.35">
      <c r="P10190" s="226"/>
      <c r="Q10190" s="226"/>
      <c r="R10190" s="226"/>
      <c r="S10190" s="226"/>
      <c r="T10190" s="226"/>
      <c r="U10190" s="226"/>
    </row>
    <row r="10191" spans="16:21" x14ac:dyDescent="0.35">
      <c r="P10191" s="226"/>
      <c r="Q10191" s="226"/>
      <c r="R10191" s="226"/>
      <c r="S10191" s="226"/>
      <c r="T10191" s="226"/>
      <c r="U10191" s="226"/>
    </row>
    <row r="10192" spans="16:21" x14ac:dyDescent="0.35">
      <c r="P10192" s="226"/>
      <c r="Q10192" s="226"/>
      <c r="R10192" s="226"/>
      <c r="S10192" s="226"/>
      <c r="T10192" s="226"/>
      <c r="U10192" s="226"/>
    </row>
    <row r="10193" spans="16:21" x14ac:dyDescent="0.35">
      <c r="P10193" s="226"/>
      <c r="Q10193" s="226"/>
      <c r="R10193" s="226"/>
      <c r="S10193" s="226"/>
      <c r="T10193" s="226"/>
      <c r="U10193" s="226"/>
    </row>
    <row r="10194" spans="16:21" x14ac:dyDescent="0.35">
      <c r="P10194" s="226"/>
      <c r="Q10194" s="226"/>
      <c r="R10194" s="226"/>
      <c r="S10194" s="226"/>
      <c r="T10194" s="226"/>
      <c r="U10194" s="226"/>
    </row>
    <row r="10195" spans="16:21" x14ac:dyDescent="0.35">
      <c r="P10195" s="226"/>
      <c r="Q10195" s="226"/>
      <c r="R10195" s="226"/>
      <c r="S10195" s="226"/>
      <c r="T10195" s="226"/>
      <c r="U10195" s="226"/>
    </row>
    <row r="10196" spans="16:21" x14ac:dyDescent="0.35">
      <c r="P10196" s="226"/>
      <c r="Q10196" s="226"/>
      <c r="R10196" s="226"/>
      <c r="S10196" s="226"/>
      <c r="T10196" s="226"/>
      <c r="U10196" s="226"/>
    </row>
    <row r="10197" spans="16:21" x14ac:dyDescent="0.35">
      <c r="P10197" s="226"/>
      <c r="Q10197" s="226"/>
      <c r="R10197" s="226"/>
      <c r="S10197" s="226"/>
      <c r="T10197" s="226"/>
      <c r="U10197" s="226"/>
    </row>
    <row r="10198" spans="16:21" x14ac:dyDescent="0.35">
      <c r="P10198" s="226"/>
      <c r="Q10198" s="226"/>
      <c r="R10198" s="226"/>
      <c r="S10198" s="226"/>
      <c r="T10198" s="226"/>
      <c r="U10198" s="226"/>
    </row>
    <row r="10199" spans="16:21" x14ac:dyDescent="0.35">
      <c r="P10199" s="226"/>
      <c r="Q10199" s="226"/>
      <c r="R10199" s="226"/>
      <c r="S10199" s="226"/>
      <c r="T10199" s="226"/>
      <c r="U10199" s="226"/>
    </row>
    <row r="10200" spans="16:21" x14ac:dyDescent="0.35">
      <c r="P10200" s="226"/>
      <c r="Q10200" s="226"/>
      <c r="R10200" s="226"/>
      <c r="S10200" s="226"/>
      <c r="T10200" s="226"/>
      <c r="U10200" s="226"/>
    </row>
    <row r="10201" spans="16:21" x14ac:dyDescent="0.35">
      <c r="P10201" s="226"/>
      <c r="Q10201" s="226"/>
      <c r="R10201" s="226"/>
      <c r="S10201" s="226"/>
      <c r="T10201" s="226"/>
      <c r="U10201" s="226"/>
    </row>
    <row r="10202" spans="16:21" x14ac:dyDescent="0.35">
      <c r="P10202" s="226"/>
      <c r="Q10202" s="226"/>
      <c r="R10202" s="226"/>
      <c r="S10202" s="226"/>
      <c r="T10202" s="226"/>
      <c r="U10202" s="226"/>
    </row>
    <row r="10203" spans="16:21" x14ac:dyDescent="0.35">
      <c r="P10203" s="226"/>
      <c r="Q10203" s="226"/>
      <c r="R10203" s="226"/>
      <c r="S10203" s="226"/>
      <c r="T10203" s="226"/>
      <c r="U10203" s="226"/>
    </row>
    <row r="10204" spans="16:21" x14ac:dyDescent="0.35">
      <c r="P10204" s="226"/>
      <c r="Q10204" s="226"/>
      <c r="R10204" s="226"/>
      <c r="S10204" s="226"/>
      <c r="T10204" s="226"/>
      <c r="U10204" s="226"/>
    </row>
    <row r="10205" spans="16:21" x14ac:dyDescent="0.35">
      <c r="P10205" s="226"/>
      <c r="Q10205" s="226"/>
      <c r="R10205" s="226"/>
      <c r="S10205" s="226"/>
      <c r="T10205" s="226"/>
      <c r="U10205" s="226"/>
    </row>
    <row r="10206" spans="16:21" x14ac:dyDescent="0.35">
      <c r="P10206" s="226"/>
      <c r="Q10206" s="226"/>
      <c r="R10206" s="226"/>
      <c r="S10206" s="226"/>
      <c r="T10206" s="226"/>
      <c r="U10206" s="226"/>
    </row>
    <row r="10207" spans="16:21" x14ac:dyDescent="0.35">
      <c r="P10207" s="226"/>
      <c r="Q10207" s="226"/>
      <c r="R10207" s="226"/>
      <c r="S10207" s="226"/>
      <c r="T10207" s="226"/>
      <c r="U10207" s="226"/>
    </row>
    <row r="10208" spans="16:21" x14ac:dyDescent="0.35">
      <c r="P10208" s="226"/>
      <c r="Q10208" s="226"/>
      <c r="R10208" s="226"/>
      <c r="S10208" s="226"/>
      <c r="T10208" s="226"/>
      <c r="U10208" s="226"/>
    </row>
    <row r="10209" spans="16:21" x14ac:dyDescent="0.35">
      <c r="P10209" s="226"/>
      <c r="Q10209" s="226"/>
      <c r="R10209" s="226"/>
      <c r="S10209" s="226"/>
      <c r="T10209" s="226"/>
      <c r="U10209" s="226"/>
    </row>
    <row r="10210" spans="16:21" x14ac:dyDescent="0.35">
      <c r="P10210" s="226"/>
      <c r="Q10210" s="226"/>
      <c r="R10210" s="226"/>
      <c r="S10210" s="226"/>
      <c r="T10210" s="226"/>
      <c r="U10210" s="226"/>
    </row>
    <row r="10211" spans="16:21" x14ac:dyDescent="0.35">
      <c r="P10211" s="226"/>
      <c r="Q10211" s="226"/>
      <c r="R10211" s="226"/>
      <c r="S10211" s="226"/>
      <c r="T10211" s="226"/>
      <c r="U10211" s="226"/>
    </row>
    <row r="10212" spans="16:21" x14ac:dyDescent="0.35">
      <c r="P10212" s="226"/>
      <c r="Q10212" s="226"/>
      <c r="R10212" s="226"/>
      <c r="S10212" s="226"/>
      <c r="T10212" s="226"/>
      <c r="U10212" s="226"/>
    </row>
    <row r="10213" spans="16:21" x14ac:dyDescent="0.35">
      <c r="P10213" s="226"/>
      <c r="Q10213" s="226"/>
      <c r="R10213" s="226"/>
      <c r="S10213" s="226"/>
      <c r="T10213" s="226"/>
      <c r="U10213" s="226"/>
    </row>
    <row r="10214" spans="16:21" x14ac:dyDescent="0.35">
      <c r="P10214" s="226"/>
      <c r="Q10214" s="226"/>
      <c r="R10214" s="226"/>
      <c r="S10214" s="226"/>
      <c r="T10214" s="226"/>
      <c r="U10214" s="226"/>
    </row>
    <row r="10215" spans="16:21" x14ac:dyDescent="0.35">
      <c r="P10215" s="226"/>
      <c r="Q10215" s="226"/>
      <c r="R10215" s="226"/>
      <c r="S10215" s="226"/>
      <c r="T10215" s="226"/>
      <c r="U10215" s="226"/>
    </row>
    <row r="10216" spans="16:21" x14ac:dyDescent="0.35">
      <c r="P10216" s="226"/>
      <c r="Q10216" s="226"/>
      <c r="R10216" s="226"/>
      <c r="S10216" s="226"/>
      <c r="T10216" s="226"/>
      <c r="U10216" s="226"/>
    </row>
    <row r="10217" spans="16:21" x14ac:dyDescent="0.35">
      <c r="P10217" s="226"/>
      <c r="Q10217" s="226"/>
      <c r="R10217" s="226"/>
      <c r="S10217" s="226"/>
      <c r="T10217" s="226"/>
      <c r="U10217" s="226"/>
    </row>
    <row r="10218" spans="16:21" x14ac:dyDescent="0.35">
      <c r="P10218" s="226"/>
      <c r="Q10218" s="226"/>
      <c r="R10218" s="226"/>
      <c r="S10218" s="226"/>
      <c r="T10218" s="226"/>
      <c r="U10218" s="226"/>
    </row>
    <row r="10219" spans="16:21" x14ac:dyDescent="0.35">
      <c r="P10219" s="226"/>
      <c r="Q10219" s="226"/>
      <c r="R10219" s="226"/>
      <c r="S10219" s="226"/>
      <c r="T10219" s="226"/>
      <c r="U10219" s="226"/>
    </row>
    <row r="10220" spans="16:21" x14ac:dyDescent="0.35">
      <c r="P10220" s="226"/>
      <c r="Q10220" s="226"/>
      <c r="R10220" s="226"/>
      <c r="S10220" s="226"/>
      <c r="T10220" s="226"/>
      <c r="U10220" s="226"/>
    </row>
    <row r="10221" spans="16:21" x14ac:dyDescent="0.35">
      <c r="P10221" s="226"/>
      <c r="Q10221" s="226"/>
      <c r="R10221" s="226"/>
      <c r="S10221" s="226"/>
      <c r="T10221" s="226"/>
      <c r="U10221" s="226"/>
    </row>
    <row r="10222" spans="16:21" x14ac:dyDescent="0.35">
      <c r="P10222" s="226"/>
      <c r="Q10222" s="226"/>
      <c r="R10222" s="226"/>
      <c r="S10222" s="226"/>
      <c r="T10222" s="226"/>
      <c r="U10222" s="226"/>
    </row>
    <row r="10223" spans="16:21" x14ac:dyDescent="0.35">
      <c r="P10223" s="226"/>
      <c r="Q10223" s="226"/>
      <c r="R10223" s="226"/>
      <c r="S10223" s="226"/>
      <c r="T10223" s="226"/>
      <c r="U10223" s="226"/>
    </row>
    <row r="10224" spans="16:21" x14ac:dyDescent="0.35">
      <c r="P10224" s="226"/>
      <c r="Q10224" s="226"/>
      <c r="R10224" s="226"/>
      <c r="S10224" s="226"/>
      <c r="T10224" s="226"/>
      <c r="U10224" s="226"/>
    </row>
    <row r="10225" spans="16:21" x14ac:dyDescent="0.35">
      <c r="P10225" s="226"/>
      <c r="Q10225" s="226"/>
      <c r="R10225" s="226"/>
      <c r="S10225" s="226"/>
      <c r="T10225" s="226"/>
      <c r="U10225" s="226"/>
    </row>
    <row r="10226" spans="16:21" x14ac:dyDescent="0.35">
      <c r="P10226" s="226"/>
      <c r="Q10226" s="226"/>
      <c r="R10226" s="226"/>
      <c r="S10226" s="226"/>
      <c r="T10226" s="226"/>
      <c r="U10226" s="226"/>
    </row>
    <row r="10227" spans="16:21" x14ac:dyDescent="0.35">
      <c r="P10227" s="226"/>
      <c r="Q10227" s="226"/>
      <c r="R10227" s="226"/>
      <c r="S10227" s="226"/>
      <c r="T10227" s="226"/>
      <c r="U10227" s="226"/>
    </row>
    <row r="10228" spans="16:21" x14ac:dyDescent="0.35">
      <c r="P10228" s="226"/>
      <c r="Q10228" s="226"/>
      <c r="R10228" s="226"/>
      <c r="S10228" s="226"/>
      <c r="T10228" s="226"/>
      <c r="U10228" s="226"/>
    </row>
    <row r="10229" spans="16:21" x14ac:dyDescent="0.35">
      <c r="P10229" s="226"/>
      <c r="Q10229" s="226"/>
      <c r="R10229" s="226"/>
      <c r="S10229" s="226"/>
      <c r="T10229" s="226"/>
      <c r="U10229" s="226"/>
    </row>
    <row r="10230" spans="16:21" x14ac:dyDescent="0.35">
      <c r="P10230" s="226"/>
      <c r="Q10230" s="226"/>
      <c r="R10230" s="226"/>
      <c r="S10230" s="226"/>
      <c r="T10230" s="226"/>
      <c r="U10230" s="226"/>
    </row>
    <row r="10231" spans="16:21" x14ac:dyDescent="0.35">
      <c r="P10231" s="226"/>
      <c r="Q10231" s="226"/>
      <c r="R10231" s="226"/>
      <c r="S10231" s="226"/>
      <c r="T10231" s="226"/>
      <c r="U10231" s="226"/>
    </row>
    <row r="10232" spans="16:21" x14ac:dyDescent="0.35">
      <c r="P10232" s="226"/>
      <c r="Q10232" s="226"/>
      <c r="R10232" s="226"/>
      <c r="S10232" s="226"/>
      <c r="T10232" s="226"/>
      <c r="U10232" s="226"/>
    </row>
    <row r="10233" spans="16:21" x14ac:dyDescent="0.35">
      <c r="P10233" s="226"/>
      <c r="Q10233" s="226"/>
      <c r="R10233" s="226"/>
      <c r="S10233" s="226"/>
      <c r="T10233" s="226"/>
      <c r="U10233" s="226"/>
    </row>
    <row r="10234" spans="16:21" x14ac:dyDescent="0.35">
      <c r="P10234" s="226"/>
      <c r="Q10234" s="226"/>
      <c r="R10234" s="226"/>
      <c r="S10234" s="226"/>
      <c r="T10234" s="226"/>
      <c r="U10234" s="226"/>
    </row>
    <row r="10235" spans="16:21" x14ac:dyDescent="0.35">
      <c r="P10235" s="226"/>
      <c r="Q10235" s="226"/>
      <c r="R10235" s="226"/>
      <c r="S10235" s="226"/>
      <c r="T10235" s="226"/>
      <c r="U10235" s="226"/>
    </row>
    <row r="10236" spans="16:21" x14ac:dyDescent="0.35">
      <c r="P10236" s="226"/>
      <c r="Q10236" s="226"/>
      <c r="R10236" s="226"/>
      <c r="S10236" s="226"/>
      <c r="T10236" s="226"/>
      <c r="U10236" s="226"/>
    </row>
    <row r="10237" spans="16:21" x14ac:dyDescent="0.35">
      <c r="P10237" s="226"/>
      <c r="Q10237" s="226"/>
      <c r="R10237" s="226"/>
      <c r="S10237" s="226"/>
      <c r="T10237" s="226"/>
      <c r="U10237" s="226"/>
    </row>
    <row r="10238" spans="16:21" x14ac:dyDescent="0.35">
      <c r="P10238" s="226"/>
      <c r="Q10238" s="226"/>
      <c r="R10238" s="226"/>
      <c r="S10238" s="226"/>
      <c r="T10238" s="226"/>
      <c r="U10238" s="226"/>
    </row>
    <row r="10239" spans="16:21" x14ac:dyDescent="0.35">
      <c r="P10239" s="226"/>
      <c r="Q10239" s="226"/>
      <c r="R10239" s="226"/>
      <c r="S10239" s="226"/>
      <c r="T10239" s="226"/>
      <c r="U10239" s="226"/>
    </row>
    <row r="10240" spans="16:21" x14ac:dyDescent="0.35">
      <c r="P10240" s="226"/>
      <c r="Q10240" s="226"/>
      <c r="R10240" s="226"/>
      <c r="S10240" s="226"/>
      <c r="T10240" s="226"/>
      <c r="U10240" s="226"/>
    </row>
    <row r="10241" spans="16:21" x14ac:dyDescent="0.35">
      <c r="P10241" s="226"/>
      <c r="Q10241" s="226"/>
      <c r="R10241" s="226"/>
      <c r="S10241" s="226"/>
      <c r="T10241" s="226"/>
      <c r="U10241" s="226"/>
    </row>
    <row r="10242" spans="16:21" x14ac:dyDescent="0.35">
      <c r="P10242" s="226"/>
      <c r="Q10242" s="226"/>
      <c r="R10242" s="226"/>
      <c r="S10242" s="226"/>
      <c r="T10242" s="226"/>
      <c r="U10242" s="226"/>
    </row>
    <row r="10243" spans="16:21" x14ac:dyDescent="0.35">
      <c r="P10243" s="226"/>
      <c r="Q10243" s="226"/>
      <c r="R10243" s="226"/>
      <c r="S10243" s="226"/>
      <c r="T10243" s="226"/>
      <c r="U10243" s="226"/>
    </row>
    <row r="10244" spans="16:21" x14ac:dyDescent="0.35">
      <c r="P10244" s="226"/>
      <c r="Q10244" s="226"/>
      <c r="R10244" s="226"/>
      <c r="S10244" s="226"/>
      <c r="T10244" s="226"/>
      <c r="U10244" s="226"/>
    </row>
    <row r="10245" spans="16:21" x14ac:dyDescent="0.35">
      <c r="P10245" s="226"/>
      <c r="Q10245" s="226"/>
      <c r="R10245" s="226"/>
      <c r="S10245" s="226"/>
      <c r="T10245" s="226"/>
      <c r="U10245" s="226"/>
    </row>
    <row r="10246" spans="16:21" x14ac:dyDescent="0.35">
      <c r="P10246" s="226"/>
      <c r="Q10246" s="226"/>
      <c r="R10246" s="226"/>
      <c r="S10246" s="226"/>
      <c r="T10246" s="226"/>
      <c r="U10246" s="226"/>
    </row>
    <row r="10247" spans="16:21" x14ac:dyDescent="0.35">
      <c r="P10247" s="226"/>
      <c r="Q10247" s="226"/>
      <c r="R10247" s="226"/>
      <c r="S10247" s="226"/>
      <c r="T10247" s="226"/>
      <c r="U10247" s="226"/>
    </row>
    <row r="10248" spans="16:21" x14ac:dyDescent="0.35">
      <c r="P10248" s="226"/>
      <c r="Q10248" s="226"/>
      <c r="R10248" s="226"/>
      <c r="S10248" s="226"/>
      <c r="T10248" s="226"/>
      <c r="U10248" s="226"/>
    </row>
    <row r="10249" spans="16:21" x14ac:dyDescent="0.35">
      <c r="P10249" s="226"/>
      <c r="Q10249" s="226"/>
      <c r="R10249" s="226"/>
      <c r="S10249" s="226"/>
      <c r="T10249" s="226"/>
      <c r="U10249" s="226"/>
    </row>
    <row r="10250" spans="16:21" x14ac:dyDescent="0.35">
      <c r="P10250" s="226"/>
      <c r="Q10250" s="226"/>
      <c r="R10250" s="226"/>
      <c r="S10250" s="226"/>
      <c r="T10250" s="226"/>
      <c r="U10250" s="226"/>
    </row>
    <row r="10251" spans="16:21" x14ac:dyDescent="0.35">
      <c r="P10251" s="226"/>
      <c r="Q10251" s="226"/>
      <c r="R10251" s="226"/>
      <c r="S10251" s="226"/>
      <c r="T10251" s="226"/>
      <c r="U10251" s="226"/>
    </row>
    <row r="10252" spans="16:21" x14ac:dyDescent="0.35">
      <c r="P10252" s="226"/>
      <c r="Q10252" s="226"/>
      <c r="R10252" s="226"/>
      <c r="S10252" s="226"/>
      <c r="T10252" s="226"/>
      <c r="U10252" s="226"/>
    </row>
    <row r="10253" spans="16:21" x14ac:dyDescent="0.35">
      <c r="P10253" s="226"/>
      <c r="Q10253" s="226"/>
      <c r="R10253" s="226"/>
      <c r="S10253" s="226"/>
      <c r="T10253" s="226"/>
      <c r="U10253" s="226"/>
    </row>
    <row r="10254" spans="16:21" x14ac:dyDescent="0.35">
      <c r="P10254" s="226"/>
      <c r="Q10254" s="226"/>
      <c r="R10254" s="226"/>
      <c r="S10254" s="226"/>
      <c r="T10254" s="226"/>
      <c r="U10254" s="226"/>
    </row>
    <row r="10255" spans="16:21" x14ac:dyDescent="0.35">
      <c r="P10255" s="226"/>
      <c r="Q10255" s="226"/>
      <c r="R10255" s="226"/>
      <c r="S10255" s="226"/>
      <c r="T10255" s="226"/>
      <c r="U10255" s="226"/>
    </row>
    <row r="10256" spans="16:21" x14ac:dyDescent="0.35">
      <c r="P10256" s="226"/>
      <c r="Q10256" s="226"/>
      <c r="R10256" s="226"/>
      <c r="S10256" s="226"/>
      <c r="T10256" s="226"/>
      <c r="U10256" s="226"/>
    </row>
    <row r="10257" spans="16:21" x14ac:dyDescent="0.35">
      <c r="P10257" s="226"/>
      <c r="Q10257" s="226"/>
      <c r="R10257" s="226"/>
      <c r="S10257" s="226"/>
      <c r="T10257" s="226"/>
      <c r="U10257" s="226"/>
    </row>
    <row r="10258" spans="16:21" x14ac:dyDescent="0.35">
      <c r="P10258" s="226"/>
      <c r="Q10258" s="226"/>
      <c r="R10258" s="226"/>
      <c r="S10258" s="226"/>
      <c r="T10258" s="226"/>
      <c r="U10258" s="226"/>
    </row>
    <row r="10259" spans="16:21" x14ac:dyDescent="0.35">
      <c r="P10259" s="226"/>
      <c r="Q10259" s="226"/>
      <c r="R10259" s="226"/>
      <c r="S10259" s="226"/>
      <c r="T10259" s="226"/>
      <c r="U10259" s="226"/>
    </row>
    <row r="10260" spans="16:21" x14ac:dyDescent="0.35">
      <c r="P10260" s="226"/>
      <c r="Q10260" s="226"/>
      <c r="R10260" s="226"/>
      <c r="S10260" s="226"/>
      <c r="T10260" s="226"/>
      <c r="U10260" s="226"/>
    </row>
    <row r="10261" spans="16:21" x14ac:dyDescent="0.35">
      <c r="P10261" s="226"/>
      <c r="Q10261" s="226"/>
      <c r="R10261" s="226"/>
      <c r="S10261" s="226"/>
      <c r="T10261" s="226"/>
      <c r="U10261" s="226"/>
    </row>
    <row r="10262" spans="16:21" x14ac:dyDescent="0.35">
      <c r="P10262" s="226"/>
      <c r="Q10262" s="226"/>
      <c r="R10262" s="226"/>
      <c r="S10262" s="226"/>
      <c r="T10262" s="226"/>
      <c r="U10262" s="226"/>
    </row>
    <row r="10263" spans="16:21" x14ac:dyDescent="0.35">
      <c r="P10263" s="226"/>
      <c r="Q10263" s="226"/>
      <c r="R10263" s="226"/>
      <c r="S10263" s="226"/>
      <c r="T10263" s="226"/>
      <c r="U10263" s="226"/>
    </row>
    <row r="10264" spans="16:21" x14ac:dyDescent="0.35">
      <c r="P10264" s="226"/>
      <c r="Q10264" s="226"/>
      <c r="R10264" s="226"/>
      <c r="S10264" s="226"/>
      <c r="T10264" s="226"/>
      <c r="U10264" s="226"/>
    </row>
    <row r="10265" spans="16:21" x14ac:dyDescent="0.35">
      <c r="P10265" s="226"/>
      <c r="Q10265" s="226"/>
      <c r="R10265" s="226"/>
      <c r="S10265" s="226"/>
      <c r="T10265" s="226"/>
      <c r="U10265" s="226"/>
    </row>
    <row r="10266" spans="16:21" x14ac:dyDescent="0.35">
      <c r="P10266" s="226"/>
      <c r="Q10266" s="226"/>
      <c r="R10266" s="226"/>
      <c r="S10266" s="226"/>
      <c r="T10266" s="226"/>
      <c r="U10266" s="226"/>
    </row>
    <row r="10267" spans="16:21" x14ac:dyDescent="0.35">
      <c r="P10267" s="226"/>
      <c r="Q10267" s="226"/>
      <c r="R10267" s="226"/>
      <c r="S10267" s="226"/>
      <c r="T10267" s="226"/>
      <c r="U10267" s="226"/>
    </row>
    <row r="10268" spans="16:21" x14ac:dyDescent="0.35">
      <c r="P10268" s="226"/>
      <c r="Q10268" s="226"/>
      <c r="R10268" s="226"/>
      <c r="S10268" s="226"/>
      <c r="T10268" s="226"/>
      <c r="U10268" s="226"/>
    </row>
    <row r="10269" spans="16:21" x14ac:dyDescent="0.35">
      <c r="P10269" s="226"/>
      <c r="Q10269" s="226"/>
      <c r="R10269" s="226"/>
      <c r="S10269" s="226"/>
      <c r="T10269" s="226"/>
      <c r="U10269" s="226"/>
    </row>
    <row r="10270" spans="16:21" x14ac:dyDescent="0.35">
      <c r="P10270" s="226"/>
      <c r="Q10270" s="226"/>
      <c r="R10270" s="226"/>
      <c r="S10270" s="226"/>
      <c r="T10270" s="226"/>
      <c r="U10270" s="226"/>
    </row>
    <row r="10271" spans="16:21" x14ac:dyDescent="0.35">
      <c r="P10271" s="226"/>
      <c r="Q10271" s="226"/>
      <c r="R10271" s="226"/>
      <c r="S10271" s="226"/>
      <c r="T10271" s="226"/>
      <c r="U10271" s="226"/>
    </row>
    <row r="10272" spans="16:21" x14ac:dyDescent="0.35">
      <c r="P10272" s="226"/>
      <c r="Q10272" s="226"/>
      <c r="R10272" s="226"/>
      <c r="S10272" s="226"/>
      <c r="T10272" s="226"/>
      <c r="U10272" s="226"/>
    </row>
    <row r="10273" spans="16:21" x14ac:dyDescent="0.35">
      <c r="P10273" s="226"/>
      <c r="Q10273" s="226"/>
      <c r="R10273" s="226"/>
      <c r="S10273" s="226"/>
      <c r="T10273" s="226"/>
      <c r="U10273" s="226"/>
    </row>
    <row r="10274" spans="16:21" x14ac:dyDescent="0.35">
      <c r="P10274" s="226"/>
      <c r="Q10274" s="226"/>
      <c r="R10274" s="226"/>
      <c r="S10274" s="226"/>
      <c r="T10274" s="226"/>
      <c r="U10274" s="226"/>
    </row>
    <row r="10275" spans="16:21" x14ac:dyDescent="0.35">
      <c r="P10275" s="226"/>
      <c r="Q10275" s="226"/>
      <c r="R10275" s="226"/>
      <c r="S10275" s="226"/>
      <c r="T10275" s="226"/>
      <c r="U10275" s="226"/>
    </row>
    <row r="10276" spans="16:21" x14ac:dyDescent="0.35">
      <c r="P10276" s="226"/>
      <c r="Q10276" s="226"/>
      <c r="R10276" s="226"/>
      <c r="S10276" s="226"/>
      <c r="T10276" s="226"/>
      <c r="U10276" s="226"/>
    </row>
    <row r="10277" spans="16:21" x14ac:dyDescent="0.35">
      <c r="P10277" s="226"/>
      <c r="Q10277" s="226"/>
      <c r="R10277" s="226"/>
      <c r="S10277" s="226"/>
      <c r="T10277" s="226"/>
      <c r="U10277" s="226"/>
    </row>
    <row r="10278" spans="16:21" x14ac:dyDescent="0.35">
      <c r="P10278" s="226"/>
      <c r="Q10278" s="226"/>
      <c r="R10278" s="226"/>
      <c r="S10278" s="226"/>
      <c r="T10278" s="226"/>
      <c r="U10278" s="226"/>
    </row>
    <row r="10279" spans="16:21" x14ac:dyDescent="0.35">
      <c r="P10279" s="226"/>
      <c r="Q10279" s="226"/>
      <c r="R10279" s="226"/>
      <c r="S10279" s="226"/>
      <c r="T10279" s="226"/>
      <c r="U10279" s="226"/>
    </row>
    <row r="10280" spans="16:21" x14ac:dyDescent="0.35">
      <c r="P10280" s="226"/>
      <c r="Q10280" s="226"/>
      <c r="R10280" s="226"/>
      <c r="S10280" s="226"/>
      <c r="T10280" s="226"/>
      <c r="U10280" s="226"/>
    </row>
    <row r="10281" spans="16:21" x14ac:dyDescent="0.35">
      <c r="P10281" s="226"/>
      <c r="Q10281" s="226"/>
      <c r="R10281" s="226"/>
      <c r="S10281" s="226"/>
      <c r="T10281" s="226"/>
      <c r="U10281" s="226"/>
    </row>
    <row r="10282" spans="16:21" x14ac:dyDescent="0.35">
      <c r="P10282" s="226"/>
      <c r="Q10282" s="226"/>
      <c r="R10282" s="226"/>
      <c r="S10282" s="226"/>
      <c r="T10282" s="226"/>
      <c r="U10282" s="226"/>
    </row>
    <row r="10283" spans="16:21" x14ac:dyDescent="0.35">
      <c r="P10283" s="226"/>
      <c r="Q10283" s="226"/>
      <c r="R10283" s="226"/>
      <c r="S10283" s="226"/>
      <c r="T10283" s="226"/>
      <c r="U10283" s="226"/>
    </row>
    <row r="10284" spans="16:21" x14ac:dyDescent="0.35">
      <c r="P10284" s="226"/>
      <c r="Q10284" s="226"/>
      <c r="R10284" s="226"/>
      <c r="S10284" s="226"/>
      <c r="T10284" s="226"/>
      <c r="U10284" s="226"/>
    </row>
    <row r="10285" spans="16:21" x14ac:dyDescent="0.35">
      <c r="P10285" s="226"/>
      <c r="Q10285" s="226"/>
      <c r="R10285" s="226"/>
      <c r="S10285" s="226"/>
      <c r="T10285" s="226"/>
      <c r="U10285" s="226"/>
    </row>
    <row r="10286" spans="16:21" x14ac:dyDescent="0.35">
      <c r="P10286" s="226"/>
      <c r="Q10286" s="226"/>
      <c r="R10286" s="226"/>
      <c r="S10286" s="226"/>
      <c r="T10286" s="226"/>
      <c r="U10286" s="226"/>
    </row>
    <row r="10287" spans="16:21" x14ac:dyDescent="0.35">
      <c r="P10287" s="226"/>
      <c r="Q10287" s="226"/>
      <c r="R10287" s="226"/>
      <c r="S10287" s="226"/>
      <c r="T10287" s="226"/>
      <c r="U10287" s="226"/>
    </row>
    <row r="10288" spans="16:21" x14ac:dyDescent="0.35">
      <c r="P10288" s="226"/>
      <c r="Q10288" s="226"/>
      <c r="R10288" s="226"/>
      <c r="S10288" s="226"/>
      <c r="T10288" s="226"/>
      <c r="U10288" s="226"/>
    </row>
    <row r="10289" spans="16:21" x14ac:dyDescent="0.35">
      <c r="P10289" s="226"/>
      <c r="Q10289" s="226"/>
      <c r="R10289" s="226"/>
      <c r="S10289" s="226"/>
      <c r="T10289" s="226"/>
      <c r="U10289" s="226"/>
    </row>
    <row r="10290" spans="16:21" x14ac:dyDescent="0.35">
      <c r="P10290" s="226"/>
      <c r="Q10290" s="226"/>
      <c r="R10290" s="226"/>
      <c r="S10290" s="226"/>
      <c r="T10290" s="226"/>
      <c r="U10290" s="226"/>
    </row>
    <row r="10291" spans="16:21" x14ac:dyDescent="0.35">
      <c r="P10291" s="226"/>
      <c r="Q10291" s="226"/>
      <c r="R10291" s="226"/>
      <c r="S10291" s="226"/>
      <c r="T10291" s="226"/>
      <c r="U10291" s="226"/>
    </row>
    <row r="10292" spans="16:21" x14ac:dyDescent="0.35">
      <c r="P10292" s="226"/>
      <c r="Q10292" s="226"/>
      <c r="R10292" s="226"/>
      <c r="S10292" s="226"/>
      <c r="T10292" s="226"/>
      <c r="U10292" s="226"/>
    </row>
    <row r="10293" spans="16:21" x14ac:dyDescent="0.35">
      <c r="P10293" s="226"/>
      <c r="Q10293" s="226"/>
      <c r="R10293" s="226"/>
      <c r="S10293" s="226"/>
      <c r="T10293" s="226"/>
      <c r="U10293" s="226"/>
    </row>
    <row r="10294" spans="16:21" x14ac:dyDescent="0.35">
      <c r="P10294" s="226"/>
      <c r="Q10294" s="226"/>
      <c r="R10294" s="226"/>
      <c r="S10294" s="226"/>
      <c r="T10294" s="226"/>
      <c r="U10294" s="226"/>
    </row>
    <row r="10295" spans="16:21" x14ac:dyDescent="0.35">
      <c r="P10295" s="226"/>
      <c r="Q10295" s="226"/>
      <c r="R10295" s="226"/>
      <c r="S10295" s="226"/>
      <c r="T10295" s="226"/>
      <c r="U10295" s="226"/>
    </row>
    <row r="10296" spans="16:21" x14ac:dyDescent="0.35">
      <c r="P10296" s="226"/>
      <c r="Q10296" s="226"/>
      <c r="R10296" s="226"/>
      <c r="S10296" s="226"/>
      <c r="T10296" s="226"/>
      <c r="U10296" s="226"/>
    </row>
    <row r="10297" spans="16:21" x14ac:dyDescent="0.35">
      <c r="P10297" s="226"/>
      <c r="Q10297" s="226"/>
      <c r="R10297" s="226"/>
      <c r="S10297" s="226"/>
      <c r="T10297" s="226"/>
      <c r="U10297" s="226"/>
    </row>
    <row r="10298" spans="16:21" x14ac:dyDescent="0.35">
      <c r="P10298" s="226"/>
      <c r="Q10298" s="226"/>
      <c r="R10298" s="226"/>
      <c r="S10298" s="226"/>
      <c r="T10298" s="226"/>
      <c r="U10298" s="226"/>
    </row>
    <row r="10299" spans="16:21" x14ac:dyDescent="0.35">
      <c r="P10299" s="226"/>
      <c r="Q10299" s="226"/>
      <c r="R10299" s="226"/>
      <c r="S10299" s="226"/>
      <c r="T10299" s="226"/>
      <c r="U10299" s="226"/>
    </row>
    <row r="10300" spans="16:21" x14ac:dyDescent="0.35">
      <c r="P10300" s="226"/>
      <c r="Q10300" s="226"/>
      <c r="R10300" s="226"/>
      <c r="S10300" s="226"/>
      <c r="T10300" s="226"/>
      <c r="U10300" s="226"/>
    </row>
    <row r="10301" spans="16:21" x14ac:dyDescent="0.35">
      <c r="P10301" s="226"/>
      <c r="Q10301" s="226"/>
      <c r="R10301" s="226"/>
      <c r="S10301" s="226"/>
      <c r="T10301" s="226"/>
      <c r="U10301" s="226"/>
    </row>
    <row r="10302" spans="16:21" x14ac:dyDescent="0.35">
      <c r="P10302" s="226"/>
      <c r="Q10302" s="226"/>
      <c r="R10302" s="226"/>
      <c r="S10302" s="226"/>
      <c r="T10302" s="226"/>
      <c r="U10302" s="226"/>
    </row>
    <row r="10303" spans="16:21" x14ac:dyDescent="0.35">
      <c r="P10303" s="226"/>
      <c r="Q10303" s="226"/>
      <c r="R10303" s="226"/>
      <c r="S10303" s="226"/>
      <c r="T10303" s="226"/>
      <c r="U10303" s="226"/>
    </row>
    <row r="10304" spans="16:21" x14ac:dyDescent="0.35">
      <c r="P10304" s="226"/>
      <c r="Q10304" s="226"/>
      <c r="R10304" s="226"/>
      <c r="S10304" s="226"/>
      <c r="T10304" s="226"/>
      <c r="U10304" s="226"/>
    </row>
    <row r="10305" spans="16:21" x14ac:dyDescent="0.35">
      <c r="P10305" s="226"/>
      <c r="Q10305" s="226"/>
      <c r="R10305" s="226"/>
      <c r="S10305" s="226"/>
      <c r="T10305" s="226"/>
      <c r="U10305" s="226"/>
    </row>
    <row r="10306" spans="16:21" x14ac:dyDescent="0.35">
      <c r="P10306" s="226"/>
      <c r="Q10306" s="226"/>
      <c r="R10306" s="226"/>
      <c r="S10306" s="226"/>
      <c r="T10306" s="226"/>
      <c r="U10306" s="226"/>
    </row>
    <row r="10307" spans="16:21" x14ac:dyDescent="0.35">
      <c r="P10307" s="226"/>
      <c r="Q10307" s="226"/>
      <c r="R10307" s="226"/>
      <c r="S10307" s="226"/>
      <c r="T10307" s="226"/>
      <c r="U10307" s="226"/>
    </row>
    <row r="10308" spans="16:21" x14ac:dyDescent="0.35">
      <c r="P10308" s="226"/>
      <c r="Q10308" s="226"/>
      <c r="R10308" s="226"/>
      <c r="S10308" s="226"/>
      <c r="T10308" s="226"/>
      <c r="U10308" s="226"/>
    </row>
    <row r="10309" spans="16:21" x14ac:dyDescent="0.35">
      <c r="P10309" s="226"/>
      <c r="Q10309" s="226"/>
      <c r="R10309" s="226"/>
      <c r="S10309" s="226"/>
      <c r="T10309" s="226"/>
      <c r="U10309" s="226"/>
    </row>
    <row r="10310" spans="16:21" x14ac:dyDescent="0.35">
      <c r="P10310" s="226"/>
      <c r="Q10310" s="226"/>
      <c r="R10310" s="226"/>
      <c r="S10310" s="226"/>
      <c r="T10310" s="226"/>
      <c r="U10310" s="226"/>
    </row>
    <row r="10311" spans="16:21" x14ac:dyDescent="0.35">
      <c r="P10311" s="226"/>
      <c r="Q10311" s="226"/>
      <c r="R10311" s="226"/>
      <c r="S10311" s="226"/>
      <c r="T10311" s="226"/>
      <c r="U10311" s="226"/>
    </row>
    <row r="10312" spans="16:21" x14ac:dyDescent="0.35">
      <c r="P10312" s="226"/>
      <c r="Q10312" s="226"/>
      <c r="R10312" s="226"/>
      <c r="S10312" s="226"/>
      <c r="T10312" s="226"/>
      <c r="U10312" s="226"/>
    </row>
    <row r="10313" spans="16:21" x14ac:dyDescent="0.35">
      <c r="P10313" s="226"/>
      <c r="Q10313" s="226"/>
      <c r="R10313" s="226"/>
      <c r="S10313" s="226"/>
      <c r="T10313" s="226"/>
      <c r="U10313" s="226"/>
    </row>
    <row r="10314" spans="16:21" x14ac:dyDescent="0.35">
      <c r="P10314" s="226"/>
      <c r="Q10314" s="226"/>
      <c r="R10314" s="226"/>
      <c r="S10314" s="226"/>
      <c r="T10314" s="226"/>
      <c r="U10314" s="226"/>
    </row>
    <row r="10315" spans="16:21" x14ac:dyDescent="0.35">
      <c r="P10315" s="226"/>
      <c r="Q10315" s="226"/>
      <c r="R10315" s="226"/>
      <c r="S10315" s="226"/>
      <c r="T10315" s="226"/>
      <c r="U10315" s="226"/>
    </row>
    <row r="10316" spans="16:21" x14ac:dyDescent="0.35">
      <c r="P10316" s="226"/>
      <c r="Q10316" s="226"/>
      <c r="R10316" s="226"/>
      <c r="S10316" s="226"/>
      <c r="T10316" s="226"/>
      <c r="U10316" s="226"/>
    </row>
    <row r="10317" spans="16:21" x14ac:dyDescent="0.35">
      <c r="P10317" s="226"/>
      <c r="Q10317" s="226"/>
      <c r="R10317" s="226"/>
      <c r="S10317" s="226"/>
      <c r="T10317" s="226"/>
      <c r="U10317" s="226"/>
    </row>
    <row r="10318" spans="16:21" x14ac:dyDescent="0.35">
      <c r="P10318" s="226"/>
      <c r="Q10318" s="226"/>
      <c r="R10318" s="226"/>
      <c r="S10318" s="226"/>
      <c r="T10318" s="226"/>
      <c r="U10318" s="226"/>
    </row>
    <row r="10319" spans="16:21" x14ac:dyDescent="0.35">
      <c r="P10319" s="226"/>
      <c r="Q10319" s="226"/>
      <c r="R10319" s="226"/>
      <c r="S10319" s="226"/>
      <c r="T10319" s="226"/>
      <c r="U10319" s="226"/>
    </row>
    <row r="10320" spans="16:21" x14ac:dyDescent="0.35">
      <c r="P10320" s="226"/>
      <c r="Q10320" s="226"/>
      <c r="R10320" s="226"/>
      <c r="S10320" s="226"/>
      <c r="T10320" s="226"/>
      <c r="U10320" s="226"/>
    </row>
    <row r="10321" spans="16:21" x14ac:dyDescent="0.35">
      <c r="P10321" s="226"/>
      <c r="Q10321" s="226"/>
      <c r="R10321" s="226"/>
      <c r="S10321" s="226"/>
      <c r="T10321" s="226"/>
      <c r="U10321" s="226"/>
    </row>
    <row r="10322" spans="16:21" x14ac:dyDescent="0.35">
      <c r="P10322" s="226"/>
      <c r="Q10322" s="226"/>
      <c r="R10322" s="226"/>
      <c r="S10322" s="226"/>
      <c r="T10322" s="226"/>
      <c r="U10322" s="226"/>
    </row>
    <row r="10323" spans="16:21" x14ac:dyDescent="0.35">
      <c r="P10323" s="226"/>
      <c r="Q10323" s="226"/>
      <c r="R10323" s="226"/>
      <c r="S10323" s="226"/>
      <c r="T10323" s="226"/>
      <c r="U10323" s="226"/>
    </row>
    <row r="10324" spans="16:21" x14ac:dyDescent="0.35">
      <c r="P10324" s="226"/>
      <c r="Q10324" s="226"/>
      <c r="R10324" s="226"/>
      <c r="S10324" s="226"/>
      <c r="T10324" s="226"/>
      <c r="U10324" s="226"/>
    </row>
    <row r="10325" spans="16:21" x14ac:dyDescent="0.35">
      <c r="P10325" s="226"/>
      <c r="Q10325" s="226"/>
      <c r="R10325" s="226"/>
      <c r="S10325" s="226"/>
      <c r="T10325" s="226"/>
      <c r="U10325" s="226"/>
    </row>
    <row r="10326" spans="16:21" x14ac:dyDescent="0.35">
      <c r="P10326" s="226"/>
      <c r="Q10326" s="226"/>
      <c r="R10326" s="226"/>
      <c r="S10326" s="226"/>
      <c r="T10326" s="226"/>
      <c r="U10326" s="226"/>
    </row>
    <row r="10327" spans="16:21" x14ac:dyDescent="0.35">
      <c r="P10327" s="226"/>
      <c r="Q10327" s="226"/>
      <c r="R10327" s="226"/>
      <c r="S10327" s="226"/>
      <c r="T10327" s="226"/>
      <c r="U10327" s="226"/>
    </row>
    <row r="10328" spans="16:21" x14ac:dyDescent="0.35">
      <c r="P10328" s="226"/>
      <c r="Q10328" s="226"/>
      <c r="R10328" s="226"/>
      <c r="S10328" s="226"/>
      <c r="T10328" s="226"/>
      <c r="U10328" s="226"/>
    </row>
    <row r="10329" spans="16:21" x14ac:dyDescent="0.35">
      <c r="P10329" s="226"/>
      <c r="Q10329" s="226"/>
      <c r="R10329" s="226"/>
      <c r="S10329" s="226"/>
      <c r="T10329" s="226"/>
      <c r="U10329" s="226"/>
    </row>
    <row r="10330" spans="16:21" x14ac:dyDescent="0.35">
      <c r="P10330" s="226"/>
      <c r="Q10330" s="226"/>
      <c r="R10330" s="226"/>
      <c r="S10330" s="226"/>
      <c r="T10330" s="226"/>
      <c r="U10330" s="226"/>
    </row>
    <row r="10331" spans="16:21" x14ac:dyDescent="0.35">
      <c r="P10331" s="226"/>
      <c r="Q10331" s="226"/>
      <c r="R10331" s="226"/>
      <c r="S10331" s="226"/>
      <c r="T10331" s="226"/>
      <c r="U10331" s="226"/>
    </row>
    <row r="10332" spans="16:21" x14ac:dyDescent="0.35">
      <c r="P10332" s="226"/>
      <c r="Q10332" s="226"/>
      <c r="R10332" s="226"/>
      <c r="S10332" s="226"/>
      <c r="T10332" s="226"/>
      <c r="U10332" s="226"/>
    </row>
    <row r="10333" spans="16:21" x14ac:dyDescent="0.35">
      <c r="P10333" s="226"/>
      <c r="Q10333" s="226"/>
      <c r="R10333" s="226"/>
      <c r="S10333" s="226"/>
      <c r="T10333" s="226"/>
      <c r="U10333" s="226"/>
    </row>
    <row r="10334" spans="16:21" x14ac:dyDescent="0.35">
      <c r="P10334" s="226"/>
      <c r="Q10334" s="226"/>
      <c r="R10334" s="226"/>
      <c r="S10334" s="226"/>
      <c r="T10334" s="226"/>
      <c r="U10334" s="226"/>
    </row>
    <row r="10335" spans="16:21" x14ac:dyDescent="0.35">
      <c r="P10335" s="226"/>
      <c r="Q10335" s="226"/>
      <c r="R10335" s="226"/>
      <c r="S10335" s="226"/>
      <c r="T10335" s="226"/>
      <c r="U10335" s="226"/>
    </row>
    <row r="10336" spans="16:21" x14ac:dyDescent="0.35">
      <c r="P10336" s="226"/>
      <c r="Q10336" s="226"/>
      <c r="R10336" s="226"/>
      <c r="S10336" s="226"/>
      <c r="T10336" s="226"/>
      <c r="U10336" s="226"/>
    </row>
    <row r="10337" spans="16:21" x14ac:dyDescent="0.35">
      <c r="P10337" s="226"/>
      <c r="Q10337" s="226"/>
      <c r="R10337" s="226"/>
      <c r="S10337" s="226"/>
      <c r="T10337" s="226"/>
      <c r="U10337" s="226"/>
    </row>
    <row r="10338" spans="16:21" x14ac:dyDescent="0.35">
      <c r="P10338" s="226"/>
      <c r="Q10338" s="226"/>
      <c r="R10338" s="226"/>
      <c r="S10338" s="226"/>
      <c r="T10338" s="226"/>
      <c r="U10338" s="226"/>
    </row>
    <row r="10339" spans="16:21" x14ac:dyDescent="0.35">
      <c r="P10339" s="226"/>
      <c r="Q10339" s="226"/>
      <c r="R10339" s="226"/>
      <c r="S10339" s="226"/>
      <c r="T10339" s="226"/>
      <c r="U10339" s="226"/>
    </row>
    <row r="10340" spans="16:21" x14ac:dyDescent="0.35">
      <c r="P10340" s="226"/>
      <c r="Q10340" s="226"/>
      <c r="R10340" s="226"/>
      <c r="S10340" s="226"/>
      <c r="T10340" s="226"/>
      <c r="U10340" s="226"/>
    </row>
    <row r="10341" spans="16:21" x14ac:dyDescent="0.35">
      <c r="P10341" s="226"/>
      <c r="Q10341" s="226"/>
      <c r="R10341" s="226"/>
      <c r="S10341" s="226"/>
      <c r="T10341" s="226"/>
      <c r="U10341" s="226"/>
    </row>
    <row r="10342" spans="16:21" x14ac:dyDescent="0.35">
      <c r="P10342" s="226"/>
      <c r="Q10342" s="226"/>
      <c r="R10342" s="226"/>
      <c r="S10342" s="226"/>
      <c r="T10342" s="226"/>
      <c r="U10342" s="226"/>
    </row>
    <row r="10343" spans="16:21" x14ac:dyDescent="0.35">
      <c r="P10343" s="226"/>
      <c r="Q10343" s="226"/>
      <c r="R10343" s="226"/>
      <c r="S10343" s="226"/>
      <c r="T10343" s="226"/>
      <c r="U10343" s="226"/>
    </row>
    <row r="10344" spans="16:21" x14ac:dyDescent="0.35">
      <c r="P10344" s="226"/>
      <c r="Q10344" s="226"/>
      <c r="R10344" s="226"/>
      <c r="S10344" s="226"/>
      <c r="T10344" s="226"/>
      <c r="U10344" s="226"/>
    </row>
    <row r="10345" spans="16:21" x14ac:dyDescent="0.35">
      <c r="P10345" s="226"/>
      <c r="Q10345" s="226"/>
      <c r="R10345" s="226"/>
      <c r="S10345" s="226"/>
      <c r="T10345" s="226"/>
      <c r="U10345" s="226"/>
    </row>
    <row r="10346" spans="16:21" x14ac:dyDescent="0.35">
      <c r="P10346" s="226"/>
      <c r="Q10346" s="226"/>
      <c r="R10346" s="226"/>
      <c r="S10346" s="226"/>
      <c r="T10346" s="226"/>
      <c r="U10346" s="226"/>
    </row>
    <row r="10347" spans="16:21" x14ac:dyDescent="0.35">
      <c r="P10347" s="226"/>
      <c r="Q10347" s="226"/>
      <c r="R10347" s="226"/>
      <c r="S10347" s="226"/>
      <c r="T10347" s="226"/>
      <c r="U10347" s="226"/>
    </row>
    <row r="10348" spans="16:21" x14ac:dyDescent="0.35">
      <c r="P10348" s="226"/>
      <c r="Q10348" s="226"/>
      <c r="R10348" s="226"/>
      <c r="S10348" s="226"/>
      <c r="T10348" s="226"/>
      <c r="U10348" s="226"/>
    </row>
    <row r="10349" spans="16:21" x14ac:dyDescent="0.35">
      <c r="P10349" s="226"/>
      <c r="Q10349" s="226"/>
      <c r="R10349" s="226"/>
      <c r="S10349" s="226"/>
      <c r="T10349" s="226"/>
      <c r="U10349" s="226"/>
    </row>
    <row r="10350" spans="16:21" x14ac:dyDescent="0.35">
      <c r="P10350" s="226"/>
      <c r="Q10350" s="226"/>
      <c r="R10350" s="226"/>
      <c r="S10350" s="226"/>
      <c r="T10350" s="226"/>
      <c r="U10350" s="226"/>
    </row>
    <row r="10351" spans="16:21" x14ac:dyDescent="0.35">
      <c r="P10351" s="226"/>
      <c r="Q10351" s="226"/>
      <c r="R10351" s="226"/>
      <c r="S10351" s="226"/>
      <c r="T10351" s="226"/>
      <c r="U10351" s="226"/>
    </row>
    <row r="10352" spans="16:21" x14ac:dyDescent="0.35">
      <c r="P10352" s="226"/>
      <c r="Q10352" s="226"/>
      <c r="R10352" s="226"/>
      <c r="S10352" s="226"/>
      <c r="T10352" s="226"/>
      <c r="U10352" s="226"/>
    </row>
    <row r="10353" spans="16:21" x14ac:dyDescent="0.35">
      <c r="P10353" s="226"/>
      <c r="Q10353" s="226"/>
      <c r="R10353" s="226"/>
      <c r="S10353" s="226"/>
      <c r="T10353" s="226"/>
      <c r="U10353" s="226"/>
    </row>
    <row r="10354" spans="16:21" x14ac:dyDescent="0.35">
      <c r="P10354" s="226"/>
      <c r="Q10354" s="226"/>
      <c r="R10354" s="226"/>
      <c r="S10354" s="226"/>
      <c r="T10354" s="226"/>
      <c r="U10354" s="226"/>
    </row>
    <row r="10355" spans="16:21" x14ac:dyDescent="0.35">
      <c r="P10355" s="226"/>
      <c r="Q10355" s="226"/>
      <c r="R10355" s="226"/>
      <c r="S10355" s="226"/>
      <c r="T10355" s="226"/>
      <c r="U10355" s="226"/>
    </row>
    <row r="10356" spans="16:21" x14ac:dyDescent="0.35">
      <c r="P10356" s="226"/>
      <c r="Q10356" s="226"/>
      <c r="R10356" s="226"/>
      <c r="S10356" s="226"/>
      <c r="T10356" s="226"/>
      <c r="U10356" s="226"/>
    </row>
    <row r="10357" spans="16:21" x14ac:dyDescent="0.35">
      <c r="P10357" s="226"/>
      <c r="Q10357" s="226"/>
      <c r="R10357" s="226"/>
      <c r="S10357" s="226"/>
      <c r="T10357" s="226"/>
      <c r="U10357" s="226"/>
    </row>
    <row r="10358" spans="16:21" x14ac:dyDescent="0.35">
      <c r="P10358" s="226"/>
      <c r="Q10358" s="226"/>
      <c r="R10358" s="226"/>
      <c r="S10358" s="226"/>
      <c r="T10358" s="226"/>
      <c r="U10358" s="226"/>
    </row>
    <row r="10359" spans="16:21" x14ac:dyDescent="0.35">
      <c r="P10359" s="226"/>
      <c r="Q10359" s="226"/>
      <c r="R10359" s="226"/>
      <c r="S10359" s="226"/>
      <c r="T10359" s="226"/>
      <c r="U10359" s="226"/>
    </row>
    <row r="10360" spans="16:21" x14ac:dyDescent="0.35">
      <c r="P10360" s="226"/>
      <c r="Q10360" s="226"/>
      <c r="R10360" s="226"/>
      <c r="S10360" s="226"/>
      <c r="T10360" s="226"/>
      <c r="U10360" s="226"/>
    </row>
    <row r="10361" spans="16:21" x14ac:dyDescent="0.35">
      <c r="P10361" s="226"/>
      <c r="Q10361" s="226"/>
      <c r="R10361" s="226"/>
      <c r="S10361" s="226"/>
      <c r="T10361" s="226"/>
      <c r="U10361" s="226"/>
    </row>
    <row r="10362" spans="16:21" x14ac:dyDescent="0.35">
      <c r="P10362" s="226"/>
      <c r="Q10362" s="226"/>
      <c r="R10362" s="226"/>
      <c r="S10362" s="226"/>
      <c r="T10362" s="226"/>
      <c r="U10362" s="226"/>
    </row>
    <row r="10363" spans="16:21" x14ac:dyDescent="0.35">
      <c r="P10363" s="226"/>
      <c r="Q10363" s="226"/>
      <c r="R10363" s="226"/>
      <c r="S10363" s="226"/>
      <c r="T10363" s="226"/>
      <c r="U10363" s="226"/>
    </row>
    <row r="10364" spans="16:21" x14ac:dyDescent="0.35">
      <c r="P10364" s="226"/>
      <c r="Q10364" s="226"/>
      <c r="R10364" s="226"/>
      <c r="S10364" s="226"/>
      <c r="T10364" s="226"/>
      <c r="U10364" s="226"/>
    </row>
    <row r="10365" spans="16:21" x14ac:dyDescent="0.35">
      <c r="P10365" s="226"/>
      <c r="Q10365" s="226"/>
      <c r="R10365" s="226"/>
      <c r="S10365" s="226"/>
      <c r="T10365" s="226"/>
      <c r="U10365" s="226"/>
    </row>
    <row r="10366" spans="16:21" x14ac:dyDescent="0.35">
      <c r="P10366" s="226"/>
      <c r="Q10366" s="226"/>
      <c r="R10366" s="226"/>
      <c r="S10366" s="226"/>
      <c r="T10366" s="226"/>
      <c r="U10366" s="226"/>
    </row>
    <row r="10367" spans="16:21" x14ac:dyDescent="0.35">
      <c r="P10367" s="226"/>
      <c r="Q10367" s="226"/>
      <c r="R10367" s="226"/>
      <c r="S10367" s="226"/>
      <c r="T10367" s="226"/>
      <c r="U10367" s="226"/>
    </row>
    <row r="10368" spans="16:21" x14ac:dyDescent="0.35">
      <c r="P10368" s="226"/>
      <c r="Q10368" s="226"/>
      <c r="R10368" s="226"/>
      <c r="S10368" s="226"/>
      <c r="T10368" s="226"/>
      <c r="U10368" s="226"/>
    </row>
    <row r="10369" spans="16:21" x14ac:dyDescent="0.35">
      <c r="P10369" s="226"/>
      <c r="Q10369" s="226"/>
      <c r="R10369" s="226"/>
      <c r="S10369" s="226"/>
      <c r="T10369" s="226"/>
      <c r="U10369" s="226"/>
    </row>
    <row r="10370" spans="16:21" x14ac:dyDescent="0.35">
      <c r="P10370" s="226"/>
      <c r="Q10370" s="226"/>
      <c r="R10370" s="226"/>
      <c r="S10370" s="226"/>
      <c r="T10370" s="226"/>
      <c r="U10370" s="226"/>
    </row>
    <row r="10371" spans="16:21" x14ac:dyDescent="0.35">
      <c r="P10371" s="226"/>
      <c r="Q10371" s="226"/>
      <c r="R10371" s="226"/>
      <c r="S10371" s="226"/>
      <c r="T10371" s="226"/>
      <c r="U10371" s="226"/>
    </row>
    <row r="10372" spans="16:21" x14ac:dyDescent="0.35">
      <c r="P10372" s="226"/>
      <c r="Q10372" s="226"/>
      <c r="R10372" s="226"/>
      <c r="S10372" s="226"/>
      <c r="T10372" s="226"/>
      <c r="U10372" s="226"/>
    </row>
    <row r="10373" spans="16:21" x14ac:dyDescent="0.35">
      <c r="P10373" s="226"/>
      <c r="Q10373" s="226"/>
      <c r="R10373" s="226"/>
      <c r="S10373" s="226"/>
      <c r="T10373" s="226"/>
      <c r="U10373" s="226"/>
    </row>
    <row r="10374" spans="16:21" x14ac:dyDescent="0.35">
      <c r="P10374" s="226"/>
      <c r="Q10374" s="226"/>
      <c r="R10374" s="226"/>
      <c r="S10374" s="226"/>
      <c r="T10374" s="226"/>
      <c r="U10374" s="226"/>
    </row>
    <row r="10375" spans="16:21" x14ac:dyDescent="0.35">
      <c r="P10375" s="226"/>
      <c r="Q10375" s="226"/>
      <c r="R10375" s="226"/>
      <c r="S10375" s="226"/>
      <c r="T10375" s="226"/>
      <c r="U10375" s="226"/>
    </row>
    <row r="10376" spans="16:21" x14ac:dyDescent="0.35">
      <c r="P10376" s="226"/>
      <c r="Q10376" s="226"/>
      <c r="R10376" s="226"/>
      <c r="S10376" s="226"/>
      <c r="T10376" s="226"/>
      <c r="U10376" s="226"/>
    </row>
    <row r="10377" spans="16:21" x14ac:dyDescent="0.35">
      <c r="P10377" s="226"/>
      <c r="Q10377" s="226"/>
      <c r="R10377" s="226"/>
      <c r="S10377" s="226"/>
      <c r="T10377" s="226"/>
      <c r="U10377" s="226"/>
    </row>
    <row r="10378" spans="16:21" x14ac:dyDescent="0.35">
      <c r="P10378" s="226"/>
      <c r="Q10378" s="226"/>
      <c r="R10378" s="226"/>
      <c r="S10378" s="226"/>
      <c r="T10378" s="226"/>
      <c r="U10378" s="226"/>
    </row>
    <row r="10379" spans="16:21" x14ac:dyDescent="0.35">
      <c r="P10379" s="226"/>
      <c r="Q10379" s="226"/>
      <c r="R10379" s="226"/>
      <c r="S10379" s="226"/>
      <c r="T10379" s="226"/>
      <c r="U10379" s="226"/>
    </row>
    <row r="10380" spans="16:21" x14ac:dyDescent="0.35">
      <c r="P10380" s="226"/>
      <c r="Q10380" s="226"/>
      <c r="R10380" s="226"/>
      <c r="S10380" s="226"/>
      <c r="T10380" s="226"/>
      <c r="U10380" s="226"/>
    </row>
    <row r="10381" spans="16:21" x14ac:dyDescent="0.35">
      <c r="P10381" s="226"/>
      <c r="Q10381" s="226"/>
      <c r="R10381" s="226"/>
      <c r="S10381" s="226"/>
      <c r="T10381" s="226"/>
      <c r="U10381" s="226"/>
    </row>
    <row r="10382" spans="16:21" x14ac:dyDescent="0.35">
      <c r="P10382" s="226"/>
      <c r="Q10382" s="226"/>
      <c r="R10382" s="226"/>
      <c r="S10382" s="226"/>
      <c r="T10382" s="226"/>
      <c r="U10382" s="226"/>
    </row>
    <row r="10383" spans="16:21" x14ac:dyDescent="0.35">
      <c r="P10383" s="226"/>
      <c r="Q10383" s="226"/>
      <c r="R10383" s="226"/>
      <c r="S10383" s="226"/>
      <c r="T10383" s="226"/>
      <c r="U10383" s="226"/>
    </row>
    <row r="10384" spans="16:21" x14ac:dyDescent="0.35">
      <c r="P10384" s="226"/>
      <c r="Q10384" s="226"/>
      <c r="R10384" s="226"/>
      <c r="S10384" s="226"/>
      <c r="T10384" s="226"/>
      <c r="U10384" s="226"/>
    </row>
    <row r="10385" spans="16:21" x14ac:dyDescent="0.35">
      <c r="P10385" s="226"/>
      <c r="Q10385" s="226"/>
      <c r="R10385" s="226"/>
      <c r="S10385" s="226"/>
      <c r="T10385" s="226"/>
      <c r="U10385" s="226"/>
    </row>
    <row r="10386" spans="16:21" x14ac:dyDescent="0.35">
      <c r="P10386" s="226"/>
      <c r="Q10386" s="226"/>
      <c r="R10386" s="226"/>
      <c r="S10386" s="226"/>
      <c r="T10386" s="226"/>
      <c r="U10386" s="226"/>
    </row>
    <row r="10387" spans="16:21" x14ac:dyDescent="0.35">
      <c r="P10387" s="226"/>
      <c r="Q10387" s="226"/>
      <c r="R10387" s="226"/>
      <c r="S10387" s="226"/>
      <c r="T10387" s="226"/>
      <c r="U10387" s="226"/>
    </row>
    <row r="10388" spans="16:21" x14ac:dyDescent="0.35">
      <c r="P10388" s="226"/>
      <c r="Q10388" s="226"/>
      <c r="R10388" s="226"/>
      <c r="S10388" s="226"/>
      <c r="T10388" s="226"/>
      <c r="U10388" s="226"/>
    </row>
    <row r="10389" spans="16:21" x14ac:dyDescent="0.35">
      <c r="P10389" s="226"/>
      <c r="Q10389" s="226"/>
      <c r="R10389" s="226"/>
      <c r="S10389" s="226"/>
      <c r="T10389" s="226"/>
      <c r="U10389" s="226"/>
    </row>
    <row r="10390" spans="16:21" x14ac:dyDescent="0.35">
      <c r="P10390" s="226"/>
      <c r="Q10390" s="226"/>
      <c r="R10390" s="226"/>
      <c r="S10390" s="226"/>
      <c r="T10390" s="226"/>
      <c r="U10390" s="226"/>
    </row>
    <row r="10391" spans="16:21" x14ac:dyDescent="0.35">
      <c r="P10391" s="226"/>
      <c r="Q10391" s="226"/>
      <c r="R10391" s="226"/>
      <c r="S10391" s="226"/>
      <c r="T10391" s="226"/>
      <c r="U10391" s="226"/>
    </row>
    <row r="10392" spans="16:21" x14ac:dyDescent="0.35">
      <c r="P10392" s="226"/>
      <c r="Q10392" s="226"/>
      <c r="R10392" s="226"/>
      <c r="S10392" s="226"/>
      <c r="T10392" s="226"/>
      <c r="U10392" s="226"/>
    </row>
    <row r="10393" spans="16:21" x14ac:dyDescent="0.35">
      <c r="P10393" s="226"/>
      <c r="Q10393" s="226"/>
      <c r="R10393" s="226"/>
      <c r="S10393" s="226"/>
      <c r="T10393" s="226"/>
      <c r="U10393" s="226"/>
    </row>
    <row r="10394" spans="16:21" x14ac:dyDescent="0.35">
      <c r="P10394" s="226"/>
      <c r="Q10394" s="226"/>
      <c r="R10394" s="226"/>
      <c r="S10394" s="226"/>
      <c r="T10394" s="226"/>
      <c r="U10394" s="226"/>
    </row>
    <row r="10395" spans="16:21" x14ac:dyDescent="0.35">
      <c r="P10395" s="226"/>
      <c r="Q10395" s="226"/>
      <c r="R10395" s="226"/>
      <c r="S10395" s="226"/>
      <c r="T10395" s="226"/>
      <c r="U10395" s="226"/>
    </row>
    <row r="10396" spans="16:21" x14ac:dyDescent="0.35">
      <c r="P10396" s="226"/>
      <c r="Q10396" s="226"/>
      <c r="R10396" s="226"/>
      <c r="S10396" s="226"/>
      <c r="T10396" s="226"/>
      <c r="U10396" s="226"/>
    </row>
    <row r="10397" spans="16:21" x14ac:dyDescent="0.35">
      <c r="P10397" s="226"/>
      <c r="Q10397" s="226"/>
      <c r="R10397" s="226"/>
      <c r="S10397" s="226"/>
      <c r="T10397" s="226"/>
      <c r="U10397" s="226"/>
    </row>
    <row r="10398" spans="16:21" x14ac:dyDescent="0.35">
      <c r="P10398" s="226"/>
      <c r="Q10398" s="226"/>
      <c r="R10398" s="226"/>
      <c r="S10398" s="226"/>
      <c r="T10398" s="226"/>
      <c r="U10398" s="226"/>
    </row>
    <row r="10399" spans="16:21" x14ac:dyDescent="0.35">
      <c r="P10399" s="226"/>
      <c r="Q10399" s="226"/>
      <c r="R10399" s="226"/>
      <c r="S10399" s="226"/>
      <c r="T10399" s="226"/>
      <c r="U10399" s="226"/>
    </row>
    <row r="10400" spans="16:21" x14ac:dyDescent="0.35">
      <c r="P10400" s="226"/>
      <c r="Q10400" s="226"/>
      <c r="R10400" s="226"/>
      <c r="S10400" s="226"/>
      <c r="T10400" s="226"/>
      <c r="U10400" s="226"/>
    </row>
    <row r="10401" spans="16:21" x14ac:dyDescent="0.35">
      <c r="P10401" s="226"/>
      <c r="Q10401" s="226"/>
      <c r="R10401" s="226"/>
      <c r="S10401" s="226"/>
      <c r="T10401" s="226"/>
      <c r="U10401" s="226"/>
    </row>
    <row r="10402" spans="16:21" x14ac:dyDescent="0.35">
      <c r="P10402" s="226"/>
      <c r="Q10402" s="226"/>
      <c r="R10402" s="226"/>
      <c r="S10402" s="226"/>
      <c r="T10402" s="226"/>
      <c r="U10402" s="226"/>
    </row>
    <row r="10403" spans="16:21" x14ac:dyDescent="0.35">
      <c r="P10403" s="226"/>
      <c r="Q10403" s="226"/>
      <c r="R10403" s="226"/>
      <c r="S10403" s="226"/>
      <c r="T10403" s="226"/>
      <c r="U10403" s="226"/>
    </row>
    <row r="10404" spans="16:21" x14ac:dyDescent="0.35">
      <c r="P10404" s="226"/>
      <c r="Q10404" s="226"/>
      <c r="R10404" s="226"/>
      <c r="S10404" s="226"/>
      <c r="T10404" s="226"/>
      <c r="U10404" s="226"/>
    </row>
    <row r="10405" spans="16:21" x14ac:dyDescent="0.35">
      <c r="P10405" s="226"/>
      <c r="Q10405" s="226"/>
      <c r="R10405" s="226"/>
      <c r="S10405" s="226"/>
      <c r="T10405" s="226"/>
      <c r="U10405" s="226"/>
    </row>
    <row r="10406" spans="16:21" x14ac:dyDescent="0.35">
      <c r="P10406" s="226"/>
      <c r="Q10406" s="226"/>
      <c r="R10406" s="226"/>
      <c r="S10406" s="226"/>
      <c r="T10406" s="226"/>
      <c r="U10406" s="226"/>
    </row>
    <row r="10407" spans="16:21" x14ac:dyDescent="0.35">
      <c r="P10407" s="226"/>
      <c r="Q10407" s="226"/>
      <c r="R10407" s="226"/>
      <c r="S10407" s="226"/>
      <c r="T10407" s="226"/>
      <c r="U10407" s="226"/>
    </row>
    <row r="10408" spans="16:21" x14ac:dyDescent="0.35">
      <c r="P10408" s="226"/>
      <c r="Q10408" s="226"/>
      <c r="R10408" s="226"/>
      <c r="S10408" s="226"/>
      <c r="T10408" s="226"/>
      <c r="U10408" s="226"/>
    </row>
    <row r="10409" spans="16:21" x14ac:dyDescent="0.35">
      <c r="P10409" s="226"/>
      <c r="Q10409" s="226"/>
      <c r="R10409" s="226"/>
      <c r="S10409" s="226"/>
      <c r="T10409" s="226"/>
      <c r="U10409" s="226"/>
    </row>
    <row r="10410" spans="16:21" x14ac:dyDescent="0.35">
      <c r="P10410" s="226"/>
      <c r="Q10410" s="226"/>
      <c r="R10410" s="226"/>
      <c r="S10410" s="226"/>
      <c r="T10410" s="226"/>
      <c r="U10410" s="226"/>
    </row>
    <row r="10411" spans="16:21" x14ac:dyDescent="0.35">
      <c r="P10411" s="226"/>
      <c r="Q10411" s="226"/>
      <c r="R10411" s="226"/>
      <c r="S10411" s="226"/>
      <c r="T10411" s="226"/>
      <c r="U10411" s="226"/>
    </row>
    <row r="10412" spans="16:21" x14ac:dyDescent="0.35">
      <c r="P10412" s="226"/>
      <c r="Q10412" s="226"/>
      <c r="R10412" s="226"/>
      <c r="S10412" s="226"/>
      <c r="T10412" s="226"/>
      <c r="U10412" s="226"/>
    </row>
    <row r="10413" spans="16:21" x14ac:dyDescent="0.35">
      <c r="P10413" s="226"/>
      <c r="Q10413" s="226"/>
      <c r="R10413" s="226"/>
      <c r="S10413" s="226"/>
      <c r="T10413" s="226"/>
      <c r="U10413" s="226"/>
    </row>
    <row r="10414" spans="16:21" x14ac:dyDescent="0.35">
      <c r="P10414" s="226"/>
      <c r="Q10414" s="226"/>
      <c r="R10414" s="226"/>
      <c r="S10414" s="226"/>
      <c r="T10414" s="226"/>
      <c r="U10414" s="226"/>
    </row>
    <row r="10415" spans="16:21" x14ac:dyDescent="0.35">
      <c r="P10415" s="226"/>
      <c r="Q10415" s="226"/>
      <c r="R10415" s="226"/>
      <c r="S10415" s="226"/>
      <c r="T10415" s="226"/>
      <c r="U10415" s="226"/>
    </row>
    <row r="10416" spans="16:21" x14ac:dyDescent="0.35">
      <c r="P10416" s="226"/>
      <c r="Q10416" s="226"/>
      <c r="R10416" s="226"/>
      <c r="S10416" s="226"/>
      <c r="T10416" s="226"/>
      <c r="U10416" s="226"/>
    </row>
    <row r="10417" spans="16:21" x14ac:dyDescent="0.35">
      <c r="P10417" s="226"/>
      <c r="Q10417" s="226"/>
      <c r="R10417" s="226"/>
      <c r="S10417" s="226"/>
      <c r="T10417" s="226"/>
      <c r="U10417" s="226"/>
    </row>
    <row r="10418" spans="16:21" x14ac:dyDescent="0.35">
      <c r="P10418" s="226"/>
      <c r="Q10418" s="226"/>
      <c r="R10418" s="226"/>
      <c r="S10418" s="226"/>
      <c r="T10418" s="226"/>
      <c r="U10418" s="226"/>
    </row>
    <row r="10419" spans="16:21" x14ac:dyDescent="0.35">
      <c r="P10419" s="226"/>
      <c r="Q10419" s="226"/>
      <c r="R10419" s="226"/>
      <c r="S10419" s="226"/>
      <c r="T10419" s="226"/>
      <c r="U10419" s="226"/>
    </row>
    <row r="10420" spans="16:21" x14ac:dyDescent="0.35">
      <c r="P10420" s="226"/>
      <c r="Q10420" s="226"/>
      <c r="R10420" s="226"/>
      <c r="S10420" s="226"/>
      <c r="T10420" s="226"/>
      <c r="U10420" s="226"/>
    </row>
    <row r="10421" spans="16:21" x14ac:dyDescent="0.35">
      <c r="P10421" s="226"/>
      <c r="Q10421" s="226"/>
      <c r="R10421" s="226"/>
      <c r="S10421" s="226"/>
      <c r="T10421" s="226"/>
      <c r="U10421" s="226"/>
    </row>
    <row r="10422" spans="16:21" x14ac:dyDescent="0.35">
      <c r="P10422" s="226"/>
      <c r="Q10422" s="226"/>
      <c r="R10422" s="226"/>
      <c r="S10422" s="226"/>
      <c r="T10422" s="226"/>
      <c r="U10422" s="226"/>
    </row>
    <row r="10423" spans="16:21" x14ac:dyDescent="0.35">
      <c r="P10423" s="226"/>
      <c r="Q10423" s="226"/>
      <c r="R10423" s="226"/>
      <c r="S10423" s="226"/>
      <c r="T10423" s="226"/>
      <c r="U10423" s="226"/>
    </row>
    <row r="10424" spans="16:21" x14ac:dyDescent="0.35">
      <c r="P10424" s="226"/>
      <c r="Q10424" s="226"/>
      <c r="R10424" s="226"/>
      <c r="S10424" s="226"/>
      <c r="T10424" s="226"/>
      <c r="U10424" s="226"/>
    </row>
    <row r="10425" spans="16:21" x14ac:dyDescent="0.35">
      <c r="P10425" s="226"/>
      <c r="Q10425" s="226"/>
      <c r="R10425" s="226"/>
      <c r="S10425" s="226"/>
      <c r="T10425" s="226"/>
      <c r="U10425" s="226"/>
    </row>
    <row r="10426" spans="16:21" x14ac:dyDescent="0.35">
      <c r="P10426" s="226"/>
      <c r="Q10426" s="226"/>
      <c r="R10426" s="226"/>
      <c r="S10426" s="226"/>
      <c r="T10426" s="226"/>
      <c r="U10426" s="226"/>
    </row>
    <row r="10427" spans="16:21" x14ac:dyDescent="0.35">
      <c r="P10427" s="226"/>
      <c r="Q10427" s="226"/>
      <c r="R10427" s="226"/>
      <c r="S10427" s="226"/>
      <c r="T10427" s="226"/>
      <c r="U10427" s="226"/>
    </row>
    <row r="10428" spans="16:21" x14ac:dyDescent="0.35">
      <c r="P10428" s="226"/>
      <c r="Q10428" s="226"/>
      <c r="R10428" s="226"/>
      <c r="S10428" s="226"/>
      <c r="T10428" s="226"/>
      <c r="U10428" s="226"/>
    </row>
    <row r="10429" spans="16:21" x14ac:dyDescent="0.35">
      <c r="P10429" s="226"/>
      <c r="Q10429" s="226"/>
      <c r="R10429" s="226"/>
      <c r="S10429" s="226"/>
      <c r="T10429" s="226"/>
      <c r="U10429" s="226"/>
    </row>
    <row r="10430" spans="16:21" x14ac:dyDescent="0.35">
      <c r="P10430" s="226"/>
      <c r="Q10430" s="226"/>
      <c r="R10430" s="226"/>
      <c r="S10430" s="226"/>
      <c r="T10430" s="226"/>
      <c r="U10430" s="226"/>
    </row>
    <row r="10431" spans="16:21" x14ac:dyDescent="0.35">
      <c r="P10431" s="226"/>
      <c r="Q10431" s="226"/>
      <c r="R10431" s="226"/>
      <c r="S10431" s="226"/>
      <c r="T10431" s="226"/>
      <c r="U10431" s="226"/>
    </row>
    <row r="10432" spans="16:21" x14ac:dyDescent="0.35">
      <c r="P10432" s="226"/>
      <c r="Q10432" s="226"/>
      <c r="R10432" s="226"/>
      <c r="S10432" s="226"/>
      <c r="T10432" s="226"/>
      <c r="U10432" s="226"/>
    </row>
    <row r="10433" spans="16:21" x14ac:dyDescent="0.35">
      <c r="P10433" s="226"/>
      <c r="Q10433" s="226"/>
      <c r="R10433" s="226"/>
      <c r="S10433" s="226"/>
      <c r="T10433" s="226"/>
      <c r="U10433" s="226"/>
    </row>
    <row r="10434" spans="16:21" x14ac:dyDescent="0.35">
      <c r="P10434" s="226"/>
      <c r="Q10434" s="226"/>
      <c r="R10434" s="226"/>
      <c r="S10434" s="226"/>
      <c r="T10434" s="226"/>
      <c r="U10434" s="226"/>
    </row>
    <row r="10435" spans="16:21" x14ac:dyDescent="0.35">
      <c r="P10435" s="226"/>
      <c r="Q10435" s="226"/>
      <c r="R10435" s="226"/>
      <c r="S10435" s="226"/>
      <c r="T10435" s="226"/>
      <c r="U10435" s="226"/>
    </row>
    <row r="10436" spans="16:21" x14ac:dyDescent="0.35">
      <c r="P10436" s="226"/>
      <c r="Q10436" s="226"/>
      <c r="R10436" s="226"/>
      <c r="S10436" s="226"/>
      <c r="T10436" s="226"/>
      <c r="U10436" s="226"/>
    </row>
    <row r="10437" spans="16:21" x14ac:dyDescent="0.35">
      <c r="P10437" s="226"/>
      <c r="Q10437" s="226"/>
      <c r="R10437" s="226"/>
      <c r="S10437" s="226"/>
      <c r="T10437" s="226"/>
      <c r="U10437" s="226"/>
    </row>
    <row r="10438" spans="16:21" x14ac:dyDescent="0.35">
      <c r="P10438" s="226"/>
      <c r="Q10438" s="226"/>
      <c r="R10438" s="226"/>
      <c r="S10438" s="226"/>
      <c r="T10438" s="226"/>
      <c r="U10438" s="226"/>
    </row>
    <row r="10439" spans="16:21" x14ac:dyDescent="0.35">
      <c r="P10439" s="226"/>
      <c r="Q10439" s="226"/>
      <c r="R10439" s="226"/>
      <c r="S10439" s="226"/>
      <c r="T10439" s="226"/>
      <c r="U10439" s="226"/>
    </row>
    <row r="10440" spans="16:21" x14ac:dyDescent="0.35">
      <c r="P10440" s="226"/>
      <c r="Q10440" s="226"/>
      <c r="R10440" s="226"/>
      <c r="S10440" s="226"/>
      <c r="T10440" s="226"/>
      <c r="U10440" s="226"/>
    </row>
    <row r="10441" spans="16:21" x14ac:dyDescent="0.35">
      <c r="P10441" s="226"/>
      <c r="Q10441" s="226"/>
      <c r="R10441" s="226"/>
      <c r="S10441" s="226"/>
      <c r="T10441" s="226"/>
      <c r="U10441" s="226"/>
    </row>
    <row r="10442" spans="16:21" x14ac:dyDescent="0.35">
      <c r="P10442" s="226"/>
      <c r="Q10442" s="226"/>
      <c r="R10442" s="226"/>
      <c r="S10442" s="226"/>
      <c r="T10442" s="226"/>
      <c r="U10442" s="226"/>
    </row>
    <row r="10443" spans="16:21" x14ac:dyDescent="0.35">
      <c r="P10443" s="226"/>
      <c r="Q10443" s="226"/>
      <c r="R10443" s="226"/>
      <c r="S10443" s="226"/>
      <c r="T10443" s="226"/>
      <c r="U10443" s="226"/>
    </row>
    <row r="10444" spans="16:21" x14ac:dyDescent="0.35">
      <c r="P10444" s="226"/>
      <c r="Q10444" s="226"/>
      <c r="R10444" s="226"/>
      <c r="S10444" s="226"/>
      <c r="T10444" s="226"/>
      <c r="U10444" s="226"/>
    </row>
    <row r="10445" spans="16:21" x14ac:dyDescent="0.35">
      <c r="P10445" s="226"/>
      <c r="Q10445" s="226"/>
      <c r="R10445" s="226"/>
      <c r="S10445" s="226"/>
      <c r="T10445" s="226"/>
      <c r="U10445" s="226"/>
    </row>
    <row r="10446" spans="16:21" x14ac:dyDescent="0.35">
      <c r="P10446" s="226"/>
      <c r="Q10446" s="226"/>
      <c r="R10446" s="226"/>
      <c r="S10446" s="226"/>
      <c r="T10446" s="226"/>
      <c r="U10446" s="226"/>
    </row>
    <row r="10447" spans="16:21" x14ac:dyDescent="0.35">
      <c r="P10447" s="226"/>
      <c r="Q10447" s="226"/>
      <c r="R10447" s="226"/>
      <c r="S10447" s="226"/>
      <c r="T10447" s="226"/>
      <c r="U10447" s="226"/>
    </row>
    <row r="10448" spans="16:21" x14ac:dyDescent="0.35">
      <c r="P10448" s="226"/>
      <c r="Q10448" s="226"/>
      <c r="R10448" s="226"/>
      <c r="S10448" s="226"/>
      <c r="T10448" s="226"/>
      <c r="U10448" s="226"/>
    </row>
    <row r="10449" spans="16:21" x14ac:dyDescent="0.35">
      <c r="P10449" s="226"/>
      <c r="Q10449" s="226"/>
      <c r="R10449" s="226"/>
      <c r="S10449" s="226"/>
      <c r="T10449" s="226"/>
      <c r="U10449" s="226"/>
    </row>
    <row r="10450" spans="16:21" x14ac:dyDescent="0.35">
      <c r="P10450" s="226"/>
      <c r="Q10450" s="226"/>
      <c r="R10450" s="226"/>
      <c r="S10450" s="226"/>
      <c r="T10450" s="226"/>
      <c r="U10450" s="226"/>
    </row>
    <row r="10451" spans="16:21" x14ac:dyDescent="0.35">
      <c r="P10451" s="226"/>
      <c r="Q10451" s="226"/>
      <c r="R10451" s="226"/>
      <c r="S10451" s="226"/>
      <c r="T10451" s="226"/>
      <c r="U10451" s="226"/>
    </row>
    <row r="10452" spans="16:21" x14ac:dyDescent="0.35">
      <c r="P10452" s="226"/>
      <c r="Q10452" s="226"/>
      <c r="R10452" s="226"/>
      <c r="S10452" s="226"/>
      <c r="T10452" s="226"/>
      <c r="U10452" s="226"/>
    </row>
    <row r="10453" spans="16:21" x14ac:dyDescent="0.35">
      <c r="P10453" s="226"/>
      <c r="Q10453" s="226"/>
      <c r="R10453" s="226"/>
      <c r="S10453" s="226"/>
      <c r="T10453" s="226"/>
      <c r="U10453" s="226"/>
    </row>
    <row r="10454" spans="16:21" x14ac:dyDescent="0.35">
      <c r="P10454" s="226"/>
      <c r="Q10454" s="226"/>
      <c r="R10454" s="226"/>
      <c r="S10454" s="226"/>
      <c r="T10454" s="226"/>
      <c r="U10454" s="226"/>
    </row>
    <row r="10455" spans="16:21" x14ac:dyDescent="0.35">
      <c r="P10455" s="226"/>
      <c r="Q10455" s="226"/>
      <c r="R10455" s="226"/>
      <c r="S10455" s="226"/>
      <c r="T10455" s="226"/>
      <c r="U10455" s="226"/>
    </row>
    <row r="10456" spans="16:21" x14ac:dyDescent="0.35">
      <c r="P10456" s="226"/>
      <c r="Q10456" s="226"/>
      <c r="R10456" s="226"/>
      <c r="S10456" s="226"/>
      <c r="T10456" s="226"/>
      <c r="U10456" s="226"/>
    </row>
    <row r="10457" spans="16:21" x14ac:dyDescent="0.35">
      <c r="P10457" s="226"/>
      <c r="Q10457" s="226"/>
      <c r="R10457" s="226"/>
      <c r="S10457" s="226"/>
      <c r="T10457" s="226"/>
      <c r="U10457" s="226"/>
    </row>
    <row r="10458" spans="16:21" x14ac:dyDescent="0.35">
      <c r="P10458" s="226"/>
      <c r="Q10458" s="226"/>
      <c r="R10458" s="226"/>
      <c r="S10458" s="226"/>
      <c r="T10458" s="226"/>
      <c r="U10458" s="226"/>
    </row>
    <row r="10459" spans="16:21" x14ac:dyDescent="0.35">
      <c r="P10459" s="226"/>
      <c r="Q10459" s="226"/>
      <c r="R10459" s="226"/>
      <c r="S10459" s="226"/>
      <c r="T10459" s="226"/>
      <c r="U10459" s="226"/>
    </row>
    <row r="10460" spans="16:21" x14ac:dyDescent="0.35">
      <c r="P10460" s="226"/>
      <c r="Q10460" s="226"/>
      <c r="R10460" s="226"/>
      <c r="S10460" s="226"/>
      <c r="T10460" s="226"/>
      <c r="U10460" s="226"/>
    </row>
    <row r="10461" spans="16:21" x14ac:dyDescent="0.35">
      <c r="P10461" s="226"/>
      <c r="Q10461" s="226"/>
      <c r="R10461" s="226"/>
      <c r="S10461" s="226"/>
      <c r="T10461" s="226"/>
      <c r="U10461" s="226"/>
    </row>
    <row r="10462" spans="16:21" x14ac:dyDescent="0.35">
      <c r="P10462" s="226"/>
      <c r="Q10462" s="226"/>
      <c r="R10462" s="226"/>
      <c r="S10462" s="226"/>
      <c r="T10462" s="226"/>
      <c r="U10462" s="226"/>
    </row>
    <row r="10463" spans="16:21" x14ac:dyDescent="0.35">
      <c r="P10463" s="226"/>
      <c r="Q10463" s="226"/>
      <c r="R10463" s="226"/>
      <c r="S10463" s="226"/>
      <c r="T10463" s="226"/>
      <c r="U10463" s="226"/>
    </row>
    <row r="10464" spans="16:21" x14ac:dyDescent="0.35">
      <c r="P10464" s="226"/>
      <c r="Q10464" s="226"/>
      <c r="R10464" s="226"/>
      <c r="S10464" s="226"/>
      <c r="T10464" s="226"/>
      <c r="U10464" s="226"/>
    </row>
    <row r="10465" spans="16:21" x14ac:dyDescent="0.35">
      <c r="P10465" s="226"/>
      <c r="Q10465" s="226"/>
      <c r="R10465" s="226"/>
      <c r="S10465" s="226"/>
      <c r="T10465" s="226"/>
      <c r="U10465" s="226"/>
    </row>
    <row r="10466" spans="16:21" x14ac:dyDescent="0.35">
      <c r="P10466" s="226"/>
      <c r="Q10466" s="226"/>
      <c r="R10466" s="226"/>
      <c r="S10466" s="226"/>
      <c r="T10466" s="226"/>
      <c r="U10466" s="226"/>
    </row>
    <row r="10467" spans="16:21" x14ac:dyDescent="0.35">
      <c r="P10467" s="226"/>
      <c r="Q10467" s="226"/>
      <c r="R10467" s="226"/>
      <c r="S10467" s="226"/>
      <c r="T10467" s="226"/>
      <c r="U10467" s="226"/>
    </row>
    <row r="10468" spans="16:21" x14ac:dyDescent="0.35">
      <c r="P10468" s="226"/>
      <c r="Q10468" s="226"/>
      <c r="R10468" s="226"/>
      <c r="S10468" s="226"/>
      <c r="T10468" s="226"/>
      <c r="U10468" s="226"/>
    </row>
    <row r="10469" spans="16:21" x14ac:dyDescent="0.35">
      <c r="P10469" s="226"/>
      <c r="Q10469" s="226"/>
      <c r="R10469" s="226"/>
      <c r="S10469" s="226"/>
      <c r="T10469" s="226"/>
      <c r="U10469" s="226"/>
    </row>
    <row r="10470" spans="16:21" x14ac:dyDescent="0.35">
      <c r="P10470" s="226"/>
      <c r="Q10470" s="226"/>
      <c r="R10470" s="226"/>
      <c r="S10470" s="226"/>
      <c r="T10470" s="226"/>
      <c r="U10470" s="226"/>
    </row>
    <row r="10471" spans="16:21" x14ac:dyDescent="0.35">
      <c r="P10471" s="226"/>
      <c r="Q10471" s="226"/>
      <c r="R10471" s="226"/>
      <c r="S10471" s="226"/>
      <c r="T10471" s="226"/>
      <c r="U10471" s="226"/>
    </row>
    <row r="10472" spans="16:21" x14ac:dyDescent="0.35">
      <c r="P10472" s="226"/>
      <c r="Q10472" s="226"/>
      <c r="R10472" s="226"/>
      <c r="S10472" s="226"/>
      <c r="T10472" s="226"/>
      <c r="U10472" s="226"/>
    </row>
    <row r="10473" spans="16:21" x14ac:dyDescent="0.35">
      <c r="P10473" s="226"/>
      <c r="Q10473" s="226"/>
      <c r="R10473" s="226"/>
      <c r="S10473" s="226"/>
      <c r="T10473" s="226"/>
      <c r="U10473" s="226"/>
    </row>
    <row r="10474" spans="16:21" x14ac:dyDescent="0.35">
      <c r="P10474" s="226"/>
      <c r="Q10474" s="226"/>
      <c r="R10474" s="226"/>
      <c r="S10474" s="226"/>
      <c r="T10474" s="226"/>
      <c r="U10474" s="226"/>
    </row>
    <row r="10475" spans="16:21" x14ac:dyDescent="0.35">
      <c r="P10475" s="226"/>
      <c r="Q10475" s="226"/>
      <c r="R10475" s="226"/>
      <c r="S10475" s="226"/>
      <c r="T10475" s="226"/>
      <c r="U10475" s="226"/>
    </row>
    <row r="10476" spans="16:21" x14ac:dyDescent="0.35">
      <c r="P10476" s="226"/>
      <c r="Q10476" s="226"/>
      <c r="R10476" s="226"/>
      <c r="S10476" s="226"/>
      <c r="T10476" s="226"/>
      <c r="U10476" s="226"/>
    </row>
    <row r="10477" spans="16:21" x14ac:dyDescent="0.35">
      <c r="P10477" s="226"/>
      <c r="Q10477" s="226"/>
      <c r="R10477" s="226"/>
      <c r="S10477" s="226"/>
      <c r="T10477" s="226"/>
      <c r="U10477" s="226"/>
    </row>
    <row r="10478" spans="16:21" x14ac:dyDescent="0.35">
      <c r="P10478" s="226"/>
      <c r="Q10478" s="226"/>
      <c r="R10478" s="226"/>
      <c r="S10478" s="226"/>
      <c r="T10478" s="226"/>
      <c r="U10478" s="226"/>
    </row>
    <row r="10479" spans="16:21" x14ac:dyDescent="0.35">
      <c r="P10479" s="226"/>
      <c r="Q10479" s="226"/>
      <c r="R10479" s="226"/>
      <c r="S10479" s="226"/>
      <c r="T10479" s="226"/>
      <c r="U10479" s="226"/>
    </row>
    <row r="10480" spans="16:21" x14ac:dyDescent="0.35">
      <c r="P10480" s="226"/>
      <c r="Q10480" s="226"/>
      <c r="R10480" s="226"/>
      <c r="S10480" s="226"/>
      <c r="T10480" s="226"/>
      <c r="U10480" s="226"/>
    </row>
    <row r="10481" spans="16:21" x14ac:dyDescent="0.35">
      <c r="P10481" s="226"/>
      <c r="Q10481" s="226"/>
      <c r="R10481" s="226"/>
      <c r="S10481" s="226"/>
      <c r="T10481" s="226"/>
      <c r="U10481" s="226"/>
    </row>
    <row r="10482" spans="16:21" x14ac:dyDescent="0.35">
      <c r="P10482" s="226"/>
      <c r="Q10482" s="226"/>
      <c r="R10482" s="226"/>
      <c r="S10482" s="226"/>
      <c r="T10482" s="226"/>
      <c r="U10482" s="226"/>
    </row>
    <row r="10483" spans="16:21" x14ac:dyDescent="0.35">
      <c r="P10483" s="226"/>
      <c r="Q10483" s="226"/>
      <c r="R10483" s="226"/>
      <c r="S10483" s="226"/>
      <c r="T10483" s="226"/>
      <c r="U10483" s="226"/>
    </row>
    <row r="10484" spans="16:21" x14ac:dyDescent="0.35">
      <c r="P10484" s="226"/>
      <c r="Q10484" s="226"/>
      <c r="R10484" s="226"/>
      <c r="S10484" s="226"/>
      <c r="T10484" s="226"/>
      <c r="U10484" s="226"/>
    </row>
    <row r="10485" spans="16:21" x14ac:dyDescent="0.35">
      <c r="P10485" s="226"/>
      <c r="Q10485" s="226"/>
      <c r="R10485" s="226"/>
      <c r="S10485" s="226"/>
      <c r="T10485" s="226"/>
      <c r="U10485" s="226"/>
    </row>
    <row r="10486" spans="16:21" x14ac:dyDescent="0.35">
      <c r="P10486" s="226"/>
      <c r="Q10486" s="226"/>
      <c r="R10486" s="226"/>
      <c r="S10486" s="226"/>
      <c r="T10486" s="226"/>
      <c r="U10486" s="226"/>
    </row>
    <row r="10487" spans="16:21" x14ac:dyDescent="0.35">
      <c r="P10487" s="226"/>
      <c r="Q10487" s="226"/>
      <c r="R10487" s="226"/>
      <c r="S10487" s="226"/>
      <c r="T10487" s="226"/>
      <c r="U10487" s="226"/>
    </row>
    <row r="10488" spans="16:21" x14ac:dyDescent="0.35">
      <c r="P10488" s="226"/>
      <c r="Q10488" s="226"/>
      <c r="R10488" s="226"/>
      <c r="S10488" s="226"/>
      <c r="T10488" s="226"/>
      <c r="U10488" s="226"/>
    </row>
    <row r="10489" spans="16:21" x14ac:dyDescent="0.35">
      <c r="P10489" s="226"/>
      <c r="Q10489" s="226"/>
      <c r="R10489" s="226"/>
      <c r="S10489" s="226"/>
      <c r="T10489" s="226"/>
      <c r="U10489" s="226"/>
    </row>
    <row r="10490" spans="16:21" x14ac:dyDescent="0.35">
      <c r="P10490" s="226"/>
      <c r="Q10490" s="226"/>
      <c r="R10490" s="226"/>
      <c r="S10490" s="226"/>
      <c r="T10490" s="226"/>
      <c r="U10490" s="226"/>
    </row>
    <row r="10491" spans="16:21" x14ac:dyDescent="0.35">
      <c r="P10491" s="226"/>
      <c r="Q10491" s="226"/>
      <c r="R10491" s="226"/>
      <c r="S10491" s="226"/>
      <c r="T10491" s="226"/>
      <c r="U10491" s="226"/>
    </row>
    <row r="10492" spans="16:21" x14ac:dyDescent="0.35">
      <c r="P10492" s="226"/>
      <c r="Q10492" s="226"/>
      <c r="R10492" s="226"/>
      <c r="S10492" s="226"/>
      <c r="T10492" s="226"/>
      <c r="U10492" s="226"/>
    </row>
    <row r="10493" spans="16:21" x14ac:dyDescent="0.35">
      <c r="P10493" s="226"/>
      <c r="Q10493" s="226"/>
      <c r="R10493" s="226"/>
      <c r="S10493" s="226"/>
      <c r="T10493" s="226"/>
      <c r="U10493" s="226"/>
    </row>
    <row r="10494" spans="16:21" x14ac:dyDescent="0.35">
      <c r="P10494" s="226"/>
      <c r="Q10494" s="226"/>
      <c r="R10494" s="226"/>
      <c r="S10494" s="226"/>
      <c r="T10494" s="226"/>
      <c r="U10494" s="226"/>
    </row>
    <row r="10495" spans="16:21" x14ac:dyDescent="0.35">
      <c r="P10495" s="226"/>
      <c r="Q10495" s="226"/>
      <c r="R10495" s="226"/>
      <c r="S10495" s="226"/>
      <c r="T10495" s="226"/>
      <c r="U10495" s="226"/>
    </row>
    <row r="10496" spans="16:21" x14ac:dyDescent="0.35">
      <c r="P10496" s="226"/>
      <c r="Q10496" s="226"/>
      <c r="R10496" s="226"/>
      <c r="S10496" s="226"/>
      <c r="T10496" s="226"/>
      <c r="U10496" s="226"/>
    </row>
    <row r="10497" spans="16:21" x14ac:dyDescent="0.35">
      <c r="P10497" s="226"/>
      <c r="Q10497" s="226"/>
      <c r="R10497" s="226"/>
      <c r="S10497" s="226"/>
      <c r="T10497" s="226"/>
      <c r="U10497" s="226"/>
    </row>
    <row r="10498" spans="16:21" x14ac:dyDescent="0.35">
      <c r="P10498" s="226"/>
      <c r="Q10498" s="226"/>
      <c r="R10498" s="226"/>
      <c r="S10498" s="226"/>
      <c r="T10498" s="226"/>
      <c r="U10498" s="226"/>
    </row>
    <row r="10499" spans="16:21" x14ac:dyDescent="0.35">
      <c r="P10499" s="226"/>
      <c r="Q10499" s="226"/>
      <c r="R10499" s="226"/>
      <c r="S10499" s="226"/>
      <c r="T10499" s="226"/>
      <c r="U10499" s="226"/>
    </row>
    <row r="10500" spans="16:21" x14ac:dyDescent="0.35">
      <c r="P10500" s="226"/>
      <c r="Q10500" s="226"/>
      <c r="R10500" s="226"/>
      <c r="S10500" s="226"/>
      <c r="T10500" s="226"/>
      <c r="U10500" s="226"/>
    </row>
    <row r="10501" spans="16:21" x14ac:dyDescent="0.35">
      <c r="P10501" s="226"/>
      <c r="Q10501" s="226"/>
      <c r="R10501" s="226"/>
      <c r="S10501" s="226"/>
      <c r="T10501" s="226"/>
      <c r="U10501" s="226"/>
    </row>
    <row r="10502" spans="16:21" x14ac:dyDescent="0.35">
      <c r="P10502" s="226"/>
      <c r="Q10502" s="226"/>
      <c r="R10502" s="226"/>
      <c r="S10502" s="226"/>
      <c r="T10502" s="226"/>
      <c r="U10502" s="226"/>
    </row>
    <row r="10503" spans="16:21" x14ac:dyDescent="0.35">
      <c r="P10503" s="226"/>
      <c r="Q10503" s="226"/>
      <c r="R10503" s="226"/>
      <c r="S10503" s="226"/>
      <c r="T10503" s="226"/>
      <c r="U10503" s="226"/>
    </row>
    <row r="10504" spans="16:21" x14ac:dyDescent="0.35">
      <c r="P10504" s="226"/>
      <c r="Q10504" s="226"/>
      <c r="R10504" s="226"/>
      <c r="S10504" s="226"/>
      <c r="T10504" s="226"/>
      <c r="U10504" s="226"/>
    </row>
    <row r="10505" spans="16:21" x14ac:dyDescent="0.35">
      <c r="P10505" s="226"/>
      <c r="Q10505" s="226"/>
      <c r="R10505" s="226"/>
      <c r="S10505" s="226"/>
      <c r="T10505" s="226"/>
      <c r="U10505" s="226"/>
    </row>
    <row r="10506" spans="16:21" x14ac:dyDescent="0.35">
      <c r="P10506" s="226"/>
      <c r="Q10506" s="226"/>
      <c r="R10506" s="226"/>
      <c r="S10506" s="226"/>
      <c r="T10506" s="226"/>
      <c r="U10506" s="226"/>
    </row>
    <row r="10507" spans="16:21" x14ac:dyDescent="0.35">
      <c r="P10507" s="226"/>
      <c r="Q10507" s="226"/>
      <c r="R10507" s="226"/>
      <c r="S10507" s="226"/>
      <c r="T10507" s="226"/>
      <c r="U10507" s="226"/>
    </row>
    <row r="10508" spans="16:21" x14ac:dyDescent="0.35">
      <c r="P10508" s="226"/>
      <c r="Q10508" s="226"/>
      <c r="R10508" s="226"/>
      <c r="S10508" s="226"/>
      <c r="T10508" s="226"/>
      <c r="U10508" s="226"/>
    </row>
    <row r="10509" spans="16:21" x14ac:dyDescent="0.35">
      <c r="P10509" s="226"/>
      <c r="Q10509" s="226"/>
      <c r="R10509" s="226"/>
      <c r="S10509" s="226"/>
      <c r="T10509" s="226"/>
      <c r="U10509" s="226"/>
    </row>
    <row r="10510" spans="16:21" x14ac:dyDescent="0.35">
      <c r="P10510" s="226"/>
      <c r="Q10510" s="226"/>
      <c r="R10510" s="226"/>
      <c r="S10510" s="226"/>
      <c r="T10510" s="226"/>
      <c r="U10510" s="226"/>
    </row>
    <row r="10511" spans="16:21" x14ac:dyDescent="0.35">
      <c r="P10511" s="226"/>
      <c r="Q10511" s="226"/>
      <c r="R10511" s="226"/>
      <c r="S10511" s="226"/>
      <c r="T10511" s="226"/>
      <c r="U10511" s="226"/>
    </row>
    <row r="10512" spans="16:21" x14ac:dyDescent="0.35">
      <c r="P10512" s="226"/>
      <c r="Q10512" s="226"/>
      <c r="R10512" s="226"/>
      <c r="S10512" s="226"/>
      <c r="T10512" s="226"/>
      <c r="U10512" s="226"/>
    </row>
    <row r="10513" spans="16:21" x14ac:dyDescent="0.35">
      <c r="P10513" s="226"/>
      <c r="Q10513" s="226"/>
      <c r="R10513" s="226"/>
      <c r="S10513" s="226"/>
      <c r="T10513" s="226"/>
      <c r="U10513" s="226"/>
    </row>
    <row r="10514" spans="16:21" x14ac:dyDescent="0.35">
      <c r="P10514" s="226"/>
      <c r="Q10514" s="226"/>
      <c r="R10514" s="226"/>
      <c r="S10514" s="226"/>
      <c r="T10514" s="226"/>
      <c r="U10514" s="226"/>
    </row>
    <row r="10515" spans="16:21" x14ac:dyDescent="0.35">
      <c r="P10515" s="226"/>
      <c r="Q10515" s="226"/>
      <c r="R10515" s="226"/>
      <c r="S10515" s="226"/>
      <c r="T10515" s="226"/>
      <c r="U10515" s="226"/>
    </row>
    <row r="10516" spans="16:21" x14ac:dyDescent="0.35">
      <c r="P10516" s="226"/>
      <c r="Q10516" s="226"/>
      <c r="R10516" s="226"/>
      <c r="S10516" s="226"/>
      <c r="T10516" s="226"/>
      <c r="U10516" s="226"/>
    </row>
    <row r="10517" spans="16:21" x14ac:dyDescent="0.35">
      <c r="P10517" s="226"/>
      <c r="Q10517" s="226"/>
      <c r="R10517" s="226"/>
      <c r="S10517" s="226"/>
      <c r="T10517" s="226"/>
      <c r="U10517" s="226"/>
    </row>
    <row r="10518" spans="16:21" x14ac:dyDescent="0.35">
      <c r="P10518" s="226"/>
      <c r="Q10518" s="226"/>
      <c r="R10518" s="226"/>
      <c r="S10518" s="226"/>
      <c r="T10518" s="226"/>
      <c r="U10518" s="226"/>
    </row>
    <row r="10519" spans="16:21" x14ac:dyDescent="0.35">
      <c r="P10519" s="226"/>
      <c r="Q10519" s="226"/>
      <c r="R10519" s="226"/>
      <c r="S10519" s="226"/>
      <c r="T10519" s="226"/>
      <c r="U10519" s="226"/>
    </row>
    <row r="10520" spans="16:21" x14ac:dyDescent="0.35">
      <c r="P10520" s="226"/>
      <c r="Q10520" s="226"/>
      <c r="R10520" s="226"/>
      <c r="S10520" s="226"/>
      <c r="T10520" s="226"/>
      <c r="U10520" s="226"/>
    </row>
    <row r="10521" spans="16:21" x14ac:dyDescent="0.35">
      <c r="P10521" s="226"/>
      <c r="Q10521" s="226"/>
      <c r="R10521" s="226"/>
      <c r="S10521" s="226"/>
      <c r="T10521" s="226"/>
      <c r="U10521" s="226"/>
    </row>
    <row r="10522" spans="16:21" x14ac:dyDescent="0.35">
      <c r="P10522" s="226"/>
      <c r="Q10522" s="226"/>
      <c r="R10522" s="226"/>
      <c r="S10522" s="226"/>
      <c r="T10522" s="226"/>
      <c r="U10522" s="226"/>
    </row>
    <row r="10523" spans="16:21" x14ac:dyDescent="0.35">
      <c r="P10523" s="226"/>
      <c r="Q10523" s="226"/>
      <c r="R10523" s="226"/>
      <c r="S10523" s="226"/>
      <c r="T10523" s="226"/>
      <c r="U10523" s="226"/>
    </row>
    <row r="10524" spans="16:21" x14ac:dyDescent="0.35">
      <c r="P10524" s="226"/>
      <c r="Q10524" s="226"/>
      <c r="R10524" s="226"/>
      <c r="S10524" s="226"/>
      <c r="T10524" s="226"/>
      <c r="U10524" s="226"/>
    </row>
    <row r="10525" spans="16:21" x14ac:dyDescent="0.35">
      <c r="P10525" s="226"/>
      <c r="Q10525" s="226"/>
      <c r="R10525" s="226"/>
      <c r="S10525" s="226"/>
      <c r="T10525" s="226"/>
      <c r="U10525" s="226"/>
    </row>
    <row r="10526" spans="16:21" x14ac:dyDescent="0.35">
      <c r="P10526" s="226"/>
      <c r="Q10526" s="226"/>
      <c r="R10526" s="226"/>
      <c r="S10526" s="226"/>
      <c r="T10526" s="226"/>
      <c r="U10526" s="226"/>
    </row>
    <row r="10527" spans="16:21" x14ac:dyDescent="0.35">
      <c r="P10527" s="226"/>
      <c r="Q10527" s="226"/>
      <c r="R10527" s="226"/>
      <c r="S10527" s="226"/>
      <c r="T10527" s="226"/>
      <c r="U10527" s="226"/>
    </row>
    <row r="10528" spans="16:21" x14ac:dyDescent="0.35">
      <c r="P10528" s="226"/>
      <c r="Q10528" s="226"/>
      <c r="R10528" s="226"/>
      <c r="S10528" s="226"/>
      <c r="T10528" s="226"/>
      <c r="U10528" s="226"/>
    </row>
    <row r="10529" spans="16:21" x14ac:dyDescent="0.35">
      <c r="P10529" s="226"/>
      <c r="Q10529" s="226"/>
      <c r="R10529" s="226"/>
      <c r="S10529" s="226"/>
      <c r="T10529" s="226"/>
      <c r="U10529" s="226"/>
    </row>
    <row r="10530" spans="16:21" x14ac:dyDescent="0.35">
      <c r="P10530" s="226"/>
      <c r="Q10530" s="226"/>
      <c r="R10530" s="226"/>
      <c r="S10530" s="226"/>
      <c r="T10530" s="226"/>
      <c r="U10530" s="226"/>
    </row>
    <row r="10531" spans="16:21" x14ac:dyDescent="0.35">
      <c r="P10531" s="226"/>
      <c r="Q10531" s="226"/>
      <c r="R10531" s="226"/>
      <c r="S10531" s="226"/>
      <c r="T10531" s="226"/>
      <c r="U10531" s="226"/>
    </row>
    <row r="10532" spans="16:21" x14ac:dyDescent="0.35">
      <c r="P10532" s="226"/>
      <c r="Q10532" s="226"/>
      <c r="R10532" s="226"/>
      <c r="S10532" s="226"/>
      <c r="T10532" s="226"/>
      <c r="U10532" s="226"/>
    </row>
    <row r="10533" spans="16:21" x14ac:dyDescent="0.35">
      <c r="P10533" s="226"/>
      <c r="Q10533" s="226"/>
      <c r="R10533" s="226"/>
      <c r="S10533" s="226"/>
      <c r="T10533" s="226"/>
      <c r="U10533" s="226"/>
    </row>
    <row r="10534" spans="16:21" x14ac:dyDescent="0.35">
      <c r="P10534" s="226"/>
      <c r="Q10534" s="226"/>
      <c r="R10534" s="226"/>
      <c r="S10534" s="226"/>
      <c r="T10534" s="226"/>
      <c r="U10534" s="226"/>
    </row>
    <row r="10535" spans="16:21" x14ac:dyDescent="0.35">
      <c r="P10535" s="226"/>
      <c r="Q10535" s="226"/>
      <c r="R10535" s="226"/>
      <c r="S10535" s="226"/>
      <c r="T10535" s="226"/>
      <c r="U10535" s="226"/>
    </row>
    <row r="10536" spans="16:21" x14ac:dyDescent="0.35">
      <c r="P10536" s="226"/>
      <c r="Q10536" s="226"/>
      <c r="R10536" s="226"/>
      <c r="S10536" s="226"/>
      <c r="T10536" s="226"/>
      <c r="U10536" s="226"/>
    </row>
    <row r="10537" spans="16:21" x14ac:dyDescent="0.35">
      <c r="P10537" s="226"/>
      <c r="Q10537" s="226"/>
      <c r="R10537" s="226"/>
      <c r="S10537" s="226"/>
      <c r="T10537" s="226"/>
      <c r="U10537" s="226"/>
    </row>
    <row r="10538" spans="16:21" x14ac:dyDescent="0.35">
      <c r="P10538" s="226"/>
      <c r="Q10538" s="226"/>
      <c r="R10538" s="226"/>
      <c r="S10538" s="226"/>
      <c r="T10538" s="226"/>
      <c r="U10538" s="226"/>
    </row>
    <row r="10539" spans="16:21" x14ac:dyDescent="0.35">
      <c r="P10539" s="226"/>
      <c r="Q10539" s="226"/>
      <c r="R10539" s="226"/>
      <c r="S10539" s="226"/>
      <c r="T10539" s="226"/>
      <c r="U10539" s="226"/>
    </row>
    <row r="10540" spans="16:21" x14ac:dyDescent="0.35">
      <c r="P10540" s="226"/>
      <c r="Q10540" s="226"/>
      <c r="R10540" s="226"/>
      <c r="S10540" s="226"/>
      <c r="T10540" s="226"/>
      <c r="U10540" s="226"/>
    </row>
    <row r="10541" spans="16:21" x14ac:dyDescent="0.35">
      <c r="P10541" s="226"/>
      <c r="Q10541" s="226"/>
      <c r="R10541" s="226"/>
      <c r="S10541" s="226"/>
      <c r="T10541" s="226"/>
      <c r="U10541" s="226"/>
    </row>
    <row r="10542" spans="16:21" x14ac:dyDescent="0.35">
      <c r="P10542" s="226"/>
      <c r="Q10542" s="226"/>
      <c r="R10542" s="226"/>
      <c r="S10542" s="226"/>
      <c r="T10542" s="226"/>
      <c r="U10542" s="226"/>
    </row>
    <row r="10543" spans="16:21" x14ac:dyDescent="0.35">
      <c r="P10543" s="226"/>
      <c r="Q10543" s="226"/>
      <c r="R10543" s="226"/>
      <c r="S10543" s="226"/>
      <c r="T10543" s="226"/>
      <c r="U10543" s="226"/>
    </row>
    <row r="10544" spans="16:21" x14ac:dyDescent="0.35">
      <c r="P10544" s="226"/>
      <c r="Q10544" s="226"/>
      <c r="R10544" s="226"/>
      <c r="S10544" s="226"/>
      <c r="T10544" s="226"/>
      <c r="U10544" s="226"/>
    </row>
    <row r="10545" spans="16:21" x14ac:dyDescent="0.35">
      <c r="P10545" s="226"/>
      <c r="Q10545" s="226"/>
      <c r="R10545" s="226"/>
      <c r="S10545" s="226"/>
      <c r="T10545" s="226"/>
      <c r="U10545" s="226"/>
    </row>
    <row r="10546" spans="16:21" x14ac:dyDescent="0.35">
      <c r="P10546" s="226"/>
      <c r="Q10546" s="226"/>
      <c r="R10546" s="226"/>
      <c r="S10546" s="226"/>
      <c r="T10546" s="226"/>
      <c r="U10546" s="226"/>
    </row>
    <row r="10547" spans="16:21" x14ac:dyDescent="0.35">
      <c r="P10547" s="226"/>
      <c r="Q10547" s="226"/>
      <c r="R10547" s="226"/>
      <c r="S10547" s="226"/>
      <c r="T10547" s="226"/>
      <c r="U10547" s="226"/>
    </row>
    <row r="10548" spans="16:21" x14ac:dyDescent="0.35">
      <c r="P10548" s="226"/>
      <c r="Q10548" s="226"/>
      <c r="R10548" s="226"/>
      <c r="S10548" s="226"/>
      <c r="T10548" s="226"/>
      <c r="U10548" s="226"/>
    </row>
    <row r="10549" spans="16:21" x14ac:dyDescent="0.35">
      <c r="P10549" s="226"/>
      <c r="Q10549" s="226"/>
      <c r="R10549" s="226"/>
      <c r="S10549" s="226"/>
      <c r="T10549" s="226"/>
      <c r="U10549" s="226"/>
    </row>
    <row r="10550" spans="16:21" x14ac:dyDescent="0.35">
      <c r="P10550" s="226"/>
      <c r="Q10550" s="226"/>
      <c r="R10550" s="226"/>
      <c r="S10550" s="226"/>
      <c r="T10550" s="226"/>
      <c r="U10550" s="226"/>
    </row>
    <row r="10551" spans="16:21" x14ac:dyDescent="0.35">
      <c r="P10551" s="226"/>
      <c r="Q10551" s="226"/>
      <c r="R10551" s="226"/>
      <c r="S10551" s="226"/>
      <c r="T10551" s="226"/>
      <c r="U10551" s="226"/>
    </row>
    <row r="10552" spans="16:21" x14ac:dyDescent="0.35">
      <c r="P10552" s="226"/>
      <c r="Q10552" s="226"/>
      <c r="R10552" s="226"/>
      <c r="S10552" s="226"/>
      <c r="T10552" s="226"/>
      <c r="U10552" s="226"/>
    </row>
    <row r="10553" spans="16:21" x14ac:dyDescent="0.35">
      <c r="P10553" s="226"/>
      <c r="Q10553" s="226"/>
      <c r="R10553" s="226"/>
      <c r="S10553" s="226"/>
      <c r="T10553" s="226"/>
      <c r="U10553" s="226"/>
    </row>
    <row r="10554" spans="16:21" x14ac:dyDescent="0.35">
      <c r="P10554" s="226"/>
      <c r="Q10554" s="226"/>
      <c r="R10554" s="226"/>
      <c r="S10554" s="226"/>
      <c r="T10554" s="226"/>
      <c r="U10554" s="226"/>
    </row>
    <row r="10555" spans="16:21" x14ac:dyDescent="0.35">
      <c r="P10555" s="226"/>
      <c r="Q10555" s="226"/>
      <c r="R10555" s="226"/>
      <c r="S10555" s="226"/>
      <c r="T10555" s="226"/>
      <c r="U10555" s="226"/>
    </row>
    <row r="10556" spans="16:21" x14ac:dyDescent="0.35">
      <c r="P10556" s="226"/>
      <c r="Q10556" s="226"/>
      <c r="R10556" s="226"/>
      <c r="S10556" s="226"/>
      <c r="T10556" s="226"/>
      <c r="U10556" s="226"/>
    </row>
    <row r="10557" spans="16:21" x14ac:dyDescent="0.35">
      <c r="P10557" s="226"/>
      <c r="Q10557" s="226"/>
      <c r="R10557" s="226"/>
      <c r="S10557" s="226"/>
      <c r="T10557" s="226"/>
      <c r="U10557" s="226"/>
    </row>
    <row r="10558" spans="16:21" x14ac:dyDescent="0.35">
      <c r="P10558" s="226"/>
      <c r="Q10558" s="226"/>
      <c r="R10558" s="226"/>
      <c r="S10558" s="226"/>
      <c r="T10558" s="226"/>
      <c r="U10558" s="226"/>
    </row>
    <row r="10559" spans="16:21" x14ac:dyDescent="0.35">
      <c r="P10559" s="226"/>
      <c r="Q10559" s="226"/>
      <c r="R10559" s="226"/>
      <c r="S10559" s="226"/>
      <c r="T10559" s="226"/>
      <c r="U10559" s="226"/>
    </row>
    <row r="10560" spans="16:21" x14ac:dyDescent="0.35">
      <c r="P10560" s="226"/>
      <c r="Q10560" s="226"/>
      <c r="R10560" s="226"/>
      <c r="S10560" s="226"/>
      <c r="T10560" s="226"/>
      <c r="U10560" s="226"/>
    </row>
    <row r="10561" spans="16:21" x14ac:dyDescent="0.35">
      <c r="P10561" s="226"/>
      <c r="Q10561" s="226"/>
      <c r="R10561" s="226"/>
      <c r="S10561" s="226"/>
      <c r="T10561" s="226"/>
      <c r="U10561" s="226"/>
    </row>
    <row r="10562" spans="16:21" x14ac:dyDescent="0.35">
      <c r="P10562" s="226"/>
      <c r="Q10562" s="226"/>
      <c r="R10562" s="226"/>
      <c r="S10562" s="226"/>
      <c r="T10562" s="226"/>
      <c r="U10562" s="226"/>
    </row>
    <row r="10563" spans="16:21" x14ac:dyDescent="0.35">
      <c r="P10563" s="226"/>
      <c r="Q10563" s="226"/>
      <c r="R10563" s="226"/>
      <c r="S10563" s="226"/>
      <c r="T10563" s="226"/>
      <c r="U10563" s="226"/>
    </row>
    <row r="10564" spans="16:21" x14ac:dyDescent="0.35">
      <c r="P10564" s="226"/>
      <c r="Q10564" s="226"/>
      <c r="R10564" s="226"/>
      <c r="S10564" s="226"/>
      <c r="T10564" s="226"/>
      <c r="U10564" s="226"/>
    </row>
    <row r="10565" spans="16:21" x14ac:dyDescent="0.35">
      <c r="P10565" s="226"/>
      <c r="Q10565" s="226"/>
      <c r="R10565" s="226"/>
      <c r="S10565" s="226"/>
      <c r="T10565" s="226"/>
      <c r="U10565" s="226"/>
    </row>
    <row r="10566" spans="16:21" x14ac:dyDescent="0.35">
      <c r="P10566" s="226"/>
      <c r="Q10566" s="226"/>
      <c r="R10566" s="226"/>
      <c r="S10566" s="226"/>
      <c r="T10566" s="226"/>
      <c r="U10566" s="226"/>
    </row>
    <row r="10567" spans="16:21" x14ac:dyDescent="0.35">
      <c r="P10567" s="226"/>
      <c r="Q10567" s="226"/>
      <c r="R10567" s="226"/>
      <c r="S10567" s="226"/>
      <c r="T10567" s="226"/>
      <c r="U10567" s="226"/>
    </row>
    <row r="10568" spans="16:21" x14ac:dyDescent="0.35">
      <c r="P10568" s="226"/>
      <c r="Q10568" s="226"/>
      <c r="R10568" s="226"/>
      <c r="S10568" s="226"/>
      <c r="T10568" s="226"/>
      <c r="U10568" s="226"/>
    </row>
    <row r="10569" spans="16:21" x14ac:dyDescent="0.35">
      <c r="P10569" s="226"/>
      <c r="Q10569" s="226"/>
      <c r="R10569" s="226"/>
      <c r="S10569" s="226"/>
      <c r="T10569" s="226"/>
      <c r="U10569" s="226"/>
    </row>
    <row r="10570" spans="16:21" x14ac:dyDescent="0.35">
      <c r="P10570" s="226"/>
      <c r="Q10570" s="226"/>
      <c r="R10570" s="226"/>
      <c r="S10570" s="226"/>
      <c r="T10570" s="226"/>
      <c r="U10570" s="226"/>
    </row>
    <row r="10571" spans="16:21" x14ac:dyDescent="0.35">
      <c r="P10571" s="226"/>
      <c r="Q10571" s="226"/>
      <c r="R10571" s="226"/>
      <c r="S10571" s="226"/>
      <c r="T10571" s="226"/>
      <c r="U10571" s="226"/>
    </row>
    <row r="10572" spans="16:21" x14ac:dyDescent="0.35">
      <c r="P10572" s="226"/>
      <c r="Q10572" s="226"/>
      <c r="R10572" s="226"/>
      <c r="S10572" s="226"/>
      <c r="T10572" s="226"/>
      <c r="U10572" s="226"/>
    </row>
    <row r="10573" spans="16:21" x14ac:dyDescent="0.35">
      <c r="P10573" s="226"/>
      <c r="Q10573" s="226"/>
      <c r="R10573" s="226"/>
      <c r="S10573" s="226"/>
      <c r="T10573" s="226"/>
      <c r="U10573" s="226"/>
    </row>
    <row r="10574" spans="16:21" x14ac:dyDescent="0.35">
      <c r="P10574" s="226"/>
      <c r="Q10574" s="226"/>
      <c r="R10574" s="226"/>
      <c r="S10574" s="226"/>
      <c r="T10574" s="226"/>
      <c r="U10574" s="226"/>
    </row>
    <row r="10575" spans="16:21" x14ac:dyDescent="0.35">
      <c r="P10575" s="226"/>
      <c r="Q10575" s="226"/>
      <c r="R10575" s="226"/>
      <c r="S10575" s="226"/>
      <c r="T10575" s="226"/>
      <c r="U10575" s="226"/>
    </row>
    <row r="10576" spans="16:21" x14ac:dyDescent="0.35">
      <c r="P10576" s="226"/>
      <c r="Q10576" s="226"/>
      <c r="R10576" s="226"/>
      <c r="S10576" s="226"/>
      <c r="T10576" s="226"/>
      <c r="U10576" s="226"/>
    </row>
    <row r="10577" spans="16:21" x14ac:dyDescent="0.35">
      <c r="P10577" s="226"/>
      <c r="Q10577" s="226"/>
      <c r="R10577" s="226"/>
      <c r="S10577" s="226"/>
      <c r="T10577" s="226"/>
      <c r="U10577" s="226"/>
    </row>
    <row r="10578" spans="16:21" x14ac:dyDescent="0.35">
      <c r="P10578" s="226"/>
      <c r="Q10578" s="226"/>
      <c r="R10578" s="226"/>
      <c r="S10578" s="226"/>
      <c r="T10578" s="226"/>
      <c r="U10578" s="226"/>
    </row>
    <row r="10579" spans="16:21" x14ac:dyDescent="0.35">
      <c r="P10579" s="226"/>
      <c r="Q10579" s="226"/>
      <c r="R10579" s="226"/>
      <c r="S10579" s="226"/>
      <c r="T10579" s="226"/>
      <c r="U10579" s="226"/>
    </row>
    <row r="10580" spans="16:21" x14ac:dyDescent="0.35">
      <c r="P10580" s="226"/>
      <c r="Q10580" s="226"/>
      <c r="R10580" s="226"/>
      <c r="S10580" s="226"/>
      <c r="T10580" s="226"/>
      <c r="U10580" s="226"/>
    </row>
    <row r="10581" spans="16:21" x14ac:dyDescent="0.35">
      <c r="P10581" s="226"/>
      <c r="Q10581" s="226"/>
      <c r="R10581" s="226"/>
      <c r="S10581" s="226"/>
      <c r="T10581" s="226"/>
      <c r="U10581" s="226"/>
    </row>
    <row r="10582" spans="16:21" x14ac:dyDescent="0.35">
      <c r="P10582" s="226"/>
      <c r="Q10582" s="226"/>
      <c r="R10582" s="226"/>
      <c r="S10582" s="226"/>
      <c r="T10582" s="226"/>
      <c r="U10582" s="226"/>
    </row>
    <row r="10583" spans="16:21" x14ac:dyDescent="0.35">
      <c r="P10583" s="226"/>
      <c r="Q10583" s="226"/>
      <c r="R10583" s="226"/>
      <c r="S10583" s="226"/>
      <c r="T10583" s="226"/>
      <c r="U10583" s="226"/>
    </row>
    <row r="10584" spans="16:21" x14ac:dyDescent="0.35">
      <c r="P10584" s="226"/>
      <c r="Q10584" s="226"/>
      <c r="R10584" s="226"/>
      <c r="S10584" s="226"/>
      <c r="T10584" s="226"/>
      <c r="U10584" s="226"/>
    </row>
    <row r="10585" spans="16:21" x14ac:dyDescent="0.35">
      <c r="P10585" s="226"/>
      <c r="Q10585" s="226"/>
      <c r="R10585" s="226"/>
      <c r="S10585" s="226"/>
      <c r="T10585" s="226"/>
      <c r="U10585" s="226"/>
    </row>
    <row r="10586" spans="16:21" x14ac:dyDescent="0.35">
      <c r="P10586" s="226"/>
      <c r="Q10586" s="226"/>
      <c r="R10586" s="226"/>
      <c r="S10586" s="226"/>
      <c r="T10586" s="226"/>
      <c r="U10586" s="226"/>
    </row>
    <row r="10587" spans="16:21" x14ac:dyDescent="0.35">
      <c r="P10587" s="226"/>
      <c r="Q10587" s="226"/>
      <c r="R10587" s="226"/>
      <c r="S10587" s="226"/>
      <c r="T10587" s="226"/>
      <c r="U10587" s="226"/>
    </row>
    <row r="10588" spans="16:21" x14ac:dyDescent="0.35">
      <c r="P10588" s="226"/>
      <c r="Q10588" s="226"/>
      <c r="R10588" s="226"/>
      <c r="S10588" s="226"/>
      <c r="T10588" s="226"/>
      <c r="U10588" s="226"/>
    </row>
    <row r="10589" spans="16:21" x14ac:dyDescent="0.35">
      <c r="P10589" s="226"/>
      <c r="Q10589" s="226"/>
      <c r="R10589" s="226"/>
      <c r="S10589" s="226"/>
      <c r="T10589" s="226"/>
      <c r="U10589" s="226"/>
    </row>
    <row r="10590" spans="16:21" x14ac:dyDescent="0.35">
      <c r="P10590" s="226"/>
      <c r="Q10590" s="226"/>
      <c r="R10590" s="226"/>
      <c r="S10590" s="226"/>
      <c r="T10590" s="226"/>
      <c r="U10590" s="226"/>
    </row>
    <row r="10591" spans="16:21" x14ac:dyDescent="0.35">
      <c r="P10591" s="226"/>
      <c r="Q10591" s="226"/>
      <c r="R10591" s="226"/>
      <c r="S10591" s="226"/>
      <c r="T10591" s="226"/>
      <c r="U10591" s="226"/>
    </row>
    <row r="10592" spans="16:21" x14ac:dyDescent="0.35">
      <c r="P10592" s="226"/>
      <c r="Q10592" s="226"/>
      <c r="R10592" s="226"/>
      <c r="S10592" s="226"/>
      <c r="T10592" s="226"/>
      <c r="U10592" s="226"/>
    </row>
    <row r="10593" spans="16:21" x14ac:dyDescent="0.35">
      <c r="P10593" s="226"/>
      <c r="Q10593" s="226"/>
      <c r="R10593" s="226"/>
      <c r="S10593" s="226"/>
      <c r="T10593" s="226"/>
      <c r="U10593" s="226"/>
    </row>
    <row r="10594" spans="16:21" x14ac:dyDescent="0.35">
      <c r="P10594" s="226"/>
      <c r="Q10594" s="226"/>
      <c r="R10594" s="226"/>
      <c r="S10594" s="226"/>
      <c r="T10594" s="226"/>
      <c r="U10594" s="226"/>
    </row>
    <row r="10595" spans="16:21" x14ac:dyDescent="0.35">
      <c r="P10595" s="226"/>
      <c r="Q10595" s="226"/>
      <c r="R10595" s="226"/>
      <c r="S10595" s="226"/>
      <c r="T10595" s="226"/>
      <c r="U10595" s="226"/>
    </row>
    <row r="10596" spans="16:21" x14ac:dyDescent="0.35">
      <c r="P10596" s="226"/>
      <c r="Q10596" s="226"/>
      <c r="R10596" s="226"/>
      <c r="S10596" s="226"/>
      <c r="T10596" s="226"/>
      <c r="U10596" s="226"/>
    </row>
    <row r="10597" spans="16:21" x14ac:dyDescent="0.35">
      <c r="P10597" s="226"/>
      <c r="Q10597" s="226"/>
      <c r="R10597" s="226"/>
      <c r="S10597" s="226"/>
      <c r="T10597" s="226"/>
      <c r="U10597" s="226"/>
    </row>
    <row r="10598" spans="16:21" x14ac:dyDescent="0.35">
      <c r="P10598" s="226"/>
      <c r="Q10598" s="226"/>
      <c r="R10598" s="226"/>
      <c r="S10598" s="226"/>
      <c r="T10598" s="226"/>
      <c r="U10598" s="226"/>
    </row>
    <row r="10599" spans="16:21" x14ac:dyDescent="0.35">
      <c r="P10599" s="226"/>
      <c r="Q10599" s="226"/>
      <c r="R10599" s="226"/>
      <c r="S10599" s="226"/>
      <c r="T10599" s="226"/>
      <c r="U10599" s="226"/>
    </row>
    <row r="10600" spans="16:21" x14ac:dyDescent="0.35">
      <c r="P10600" s="226"/>
      <c r="Q10600" s="226"/>
      <c r="R10600" s="226"/>
      <c r="S10600" s="226"/>
      <c r="T10600" s="226"/>
      <c r="U10600" s="226"/>
    </row>
    <row r="10601" spans="16:21" x14ac:dyDescent="0.35">
      <c r="P10601" s="226"/>
      <c r="Q10601" s="226"/>
      <c r="R10601" s="226"/>
      <c r="S10601" s="226"/>
      <c r="T10601" s="226"/>
      <c r="U10601" s="226"/>
    </row>
    <row r="10602" spans="16:21" x14ac:dyDescent="0.35">
      <c r="P10602" s="226"/>
      <c r="Q10602" s="226"/>
      <c r="R10602" s="226"/>
      <c r="S10602" s="226"/>
      <c r="T10602" s="226"/>
      <c r="U10602" s="226"/>
    </row>
    <row r="10603" spans="16:21" x14ac:dyDescent="0.35">
      <c r="P10603" s="226"/>
      <c r="Q10603" s="226"/>
      <c r="R10603" s="226"/>
      <c r="S10603" s="226"/>
      <c r="T10603" s="226"/>
      <c r="U10603" s="226"/>
    </row>
    <row r="10604" spans="16:21" x14ac:dyDescent="0.35">
      <c r="P10604" s="226"/>
      <c r="Q10604" s="226"/>
      <c r="R10604" s="226"/>
      <c r="S10604" s="226"/>
      <c r="T10604" s="226"/>
      <c r="U10604" s="226"/>
    </row>
    <row r="10605" spans="16:21" x14ac:dyDescent="0.35">
      <c r="P10605" s="226"/>
      <c r="Q10605" s="226"/>
      <c r="R10605" s="226"/>
      <c r="S10605" s="226"/>
      <c r="T10605" s="226"/>
      <c r="U10605" s="226"/>
    </row>
    <row r="10606" spans="16:21" x14ac:dyDescent="0.35">
      <c r="P10606" s="226"/>
      <c r="Q10606" s="226"/>
      <c r="R10606" s="226"/>
      <c r="S10606" s="226"/>
      <c r="T10606" s="226"/>
      <c r="U10606" s="226"/>
    </row>
    <row r="10607" spans="16:21" x14ac:dyDescent="0.35">
      <c r="P10607" s="226"/>
      <c r="Q10607" s="226"/>
      <c r="R10607" s="226"/>
      <c r="S10607" s="226"/>
      <c r="T10607" s="226"/>
      <c r="U10607" s="226"/>
    </row>
    <row r="10608" spans="16:21" x14ac:dyDescent="0.35">
      <c r="P10608" s="226"/>
      <c r="Q10608" s="226"/>
      <c r="R10608" s="226"/>
      <c r="S10608" s="226"/>
      <c r="T10608" s="226"/>
      <c r="U10608" s="226"/>
    </row>
    <row r="10609" spans="16:21" x14ac:dyDescent="0.35">
      <c r="P10609" s="226"/>
      <c r="Q10609" s="226"/>
      <c r="R10609" s="226"/>
      <c r="S10609" s="226"/>
      <c r="T10609" s="226"/>
      <c r="U10609" s="226"/>
    </row>
    <row r="10610" spans="16:21" x14ac:dyDescent="0.35">
      <c r="P10610" s="226"/>
      <c r="Q10610" s="226"/>
      <c r="R10610" s="226"/>
      <c r="S10610" s="226"/>
      <c r="T10610" s="226"/>
      <c r="U10610" s="226"/>
    </row>
    <row r="10611" spans="16:21" x14ac:dyDescent="0.35">
      <c r="P10611" s="226"/>
      <c r="Q10611" s="226"/>
      <c r="R10611" s="226"/>
      <c r="S10611" s="226"/>
      <c r="T10611" s="226"/>
      <c r="U10611" s="226"/>
    </row>
    <row r="10612" spans="16:21" x14ac:dyDescent="0.35">
      <c r="P10612" s="226"/>
      <c r="Q10612" s="226"/>
      <c r="R10612" s="226"/>
      <c r="S10612" s="226"/>
      <c r="T10612" s="226"/>
      <c r="U10612" s="226"/>
    </row>
    <row r="10613" spans="16:21" x14ac:dyDescent="0.35">
      <c r="P10613" s="226"/>
      <c r="Q10613" s="226"/>
      <c r="R10613" s="226"/>
      <c r="S10613" s="226"/>
      <c r="T10613" s="226"/>
      <c r="U10613" s="226"/>
    </row>
    <row r="10614" spans="16:21" x14ac:dyDescent="0.35">
      <c r="P10614" s="226"/>
      <c r="Q10614" s="226"/>
      <c r="R10614" s="226"/>
      <c r="S10614" s="226"/>
      <c r="T10614" s="226"/>
      <c r="U10614" s="226"/>
    </row>
    <row r="10615" spans="16:21" x14ac:dyDescent="0.35">
      <c r="P10615" s="226"/>
      <c r="Q10615" s="226"/>
      <c r="R10615" s="226"/>
      <c r="S10615" s="226"/>
      <c r="T10615" s="226"/>
      <c r="U10615" s="226"/>
    </row>
    <row r="10616" spans="16:21" x14ac:dyDescent="0.35">
      <c r="P10616" s="226"/>
      <c r="Q10616" s="226"/>
      <c r="R10616" s="226"/>
      <c r="S10616" s="226"/>
      <c r="T10616" s="226"/>
      <c r="U10616" s="226"/>
    </row>
    <row r="10617" spans="16:21" x14ac:dyDescent="0.35">
      <c r="P10617" s="226"/>
      <c r="Q10617" s="226"/>
      <c r="R10617" s="226"/>
      <c r="S10617" s="226"/>
      <c r="T10617" s="226"/>
      <c r="U10617" s="226"/>
    </row>
    <row r="10618" spans="16:21" x14ac:dyDescent="0.35">
      <c r="P10618" s="226"/>
      <c r="Q10618" s="226"/>
      <c r="R10618" s="226"/>
      <c r="S10618" s="226"/>
      <c r="T10618" s="226"/>
      <c r="U10618" s="226"/>
    </row>
    <row r="10619" spans="16:21" x14ac:dyDescent="0.35">
      <c r="P10619" s="226"/>
      <c r="Q10619" s="226"/>
      <c r="R10619" s="226"/>
      <c r="S10619" s="226"/>
      <c r="T10619" s="226"/>
      <c r="U10619" s="226"/>
    </row>
    <row r="10620" spans="16:21" x14ac:dyDescent="0.35">
      <c r="P10620" s="226"/>
      <c r="Q10620" s="226"/>
      <c r="R10620" s="226"/>
      <c r="S10620" s="226"/>
      <c r="T10620" s="226"/>
      <c r="U10620" s="226"/>
    </row>
    <row r="10621" spans="16:21" x14ac:dyDescent="0.35">
      <c r="P10621" s="226"/>
      <c r="Q10621" s="226"/>
      <c r="R10621" s="226"/>
      <c r="S10621" s="226"/>
      <c r="T10621" s="226"/>
      <c r="U10621" s="226"/>
    </row>
    <row r="10622" spans="16:21" x14ac:dyDescent="0.35">
      <c r="P10622" s="226"/>
      <c r="Q10622" s="226"/>
      <c r="R10622" s="226"/>
      <c r="S10622" s="226"/>
      <c r="T10622" s="226"/>
      <c r="U10622" s="226"/>
    </row>
    <row r="10623" spans="16:21" x14ac:dyDescent="0.35">
      <c r="P10623" s="226"/>
      <c r="Q10623" s="226"/>
      <c r="R10623" s="226"/>
      <c r="S10623" s="226"/>
      <c r="T10623" s="226"/>
      <c r="U10623" s="226"/>
    </row>
    <row r="10624" spans="16:21" x14ac:dyDescent="0.35">
      <c r="P10624" s="226"/>
      <c r="Q10624" s="226"/>
      <c r="R10624" s="226"/>
      <c r="S10624" s="226"/>
      <c r="T10624" s="226"/>
      <c r="U10624" s="226"/>
    </row>
    <row r="10625" spans="16:21" x14ac:dyDescent="0.35">
      <c r="P10625" s="226"/>
      <c r="Q10625" s="226"/>
      <c r="R10625" s="226"/>
      <c r="S10625" s="226"/>
      <c r="T10625" s="226"/>
      <c r="U10625" s="226"/>
    </row>
    <row r="10626" spans="16:21" x14ac:dyDescent="0.35">
      <c r="P10626" s="226"/>
      <c r="Q10626" s="226"/>
      <c r="R10626" s="226"/>
      <c r="S10626" s="226"/>
      <c r="T10626" s="226"/>
      <c r="U10626" s="226"/>
    </row>
    <row r="10627" spans="16:21" x14ac:dyDescent="0.35">
      <c r="P10627" s="226"/>
      <c r="Q10627" s="226"/>
      <c r="R10627" s="226"/>
      <c r="S10627" s="226"/>
      <c r="T10627" s="226"/>
      <c r="U10627" s="226"/>
    </row>
    <row r="10628" spans="16:21" x14ac:dyDescent="0.35">
      <c r="P10628" s="226"/>
      <c r="Q10628" s="226"/>
      <c r="R10628" s="226"/>
      <c r="S10628" s="226"/>
      <c r="T10628" s="226"/>
      <c r="U10628" s="226"/>
    </row>
    <row r="10629" spans="16:21" x14ac:dyDescent="0.35">
      <c r="P10629" s="226"/>
      <c r="Q10629" s="226"/>
      <c r="R10629" s="226"/>
      <c r="S10629" s="226"/>
      <c r="T10629" s="226"/>
      <c r="U10629" s="226"/>
    </row>
    <row r="10630" spans="16:21" x14ac:dyDescent="0.35">
      <c r="P10630" s="226"/>
      <c r="Q10630" s="226"/>
      <c r="R10630" s="226"/>
      <c r="S10630" s="226"/>
      <c r="T10630" s="226"/>
      <c r="U10630" s="226"/>
    </row>
    <row r="10631" spans="16:21" x14ac:dyDescent="0.35">
      <c r="P10631" s="226"/>
      <c r="Q10631" s="226"/>
      <c r="R10631" s="226"/>
      <c r="S10631" s="226"/>
      <c r="T10631" s="226"/>
      <c r="U10631" s="226"/>
    </row>
    <row r="10632" spans="16:21" x14ac:dyDescent="0.35">
      <c r="P10632" s="226"/>
      <c r="Q10632" s="226"/>
      <c r="R10632" s="226"/>
      <c r="S10632" s="226"/>
      <c r="T10632" s="226"/>
      <c r="U10632" s="226"/>
    </row>
    <row r="10633" spans="16:21" x14ac:dyDescent="0.35">
      <c r="P10633" s="226"/>
      <c r="Q10633" s="226"/>
      <c r="R10633" s="226"/>
      <c r="S10633" s="226"/>
      <c r="T10633" s="226"/>
      <c r="U10633" s="226"/>
    </row>
    <row r="10634" spans="16:21" x14ac:dyDescent="0.35">
      <c r="P10634" s="226"/>
      <c r="Q10634" s="226"/>
      <c r="R10634" s="226"/>
      <c r="S10634" s="226"/>
      <c r="T10634" s="226"/>
      <c r="U10634" s="226"/>
    </row>
    <row r="10635" spans="16:21" x14ac:dyDescent="0.35">
      <c r="P10635" s="226"/>
      <c r="Q10635" s="226"/>
      <c r="R10635" s="226"/>
      <c r="S10635" s="226"/>
      <c r="T10635" s="226"/>
      <c r="U10635" s="226"/>
    </row>
    <row r="10636" spans="16:21" x14ac:dyDescent="0.35">
      <c r="P10636" s="226"/>
      <c r="Q10636" s="226"/>
      <c r="R10636" s="226"/>
      <c r="S10636" s="226"/>
      <c r="T10636" s="226"/>
      <c r="U10636" s="226"/>
    </row>
    <row r="10637" spans="16:21" x14ac:dyDescent="0.35">
      <c r="P10637" s="226"/>
      <c r="Q10637" s="226"/>
      <c r="R10637" s="226"/>
      <c r="S10637" s="226"/>
      <c r="T10637" s="226"/>
      <c r="U10637" s="226"/>
    </row>
    <row r="10638" spans="16:21" x14ac:dyDescent="0.35">
      <c r="P10638" s="226"/>
      <c r="Q10638" s="226"/>
      <c r="R10638" s="226"/>
      <c r="S10638" s="226"/>
      <c r="T10638" s="226"/>
      <c r="U10638" s="226"/>
    </row>
    <row r="10639" spans="16:21" x14ac:dyDescent="0.35">
      <c r="P10639" s="226"/>
      <c r="Q10639" s="226"/>
      <c r="R10639" s="226"/>
      <c r="S10639" s="226"/>
      <c r="T10639" s="226"/>
      <c r="U10639" s="226"/>
    </row>
    <row r="10640" spans="16:21" x14ac:dyDescent="0.35">
      <c r="P10640" s="226"/>
      <c r="Q10640" s="226"/>
      <c r="R10640" s="226"/>
      <c r="S10640" s="226"/>
      <c r="T10640" s="226"/>
      <c r="U10640" s="226"/>
    </row>
    <row r="10641" spans="16:21" x14ac:dyDescent="0.35">
      <c r="P10641" s="226"/>
      <c r="Q10641" s="226"/>
      <c r="R10641" s="226"/>
      <c r="S10641" s="226"/>
      <c r="T10641" s="226"/>
      <c r="U10641" s="226"/>
    </row>
    <row r="10642" spans="16:21" x14ac:dyDescent="0.35">
      <c r="P10642" s="226"/>
      <c r="Q10642" s="226"/>
      <c r="R10642" s="226"/>
      <c r="S10642" s="226"/>
      <c r="T10642" s="226"/>
      <c r="U10642" s="226"/>
    </row>
    <row r="10643" spans="16:21" x14ac:dyDescent="0.35">
      <c r="P10643" s="226"/>
      <c r="Q10643" s="226"/>
      <c r="R10643" s="226"/>
      <c r="S10643" s="226"/>
      <c r="T10643" s="226"/>
      <c r="U10643" s="226"/>
    </row>
    <row r="10644" spans="16:21" x14ac:dyDescent="0.35">
      <c r="P10644" s="226"/>
      <c r="Q10644" s="226"/>
      <c r="R10644" s="226"/>
      <c r="S10644" s="226"/>
      <c r="T10644" s="226"/>
      <c r="U10644" s="226"/>
    </row>
    <row r="10645" spans="16:21" x14ac:dyDescent="0.35">
      <c r="P10645" s="226"/>
      <c r="Q10645" s="226"/>
      <c r="R10645" s="226"/>
      <c r="S10645" s="226"/>
      <c r="T10645" s="226"/>
      <c r="U10645" s="226"/>
    </row>
    <row r="10646" spans="16:21" x14ac:dyDescent="0.35">
      <c r="P10646" s="226"/>
      <c r="Q10646" s="226"/>
      <c r="R10646" s="226"/>
      <c r="S10646" s="226"/>
      <c r="T10646" s="226"/>
      <c r="U10646" s="226"/>
    </row>
    <row r="10647" spans="16:21" x14ac:dyDescent="0.35">
      <c r="P10647" s="226"/>
      <c r="Q10647" s="226"/>
      <c r="R10647" s="226"/>
      <c r="S10647" s="226"/>
      <c r="T10647" s="226"/>
      <c r="U10647" s="226"/>
    </row>
    <row r="10648" spans="16:21" x14ac:dyDescent="0.35">
      <c r="P10648" s="226"/>
      <c r="Q10648" s="226"/>
      <c r="R10648" s="226"/>
      <c r="S10648" s="226"/>
      <c r="T10648" s="226"/>
      <c r="U10648" s="226"/>
    </row>
    <row r="10649" spans="16:21" x14ac:dyDescent="0.35">
      <c r="P10649" s="226"/>
      <c r="Q10649" s="226"/>
      <c r="R10649" s="226"/>
      <c r="S10649" s="226"/>
      <c r="T10649" s="226"/>
      <c r="U10649" s="226"/>
    </row>
    <row r="10650" spans="16:21" x14ac:dyDescent="0.35">
      <c r="P10650" s="226"/>
      <c r="Q10650" s="226"/>
      <c r="R10650" s="226"/>
      <c r="S10650" s="226"/>
      <c r="T10650" s="226"/>
      <c r="U10650" s="226"/>
    </row>
    <row r="10651" spans="16:21" x14ac:dyDescent="0.35">
      <c r="P10651" s="226"/>
      <c r="Q10651" s="226"/>
      <c r="R10651" s="226"/>
      <c r="S10651" s="226"/>
      <c r="T10651" s="226"/>
      <c r="U10651" s="226"/>
    </row>
    <row r="10652" spans="16:21" x14ac:dyDescent="0.35">
      <c r="P10652" s="226"/>
      <c r="Q10652" s="226"/>
      <c r="R10652" s="226"/>
      <c r="S10652" s="226"/>
      <c r="T10652" s="226"/>
      <c r="U10652" s="226"/>
    </row>
    <row r="10653" spans="16:21" x14ac:dyDescent="0.35">
      <c r="P10653" s="226"/>
      <c r="Q10653" s="226"/>
      <c r="R10653" s="226"/>
      <c r="S10653" s="226"/>
      <c r="T10653" s="226"/>
      <c r="U10653" s="226"/>
    </row>
    <row r="10654" spans="16:21" x14ac:dyDescent="0.35">
      <c r="P10654" s="226"/>
      <c r="Q10654" s="226"/>
      <c r="R10654" s="226"/>
      <c r="S10654" s="226"/>
      <c r="T10654" s="226"/>
      <c r="U10654" s="226"/>
    </row>
    <row r="10655" spans="16:21" x14ac:dyDescent="0.35">
      <c r="P10655" s="226"/>
      <c r="Q10655" s="226"/>
      <c r="R10655" s="226"/>
      <c r="S10655" s="226"/>
      <c r="T10655" s="226"/>
      <c r="U10655" s="226"/>
    </row>
    <row r="10656" spans="16:21" x14ac:dyDescent="0.35">
      <c r="P10656" s="226"/>
      <c r="Q10656" s="226"/>
      <c r="R10656" s="226"/>
      <c r="S10656" s="226"/>
      <c r="T10656" s="226"/>
      <c r="U10656" s="226"/>
    </row>
    <row r="10657" spans="16:21" x14ac:dyDescent="0.35">
      <c r="P10657" s="226"/>
      <c r="Q10657" s="226"/>
      <c r="R10657" s="226"/>
      <c r="S10657" s="226"/>
      <c r="T10657" s="226"/>
      <c r="U10657" s="226"/>
    </row>
    <row r="10658" spans="16:21" x14ac:dyDescent="0.35">
      <c r="P10658" s="226"/>
      <c r="Q10658" s="226"/>
      <c r="R10658" s="226"/>
      <c r="S10658" s="226"/>
      <c r="T10658" s="226"/>
      <c r="U10658" s="226"/>
    </row>
    <row r="10659" spans="16:21" x14ac:dyDescent="0.35">
      <c r="P10659" s="226"/>
      <c r="Q10659" s="226"/>
      <c r="R10659" s="226"/>
      <c r="S10659" s="226"/>
      <c r="T10659" s="226"/>
      <c r="U10659" s="226"/>
    </row>
    <row r="10660" spans="16:21" x14ac:dyDescent="0.35">
      <c r="P10660" s="226"/>
      <c r="Q10660" s="226"/>
      <c r="R10660" s="226"/>
      <c r="S10660" s="226"/>
      <c r="T10660" s="226"/>
      <c r="U10660" s="226"/>
    </row>
    <row r="10661" spans="16:21" x14ac:dyDescent="0.35">
      <c r="P10661" s="226"/>
      <c r="Q10661" s="226"/>
      <c r="R10661" s="226"/>
      <c r="S10661" s="226"/>
      <c r="T10661" s="226"/>
      <c r="U10661" s="226"/>
    </row>
    <row r="10662" spans="16:21" x14ac:dyDescent="0.35">
      <c r="P10662" s="226"/>
      <c r="Q10662" s="226"/>
      <c r="R10662" s="226"/>
      <c r="S10662" s="226"/>
      <c r="T10662" s="226"/>
      <c r="U10662" s="226"/>
    </row>
    <row r="10663" spans="16:21" x14ac:dyDescent="0.35">
      <c r="P10663" s="226"/>
      <c r="Q10663" s="226"/>
      <c r="R10663" s="226"/>
      <c r="S10663" s="226"/>
      <c r="T10663" s="226"/>
      <c r="U10663" s="226"/>
    </row>
    <row r="10664" spans="16:21" x14ac:dyDescent="0.35">
      <c r="P10664" s="226"/>
      <c r="Q10664" s="226"/>
      <c r="R10664" s="226"/>
      <c r="S10664" s="226"/>
      <c r="T10664" s="226"/>
      <c r="U10664" s="226"/>
    </row>
    <row r="10665" spans="16:21" x14ac:dyDescent="0.35">
      <c r="P10665" s="226"/>
      <c r="Q10665" s="226"/>
      <c r="R10665" s="226"/>
      <c r="S10665" s="226"/>
      <c r="T10665" s="226"/>
      <c r="U10665" s="226"/>
    </row>
    <row r="10666" spans="16:21" x14ac:dyDescent="0.35">
      <c r="P10666" s="226"/>
      <c r="Q10666" s="226"/>
      <c r="R10666" s="226"/>
      <c r="S10666" s="226"/>
      <c r="T10666" s="226"/>
      <c r="U10666" s="226"/>
    </row>
    <row r="10667" spans="16:21" x14ac:dyDescent="0.35">
      <c r="P10667" s="226"/>
      <c r="Q10667" s="226"/>
      <c r="R10667" s="226"/>
      <c r="S10667" s="226"/>
      <c r="T10667" s="226"/>
      <c r="U10667" s="226"/>
    </row>
    <row r="10668" spans="16:21" x14ac:dyDescent="0.35">
      <c r="P10668" s="226"/>
      <c r="Q10668" s="226"/>
      <c r="R10668" s="226"/>
      <c r="S10668" s="226"/>
      <c r="T10668" s="226"/>
      <c r="U10668" s="226"/>
    </row>
    <row r="10669" spans="16:21" x14ac:dyDescent="0.35">
      <c r="P10669" s="226"/>
      <c r="Q10669" s="226"/>
      <c r="R10669" s="226"/>
      <c r="S10669" s="226"/>
      <c r="T10669" s="226"/>
      <c r="U10669" s="226"/>
    </row>
    <row r="10670" spans="16:21" x14ac:dyDescent="0.35">
      <c r="P10670" s="226"/>
      <c r="Q10670" s="226"/>
      <c r="R10670" s="226"/>
      <c r="S10670" s="226"/>
      <c r="T10670" s="226"/>
      <c r="U10670" s="226"/>
    </row>
    <row r="10671" spans="16:21" x14ac:dyDescent="0.35">
      <c r="P10671" s="226"/>
      <c r="Q10671" s="226"/>
      <c r="R10671" s="226"/>
      <c r="S10671" s="226"/>
      <c r="T10671" s="226"/>
      <c r="U10671" s="226"/>
    </row>
    <row r="10672" spans="16:21" x14ac:dyDescent="0.35">
      <c r="P10672" s="226"/>
      <c r="Q10672" s="226"/>
      <c r="R10672" s="226"/>
      <c r="S10672" s="226"/>
      <c r="T10672" s="226"/>
      <c r="U10672" s="226"/>
    </row>
    <row r="10673" spans="16:21" x14ac:dyDescent="0.35">
      <c r="P10673" s="226"/>
      <c r="Q10673" s="226"/>
      <c r="R10673" s="226"/>
      <c r="S10673" s="226"/>
      <c r="T10673" s="226"/>
      <c r="U10673" s="226"/>
    </row>
    <row r="10674" spans="16:21" x14ac:dyDescent="0.35">
      <c r="P10674" s="226"/>
      <c r="Q10674" s="226"/>
      <c r="R10674" s="226"/>
      <c r="S10674" s="226"/>
      <c r="T10674" s="226"/>
      <c r="U10674" s="226"/>
    </row>
    <row r="10675" spans="16:21" x14ac:dyDescent="0.35">
      <c r="P10675" s="226"/>
      <c r="Q10675" s="226"/>
      <c r="R10675" s="226"/>
      <c r="S10675" s="226"/>
      <c r="T10675" s="226"/>
      <c r="U10675" s="226"/>
    </row>
    <row r="10676" spans="16:21" x14ac:dyDescent="0.35">
      <c r="P10676" s="226"/>
      <c r="Q10676" s="226"/>
      <c r="R10676" s="226"/>
      <c r="S10676" s="226"/>
      <c r="T10676" s="226"/>
      <c r="U10676" s="226"/>
    </row>
    <row r="10677" spans="16:21" x14ac:dyDescent="0.35">
      <c r="P10677" s="226"/>
      <c r="Q10677" s="226"/>
      <c r="R10677" s="226"/>
      <c r="S10677" s="226"/>
      <c r="T10677" s="226"/>
      <c r="U10677" s="226"/>
    </row>
    <row r="10678" spans="16:21" x14ac:dyDescent="0.35">
      <c r="P10678" s="226"/>
      <c r="Q10678" s="226"/>
      <c r="R10678" s="226"/>
      <c r="S10678" s="226"/>
      <c r="T10678" s="226"/>
      <c r="U10678" s="226"/>
    </row>
    <row r="10679" spans="16:21" x14ac:dyDescent="0.35">
      <c r="P10679" s="226"/>
      <c r="Q10679" s="226"/>
      <c r="R10679" s="226"/>
      <c r="S10679" s="226"/>
      <c r="T10679" s="226"/>
      <c r="U10679" s="226"/>
    </row>
    <row r="10680" spans="16:21" x14ac:dyDescent="0.35">
      <c r="P10680" s="226"/>
      <c r="Q10680" s="226"/>
      <c r="R10680" s="226"/>
      <c r="S10680" s="226"/>
      <c r="T10680" s="226"/>
      <c r="U10680" s="226"/>
    </row>
    <row r="10681" spans="16:21" x14ac:dyDescent="0.35">
      <c r="P10681" s="226"/>
      <c r="Q10681" s="226"/>
      <c r="R10681" s="226"/>
      <c r="S10681" s="226"/>
      <c r="T10681" s="226"/>
      <c r="U10681" s="226"/>
    </row>
    <row r="10682" spans="16:21" x14ac:dyDescent="0.35">
      <c r="P10682" s="226"/>
      <c r="Q10682" s="226"/>
      <c r="R10682" s="226"/>
      <c r="S10682" s="226"/>
      <c r="T10682" s="226"/>
      <c r="U10682" s="226"/>
    </row>
    <row r="10683" spans="16:21" x14ac:dyDescent="0.35">
      <c r="P10683" s="226"/>
      <c r="Q10683" s="226"/>
      <c r="R10683" s="226"/>
      <c r="S10683" s="226"/>
      <c r="T10683" s="226"/>
      <c r="U10683" s="226"/>
    </row>
    <row r="10684" spans="16:21" x14ac:dyDescent="0.35">
      <c r="P10684" s="226"/>
      <c r="Q10684" s="226"/>
      <c r="R10684" s="226"/>
      <c r="S10684" s="226"/>
      <c r="T10684" s="226"/>
      <c r="U10684" s="226"/>
    </row>
    <row r="10685" spans="16:21" x14ac:dyDescent="0.35">
      <c r="P10685" s="226"/>
      <c r="Q10685" s="226"/>
      <c r="R10685" s="226"/>
      <c r="S10685" s="226"/>
      <c r="T10685" s="226"/>
      <c r="U10685" s="226"/>
    </row>
    <row r="10686" spans="16:21" x14ac:dyDescent="0.35">
      <c r="P10686" s="226"/>
      <c r="Q10686" s="226"/>
      <c r="R10686" s="226"/>
      <c r="S10686" s="226"/>
      <c r="T10686" s="226"/>
      <c r="U10686" s="226"/>
    </row>
    <row r="10687" spans="16:21" x14ac:dyDescent="0.35">
      <c r="P10687" s="226"/>
      <c r="Q10687" s="226"/>
      <c r="R10687" s="226"/>
      <c r="S10687" s="226"/>
      <c r="T10687" s="226"/>
      <c r="U10687" s="226"/>
    </row>
    <row r="10688" spans="16:21" x14ac:dyDescent="0.35">
      <c r="P10688" s="226"/>
      <c r="Q10688" s="226"/>
      <c r="R10688" s="226"/>
      <c r="S10688" s="226"/>
      <c r="T10688" s="226"/>
      <c r="U10688" s="226"/>
    </row>
    <row r="10689" spans="16:21" x14ac:dyDescent="0.35">
      <c r="P10689" s="226"/>
      <c r="Q10689" s="226"/>
      <c r="R10689" s="226"/>
      <c r="S10689" s="226"/>
      <c r="T10689" s="226"/>
      <c r="U10689" s="226"/>
    </row>
    <row r="10690" spans="16:21" x14ac:dyDescent="0.35">
      <c r="P10690" s="226"/>
      <c r="Q10690" s="226"/>
      <c r="R10690" s="226"/>
      <c r="S10690" s="226"/>
      <c r="T10690" s="226"/>
      <c r="U10690" s="226"/>
    </row>
    <row r="10691" spans="16:21" x14ac:dyDescent="0.35">
      <c r="P10691" s="226"/>
      <c r="Q10691" s="226"/>
      <c r="R10691" s="226"/>
      <c r="S10691" s="226"/>
      <c r="T10691" s="226"/>
      <c r="U10691" s="226"/>
    </row>
    <row r="10692" spans="16:21" x14ac:dyDescent="0.35">
      <c r="P10692" s="226"/>
      <c r="Q10692" s="226"/>
      <c r="R10692" s="226"/>
      <c r="S10692" s="226"/>
      <c r="T10692" s="226"/>
      <c r="U10692" s="226"/>
    </row>
    <row r="10693" spans="16:21" x14ac:dyDescent="0.35">
      <c r="P10693" s="226"/>
      <c r="Q10693" s="226"/>
      <c r="R10693" s="226"/>
      <c r="S10693" s="226"/>
      <c r="T10693" s="226"/>
      <c r="U10693" s="226"/>
    </row>
    <row r="10694" spans="16:21" x14ac:dyDescent="0.35">
      <c r="P10694" s="226"/>
      <c r="Q10694" s="226"/>
      <c r="R10694" s="226"/>
      <c r="S10694" s="226"/>
      <c r="T10694" s="226"/>
      <c r="U10694" s="226"/>
    </row>
    <row r="10695" spans="16:21" x14ac:dyDescent="0.35">
      <c r="P10695" s="226"/>
      <c r="Q10695" s="226"/>
      <c r="R10695" s="226"/>
      <c r="S10695" s="226"/>
      <c r="T10695" s="226"/>
      <c r="U10695" s="226"/>
    </row>
    <row r="10696" spans="16:21" x14ac:dyDescent="0.35">
      <c r="P10696" s="226"/>
      <c r="Q10696" s="226"/>
      <c r="R10696" s="226"/>
      <c r="S10696" s="226"/>
      <c r="T10696" s="226"/>
      <c r="U10696" s="226"/>
    </row>
    <row r="10697" spans="16:21" x14ac:dyDescent="0.35">
      <c r="P10697" s="226"/>
      <c r="Q10697" s="226"/>
      <c r="R10697" s="226"/>
      <c r="S10697" s="226"/>
      <c r="T10697" s="226"/>
      <c r="U10697" s="226"/>
    </row>
    <row r="10698" spans="16:21" x14ac:dyDescent="0.35">
      <c r="P10698" s="226"/>
      <c r="Q10698" s="226"/>
      <c r="R10698" s="226"/>
      <c r="S10698" s="226"/>
      <c r="T10698" s="226"/>
      <c r="U10698" s="226"/>
    </row>
    <row r="10699" spans="16:21" x14ac:dyDescent="0.35">
      <c r="P10699" s="226"/>
      <c r="Q10699" s="226"/>
      <c r="R10699" s="226"/>
      <c r="S10699" s="226"/>
      <c r="T10699" s="226"/>
      <c r="U10699" s="226"/>
    </row>
    <row r="10700" spans="16:21" x14ac:dyDescent="0.35">
      <c r="P10700" s="226"/>
      <c r="Q10700" s="226"/>
      <c r="R10700" s="226"/>
      <c r="S10700" s="226"/>
      <c r="T10700" s="226"/>
      <c r="U10700" s="226"/>
    </row>
    <row r="10701" spans="16:21" x14ac:dyDescent="0.35">
      <c r="P10701" s="226"/>
      <c r="Q10701" s="226"/>
      <c r="R10701" s="226"/>
      <c r="S10701" s="226"/>
      <c r="T10701" s="226"/>
      <c r="U10701" s="226"/>
    </row>
    <row r="10702" spans="16:21" x14ac:dyDescent="0.35">
      <c r="P10702" s="226"/>
      <c r="Q10702" s="226"/>
      <c r="R10702" s="226"/>
      <c r="S10702" s="226"/>
      <c r="T10702" s="226"/>
      <c r="U10702" s="226"/>
    </row>
    <row r="10703" spans="16:21" x14ac:dyDescent="0.35">
      <c r="P10703" s="226"/>
      <c r="Q10703" s="226"/>
      <c r="R10703" s="226"/>
      <c r="S10703" s="226"/>
      <c r="T10703" s="226"/>
      <c r="U10703" s="226"/>
    </row>
    <row r="10704" spans="16:21" x14ac:dyDescent="0.35">
      <c r="P10704" s="226"/>
      <c r="Q10704" s="226"/>
      <c r="R10704" s="226"/>
      <c r="S10704" s="226"/>
      <c r="T10704" s="226"/>
      <c r="U10704" s="226"/>
    </row>
    <row r="10705" spans="16:21" x14ac:dyDescent="0.35">
      <c r="P10705" s="226"/>
      <c r="Q10705" s="226"/>
      <c r="R10705" s="226"/>
      <c r="S10705" s="226"/>
      <c r="T10705" s="226"/>
      <c r="U10705" s="226"/>
    </row>
    <row r="10706" spans="16:21" x14ac:dyDescent="0.35">
      <c r="P10706" s="226"/>
      <c r="Q10706" s="226"/>
      <c r="R10706" s="226"/>
      <c r="S10706" s="226"/>
      <c r="T10706" s="226"/>
      <c r="U10706" s="226"/>
    </row>
    <row r="10707" spans="16:21" x14ac:dyDescent="0.35">
      <c r="P10707" s="226"/>
      <c r="Q10707" s="226"/>
      <c r="R10707" s="226"/>
      <c r="S10707" s="226"/>
      <c r="T10707" s="226"/>
      <c r="U10707" s="226"/>
    </row>
    <row r="10708" spans="16:21" x14ac:dyDescent="0.35">
      <c r="P10708" s="226"/>
      <c r="Q10708" s="226"/>
      <c r="R10708" s="226"/>
      <c r="S10708" s="226"/>
      <c r="T10708" s="226"/>
      <c r="U10708" s="226"/>
    </row>
    <row r="10709" spans="16:21" x14ac:dyDescent="0.35">
      <c r="P10709" s="226"/>
      <c r="Q10709" s="226"/>
      <c r="R10709" s="226"/>
      <c r="S10709" s="226"/>
      <c r="T10709" s="226"/>
      <c r="U10709" s="226"/>
    </row>
    <row r="10710" spans="16:21" x14ac:dyDescent="0.35">
      <c r="P10710" s="226"/>
      <c r="Q10710" s="226"/>
      <c r="R10710" s="226"/>
      <c r="S10710" s="226"/>
      <c r="T10710" s="226"/>
      <c r="U10710" s="226"/>
    </row>
    <row r="10711" spans="16:21" x14ac:dyDescent="0.35">
      <c r="P10711" s="226"/>
      <c r="Q10711" s="226"/>
      <c r="R10711" s="226"/>
      <c r="S10711" s="226"/>
      <c r="T10711" s="226"/>
      <c r="U10711" s="226"/>
    </row>
    <row r="10712" spans="16:21" x14ac:dyDescent="0.35">
      <c r="P10712" s="226"/>
      <c r="Q10712" s="226"/>
      <c r="R10712" s="226"/>
      <c r="S10712" s="226"/>
      <c r="T10712" s="226"/>
      <c r="U10712" s="226"/>
    </row>
    <row r="10713" spans="16:21" x14ac:dyDescent="0.35">
      <c r="P10713" s="226"/>
      <c r="Q10713" s="226"/>
      <c r="R10713" s="226"/>
      <c r="S10713" s="226"/>
      <c r="T10713" s="226"/>
      <c r="U10713" s="226"/>
    </row>
    <row r="10714" spans="16:21" x14ac:dyDescent="0.35">
      <c r="P10714" s="226"/>
      <c r="Q10714" s="226"/>
      <c r="R10714" s="226"/>
      <c r="S10714" s="226"/>
      <c r="T10714" s="226"/>
      <c r="U10714" s="226"/>
    </row>
    <row r="10715" spans="16:21" x14ac:dyDescent="0.35">
      <c r="P10715" s="226"/>
      <c r="Q10715" s="226"/>
      <c r="R10715" s="226"/>
      <c r="S10715" s="226"/>
      <c r="T10715" s="226"/>
      <c r="U10715" s="226"/>
    </row>
    <row r="10716" spans="16:21" x14ac:dyDescent="0.35">
      <c r="P10716" s="226"/>
      <c r="Q10716" s="226"/>
      <c r="R10716" s="226"/>
      <c r="S10716" s="226"/>
      <c r="T10716" s="226"/>
      <c r="U10716" s="226"/>
    </row>
    <row r="10717" spans="16:21" x14ac:dyDescent="0.35">
      <c r="P10717" s="226"/>
      <c r="Q10717" s="226"/>
      <c r="R10717" s="226"/>
      <c r="S10717" s="226"/>
      <c r="T10717" s="226"/>
      <c r="U10717" s="226"/>
    </row>
    <row r="10718" spans="16:21" x14ac:dyDescent="0.35">
      <c r="P10718" s="226"/>
      <c r="Q10718" s="226"/>
      <c r="R10718" s="226"/>
      <c r="S10718" s="226"/>
      <c r="T10718" s="226"/>
      <c r="U10718" s="226"/>
    </row>
    <row r="10719" spans="16:21" x14ac:dyDescent="0.35">
      <c r="P10719" s="226"/>
      <c r="Q10719" s="226"/>
      <c r="R10719" s="226"/>
      <c r="S10719" s="226"/>
      <c r="T10719" s="226"/>
      <c r="U10719" s="226"/>
    </row>
    <row r="10720" spans="16:21" x14ac:dyDescent="0.35">
      <c r="P10720" s="226"/>
      <c r="Q10720" s="226"/>
      <c r="R10720" s="226"/>
      <c r="S10720" s="226"/>
      <c r="T10720" s="226"/>
      <c r="U10720" s="226"/>
    </row>
    <row r="10721" spans="16:21" x14ac:dyDescent="0.35">
      <c r="P10721" s="226"/>
      <c r="Q10721" s="226"/>
      <c r="R10721" s="226"/>
      <c r="S10721" s="226"/>
      <c r="T10721" s="226"/>
      <c r="U10721" s="226"/>
    </row>
    <row r="10722" spans="16:21" x14ac:dyDescent="0.35">
      <c r="P10722" s="226"/>
      <c r="Q10722" s="226"/>
      <c r="R10722" s="226"/>
      <c r="S10722" s="226"/>
      <c r="T10722" s="226"/>
      <c r="U10722" s="226"/>
    </row>
    <row r="10723" spans="16:21" x14ac:dyDescent="0.35">
      <c r="P10723" s="226"/>
      <c r="Q10723" s="226"/>
      <c r="R10723" s="226"/>
      <c r="S10723" s="226"/>
      <c r="T10723" s="226"/>
      <c r="U10723" s="226"/>
    </row>
    <row r="10724" spans="16:21" x14ac:dyDescent="0.35">
      <c r="P10724" s="226"/>
      <c r="Q10724" s="226"/>
      <c r="R10724" s="226"/>
      <c r="S10724" s="226"/>
      <c r="T10724" s="226"/>
      <c r="U10724" s="226"/>
    </row>
    <row r="10725" spans="16:21" x14ac:dyDescent="0.35">
      <c r="P10725" s="226"/>
      <c r="Q10725" s="226"/>
      <c r="R10725" s="226"/>
      <c r="S10725" s="226"/>
      <c r="T10725" s="226"/>
      <c r="U10725" s="226"/>
    </row>
    <row r="10726" spans="16:21" x14ac:dyDescent="0.35">
      <c r="P10726" s="226"/>
      <c r="Q10726" s="226"/>
      <c r="R10726" s="226"/>
      <c r="S10726" s="226"/>
      <c r="T10726" s="226"/>
      <c r="U10726" s="226"/>
    </row>
    <row r="10727" spans="16:21" x14ac:dyDescent="0.35">
      <c r="P10727" s="226"/>
      <c r="Q10727" s="226"/>
      <c r="R10727" s="226"/>
      <c r="S10727" s="226"/>
      <c r="T10727" s="226"/>
      <c r="U10727" s="226"/>
    </row>
    <row r="10728" spans="16:21" x14ac:dyDescent="0.35">
      <c r="P10728" s="226"/>
      <c r="Q10728" s="226"/>
      <c r="R10728" s="226"/>
      <c r="S10728" s="226"/>
      <c r="T10728" s="226"/>
      <c r="U10728" s="226"/>
    </row>
    <row r="10729" spans="16:21" x14ac:dyDescent="0.35">
      <c r="P10729" s="226"/>
      <c r="Q10729" s="226"/>
      <c r="R10729" s="226"/>
      <c r="S10729" s="226"/>
      <c r="T10729" s="226"/>
      <c r="U10729" s="226"/>
    </row>
    <row r="10730" spans="16:21" x14ac:dyDescent="0.35">
      <c r="P10730" s="226"/>
      <c r="Q10730" s="226"/>
      <c r="R10730" s="226"/>
      <c r="S10730" s="226"/>
      <c r="T10730" s="226"/>
      <c r="U10730" s="226"/>
    </row>
    <row r="10731" spans="16:21" x14ac:dyDescent="0.35">
      <c r="P10731" s="226"/>
      <c r="Q10731" s="226"/>
      <c r="R10731" s="226"/>
      <c r="S10731" s="226"/>
      <c r="T10731" s="226"/>
      <c r="U10731" s="226"/>
    </row>
    <row r="10732" spans="16:21" x14ac:dyDescent="0.35">
      <c r="P10732" s="226"/>
      <c r="Q10732" s="226"/>
      <c r="R10732" s="226"/>
      <c r="S10732" s="226"/>
      <c r="T10732" s="226"/>
      <c r="U10732" s="226"/>
    </row>
    <row r="10733" spans="16:21" x14ac:dyDescent="0.35">
      <c r="P10733" s="226"/>
      <c r="Q10733" s="226"/>
      <c r="R10733" s="226"/>
      <c r="S10733" s="226"/>
      <c r="T10733" s="226"/>
      <c r="U10733" s="226"/>
    </row>
    <row r="10734" spans="16:21" x14ac:dyDescent="0.35">
      <c r="P10734" s="226"/>
      <c r="Q10734" s="226"/>
      <c r="R10734" s="226"/>
      <c r="S10734" s="226"/>
      <c r="T10734" s="226"/>
      <c r="U10734" s="226"/>
    </row>
    <row r="10735" spans="16:21" x14ac:dyDescent="0.35">
      <c r="P10735" s="226"/>
      <c r="Q10735" s="226"/>
      <c r="R10735" s="226"/>
      <c r="S10735" s="226"/>
      <c r="T10735" s="226"/>
      <c r="U10735" s="226"/>
    </row>
    <row r="10736" spans="16:21" x14ac:dyDescent="0.35">
      <c r="P10736" s="226"/>
      <c r="Q10736" s="226"/>
      <c r="R10736" s="226"/>
      <c r="S10736" s="226"/>
      <c r="T10736" s="226"/>
      <c r="U10736" s="226"/>
    </row>
    <row r="10737" spans="16:21" x14ac:dyDescent="0.35">
      <c r="P10737" s="226"/>
      <c r="Q10737" s="226"/>
      <c r="R10737" s="226"/>
      <c r="S10737" s="226"/>
      <c r="T10737" s="226"/>
      <c r="U10737" s="226"/>
    </row>
    <row r="10738" spans="16:21" x14ac:dyDescent="0.35">
      <c r="P10738" s="226"/>
      <c r="Q10738" s="226"/>
      <c r="R10738" s="226"/>
      <c r="S10738" s="226"/>
      <c r="T10738" s="226"/>
      <c r="U10738" s="226"/>
    </row>
    <row r="10739" spans="16:21" x14ac:dyDescent="0.35">
      <c r="P10739" s="226"/>
      <c r="Q10739" s="226"/>
      <c r="R10739" s="226"/>
      <c r="S10739" s="226"/>
      <c r="T10739" s="226"/>
      <c r="U10739" s="226"/>
    </row>
    <row r="10740" spans="16:21" x14ac:dyDescent="0.35">
      <c r="P10740" s="226"/>
      <c r="Q10740" s="226"/>
      <c r="R10740" s="226"/>
      <c r="S10740" s="226"/>
      <c r="T10740" s="226"/>
      <c r="U10740" s="226"/>
    </row>
    <row r="10741" spans="16:21" x14ac:dyDescent="0.35">
      <c r="P10741" s="226"/>
      <c r="Q10741" s="226"/>
      <c r="R10741" s="226"/>
      <c r="S10741" s="226"/>
      <c r="T10741" s="226"/>
      <c r="U10741" s="226"/>
    </row>
    <row r="10742" spans="16:21" x14ac:dyDescent="0.35">
      <c r="P10742" s="226"/>
      <c r="Q10742" s="226"/>
      <c r="R10742" s="226"/>
      <c r="S10742" s="226"/>
      <c r="T10742" s="226"/>
      <c r="U10742" s="226"/>
    </row>
    <row r="10743" spans="16:21" x14ac:dyDescent="0.35">
      <c r="P10743" s="226"/>
      <c r="Q10743" s="226"/>
      <c r="R10743" s="226"/>
      <c r="S10743" s="226"/>
      <c r="T10743" s="226"/>
      <c r="U10743" s="226"/>
    </row>
    <row r="10744" spans="16:21" x14ac:dyDescent="0.35">
      <c r="P10744" s="226"/>
      <c r="Q10744" s="226"/>
      <c r="R10744" s="226"/>
      <c r="S10744" s="226"/>
      <c r="T10744" s="226"/>
      <c r="U10744" s="226"/>
    </row>
    <row r="10745" spans="16:21" x14ac:dyDescent="0.35">
      <c r="P10745" s="226"/>
      <c r="Q10745" s="226"/>
      <c r="R10745" s="226"/>
      <c r="S10745" s="226"/>
      <c r="T10745" s="226"/>
      <c r="U10745" s="226"/>
    </row>
    <row r="10746" spans="16:21" x14ac:dyDescent="0.35">
      <c r="P10746" s="226"/>
      <c r="Q10746" s="226"/>
      <c r="R10746" s="226"/>
      <c r="S10746" s="226"/>
      <c r="T10746" s="226"/>
      <c r="U10746" s="226"/>
    </row>
    <row r="10747" spans="16:21" x14ac:dyDescent="0.35">
      <c r="P10747" s="226"/>
      <c r="Q10747" s="226"/>
      <c r="R10747" s="226"/>
      <c r="S10747" s="226"/>
      <c r="T10747" s="226"/>
      <c r="U10747" s="226"/>
    </row>
    <row r="10748" spans="16:21" x14ac:dyDescent="0.35">
      <c r="P10748" s="226"/>
      <c r="Q10748" s="226"/>
      <c r="R10748" s="226"/>
      <c r="S10748" s="226"/>
      <c r="T10748" s="226"/>
      <c r="U10748" s="226"/>
    </row>
    <row r="10749" spans="16:21" x14ac:dyDescent="0.35">
      <c r="P10749" s="226"/>
      <c r="Q10749" s="226"/>
      <c r="R10749" s="226"/>
      <c r="S10749" s="226"/>
      <c r="T10749" s="226"/>
      <c r="U10749" s="226"/>
    </row>
    <row r="10750" spans="16:21" x14ac:dyDescent="0.35">
      <c r="P10750" s="226"/>
      <c r="Q10750" s="226"/>
      <c r="R10750" s="226"/>
      <c r="S10750" s="226"/>
      <c r="T10750" s="226"/>
      <c r="U10750" s="226"/>
    </row>
    <row r="10751" spans="16:21" x14ac:dyDescent="0.35">
      <c r="P10751" s="226"/>
      <c r="Q10751" s="226"/>
      <c r="R10751" s="226"/>
      <c r="S10751" s="226"/>
      <c r="T10751" s="226"/>
      <c r="U10751" s="226"/>
    </row>
    <row r="10752" spans="16:21" x14ac:dyDescent="0.35">
      <c r="P10752" s="226"/>
      <c r="Q10752" s="226"/>
      <c r="R10752" s="226"/>
      <c r="S10752" s="226"/>
      <c r="T10752" s="226"/>
      <c r="U10752" s="226"/>
    </row>
    <row r="10753" spans="16:21" x14ac:dyDescent="0.35">
      <c r="P10753" s="226"/>
      <c r="Q10753" s="226"/>
      <c r="R10753" s="226"/>
      <c r="S10753" s="226"/>
      <c r="T10753" s="226"/>
      <c r="U10753" s="226"/>
    </row>
    <row r="10754" spans="16:21" x14ac:dyDescent="0.35">
      <c r="P10754" s="226"/>
      <c r="Q10754" s="226"/>
      <c r="R10754" s="226"/>
      <c r="S10754" s="226"/>
      <c r="T10754" s="226"/>
      <c r="U10754" s="226"/>
    </row>
    <row r="10755" spans="16:21" x14ac:dyDescent="0.35">
      <c r="P10755" s="226"/>
      <c r="Q10755" s="226"/>
      <c r="R10755" s="226"/>
      <c r="S10755" s="226"/>
      <c r="T10755" s="226"/>
      <c r="U10755" s="226"/>
    </row>
    <row r="10756" spans="16:21" x14ac:dyDescent="0.35">
      <c r="P10756" s="226"/>
      <c r="Q10756" s="226"/>
      <c r="R10756" s="226"/>
      <c r="S10756" s="226"/>
      <c r="T10756" s="226"/>
      <c r="U10756" s="226"/>
    </row>
    <row r="10757" spans="16:21" x14ac:dyDescent="0.35">
      <c r="P10757" s="226"/>
      <c r="Q10757" s="226"/>
      <c r="R10757" s="226"/>
      <c r="S10757" s="226"/>
      <c r="T10757" s="226"/>
      <c r="U10757" s="226"/>
    </row>
    <row r="10758" spans="16:21" x14ac:dyDescent="0.35">
      <c r="P10758" s="226"/>
      <c r="Q10758" s="226"/>
      <c r="R10758" s="226"/>
      <c r="S10758" s="226"/>
      <c r="T10758" s="226"/>
      <c r="U10758" s="226"/>
    </row>
    <row r="10759" spans="16:21" x14ac:dyDescent="0.35">
      <c r="P10759" s="226"/>
      <c r="Q10759" s="226"/>
      <c r="R10759" s="226"/>
      <c r="S10759" s="226"/>
      <c r="T10759" s="226"/>
      <c r="U10759" s="226"/>
    </row>
    <row r="10760" spans="16:21" x14ac:dyDescent="0.35">
      <c r="P10760" s="226"/>
      <c r="Q10760" s="226"/>
      <c r="R10760" s="226"/>
      <c r="S10760" s="226"/>
      <c r="T10760" s="226"/>
      <c r="U10760" s="226"/>
    </row>
    <row r="10761" spans="16:21" x14ac:dyDescent="0.35">
      <c r="P10761" s="226"/>
      <c r="Q10761" s="226"/>
      <c r="R10761" s="226"/>
      <c r="S10761" s="226"/>
      <c r="T10761" s="226"/>
      <c r="U10761" s="226"/>
    </row>
    <row r="10762" spans="16:21" x14ac:dyDescent="0.35">
      <c r="P10762" s="226"/>
      <c r="Q10762" s="226"/>
      <c r="R10762" s="226"/>
      <c r="S10762" s="226"/>
      <c r="T10762" s="226"/>
      <c r="U10762" s="226"/>
    </row>
    <row r="10763" spans="16:21" x14ac:dyDescent="0.35">
      <c r="P10763" s="226"/>
      <c r="Q10763" s="226"/>
      <c r="R10763" s="226"/>
      <c r="S10763" s="226"/>
      <c r="T10763" s="226"/>
      <c r="U10763" s="226"/>
    </row>
    <row r="10764" spans="16:21" x14ac:dyDescent="0.35">
      <c r="P10764" s="226"/>
      <c r="Q10764" s="226"/>
      <c r="R10764" s="226"/>
      <c r="S10764" s="226"/>
      <c r="T10764" s="226"/>
      <c r="U10764" s="226"/>
    </row>
    <row r="10765" spans="16:21" x14ac:dyDescent="0.35">
      <c r="P10765" s="226"/>
      <c r="Q10765" s="226"/>
      <c r="R10765" s="226"/>
      <c r="S10765" s="226"/>
      <c r="T10765" s="226"/>
      <c r="U10765" s="226"/>
    </row>
    <row r="10766" spans="16:21" x14ac:dyDescent="0.35">
      <c r="P10766" s="226"/>
      <c r="Q10766" s="226"/>
      <c r="R10766" s="226"/>
      <c r="S10766" s="226"/>
      <c r="T10766" s="226"/>
      <c r="U10766" s="226"/>
    </row>
    <row r="10767" spans="16:21" x14ac:dyDescent="0.35">
      <c r="P10767" s="226"/>
      <c r="Q10767" s="226"/>
      <c r="R10767" s="226"/>
      <c r="S10767" s="226"/>
      <c r="T10767" s="226"/>
      <c r="U10767" s="226"/>
    </row>
    <row r="10768" spans="16:21" x14ac:dyDescent="0.35">
      <c r="P10768" s="226"/>
      <c r="Q10768" s="226"/>
      <c r="R10768" s="226"/>
      <c r="S10768" s="226"/>
      <c r="T10768" s="226"/>
      <c r="U10768" s="226"/>
    </row>
    <row r="10769" spans="16:21" x14ac:dyDescent="0.35">
      <c r="P10769" s="226"/>
      <c r="Q10769" s="226"/>
      <c r="R10769" s="226"/>
      <c r="S10769" s="226"/>
      <c r="T10769" s="226"/>
      <c r="U10769" s="226"/>
    </row>
    <row r="10770" spans="16:21" x14ac:dyDescent="0.35">
      <c r="P10770" s="226"/>
      <c r="Q10770" s="226"/>
      <c r="R10770" s="226"/>
      <c r="S10770" s="226"/>
      <c r="T10770" s="226"/>
      <c r="U10770" s="226"/>
    </row>
    <row r="10771" spans="16:21" x14ac:dyDescent="0.35">
      <c r="P10771" s="226"/>
      <c r="Q10771" s="226"/>
      <c r="R10771" s="226"/>
      <c r="S10771" s="226"/>
      <c r="T10771" s="226"/>
      <c r="U10771" s="226"/>
    </row>
    <row r="10772" spans="16:21" x14ac:dyDescent="0.35">
      <c r="P10772" s="226"/>
      <c r="Q10772" s="226"/>
      <c r="R10772" s="226"/>
      <c r="S10772" s="226"/>
      <c r="T10772" s="226"/>
      <c r="U10772" s="226"/>
    </row>
    <row r="10773" spans="16:21" x14ac:dyDescent="0.35">
      <c r="P10773" s="226"/>
      <c r="Q10773" s="226"/>
      <c r="R10773" s="226"/>
      <c r="S10773" s="226"/>
      <c r="T10773" s="226"/>
      <c r="U10773" s="226"/>
    </row>
    <row r="10774" spans="16:21" x14ac:dyDescent="0.35">
      <c r="P10774" s="226"/>
      <c r="Q10774" s="226"/>
      <c r="R10774" s="226"/>
      <c r="S10774" s="226"/>
      <c r="T10774" s="226"/>
      <c r="U10774" s="226"/>
    </row>
    <row r="10775" spans="16:21" x14ac:dyDescent="0.35">
      <c r="P10775" s="226"/>
      <c r="Q10775" s="226"/>
      <c r="R10775" s="226"/>
      <c r="S10775" s="226"/>
      <c r="T10775" s="226"/>
      <c r="U10775" s="226"/>
    </row>
    <row r="10776" spans="16:21" x14ac:dyDescent="0.35">
      <c r="P10776" s="226"/>
      <c r="Q10776" s="226"/>
      <c r="R10776" s="226"/>
      <c r="S10776" s="226"/>
      <c r="T10776" s="226"/>
      <c r="U10776" s="226"/>
    </row>
    <row r="10777" spans="16:21" x14ac:dyDescent="0.35">
      <c r="P10777" s="226"/>
      <c r="Q10777" s="226"/>
      <c r="R10777" s="226"/>
      <c r="S10777" s="226"/>
      <c r="T10777" s="226"/>
      <c r="U10777" s="226"/>
    </row>
    <row r="10778" spans="16:21" x14ac:dyDescent="0.35">
      <c r="P10778" s="226"/>
      <c r="Q10778" s="226"/>
      <c r="R10778" s="226"/>
      <c r="S10778" s="226"/>
      <c r="T10778" s="226"/>
      <c r="U10778" s="226"/>
    </row>
    <row r="10779" spans="16:21" x14ac:dyDescent="0.35">
      <c r="P10779" s="226"/>
      <c r="Q10779" s="226"/>
      <c r="R10779" s="226"/>
      <c r="S10779" s="226"/>
      <c r="T10779" s="226"/>
      <c r="U10779" s="226"/>
    </row>
    <row r="10780" spans="16:21" x14ac:dyDescent="0.35">
      <c r="P10780" s="226"/>
      <c r="Q10780" s="226"/>
      <c r="R10780" s="226"/>
      <c r="S10780" s="226"/>
      <c r="T10780" s="226"/>
      <c r="U10780" s="226"/>
    </row>
    <row r="10781" spans="16:21" x14ac:dyDescent="0.35">
      <c r="P10781" s="226"/>
      <c r="Q10781" s="226"/>
      <c r="R10781" s="226"/>
      <c r="S10781" s="226"/>
      <c r="T10781" s="226"/>
      <c r="U10781" s="226"/>
    </row>
    <row r="10782" spans="16:21" x14ac:dyDescent="0.35">
      <c r="P10782" s="226"/>
      <c r="Q10782" s="226"/>
      <c r="R10782" s="226"/>
      <c r="S10782" s="226"/>
      <c r="T10782" s="226"/>
      <c r="U10782" s="226"/>
    </row>
    <row r="10783" spans="16:21" x14ac:dyDescent="0.35">
      <c r="P10783" s="226"/>
      <c r="Q10783" s="226"/>
      <c r="R10783" s="226"/>
      <c r="S10783" s="226"/>
      <c r="T10783" s="226"/>
      <c r="U10783" s="226"/>
    </row>
    <row r="10784" spans="16:21" x14ac:dyDescent="0.35">
      <c r="P10784" s="226"/>
      <c r="Q10784" s="226"/>
      <c r="R10784" s="226"/>
      <c r="S10784" s="226"/>
      <c r="T10784" s="226"/>
      <c r="U10784" s="226"/>
    </row>
    <row r="10785" spans="16:21" x14ac:dyDescent="0.35">
      <c r="P10785" s="226"/>
      <c r="Q10785" s="226"/>
      <c r="R10785" s="226"/>
      <c r="S10785" s="226"/>
      <c r="T10785" s="226"/>
      <c r="U10785" s="226"/>
    </row>
    <row r="10786" spans="16:21" x14ac:dyDescent="0.35">
      <c r="P10786" s="226"/>
      <c r="Q10786" s="226"/>
      <c r="R10786" s="226"/>
      <c r="S10786" s="226"/>
      <c r="T10786" s="226"/>
      <c r="U10786" s="226"/>
    </row>
    <row r="10787" spans="16:21" x14ac:dyDescent="0.35">
      <c r="P10787" s="226"/>
      <c r="Q10787" s="226"/>
      <c r="R10787" s="226"/>
      <c r="S10787" s="226"/>
      <c r="T10787" s="226"/>
      <c r="U10787" s="226"/>
    </row>
    <row r="10788" spans="16:21" x14ac:dyDescent="0.35">
      <c r="P10788" s="226"/>
      <c r="Q10788" s="226"/>
      <c r="R10788" s="226"/>
      <c r="S10788" s="226"/>
      <c r="T10788" s="226"/>
      <c r="U10788" s="226"/>
    </row>
    <row r="10789" spans="16:21" x14ac:dyDescent="0.35">
      <c r="P10789" s="226"/>
      <c r="Q10789" s="226"/>
      <c r="R10789" s="226"/>
      <c r="S10789" s="226"/>
      <c r="T10789" s="226"/>
      <c r="U10789" s="226"/>
    </row>
    <row r="10790" spans="16:21" x14ac:dyDescent="0.35">
      <c r="P10790" s="226"/>
      <c r="Q10790" s="226"/>
      <c r="R10790" s="226"/>
      <c r="S10790" s="226"/>
      <c r="T10790" s="226"/>
      <c r="U10790" s="226"/>
    </row>
    <row r="10791" spans="16:21" x14ac:dyDescent="0.35">
      <c r="P10791" s="226"/>
      <c r="Q10791" s="226"/>
      <c r="R10791" s="226"/>
      <c r="S10791" s="226"/>
      <c r="T10791" s="226"/>
      <c r="U10791" s="226"/>
    </row>
    <row r="10792" spans="16:21" x14ac:dyDescent="0.35">
      <c r="P10792" s="226"/>
      <c r="Q10792" s="226"/>
      <c r="R10792" s="226"/>
      <c r="S10792" s="226"/>
      <c r="T10792" s="226"/>
      <c r="U10792" s="226"/>
    </row>
    <row r="10793" spans="16:21" x14ac:dyDescent="0.35">
      <c r="P10793" s="226"/>
      <c r="Q10793" s="226"/>
      <c r="R10793" s="226"/>
      <c r="S10793" s="226"/>
      <c r="T10793" s="226"/>
      <c r="U10793" s="226"/>
    </row>
    <row r="10794" spans="16:21" x14ac:dyDescent="0.35">
      <c r="P10794" s="226"/>
      <c r="Q10794" s="226"/>
      <c r="R10794" s="226"/>
      <c r="S10794" s="226"/>
      <c r="T10794" s="226"/>
      <c r="U10794" s="226"/>
    </row>
    <row r="10795" spans="16:21" x14ac:dyDescent="0.35">
      <c r="P10795" s="226"/>
      <c r="Q10795" s="226"/>
      <c r="R10795" s="226"/>
      <c r="S10795" s="226"/>
      <c r="T10795" s="226"/>
      <c r="U10795" s="226"/>
    </row>
    <row r="10796" spans="16:21" x14ac:dyDescent="0.35">
      <c r="P10796" s="226"/>
      <c r="Q10796" s="226"/>
      <c r="R10796" s="226"/>
      <c r="S10796" s="226"/>
      <c r="T10796" s="226"/>
      <c r="U10796" s="226"/>
    </row>
    <row r="10797" spans="16:21" x14ac:dyDescent="0.35">
      <c r="P10797" s="226"/>
      <c r="Q10797" s="226"/>
      <c r="R10797" s="226"/>
      <c r="S10797" s="226"/>
      <c r="T10797" s="226"/>
      <c r="U10797" s="226"/>
    </row>
    <row r="10798" spans="16:21" x14ac:dyDescent="0.35">
      <c r="P10798" s="226"/>
      <c r="Q10798" s="226"/>
      <c r="R10798" s="226"/>
      <c r="S10798" s="226"/>
      <c r="T10798" s="226"/>
      <c r="U10798" s="226"/>
    </row>
    <row r="10799" spans="16:21" x14ac:dyDescent="0.35">
      <c r="P10799" s="226"/>
      <c r="Q10799" s="226"/>
      <c r="R10799" s="226"/>
      <c r="S10799" s="226"/>
      <c r="T10799" s="226"/>
      <c r="U10799" s="226"/>
    </row>
    <row r="10800" spans="16:21" x14ac:dyDescent="0.35">
      <c r="P10800" s="226"/>
      <c r="Q10800" s="226"/>
      <c r="R10800" s="226"/>
      <c r="S10800" s="226"/>
      <c r="T10800" s="226"/>
      <c r="U10800" s="226"/>
    </row>
    <row r="10801" spans="16:21" x14ac:dyDescent="0.35">
      <c r="P10801" s="226"/>
      <c r="Q10801" s="226"/>
      <c r="R10801" s="226"/>
      <c r="S10801" s="226"/>
      <c r="T10801" s="226"/>
      <c r="U10801" s="226"/>
    </row>
    <row r="10802" spans="16:21" x14ac:dyDescent="0.35">
      <c r="P10802" s="226"/>
      <c r="Q10802" s="226"/>
      <c r="R10802" s="226"/>
      <c r="S10802" s="226"/>
      <c r="T10802" s="226"/>
      <c r="U10802" s="226"/>
    </row>
    <row r="10803" spans="16:21" x14ac:dyDescent="0.35">
      <c r="P10803" s="226"/>
      <c r="Q10803" s="226"/>
      <c r="R10803" s="226"/>
      <c r="S10803" s="226"/>
      <c r="T10803" s="226"/>
      <c r="U10803" s="226"/>
    </row>
    <row r="10804" spans="16:21" x14ac:dyDescent="0.35">
      <c r="P10804" s="226"/>
      <c r="Q10804" s="226"/>
      <c r="R10804" s="226"/>
      <c r="S10804" s="226"/>
      <c r="T10804" s="226"/>
      <c r="U10804" s="226"/>
    </row>
    <row r="10805" spans="16:21" x14ac:dyDescent="0.35">
      <c r="P10805" s="226"/>
      <c r="Q10805" s="226"/>
      <c r="R10805" s="226"/>
      <c r="S10805" s="226"/>
      <c r="T10805" s="226"/>
      <c r="U10805" s="226"/>
    </row>
    <row r="10806" spans="16:21" x14ac:dyDescent="0.35">
      <c r="P10806" s="226"/>
      <c r="Q10806" s="226"/>
      <c r="R10806" s="226"/>
      <c r="S10806" s="226"/>
      <c r="T10806" s="226"/>
      <c r="U10806" s="226"/>
    </row>
    <row r="10807" spans="16:21" x14ac:dyDescent="0.35">
      <c r="P10807" s="226"/>
      <c r="Q10807" s="226"/>
      <c r="R10807" s="226"/>
      <c r="S10807" s="226"/>
      <c r="T10807" s="226"/>
      <c r="U10807" s="226"/>
    </row>
    <row r="10808" spans="16:21" x14ac:dyDescent="0.35">
      <c r="P10808" s="226"/>
      <c r="Q10808" s="226"/>
      <c r="R10808" s="226"/>
      <c r="S10808" s="226"/>
      <c r="T10808" s="226"/>
      <c r="U10808" s="226"/>
    </row>
    <row r="10809" spans="16:21" x14ac:dyDescent="0.35">
      <c r="P10809" s="226"/>
      <c r="Q10809" s="226"/>
      <c r="R10809" s="226"/>
      <c r="S10809" s="226"/>
      <c r="T10809" s="226"/>
      <c r="U10809" s="226"/>
    </row>
    <row r="10810" spans="16:21" x14ac:dyDescent="0.35">
      <c r="P10810" s="226"/>
      <c r="Q10810" s="226"/>
      <c r="R10810" s="226"/>
      <c r="S10810" s="226"/>
      <c r="T10810" s="226"/>
      <c r="U10810" s="226"/>
    </row>
    <row r="10811" spans="16:21" x14ac:dyDescent="0.35">
      <c r="P10811" s="226"/>
      <c r="Q10811" s="226"/>
      <c r="R10811" s="226"/>
      <c r="S10811" s="226"/>
      <c r="T10811" s="226"/>
      <c r="U10811" s="226"/>
    </row>
    <row r="10812" spans="16:21" x14ac:dyDescent="0.35">
      <c r="P10812" s="226"/>
      <c r="Q10812" s="226"/>
      <c r="R10812" s="226"/>
      <c r="S10812" s="226"/>
      <c r="T10812" s="226"/>
      <c r="U10812" s="226"/>
    </row>
    <row r="10813" spans="16:21" x14ac:dyDescent="0.35">
      <c r="P10813" s="226"/>
      <c r="Q10813" s="226"/>
      <c r="R10813" s="226"/>
      <c r="S10813" s="226"/>
      <c r="T10813" s="226"/>
      <c r="U10813" s="226"/>
    </row>
    <row r="10814" spans="16:21" x14ac:dyDescent="0.35">
      <c r="P10814" s="226"/>
      <c r="Q10814" s="226"/>
      <c r="R10814" s="226"/>
      <c r="S10814" s="226"/>
      <c r="T10814" s="226"/>
      <c r="U10814" s="226"/>
    </row>
    <row r="10815" spans="16:21" x14ac:dyDescent="0.35">
      <c r="P10815" s="226"/>
      <c r="Q10815" s="226"/>
      <c r="R10815" s="226"/>
      <c r="S10815" s="226"/>
      <c r="T10815" s="226"/>
      <c r="U10815" s="226"/>
    </row>
    <row r="10816" spans="16:21" x14ac:dyDescent="0.35">
      <c r="P10816" s="226"/>
      <c r="Q10816" s="226"/>
      <c r="R10816" s="226"/>
      <c r="S10816" s="226"/>
      <c r="T10816" s="226"/>
      <c r="U10816" s="226"/>
    </row>
    <row r="10817" spans="16:21" x14ac:dyDescent="0.35">
      <c r="P10817" s="226"/>
      <c r="Q10817" s="226"/>
      <c r="R10817" s="226"/>
      <c r="S10817" s="226"/>
      <c r="T10817" s="226"/>
      <c r="U10817" s="226"/>
    </row>
    <row r="10818" spans="16:21" x14ac:dyDescent="0.35">
      <c r="P10818" s="226"/>
      <c r="Q10818" s="226"/>
      <c r="R10818" s="226"/>
      <c r="S10818" s="226"/>
      <c r="T10818" s="226"/>
      <c r="U10818" s="226"/>
    </row>
    <row r="10819" spans="16:21" x14ac:dyDescent="0.35">
      <c r="P10819" s="226"/>
      <c r="Q10819" s="226"/>
      <c r="R10819" s="226"/>
      <c r="S10819" s="226"/>
      <c r="T10819" s="226"/>
      <c r="U10819" s="226"/>
    </row>
    <row r="10820" spans="16:21" x14ac:dyDescent="0.35">
      <c r="P10820" s="226"/>
      <c r="Q10820" s="226"/>
      <c r="R10820" s="226"/>
      <c r="S10820" s="226"/>
      <c r="T10820" s="226"/>
      <c r="U10820" s="226"/>
    </row>
    <row r="10821" spans="16:21" x14ac:dyDescent="0.35">
      <c r="P10821" s="226"/>
      <c r="Q10821" s="226"/>
      <c r="R10821" s="226"/>
      <c r="S10821" s="226"/>
      <c r="T10821" s="226"/>
      <c r="U10821" s="226"/>
    </row>
    <row r="10822" spans="16:21" x14ac:dyDescent="0.35">
      <c r="P10822" s="226"/>
      <c r="Q10822" s="226"/>
      <c r="R10822" s="226"/>
      <c r="S10822" s="226"/>
      <c r="T10822" s="226"/>
      <c r="U10822" s="226"/>
    </row>
    <row r="10823" spans="16:21" x14ac:dyDescent="0.35">
      <c r="P10823" s="226"/>
      <c r="Q10823" s="226"/>
      <c r="R10823" s="226"/>
      <c r="S10823" s="226"/>
      <c r="T10823" s="226"/>
      <c r="U10823" s="226"/>
    </row>
    <row r="10824" spans="16:21" x14ac:dyDescent="0.35">
      <c r="P10824" s="226"/>
      <c r="Q10824" s="226"/>
      <c r="R10824" s="226"/>
      <c r="S10824" s="226"/>
      <c r="T10824" s="226"/>
      <c r="U10824" s="226"/>
    </row>
    <row r="10825" spans="16:21" x14ac:dyDescent="0.35">
      <c r="P10825" s="226"/>
      <c r="Q10825" s="226"/>
      <c r="R10825" s="226"/>
      <c r="S10825" s="226"/>
      <c r="T10825" s="226"/>
      <c r="U10825" s="226"/>
    </row>
    <row r="10826" spans="16:21" x14ac:dyDescent="0.35">
      <c r="P10826" s="226"/>
      <c r="Q10826" s="226"/>
      <c r="R10826" s="226"/>
      <c r="S10826" s="226"/>
      <c r="T10826" s="226"/>
      <c r="U10826" s="226"/>
    </row>
    <row r="10827" spans="16:21" x14ac:dyDescent="0.35">
      <c r="P10827" s="226"/>
      <c r="Q10827" s="226"/>
      <c r="R10827" s="226"/>
      <c r="S10827" s="226"/>
      <c r="T10827" s="226"/>
      <c r="U10827" s="226"/>
    </row>
    <row r="10828" spans="16:21" x14ac:dyDescent="0.35">
      <c r="P10828" s="226"/>
      <c r="Q10828" s="226"/>
      <c r="R10828" s="226"/>
      <c r="S10828" s="226"/>
      <c r="T10828" s="226"/>
      <c r="U10828" s="226"/>
    </row>
    <row r="10829" spans="16:21" x14ac:dyDescent="0.35">
      <c r="P10829" s="226"/>
      <c r="Q10829" s="226"/>
      <c r="R10829" s="226"/>
      <c r="S10829" s="226"/>
      <c r="T10829" s="226"/>
      <c r="U10829" s="226"/>
    </row>
    <row r="10830" spans="16:21" x14ac:dyDescent="0.35">
      <c r="P10830" s="226"/>
      <c r="Q10830" s="226"/>
      <c r="R10830" s="226"/>
      <c r="S10830" s="226"/>
      <c r="T10830" s="226"/>
      <c r="U10830" s="226"/>
    </row>
    <row r="10831" spans="16:21" x14ac:dyDescent="0.35">
      <c r="P10831" s="226"/>
      <c r="Q10831" s="226"/>
      <c r="R10831" s="226"/>
      <c r="S10831" s="226"/>
      <c r="T10831" s="226"/>
      <c r="U10831" s="226"/>
    </row>
    <row r="10832" spans="16:21" x14ac:dyDescent="0.35">
      <c r="P10832" s="226"/>
      <c r="Q10832" s="226"/>
      <c r="R10832" s="226"/>
      <c r="S10832" s="226"/>
      <c r="T10832" s="226"/>
      <c r="U10832" s="226"/>
    </row>
    <row r="10833" spans="16:21" x14ac:dyDescent="0.35">
      <c r="P10833" s="226"/>
      <c r="Q10833" s="226"/>
      <c r="R10833" s="226"/>
      <c r="S10833" s="226"/>
      <c r="T10833" s="226"/>
      <c r="U10833" s="226"/>
    </row>
    <row r="10834" spans="16:21" x14ac:dyDescent="0.35">
      <c r="P10834" s="226"/>
      <c r="Q10834" s="226"/>
      <c r="R10834" s="226"/>
      <c r="S10834" s="226"/>
      <c r="T10834" s="226"/>
      <c r="U10834" s="226"/>
    </row>
    <row r="10835" spans="16:21" x14ac:dyDescent="0.35">
      <c r="P10835" s="226"/>
      <c r="Q10835" s="226"/>
      <c r="R10835" s="226"/>
      <c r="S10835" s="226"/>
      <c r="T10835" s="226"/>
      <c r="U10835" s="226"/>
    </row>
    <row r="10836" spans="16:21" x14ac:dyDescent="0.35">
      <c r="P10836" s="226"/>
      <c r="Q10836" s="226"/>
      <c r="R10836" s="226"/>
      <c r="S10836" s="226"/>
      <c r="T10836" s="226"/>
      <c r="U10836" s="226"/>
    </row>
    <row r="10837" spans="16:21" x14ac:dyDescent="0.35">
      <c r="P10837" s="226"/>
      <c r="Q10837" s="226"/>
      <c r="R10837" s="226"/>
      <c r="S10837" s="226"/>
      <c r="T10837" s="226"/>
      <c r="U10837" s="226"/>
    </row>
    <row r="10838" spans="16:21" x14ac:dyDescent="0.35">
      <c r="P10838" s="226"/>
      <c r="Q10838" s="226"/>
      <c r="R10838" s="226"/>
      <c r="S10838" s="226"/>
      <c r="T10838" s="226"/>
      <c r="U10838" s="226"/>
    </row>
    <row r="10839" spans="16:21" x14ac:dyDescent="0.35">
      <c r="P10839" s="226"/>
      <c r="Q10839" s="226"/>
      <c r="R10839" s="226"/>
      <c r="S10839" s="226"/>
      <c r="T10839" s="226"/>
      <c r="U10839" s="226"/>
    </row>
    <row r="10840" spans="16:21" x14ac:dyDescent="0.35">
      <c r="P10840" s="226"/>
      <c r="Q10840" s="226"/>
      <c r="R10840" s="226"/>
      <c r="S10840" s="226"/>
      <c r="T10840" s="226"/>
      <c r="U10840" s="226"/>
    </row>
    <row r="10841" spans="16:21" x14ac:dyDescent="0.35">
      <c r="P10841" s="226"/>
      <c r="Q10841" s="226"/>
      <c r="R10841" s="226"/>
      <c r="S10841" s="226"/>
      <c r="T10841" s="226"/>
      <c r="U10841" s="226"/>
    </row>
    <row r="10842" spans="16:21" x14ac:dyDescent="0.35">
      <c r="P10842" s="226"/>
      <c r="Q10842" s="226"/>
      <c r="R10842" s="226"/>
      <c r="S10842" s="226"/>
      <c r="T10842" s="226"/>
      <c r="U10842" s="226"/>
    </row>
    <row r="10843" spans="16:21" x14ac:dyDescent="0.35">
      <c r="P10843" s="226"/>
      <c r="Q10843" s="226"/>
      <c r="R10843" s="226"/>
      <c r="S10843" s="226"/>
      <c r="T10843" s="226"/>
      <c r="U10843" s="226"/>
    </row>
    <row r="10844" spans="16:21" x14ac:dyDescent="0.35">
      <c r="P10844" s="226"/>
      <c r="Q10844" s="226"/>
      <c r="R10844" s="226"/>
      <c r="S10844" s="226"/>
      <c r="T10844" s="226"/>
      <c r="U10844" s="226"/>
    </row>
    <row r="10845" spans="16:21" x14ac:dyDescent="0.35">
      <c r="P10845" s="226"/>
      <c r="Q10845" s="226"/>
      <c r="R10845" s="226"/>
      <c r="S10845" s="226"/>
      <c r="T10845" s="226"/>
      <c r="U10845" s="226"/>
    </row>
    <row r="10846" spans="16:21" x14ac:dyDescent="0.35">
      <c r="P10846" s="226"/>
      <c r="Q10846" s="226"/>
      <c r="R10846" s="226"/>
      <c r="S10846" s="226"/>
      <c r="T10846" s="226"/>
      <c r="U10846" s="226"/>
    </row>
    <row r="10847" spans="16:21" x14ac:dyDescent="0.35">
      <c r="P10847" s="226"/>
      <c r="Q10847" s="226"/>
      <c r="R10847" s="226"/>
      <c r="S10847" s="226"/>
      <c r="T10847" s="226"/>
      <c r="U10847" s="226"/>
    </row>
    <row r="10848" spans="16:21" x14ac:dyDescent="0.35">
      <c r="P10848" s="226"/>
      <c r="Q10848" s="226"/>
      <c r="R10848" s="226"/>
      <c r="S10848" s="226"/>
      <c r="T10848" s="226"/>
      <c r="U10848" s="226"/>
    </row>
    <row r="10849" spans="16:21" x14ac:dyDescent="0.35">
      <c r="P10849" s="226"/>
      <c r="Q10849" s="226"/>
      <c r="R10849" s="226"/>
      <c r="S10849" s="226"/>
      <c r="T10849" s="226"/>
      <c r="U10849" s="226"/>
    </row>
    <row r="10850" spans="16:21" x14ac:dyDescent="0.35">
      <c r="P10850" s="226"/>
      <c r="Q10850" s="226"/>
      <c r="R10850" s="226"/>
      <c r="S10850" s="226"/>
      <c r="T10850" s="226"/>
      <c r="U10850" s="226"/>
    </row>
    <row r="10851" spans="16:21" x14ac:dyDescent="0.35">
      <c r="P10851" s="226"/>
      <c r="Q10851" s="226"/>
      <c r="R10851" s="226"/>
      <c r="S10851" s="226"/>
      <c r="T10851" s="226"/>
      <c r="U10851" s="226"/>
    </row>
    <row r="10852" spans="16:21" x14ac:dyDescent="0.35">
      <c r="P10852" s="226"/>
      <c r="Q10852" s="226"/>
      <c r="R10852" s="226"/>
      <c r="S10852" s="226"/>
      <c r="T10852" s="226"/>
      <c r="U10852" s="226"/>
    </row>
    <row r="10853" spans="16:21" x14ac:dyDescent="0.35">
      <c r="P10853" s="226"/>
      <c r="Q10853" s="226"/>
      <c r="R10853" s="226"/>
      <c r="S10853" s="226"/>
      <c r="T10853" s="226"/>
      <c r="U10853" s="226"/>
    </row>
    <row r="10854" spans="16:21" x14ac:dyDescent="0.35">
      <c r="P10854" s="226"/>
      <c r="Q10854" s="226"/>
      <c r="R10854" s="226"/>
      <c r="S10854" s="226"/>
      <c r="T10854" s="226"/>
      <c r="U10854" s="226"/>
    </row>
    <row r="10855" spans="16:21" x14ac:dyDescent="0.35">
      <c r="P10855" s="226"/>
      <c r="Q10855" s="226"/>
      <c r="R10855" s="226"/>
      <c r="S10855" s="226"/>
      <c r="T10855" s="226"/>
      <c r="U10855" s="226"/>
    </row>
    <row r="10856" spans="16:21" x14ac:dyDescent="0.35">
      <c r="P10856" s="226"/>
      <c r="Q10856" s="226"/>
      <c r="R10856" s="226"/>
      <c r="S10856" s="226"/>
      <c r="T10856" s="226"/>
      <c r="U10856" s="226"/>
    </row>
    <row r="10857" spans="16:21" x14ac:dyDescent="0.35">
      <c r="P10857" s="226"/>
      <c r="Q10857" s="226"/>
      <c r="R10857" s="226"/>
      <c r="S10857" s="226"/>
      <c r="T10857" s="226"/>
      <c r="U10857" s="226"/>
    </row>
    <row r="10858" spans="16:21" x14ac:dyDescent="0.35">
      <c r="P10858" s="226"/>
      <c r="Q10858" s="226"/>
      <c r="R10858" s="226"/>
      <c r="S10858" s="226"/>
      <c r="T10858" s="226"/>
      <c r="U10858" s="226"/>
    </row>
    <row r="10859" spans="16:21" x14ac:dyDescent="0.35">
      <c r="P10859" s="226"/>
      <c r="Q10859" s="226"/>
      <c r="R10859" s="226"/>
      <c r="S10859" s="226"/>
      <c r="T10859" s="226"/>
      <c r="U10859" s="226"/>
    </row>
    <row r="10860" spans="16:21" x14ac:dyDescent="0.35">
      <c r="P10860" s="226"/>
      <c r="Q10860" s="226"/>
      <c r="R10860" s="226"/>
      <c r="S10860" s="226"/>
      <c r="T10860" s="226"/>
      <c r="U10860" s="226"/>
    </row>
    <row r="10861" spans="16:21" x14ac:dyDescent="0.35">
      <c r="P10861" s="226"/>
      <c r="Q10861" s="226"/>
      <c r="R10861" s="226"/>
      <c r="S10861" s="226"/>
      <c r="T10861" s="226"/>
      <c r="U10861" s="226"/>
    </row>
    <row r="10862" spans="16:21" x14ac:dyDescent="0.35">
      <c r="P10862" s="226"/>
      <c r="Q10862" s="226"/>
      <c r="R10862" s="226"/>
      <c r="S10862" s="226"/>
      <c r="T10862" s="226"/>
      <c r="U10862" s="226"/>
    </row>
    <row r="10863" spans="16:21" x14ac:dyDescent="0.35">
      <c r="P10863" s="226"/>
      <c r="Q10863" s="226"/>
      <c r="R10863" s="226"/>
      <c r="S10863" s="226"/>
      <c r="T10863" s="226"/>
      <c r="U10863" s="226"/>
    </row>
    <row r="10864" spans="16:21" x14ac:dyDescent="0.35">
      <c r="P10864" s="226"/>
      <c r="Q10864" s="226"/>
      <c r="R10864" s="226"/>
      <c r="S10864" s="226"/>
      <c r="T10864" s="226"/>
      <c r="U10864" s="226"/>
    </row>
    <row r="10865" spans="16:21" x14ac:dyDescent="0.35">
      <c r="P10865" s="226"/>
      <c r="Q10865" s="226"/>
      <c r="R10865" s="226"/>
      <c r="S10865" s="226"/>
      <c r="T10865" s="226"/>
      <c r="U10865" s="226"/>
    </row>
    <row r="10866" spans="16:21" x14ac:dyDescent="0.35">
      <c r="P10866" s="226"/>
      <c r="Q10866" s="226"/>
      <c r="R10866" s="226"/>
      <c r="S10866" s="226"/>
      <c r="T10866" s="226"/>
      <c r="U10866" s="226"/>
    </row>
    <row r="10867" spans="16:21" x14ac:dyDescent="0.35">
      <c r="P10867" s="226"/>
      <c r="Q10867" s="226"/>
      <c r="R10867" s="226"/>
      <c r="S10867" s="226"/>
      <c r="T10867" s="226"/>
      <c r="U10867" s="226"/>
    </row>
    <row r="10868" spans="16:21" x14ac:dyDescent="0.35">
      <c r="P10868" s="226"/>
      <c r="Q10868" s="226"/>
      <c r="R10868" s="226"/>
      <c r="S10868" s="226"/>
      <c r="T10868" s="226"/>
      <c r="U10868" s="226"/>
    </row>
    <row r="10869" spans="16:21" x14ac:dyDescent="0.35">
      <c r="P10869" s="226"/>
      <c r="Q10869" s="226"/>
      <c r="R10869" s="226"/>
      <c r="S10869" s="226"/>
      <c r="T10869" s="226"/>
      <c r="U10869" s="226"/>
    </row>
    <row r="10870" spans="16:21" x14ac:dyDescent="0.35">
      <c r="P10870" s="226"/>
      <c r="Q10870" s="226"/>
      <c r="R10870" s="226"/>
      <c r="S10870" s="226"/>
      <c r="T10870" s="226"/>
      <c r="U10870" s="226"/>
    </row>
    <row r="10871" spans="16:21" x14ac:dyDescent="0.35">
      <c r="P10871" s="226"/>
      <c r="Q10871" s="226"/>
      <c r="R10871" s="226"/>
      <c r="S10871" s="226"/>
      <c r="T10871" s="226"/>
      <c r="U10871" s="226"/>
    </row>
    <row r="10872" spans="16:21" x14ac:dyDescent="0.35">
      <c r="P10872" s="226"/>
      <c r="Q10872" s="226"/>
      <c r="R10872" s="226"/>
      <c r="S10872" s="226"/>
      <c r="T10872" s="226"/>
      <c r="U10872" s="226"/>
    </row>
    <row r="10873" spans="16:21" x14ac:dyDescent="0.35">
      <c r="P10873" s="226"/>
      <c r="Q10873" s="226"/>
      <c r="R10873" s="226"/>
      <c r="S10873" s="226"/>
      <c r="T10873" s="226"/>
      <c r="U10873" s="226"/>
    </row>
    <row r="10874" spans="16:21" x14ac:dyDescent="0.35">
      <c r="P10874" s="226"/>
      <c r="Q10874" s="226"/>
      <c r="R10874" s="226"/>
      <c r="S10874" s="226"/>
      <c r="T10874" s="226"/>
      <c r="U10874" s="226"/>
    </row>
    <row r="10875" spans="16:21" x14ac:dyDescent="0.35">
      <c r="P10875" s="226"/>
      <c r="Q10875" s="226"/>
      <c r="R10875" s="226"/>
      <c r="S10875" s="226"/>
      <c r="T10875" s="226"/>
      <c r="U10875" s="226"/>
    </row>
    <row r="10876" spans="16:21" x14ac:dyDescent="0.35">
      <c r="P10876" s="226"/>
      <c r="Q10876" s="226"/>
      <c r="R10876" s="226"/>
      <c r="S10876" s="226"/>
      <c r="T10876" s="226"/>
      <c r="U10876" s="226"/>
    </row>
    <row r="10877" spans="16:21" x14ac:dyDescent="0.35">
      <c r="P10877" s="226"/>
      <c r="Q10877" s="226"/>
      <c r="R10877" s="226"/>
      <c r="S10877" s="226"/>
      <c r="T10877" s="226"/>
      <c r="U10877" s="226"/>
    </row>
    <row r="10878" spans="16:21" x14ac:dyDescent="0.35">
      <c r="P10878" s="226"/>
      <c r="Q10878" s="226"/>
      <c r="R10878" s="226"/>
      <c r="S10878" s="226"/>
      <c r="T10878" s="226"/>
      <c r="U10878" s="226"/>
    </row>
    <row r="10879" spans="16:21" x14ac:dyDescent="0.35">
      <c r="P10879" s="226"/>
      <c r="Q10879" s="226"/>
      <c r="R10879" s="226"/>
      <c r="S10879" s="226"/>
      <c r="T10879" s="226"/>
      <c r="U10879" s="226"/>
    </row>
    <row r="10880" spans="16:21" x14ac:dyDescent="0.35">
      <c r="P10880" s="226"/>
      <c r="Q10880" s="226"/>
      <c r="R10880" s="226"/>
      <c r="S10880" s="226"/>
      <c r="T10880" s="226"/>
      <c r="U10880" s="226"/>
    </row>
    <row r="10881" spans="16:21" x14ac:dyDescent="0.35">
      <c r="P10881" s="226"/>
      <c r="Q10881" s="226"/>
      <c r="R10881" s="226"/>
      <c r="S10881" s="226"/>
      <c r="T10881" s="226"/>
      <c r="U10881" s="226"/>
    </row>
    <row r="10882" spans="16:21" x14ac:dyDescent="0.35">
      <c r="P10882" s="226"/>
      <c r="Q10882" s="226"/>
      <c r="R10882" s="226"/>
      <c r="S10882" s="226"/>
      <c r="T10882" s="226"/>
      <c r="U10882" s="226"/>
    </row>
    <row r="10883" spans="16:21" x14ac:dyDescent="0.35">
      <c r="P10883" s="226"/>
      <c r="Q10883" s="226"/>
      <c r="R10883" s="226"/>
      <c r="S10883" s="226"/>
      <c r="T10883" s="226"/>
      <c r="U10883" s="226"/>
    </row>
    <row r="10884" spans="16:21" x14ac:dyDescent="0.35">
      <c r="P10884" s="226"/>
      <c r="Q10884" s="226"/>
      <c r="R10884" s="226"/>
      <c r="S10884" s="226"/>
      <c r="T10884" s="226"/>
      <c r="U10884" s="226"/>
    </row>
    <row r="10885" spans="16:21" x14ac:dyDescent="0.35">
      <c r="P10885" s="226"/>
      <c r="Q10885" s="226"/>
      <c r="R10885" s="226"/>
      <c r="S10885" s="226"/>
      <c r="T10885" s="226"/>
      <c r="U10885" s="226"/>
    </row>
    <row r="10886" spans="16:21" x14ac:dyDescent="0.35">
      <c r="P10886" s="226"/>
      <c r="Q10886" s="226"/>
      <c r="R10886" s="226"/>
      <c r="S10886" s="226"/>
      <c r="T10886" s="226"/>
      <c r="U10886" s="226"/>
    </row>
    <row r="10887" spans="16:21" x14ac:dyDescent="0.35">
      <c r="P10887" s="226"/>
      <c r="Q10887" s="226"/>
      <c r="R10887" s="226"/>
      <c r="S10887" s="226"/>
      <c r="T10887" s="226"/>
      <c r="U10887" s="226"/>
    </row>
    <row r="10888" spans="16:21" x14ac:dyDescent="0.35">
      <c r="P10888" s="226"/>
      <c r="Q10888" s="226"/>
      <c r="R10888" s="226"/>
      <c r="S10888" s="226"/>
      <c r="T10888" s="226"/>
      <c r="U10888" s="226"/>
    </row>
    <row r="10889" spans="16:21" x14ac:dyDescent="0.35">
      <c r="P10889" s="226"/>
      <c r="Q10889" s="226"/>
      <c r="R10889" s="226"/>
      <c r="S10889" s="226"/>
      <c r="T10889" s="226"/>
      <c r="U10889" s="226"/>
    </row>
    <row r="10890" spans="16:21" x14ac:dyDescent="0.35">
      <c r="P10890" s="226"/>
      <c r="Q10890" s="226"/>
      <c r="R10890" s="226"/>
      <c r="S10890" s="226"/>
      <c r="T10890" s="226"/>
      <c r="U10890" s="226"/>
    </row>
    <row r="10891" spans="16:21" x14ac:dyDescent="0.35">
      <c r="P10891" s="226"/>
      <c r="Q10891" s="226"/>
      <c r="R10891" s="226"/>
      <c r="S10891" s="226"/>
      <c r="T10891" s="226"/>
      <c r="U10891" s="226"/>
    </row>
    <row r="10892" spans="16:21" x14ac:dyDescent="0.35">
      <c r="P10892" s="226"/>
      <c r="Q10892" s="226"/>
      <c r="R10892" s="226"/>
      <c r="S10892" s="226"/>
      <c r="T10892" s="226"/>
      <c r="U10892" s="226"/>
    </row>
    <row r="10893" spans="16:21" x14ac:dyDescent="0.35">
      <c r="P10893" s="226"/>
      <c r="Q10893" s="226"/>
      <c r="R10893" s="226"/>
      <c r="S10893" s="226"/>
      <c r="T10893" s="226"/>
      <c r="U10893" s="226"/>
    </row>
    <row r="10894" spans="16:21" x14ac:dyDescent="0.35">
      <c r="P10894" s="226"/>
      <c r="Q10894" s="226"/>
      <c r="R10894" s="226"/>
      <c r="S10894" s="226"/>
      <c r="T10894" s="226"/>
      <c r="U10894" s="226"/>
    </row>
    <row r="10895" spans="16:21" x14ac:dyDescent="0.35">
      <c r="P10895" s="226"/>
      <c r="Q10895" s="226"/>
      <c r="R10895" s="226"/>
      <c r="S10895" s="226"/>
      <c r="T10895" s="226"/>
      <c r="U10895" s="226"/>
    </row>
    <row r="10896" spans="16:21" x14ac:dyDescent="0.35">
      <c r="P10896" s="226"/>
      <c r="Q10896" s="226"/>
      <c r="R10896" s="226"/>
      <c r="S10896" s="226"/>
      <c r="T10896" s="226"/>
      <c r="U10896" s="226"/>
    </row>
    <row r="10897" spans="16:21" x14ac:dyDescent="0.35">
      <c r="P10897" s="226"/>
      <c r="Q10897" s="226"/>
      <c r="R10897" s="226"/>
      <c r="S10897" s="226"/>
      <c r="T10897" s="226"/>
      <c r="U10897" s="226"/>
    </row>
    <row r="10898" spans="16:21" x14ac:dyDescent="0.35">
      <c r="P10898" s="226"/>
      <c r="Q10898" s="226"/>
      <c r="R10898" s="226"/>
      <c r="S10898" s="226"/>
      <c r="T10898" s="226"/>
      <c r="U10898" s="226"/>
    </row>
    <row r="10899" spans="16:21" x14ac:dyDescent="0.35">
      <c r="P10899" s="226"/>
      <c r="Q10899" s="226"/>
      <c r="R10899" s="226"/>
      <c r="S10899" s="226"/>
      <c r="T10899" s="226"/>
      <c r="U10899" s="226"/>
    </row>
    <row r="10900" spans="16:21" x14ac:dyDescent="0.35">
      <c r="P10900" s="226"/>
      <c r="Q10900" s="226"/>
      <c r="R10900" s="226"/>
      <c r="S10900" s="226"/>
      <c r="T10900" s="226"/>
      <c r="U10900" s="226"/>
    </row>
    <row r="10901" spans="16:21" x14ac:dyDescent="0.35">
      <c r="P10901" s="226"/>
      <c r="Q10901" s="226"/>
      <c r="R10901" s="226"/>
      <c r="S10901" s="226"/>
      <c r="T10901" s="226"/>
      <c r="U10901" s="226"/>
    </row>
    <row r="10902" spans="16:21" x14ac:dyDescent="0.35">
      <c r="P10902" s="226"/>
      <c r="Q10902" s="226"/>
      <c r="R10902" s="226"/>
      <c r="S10902" s="226"/>
      <c r="T10902" s="226"/>
      <c r="U10902" s="226"/>
    </row>
    <row r="10903" spans="16:21" x14ac:dyDescent="0.35">
      <c r="P10903" s="226"/>
      <c r="Q10903" s="226"/>
      <c r="R10903" s="226"/>
      <c r="S10903" s="226"/>
      <c r="T10903" s="226"/>
      <c r="U10903" s="226"/>
    </row>
    <row r="10904" spans="16:21" x14ac:dyDescent="0.35">
      <c r="P10904" s="226"/>
      <c r="Q10904" s="226"/>
      <c r="R10904" s="226"/>
      <c r="S10904" s="226"/>
      <c r="T10904" s="226"/>
      <c r="U10904" s="226"/>
    </row>
    <row r="10905" spans="16:21" x14ac:dyDescent="0.35">
      <c r="P10905" s="226"/>
      <c r="Q10905" s="226"/>
      <c r="R10905" s="226"/>
      <c r="S10905" s="226"/>
      <c r="T10905" s="226"/>
      <c r="U10905" s="226"/>
    </row>
    <row r="10906" spans="16:21" x14ac:dyDescent="0.35">
      <c r="P10906" s="226"/>
      <c r="Q10906" s="226"/>
      <c r="R10906" s="226"/>
      <c r="S10906" s="226"/>
      <c r="T10906" s="226"/>
      <c r="U10906" s="226"/>
    </row>
    <row r="10907" spans="16:21" x14ac:dyDescent="0.35">
      <c r="P10907" s="226"/>
      <c r="Q10907" s="226"/>
      <c r="R10907" s="226"/>
      <c r="S10907" s="226"/>
      <c r="T10907" s="226"/>
      <c r="U10907" s="226"/>
    </row>
    <row r="10908" spans="16:21" x14ac:dyDescent="0.35">
      <c r="P10908" s="226"/>
      <c r="Q10908" s="226"/>
      <c r="R10908" s="226"/>
      <c r="S10908" s="226"/>
      <c r="T10908" s="226"/>
      <c r="U10908" s="226"/>
    </row>
    <row r="10909" spans="16:21" x14ac:dyDescent="0.35">
      <c r="P10909" s="226"/>
      <c r="Q10909" s="226"/>
      <c r="R10909" s="226"/>
      <c r="S10909" s="226"/>
      <c r="T10909" s="226"/>
      <c r="U10909" s="226"/>
    </row>
    <row r="10910" spans="16:21" x14ac:dyDescent="0.35">
      <c r="P10910" s="226"/>
      <c r="Q10910" s="226"/>
      <c r="R10910" s="226"/>
      <c r="S10910" s="226"/>
      <c r="T10910" s="226"/>
      <c r="U10910" s="226"/>
    </row>
    <row r="10911" spans="16:21" x14ac:dyDescent="0.35">
      <c r="P10911" s="226"/>
      <c r="Q10911" s="226"/>
      <c r="R10911" s="226"/>
      <c r="S10911" s="226"/>
      <c r="T10911" s="226"/>
      <c r="U10911" s="226"/>
    </row>
    <row r="10912" spans="16:21" x14ac:dyDescent="0.35">
      <c r="P10912" s="226"/>
      <c r="Q10912" s="226"/>
      <c r="R10912" s="226"/>
      <c r="S10912" s="226"/>
      <c r="T10912" s="226"/>
      <c r="U10912" s="226"/>
    </row>
    <row r="10913" spans="16:21" x14ac:dyDescent="0.35">
      <c r="P10913" s="226"/>
      <c r="Q10913" s="226"/>
      <c r="R10913" s="226"/>
      <c r="S10913" s="226"/>
      <c r="T10913" s="226"/>
      <c r="U10913" s="226"/>
    </row>
    <row r="10914" spans="16:21" x14ac:dyDescent="0.35">
      <c r="P10914" s="226"/>
      <c r="Q10914" s="226"/>
      <c r="R10914" s="226"/>
      <c r="S10914" s="226"/>
      <c r="T10914" s="226"/>
      <c r="U10914" s="226"/>
    </row>
    <row r="10915" spans="16:21" x14ac:dyDescent="0.35">
      <c r="P10915" s="226"/>
      <c r="Q10915" s="226"/>
      <c r="R10915" s="226"/>
      <c r="S10915" s="226"/>
      <c r="T10915" s="226"/>
      <c r="U10915" s="226"/>
    </row>
    <row r="10916" spans="16:21" x14ac:dyDescent="0.35">
      <c r="P10916" s="226"/>
      <c r="Q10916" s="226"/>
      <c r="R10916" s="226"/>
      <c r="S10916" s="226"/>
      <c r="T10916" s="226"/>
      <c r="U10916" s="226"/>
    </row>
    <row r="10917" spans="16:21" x14ac:dyDescent="0.35">
      <c r="P10917" s="226"/>
      <c r="Q10917" s="226"/>
      <c r="R10917" s="226"/>
      <c r="S10917" s="226"/>
      <c r="T10917" s="226"/>
      <c r="U10917" s="226"/>
    </row>
    <row r="10918" spans="16:21" x14ac:dyDescent="0.35">
      <c r="P10918" s="226"/>
      <c r="Q10918" s="226"/>
      <c r="R10918" s="226"/>
      <c r="S10918" s="226"/>
      <c r="T10918" s="226"/>
      <c r="U10918" s="226"/>
    </row>
    <row r="10919" spans="16:21" x14ac:dyDescent="0.35">
      <c r="P10919" s="226"/>
      <c r="Q10919" s="226"/>
      <c r="R10919" s="226"/>
      <c r="S10919" s="226"/>
      <c r="T10919" s="226"/>
      <c r="U10919" s="226"/>
    </row>
    <row r="10920" spans="16:21" x14ac:dyDescent="0.35">
      <c r="P10920" s="226"/>
      <c r="Q10920" s="226"/>
      <c r="R10920" s="226"/>
      <c r="S10920" s="226"/>
      <c r="T10920" s="226"/>
      <c r="U10920" s="226"/>
    </row>
    <row r="10921" spans="16:21" x14ac:dyDescent="0.35">
      <c r="P10921" s="226"/>
      <c r="Q10921" s="226"/>
      <c r="R10921" s="226"/>
      <c r="S10921" s="226"/>
      <c r="T10921" s="226"/>
      <c r="U10921" s="226"/>
    </row>
    <row r="10922" spans="16:21" x14ac:dyDescent="0.35">
      <c r="P10922" s="226"/>
      <c r="Q10922" s="226"/>
      <c r="R10922" s="226"/>
      <c r="S10922" s="226"/>
      <c r="T10922" s="226"/>
      <c r="U10922" s="226"/>
    </row>
    <row r="10923" spans="16:21" x14ac:dyDescent="0.35">
      <c r="P10923" s="226"/>
      <c r="Q10923" s="226"/>
      <c r="R10923" s="226"/>
      <c r="S10923" s="226"/>
      <c r="T10923" s="226"/>
      <c r="U10923" s="226"/>
    </row>
    <row r="10924" spans="16:21" x14ac:dyDescent="0.35">
      <c r="P10924" s="226"/>
      <c r="Q10924" s="226"/>
      <c r="R10924" s="226"/>
      <c r="S10924" s="226"/>
      <c r="T10924" s="226"/>
      <c r="U10924" s="226"/>
    </row>
    <row r="10925" spans="16:21" x14ac:dyDescent="0.35">
      <c r="P10925" s="226"/>
      <c r="Q10925" s="226"/>
      <c r="R10925" s="226"/>
      <c r="S10925" s="226"/>
      <c r="T10925" s="226"/>
      <c r="U10925" s="226"/>
    </row>
    <row r="10926" spans="16:21" x14ac:dyDescent="0.35">
      <c r="P10926" s="226"/>
      <c r="Q10926" s="226"/>
      <c r="R10926" s="226"/>
      <c r="S10926" s="226"/>
      <c r="T10926" s="226"/>
      <c r="U10926" s="226"/>
    </row>
    <row r="10927" spans="16:21" x14ac:dyDescent="0.35">
      <c r="P10927" s="226"/>
      <c r="Q10927" s="226"/>
      <c r="R10927" s="226"/>
      <c r="S10927" s="226"/>
      <c r="T10927" s="226"/>
      <c r="U10927" s="226"/>
    </row>
    <row r="10928" spans="16:21" x14ac:dyDescent="0.35">
      <c r="P10928" s="226"/>
      <c r="Q10928" s="226"/>
      <c r="R10928" s="226"/>
      <c r="S10928" s="226"/>
      <c r="T10928" s="226"/>
      <c r="U10928" s="226"/>
    </row>
    <row r="10929" spans="16:21" x14ac:dyDescent="0.35">
      <c r="P10929" s="226"/>
      <c r="Q10929" s="226"/>
      <c r="R10929" s="226"/>
      <c r="S10929" s="226"/>
      <c r="T10929" s="226"/>
      <c r="U10929" s="226"/>
    </row>
    <row r="10930" spans="16:21" x14ac:dyDescent="0.35">
      <c r="P10930" s="226"/>
      <c r="Q10930" s="226"/>
      <c r="R10930" s="226"/>
      <c r="S10930" s="226"/>
      <c r="T10930" s="226"/>
      <c r="U10930" s="226"/>
    </row>
    <row r="10931" spans="16:21" x14ac:dyDescent="0.35">
      <c r="P10931" s="226"/>
      <c r="Q10931" s="226"/>
      <c r="R10931" s="226"/>
      <c r="S10931" s="226"/>
      <c r="T10931" s="226"/>
      <c r="U10931" s="226"/>
    </row>
    <row r="10932" spans="16:21" x14ac:dyDescent="0.35">
      <c r="P10932" s="226"/>
      <c r="Q10932" s="226"/>
      <c r="R10932" s="226"/>
      <c r="S10932" s="226"/>
      <c r="T10932" s="226"/>
      <c r="U10932" s="226"/>
    </row>
    <row r="10933" spans="16:21" x14ac:dyDescent="0.35">
      <c r="P10933" s="226"/>
      <c r="Q10933" s="226"/>
      <c r="R10933" s="226"/>
      <c r="S10933" s="226"/>
      <c r="T10933" s="226"/>
      <c r="U10933" s="226"/>
    </row>
    <row r="10934" spans="16:21" x14ac:dyDescent="0.35">
      <c r="P10934" s="226"/>
      <c r="Q10934" s="226"/>
      <c r="R10934" s="226"/>
      <c r="S10934" s="226"/>
      <c r="T10934" s="226"/>
      <c r="U10934" s="226"/>
    </row>
    <row r="10935" spans="16:21" x14ac:dyDescent="0.35">
      <c r="P10935" s="226"/>
      <c r="Q10935" s="226"/>
      <c r="R10935" s="226"/>
      <c r="S10935" s="226"/>
      <c r="T10935" s="226"/>
      <c r="U10935" s="226"/>
    </row>
    <row r="10936" spans="16:21" x14ac:dyDescent="0.35">
      <c r="P10936" s="226"/>
      <c r="Q10936" s="226"/>
      <c r="R10936" s="226"/>
      <c r="S10936" s="226"/>
      <c r="T10936" s="226"/>
      <c r="U10936" s="226"/>
    </row>
    <row r="10937" spans="16:21" x14ac:dyDescent="0.35">
      <c r="P10937" s="226"/>
      <c r="Q10937" s="226"/>
      <c r="R10937" s="226"/>
      <c r="S10937" s="226"/>
      <c r="T10937" s="226"/>
      <c r="U10937" s="226"/>
    </row>
    <row r="10938" spans="16:21" x14ac:dyDescent="0.35">
      <c r="P10938" s="226"/>
      <c r="Q10938" s="226"/>
      <c r="R10938" s="226"/>
      <c r="S10938" s="226"/>
      <c r="T10938" s="226"/>
      <c r="U10938" s="226"/>
    </row>
    <row r="10939" spans="16:21" x14ac:dyDescent="0.35">
      <c r="P10939" s="226"/>
      <c r="Q10939" s="226"/>
      <c r="R10939" s="226"/>
      <c r="S10939" s="226"/>
      <c r="T10939" s="226"/>
      <c r="U10939" s="226"/>
    </row>
    <row r="10940" spans="16:21" x14ac:dyDescent="0.35">
      <c r="P10940" s="226"/>
      <c r="Q10940" s="226"/>
      <c r="R10940" s="226"/>
      <c r="S10940" s="226"/>
      <c r="T10940" s="226"/>
      <c r="U10940" s="226"/>
    </row>
    <row r="10941" spans="16:21" x14ac:dyDescent="0.35">
      <c r="P10941" s="226"/>
      <c r="Q10941" s="226"/>
      <c r="R10941" s="226"/>
      <c r="S10941" s="226"/>
      <c r="T10941" s="226"/>
      <c r="U10941" s="226"/>
    </row>
    <row r="10942" spans="16:21" x14ac:dyDescent="0.35">
      <c r="P10942" s="226"/>
      <c r="Q10942" s="226"/>
      <c r="R10942" s="226"/>
      <c r="S10942" s="226"/>
      <c r="T10942" s="226"/>
      <c r="U10942" s="226"/>
    </row>
    <row r="10943" spans="16:21" x14ac:dyDescent="0.35">
      <c r="P10943" s="226"/>
      <c r="Q10943" s="226"/>
      <c r="R10943" s="226"/>
      <c r="S10943" s="226"/>
      <c r="T10943" s="226"/>
      <c r="U10943" s="226"/>
    </row>
    <row r="10944" spans="16:21" x14ac:dyDescent="0.35">
      <c r="P10944" s="226"/>
      <c r="Q10944" s="226"/>
      <c r="R10944" s="226"/>
      <c r="S10944" s="226"/>
      <c r="T10944" s="226"/>
      <c r="U10944" s="226"/>
    </row>
    <row r="10945" spans="16:21" x14ac:dyDescent="0.35">
      <c r="P10945" s="226"/>
      <c r="Q10945" s="226"/>
      <c r="R10945" s="226"/>
      <c r="S10945" s="226"/>
      <c r="T10945" s="226"/>
      <c r="U10945" s="226"/>
    </row>
    <row r="10946" spans="16:21" x14ac:dyDescent="0.35">
      <c r="P10946" s="226"/>
      <c r="Q10946" s="226"/>
      <c r="R10946" s="226"/>
      <c r="S10946" s="226"/>
      <c r="T10946" s="226"/>
      <c r="U10946" s="226"/>
    </row>
    <row r="10947" spans="16:21" x14ac:dyDescent="0.35">
      <c r="P10947" s="226"/>
      <c r="Q10947" s="226"/>
      <c r="R10947" s="226"/>
      <c r="S10947" s="226"/>
      <c r="T10947" s="226"/>
      <c r="U10947" s="226"/>
    </row>
    <row r="10948" spans="16:21" x14ac:dyDescent="0.35">
      <c r="P10948" s="226"/>
      <c r="Q10948" s="226"/>
      <c r="R10948" s="226"/>
      <c r="S10948" s="226"/>
      <c r="T10948" s="226"/>
      <c r="U10948" s="226"/>
    </row>
    <row r="10949" spans="16:21" x14ac:dyDescent="0.35">
      <c r="P10949" s="226"/>
      <c r="Q10949" s="226"/>
      <c r="R10949" s="226"/>
      <c r="S10949" s="226"/>
      <c r="T10949" s="226"/>
      <c r="U10949" s="226"/>
    </row>
    <row r="10950" spans="16:21" x14ac:dyDescent="0.35">
      <c r="P10950" s="226"/>
      <c r="Q10950" s="226"/>
      <c r="R10950" s="226"/>
      <c r="S10950" s="226"/>
      <c r="T10950" s="226"/>
      <c r="U10950" s="226"/>
    </row>
    <row r="10951" spans="16:21" x14ac:dyDescent="0.35">
      <c r="P10951" s="226"/>
      <c r="Q10951" s="226"/>
      <c r="R10951" s="226"/>
      <c r="S10951" s="226"/>
      <c r="T10951" s="226"/>
      <c r="U10951" s="226"/>
    </row>
    <row r="10952" spans="16:21" x14ac:dyDescent="0.35">
      <c r="P10952" s="226"/>
      <c r="Q10952" s="226"/>
      <c r="R10952" s="226"/>
      <c r="S10952" s="226"/>
      <c r="T10952" s="226"/>
      <c r="U10952" s="226"/>
    </row>
    <row r="10953" spans="16:21" x14ac:dyDescent="0.35">
      <c r="P10953" s="226"/>
      <c r="Q10953" s="226"/>
      <c r="R10953" s="226"/>
      <c r="S10953" s="226"/>
      <c r="T10953" s="226"/>
      <c r="U10953" s="226"/>
    </row>
    <row r="10954" spans="16:21" x14ac:dyDescent="0.35">
      <c r="P10954" s="226"/>
      <c r="Q10954" s="226"/>
      <c r="R10954" s="226"/>
      <c r="S10954" s="226"/>
      <c r="T10954" s="226"/>
      <c r="U10954" s="226"/>
    </row>
    <row r="10955" spans="16:21" x14ac:dyDescent="0.35">
      <c r="P10955" s="226"/>
      <c r="Q10955" s="226"/>
      <c r="R10955" s="226"/>
      <c r="S10955" s="226"/>
      <c r="T10955" s="226"/>
      <c r="U10955" s="226"/>
    </row>
    <row r="10956" spans="16:21" x14ac:dyDescent="0.35">
      <c r="P10956" s="226"/>
      <c r="Q10956" s="226"/>
      <c r="R10956" s="226"/>
      <c r="S10956" s="226"/>
      <c r="T10956" s="226"/>
      <c r="U10956" s="226"/>
    </row>
    <row r="10957" spans="16:21" x14ac:dyDescent="0.35">
      <c r="P10957" s="226"/>
      <c r="Q10957" s="226"/>
      <c r="R10957" s="226"/>
      <c r="S10957" s="226"/>
      <c r="T10957" s="226"/>
      <c r="U10957" s="226"/>
    </row>
    <row r="10958" spans="16:21" x14ac:dyDescent="0.35">
      <c r="P10958" s="226"/>
      <c r="Q10958" s="226"/>
      <c r="R10958" s="226"/>
      <c r="S10958" s="226"/>
      <c r="T10958" s="226"/>
      <c r="U10958" s="226"/>
    </row>
    <row r="10959" spans="16:21" x14ac:dyDescent="0.35">
      <c r="P10959" s="226"/>
      <c r="Q10959" s="226"/>
      <c r="R10959" s="226"/>
      <c r="S10959" s="226"/>
      <c r="T10959" s="226"/>
      <c r="U10959" s="226"/>
    </row>
    <row r="10960" spans="16:21" x14ac:dyDescent="0.35">
      <c r="P10960" s="226"/>
      <c r="Q10960" s="226"/>
      <c r="R10960" s="226"/>
      <c r="S10960" s="226"/>
      <c r="T10960" s="226"/>
      <c r="U10960" s="226"/>
    </row>
    <row r="10961" spans="16:21" x14ac:dyDescent="0.35">
      <c r="P10961" s="226"/>
      <c r="Q10961" s="226"/>
      <c r="R10961" s="226"/>
      <c r="S10961" s="226"/>
      <c r="T10961" s="226"/>
      <c r="U10961" s="226"/>
    </row>
    <row r="10962" spans="16:21" x14ac:dyDescent="0.35">
      <c r="P10962" s="226"/>
      <c r="Q10962" s="226"/>
      <c r="R10962" s="226"/>
      <c r="S10962" s="226"/>
      <c r="T10962" s="226"/>
      <c r="U10962" s="226"/>
    </row>
    <row r="10963" spans="16:21" x14ac:dyDescent="0.35">
      <c r="P10963" s="226"/>
      <c r="Q10963" s="226"/>
      <c r="R10963" s="226"/>
      <c r="S10963" s="226"/>
      <c r="T10963" s="226"/>
      <c r="U10963" s="226"/>
    </row>
    <row r="10964" spans="16:21" x14ac:dyDescent="0.35">
      <c r="P10964" s="226"/>
      <c r="Q10964" s="226"/>
      <c r="R10964" s="226"/>
      <c r="S10964" s="226"/>
      <c r="T10964" s="226"/>
      <c r="U10964" s="226"/>
    </row>
    <row r="10965" spans="16:21" x14ac:dyDescent="0.35">
      <c r="P10965" s="226"/>
      <c r="Q10965" s="226"/>
      <c r="R10965" s="226"/>
      <c r="S10965" s="226"/>
      <c r="T10965" s="226"/>
      <c r="U10965" s="226"/>
    </row>
    <row r="10966" spans="16:21" x14ac:dyDescent="0.35">
      <c r="P10966" s="226"/>
      <c r="Q10966" s="226"/>
      <c r="R10966" s="226"/>
      <c r="S10966" s="226"/>
      <c r="T10966" s="226"/>
      <c r="U10966" s="226"/>
    </row>
    <row r="10967" spans="16:21" x14ac:dyDescent="0.35">
      <c r="P10967" s="226"/>
      <c r="Q10967" s="226"/>
      <c r="R10967" s="226"/>
      <c r="S10967" s="226"/>
      <c r="T10967" s="226"/>
      <c r="U10967" s="226"/>
    </row>
    <row r="10968" spans="16:21" x14ac:dyDescent="0.35">
      <c r="P10968" s="226"/>
      <c r="Q10968" s="226"/>
      <c r="R10968" s="226"/>
      <c r="S10968" s="226"/>
      <c r="T10968" s="226"/>
      <c r="U10968" s="226"/>
    </row>
    <row r="10969" spans="16:21" x14ac:dyDescent="0.35">
      <c r="P10969" s="226"/>
      <c r="Q10969" s="226"/>
      <c r="R10969" s="226"/>
      <c r="S10969" s="226"/>
      <c r="T10969" s="226"/>
      <c r="U10969" s="226"/>
    </row>
    <row r="10970" spans="16:21" x14ac:dyDescent="0.35">
      <c r="P10970" s="226"/>
      <c r="Q10970" s="226"/>
      <c r="R10970" s="226"/>
      <c r="S10970" s="226"/>
      <c r="T10970" s="226"/>
      <c r="U10970" s="226"/>
    </row>
    <row r="10971" spans="16:21" x14ac:dyDescent="0.35">
      <c r="P10971" s="226"/>
      <c r="Q10971" s="226"/>
      <c r="R10971" s="226"/>
      <c r="S10971" s="226"/>
      <c r="T10971" s="226"/>
      <c r="U10971" s="226"/>
    </row>
    <row r="10972" spans="16:21" x14ac:dyDescent="0.35">
      <c r="P10972" s="226"/>
      <c r="Q10972" s="226"/>
      <c r="R10972" s="226"/>
      <c r="S10972" s="226"/>
      <c r="T10972" s="226"/>
      <c r="U10972" s="226"/>
    </row>
    <row r="10973" spans="16:21" x14ac:dyDescent="0.35">
      <c r="P10973" s="226"/>
      <c r="Q10973" s="226"/>
      <c r="R10973" s="226"/>
      <c r="S10973" s="226"/>
      <c r="T10973" s="226"/>
      <c r="U10973" s="226"/>
    </row>
    <row r="10974" spans="16:21" x14ac:dyDescent="0.35">
      <c r="P10974" s="226"/>
      <c r="Q10974" s="226"/>
      <c r="R10974" s="226"/>
      <c r="S10974" s="226"/>
      <c r="T10974" s="226"/>
      <c r="U10974" s="226"/>
    </row>
    <row r="10975" spans="16:21" x14ac:dyDescent="0.35">
      <c r="P10975" s="226"/>
      <c r="Q10975" s="226"/>
      <c r="R10975" s="226"/>
      <c r="S10975" s="226"/>
      <c r="T10975" s="226"/>
      <c r="U10975" s="226"/>
    </row>
    <row r="10976" spans="16:21" x14ac:dyDescent="0.35">
      <c r="P10976" s="226"/>
      <c r="Q10976" s="226"/>
      <c r="R10976" s="226"/>
      <c r="S10976" s="226"/>
      <c r="T10976" s="226"/>
      <c r="U10976" s="226"/>
    </row>
    <row r="10977" spans="16:21" x14ac:dyDescent="0.35">
      <c r="P10977" s="226"/>
      <c r="Q10977" s="226"/>
      <c r="R10977" s="226"/>
      <c r="S10977" s="226"/>
      <c r="T10977" s="226"/>
      <c r="U10977" s="226"/>
    </row>
    <row r="10978" spans="16:21" x14ac:dyDescent="0.35">
      <c r="P10978" s="226"/>
      <c r="Q10978" s="226"/>
      <c r="R10978" s="226"/>
      <c r="S10978" s="226"/>
      <c r="T10978" s="226"/>
      <c r="U10978" s="226"/>
    </row>
    <row r="10979" spans="16:21" x14ac:dyDescent="0.35">
      <c r="P10979" s="226"/>
      <c r="Q10979" s="226"/>
      <c r="R10979" s="226"/>
      <c r="S10979" s="226"/>
      <c r="T10979" s="226"/>
      <c r="U10979" s="226"/>
    </row>
    <row r="10980" spans="16:21" x14ac:dyDescent="0.35">
      <c r="P10980" s="226"/>
      <c r="Q10980" s="226"/>
      <c r="R10980" s="226"/>
      <c r="S10980" s="226"/>
      <c r="T10980" s="226"/>
      <c r="U10980" s="226"/>
    </row>
    <row r="10981" spans="16:21" x14ac:dyDescent="0.35">
      <c r="P10981" s="226"/>
      <c r="Q10981" s="226"/>
      <c r="R10981" s="226"/>
      <c r="S10981" s="226"/>
      <c r="T10981" s="226"/>
      <c r="U10981" s="226"/>
    </row>
    <row r="10982" spans="16:21" x14ac:dyDescent="0.35">
      <c r="P10982" s="226"/>
      <c r="Q10982" s="226"/>
      <c r="R10982" s="226"/>
      <c r="S10982" s="226"/>
      <c r="T10982" s="226"/>
      <c r="U10982" s="226"/>
    </row>
    <row r="10983" spans="16:21" x14ac:dyDescent="0.35">
      <c r="P10983" s="226"/>
      <c r="Q10983" s="226"/>
      <c r="R10983" s="226"/>
      <c r="S10983" s="226"/>
      <c r="T10983" s="226"/>
      <c r="U10983" s="226"/>
    </row>
    <row r="10984" spans="16:21" x14ac:dyDescent="0.35">
      <c r="P10984" s="226"/>
      <c r="Q10984" s="226"/>
      <c r="R10984" s="226"/>
      <c r="S10984" s="226"/>
      <c r="T10984" s="226"/>
      <c r="U10984" s="226"/>
    </row>
    <row r="10985" spans="16:21" x14ac:dyDescent="0.35">
      <c r="P10985" s="226"/>
      <c r="Q10985" s="226"/>
      <c r="R10985" s="226"/>
      <c r="S10985" s="226"/>
      <c r="T10985" s="226"/>
      <c r="U10985" s="226"/>
    </row>
    <row r="10986" spans="16:21" x14ac:dyDescent="0.35">
      <c r="P10986" s="226"/>
      <c r="Q10986" s="226"/>
      <c r="R10986" s="226"/>
      <c r="S10986" s="226"/>
      <c r="T10986" s="226"/>
      <c r="U10986" s="226"/>
    </row>
    <row r="10987" spans="16:21" x14ac:dyDescent="0.35">
      <c r="P10987" s="226"/>
      <c r="Q10987" s="226"/>
      <c r="R10987" s="226"/>
      <c r="S10987" s="226"/>
      <c r="T10987" s="226"/>
      <c r="U10987" s="226"/>
    </row>
    <row r="10988" spans="16:21" x14ac:dyDescent="0.35">
      <c r="P10988" s="226"/>
      <c r="Q10988" s="226"/>
      <c r="R10988" s="226"/>
      <c r="S10988" s="226"/>
      <c r="T10988" s="226"/>
      <c r="U10988" s="226"/>
    </row>
    <row r="10989" spans="16:21" x14ac:dyDescent="0.35">
      <c r="P10989" s="226"/>
      <c r="Q10989" s="226"/>
      <c r="R10989" s="226"/>
      <c r="S10989" s="226"/>
      <c r="T10989" s="226"/>
      <c r="U10989" s="226"/>
    </row>
    <row r="10990" spans="16:21" x14ac:dyDescent="0.35">
      <c r="P10990" s="226"/>
      <c r="Q10990" s="226"/>
      <c r="R10990" s="226"/>
      <c r="S10990" s="226"/>
      <c r="T10990" s="226"/>
      <c r="U10990" s="226"/>
    </row>
    <row r="10991" spans="16:21" x14ac:dyDescent="0.35">
      <c r="P10991" s="226"/>
      <c r="Q10991" s="226"/>
      <c r="R10991" s="226"/>
      <c r="S10991" s="226"/>
      <c r="T10991" s="226"/>
      <c r="U10991" s="226"/>
    </row>
    <row r="10992" spans="16:21" x14ac:dyDescent="0.35">
      <c r="P10992" s="226"/>
      <c r="Q10992" s="226"/>
      <c r="R10992" s="226"/>
      <c r="S10992" s="226"/>
      <c r="T10992" s="226"/>
      <c r="U10992" s="226"/>
    </row>
    <row r="10993" spans="16:21" x14ac:dyDescent="0.35">
      <c r="P10993" s="226"/>
      <c r="Q10993" s="226"/>
      <c r="R10993" s="226"/>
      <c r="S10993" s="226"/>
      <c r="T10993" s="226"/>
      <c r="U10993" s="226"/>
    </row>
    <row r="10994" spans="16:21" x14ac:dyDescent="0.35">
      <c r="P10994" s="226"/>
      <c r="Q10994" s="226"/>
      <c r="R10994" s="226"/>
      <c r="S10994" s="226"/>
      <c r="T10994" s="226"/>
      <c r="U10994" s="226"/>
    </row>
    <row r="10995" spans="16:21" x14ac:dyDescent="0.35">
      <c r="P10995" s="226"/>
      <c r="Q10995" s="226"/>
      <c r="R10995" s="226"/>
      <c r="S10995" s="226"/>
      <c r="T10995" s="226"/>
      <c r="U10995" s="226"/>
    </row>
    <row r="10996" spans="16:21" x14ac:dyDescent="0.35">
      <c r="P10996" s="226"/>
      <c r="Q10996" s="226"/>
      <c r="R10996" s="226"/>
      <c r="S10996" s="226"/>
      <c r="T10996" s="226"/>
      <c r="U10996" s="226"/>
    </row>
    <row r="10997" spans="16:21" x14ac:dyDescent="0.35">
      <c r="P10997" s="226"/>
      <c r="Q10997" s="226"/>
      <c r="R10997" s="226"/>
      <c r="S10997" s="226"/>
      <c r="T10997" s="226"/>
      <c r="U10997" s="226"/>
    </row>
    <row r="10998" spans="16:21" x14ac:dyDescent="0.35">
      <c r="P10998" s="226"/>
      <c r="Q10998" s="226"/>
      <c r="R10998" s="226"/>
      <c r="S10998" s="226"/>
      <c r="T10998" s="226"/>
      <c r="U10998" s="226"/>
    </row>
    <row r="10999" spans="16:21" x14ac:dyDescent="0.35">
      <c r="P10999" s="226"/>
      <c r="Q10999" s="226"/>
      <c r="R10999" s="226"/>
      <c r="S10999" s="226"/>
      <c r="T10999" s="226"/>
      <c r="U10999" s="226"/>
    </row>
    <row r="11000" spans="16:21" x14ac:dyDescent="0.35">
      <c r="P11000" s="226"/>
      <c r="Q11000" s="226"/>
      <c r="R11000" s="226"/>
      <c r="S11000" s="226"/>
      <c r="T11000" s="226"/>
      <c r="U11000" s="226"/>
    </row>
    <row r="11001" spans="16:21" x14ac:dyDescent="0.35">
      <c r="P11001" s="226"/>
      <c r="Q11001" s="226"/>
      <c r="R11001" s="226"/>
      <c r="S11001" s="226"/>
      <c r="T11001" s="226"/>
      <c r="U11001" s="226"/>
    </row>
    <row r="11002" spans="16:21" x14ac:dyDescent="0.35">
      <c r="P11002" s="226"/>
      <c r="Q11002" s="226"/>
      <c r="R11002" s="226"/>
      <c r="S11002" s="226"/>
      <c r="T11002" s="226"/>
      <c r="U11002" s="226"/>
    </row>
    <row r="11003" spans="16:21" x14ac:dyDescent="0.35">
      <c r="P11003" s="226"/>
      <c r="Q11003" s="226"/>
      <c r="R11003" s="226"/>
      <c r="S11003" s="226"/>
      <c r="T11003" s="226"/>
      <c r="U11003" s="226"/>
    </row>
    <row r="11004" spans="16:21" x14ac:dyDescent="0.35">
      <c r="P11004" s="226"/>
      <c r="Q11004" s="226"/>
      <c r="R11004" s="226"/>
      <c r="S11004" s="226"/>
      <c r="T11004" s="226"/>
      <c r="U11004" s="226"/>
    </row>
    <row r="11005" spans="16:21" x14ac:dyDescent="0.35">
      <c r="P11005" s="226"/>
      <c r="Q11005" s="226"/>
      <c r="R11005" s="226"/>
      <c r="S11005" s="226"/>
      <c r="T11005" s="226"/>
      <c r="U11005" s="226"/>
    </row>
    <row r="11006" spans="16:21" x14ac:dyDescent="0.35">
      <c r="P11006" s="226"/>
      <c r="Q11006" s="226"/>
      <c r="R11006" s="226"/>
      <c r="S11006" s="226"/>
      <c r="T11006" s="226"/>
      <c r="U11006" s="226"/>
    </row>
    <row r="11007" spans="16:21" x14ac:dyDescent="0.35">
      <c r="P11007" s="226"/>
      <c r="Q11007" s="226"/>
      <c r="R11007" s="226"/>
      <c r="S11007" s="226"/>
      <c r="T11007" s="226"/>
      <c r="U11007" s="226"/>
    </row>
    <row r="11008" spans="16:21" x14ac:dyDescent="0.35">
      <c r="P11008" s="226"/>
      <c r="Q11008" s="226"/>
      <c r="R11008" s="226"/>
      <c r="S11008" s="226"/>
      <c r="T11008" s="226"/>
      <c r="U11008" s="226"/>
    </row>
    <row r="11009" spans="16:21" x14ac:dyDescent="0.35">
      <c r="P11009" s="226"/>
      <c r="Q11009" s="226"/>
      <c r="R11009" s="226"/>
      <c r="S11009" s="226"/>
      <c r="T11009" s="226"/>
      <c r="U11009" s="226"/>
    </row>
    <row r="11010" spans="16:21" x14ac:dyDescent="0.35">
      <c r="P11010" s="226"/>
      <c r="Q11010" s="226"/>
      <c r="R11010" s="226"/>
      <c r="S11010" s="226"/>
      <c r="T11010" s="226"/>
      <c r="U11010" s="226"/>
    </row>
    <row r="11011" spans="16:21" x14ac:dyDescent="0.35">
      <c r="P11011" s="226"/>
      <c r="Q11011" s="226"/>
      <c r="R11011" s="226"/>
      <c r="S11011" s="226"/>
      <c r="T11011" s="226"/>
      <c r="U11011" s="226"/>
    </row>
    <row r="11012" spans="16:21" x14ac:dyDescent="0.35">
      <c r="P11012" s="226"/>
      <c r="Q11012" s="226"/>
      <c r="R11012" s="226"/>
      <c r="S11012" s="226"/>
      <c r="T11012" s="226"/>
      <c r="U11012" s="226"/>
    </row>
    <row r="11013" spans="16:21" x14ac:dyDescent="0.35">
      <c r="P11013" s="226"/>
      <c r="Q11013" s="226"/>
      <c r="R11013" s="226"/>
      <c r="S11013" s="226"/>
      <c r="T11013" s="226"/>
      <c r="U11013" s="226"/>
    </row>
    <row r="11014" spans="16:21" x14ac:dyDescent="0.35">
      <c r="P11014" s="226"/>
      <c r="Q11014" s="226"/>
      <c r="R11014" s="226"/>
      <c r="S11014" s="226"/>
      <c r="T11014" s="226"/>
      <c r="U11014" s="226"/>
    </row>
    <row r="11015" spans="16:21" x14ac:dyDescent="0.35">
      <c r="P11015" s="226"/>
      <c r="Q11015" s="226"/>
      <c r="R11015" s="226"/>
      <c r="S11015" s="226"/>
      <c r="T11015" s="226"/>
      <c r="U11015" s="226"/>
    </row>
    <row r="11016" spans="16:21" x14ac:dyDescent="0.35">
      <c r="P11016" s="226"/>
      <c r="Q11016" s="226"/>
      <c r="R11016" s="226"/>
      <c r="S11016" s="226"/>
      <c r="T11016" s="226"/>
      <c r="U11016" s="226"/>
    </row>
    <row r="11017" spans="16:21" x14ac:dyDescent="0.35">
      <c r="P11017" s="226"/>
      <c r="Q11017" s="226"/>
      <c r="R11017" s="226"/>
      <c r="S11017" s="226"/>
      <c r="T11017" s="226"/>
      <c r="U11017" s="226"/>
    </row>
    <row r="11018" spans="16:21" x14ac:dyDescent="0.35">
      <c r="P11018" s="226"/>
      <c r="Q11018" s="226"/>
      <c r="R11018" s="226"/>
      <c r="S11018" s="226"/>
      <c r="T11018" s="226"/>
      <c r="U11018" s="226"/>
    </row>
    <row r="11019" spans="16:21" x14ac:dyDescent="0.35">
      <c r="P11019" s="226"/>
      <c r="Q11019" s="226"/>
      <c r="R11019" s="226"/>
      <c r="S11019" s="226"/>
      <c r="T11019" s="226"/>
      <c r="U11019" s="226"/>
    </row>
    <row r="11020" spans="16:21" x14ac:dyDescent="0.35">
      <c r="P11020" s="226"/>
      <c r="Q11020" s="226"/>
      <c r="R11020" s="226"/>
      <c r="S11020" s="226"/>
      <c r="T11020" s="226"/>
      <c r="U11020" s="226"/>
    </row>
    <row r="11021" spans="16:21" x14ac:dyDescent="0.35">
      <c r="P11021" s="226"/>
      <c r="Q11021" s="226"/>
      <c r="R11021" s="226"/>
      <c r="S11021" s="226"/>
      <c r="T11021" s="226"/>
      <c r="U11021" s="226"/>
    </row>
    <row r="11022" spans="16:21" x14ac:dyDescent="0.35">
      <c r="P11022" s="226"/>
      <c r="Q11022" s="226"/>
      <c r="R11022" s="226"/>
      <c r="S11022" s="226"/>
      <c r="T11022" s="226"/>
      <c r="U11022" s="226"/>
    </row>
    <row r="11023" spans="16:21" x14ac:dyDescent="0.35">
      <c r="P11023" s="226"/>
      <c r="Q11023" s="226"/>
      <c r="R11023" s="226"/>
      <c r="S11023" s="226"/>
      <c r="T11023" s="226"/>
      <c r="U11023" s="226"/>
    </row>
    <row r="11024" spans="16:21" x14ac:dyDescent="0.35">
      <c r="P11024" s="226"/>
      <c r="Q11024" s="226"/>
      <c r="R11024" s="226"/>
      <c r="S11024" s="226"/>
      <c r="T11024" s="226"/>
      <c r="U11024" s="226"/>
    </row>
    <row r="11025" spans="16:21" x14ac:dyDescent="0.35">
      <c r="P11025" s="226"/>
      <c r="Q11025" s="226"/>
      <c r="R11025" s="226"/>
      <c r="S11025" s="226"/>
      <c r="T11025" s="226"/>
      <c r="U11025" s="226"/>
    </row>
    <row r="11026" spans="16:21" x14ac:dyDescent="0.35">
      <c r="P11026" s="226"/>
      <c r="Q11026" s="226"/>
      <c r="R11026" s="226"/>
      <c r="S11026" s="226"/>
      <c r="T11026" s="226"/>
      <c r="U11026" s="226"/>
    </row>
    <row r="11027" spans="16:21" x14ac:dyDescent="0.35">
      <c r="P11027" s="226"/>
      <c r="Q11027" s="226"/>
      <c r="R11027" s="226"/>
      <c r="S11027" s="226"/>
      <c r="T11027" s="226"/>
      <c r="U11027" s="226"/>
    </row>
    <row r="11028" spans="16:21" x14ac:dyDescent="0.35">
      <c r="P11028" s="226"/>
      <c r="Q11028" s="226"/>
      <c r="R11028" s="226"/>
      <c r="S11028" s="226"/>
      <c r="T11028" s="226"/>
      <c r="U11028" s="226"/>
    </row>
    <row r="11029" spans="16:21" x14ac:dyDescent="0.35">
      <c r="P11029" s="226"/>
      <c r="Q11029" s="226"/>
      <c r="R11029" s="226"/>
      <c r="S11029" s="226"/>
      <c r="T11029" s="226"/>
      <c r="U11029" s="226"/>
    </row>
    <row r="11030" spans="16:21" x14ac:dyDescent="0.35">
      <c r="P11030" s="226"/>
      <c r="Q11030" s="226"/>
      <c r="R11030" s="226"/>
      <c r="S11030" s="226"/>
      <c r="T11030" s="226"/>
      <c r="U11030" s="226"/>
    </row>
    <row r="11031" spans="16:21" x14ac:dyDescent="0.35">
      <c r="P11031" s="226"/>
      <c r="Q11031" s="226"/>
      <c r="R11031" s="226"/>
      <c r="S11031" s="226"/>
      <c r="T11031" s="226"/>
      <c r="U11031" s="226"/>
    </row>
    <row r="11032" spans="16:21" x14ac:dyDescent="0.35">
      <c r="P11032" s="226"/>
      <c r="Q11032" s="226"/>
      <c r="R11032" s="226"/>
      <c r="S11032" s="226"/>
      <c r="T11032" s="226"/>
      <c r="U11032" s="226"/>
    </row>
    <row r="11033" spans="16:21" x14ac:dyDescent="0.35">
      <c r="P11033" s="226"/>
      <c r="Q11033" s="226"/>
      <c r="R11033" s="226"/>
      <c r="S11033" s="226"/>
      <c r="T11033" s="226"/>
      <c r="U11033" s="226"/>
    </row>
    <row r="11034" spans="16:21" x14ac:dyDescent="0.35">
      <c r="P11034" s="226"/>
      <c r="Q11034" s="226"/>
      <c r="R11034" s="226"/>
      <c r="S11034" s="226"/>
      <c r="T11034" s="226"/>
      <c r="U11034" s="226"/>
    </row>
    <row r="11035" spans="16:21" x14ac:dyDescent="0.35">
      <c r="P11035" s="226"/>
      <c r="Q11035" s="226"/>
      <c r="R11035" s="226"/>
      <c r="S11035" s="226"/>
      <c r="T11035" s="226"/>
      <c r="U11035" s="226"/>
    </row>
    <row r="11036" spans="16:21" x14ac:dyDescent="0.35">
      <c r="P11036" s="226"/>
      <c r="Q11036" s="226"/>
      <c r="R11036" s="226"/>
      <c r="S11036" s="226"/>
      <c r="T11036" s="226"/>
      <c r="U11036" s="226"/>
    </row>
    <row r="11037" spans="16:21" x14ac:dyDescent="0.35">
      <c r="P11037" s="226"/>
      <c r="Q11037" s="226"/>
      <c r="R11037" s="226"/>
      <c r="S11037" s="226"/>
      <c r="T11037" s="226"/>
      <c r="U11037" s="226"/>
    </row>
    <row r="11038" spans="16:21" x14ac:dyDescent="0.35">
      <c r="P11038" s="226"/>
      <c r="Q11038" s="226"/>
      <c r="R11038" s="226"/>
      <c r="S11038" s="226"/>
      <c r="T11038" s="226"/>
      <c r="U11038" s="226"/>
    </row>
    <row r="11039" spans="16:21" x14ac:dyDescent="0.35">
      <c r="P11039" s="226"/>
      <c r="Q11039" s="226"/>
      <c r="R11039" s="226"/>
      <c r="S11039" s="226"/>
      <c r="T11039" s="226"/>
      <c r="U11039" s="226"/>
    </row>
    <row r="11040" spans="16:21" x14ac:dyDescent="0.35">
      <c r="P11040" s="226"/>
      <c r="Q11040" s="226"/>
      <c r="R11040" s="226"/>
      <c r="S11040" s="226"/>
      <c r="T11040" s="226"/>
      <c r="U11040" s="226"/>
    </row>
    <row r="11041" spans="16:21" x14ac:dyDescent="0.35">
      <c r="P11041" s="226"/>
      <c r="Q11041" s="226"/>
      <c r="R11041" s="226"/>
      <c r="S11041" s="226"/>
      <c r="T11041" s="226"/>
      <c r="U11041" s="226"/>
    </row>
    <row r="11042" spans="16:21" x14ac:dyDescent="0.35">
      <c r="P11042" s="226"/>
      <c r="Q11042" s="226"/>
      <c r="R11042" s="226"/>
      <c r="S11042" s="226"/>
      <c r="T11042" s="226"/>
      <c r="U11042" s="226"/>
    </row>
    <row r="11043" spans="16:21" x14ac:dyDescent="0.35">
      <c r="P11043" s="226"/>
      <c r="Q11043" s="226"/>
      <c r="R11043" s="226"/>
      <c r="S11043" s="226"/>
      <c r="T11043" s="226"/>
      <c r="U11043" s="226"/>
    </row>
    <row r="11044" spans="16:21" x14ac:dyDescent="0.35">
      <c r="P11044" s="226"/>
      <c r="Q11044" s="226"/>
      <c r="R11044" s="226"/>
      <c r="S11044" s="226"/>
      <c r="T11044" s="226"/>
      <c r="U11044" s="226"/>
    </row>
    <row r="11045" spans="16:21" x14ac:dyDescent="0.35">
      <c r="P11045" s="226"/>
      <c r="Q11045" s="226"/>
      <c r="R11045" s="226"/>
      <c r="S11045" s="226"/>
      <c r="T11045" s="226"/>
      <c r="U11045" s="226"/>
    </row>
    <row r="11046" spans="16:21" x14ac:dyDescent="0.35">
      <c r="P11046" s="226"/>
      <c r="Q11046" s="226"/>
      <c r="R11046" s="226"/>
      <c r="S11046" s="226"/>
      <c r="T11046" s="226"/>
      <c r="U11046" s="226"/>
    </row>
    <row r="11047" spans="16:21" x14ac:dyDescent="0.35">
      <c r="P11047" s="226"/>
      <c r="Q11047" s="226"/>
      <c r="R11047" s="226"/>
      <c r="S11047" s="226"/>
      <c r="T11047" s="226"/>
      <c r="U11047" s="226"/>
    </row>
    <row r="11048" spans="16:21" x14ac:dyDescent="0.35">
      <c r="P11048" s="226"/>
      <c r="Q11048" s="226"/>
      <c r="R11048" s="226"/>
      <c r="S11048" s="226"/>
      <c r="T11048" s="226"/>
      <c r="U11048" s="226"/>
    </row>
    <row r="11049" spans="16:21" x14ac:dyDescent="0.35">
      <c r="P11049" s="226"/>
      <c r="Q11049" s="226"/>
      <c r="R11049" s="226"/>
      <c r="S11049" s="226"/>
      <c r="T11049" s="226"/>
      <c r="U11049" s="226"/>
    </row>
    <row r="11050" spans="16:21" x14ac:dyDescent="0.35">
      <c r="P11050" s="226"/>
      <c r="Q11050" s="226"/>
      <c r="R11050" s="226"/>
      <c r="S11050" s="226"/>
      <c r="T11050" s="226"/>
      <c r="U11050" s="226"/>
    </row>
    <row r="11051" spans="16:21" x14ac:dyDescent="0.35">
      <c r="P11051" s="226"/>
      <c r="Q11051" s="226"/>
      <c r="R11051" s="226"/>
      <c r="S11051" s="226"/>
      <c r="T11051" s="226"/>
      <c r="U11051" s="226"/>
    </row>
    <row r="11052" spans="16:21" x14ac:dyDescent="0.35">
      <c r="P11052" s="226"/>
      <c r="Q11052" s="226"/>
      <c r="R11052" s="226"/>
      <c r="S11052" s="226"/>
      <c r="T11052" s="226"/>
      <c r="U11052" s="226"/>
    </row>
    <row r="11053" spans="16:21" x14ac:dyDescent="0.35">
      <c r="P11053" s="226"/>
      <c r="Q11053" s="226"/>
      <c r="R11053" s="226"/>
      <c r="S11053" s="226"/>
      <c r="T11053" s="226"/>
      <c r="U11053" s="226"/>
    </row>
    <row r="11054" spans="16:21" x14ac:dyDescent="0.35">
      <c r="P11054" s="226"/>
      <c r="Q11054" s="226"/>
      <c r="R11054" s="226"/>
      <c r="S11054" s="226"/>
      <c r="T11054" s="226"/>
      <c r="U11054" s="226"/>
    </row>
    <row r="11055" spans="16:21" x14ac:dyDescent="0.35">
      <c r="P11055" s="226"/>
      <c r="Q11055" s="226"/>
      <c r="R11055" s="226"/>
      <c r="S11055" s="226"/>
      <c r="T11055" s="226"/>
      <c r="U11055" s="226"/>
    </row>
    <row r="11056" spans="16:21" x14ac:dyDescent="0.35">
      <c r="P11056" s="226"/>
      <c r="Q11056" s="226"/>
      <c r="R11056" s="226"/>
      <c r="S11056" s="226"/>
      <c r="T11056" s="226"/>
      <c r="U11056" s="226"/>
    </row>
    <row r="11057" spans="16:21" x14ac:dyDescent="0.35">
      <c r="P11057" s="226"/>
      <c r="Q11057" s="226"/>
      <c r="R11057" s="226"/>
      <c r="S11057" s="226"/>
      <c r="T11057" s="226"/>
      <c r="U11057" s="226"/>
    </row>
    <row r="11058" spans="16:21" x14ac:dyDescent="0.35">
      <c r="P11058" s="226"/>
      <c r="Q11058" s="226"/>
      <c r="R11058" s="226"/>
      <c r="S11058" s="226"/>
      <c r="T11058" s="226"/>
      <c r="U11058" s="226"/>
    </row>
    <row r="11059" spans="16:21" x14ac:dyDescent="0.35">
      <c r="P11059" s="226"/>
      <c r="Q11059" s="226"/>
      <c r="R11059" s="226"/>
      <c r="S11059" s="226"/>
      <c r="T11059" s="226"/>
      <c r="U11059" s="226"/>
    </row>
    <row r="11060" spans="16:21" x14ac:dyDescent="0.35">
      <c r="P11060" s="226"/>
      <c r="Q11060" s="226"/>
      <c r="R11060" s="226"/>
      <c r="S11060" s="226"/>
      <c r="T11060" s="226"/>
      <c r="U11060" s="226"/>
    </row>
    <row r="11061" spans="16:21" x14ac:dyDescent="0.35">
      <c r="P11061" s="226"/>
      <c r="Q11061" s="226"/>
      <c r="R11061" s="226"/>
      <c r="S11061" s="226"/>
      <c r="T11061" s="226"/>
      <c r="U11061" s="226"/>
    </row>
    <row r="11062" spans="16:21" x14ac:dyDescent="0.35">
      <c r="P11062" s="226"/>
      <c r="Q11062" s="226"/>
      <c r="R11062" s="226"/>
      <c r="S11062" s="226"/>
      <c r="T11062" s="226"/>
      <c r="U11062" s="226"/>
    </row>
    <row r="11063" spans="16:21" x14ac:dyDescent="0.35">
      <c r="P11063" s="226"/>
      <c r="Q11063" s="226"/>
      <c r="R11063" s="226"/>
      <c r="S11063" s="226"/>
      <c r="T11063" s="226"/>
      <c r="U11063" s="226"/>
    </row>
    <row r="11064" spans="16:21" x14ac:dyDescent="0.35">
      <c r="P11064" s="226"/>
      <c r="Q11064" s="226"/>
      <c r="R11064" s="226"/>
      <c r="S11064" s="226"/>
      <c r="T11064" s="226"/>
      <c r="U11064" s="226"/>
    </row>
    <row r="11065" spans="16:21" x14ac:dyDescent="0.35">
      <c r="P11065" s="226"/>
      <c r="Q11065" s="226"/>
      <c r="R11065" s="226"/>
      <c r="S11065" s="226"/>
      <c r="T11065" s="226"/>
      <c r="U11065" s="226"/>
    </row>
    <row r="11066" spans="16:21" x14ac:dyDescent="0.35">
      <c r="P11066" s="226"/>
      <c r="Q11066" s="226"/>
      <c r="R11066" s="226"/>
      <c r="S11066" s="226"/>
      <c r="T11066" s="226"/>
      <c r="U11066" s="226"/>
    </row>
    <row r="11067" spans="16:21" x14ac:dyDescent="0.35">
      <c r="P11067" s="226"/>
      <c r="Q11067" s="226"/>
      <c r="R11067" s="226"/>
      <c r="S11067" s="226"/>
      <c r="T11067" s="226"/>
      <c r="U11067" s="226"/>
    </row>
    <row r="11068" spans="16:21" x14ac:dyDescent="0.35">
      <c r="P11068" s="226"/>
      <c r="Q11068" s="226"/>
      <c r="R11068" s="226"/>
      <c r="S11068" s="226"/>
      <c r="T11068" s="226"/>
      <c r="U11068" s="226"/>
    </row>
    <row r="11069" spans="16:21" x14ac:dyDescent="0.35">
      <c r="P11069" s="226"/>
      <c r="Q11069" s="226"/>
      <c r="R11069" s="226"/>
      <c r="S11069" s="226"/>
      <c r="T11069" s="226"/>
      <c r="U11069" s="226"/>
    </row>
    <row r="11070" spans="16:21" x14ac:dyDescent="0.35">
      <c r="P11070" s="226"/>
      <c r="Q11070" s="226"/>
      <c r="R11070" s="226"/>
      <c r="S11070" s="226"/>
      <c r="T11070" s="226"/>
      <c r="U11070" s="226"/>
    </row>
    <row r="11071" spans="16:21" x14ac:dyDescent="0.35">
      <c r="P11071" s="226"/>
      <c r="Q11071" s="226"/>
      <c r="R11071" s="226"/>
      <c r="S11071" s="226"/>
      <c r="T11071" s="226"/>
      <c r="U11071" s="226"/>
    </row>
    <row r="11072" spans="16:21" x14ac:dyDescent="0.35">
      <c r="P11072" s="226"/>
      <c r="Q11072" s="226"/>
      <c r="R11072" s="226"/>
      <c r="S11072" s="226"/>
      <c r="T11072" s="226"/>
      <c r="U11072" s="226"/>
    </row>
    <row r="11073" spans="16:21" x14ac:dyDescent="0.35">
      <c r="P11073" s="226"/>
      <c r="Q11073" s="226"/>
      <c r="R11073" s="226"/>
      <c r="S11073" s="226"/>
      <c r="T11073" s="226"/>
      <c r="U11073" s="226"/>
    </row>
    <row r="11074" spans="16:21" x14ac:dyDescent="0.35">
      <c r="P11074" s="226"/>
      <c r="Q11074" s="226"/>
      <c r="R11074" s="226"/>
      <c r="S11074" s="226"/>
      <c r="T11074" s="226"/>
      <c r="U11074" s="226"/>
    </row>
    <row r="11075" spans="16:21" x14ac:dyDescent="0.35">
      <c r="P11075" s="226"/>
      <c r="Q11075" s="226"/>
      <c r="R11075" s="226"/>
      <c r="S11075" s="226"/>
      <c r="T11075" s="226"/>
      <c r="U11075" s="226"/>
    </row>
    <row r="11076" spans="16:21" x14ac:dyDescent="0.35">
      <c r="P11076" s="226"/>
      <c r="Q11076" s="226"/>
      <c r="R11076" s="226"/>
      <c r="S11076" s="226"/>
      <c r="T11076" s="226"/>
      <c r="U11076" s="226"/>
    </row>
    <row r="11077" spans="16:21" x14ac:dyDescent="0.35">
      <c r="P11077" s="226"/>
      <c r="Q11077" s="226"/>
      <c r="R11077" s="226"/>
      <c r="S11077" s="226"/>
      <c r="T11077" s="226"/>
      <c r="U11077" s="226"/>
    </row>
    <row r="11078" spans="16:21" x14ac:dyDescent="0.35">
      <c r="P11078" s="226"/>
      <c r="Q11078" s="226"/>
      <c r="R11078" s="226"/>
      <c r="S11078" s="226"/>
      <c r="T11078" s="226"/>
      <c r="U11078" s="226"/>
    </row>
    <row r="11079" spans="16:21" x14ac:dyDescent="0.35">
      <c r="P11079" s="226"/>
      <c r="Q11079" s="226"/>
      <c r="R11079" s="226"/>
      <c r="S11079" s="226"/>
      <c r="T11079" s="226"/>
      <c r="U11079" s="226"/>
    </row>
    <row r="11080" spans="16:21" x14ac:dyDescent="0.35">
      <c r="P11080" s="226"/>
      <c r="Q11080" s="226"/>
      <c r="R11080" s="226"/>
      <c r="S11080" s="226"/>
      <c r="T11080" s="226"/>
      <c r="U11080" s="226"/>
    </row>
    <row r="11081" spans="16:21" x14ac:dyDescent="0.35">
      <c r="P11081" s="226"/>
      <c r="Q11081" s="226"/>
      <c r="R11081" s="226"/>
      <c r="S11081" s="226"/>
      <c r="T11081" s="226"/>
      <c r="U11081" s="226"/>
    </row>
    <row r="11082" spans="16:21" x14ac:dyDescent="0.35">
      <c r="P11082" s="226"/>
      <c r="Q11082" s="226"/>
      <c r="R11082" s="226"/>
      <c r="S11082" s="226"/>
      <c r="T11082" s="226"/>
      <c r="U11082" s="226"/>
    </row>
    <row r="11083" spans="16:21" x14ac:dyDescent="0.35">
      <c r="P11083" s="226"/>
      <c r="Q11083" s="226"/>
      <c r="R11083" s="226"/>
      <c r="S11083" s="226"/>
      <c r="T11083" s="226"/>
      <c r="U11083" s="226"/>
    </row>
    <row r="11084" spans="16:21" x14ac:dyDescent="0.35">
      <c r="P11084" s="226"/>
      <c r="Q11084" s="226"/>
      <c r="R11084" s="226"/>
      <c r="S11084" s="226"/>
      <c r="T11084" s="226"/>
      <c r="U11084" s="226"/>
    </row>
    <row r="11085" spans="16:21" x14ac:dyDescent="0.35">
      <c r="P11085" s="226"/>
      <c r="Q11085" s="226"/>
      <c r="R11085" s="226"/>
      <c r="S11085" s="226"/>
      <c r="T11085" s="226"/>
      <c r="U11085" s="226"/>
    </row>
    <row r="11086" spans="16:21" x14ac:dyDescent="0.35">
      <c r="P11086" s="226"/>
      <c r="Q11086" s="226"/>
      <c r="R11086" s="226"/>
      <c r="S11086" s="226"/>
      <c r="T11086" s="226"/>
      <c r="U11086" s="226"/>
    </row>
    <row r="11087" spans="16:21" x14ac:dyDescent="0.35">
      <c r="P11087" s="226"/>
      <c r="Q11087" s="226"/>
      <c r="R11087" s="226"/>
      <c r="S11087" s="226"/>
      <c r="T11087" s="226"/>
      <c r="U11087" s="226"/>
    </row>
    <row r="11088" spans="16:21" x14ac:dyDescent="0.35">
      <c r="P11088" s="226"/>
      <c r="Q11088" s="226"/>
      <c r="R11088" s="226"/>
      <c r="S11088" s="226"/>
      <c r="T11088" s="226"/>
      <c r="U11088" s="226"/>
    </row>
    <row r="11089" spans="16:21" x14ac:dyDescent="0.35">
      <c r="P11089" s="226"/>
      <c r="Q11089" s="226"/>
      <c r="R11089" s="226"/>
      <c r="S11089" s="226"/>
      <c r="T11089" s="226"/>
      <c r="U11089" s="226"/>
    </row>
    <row r="11090" spans="16:21" x14ac:dyDescent="0.35">
      <c r="P11090" s="226"/>
      <c r="Q11090" s="226"/>
      <c r="R11090" s="226"/>
      <c r="S11090" s="226"/>
      <c r="T11090" s="226"/>
      <c r="U11090" s="226"/>
    </row>
    <row r="11091" spans="16:21" x14ac:dyDescent="0.35">
      <c r="P11091" s="226"/>
      <c r="Q11091" s="226"/>
      <c r="R11091" s="226"/>
      <c r="S11091" s="226"/>
      <c r="T11091" s="226"/>
      <c r="U11091" s="226"/>
    </row>
    <row r="11092" spans="16:21" x14ac:dyDescent="0.35">
      <c r="P11092" s="226"/>
      <c r="Q11092" s="226"/>
      <c r="R11092" s="226"/>
      <c r="S11092" s="226"/>
      <c r="T11092" s="226"/>
      <c r="U11092" s="226"/>
    </row>
    <row r="11093" spans="16:21" x14ac:dyDescent="0.35">
      <c r="P11093" s="226"/>
      <c r="Q11093" s="226"/>
      <c r="R11093" s="226"/>
      <c r="S11093" s="226"/>
      <c r="T11093" s="226"/>
      <c r="U11093" s="226"/>
    </row>
    <row r="11094" spans="16:21" x14ac:dyDescent="0.35">
      <c r="P11094" s="226"/>
      <c r="Q11094" s="226"/>
      <c r="R11094" s="226"/>
      <c r="S11094" s="226"/>
      <c r="T11094" s="226"/>
      <c r="U11094" s="226"/>
    </row>
    <row r="11095" spans="16:21" x14ac:dyDescent="0.35">
      <c r="P11095" s="226"/>
      <c r="Q11095" s="226"/>
      <c r="R11095" s="226"/>
      <c r="S11095" s="226"/>
      <c r="T11095" s="226"/>
      <c r="U11095" s="226"/>
    </row>
    <row r="11096" spans="16:21" x14ac:dyDescent="0.35">
      <c r="P11096" s="226"/>
      <c r="Q11096" s="226"/>
      <c r="R11096" s="226"/>
      <c r="S11096" s="226"/>
      <c r="T11096" s="226"/>
      <c r="U11096" s="226"/>
    </row>
    <row r="11097" spans="16:21" x14ac:dyDescent="0.35">
      <c r="P11097" s="226"/>
      <c r="Q11097" s="226"/>
      <c r="R11097" s="226"/>
      <c r="S11097" s="226"/>
      <c r="T11097" s="226"/>
      <c r="U11097" s="226"/>
    </row>
    <row r="11098" spans="16:21" x14ac:dyDescent="0.35">
      <c r="P11098" s="226"/>
      <c r="Q11098" s="226"/>
      <c r="R11098" s="226"/>
      <c r="S11098" s="226"/>
      <c r="T11098" s="226"/>
      <c r="U11098" s="226"/>
    </row>
    <row r="11099" spans="16:21" x14ac:dyDescent="0.35">
      <c r="P11099" s="226"/>
      <c r="Q11099" s="226"/>
      <c r="R11099" s="226"/>
      <c r="S11099" s="226"/>
      <c r="T11099" s="226"/>
      <c r="U11099" s="226"/>
    </row>
    <row r="11100" spans="16:21" x14ac:dyDescent="0.35">
      <c r="P11100" s="226"/>
      <c r="Q11100" s="226"/>
      <c r="R11100" s="226"/>
      <c r="S11100" s="226"/>
      <c r="T11100" s="226"/>
      <c r="U11100" s="226"/>
    </row>
    <row r="11101" spans="16:21" x14ac:dyDescent="0.35">
      <c r="P11101" s="226"/>
      <c r="Q11101" s="226"/>
      <c r="R11101" s="226"/>
      <c r="S11101" s="226"/>
      <c r="T11101" s="226"/>
      <c r="U11101" s="226"/>
    </row>
    <row r="11102" spans="16:21" x14ac:dyDescent="0.35">
      <c r="P11102" s="226"/>
      <c r="Q11102" s="226"/>
      <c r="R11102" s="226"/>
      <c r="S11102" s="226"/>
      <c r="T11102" s="226"/>
      <c r="U11102" s="226"/>
    </row>
    <row r="11103" spans="16:21" x14ac:dyDescent="0.35">
      <c r="P11103" s="226"/>
      <c r="Q11103" s="226"/>
      <c r="R11103" s="226"/>
      <c r="S11103" s="226"/>
      <c r="T11103" s="226"/>
      <c r="U11103" s="226"/>
    </row>
    <row r="11104" spans="16:21" x14ac:dyDescent="0.35">
      <c r="P11104" s="226"/>
      <c r="Q11104" s="226"/>
      <c r="R11104" s="226"/>
      <c r="S11104" s="226"/>
      <c r="T11104" s="226"/>
      <c r="U11104" s="226"/>
    </row>
    <row r="11105" spans="16:21" x14ac:dyDescent="0.35">
      <c r="P11105" s="226"/>
      <c r="Q11105" s="226"/>
      <c r="R11105" s="226"/>
      <c r="S11105" s="226"/>
      <c r="T11105" s="226"/>
      <c r="U11105" s="226"/>
    </row>
    <row r="11106" spans="16:21" x14ac:dyDescent="0.35">
      <c r="P11106" s="226"/>
      <c r="Q11106" s="226"/>
      <c r="R11106" s="226"/>
      <c r="S11106" s="226"/>
      <c r="T11106" s="226"/>
      <c r="U11106" s="226"/>
    </row>
    <row r="11107" spans="16:21" x14ac:dyDescent="0.35">
      <c r="P11107" s="226"/>
      <c r="Q11107" s="226"/>
      <c r="R11107" s="226"/>
      <c r="S11107" s="226"/>
      <c r="T11107" s="226"/>
      <c r="U11107" s="226"/>
    </row>
    <row r="11108" spans="16:21" x14ac:dyDescent="0.35">
      <c r="P11108" s="226"/>
      <c r="Q11108" s="226"/>
      <c r="R11108" s="226"/>
      <c r="S11108" s="226"/>
      <c r="T11108" s="226"/>
      <c r="U11108" s="226"/>
    </row>
    <row r="11109" spans="16:21" x14ac:dyDescent="0.35">
      <c r="P11109" s="226"/>
      <c r="Q11109" s="226"/>
      <c r="R11109" s="226"/>
      <c r="S11109" s="226"/>
      <c r="T11109" s="226"/>
      <c r="U11109" s="226"/>
    </row>
    <row r="11110" spans="16:21" x14ac:dyDescent="0.35">
      <c r="P11110" s="226"/>
      <c r="Q11110" s="226"/>
      <c r="R11110" s="226"/>
      <c r="S11110" s="226"/>
      <c r="T11110" s="226"/>
      <c r="U11110" s="226"/>
    </row>
    <row r="11111" spans="16:21" x14ac:dyDescent="0.35">
      <c r="P11111" s="226"/>
      <c r="Q11111" s="226"/>
      <c r="R11111" s="226"/>
      <c r="S11111" s="226"/>
      <c r="T11111" s="226"/>
      <c r="U11111" s="226"/>
    </row>
    <row r="11112" spans="16:21" x14ac:dyDescent="0.35">
      <c r="P11112" s="226"/>
      <c r="Q11112" s="226"/>
      <c r="R11112" s="226"/>
      <c r="S11112" s="226"/>
      <c r="T11112" s="226"/>
      <c r="U11112" s="226"/>
    </row>
    <row r="11113" spans="16:21" x14ac:dyDescent="0.35">
      <c r="P11113" s="226"/>
      <c r="Q11113" s="226"/>
      <c r="R11113" s="226"/>
      <c r="S11113" s="226"/>
      <c r="T11113" s="226"/>
      <c r="U11113" s="226"/>
    </row>
    <row r="11114" spans="16:21" x14ac:dyDescent="0.35">
      <c r="P11114" s="226"/>
      <c r="Q11114" s="226"/>
      <c r="R11114" s="226"/>
      <c r="S11114" s="226"/>
      <c r="T11114" s="226"/>
      <c r="U11114" s="226"/>
    </row>
    <row r="11115" spans="16:21" x14ac:dyDescent="0.35">
      <c r="P11115" s="226"/>
      <c r="Q11115" s="226"/>
      <c r="R11115" s="226"/>
      <c r="S11115" s="226"/>
      <c r="T11115" s="226"/>
      <c r="U11115" s="226"/>
    </row>
    <row r="11116" spans="16:21" x14ac:dyDescent="0.35">
      <c r="P11116" s="226"/>
      <c r="Q11116" s="226"/>
      <c r="R11116" s="226"/>
      <c r="S11116" s="226"/>
      <c r="T11116" s="226"/>
      <c r="U11116" s="226"/>
    </row>
    <row r="11117" spans="16:21" x14ac:dyDescent="0.35">
      <c r="P11117" s="226"/>
      <c r="Q11117" s="226"/>
      <c r="R11117" s="226"/>
      <c r="S11117" s="226"/>
      <c r="T11117" s="226"/>
      <c r="U11117" s="226"/>
    </row>
    <row r="11118" spans="16:21" x14ac:dyDescent="0.35">
      <c r="P11118" s="226"/>
      <c r="Q11118" s="226"/>
      <c r="R11118" s="226"/>
      <c r="S11118" s="226"/>
      <c r="T11118" s="226"/>
      <c r="U11118" s="226"/>
    </row>
    <row r="11119" spans="16:21" x14ac:dyDescent="0.35">
      <c r="P11119" s="226"/>
      <c r="Q11119" s="226"/>
      <c r="R11119" s="226"/>
      <c r="S11119" s="226"/>
      <c r="T11119" s="226"/>
      <c r="U11119" s="226"/>
    </row>
    <row r="11120" spans="16:21" x14ac:dyDescent="0.35">
      <c r="P11120" s="226"/>
      <c r="Q11120" s="226"/>
      <c r="R11120" s="226"/>
      <c r="S11120" s="226"/>
      <c r="T11120" s="226"/>
      <c r="U11120" s="226"/>
    </row>
    <row r="11121" spans="16:21" x14ac:dyDescent="0.35">
      <c r="P11121" s="226"/>
      <c r="Q11121" s="226"/>
      <c r="R11121" s="226"/>
      <c r="S11121" s="226"/>
      <c r="T11121" s="226"/>
      <c r="U11121" s="226"/>
    </row>
    <row r="11122" spans="16:21" x14ac:dyDescent="0.35">
      <c r="P11122" s="226"/>
      <c r="Q11122" s="226"/>
      <c r="R11122" s="226"/>
      <c r="S11122" s="226"/>
      <c r="T11122" s="226"/>
      <c r="U11122" s="226"/>
    </row>
    <row r="11123" spans="16:21" x14ac:dyDescent="0.35">
      <c r="P11123" s="226"/>
      <c r="Q11123" s="226"/>
      <c r="R11123" s="226"/>
      <c r="S11123" s="226"/>
      <c r="T11123" s="226"/>
      <c r="U11123" s="226"/>
    </row>
    <row r="11124" spans="16:21" x14ac:dyDescent="0.35">
      <c r="P11124" s="226"/>
      <c r="Q11124" s="226"/>
      <c r="R11124" s="226"/>
      <c r="S11124" s="226"/>
      <c r="T11124" s="226"/>
      <c r="U11124" s="226"/>
    </row>
    <row r="11125" spans="16:21" x14ac:dyDescent="0.35">
      <c r="P11125" s="226"/>
      <c r="Q11125" s="226"/>
      <c r="R11125" s="226"/>
      <c r="S11125" s="226"/>
      <c r="T11125" s="226"/>
      <c r="U11125" s="226"/>
    </row>
    <row r="11126" spans="16:21" x14ac:dyDescent="0.35">
      <c r="P11126" s="226"/>
      <c r="Q11126" s="226"/>
      <c r="R11126" s="226"/>
      <c r="S11126" s="226"/>
      <c r="T11126" s="226"/>
      <c r="U11126" s="226"/>
    </row>
    <row r="11127" spans="16:21" x14ac:dyDescent="0.35">
      <c r="P11127" s="226"/>
      <c r="Q11127" s="226"/>
      <c r="R11127" s="226"/>
      <c r="S11127" s="226"/>
      <c r="T11127" s="226"/>
      <c r="U11127" s="226"/>
    </row>
    <row r="11128" spans="16:21" x14ac:dyDescent="0.35">
      <c r="P11128" s="226"/>
      <c r="Q11128" s="226"/>
      <c r="R11128" s="226"/>
      <c r="S11128" s="226"/>
      <c r="T11128" s="226"/>
      <c r="U11128" s="226"/>
    </row>
    <row r="11129" spans="16:21" x14ac:dyDescent="0.35">
      <c r="P11129" s="226"/>
      <c r="Q11129" s="226"/>
      <c r="R11129" s="226"/>
      <c r="S11129" s="226"/>
      <c r="T11129" s="226"/>
      <c r="U11129" s="226"/>
    </row>
    <row r="11130" spans="16:21" x14ac:dyDescent="0.35">
      <c r="P11130" s="226"/>
      <c r="Q11130" s="226"/>
      <c r="R11130" s="226"/>
      <c r="S11130" s="226"/>
      <c r="T11130" s="226"/>
      <c r="U11130" s="226"/>
    </row>
    <row r="11131" spans="16:21" x14ac:dyDescent="0.35">
      <c r="P11131" s="226"/>
      <c r="Q11131" s="226"/>
      <c r="R11131" s="226"/>
      <c r="S11131" s="226"/>
      <c r="T11131" s="226"/>
      <c r="U11131" s="226"/>
    </row>
    <row r="11132" spans="16:21" x14ac:dyDescent="0.35">
      <c r="P11132" s="226"/>
      <c r="Q11132" s="226"/>
      <c r="R11132" s="226"/>
      <c r="S11132" s="226"/>
      <c r="T11132" s="226"/>
      <c r="U11132" s="226"/>
    </row>
    <row r="11133" spans="16:21" x14ac:dyDescent="0.35">
      <c r="P11133" s="226"/>
      <c r="Q11133" s="226"/>
      <c r="R11133" s="226"/>
      <c r="S11133" s="226"/>
      <c r="T11133" s="226"/>
      <c r="U11133" s="226"/>
    </row>
    <row r="11134" spans="16:21" x14ac:dyDescent="0.35">
      <c r="P11134" s="226"/>
      <c r="Q11134" s="226"/>
      <c r="R11134" s="226"/>
      <c r="S11134" s="226"/>
      <c r="T11134" s="226"/>
      <c r="U11134" s="226"/>
    </row>
    <row r="11135" spans="16:21" x14ac:dyDescent="0.35">
      <c r="P11135" s="226"/>
      <c r="Q11135" s="226"/>
      <c r="R11135" s="226"/>
      <c r="S11135" s="226"/>
      <c r="T11135" s="226"/>
      <c r="U11135" s="226"/>
    </row>
    <row r="11136" spans="16:21" x14ac:dyDescent="0.35">
      <c r="P11136" s="226"/>
      <c r="Q11136" s="226"/>
      <c r="R11136" s="226"/>
      <c r="S11136" s="226"/>
      <c r="T11136" s="226"/>
      <c r="U11136" s="226"/>
    </row>
    <row r="11137" spans="16:21" x14ac:dyDescent="0.35">
      <c r="P11137" s="226"/>
      <c r="Q11137" s="226"/>
      <c r="R11137" s="226"/>
      <c r="S11137" s="226"/>
      <c r="T11137" s="226"/>
      <c r="U11137" s="226"/>
    </row>
    <row r="11138" spans="16:21" x14ac:dyDescent="0.35">
      <c r="P11138" s="226"/>
      <c r="Q11138" s="226"/>
      <c r="R11138" s="226"/>
      <c r="S11138" s="226"/>
      <c r="T11138" s="226"/>
      <c r="U11138" s="226"/>
    </row>
    <row r="11139" spans="16:21" x14ac:dyDescent="0.35">
      <c r="P11139" s="226"/>
      <c r="Q11139" s="226"/>
      <c r="R11139" s="226"/>
      <c r="S11139" s="226"/>
      <c r="T11139" s="226"/>
      <c r="U11139" s="226"/>
    </row>
    <row r="11140" spans="16:21" x14ac:dyDescent="0.35">
      <c r="P11140" s="226"/>
      <c r="Q11140" s="226"/>
      <c r="R11140" s="226"/>
      <c r="S11140" s="226"/>
      <c r="T11140" s="226"/>
      <c r="U11140" s="226"/>
    </row>
    <row r="11141" spans="16:21" x14ac:dyDescent="0.35">
      <c r="P11141" s="226"/>
      <c r="Q11141" s="226"/>
      <c r="R11141" s="226"/>
      <c r="S11141" s="226"/>
      <c r="T11141" s="226"/>
      <c r="U11141" s="226"/>
    </row>
    <row r="11142" spans="16:21" x14ac:dyDescent="0.35">
      <c r="P11142" s="226"/>
      <c r="Q11142" s="226"/>
      <c r="R11142" s="226"/>
      <c r="S11142" s="226"/>
      <c r="T11142" s="226"/>
      <c r="U11142" s="226"/>
    </row>
    <row r="11143" spans="16:21" x14ac:dyDescent="0.35">
      <c r="P11143" s="226"/>
      <c r="Q11143" s="226"/>
      <c r="R11143" s="226"/>
      <c r="S11143" s="226"/>
      <c r="T11143" s="226"/>
      <c r="U11143" s="226"/>
    </row>
    <row r="11144" spans="16:21" x14ac:dyDescent="0.35">
      <c r="P11144" s="226"/>
      <c r="Q11144" s="226"/>
      <c r="R11144" s="226"/>
      <c r="S11144" s="226"/>
      <c r="T11144" s="226"/>
      <c r="U11144" s="226"/>
    </row>
    <row r="11145" spans="16:21" x14ac:dyDescent="0.35">
      <c r="P11145" s="226"/>
      <c r="Q11145" s="226"/>
      <c r="R11145" s="226"/>
      <c r="S11145" s="226"/>
      <c r="T11145" s="226"/>
      <c r="U11145" s="226"/>
    </row>
    <row r="11146" spans="16:21" x14ac:dyDescent="0.35">
      <c r="P11146" s="226"/>
      <c r="Q11146" s="226"/>
      <c r="R11146" s="226"/>
      <c r="S11146" s="226"/>
      <c r="T11146" s="226"/>
      <c r="U11146" s="226"/>
    </row>
    <row r="11147" spans="16:21" x14ac:dyDescent="0.35">
      <c r="P11147" s="226"/>
      <c r="Q11147" s="226"/>
      <c r="R11147" s="226"/>
      <c r="S11147" s="226"/>
      <c r="T11147" s="226"/>
      <c r="U11147" s="226"/>
    </row>
    <row r="11148" spans="16:21" x14ac:dyDescent="0.35">
      <c r="P11148" s="226"/>
      <c r="Q11148" s="226"/>
      <c r="R11148" s="226"/>
      <c r="S11148" s="226"/>
      <c r="T11148" s="226"/>
      <c r="U11148" s="226"/>
    </row>
    <row r="11149" spans="16:21" x14ac:dyDescent="0.35">
      <c r="P11149" s="226"/>
      <c r="Q11149" s="226"/>
      <c r="R11149" s="226"/>
      <c r="S11149" s="226"/>
      <c r="T11149" s="226"/>
      <c r="U11149" s="226"/>
    </row>
    <row r="11150" spans="16:21" x14ac:dyDescent="0.35">
      <c r="P11150" s="226"/>
      <c r="Q11150" s="226"/>
      <c r="R11150" s="226"/>
      <c r="S11150" s="226"/>
      <c r="T11150" s="226"/>
      <c r="U11150" s="226"/>
    </row>
    <row r="11151" spans="16:21" x14ac:dyDescent="0.35">
      <c r="P11151" s="226"/>
      <c r="Q11151" s="226"/>
      <c r="R11151" s="226"/>
      <c r="S11151" s="226"/>
      <c r="T11151" s="226"/>
      <c r="U11151" s="226"/>
    </row>
    <row r="11152" spans="16:21" x14ac:dyDescent="0.35">
      <c r="P11152" s="226"/>
      <c r="Q11152" s="226"/>
      <c r="R11152" s="226"/>
      <c r="S11152" s="226"/>
      <c r="T11152" s="226"/>
      <c r="U11152" s="226"/>
    </row>
    <row r="11153" spans="16:21" x14ac:dyDescent="0.35">
      <c r="P11153" s="226"/>
      <c r="Q11153" s="226"/>
      <c r="R11153" s="226"/>
      <c r="S11153" s="226"/>
      <c r="T11153" s="226"/>
      <c r="U11153" s="226"/>
    </row>
    <row r="11154" spans="16:21" x14ac:dyDescent="0.35">
      <c r="P11154" s="226"/>
      <c r="Q11154" s="226"/>
      <c r="R11154" s="226"/>
      <c r="S11154" s="226"/>
      <c r="T11154" s="226"/>
      <c r="U11154" s="226"/>
    </row>
    <row r="11155" spans="16:21" x14ac:dyDescent="0.35">
      <c r="P11155" s="226"/>
      <c r="Q11155" s="226"/>
      <c r="R11155" s="226"/>
      <c r="S11155" s="226"/>
      <c r="T11155" s="226"/>
      <c r="U11155" s="226"/>
    </row>
    <row r="11156" spans="16:21" x14ac:dyDescent="0.35">
      <c r="P11156" s="226"/>
      <c r="Q11156" s="226"/>
      <c r="R11156" s="226"/>
      <c r="S11156" s="226"/>
      <c r="T11156" s="226"/>
      <c r="U11156" s="226"/>
    </row>
    <row r="11157" spans="16:21" x14ac:dyDescent="0.35">
      <c r="P11157" s="226"/>
      <c r="Q11157" s="226"/>
      <c r="R11157" s="226"/>
      <c r="S11157" s="226"/>
      <c r="T11157" s="226"/>
      <c r="U11157" s="226"/>
    </row>
    <row r="11158" spans="16:21" x14ac:dyDescent="0.35">
      <c r="P11158" s="226"/>
      <c r="Q11158" s="226"/>
      <c r="R11158" s="226"/>
      <c r="S11158" s="226"/>
      <c r="T11158" s="226"/>
      <c r="U11158" s="226"/>
    </row>
    <row r="11159" spans="16:21" x14ac:dyDescent="0.35">
      <c r="P11159" s="226"/>
      <c r="Q11159" s="226"/>
      <c r="R11159" s="226"/>
      <c r="S11159" s="226"/>
      <c r="T11159" s="226"/>
      <c r="U11159" s="226"/>
    </row>
    <row r="11160" spans="16:21" x14ac:dyDescent="0.35">
      <c r="P11160" s="226"/>
      <c r="Q11160" s="226"/>
      <c r="R11160" s="226"/>
      <c r="S11160" s="226"/>
      <c r="T11160" s="226"/>
      <c r="U11160" s="226"/>
    </row>
    <row r="11161" spans="16:21" x14ac:dyDescent="0.35">
      <c r="P11161" s="226"/>
      <c r="Q11161" s="226"/>
      <c r="R11161" s="226"/>
      <c r="S11161" s="226"/>
      <c r="T11161" s="226"/>
      <c r="U11161" s="226"/>
    </row>
    <row r="11162" spans="16:21" x14ac:dyDescent="0.35">
      <c r="P11162" s="226"/>
      <c r="Q11162" s="226"/>
      <c r="R11162" s="226"/>
      <c r="S11162" s="226"/>
      <c r="T11162" s="226"/>
      <c r="U11162" s="226"/>
    </row>
    <row r="11163" spans="16:21" x14ac:dyDescent="0.35">
      <c r="P11163" s="226"/>
      <c r="Q11163" s="226"/>
      <c r="R11163" s="226"/>
      <c r="S11163" s="226"/>
      <c r="T11163" s="226"/>
      <c r="U11163" s="226"/>
    </row>
    <row r="11164" spans="16:21" x14ac:dyDescent="0.35">
      <c r="P11164" s="226"/>
      <c r="Q11164" s="226"/>
      <c r="R11164" s="226"/>
      <c r="S11164" s="226"/>
      <c r="T11164" s="226"/>
      <c r="U11164" s="226"/>
    </row>
    <row r="11165" spans="16:21" x14ac:dyDescent="0.35">
      <c r="P11165" s="226"/>
      <c r="Q11165" s="226"/>
      <c r="R11165" s="226"/>
      <c r="S11165" s="226"/>
      <c r="T11165" s="226"/>
      <c r="U11165" s="226"/>
    </row>
    <row r="11166" spans="16:21" x14ac:dyDescent="0.35">
      <c r="P11166" s="226"/>
      <c r="Q11166" s="226"/>
      <c r="R11166" s="226"/>
      <c r="S11166" s="226"/>
      <c r="T11166" s="226"/>
      <c r="U11166" s="226"/>
    </row>
    <row r="11167" spans="16:21" x14ac:dyDescent="0.35">
      <c r="P11167" s="226"/>
      <c r="Q11167" s="226"/>
      <c r="R11167" s="226"/>
      <c r="S11167" s="226"/>
      <c r="T11167" s="226"/>
      <c r="U11167" s="226"/>
    </row>
    <row r="11168" spans="16:21" x14ac:dyDescent="0.35">
      <c r="P11168" s="226"/>
      <c r="Q11168" s="226"/>
      <c r="R11168" s="226"/>
      <c r="S11168" s="226"/>
      <c r="T11168" s="226"/>
      <c r="U11168" s="226"/>
    </row>
    <row r="11169" spans="16:21" x14ac:dyDescent="0.35">
      <c r="P11169" s="226"/>
      <c r="Q11169" s="226"/>
      <c r="R11169" s="226"/>
      <c r="S11169" s="226"/>
      <c r="T11169" s="226"/>
      <c r="U11169" s="226"/>
    </row>
    <row r="11170" spans="16:21" x14ac:dyDescent="0.35">
      <c r="P11170" s="226"/>
      <c r="Q11170" s="226"/>
      <c r="R11170" s="226"/>
      <c r="S11170" s="226"/>
      <c r="T11170" s="226"/>
      <c r="U11170" s="226"/>
    </row>
    <row r="11171" spans="16:21" x14ac:dyDescent="0.35">
      <c r="P11171" s="226"/>
      <c r="Q11171" s="226"/>
      <c r="R11171" s="226"/>
      <c r="S11171" s="226"/>
      <c r="T11171" s="226"/>
      <c r="U11171" s="226"/>
    </row>
    <row r="11172" spans="16:21" x14ac:dyDescent="0.35">
      <c r="P11172" s="226"/>
      <c r="Q11172" s="226"/>
      <c r="R11172" s="226"/>
      <c r="S11172" s="226"/>
      <c r="T11172" s="226"/>
      <c r="U11172" s="226"/>
    </row>
    <row r="11173" spans="16:21" x14ac:dyDescent="0.35">
      <c r="P11173" s="226"/>
      <c r="Q11173" s="226"/>
      <c r="R11173" s="226"/>
      <c r="S11173" s="226"/>
      <c r="T11173" s="226"/>
      <c r="U11173" s="226"/>
    </row>
    <row r="11174" spans="16:21" x14ac:dyDescent="0.35">
      <c r="P11174" s="226"/>
      <c r="Q11174" s="226"/>
      <c r="R11174" s="226"/>
      <c r="S11174" s="226"/>
      <c r="T11174" s="226"/>
      <c r="U11174" s="226"/>
    </row>
    <row r="11175" spans="16:21" x14ac:dyDescent="0.35">
      <c r="P11175" s="226"/>
      <c r="Q11175" s="226"/>
      <c r="R11175" s="226"/>
      <c r="S11175" s="226"/>
      <c r="T11175" s="226"/>
      <c r="U11175" s="226"/>
    </row>
    <row r="11176" spans="16:21" x14ac:dyDescent="0.35">
      <c r="P11176" s="226"/>
      <c r="Q11176" s="226"/>
      <c r="R11176" s="226"/>
      <c r="S11176" s="226"/>
      <c r="T11176" s="226"/>
      <c r="U11176" s="226"/>
    </row>
    <row r="11177" spans="16:21" x14ac:dyDescent="0.35">
      <c r="P11177" s="226"/>
      <c r="Q11177" s="226"/>
      <c r="R11177" s="226"/>
      <c r="S11177" s="226"/>
      <c r="T11177" s="226"/>
      <c r="U11177" s="226"/>
    </row>
    <row r="11178" spans="16:21" x14ac:dyDescent="0.35">
      <c r="P11178" s="226"/>
      <c r="Q11178" s="226"/>
      <c r="R11178" s="226"/>
      <c r="S11178" s="226"/>
      <c r="T11178" s="226"/>
      <c r="U11178" s="226"/>
    </row>
    <row r="11179" spans="16:21" x14ac:dyDescent="0.35">
      <c r="P11179" s="226"/>
      <c r="Q11179" s="226"/>
      <c r="R11179" s="226"/>
      <c r="S11179" s="226"/>
      <c r="T11179" s="226"/>
      <c r="U11179" s="226"/>
    </row>
    <row r="11180" spans="16:21" x14ac:dyDescent="0.35">
      <c r="P11180" s="226"/>
      <c r="Q11180" s="226"/>
      <c r="R11180" s="226"/>
      <c r="S11180" s="226"/>
      <c r="T11180" s="226"/>
      <c r="U11180" s="226"/>
    </row>
    <row r="11181" spans="16:21" x14ac:dyDescent="0.35">
      <c r="P11181" s="226"/>
      <c r="Q11181" s="226"/>
      <c r="R11181" s="226"/>
      <c r="S11181" s="226"/>
      <c r="T11181" s="226"/>
      <c r="U11181" s="226"/>
    </row>
    <row r="11182" spans="16:21" x14ac:dyDescent="0.35">
      <c r="P11182" s="226"/>
      <c r="Q11182" s="226"/>
      <c r="R11182" s="226"/>
      <c r="S11182" s="226"/>
      <c r="T11182" s="226"/>
      <c r="U11182" s="226"/>
    </row>
    <row r="11183" spans="16:21" x14ac:dyDescent="0.35">
      <c r="P11183" s="226"/>
      <c r="Q11183" s="226"/>
      <c r="R11183" s="226"/>
      <c r="S11183" s="226"/>
      <c r="T11183" s="226"/>
      <c r="U11183" s="226"/>
    </row>
    <row r="11184" spans="16:21" x14ac:dyDescent="0.35">
      <c r="P11184" s="226"/>
      <c r="Q11184" s="226"/>
      <c r="R11184" s="226"/>
      <c r="S11184" s="226"/>
      <c r="T11184" s="226"/>
      <c r="U11184" s="226"/>
    </row>
    <row r="11185" spans="16:21" x14ac:dyDescent="0.35">
      <c r="P11185" s="226"/>
      <c r="Q11185" s="226"/>
      <c r="R11185" s="226"/>
      <c r="S11185" s="226"/>
      <c r="T11185" s="226"/>
      <c r="U11185" s="226"/>
    </row>
    <row r="11186" spans="16:21" x14ac:dyDescent="0.35">
      <c r="P11186" s="226"/>
      <c r="Q11186" s="226"/>
      <c r="R11186" s="226"/>
      <c r="S11186" s="226"/>
      <c r="T11186" s="226"/>
      <c r="U11186" s="226"/>
    </row>
    <row r="11187" spans="16:21" x14ac:dyDescent="0.35">
      <c r="P11187" s="226"/>
      <c r="Q11187" s="226"/>
      <c r="R11187" s="226"/>
      <c r="S11187" s="226"/>
      <c r="T11187" s="226"/>
      <c r="U11187" s="226"/>
    </row>
    <row r="11188" spans="16:21" x14ac:dyDescent="0.35">
      <c r="P11188" s="226"/>
      <c r="Q11188" s="226"/>
      <c r="R11188" s="226"/>
      <c r="S11188" s="226"/>
      <c r="T11188" s="226"/>
      <c r="U11188" s="226"/>
    </row>
    <row r="11189" spans="16:21" x14ac:dyDescent="0.35">
      <c r="P11189" s="226"/>
      <c r="Q11189" s="226"/>
      <c r="R11189" s="226"/>
      <c r="S11189" s="226"/>
      <c r="T11189" s="226"/>
      <c r="U11189" s="226"/>
    </row>
    <row r="11190" spans="16:21" x14ac:dyDescent="0.35">
      <c r="P11190" s="226"/>
      <c r="Q11190" s="226"/>
      <c r="R11190" s="226"/>
      <c r="S11190" s="226"/>
      <c r="T11190" s="226"/>
      <c r="U11190" s="226"/>
    </row>
    <row r="11191" spans="16:21" x14ac:dyDescent="0.35">
      <c r="P11191" s="226"/>
      <c r="Q11191" s="226"/>
      <c r="R11191" s="226"/>
      <c r="S11191" s="226"/>
      <c r="T11191" s="226"/>
      <c r="U11191" s="226"/>
    </row>
    <row r="11192" spans="16:21" x14ac:dyDescent="0.35">
      <c r="P11192" s="226"/>
      <c r="Q11192" s="226"/>
      <c r="R11192" s="226"/>
      <c r="S11192" s="226"/>
      <c r="T11192" s="226"/>
      <c r="U11192" s="226"/>
    </row>
    <row r="11193" spans="16:21" x14ac:dyDescent="0.35">
      <c r="P11193" s="226"/>
      <c r="Q11193" s="226"/>
      <c r="R11193" s="226"/>
      <c r="S11193" s="226"/>
      <c r="T11193" s="226"/>
      <c r="U11193" s="226"/>
    </row>
    <row r="11194" spans="16:21" x14ac:dyDescent="0.35">
      <c r="P11194" s="226"/>
      <c r="Q11194" s="226"/>
      <c r="R11194" s="226"/>
      <c r="S11194" s="226"/>
      <c r="T11194" s="226"/>
      <c r="U11194" s="226"/>
    </row>
    <row r="11195" spans="16:21" x14ac:dyDescent="0.35">
      <c r="P11195" s="226"/>
      <c r="Q11195" s="226"/>
      <c r="R11195" s="226"/>
      <c r="S11195" s="226"/>
      <c r="T11195" s="226"/>
      <c r="U11195" s="226"/>
    </row>
    <row r="11196" spans="16:21" x14ac:dyDescent="0.35">
      <c r="P11196" s="226"/>
      <c r="Q11196" s="226"/>
      <c r="R11196" s="226"/>
      <c r="S11196" s="226"/>
      <c r="T11196" s="226"/>
      <c r="U11196" s="226"/>
    </row>
    <row r="11197" spans="16:21" x14ac:dyDescent="0.35">
      <c r="P11197" s="226"/>
      <c r="Q11197" s="226"/>
      <c r="R11197" s="226"/>
      <c r="S11197" s="226"/>
      <c r="T11197" s="226"/>
      <c r="U11197" s="226"/>
    </row>
    <row r="11198" spans="16:21" x14ac:dyDescent="0.35">
      <c r="P11198" s="226"/>
      <c r="Q11198" s="226"/>
      <c r="R11198" s="226"/>
      <c r="S11198" s="226"/>
      <c r="T11198" s="226"/>
      <c r="U11198" s="226"/>
    </row>
    <row r="11199" spans="16:21" x14ac:dyDescent="0.35">
      <c r="P11199" s="226"/>
      <c r="Q11199" s="226"/>
      <c r="R11199" s="226"/>
      <c r="S11199" s="226"/>
      <c r="T11199" s="226"/>
      <c r="U11199" s="226"/>
    </row>
    <row r="11200" spans="16:21" x14ac:dyDescent="0.35">
      <c r="P11200" s="226"/>
      <c r="Q11200" s="226"/>
      <c r="R11200" s="226"/>
      <c r="S11200" s="226"/>
      <c r="T11200" s="226"/>
      <c r="U11200" s="226"/>
    </row>
    <row r="11201" spans="16:21" x14ac:dyDescent="0.35">
      <c r="P11201" s="226"/>
      <c r="Q11201" s="226"/>
      <c r="R11201" s="226"/>
      <c r="S11201" s="226"/>
      <c r="T11201" s="226"/>
      <c r="U11201" s="226"/>
    </row>
    <row r="11202" spans="16:21" x14ac:dyDescent="0.35">
      <c r="P11202" s="226"/>
      <c r="Q11202" s="226"/>
      <c r="R11202" s="226"/>
      <c r="S11202" s="226"/>
      <c r="T11202" s="226"/>
      <c r="U11202" s="226"/>
    </row>
    <row r="11203" spans="16:21" x14ac:dyDescent="0.35">
      <c r="P11203" s="226"/>
      <c r="Q11203" s="226"/>
      <c r="R11203" s="226"/>
      <c r="S11203" s="226"/>
      <c r="T11203" s="226"/>
      <c r="U11203" s="226"/>
    </row>
    <row r="11204" spans="16:21" x14ac:dyDescent="0.35">
      <c r="P11204" s="226"/>
      <c r="Q11204" s="226"/>
      <c r="R11204" s="226"/>
      <c r="S11204" s="226"/>
      <c r="T11204" s="226"/>
      <c r="U11204" s="226"/>
    </row>
    <row r="11205" spans="16:21" x14ac:dyDescent="0.35">
      <c r="P11205" s="226"/>
      <c r="Q11205" s="226"/>
      <c r="R11205" s="226"/>
      <c r="S11205" s="226"/>
      <c r="T11205" s="226"/>
      <c r="U11205" s="226"/>
    </row>
    <row r="11206" spans="16:21" x14ac:dyDescent="0.35">
      <c r="P11206" s="226"/>
      <c r="Q11206" s="226"/>
      <c r="R11206" s="226"/>
      <c r="S11206" s="226"/>
      <c r="T11206" s="226"/>
      <c r="U11206" s="226"/>
    </row>
    <row r="11207" spans="16:21" x14ac:dyDescent="0.35">
      <c r="P11207" s="226"/>
      <c r="Q11207" s="226"/>
      <c r="R11207" s="226"/>
      <c r="S11207" s="226"/>
      <c r="T11207" s="226"/>
      <c r="U11207" s="226"/>
    </row>
    <row r="11208" spans="16:21" x14ac:dyDescent="0.35">
      <c r="P11208" s="226"/>
      <c r="Q11208" s="226"/>
      <c r="R11208" s="226"/>
      <c r="S11208" s="226"/>
      <c r="T11208" s="226"/>
      <c r="U11208" s="226"/>
    </row>
    <row r="11209" spans="16:21" x14ac:dyDescent="0.35">
      <c r="P11209" s="226"/>
      <c r="Q11209" s="226"/>
      <c r="R11209" s="226"/>
      <c r="S11209" s="226"/>
      <c r="T11209" s="226"/>
      <c r="U11209" s="226"/>
    </row>
    <row r="11210" spans="16:21" x14ac:dyDescent="0.35">
      <c r="P11210" s="226"/>
      <c r="Q11210" s="226"/>
      <c r="R11210" s="226"/>
      <c r="S11210" s="226"/>
      <c r="T11210" s="226"/>
      <c r="U11210" s="226"/>
    </row>
    <row r="11211" spans="16:21" x14ac:dyDescent="0.35">
      <c r="P11211" s="226"/>
      <c r="Q11211" s="226"/>
      <c r="R11211" s="226"/>
      <c r="S11211" s="226"/>
      <c r="T11211" s="226"/>
      <c r="U11211" s="226"/>
    </row>
    <row r="11212" spans="16:21" x14ac:dyDescent="0.35">
      <c r="P11212" s="226"/>
      <c r="Q11212" s="226"/>
      <c r="R11212" s="226"/>
      <c r="S11212" s="226"/>
      <c r="T11212" s="226"/>
      <c r="U11212" s="226"/>
    </row>
    <row r="11213" spans="16:21" x14ac:dyDescent="0.35">
      <c r="P11213" s="226"/>
      <c r="Q11213" s="226"/>
      <c r="R11213" s="226"/>
      <c r="S11213" s="226"/>
      <c r="T11213" s="226"/>
      <c r="U11213" s="226"/>
    </row>
    <row r="11214" spans="16:21" x14ac:dyDescent="0.35">
      <c r="P11214" s="226"/>
      <c r="Q11214" s="226"/>
      <c r="R11214" s="226"/>
      <c r="S11214" s="226"/>
      <c r="T11214" s="226"/>
      <c r="U11214" s="226"/>
    </row>
    <row r="11215" spans="16:21" x14ac:dyDescent="0.35">
      <c r="P11215" s="226"/>
      <c r="Q11215" s="226"/>
      <c r="R11215" s="226"/>
      <c r="S11215" s="226"/>
      <c r="T11215" s="226"/>
      <c r="U11215" s="226"/>
    </row>
    <row r="11216" spans="16:21" x14ac:dyDescent="0.35">
      <c r="P11216" s="226"/>
      <c r="Q11216" s="226"/>
      <c r="R11216" s="226"/>
      <c r="S11216" s="226"/>
      <c r="T11216" s="226"/>
      <c r="U11216" s="226"/>
    </row>
    <row r="11217" spans="16:21" x14ac:dyDescent="0.35">
      <c r="P11217" s="226"/>
      <c r="Q11217" s="226"/>
      <c r="R11217" s="226"/>
      <c r="S11217" s="226"/>
      <c r="T11217" s="226"/>
      <c r="U11217" s="226"/>
    </row>
    <row r="11218" spans="16:21" x14ac:dyDescent="0.35">
      <c r="P11218" s="226"/>
      <c r="Q11218" s="226"/>
      <c r="R11218" s="226"/>
      <c r="S11218" s="226"/>
      <c r="T11218" s="226"/>
      <c r="U11218" s="226"/>
    </row>
    <row r="11219" spans="16:21" x14ac:dyDescent="0.35">
      <c r="P11219" s="226"/>
      <c r="Q11219" s="226"/>
      <c r="R11219" s="226"/>
      <c r="S11219" s="226"/>
      <c r="T11219" s="226"/>
      <c r="U11219" s="226"/>
    </row>
    <row r="11220" spans="16:21" x14ac:dyDescent="0.35">
      <c r="P11220" s="226"/>
      <c r="Q11220" s="226"/>
      <c r="R11220" s="226"/>
      <c r="S11220" s="226"/>
      <c r="T11220" s="226"/>
      <c r="U11220" s="226"/>
    </row>
    <row r="11221" spans="16:21" x14ac:dyDescent="0.35">
      <c r="P11221" s="226"/>
      <c r="Q11221" s="226"/>
      <c r="R11221" s="226"/>
      <c r="S11221" s="226"/>
      <c r="T11221" s="226"/>
      <c r="U11221" s="226"/>
    </row>
    <row r="11222" spans="16:21" x14ac:dyDescent="0.35">
      <c r="P11222" s="226"/>
      <c r="Q11222" s="226"/>
      <c r="R11222" s="226"/>
      <c r="S11222" s="226"/>
      <c r="T11222" s="226"/>
      <c r="U11222" s="226"/>
    </row>
    <row r="11223" spans="16:21" x14ac:dyDescent="0.35">
      <c r="P11223" s="226"/>
      <c r="Q11223" s="226"/>
      <c r="R11223" s="226"/>
      <c r="S11223" s="226"/>
      <c r="T11223" s="226"/>
      <c r="U11223" s="226"/>
    </row>
    <row r="11224" spans="16:21" x14ac:dyDescent="0.35">
      <c r="P11224" s="226"/>
      <c r="Q11224" s="226"/>
      <c r="R11224" s="226"/>
      <c r="S11224" s="226"/>
      <c r="T11224" s="226"/>
      <c r="U11224" s="226"/>
    </row>
    <row r="11225" spans="16:21" x14ac:dyDescent="0.35">
      <c r="P11225" s="226"/>
      <c r="Q11225" s="226"/>
      <c r="R11225" s="226"/>
      <c r="S11225" s="226"/>
      <c r="T11225" s="226"/>
      <c r="U11225" s="226"/>
    </row>
    <row r="11226" spans="16:21" x14ac:dyDescent="0.35">
      <c r="P11226" s="226"/>
      <c r="Q11226" s="226"/>
      <c r="R11226" s="226"/>
      <c r="S11226" s="226"/>
      <c r="T11226" s="226"/>
      <c r="U11226" s="226"/>
    </row>
    <row r="11227" spans="16:21" x14ac:dyDescent="0.35">
      <c r="P11227" s="226"/>
      <c r="Q11227" s="226"/>
      <c r="R11227" s="226"/>
      <c r="S11227" s="226"/>
      <c r="T11227" s="226"/>
      <c r="U11227" s="226"/>
    </row>
    <row r="11228" spans="16:21" x14ac:dyDescent="0.35">
      <c r="P11228" s="226"/>
      <c r="Q11228" s="226"/>
      <c r="R11228" s="226"/>
      <c r="S11228" s="226"/>
      <c r="T11228" s="226"/>
      <c r="U11228" s="226"/>
    </row>
    <row r="11229" spans="16:21" x14ac:dyDescent="0.35">
      <c r="P11229" s="226"/>
      <c r="Q11229" s="226"/>
      <c r="R11229" s="226"/>
      <c r="S11229" s="226"/>
      <c r="T11229" s="226"/>
      <c r="U11229" s="226"/>
    </row>
    <row r="11230" spans="16:21" x14ac:dyDescent="0.35">
      <c r="P11230" s="226"/>
      <c r="Q11230" s="226"/>
      <c r="R11230" s="226"/>
      <c r="S11230" s="226"/>
      <c r="T11230" s="226"/>
      <c r="U11230" s="226"/>
    </row>
    <row r="11231" spans="16:21" x14ac:dyDescent="0.35">
      <c r="P11231" s="226"/>
      <c r="Q11231" s="226"/>
      <c r="R11231" s="226"/>
      <c r="S11231" s="226"/>
      <c r="T11231" s="226"/>
      <c r="U11231" s="226"/>
    </row>
    <row r="11232" spans="16:21" x14ac:dyDescent="0.35">
      <c r="P11232" s="226"/>
      <c r="Q11232" s="226"/>
      <c r="R11232" s="226"/>
      <c r="S11232" s="226"/>
      <c r="T11232" s="226"/>
      <c r="U11232" s="226"/>
    </row>
    <row r="11233" spans="16:21" x14ac:dyDescent="0.35">
      <c r="P11233" s="226"/>
      <c r="Q11233" s="226"/>
      <c r="R11233" s="226"/>
      <c r="S11233" s="226"/>
      <c r="T11233" s="226"/>
      <c r="U11233" s="226"/>
    </row>
    <row r="11234" spans="16:21" x14ac:dyDescent="0.35">
      <c r="P11234" s="226"/>
      <c r="Q11234" s="226"/>
      <c r="R11234" s="226"/>
      <c r="S11234" s="226"/>
      <c r="T11234" s="226"/>
      <c r="U11234" s="226"/>
    </row>
    <row r="11235" spans="16:21" x14ac:dyDescent="0.35">
      <c r="P11235" s="226"/>
      <c r="Q11235" s="226"/>
      <c r="R11235" s="226"/>
      <c r="S11235" s="226"/>
      <c r="T11235" s="226"/>
      <c r="U11235" s="226"/>
    </row>
    <row r="11236" spans="16:21" x14ac:dyDescent="0.35">
      <c r="P11236" s="226"/>
      <c r="Q11236" s="226"/>
      <c r="R11236" s="226"/>
      <c r="S11236" s="226"/>
      <c r="T11236" s="226"/>
      <c r="U11236" s="226"/>
    </row>
    <row r="11237" spans="16:21" x14ac:dyDescent="0.35">
      <c r="P11237" s="226"/>
      <c r="Q11237" s="226"/>
      <c r="R11237" s="226"/>
      <c r="S11237" s="226"/>
      <c r="T11237" s="226"/>
      <c r="U11237" s="226"/>
    </row>
    <row r="11238" spans="16:21" x14ac:dyDescent="0.35">
      <c r="P11238" s="226"/>
      <c r="Q11238" s="226"/>
      <c r="R11238" s="226"/>
      <c r="S11238" s="226"/>
      <c r="T11238" s="226"/>
      <c r="U11238" s="226"/>
    </row>
    <row r="11239" spans="16:21" x14ac:dyDescent="0.35">
      <c r="P11239" s="226"/>
      <c r="Q11239" s="226"/>
      <c r="R11239" s="226"/>
      <c r="S11239" s="226"/>
      <c r="T11239" s="226"/>
      <c r="U11239" s="226"/>
    </row>
    <row r="11240" spans="16:21" x14ac:dyDescent="0.35">
      <c r="P11240" s="226"/>
      <c r="Q11240" s="226"/>
      <c r="R11240" s="226"/>
      <c r="S11240" s="226"/>
      <c r="T11240" s="226"/>
      <c r="U11240" s="226"/>
    </row>
    <row r="11241" spans="16:21" x14ac:dyDescent="0.35">
      <c r="P11241" s="226"/>
      <c r="Q11241" s="226"/>
      <c r="R11241" s="226"/>
      <c r="S11241" s="226"/>
      <c r="T11241" s="226"/>
      <c r="U11241" s="226"/>
    </row>
    <row r="11242" spans="16:21" x14ac:dyDescent="0.35">
      <c r="P11242" s="226"/>
      <c r="Q11242" s="226"/>
      <c r="R11242" s="226"/>
      <c r="S11242" s="226"/>
      <c r="T11242" s="226"/>
      <c r="U11242" s="226"/>
    </row>
    <row r="11243" spans="16:21" x14ac:dyDescent="0.35">
      <c r="P11243" s="226"/>
      <c r="Q11243" s="226"/>
      <c r="R11243" s="226"/>
      <c r="S11243" s="226"/>
      <c r="T11243" s="226"/>
      <c r="U11243" s="226"/>
    </row>
    <row r="11244" spans="16:21" x14ac:dyDescent="0.35">
      <c r="P11244" s="226"/>
      <c r="Q11244" s="226"/>
      <c r="R11244" s="226"/>
      <c r="S11244" s="226"/>
      <c r="T11244" s="226"/>
      <c r="U11244" s="226"/>
    </row>
    <row r="11245" spans="16:21" x14ac:dyDescent="0.35">
      <c r="P11245" s="226"/>
      <c r="Q11245" s="226"/>
      <c r="R11245" s="226"/>
      <c r="S11245" s="226"/>
      <c r="T11245" s="226"/>
      <c r="U11245" s="226"/>
    </row>
    <row r="11246" spans="16:21" x14ac:dyDescent="0.35">
      <c r="P11246" s="226"/>
      <c r="Q11246" s="226"/>
      <c r="R11246" s="226"/>
      <c r="S11246" s="226"/>
      <c r="T11246" s="226"/>
      <c r="U11246" s="226"/>
    </row>
    <row r="11247" spans="16:21" x14ac:dyDescent="0.35">
      <c r="P11247" s="226"/>
      <c r="Q11247" s="226"/>
      <c r="R11247" s="226"/>
      <c r="S11247" s="226"/>
      <c r="T11247" s="226"/>
      <c r="U11247" s="226"/>
    </row>
    <row r="11248" spans="16:21" x14ac:dyDescent="0.35">
      <c r="P11248" s="226"/>
      <c r="Q11248" s="226"/>
      <c r="R11248" s="226"/>
      <c r="S11248" s="226"/>
      <c r="T11248" s="226"/>
      <c r="U11248" s="226"/>
    </row>
    <row r="11249" spans="16:21" x14ac:dyDescent="0.35">
      <c r="P11249" s="226"/>
      <c r="Q11249" s="226"/>
      <c r="R11249" s="226"/>
      <c r="S11249" s="226"/>
      <c r="T11249" s="226"/>
      <c r="U11249" s="226"/>
    </row>
    <row r="11250" spans="16:21" x14ac:dyDescent="0.35">
      <c r="P11250" s="226"/>
      <c r="Q11250" s="226"/>
      <c r="R11250" s="226"/>
      <c r="S11250" s="226"/>
      <c r="T11250" s="226"/>
      <c r="U11250" s="226"/>
    </row>
    <row r="11251" spans="16:21" x14ac:dyDescent="0.35">
      <c r="P11251" s="226"/>
      <c r="Q11251" s="226"/>
      <c r="R11251" s="226"/>
      <c r="S11251" s="226"/>
      <c r="T11251" s="226"/>
      <c r="U11251" s="226"/>
    </row>
    <row r="11252" spans="16:21" x14ac:dyDescent="0.35">
      <c r="P11252" s="226"/>
      <c r="Q11252" s="226"/>
      <c r="R11252" s="226"/>
      <c r="S11252" s="226"/>
      <c r="T11252" s="226"/>
      <c r="U11252" s="226"/>
    </row>
    <row r="11253" spans="16:21" x14ac:dyDescent="0.35">
      <c r="P11253" s="226"/>
      <c r="Q11253" s="226"/>
      <c r="R11253" s="226"/>
      <c r="S11253" s="226"/>
      <c r="T11253" s="226"/>
      <c r="U11253" s="226"/>
    </row>
    <row r="11254" spans="16:21" x14ac:dyDescent="0.35">
      <c r="P11254" s="226"/>
      <c r="Q11254" s="226"/>
      <c r="R11254" s="226"/>
      <c r="S11254" s="226"/>
      <c r="T11254" s="226"/>
      <c r="U11254" s="226"/>
    </row>
    <row r="11255" spans="16:21" x14ac:dyDescent="0.35">
      <c r="P11255" s="226"/>
      <c r="Q11255" s="226"/>
      <c r="R11255" s="226"/>
      <c r="S11255" s="226"/>
      <c r="T11255" s="226"/>
      <c r="U11255" s="226"/>
    </row>
    <row r="11256" spans="16:21" x14ac:dyDescent="0.35">
      <c r="P11256" s="226"/>
      <c r="Q11256" s="226"/>
      <c r="R11256" s="226"/>
      <c r="S11256" s="226"/>
      <c r="T11256" s="226"/>
      <c r="U11256" s="226"/>
    </row>
    <row r="11257" spans="16:21" x14ac:dyDescent="0.35">
      <c r="P11257" s="226"/>
      <c r="Q11257" s="226"/>
      <c r="R11257" s="226"/>
      <c r="S11257" s="226"/>
      <c r="T11257" s="226"/>
      <c r="U11257" s="226"/>
    </row>
    <row r="11258" spans="16:21" x14ac:dyDescent="0.35">
      <c r="P11258" s="226"/>
      <c r="Q11258" s="226"/>
      <c r="R11258" s="226"/>
      <c r="S11258" s="226"/>
      <c r="T11258" s="226"/>
      <c r="U11258" s="226"/>
    </row>
    <row r="11259" spans="16:21" x14ac:dyDescent="0.35">
      <c r="P11259" s="226"/>
      <c r="Q11259" s="226"/>
      <c r="R11259" s="226"/>
      <c r="S11259" s="226"/>
      <c r="T11259" s="226"/>
      <c r="U11259" s="226"/>
    </row>
    <row r="11260" spans="16:21" x14ac:dyDescent="0.35">
      <c r="P11260" s="226"/>
      <c r="Q11260" s="226"/>
      <c r="R11260" s="226"/>
      <c r="S11260" s="226"/>
      <c r="T11260" s="226"/>
      <c r="U11260" s="226"/>
    </row>
    <row r="11261" spans="16:21" x14ac:dyDescent="0.35">
      <c r="P11261" s="226"/>
      <c r="Q11261" s="226"/>
      <c r="R11261" s="226"/>
      <c r="S11261" s="226"/>
      <c r="T11261" s="226"/>
      <c r="U11261" s="226"/>
    </row>
    <row r="11262" spans="16:21" x14ac:dyDescent="0.35">
      <c r="P11262" s="226"/>
      <c r="Q11262" s="226"/>
      <c r="R11262" s="226"/>
      <c r="S11262" s="226"/>
      <c r="T11262" s="226"/>
      <c r="U11262" s="226"/>
    </row>
    <row r="11263" spans="16:21" x14ac:dyDescent="0.35">
      <c r="P11263" s="226"/>
      <c r="Q11263" s="226"/>
      <c r="R11263" s="226"/>
      <c r="S11263" s="226"/>
      <c r="T11263" s="226"/>
      <c r="U11263" s="226"/>
    </row>
    <row r="11264" spans="16:21" x14ac:dyDescent="0.35">
      <c r="P11264" s="226"/>
      <c r="Q11264" s="226"/>
      <c r="R11264" s="226"/>
      <c r="S11264" s="226"/>
      <c r="T11264" s="226"/>
      <c r="U11264" s="226"/>
    </row>
    <row r="11265" spans="16:21" x14ac:dyDescent="0.35">
      <c r="P11265" s="226"/>
      <c r="Q11265" s="226"/>
      <c r="R11265" s="226"/>
      <c r="S11265" s="226"/>
      <c r="T11265" s="226"/>
      <c r="U11265" s="226"/>
    </row>
    <row r="11266" spans="16:21" x14ac:dyDescent="0.35">
      <c r="P11266" s="226"/>
      <c r="Q11266" s="226"/>
      <c r="R11266" s="226"/>
      <c r="S11266" s="226"/>
      <c r="T11266" s="226"/>
      <c r="U11266" s="226"/>
    </row>
    <row r="11267" spans="16:21" x14ac:dyDescent="0.35">
      <c r="P11267" s="226"/>
      <c r="Q11267" s="226"/>
      <c r="R11267" s="226"/>
      <c r="S11267" s="226"/>
      <c r="T11267" s="226"/>
      <c r="U11267" s="226"/>
    </row>
    <row r="11268" spans="16:21" x14ac:dyDescent="0.35">
      <c r="P11268" s="226"/>
      <c r="Q11268" s="226"/>
      <c r="R11268" s="226"/>
      <c r="S11268" s="226"/>
      <c r="T11268" s="226"/>
      <c r="U11268" s="226"/>
    </row>
    <row r="11269" spans="16:21" x14ac:dyDescent="0.35">
      <c r="P11269" s="226"/>
      <c r="Q11269" s="226"/>
      <c r="R11269" s="226"/>
      <c r="S11269" s="226"/>
      <c r="T11269" s="226"/>
      <c r="U11269" s="226"/>
    </row>
    <row r="11270" spans="16:21" x14ac:dyDescent="0.35">
      <c r="P11270" s="226"/>
      <c r="Q11270" s="226"/>
      <c r="R11270" s="226"/>
      <c r="S11270" s="226"/>
      <c r="T11270" s="226"/>
      <c r="U11270" s="226"/>
    </row>
    <row r="11271" spans="16:21" x14ac:dyDescent="0.35">
      <c r="P11271" s="226"/>
      <c r="Q11271" s="226"/>
      <c r="R11271" s="226"/>
      <c r="S11271" s="226"/>
      <c r="T11271" s="226"/>
      <c r="U11271" s="226"/>
    </row>
    <row r="11272" spans="16:21" x14ac:dyDescent="0.35">
      <c r="P11272" s="226"/>
      <c r="Q11272" s="226"/>
      <c r="R11272" s="226"/>
      <c r="S11272" s="226"/>
      <c r="T11272" s="226"/>
      <c r="U11272" s="226"/>
    </row>
    <row r="11273" spans="16:21" x14ac:dyDescent="0.35">
      <c r="P11273" s="226"/>
      <c r="Q11273" s="226"/>
      <c r="R11273" s="226"/>
      <c r="S11273" s="226"/>
      <c r="T11273" s="226"/>
      <c r="U11273" s="226"/>
    </row>
    <row r="11274" spans="16:21" x14ac:dyDescent="0.35">
      <c r="P11274" s="226"/>
      <c r="Q11274" s="226"/>
      <c r="R11274" s="226"/>
      <c r="S11274" s="226"/>
      <c r="T11274" s="226"/>
      <c r="U11274" s="226"/>
    </row>
    <row r="11275" spans="16:21" x14ac:dyDescent="0.35">
      <c r="P11275" s="226"/>
      <c r="Q11275" s="226"/>
      <c r="R11275" s="226"/>
      <c r="S11275" s="226"/>
      <c r="T11275" s="226"/>
      <c r="U11275" s="226"/>
    </row>
    <row r="11276" spans="16:21" x14ac:dyDescent="0.35">
      <c r="P11276" s="226"/>
      <c r="Q11276" s="226"/>
      <c r="R11276" s="226"/>
      <c r="S11276" s="226"/>
      <c r="T11276" s="226"/>
      <c r="U11276" s="226"/>
    </row>
    <row r="11277" spans="16:21" x14ac:dyDescent="0.35">
      <c r="P11277" s="226"/>
      <c r="Q11277" s="226"/>
      <c r="R11277" s="226"/>
      <c r="S11277" s="226"/>
      <c r="T11277" s="226"/>
      <c r="U11277" s="226"/>
    </row>
    <row r="11278" spans="16:21" x14ac:dyDescent="0.35">
      <c r="P11278" s="226"/>
      <c r="Q11278" s="226"/>
      <c r="R11278" s="226"/>
      <c r="S11278" s="226"/>
      <c r="T11278" s="226"/>
      <c r="U11278" s="226"/>
    </row>
    <row r="11279" spans="16:21" x14ac:dyDescent="0.35">
      <c r="P11279" s="226"/>
      <c r="Q11279" s="226"/>
      <c r="R11279" s="226"/>
      <c r="S11279" s="226"/>
      <c r="T11279" s="226"/>
      <c r="U11279" s="226"/>
    </row>
    <row r="11280" spans="16:21" x14ac:dyDescent="0.35">
      <c r="P11280" s="226"/>
      <c r="Q11280" s="226"/>
      <c r="R11280" s="226"/>
      <c r="S11280" s="226"/>
      <c r="T11280" s="226"/>
      <c r="U11280" s="226"/>
    </row>
    <row r="11281" spans="16:21" x14ac:dyDescent="0.35">
      <c r="P11281" s="226"/>
      <c r="Q11281" s="226"/>
      <c r="R11281" s="226"/>
      <c r="S11281" s="226"/>
      <c r="T11281" s="226"/>
      <c r="U11281" s="226"/>
    </row>
    <row r="11282" spans="16:21" x14ac:dyDescent="0.35">
      <c r="P11282" s="226"/>
      <c r="Q11282" s="226"/>
      <c r="R11282" s="226"/>
      <c r="S11282" s="226"/>
      <c r="T11282" s="226"/>
      <c r="U11282" s="226"/>
    </row>
    <row r="11283" spans="16:21" x14ac:dyDescent="0.35">
      <c r="P11283" s="226"/>
      <c r="Q11283" s="226"/>
      <c r="R11283" s="226"/>
      <c r="S11283" s="226"/>
      <c r="T11283" s="226"/>
      <c r="U11283" s="226"/>
    </row>
    <row r="11284" spans="16:21" x14ac:dyDescent="0.35">
      <c r="P11284" s="226"/>
      <c r="Q11284" s="226"/>
      <c r="R11284" s="226"/>
      <c r="S11284" s="226"/>
      <c r="T11284" s="226"/>
      <c r="U11284" s="226"/>
    </row>
    <row r="11285" spans="16:21" x14ac:dyDescent="0.35">
      <c r="P11285" s="226"/>
      <c r="Q11285" s="226"/>
      <c r="R11285" s="226"/>
      <c r="S11285" s="226"/>
      <c r="T11285" s="226"/>
      <c r="U11285" s="226"/>
    </row>
    <row r="11286" spans="16:21" x14ac:dyDescent="0.35">
      <c r="P11286" s="226"/>
      <c r="Q11286" s="226"/>
      <c r="R11286" s="226"/>
      <c r="S11286" s="226"/>
      <c r="T11286" s="226"/>
      <c r="U11286" s="226"/>
    </row>
    <row r="11287" spans="16:21" x14ac:dyDescent="0.35">
      <c r="P11287" s="226"/>
      <c r="Q11287" s="226"/>
      <c r="R11287" s="226"/>
      <c r="S11287" s="226"/>
      <c r="T11287" s="226"/>
      <c r="U11287" s="226"/>
    </row>
    <row r="11288" spans="16:21" x14ac:dyDescent="0.35">
      <c r="P11288" s="226"/>
      <c r="Q11288" s="226"/>
      <c r="R11288" s="226"/>
      <c r="S11288" s="226"/>
      <c r="T11288" s="226"/>
      <c r="U11288" s="226"/>
    </row>
    <row r="11289" spans="16:21" x14ac:dyDescent="0.35">
      <c r="P11289" s="226"/>
      <c r="Q11289" s="226"/>
      <c r="R11289" s="226"/>
      <c r="S11289" s="226"/>
      <c r="T11289" s="226"/>
      <c r="U11289" s="226"/>
    </row>
    <row r="11290" spans="16:21" x14ac:dyDescent="0.35">
      <c r="P11290" s="226"/>
      <c r="Q11290" s="226"/>
      <c r="R11290" s="226"/>
      <c r="S11290" s="226"/>
      <c r="T11290" s="226"/>
      <c r="U11290" s="226"/>
    </row>
    <row r="11291" spans="16:21" x14ac:dyDescent="0.35">
      <c r="P11291" s="226"/>
      <c r="Q11291" s="226"/>
      <c r="R11291" s="226"/>
      <c r="S11291" s="226"/>
      <c r="T11291" s="226"/>
      <c r="U11291" s="226"/>
    </row>
    <row r="11292" spans="16:21" x14ac:dyDescent="0.35">
      <c r="P11292" s="226"/>
      <c r="Q11292" s="226"/>
      <c r="R11292" s="226"/>
      <c r="S11292" s="226"/>
      <c r="T11292" s="226"/>
      <c r="U11292" s="226"/>
    </row>
    <row r="11293" spans="16:21" x14ac:dyDescent="0.35">
      <c r="P11293" s="226"/>
      <c r="Q11293" s="226"/>
      <c r="R11293" s="226"/>
      <c r="S11293" s="226"/>
      <c r="T11293" s="226"/>
      <c r="U11293" s="226"/>
    </row>
    <row r="11294" spans="16:21" x14ac:dyDescent="0.35">
      <c r="P11294" s="226"/>
      <c r="Q11294" s="226"/>
      <c r="R11294" s="226"/>
      <c r="S11294" s="226"/>
      <c r="T11294" s="226"/>
      <c r="U11294" s="226"/>
    </row>
    <row r="11295" spans="16:21" x14ac:dyDescent="0.35">
      <c r="P11295" s="226"/>
      <c r="Q11295" s="226"/>
      <c r="R11295" s="226"/>
      <c r="S11295" s="226"/>
      <c r="T11295" s="226"/>
      <c r="U11295" s="226"/>
    </row>
    <row r="11296" spans="16:21" x14ac:dyDescent="0.35">
      <c r="P11296" s="226"/>
      <c r="Q11296" s="226"/>
      <c r="R11296" s="226"/>
      <c r="S11296" s="226"/>
      <c r="T11296" s="226"/>
      <c r="U11296" s="226"/>
    </row>
    <row r="11297" spans="16:21" x14ac:dyDescent="0.35">
      <c r="P11297" s="226"/>
      <c r="Q11297" s="226"/>
      <c r="R11297" s="226"/>
      <c r="S11297" s="226"/>
      <c r="T11297" s="226"/>
      <c r="U11297" s="226"/>
    </row>
    <row r="11298" spans="16:21" x14ac:dyDescent="0.35">
      <c r="P11298" s="226"/>
      <c r="Q11298" s="226"/>
      <c r="R11298" s="226"/>
      <c r="S11298" s="226"/>
      <c r="T11298" s="226"/>
      <c r="U11298" s="226"/>
    </row>
    <row r="11299" spans="16:21" x14ac:dyDescent="0.35">
      <c r="P11299" s="226"/>
      <c r="Q11299" s="226"/>
      <c r="R11299" s="226"/>
      <c r="S11299" s="226"/>
      <c r="T11299" s="226"/>
      <c r="U11299" s="226"/>
    </row>
    <row r="11300" spans="16:21" x14ac:dyDescent="0.35">
      <c r="P11300" s="226"/>
      <c r="Q11300" s="226"/>
      <c r="R11300" s="226"/>
      <c r="S11300" s="226"/>
      <c r="T11300" s="226"/>
      <c r="U11300" s="226"/>
    </row>
    <row r="11301" spans="16:21" x14ac:dyDescent="0.35">
      <c r="P11301" s="226"/>
      <c r="Q11301" s="226"/>
      <c r="R11301" s="226"/>
      <c r="S11301" s="226"/>
      <c r="T11301" s="226"/>
      <c r="U11301" s="226"/>
    </row>
    <row r="11302" spans="16:21" x14ac:dyDescent="0.35">
      <c r="P11302" s="226"/>
      <c r="Q11302" s="226"/>
      <c r="R11302" s="226"/>
      <c r="S11302" s="226"/>
      <c r="T11302" s="226"/>
      <c r="U11302" s="226"/>
    </row>
    <row r="11303" spans="16:21" x14ac:dyDescent="0.35">
      <c r="P11303" s="226"/>
      <c r="Q11303" s="226"/>
      <c r="R11303" s="226"/>
      <c r="S11303" s="226"/>
      <c r="T11303" s="226"/>
      <c r="U11303" s="226"/>
    </row>
    <row r="11304" spans="16:21" x14ac:dyDescent="0.35">
      <c r="P11304" s="226"/>
      <c r="Q11304" s="226"/>
      <c r="R11304" s="226"/>
      <c r="S11304" s="226"/>
      <c r="T11304" s="226"/>
      <c r="U11304" s="226"/>
    </row>
    <row r="11305" spans="16:21" x14ac:dyDescent="0.35">
      <c r="P11305" s="226"/>
      <c r="Q11305" s="226"/>
      <c r="R11305" s="226"/>
      <c r="S11305" s="226"/>
      <c r="T11305" s="226"/>
      <c r="U11305" s="226"/>
    </row>
    <row r="11306" spans="16:21" x14ac:dyDescent="0.35">
      <c r="P11306" s="226"/>
      <c r="Q11306" s="226"/>
      <c r="R11306" s="226"/>
      <c r="S11306" s="226"/>
      <c r="T11306" s="226"/>
      <c r="U11306" s="226"/>
    </row>
    <row r="11307" spans="16:21" x14ac:dyDescent="0.35">
      <c r="P11307" s="226"/>
      <c r="Q11307" s="226"/>
      <c r="R11307" s="226"/>
      <c r="S11307" s="226"/>
      <c r="T11307" s="226"/>
      <c r="U11307" s="226"/>
    </row>
    <row r="11308" spans="16:21" x14ac:dyDescent="0.35">
      <c r="P11308" s="226"/>
      <c r="Q11308" s="226"/>
      <c r="R11308" s="226"/>
      <c r="S11308" s="226"/>
      <c r="T11308" s="226"/>
      <c r="U11308" s="226"/>
    </row>
    <row r="11309" spans="16:21" x14ac:dyDescent="0.35">
      <c r="P11309" s="226"/>
      <c r="Q11309" s="226"/>
      <c r="R11309" s="226"/>
      <c r="S11309" s="226"/>
      <c r="T11309" s="226"/>
      <c r="U11309" s="226"/>
    </row>
    <row r="11310" spans="16:21" x14ac:dyDescent="0.35">
      <c r="P11310" s="226"/>
      <c r="Q11310" s="226"/>
      <c r="R11310" s="226"/>
      <c r="S11310" s="226"/>
      <c r="T11310" s="226"/>
      <c r="U11310" s="226"/>
    </row>
    <row r="11311" spans="16:21" x14ac:dyDescent="0.35">
      <c r="P11311" s="226"/>
      <c r="Q11311" s="226"/>
      <c r="R11311" s="226"/>
      <c r="S11311" s="226"/>
      <c r="T11311" s="226"/>
      <c r="U11311" s="226"/>
    </row>
    <row r="11312" spans="16:21" x14ac:dyDescent="0.35">
      <c r="P11312" s="226"/>
      <c r="Q11312" s="226"/>
      <c r="R11312" s="226"/>
      <c r="S11312" s="226"/>
      <c r="T11312" s="226"/>
      <c r="U11312" s="226"/>
    </row>
    <row r="11313" spans="16:21" x14ac:dyDescent="0.35">
      <c r="P11313" s="226"/>
      <c r="Q11313" s="226"/>
      <c r="R11313" s="226"/>
      <c r="S11313" s="226"/>
      <c r="T11313" s="226"/>
      <c r="U11313" s="226"/>
    </row>
    <row r="11314" spans="16:21" x14ac:dyDescent="0.35">
      <c r="P11314" s="226"/>
      <c r="Q11314" s="226"/>
      <c r="R11314" s="226"/>
      <c r="S11314" s="226"/>
      <c r="T11314" s="226"/>
      <c r="U11314" s="226"/>
    </row>
    <row r="11315" spans="16:21" x14ac:dyDescent="0.35">
      <c r="P11315" s="226"/>
      <c r="Q11315" s="226"/>
      <c r="R11315" s="226"/>
      <c r="S11315" s="226"/>
      <c r="T11315" s="226"/>
      <c r="U11315" s="226"/>
    </row>
    <row r="11316" spans="16:21" x14ac:dyDescent="0.35">
      <c r="P11316" s="226"/>
      <c r="Q11316" s="226"/>
      <c r="R11316" s="226"/>
      <c r="S11316" s="226"/>
      <c r="T11316" s="226"/>
      <c r="U11316" s="226"/>
    </row>
    <row r="11317" spans="16:21" x14ac:dyDescent="0.35">
      <c r="P11317" s="226"/>
      <c r="Q11317" s="226"/>
      <c r="R11317" s="226"/>
      <c r="S11317" s="226"/>
      <c r="T11317" s="226"/>
      <c r="U11317" s="226"/>
    </row>
    <row r="11318" spans="16:21" x14ac:dyDescent="0.35">
      <c r="P11318" s="226"/>
      <c r="Q11318" s="226"/>
      <c r="R11318" s="226"/>
      <c r="S11318" s="226"/>
      <c r="T11318" s="226"/>
      <c r="U11318" s="226"/>
    </row>
    <row r="11319" spans="16:21" x14ac:dyDescent="0.35">
      <c r="P11319" s="226"/>
      <c r="Q11319" s="226"/>
      <c r="R11319" s="226"/>
      <c r="S11319" s="226"/>
      <c r="T11319" s="226"/>
      <c r="U11319" s="226"/>
    </row>
    <row r="11320" spans="16:21" x14ac:dyDescent="0.35">
      <c r="P11320" s="226"/>
      <c r="Q11320" s="226"/>
      <c r="R11320" s="226"/>
      <c r="S11320" s="226"/>
      <c r="T11320" s="226"/>
      <c r="U11320" s="226"/>
    </row>
    <row r="11321" spans="16:21" x14ac:dyDescent="0.35">
      <c r="P11321" s="226"/>
      <c r="Q11321" s="226"/>
      <c r="R11321" s="226"/>
      <c r="S11321" s="226"/>
      <c r="T11321" s="226"/>
      <c r="U11321" s="226"/>
    </row>
    <row r="11322" spans="16:21" x14ac:dyDescent="0.35">
      <c r="P11322" s="226"/>
      <c r="Q11322" s="226"/>
      <c r="R11322" s="226"/>
      <c r="S11322" s="226"/>
      <c r="T11322" s="226"/>
      <c r="U11322" s="226"/>
    </row>
    <row r="11323" spans="16:21" x14ac:dyDescent="0.35">
      <c r="P11323" s="226"/>
      <c r="Q11323" s="226"/>
      <c r="R11323" s="226"/>
      <c r="S11323" s="226"/>
      <c r="T11323" s="226"/>
      <c r="U11323" s="226"/>
    </row>
    <row r="11324" spans="16:21" x14ac:dyDescent="0.35">
      <c r="P11324" s="226"/>
      <c r="Q11324" s="226"/>
      <c r="R11324" s="226"/>
      <c r="S11324" s="226"/>
      <c r="T11324" s="226"/>
      <c r="U11324" s="226"/>
    </row>
    <row r="11325" spans="16:21" x14ac:dyDescent="0.35">
      <c r="P11325" s="226"/>
      <c r="Q11325" s="226"/>
      <c r="R11325" s="226"/>
      <c r="S11325" s="226"/>
      <c r="T11325" s="226"/>
      <c r="U11325" s="226"/>
    </row>
    <row r="11326" spans="16:21" x14ac:dyDescent="0.35">
      <c r="P11326" s="226"/>
      <c r="Q11326" s="226"/>
      <c r="R11326" s="226"/>
      <c r="S11326" s="226"/>
      <c r="T11326" s="226"/>
      <c r="U11326" s="226"/>
    </row>
    <row r="11327" spans="16:21" x14ac:dyDescent="0.35">
      <c r="P11327" s="226"/>
      <c r="Q11327" s="226"/>
      <c r="R11327" s="226"/>
      <c r="S11327" s="226"/>
      <c r="T11327" s="226"/>
      <c r="U11327" s="226"/>
    </row>
    <row r="11328" spans="16:21" x14ac:dyDescent="0.35">
      <c r="P11328" s="226"/>
      <c r="Q11328" s="226"/>
      <c r="R11328" s="226"/>
      <c r="S11328" s="226"/>
      <c r="T11328" s="226"/>
      <c r="U11328" s="226"/>
    </row>
    <row r="11329" spans="16:21" x14ac:dyDescent="0.35">
      <c r="P11329" s="226"/>
      <c r="Q11329" s="226"/>
      <c r="R11329" s="226"/>
      <c r="S11329" s="226"/>
      <c r="T11329" s="226"/>
      <c r="U11329" s="226"/>
    </row>
    <row r="11330" spans="16:21" x14ac:dyDescent="0.35">
      <c r="P11330" s="226"/>
      <c r="Q11330" s="226"/>
      <c r="R11330" s="226"/>
      <c r="S11330" s="226"/>
      <c r="T11330" s="226"/>
      <c r="U11330" s="226"/>
    </row>
    <row r="11331" spans="16:21" x14ac:dyDescent="0.35">
      <c r="P11331" s="226"/>
      <c r="Q11331" s="226"/>
      <c r="R11331" s="226"/>
      <c r="S11331" s="226"/>
      <c r="T11331" s="226"/>
      <c r="U11331" s="226"/>
    </row>
    <row r="11332" spans="16:21" x14ac:dyDescent="0.35">
      <c r="P11332" s="226"/>
      <c r="Q11332" s="226"/>
      <c r="R11332" s="226"/>
      <c r="S11332" s="226"/>
      <c r="T11332" s="226"/>
      <c r="U11332" s="226"/>
    </row>
    <row r="11333" spans="16:21" x14ac:dyDescent="0.35">
      <c r="P11333" s="226"/>
      <c r="Q11333" s="226"/>
      <c r="R11333" s="226"/>
      <c r="S11333" s="226"/>
      <c r="T11333" s="226"/>
      <c r="U11333" s="226"/>
    </row>
    <row r="11334" spans="16:21" x14ac:dyDescent="0.35">
      <c r="P11334" s="226"/>
      <c r="Q11334" s="226"/>
      <c r="R11334" s="226"/>
      <c r="S11334" s="226"/>
      <c r="T11334" s="226"/>
      <c r="U11334" s="226"/>
    </row>
    <row r="11335" spans="16:21" x14ac:dyDescent="0.35">
      <c r="P11335" s="226"/>
      <c r="Q11335" s="226"/>
      <c r="R11335" s="226"/>
      <c r="S11335" s="226"/>
      <c r="T11335" s="226"/>
      <c r="U11335" s="226"/>
    </row>
    <row r="11336" spans="16:21" x14ac:dyDescent="0.35">
      <c r="P11336" s="226"/>
      <c r="Q11336" s="226"/>
      <c r="R11336" s="226"/>
      <c r="S11336" s="226"/>
      <c r="T11336" s="226"/>
      <c r="U11336" s="226"/>
    </row>
    <row r="11337" spans="16:21" x14ac:dyDescent="0.35">
      <c r="P11337" s="226"/>
      <c r="Q11337" s="226"/>
      <c r="R11337" s="226"/>
      <c r="S11337" s="226"/>
      <c r="T11337" s="226"/>
      <c r="U11337" s="226"/>
    </row>
    <row r="11338" spans="16:21" x14ac:dyDescent="0.35">
      <c r="P11338" s="226"/>
      <c r="Q11338" s="226"/>
      <c r="R11338" s="226"/>
      <c r="S11338" s="226"/>
      <c r="T11338" s="226"/>
      <c r="U11338" s="226"/>
    </row>
    <row r="11339" spans="16:21" x14ac:dyDescent="0.35">
      <c r="P11339" s="226"/>
      <c r="Q11339" s="226"/>
      <c r="R11339" s="226"/>
      <c r="S11339" s="226"/>
      <c r="T11339" s="226"/>
      <c r="U11339" s="226"/>
    </row>
    <row r="11340" spans="16:21" x14ac:dyDescent="0.35">
      <c r="P11340" s="226"/>
      <c r="Q11340" s="226"/>
      <c r="R11340" s="226"/>
      <c r="S11340" s="226"/>
      <c r="T11340" s="226"/>
      <c r="U11340" s="226"/>
    </row>
    <row r="11341" spans="16:21" x14ac:dyDescent="0.35">
      <c r="P11341" s="226"/>
      <c r="Q11341" s="226"/>
      <c r="R11341" s="226"/>
      <c r="S11341" s="226"/>
      <c r="T11341" s="226"/>
      <c r="U11341" s="226"/>
    </row>
    <row r="11342" spans="16:21" x14ac:dyDescent="0.35">
      <c r="P11342" s="226"/>
      <c r="Q11342" s="226"/>
      <c r="R11342" s="226"/>
      <c r="S11342" s="226"/>
      <c r="T11342" s="226"/>
      <c r="U11342" s="226"/>
    </row>
    <row r="11343" spans="16:21" x14ac:dyDescent="0.35">
      <c r="P11343" s="226"/>
      <c r="Q11343" s="226"/>
      <c r="R11343" s="226"/>
      <c r="S11343" s="226"/>
      <c r="T11343" s="226"/>
      <c r="U11343" s="226"/>
    </row>
    <row r="11344" spans="16:21" x14ac:dyDescent="0.35">
      <c r="P11344" s="226"/>
      <c r="Q11344" s="226"/>
      <c r="R11344" s="226"/>
      <c r="S11344" s="226"/>
      <c r="T11344" s="226"/>
      <c r="U11344" s="226"/>
    </row>
    <row r="11345" spans="16:21" x14ac:dyDescent="0.35">
      <c r="P11345" s="226"/>
      <c r="Q11345" s="226"/>
      <c r="R11345" s="226"/>
      <c r="S11345" s="226"/>
      <c r="T11345" s="226"/>
      <c r="U11345" s="226"/>
    </row>
    <row r="11346" spans="16:21" x14ac:dyDescent="0.35">
      <c r="P11346" s="226"/>
      <c r="Q11346" s="226"/>
      <c r="R11346" s="226"/>
      <c r="S11346" s="226"/>
      <c r="T11346" s="226"/>
      <c r="U11346" s="226"/>
    </row>
    <row r="11347" spans="16:21" x14ac:dyDescent="0.35">
      <c r="P11347" s="226"/>
      <c r="Q11347" s="226"/>
      <c r="R11347" s="226"/>
      <c r="S11347" s="226"/>
      <c r="T11347" s="226"/>
      <c r="U11347" s="226"/>
    </row>
    <row r="11348" spans="16:21" x14ac:dyDescent="0.35">
      <c r="P11348" s="226"/>
      <c r="Q11348" s="226"/>
      <c r="R11348" s="226"/>
      <c r="S11348" s="226"/>
      <c r="T11348" s="226"/>
      <c r="U11348" s="226"/>
    </row>
    <row r="11349" spans="16:21" x14ac:dyDescent="0.35">
      <c r="P11349" s="226"/>
      <c r="Q11349" s="226"/>
      <c r="R11349" s="226"/>
      <c r="S11349" s="226"/>
      <c r="T11349" s="226"/>
      <c r="U11349" s="226"/>
    </row>
    <row r="11350" spans="16:21" x14ac:dyDescent="0.35">
      <c r="P11350" s="226"/>
      <c r="Q11350" s="226"/>
      <c r="R11350" s="226"/>
      <c r="S11350" s="226"/>
      <c r="T11350" s="226"/>
      <c r="U11350" s="226"/>
    </row>
    <row r="11351" spans="16:21" x14ac:dyDescent="0.35">
      <c r="P11351" s="226"/>
      <c r="Q11351" s="226"/>
      <c r="R11351" s="226"/>
      <c r="S11351" s="226"/>
      <c r="T11351" s="226"/>
      <c r="U11351" s="226"/>
    </row>
    <row r="11352" spans="16:21" x14ac:dyDescent="0.35">
      <c r="P11352" s="226"/>
      <c r="Q11352" s="226"/>
      <c r="R11352" s="226"/>
      <c r="S11352" s="226"/>
      <c r="T11352" s="226"/>
      <c r="U11352" s="226"/>
    </row>
    <row r="11353" spans="16:21" x14ac:dyDescent="0.35">
      <c r="P11353" s="226"/>
      <c r="Q11353" s="226"/>
      <c r="R11353" s="226"/>
      <c r="S11353" s="226"/>
      <c r="T11353" s="226"/>
      <c r="U11353" s="226"/>
    </row>
    <row r="11354" spans="16:21" x14ac:dyDescent="0.35">
      <c r="P11354" s="226"/>
      <c r="Q11354" s="226"/>
      <c r="R11354" s="226"/>
      <c r="S11354" s="226"/>
      <c r="T11354" s="226"/>
      <c r="U11354" s="226"/>
    </row>
    <row r="11355" spans="16:21" x14ac:dyDescent="0.35">
      <c r="P11355" s="226"/>
      <c r="Q11355" s="226"/>
      <c r="R11355" s="226"/>
      <c r="S11355" s="226"/>
      <c r="T11355" s="226"/>
      <c r="U11355" s="226"/>
    </row>
    <row r="11356" spans="16:21" x14ac:dyDescent="0.35">
      <c r="P11356" s="226"/>
      <c r="Q11356" s="226"/>
      <c r="R11356" s="226"/>
      <c r="S11356" s="226"/>
      <c r="T11356" s="226"/>
      <c r="U11356" s="226"/>
    </row>
    <row r="11357" spans="16:21" x14ac:dyDescent="0.35">
      <c r="P11357" s="226"/>
      <c r="Q11357" s="226"/>
      <c r="R11357" s="226"/>
      <c r="S11357" s="226"/>
      <c r="T11357" s="226"/>
      <c r="U11357" s="226"/>
    </row>
    <row r="11358" spans="16:21" x14ac:dyDescent="0.35">
      <c r="P11358" s="226"/>
      <c r="Q11358" s="226"/>
      <c r="R11358" s="226"/>
      <c r="S11358" s="226"/>
      <c r="T11358" s="226"/>
      <c r="U11358" s="226"/>
    </row>
    <row r="11359" spans="16:21" x14ac:dyDescent="0.35">
      <c r="P11359" s="226"/>
      <c r="Q11359" s="226"/>
      <c r="R11359" s="226"/>
      <c r="S11359" s="226"/>
      <c r="T11359" s="226"/>
      <c r="U11359" s="226"/>
    </row>
    <row r="11360" spans="16:21" x14ac:dyDescent="0.35">
      <c r="P11360" s="226"/>
      <c r="Q11360" s="226"/>
      <c r="R11360" s="226"/>
      <c r="S11360" s="226"/>
      <c r="T11360" s="226"/>
      <c r="U11360" s="226"/>
    </row>
    <row r="11361" spans="16:21" x14ac:dyDescent="0.35">
      <c r="P11361" s="226"/>
      <c r="Q11361" s="226"/>
      <c r="R11361" s="226"/>
      <c r="S11361" s="226"/>
      <c r="T11361" s="226"/>
      <c r="U11361" s="226"/>
    </row>
    <row r="11362" spans="16:21" x14ac:dyDescent="0.35">
      <c r="P11362" s="226"/>
      <c r="Q11362" s="226"/>
      <c r="R11362" s="226"/>
      <c r="S11362" s="226"/>
      <c r="T11362" s="226"/>
      <c r="U11362" s="226"/>
    </row>
    <row r="11363" spans="16:21" x14ac:dyDescent="0.35">
      <c r="P11363" s="226"/>
      <c r="Q11363" s="226"/>
      <c r="R11363" s="226"/>
      <c r="S11363" s="226"/>
      <c r="T11363" s="226"/>
      <c r="U11363" s="226"/>
    </row>
    <row r="11364" spans="16:21" x14ac:dyDescent="0.35">
      <c r="P11364" s="226"/>
      <c r="Q11364" s="226"/>
      <c r="R11364" s="226"/>
      <c r="S11364" s="226"/>
      <c r="T11364" s="226"/>
      <c r="U11364" s="226"/>
    </row>
    <row r="11365" spans="16:21" x14ac:dyDescent="0.35">
      <c r="P11365" s="226"/>
      <c r="Q11365" s="226"/>
      <c r="R11365" s="226"/>
      <c r="S11365" s="226"/>
      <c r="T11365" s="226"/>
      <c r="U11365" s="226"/>
    </row>
    <row r="11366" spans="16:21" x14ac:dyDescent="0.35">
      <c r="P11366" s="226"/>
      <c r="Q11366" s="226"/>
      <c r="R11366" s="226"/>
      <c r="S11366" s="226"/>
      <c r="T11366" s="226"/>
      <c r="U11366" s="226"/>
    </row>
    <row r="11367" spans="16:21" x14ac:dyDescent="0.35">
      <c r="P11367" s="226"/>
      <c r="Q11367" s="226"/>
      <c r="R11367" s="226"/>
      <c r="S11367" s="226"/>
      <c r="T11367" s="226"/>
      <c r="U11367" s="226"/>
    </row>
    <row r="11368" spans="16:21" x14ac:dyDescent="0.35">
      <c r="P11368" s="226"/>
      <c r="Q11368" s="226"/>
      <c r="R11368" s="226"/>
      <c r="S11368" s="226"/>
      <c r="T11368" s="226"/>
      <c r="U11368" s="226"/>
    </row>
    <row r="11369" spans="16:21" x14ac:dyDescent="0.35">
      <c r="P11369" s="226"/>
      <c r="Q11369" s="226"/>
      <c r="R11369" s="226"/>
      <c r="S11369" s="226"/>
      <c r="T11369" s="226"/>
      <c r="U11369" s="226"/>
    </row>
    <row r="11370" spans="16:21" x14ac:dyDescent="0.35">
      <c r="P11370" s="226"/>
      <c r="Q11370" s="226"/>
      <c r="R11370" s="226"/>
      <c r="S11370" s="226"/>
      <c r="T11370" s="226"/>
      <c r="U11370" s="226"/>
    </row>
    <row r="11371" spans="16:21" x14ac:dyDescent="0.35">
      <c r="P11371" s="226"/>
      <c r="Q11371" s="226"/>
      <c r="R11371" s="226"/>
      <c r="S11371" s="226"/>
      <c r="T11371" s="226"/>
      <c r="U11371" s="226"/>
    </row>
    <row r="11372" spans="16:21" x14ac:dyDescent="0.35">
      <c r="P11372" s="226"/>
      <c r="Q11372" s="226"/>
      <c r="R11372" s="226"/>
      <c r="S11372" s="226"/>
      <c r="T11372" s="226"/>
      <c r="U11372" s="226"/>
    </row>
    <row r="11373" spans="16:21" x14ac:dyDescent="0.35">
      <c r="P11373" s="226"/>
      <c r="Q11373" s="226"/>
      <c r="R11373" s="226"/>
      <c r="S11373" s="226"/>
      <c r="T11373" s="226"/>
      <c r="U11373" s="226"/>
    </row>
    <row r="11374" spans="16:21" x14ac:dyDescent="0.35">
      <c r="P11374" s="226"/>
      <c r="Q11374" s="226"/>
      <c r="R11374" s="226"/>
      <c r="S11374" s="226"/>
      <c r="T11374" s="226"/>
      <c r="U11374" s="226"/>
    </row>
    <row r="11375" spans="16:21" x14ac:dyDescent="0.35">
      <c r="P11375" s="226"/>
      <c r="Q11375" s="226"/>
      <c r="R11375" s="226"/>
      <c r="S11375" s="226"/>
      <c r="T11375" s="226"/>
      <c r="U11375" s="226"/>
    </row>
    <row r="11376" spans="16:21" x14ac:dyDescent="0.35">
      <c r="P11376" s="226"/>
      <c r="Q11376" s="226"/>
      <c r="R11376" s="226"/>
      <c r="S11376" s="226"/>
      <c r="T11376" s="226"/>
      <c r="U11376" s="226"/>
    </row>
    <row r="11377" spans="16:21" x14ac:dyDescent="0.35">
      <c r="P11377" s="226"/>
      <c r="Q11377" s="226"/>
      <c r="R11377" s="226"/>
      <c r="S11377" s="226"/>
      <c r="T11377" s="226"/>
      <c r="U11377" s="226"/>
    </row>
    <row r="11378" spans="16:21" x14ac:dyDescent="0.35">
      <c r="P11378" s="226"/>
      <c r="Q11378" s="226"/>
      <c r="R11378" s="226"/>
      <c r="S11378" s="226"/>
      <c r="T11378" s="226"/>
      <c r="U11378" s="226"/>
    </row>
    <row r="11379" spans="16:21" x14ac:dyDescent="0.35">
      <c r="P11379" s="226"/>
      <c r="Q11379" s="226"/>
      <c r="R11379" s="226"/>
      <c r="S11379" s="226"/>
      <c r="T11379" s="226"/>
      <c r="U11379" s="226"/>
    </row>
    <row r="11380" spans="16:21" x14ac:dyDescent="0.35">
      <c r="P11380" s="226"/>
      <c r="Q11380" s="226"/>
      <c r="R11380" s="226"/>
      <c r="S11380" s="226"/>
      <c r="T11380" s="226"/>
      <c r="U11380" s="226"/>
    </row>
    <row r="11381" spans="16:21" x14ac:dyDescent="0.35">
      <c r="P11381" s="226"/>
      <c r="Q11381" s="226"/>
      <c r="R11381" s="226"/>
      <c r="S11381" s="226"/>
      <c r="T11381" s="226"/>
      <c r="U11381" s="226"/>
    </row>
    <row r="11382" spans="16:21" x14ac:dyDescent="0.35">
      <c r="P11382" s="226"/>
      <c r="Q11382" s="226"/>
      <c r="R11382" s="226"/>
      <c r="S11382" s="226"/>
      <c r="T11382" s="226"/>
      <c r="U11382" s="226"/>
    </row>
    <row r="11383" spans="16:21" x14ac:dyDescent="0.35">
      <c r="P11383" s="226"/>
      <c r="Q11383" s="226"/>
      <c r="R11383" s="226"/>
      <c r="S11383" s="226"/>
      <c r="T11383" s="226"/>
      <c r="U11383" s="226"/>
    </row>
    <row r="11384" spans="16:21" x14ac:dyDescent="0.35">
      <c r="P11384" s="226"/>
      <c r="Q11384" s="226"/>
      <c r="R11384" s="226"/>
      <c r="S11384" s="226"/>
      <c r="T11384" s="226"/>
      <c r="U11384" s="226"/>
    </row>
    <row r="11385" spans="16:21" x14ac:dyDescent="0.35">
      <c r="P11385" s="226"/>
      <c r="Q11385" s="226"/>
      <c r="R11385" s="226"/>
      <c r="S11385" s="226"/>
      <c r="T11385" s="226"/>
      <c r="U11385" s="226"/>
    </row>
    <row r="11386" spans="16:21" x14ac:dyDescent="0.35">
      <c r="P11386" s="226"/>
      <c r="Q11386" s="226"/>
      <c r="R11386" s="226"/>
      <c r="S11386" s="226"/>
      <c r="T11386" s="226"/>
      <c r="U11386" s="226"/>
    </row>
    <row r="11387" spans="16:21" x14ac:dyDescent="0.35">
      <c r="P11387" s="226"/>
      <c r="Q11387" s="226"/>
      <c r="R11387" s="226"/>
      <c r="S11387" s="226"/>
      <c r="T11387" s="226"/>
      <c r="U11387" s="226"/>
    </row>
    <row r="11388" spans="16:21" x14ac:dyDescent="0.35">
      <c r="P11388" s="226"/>
      <c r="Q11388" s="226"/>
      <c r="R11388" s="226"/>
      <c r="S11388" s="226"/>
      <c r="T11388" s="226"/>
      <c r="U11388" s="226"/>
    </row>
    <row r="11389" spans="16:21" x14ac:dyDescent="0.35">
      <c r="P11389" s="226"/>
      <c r="Q11389" s="226"/>
      <c r="R11389" s="226"/>
      <c r="S11389" s="226"/>
      <c r="T11389" s="226"/>
      <c r="U11389" s="226"/>
    </row>
    <row r="11390" spans="16:21" x14ac:dyDescent="0.35">
      <c r="P11390" s="226"/>
      <c r="Q11390" s="226"/>
      <c r="R11390" s="226"/>
      <c r="S11390" s="226"/>
      <c r="T11390" s="226"/>
      <c r="U11390" s="226"/>
    </row>
    <row r="11391" spans="16:21" x14ac:dyDescent="0.35">
      <c r="P11391" s="226"/>
      <c r="Q11391" s="226"/>
      <c r="R11391" s="226"/>
      <c r="S11391" s="226"/>
      <c r="T11391" s="226"/>
      <c r="U11391" s="226"/>
    </row>
    <row r="11392" spans="16:21" x14ac:dyDescent="0.35">
      <c r="P11392" s="226"/>
      <c r="Q11392" s="226"/>
      <c r="R11392" s="226"/>
      <c r="S11392" s="226"/>
      <c r="T11392" s="226"/>
      <c r="U11392" s="226"/>
    </row>
    <row r="11393" spans="16:21" x14ac:dyDescent="0.35">
      <c r="P11393" s="226"/>
      <c r="Q11393" s="226"/>
      <c r="R11393" s="226"/>
      <c r="S11393" s="226"/>
      <c r="T11393" s="226"/>
      <c r="U11393" s="226"/>
    </row>
    <row r="11394" spans="16:21" x14ac:dyDescent="0.35">
      <c r="P11394" s="226"/>
      <c r="Q11394" s="226"/>
      <c r="R11394" s="226"/>
      <c r="S11394" s="226"/>
      <c r="T11394" s="226"/>
      <c r="U11394" s="226"/>
    </row>
    <row r="11395" spans="16:21" x14ac:dyDescent="0.35">
      <c r="P11395" s="226"/>
      <c r="Q11395" s="226"/>
      <c r="R11395" s="226"/>
      <c r="S11395" s="226"/>
      <c r="T11395" s="226"/>
      <c r="U11395" s="226"/>
    </row>
    <row r="11396" spans="16:21" x14ac:dyDescent="0.35">
      <c r="P11396" s="226"/>
      <c r="Q11396" s="226"/>
      <c r="R11396" s="226"/>
      <c r="S11396" s="226"/>
      <c r="T11396" s="226"/>
      <c r="U11396" s="226"/>
    </row>
    <row r="11397" spans="16:21" x14ac:dyDescent="0.35">
      <c r="P11397" s="226"/>
      <c r="Q11397" s="226"/>
      <c r="R11397" s="226"/>
      <c r="S11397" s="226"/>
      <c r="T11397" s="226"/>
      <c r="U11397" s="226"/>
    </row>
    <row r="11398" spans="16:21" x14ac:dyDescent="0.35">
      <c r="P11398" s="226"/>
      <c r="Q11398" s="226"/>
      <c r="R11398" s="226"/>
      <c r="S11398" s="226"/>
      <c r="T11398" s="226"/>
      <c r="U11398" s="226"/>
    </row>
    <row r="11399" spans="16:21" x14ac:dyDescent="0.35">
      <c r="P11399" s="226"/>
      <c r="Q11399" s="226"/>
      <c r="R11399" s="226"/>
      <c r="S11399" s="226"/>
      <c r="T11399" s="226"/>
      <c r="U11399" s="226"/>
    </row>
    <row r="11400" spans="16:21" x14ac:dyDescent="0.35">
      <c r="P11400" s="226"/>
      <c r="Q11400" s="226"/>
      <c r="R11400" s="226"/>
      <c r="S11400" s="226"/>
      <c r="T11400" s="226"/>
      <c r="U11400" s="226"/>
    </row>
    <row r="11401" spans="16:21" x14ac:dyDescent="0.35">
      <c r="P11401" s="226"/>
      <c r="Q11401" s="226"/>
      <c r="R11401" s="226"/>
      <c r="S11401" s="226"/>
      <c r="T11401" s="226"/>
      <c r="U11401" s="226"/>
    </row>
    <row r="11402" spans="16:21" x14ac:dyDescent="0.35">
      <c r="P11402" s="226"/>
      <c r="Q11402" s="226"/>
      <c r="R11402" s="226"/>
      <c r="S11402" s="226"/>
      <c r="T11402" s="226"/>
      <c r="U11402" s="226"/>
    </row>
    <row r="11403" spans="16:21" x14ac:dyDescent="0.35">
      <c r="P11403" s="226"/>
      <c r="Q11403" s="226"/>
      <c r="R11403" s="226"/>
      <c r="S11403" s="226"/>
      <c r="T11403" s="226"/>
      <c r="U11403" s="226"/>
    </row>
    <row r="11404" spans="16:21" x14ac:dyDescent="0.35">
      <c r="P11404" s="226"/>
      <c r="Q11404" s="226"/>
      <c r="R11404" s="226"/>
      <c r="S11404" s="226"/>
      <c r="T11404" s="226"/>
      <c r="U11404" s="226"/>
    </row>
    <row r="11405" spans="16:21" x14ac:dyDescent="0.35">
      <c r="P11405" s="226"/>
      <c r="Q11405" s="226"/>
      <c r="R11405" s="226"/>
      <c r="S11405" s="226"/>
      <c r="T11405" s="226"/>
      <c r="U11405" s="226"/>
    </row>
    <row r="11406" spans="16:21" x14ac:dyDescent="0.35">
      <c r="P11406" s="226"/>
      <c r="Q11406" s="226"/>
      <c r="R11406" s="226"/>
      <c r="S11406" s="226"/>
      <c r="T11406" s="226"/>
      <c r="U11406" s="226"/>
    </row>
    <row r="11407" spans="16:21" x14ac:dyDescent="0.35">
      <c r="P11407" s="226"/>
      <c r="Q11407" s="226"/>
      <c r="R11407" s="226"/>
      <c r="S11407" s="226"/>
      <c r="T11407" s="226"/>
      <c r="U11407" s="226"/>
    </row>
    <row r="11408" spans="16:21" x14ac:dyDescent="0.35">
      <c r="P11408" s="226"/>
      <c r="Q11408" s="226"/>
      <c r="R11408" s="226"/>
      <c r="S11408" s="226"/>
      <c r="T11408" s="226"/>
      <c r="U11408" s="226"/>
    </row>
    <row r="11409" spans="16:21" x14ac:dyDescent="0.35">
      <c r="P11409" s="226"/>
      <c r="Q11409" s="226"/>
      <c r="R11409" s="226"/>
      <c r="S11409" s="226"/>
      <c r="T11409" s="226"/>
      <c r="U11409" s="226"/>
    </row>
    <row r="11410" spans="16:21" x14ac:dyDescent="0.35">
      <c r="P11410" s="226"/>
      <c r="Q11410" s="226"/>
      <c r="R11410" s="226"/>
      <c r="S11410" s="226"/>
      <c r="T11410" s="226"/>
      <c r="U11410" s="226"/>
    </row>
    <row r="11411" spans="16:21" x14ac:dyDescent="0.35">
      <c r="P11411" s="226"/>
      <c r="Q11411" s="226"/>
      <c r="R11411" s="226"/>
      <c r="S11411" s="226"/>
      <c r="T11411" s="226"/>
      <c r="U11411" s="226"/>
    </row>
    <row r="11412" spans="16:21" x14ac:dyDescent="0.35">
      <c r="P11412" s="226"/>
      <c r="Q11412" s="226"/>
      <c r="R11412" s="226"/>
      <c r="S11412" s="226"/>
      <c r="T11412" s="226"/>
      <c r="U11412" s="226"/>
    </row>
    <row r="11413" spans="16:21" x14ac:dyDescent="0.35">
      <c r="P11413" s="226"/>
      <c r="Q11413" s="226"/>
      <c r="R11413" s="226"/>
      <c r="S11413" s="226"/>
      <c r="T11413" s="226"/>
      <c r="U11413" s="226"/>
    </row>
    <row r="11414" spans="16:21" x14ac:dyDescent="0.35">
      <c r="P11414" s="226"/>
      <c r="Q11414" s="226"/>
      <c r="R11414" s="226"/>
      <c r="S11414" s="226"/>
      <c r="T11414" s="226"/>
      <c r="U11414" s="226"/>
    </row>
    <row r="11415" spans="16:21" x14ac:dyDescent="0.35">
      <c r="P11415" s="226"/>
      <c r="Q11415" s="226"/>
      <c r="R11415" s="226"/>
      <c r="S11415" s="226"/>
      <c r="T11415" s="226"/>
      <c r="U11415" s="226"/>
    </row>
    <row r="11416" spans="16:21" x14ac:dyDescent="0.35">
      <c r="P11416" s="226"/>
      <c r="Q11416" s="226"/>
      <c r="R11416" s="226"/>
      <c r="S11416" s="226"/>
      <c r="T11416" s="226"/>
      <c r="U11416" s="226"/>
    </row>
    <row r="11417" spans="16:21" x14ac:dyDescent="0.35">
      <c r="P11417" s="226"/>
      <c r="Q11417" s="226"/>
      <c r="R11417" s="226"/>
      <c r="S11417" s="226"/>
      <c r="T11417" s="226"/>
      <c r="U11417" s="226"/>
    </row>
    <row r="11418" spans="16:21" x14ac:dyDescent="0.35">
      <c r="P11418" s="226"/>
      <c r="Q11418" s="226"/>
      <c r="R11418" s="226"/>
      <c r="S11418" s="226"/>
      <c r="T11418" s="226"/>
      <c r="U11418" s="226"/>
    </row>
    <row r="11419" spans="16:21" x14ac:dyDescent="0.35">
      <c r="P11419" s="226"/>
      <c r="Q11419" s="226"/>
      <c r="R11419" s="226"/>
      <c r="S11419" s="226"/>
      <c r="T11419" s="226"/>
      <c r="U11419" s="226"/>
    </row>
    <row r="11420" spans="16:21" x14ac:dyDescent="0.35">
      <c r="P11420" s="226"/>
      <c r="Q11420" s="226"/>
      <c r="R11420" s="226"/>
      <c r="S11420" s="226"/>
      <c r="T11420" s="226"/>
      <c r="U11420" s="226"/>
    </row>
    <row r="11421" spans="16:21" x14ac:dyDescent="0.35">
      <c r="P11421" s="226"/>
      <c r="Q11421" s="226"/>
      <c r="R11421" s="226"/>
      <c r="S11421" s="226"/>
      <c r="T11421" s="226"/>
      <c r="U11421" s="226"/>
    </row>
    <row r="11422" spans="16:21" x14ac:dyDescent="0.35">
      <c r="P11422" s="226"/>
      <c r="Q11422" s="226"/>
      <c r="R11422" s="226"/>
      <c r="S11422" s="226"/>
      <c r="T11422" s="226"/>
      <c r="U11422" s="226"/>
    </row>
    <row r="11423" spans="16:21" x14ac:dyDescent="0.35">
      <c r="P11423" s="226"/>
      <c r="Q11423" s="226"/>
      <c r="R11423" s="226"/>
      <c r="S11423" s="226"/>
      <c r="T11423" s="226"/>
      <c r="U11423" s="226"/>
    </row>
    <row r="11424" spans="16:21" x14ac:dyDescent="0.35">
      <c r="P11424" s="226"/>
      <c r="Q11424" s="226"/>
      <c r="R11424" s="226"/>
      <c r="S11424" s="226"/>
      <c r="T11424" s="226"/>
      <c r="U11424" s="226"/>
    </row>
    <row r="11425" spans="16:21" x14ac:dyDescent="0.35">
      <c r="P11425" s="226"/>
      <c r="Q11425" s="226"/>
      <c r="R11425" s="226"/>
      <c r="S11425" s="226"/>
      <c r="T11425" s="226"/>
      <c r="U11425" s="226"/>
    </row>
    <row r="11426" spans="16:21" x14ac:dyDescent="0.35">
      <c r="P11426" s="226"/>
      <c r="Q11426" s="226"/>
      <c r="R11426" s="226"/>
      <c r="S11426" s="226"/>
      <c r="T11426" s="226"/>
      <c r="U11426" s="226"/>
    </row>
    <row r="11427" spans="16:21" x14ac:dyDescent="0.35">
      <c r="P11427" s="226"/>
      <c r="Q11427" s="226"/>
      <c r="R11427" s="226"/>
      <c r="S11427" s="226"/>
      <c r="T11427" s="226"/>
      <c r="U11427" s="226"/>
    </row>
    <row r="11428" spans="16:21" x14ac:dyDescent="0.35">
      <c r="P11428" s="226"/>
      <c r="Q11428" s="226"/>
      <c r="R11428" s="226"/>
      <c r="S11428" s="226"/>
      <c r="T11428" s="226"/>
      <c r="U11428" s="226"/>
    </row>
    <row r="11429" spans="16:21" x14ac:dyDescent="0.35">
      <c r="P11429" s="226"/>
      <c r="Q11429" s="226"/>
      <c r="R11429" s="226"/>
      <c r="S11429" s="226"/>
      <c r="T11429" s="226"/>
      <c r="U11429" s="226"/>
    </row>
    <row r="11430" spans="16:21" x14ac:dyDescent="0.35">
      <c r="P11430" s="226"/>
      <c r="Q11430" s="226"/>
      <c r="R11430" s="226"/>
      <c r="S11430" s="226"/>
      <c r="T11430" s="226"/>
      <c r="U11430" s="226"/>
    </row>
    <row r="11431" spans="16:21" x14ac:dyDescent="0.35">
      <c r="P11431" s="226"/>
      <c r="Q11431" s="226"/>
      <c r="R11431" s="226"/>
      <c r="S11431" s="226"/>
      <c r="T11431" s="226"/>
      <c r="U11431" s="226"/>
    </row>
    <row r="11432" spans="16:21" x14ac:dyDescent="0.35">
      <c r="P11432" s="226"/>
      <c r="Q11432" s="226"/>
      <c r="R11432" s="226"/>
      <c r="S11432" s="226"/>
      <c r="T11432" s="226"/>
      <c r="U11432" s="226"/>
    </row>
    <row r="11433" spans="16:21" x14ac:dyDescent="0.35">
      <c r="P11433" s="226"/>
      <c r="Q11433" s="226"/>
      <c r="R11433" s="226"/>
      <c r="S11433" s="226"/>
      <c r="T11433" s="226"/>
      <c r="U11433" s="226"/>
    </row>
    <row r="11434" spans="16:21" x14ac:dyDescent="0.35">
      <c r="P11434" s="226"/>
      <c r="Q11434" s="226"/>
      <c r="R11434" s="226"/>
      <c r="S11434" s="226"/>
      <c r="T11434" s="226"/>
      <c r="U11434" s="226"/>
    </row>
    <row r="11435" spans="16:21" x14ac:dyDescent="0.35">
      <c r="P11435" s="226"/>
      <c r="Q11435" s="226"/>
      <c r="R11435" s="226"/>
      <c r="S11435" s="226"/>
      <c r="T11435" s="226"/>
      <c r="U11435" s="226"/>
    </row>
    <row r="11436" spans="16:21" x14ac:dyDescent="0.35">
      <c r="P11436" s="226"/>
      <c r="Q11436" s="226"/>
      <c r="R11436" s="226"/>
      <c r="S11436" s="226"/>
      <c r="T11436" s="226"/>
      <c r="U11436" s="226"/>
    </row>
    <row r="11437" spans="16:21" x14ac:dyDescent="0.35">
      <c r="P11437" s="226"/>
      <c r="Q11437" s="226"/>
      <c r="R11437" s="226"/>
      <c r="S11437" s="226"/>
      <c r="T11437" s="226"/>
      <c r="U11437" s="226"/>
    </row>
    <row r="11438" spans="16:21" x14ac:dyDescent="0.35">
      <c r="P11438" s="226"/>
      <c r="Q11438" s="226"/>
      <c r="R11438" s="226"/>
      <c r="S11438" s="226"/>
      <c r="T11438" s="226"/>
      <c r="U11438" s="226"/>
    </row>
    <row r="11439" spans="16:21" x14ac:dyDescent="0.35">
      <c r="P11439" s="226"/>
      <c r="Q11439" s="226"/>
      <c r="R11439" s="226"/>
      <c r="S11439" s="226"/>
      <c r="T11439" s="226"/>
      <c r="U11439" s="226"/>
    </row>
    <row r="11440" spans="16:21" x14ac:dyDescent="0.35">
      <c r="P11440" s="226"/>
      <c r="Q11440" s="226"/>
      <c r="R11440" s="226"/>
      <c r="S11440" s="226"/>
      <c r="T11440" s="226"/>
      <c r="U11440" s="226"/>
    </row>
    <row r="11441" spans="16:21" x14ac:dyDescent="0.35">
      <c r="P11441" s="226"/>
      <c r="Q11441" s="226"/>
      <c r="R11441" s="226"/>
      <c r="S11441" s="226"/>
      <c r="T11441" s="226"/>
      <c r="U11441" s="226"/>
    </row>
    <row r="11442" spans="16:21" x14ac:dyDescent="0.35">
      <c r="P11442" s="226"/>
      <c r="Q11442" s="226"/>
      <c r="R11442" s="226"/>
      <c r="S11442" s="226"/>
      <c r="T11442" s="226"/>
      <c r="U11442" s="226"/>
    </row>
    <row r="11443" spans="16:21" x14ac:dyDescent="0.35">
      <c r="P11443" s="226"/>
      <c r="Q11443" s="226"/>
      <c r="R11443" s="226"/>
      <c r="S11443" s="226"/>
      <c r="T11443" s="226"/>
      <c r="U11443" s="226"/>
    </row>
    <row r="11444" spans="16:21" x14ac:dyDescent="0.35">
      <c r="P11444" s="226"/>
      <c r="Q11444" s="226"/>
      <c r="R11444" s="226"/>
      <c r="S11444" s="226"/>
      <c r="T11444" s="226"/>
      <c r="U11444" s="226"/>
    </row>
    <row r="11445" spans="16:21" x14ac:dyDescent="0.35">
      <c r="P11445" s="226"/>
      <c r="Q11445" s="226"/>
      <c r="R11445" s="226"/>
      <c r="S11445" s="226"/>
      <c r="T11445" s="226"/>
      <c r="U11445" s="226"/>
    </row>
    <row r="11446" spans="16:21" x14ac:dyDescent="0.35">
      <c r="P11446" s="226"/>
      <c r="Q11446" s="226"/>
      <c r="R11446" s="226"/>
      <c r="S11446" s="226"/>
      <c r="T11446" s="226"/>
      <c r="U11446" s="226"/>
    </row>
    <row r="11447" spans="16:21" x14ac:dyDescent="0.35">
      <c r="P11447" s="226"/>
      <c r="Q11447" s="226"/>
      <c r="R11447" s="226"/>
      <c r="S11447" s="226"/>
      <c r="T11447" s="226"/>
      <c r="U11447" s="226"/>
    </row>
    <row r="11448" spans="16:21" x14ac:dyDescent="0.35">
      <c r="P11448" s="226"/>
      <c r="Q11448" s="226"/>
      <c r="R11448" s="226"/>
      <c r="S11448" s="226"/>
      <c r="T11448" s="226"/>
      <c r="U11448" s="226"/>
    </row>
    <row r="11449" spans="16:21" x14ac:dyDescent="0.35">
      <c r="P11449" s="226"/>
      <c r="Q11449" s="226"/>
      <c r="R11449" s="226"/>
      <c r="S11449" s="226"/>
      <c r="T11449" s="226"/>
      <c r="U11449" s="226"/>
    </row>
    <row r="11450" spans="16:21" x14ac:dyDescent="0.35">
      <c r="P11450" s="226"/>
      <c r="Q11450" s="226"/>
      <c r="R11450" s="226"/>
      <c r="S11450" s="226"/>
      <c r="T11450" s="226"/>
      <c r="U11450" s="226"/>
    </row>
    <row r="11451" spans="16:21" x14ac:dyDescent="0.35">
      <c r="P11451" s="226"/>
      <c r="Q11451" s="226"/>
      <c r="R11451" s="226"/>
      <c r="S11451" s="226"/>
      <c r="T11451" s="226"/>
      <c r="U11451" s="226"/>
    </row>
    <row r="11452" spans="16:21" x14ac:dyDescent="0.35">
      <c r="P11452" s="226"/>
      <c r="Q11452" s="226"/>
      <c r="R11452" s="226"/>
      <c r="S11452" s="226"/>
      <c r="T11452" s="226"/>
      <c r="U11452" s="226"/>
    </row>
    <row r="11453" spans="16:21" x14ac:dyDescent="0.35">
      <c r="P11453" s="226"/>
      <c r="Q11453" s="226"/>
      <c r="R11453" s="226"/>
      <c r="S11453" s="226"/>
      <c r="T11453" s="226"/>
      <c r="U11453" s="226"/>
    </row>
    <row r="11454" spans="16:21" x14ac:dyDescent="0.35">
      <c r="P11454" s="226"/>
      <c r="Q11454" s="226"/>
      <c r="R11454" s="226"/>
      <c r="S11454" s="226"/>
      <c r="T11454" s="226"/>
      <c r="U11454" s="226"/>
    </row>
    <row r="11455" spans="16:21" x14ac:dyDescent="0.35">
      <c r="P11455" s="226"/>
      <c r="Q11455" s="226"/>
      <c r="R11455" s="226"/>
      <c r="S11455" s="226"/>
      <c r="T11455" s="226"/>
      <c r="U11455" s="226"/>
    </row>
    <row r="11456" spans="16:21" x14ac:dyDescent="0.35">
      <c r="P11456" s="226"/>
      <c r="Q11456" s="226"/>
      <c r="R11456" s="226"/>
      <c r="S11456" s="226"/>
      <c r="T11456" s="226"/>
      <c r="U11456" s="226"/>
    </row>
    <row r="11457" spans="16:21" x14ac:dyDescent="0.35">
      <c r="P11457" s="226"/>
      <c r="Q11457" s="226"/>
      <c r="R11457" s="226"/>
      <c r="S11457" s="226"/>
      <c r="T11457" s="226"/>
      <c r="U11457" s="226"/>
    </row>
    <row r="11458" spans="16:21" x14ac:dyDescent="0.35">
      <c r="P11458" s="226"/>
      <c r="Q11458" s="226"/>
      <c r="R11458" s="226"/>
      <c r="S11458" s="226"/>
      <c r="T11458" s="226"/>
      <c r="U11458" s="226"/>
    </row>
    <row r="11459" spans="16:21" x14ac:dyDescent="0.35">
      <c r="P11459" s="226"/>
      <c r="Q11459" s="226"/>
      <c r="R11459" s="226"/>
      <c r="S11459" s="226"/>
      <c r="T11459" s="226"/>
      <c r="U11459" s="226"/>
    </row>
    <row r="11460" spans="16:21" x14ac:dyDescent="0.35">
      <c r="P11460" s="226"/>
      <c r="Q11460" s="226"/>
      <c r="R11460" s="226"/>
      <c r="S11460" s="226"/>
      <c r="T11460" s="226"/>
      <c r="U11460" s="226"/>
    </row>
    <row r="11461" spans="16:21" x14ac:dyDescent="0.35">
      <c r="P11461" s="226"/>
      <c r="Q11461" s="226"/>
      <c r="R11461" s="226"/>
      <c r="S11461" s="226"/>
      <c r="T11461" s="226"/>
      <c r="U11461" s="226"/>
    </row>
    <row r="11462" spans="16:21" x14ac:dyDescent="0.35">
      <c r="P11462" s="226"/>
      <c r="Q11462" s="226"/>
      <c r="R11462" s="226"/>
      <c r="S11462" s="226"/>
      <c r="T11462" s="226"/>
      <c r="U11462" s="226"/>
    </row>
    <row r="11463" spans="16:21" x14ac:dyDescent="0.35">
      <c r="P11463" s="226"/>
      <c r="Q11463" s="226"/>
      <c r="R11463" s="226"/>
      <c r="S11463" s="226"/>
      <c r="T11463" s="226"/>
      <c r="U11463" s="226"/>
    </row>
    <row r="11464" spans="16:21" x14ac:dyDescent="0.35">
      <c r="P11464" s="226"/>
      <c r="Q11464" s="226"/>
      <c r="R11464" s="226"/>
      <c r="S11464" s="226"/>
      <c r="T11464" s="226"/>
      <c r="U11464" s="226"/>
    </row>
    <row r="11465" spans="16:21" x14ac:dyDescent="0.35">
      <c r="P11465" s="226"/>
      <c r="Q11465" s="226"/>
      <c r="R11465" s="226"/>
      <c r="S11465" s="226"/>
      <c r="T11465" s="226"/>
      <c r="U11465" s="226"/>
    </row>
    <row r="11466" spans="16:21" x14ac:dyDescent="0.35">
      <c r="P11466" s="226"/>
      <c r="Q11466" s="226"/>
      <c r="R11466" s="226"/>
      <c r="S11466" s="226"/>
      <c r="T11466" s="226"/>
      <c r="U11466" s="226"/>
    </row>
    <row r="11467" spans="16:21" x14ac:dyDescent="0.35">
      <c r="P11467" s="226"/>
      <c r="Q11467" s="226"/>
      <c r="R11467" s="226"/>
      <c r="S11467" s="226"/>
      <c r="T11467" s="226"/>
      <c r="U11467" s="226"/>
    </row>
    <row r="11468" spans="16:21" x14ac:dyDescent="0.35">
      <c r="P11468" s="226"/>
      <c r="Q11468" s="226"/>
      <c r="R11468" s="226"/>
      <c r="S11468" s="226"/>
      <c r="T11468" s="226"/>
      <c r="U11468" s="226"/>
    </row>
    <row r="11469" spans="16:21" x14ac:dyDescent="0.35">
      <c r="P11469" s="226"/>
      <c r="Q11469" s="226"/>
      <c r="R11469" s="226"/>
      <c r="S11469" s="226"/>
      <c r="T11469" s="226"/>
      <c r="U11469" s="226"/>
    </row>
    <row r="11470" spans="16:21" x14ac:dyDescent="0.35">
      <c r="P11470" s="226"/>
      <c r="Q11470" s="226"/>
      <c r="R11470" s="226"/>
      <c r="S11470" s="226"/>
      <c r="T11470" s="226"/>
      <c r="U11470" s="226"/>
    </row>
    <row r="11471" spans="16:21" x14ac:dyDescent="0.35">
      <c r="P11471" s="226"/>
      <c r="Q11471" s="226"/>
      <c r="R11471" s="226"/>
      <c r="S11471" s="226"/>
      <c r="T11471" s="226"/>
      <c r="U11471" s="226"/>
    </row>
    <row r="11472" spans="16:21" x14ac:dyDescent="0.35">
      <c r="P11472" s="226"/>
      <c r="Q11472" s="226"/>
      <c r="R11472" s="226"/>
      <c r="S11472" s="226"/>
      <c r="T11472" s="226"/>
      <c r="U11472" s="226"/>
    </row>
    <row r="11473" spans="16:21" x14ac:dyDescent="0.35">
      <c r="P11473" s="226"/>
      <c r="Q11473" s="226"/>
      <c r="R11473" s="226"/>
      <c r="S11473" s="226"/>
      <c r="T11473" s="226"/>
      <c r="U11473" s="226"/>
    </row>
    <row r="11474" spans="16:21" x14ac:dyDescent="0.35">
      <c r="P11474" s="226"/>
      <c r="Q11474" s="226"/>
      <c r="R11474" s="226"/>
      <c r="S11474" s="226"/>
      <c r="T11474" s="226"/>
      <c r="U11474" s="226"/>
    </row>
    <row r="11475" spans="16:21" x14ac:dyDescent="0.35">
      <c r="P11475" s="226"/>
      <c r="Q11475" s="226"/>
      <c r="R11475" s="226"/>
      <c r="S11475" s="226"/>
      <c r="T11475" s="226"/>
      <c r="U11475" s="226"/>
    </row>
    <row r="11476" spans="16:21" x14ac:dyDescent="0.35">
      <c r="P11476" s="226"/>
      <c r="Q11476" s="226"/>
      <c r="R11476" s="226"/>
      <c r="S11476" s="226"/>
      <c r="T11476" s="226"/>
      <c r="U11476" s="226"/>
    </row>
    <row r="11477" spans="16:21" x14ac:dyDescent="0.35">
      <c r="P11477" s="226"/>
      <c r="Q11477" s="226"/>
      <c r="R11477" s="226"/>
      <c r="S11477" s="226"/>
      <c r="T11477" s="226"/>
      <c r="U11477" s="226"/>
    </row>
    <row r="11478" spans="16:21" x14ac:dyDescent="0.35">
      <c r="P11478" s="226"/>
      <c r="Q11478" s="226"/>
      <c r="R11478" s="226"/>
      <c r="S11478" s="226"/>
      <c r="T11478" s="226"/>
      <c r="U11478" s="226"/>
    </row>
    <row r="11479" spans="16:21" x14ac:dyDescent="0.35">
      <c r="P11479" s="226"/>
      <c r="Q11479" s="226"/>
      <c r="R11479" s="226"/>
      <c r="S11479" s="226"/>
      <c r="T11479" s="226"/>
      <c r="U11479" s="226"/>
    </row>
    <row r="11480" spans="16:21" x14ac:dyDescent="0.35">
      <c r="P11480" s="226"/>
      <c r="Q11480" s="226"/>
      <c r="R11480" s="226"/>
      <c r="S11480" s="226"/>
      <c r="T11480" s="226"/>
      <c r="U11480" s="226"/>
    </row>
    <row r="11481" spans="16:21" x14ac:dyDescent="0.35">
      <c r="P11481" s="226"/>
      <c r="Q11481" s="226"/>
      <c r="R11481" s="226"/>
      <c r="S11481" s="226"/>
      <c r="T11481" s="226"/>
      <c r="U11481" s="226"/>
    </row>
    <row r="11482" spans="16:21" x14ac:dyDescent="0.35">
      <c r="P11482" s="226"/>
      <c r="Q11482" s="226"/>
      <c r="R11482" s="226"/>
      <c r="S11482" s="226"/>
      <c r="T11482" s="226"/>
      <c r="U11482" s="226"/>
    </row>
    <row r="11483" spans="16:21" x14ac:dyDescent="0.35">
      <c r="P11483" s="226"/>
      <c r="Q11483" s="226"/>
      <c r="R11483" s="226"/>
      <c r="S11483" s="226"/>
      <c r="T11483" s="226"/>
      <c r="U11483" s="226"/>
    </row>
    <row r="11484" spans="16:21" x14ac:dyDescent="0.35">
      <c r="P11484" s="226"/>
      <c r="Q11484" s="226"/>
      <c r="R11484" s="226"/>
      <c r="S11484" s="226"/>
      <c r="T11484" s="226"/>
      <c r="U11484" s="226"/>
    </row>
    <row r="11485" spans="16:21" x14ac:dyDescent="0.35">
      <c r="P11485" s="226"/>
      <c r="Q11485" s="226"/>
      <c r="R11485" s="226"/>
      <c r="S11485" s="226"/>
      <c r="T11485" s="226"/>
      <c r="U11485" s="226"/>
    </row>
    <row r="11486" spans="16:21" x14ac:dyDescent="0.35">
      <c r="P11486" s="226"/>
      <c r="Q11486" s="226"/>
      <c r="R11486" s="226"/>
      <c r="S11486" s="226"/>
      <c r="T11486" s="226"/>
      <c r="U11486" s="226"/>
    </row>
    <row r="11487" spans="16:21" x14ac:dyDescent="0.35">
      <c r="P11487" s="226"/>
      <c r="Q11487" s="226"/>
      <c r="R11487" s="226"/>
      <c r="S11487" s="226"/>
      <c r="T11487" s="226"/>
      <c r="U11487" s="226"/>
    </row>
    <row r="11488" spans="16:21" x14ac:dyDescent="0.35">
      <c r="P11488" s="226"/>
      <c r="Q11488" s="226"/>
      <c r="R11488" s="226"/>
      <c r="S11488" s="226"/>
      <c r="T11488" s="226"/>
      <c r="U11488" s="226"/>
    </row>
    <row r="11489" spans="16:21" x14ac:dyDescent="0.35">
      <c r="P11489" s="226"/>
      <c r="Q11489" s="226"/>
      <c r="R11489" s="226"/>
      <c r="S11489" s="226"/>
      <c r="T11489" s="226"/>
      <c r="U11489" s="226"/>
    </row>
    <row r="11490" spans="16:21" x14ac:dyDescent="0.35">
      <c r="P11490" s="226"/>
      <c r="Q11490" s="226"/>
      <c r="R11490" s="226"/>
      <c r="S11490" s="226"/>
      <c r="T11490" s="226"/>
      <c r="U11490" s="226"/>
    </row>
    <row r="11491" spans="16:21" x14ac:dyDescent="0.35">
      <c r="P11491" s="226"/>
      <c r="Q11491" s="226"/>
      <c r="R11491" s="226"/>
      <c r="S11491" s="226"/>
      <c r="T11491" s="226"/>
      <c r="U11491" s="226"/>
    </row>
    <row r="11492" spans="16:21" x14ac:dyDescent="0.35">
      <c r="P11492" s="226"/>
      <c r="Q11492" s="226"/>
      <c r="R11492" s="226"/>
      <c r="S11492" s="226"/>
      <c r="T11492" s="226"/>
      <c r="U11492" s="226"/>
    </row>
    <row r="11493" spans="16:21" x14ac:dyDescent="0.35">
      <c r="P11493" s="226"/>
      <c r="Q11493" s="226"/>
      <c r="R11493" s="226"/>
      <c r="S11493" s="226"/>
      <c r="T11493" s="226"/>
      <c r="U11493" s="226"/>
    </row>
    <row r="11494" spans="16:21" x14ac:dyDescent="0.35">
      <c r="P11494" s="226"/>
      <c r="Q11494" s="226"/>
      <c r="R11494" s="226"/>
      <c r="S11494" s="226"/>
      <c r="T11494" s="226"/>
      <c r="U11494" s="226"/>
    </row>
    <row r="11495" spans="16:21" x14ac:dyDescent="0.35">
      <c r="P11495" s="226"/>
      <c r="Q11495" s="226"/>
      <c r="R11495" s="226"/>
      <c r="S11495" s="226"/>
      <c r="T11495" s="226"/>
      <c r="U11495" s="226"/>
    </row>
    <row r="11496" spans="16:21" x14ac:dyDescent="0.35">
      <c r="P11496" s="226"/>
      <c r="Q11496" s="226"/>
      <c r="R11496" s="226"/>
      <c r="S11496" s="226"/>
      <c r="T11496" s="226"/>
      <c r="U11496" s="226"/>
    </row>
    <row r="11497" spans="16:21" x14ac:dyDescent="0.35">
      <c r="P11497" s="226"/>
      <c r="Q11497" s="226"/>
      <c r="R11497" s="226"/>
      <c r="S11497" s="226"/>
      <c r="T11497" s="226"/>
      <c r="U11497" s="226"/>
    </row>
    <row r="11498" spans="16:21" x14ac:dyDescent="0.35">
      <c r="P11498" s="226"/>
      <c r="Q11498" s="226"/>
      <c r="R11498" s="226"/>
      <c r="S11498" s="226"/>
      <c r="T11498" s="226"/>
      <c r="U11498" s="226"/>
    </row>
    <row r="11499" spans="16:21" x14ac:dyDescent="0.35">
      <c r="P11499" s="226"/>
      <c r="Q11499" s="226"/>
      <c r="R11499" s="226"/>
      <c r="S11499" s="226"/>
      <c r="T11499" s="226"/>
      <c r="U11499" s="226"/>
    </row>
    <row r="11500" spans="16:21" x14ac:dyDescent="0.35">
      <c r="P11500" s="226"/>
      <c r="Q11500" s="226"/>
      <c r="R11500" s="226"/>
      <c r="S11500" s="226"/>
      <c r="T11500" s="226"/>
      <c r="U11500" s="226"/>
    </row>
    <row r="11501" spans="16:21" x14ac:dyDescent="0.35">
      <c r="P11501" s="226"/>
      <c r="Q11501" s="226"/>
      <c r="R11501" s="226"/>
      <c r="S11501" s="226"/>
      <c r="T11501" s="226"/>
      <c r="U11501" s="226"/>
    </row>
    <row r="11502" spans="16:21" x14ac:dyDescent="0.35">
      <c r="P11502" s="226"/>
      <c r="Q11502" s="226"/>
      <c r="R11502" s="226"/>
      <c r="S11502" s="226"/>
      <c r="T11502" s="226"/>
      <c r="U11502" s="226"/>
    </row>
    <row r="11503" spans="16:21" x14ac:dyDescent="0.35">
      <c r="P11503" s="226"/>
      <c r="Q11503" s="226"/>
      <c r="R11503" s="226"/>
      <c r="S11503" s="226"/>
      <c r="T11503" s="226"/>
      <c r="U11503" s="226"/>
    </row>
    <row r="11504" spans="16:21" x14ac:dyDescent="0.35">
      <c r="P11504" s="226"/>
      <c r="Q11504" s="226"/>
      <c r="R11504" s="226"/>
      <c r="S11504" s="226"/>
      <c r="T11504" s="226"/>
      <c r="U11504" s="226"/>
    </row>
    <row r="11505" spans="16:21" x14ac:dyDescent="0.35">
      <c r="P11505" s="226"/>
      <c r="Q11505" s="226"/>
      <c r="R11505" s="226"/>
      <c r="S11505" s="226"/>
      <c r="T11505" s="226"/>
      <c r="U11505" s="226"/>
    </row>
    <row r="11506" spans="16:21" x14ac:dyDescent="0.35">
      <c r="P11506" s="226"/>
      <c r="Q11506" s="226"/>
      <c r="R11506" s="226"/>
      <c r="S11506" s="226"/>
      <c r="T11506" s="226"/>
      <c r="U11506" s="226"/>
    </row>
    <row r="11507" spans="16:21" x14ac:dyDescent="0.35">
      <c r="P11507" s="226"/>
      <c r="Q11507" s="226"/>
      <c r="R11507" s="226"/>
      <c r="S11507" s="226"/>
      <c r="T11507" s="226"/>
      <c r="U11507" s="226"/>
    </row>
    <row r="11508" spans="16:21" x14ac:dyDescent="0.35">
      <c r="P11508" s="226"/>
      <c r="Q11508" s="226"/>
      <c r="R11508" s="226"/>
      <c r="S11508" s="226"/>
      <c r="T11508" s="226"/>
      <c r="U11508" s="226"/>
    </row>
    <row r="11509" spans="16:21" x14ac:dyDescent="0.35">
      <c r="P11509" s="226"/>
      <c r="Q11509" s="226"/>
      <c r="R11509" s="226"/>
      <c r="S11509" s="226"/>
      <c r="T11509" s="226"/>
      <c r="U11509" s="226"/>
    </row>
    <row r="11510" spans="16:21" x14ac:dyDescent="0.35">
      <c r="P11510" s="226"/>
      <c r="Q11510" s="226"/>
      <c r="R11510" s="226"/>
      <c r="S11510" s="226"/>
      <c r="T11510" s="226"/>
      <c r="U11510" s="226"/>
    </row>
    <row r="11511" spans="16:21" x14ac:dyDescent="0.35">
      <c r="P11511" s="226"/>
      <c r="Q11511" s="226"/>
      <c r="R11511" s="226"/>
      <c r="S11511" s="226"/>
      <c r="T11511" s="226"/>
      <c r="U11511" s="226"/>
    </row>
    <row r="11512" spans="16:21" x14ac:dyDescent="0.35">
      <c r="P11512" s="226"/>
      <c r="Q11512" s="226"/>
      <c r="R11512" s="226"/>
      <c r="S11512" s="226"/>
      <c r="T11512" s="226"/>
      <c r="U11512" s="226"/>
    </row>
    <row r="11513" spans="16:21" x14ac:dyDescent="0.35">
      <c r="P11513" s="226"/>
      <c r="Q11513" s="226"/>
      <c r="R11513" s="226"/>
      <c r="S11513" s="226"/>
      <c r="T11513" s="226"/>
      <c r="U11513" s="226"/>
    </row>
    <row r="11514" spans="16:21" x14ac:dyDescent="0.35">
      <c r="P11514" s="226"/>
      <c r="Q11514" s="226"/>
      <c r="R11514" s="226"/>
      <c r="S11514" s="226"/>
      <c r="T11514" s="226"/>
      <c r="U11514" s="226"/>
    </row>
    <row r="11515" spans="16:21" x14ac:dyDescent="0.35">
      <c r="P11515" s="226"/>
      <c r="Q11515" s="226"/>
      <c r="R11515" s="226"/>
      <c r="S11515" s="226"/>
      <c r="T11515" s="226"/>
      <c r="U11515" s="226"/>
    </row>
    <row r="11516" spans="16:21" x14ac:dyDescent="0.35">
      <c r="P11516" s="226"/>
      <c r="Q11516" s="226"/>
      <c r="R11516" s="226"/>
      <c r="S11516" s="226"/>
      <c r="T11516" s="226"/>
      <c r="U11516" s="226"/>
    </row>
    <row r="11517" spans="16:21" x14ac:dyDescent="0.35">
      <c r="P11517" s="226"/>
      <c r="Q11517" s="226"/>
      <c r="R11517" s="226"/>
      <c r="S11517" s="226"/>
      <c r="T11517" s="226"/>
      <c r="U11517" s="226"/>
    </row>
    <row r="11518" spans="16:21" x14ac:dyDescent="0.35">
      <c r="P11518" s="226"/>
      <c r="Q11518" s="226"/>
      <c r="R11518" s="226"/>
      <c r="S11518" s="226"/>
      <c r="T11518" s="226"/>
      <c r="U11518" s="226"/>
    </row>
    <row r="11519" spans="16:21" x14ac:dyDescent="0.35">
      <c r="P11519" s="226"/>
      <c r="Q11519" s="226"/>
      <c r="R11519" s="226"/>
      <c r="S11519" s="226"/>
      <c r="T11519" s="226"/>
      <c r="U11519" s="226"/>
    </row>
    <row r="11520" spans="16:21" x14ac:dyDescent="0.35">
      <c r="P11520" s="226"/>
      <c r="Q11520" s="226"/>
      <c r="R11520" s="226"/>
      <c r="S11520" s="226"/>
      <c r="T11520" s="226"/>
      <c r="U11520" s="226"/>
    </row>
    <row r="11521" spans="16:21" x14ac:dyDescent="0.35">
      <c r="P11521" s="226"/>
      <c r="Q11521" s="226"/>
      <c r="R11521" s="226"/>
      <c r="S11521" s="226"/>
      <c r="T11521" s="226"/>
      <c r="U11521" s="226"/>
    </row>
    <row r="11522" spans="16:21" x14ac:dyDescent="0.35">
      <c r="P11522" s="226"/>
      <c r="Q11522" s="226"/>
      <c r="R11522" s="226"/>
      <c r="S11522" s="226"/>
      <c r="T11522" s="226"/>
      <c r="U11522" s="226"/>
    </row>
    <row r="11523" spans="16:21" x14ac:dyDescent="0.35">
      <c r="P11523" s="226"/>
      <c r="Q11523" s="226"/>
      <c r="R11523" s="226"/>
      <c r="S11523" s="226"/>
      <c r="T11523" s="226"/>
      <c r="U11523" s="226"/>
    </row>
    <row r="11524" spans="16:21" x14ac:dyDescent="0.35">
      <c r="P11524" s="226"/>
      <c r="Q11524" s="226"/>
      <c r="R11524" s="226"/>
      <c r="S11524" s="226"/>
      <c r="T11524" s="226"/>
      <c r="U11524" s="226"/>
    </row>
    <row r="11525" spans="16:21" x14ac:dyDescent="0.35">
      <c r="P11525" s="226"/>
      <c r="Q11525" s="226"/>
      <c r="R11525" s="226"/>
      <c r="S11525" s="226"/>
      <c r="T11525" s="226"/>
      <c r="U11525" s="226"/>
    </row>
    <row r="11526" spans="16:21" x14ac:dyDescent="0.35">
      <c r="P11526" s="226"/>
      <c r="Q11526" s="226"/>
      <c r="R11526" s="226"/>
      <c r="S11526" s="226"/>
      <c r="T11526" s="226"/>
      <c r="U11526" s="226"/>
    </row>
    <row r="11527" spans="16:21" x14ac:dyDescent="0.35">
      <c r="P11527" s="226"/>
      <c r="Q11527" s="226"/>
      <c r="R11527" s="226"/>
      <c r="S11527" s="226"/>
      <c r="T11527" s="226"/>
      <c r="U11527" s="226"/>
    </row>
    <row r="11528" spans="16:21" x14ac:dyDescent="0.35">
      <c r="P11528" s="226"/>
      <c r="Q11528" s="226"/>
      <c r="R11528" s="226"/>
      <c r="S11528" s="226"/>
      <c r="T11528" s="226"/>
      <c r="U11528" s="226"/>
    </row>
    <row r="11529" spans="16:21" x14ac:dyDescent="0.35">
      <c r="P11529" s="226"/>
      <c r="Q11529" s="226"/>
      <c r="R11529" s="226"/>
      <c r="S11529" s="226"/>
      <c r="T11529" s="226"/>
      <c r="U11529" s="226"/>
    </row>
    <row r="11530" spans="16:21" x14ac:dyDescent="0.35">
      <c r="P11530" s="226"/>
      <c r="Q11530" s="226"/>
      <c r="R11530" s="226"/>
      <c r="S11530" s="226"/>
      <c r="T11530" s="226"/>
      <c r="U11530" s="226"/>
    </row>
    <row r="11531" spans="16:21" x14ac:dyDescent="0.35">
      <c r="P11531" s="226"/>
      <c r="Q11531" s="226"/>
      <c r="R11531" s="226"/>
      <c r="S11531" s="226"/>
      <c r="T11531" s="226"/>
      <c r="U11531" s="226"/>
    </row>
    <row r="11532" spans="16:21" x14ac:dyDescent="0.35">
      <c r="P11532" s="226"/>
      <c r="Q11532" s="226"/>
      <c r="R11532" s="226"/>
      <c r="S11532" s="226"/>
      <c r="T11532" s="226"/>
      <c r="U11532" s="226"/>
    </row>
    <row r="11533" spans="16:21" x14ac:dyDescent="0.35">
      <c r="P11533" s="226"/>
      <c r="Q11533" s="226"/>
      <c r="R11533" s="226"/>
      <c r="S11533" s="226"/>
      <c r="T11533" s="226"/>
      <c r="U11533" s="226"/>
    </row>
    <row r="11534" spans="16:21" x14ac:dyDescent="0.35">
      <c r="P11534" s="226"/>
      <c r="Q11534" s="226"/>
      <c r="R11534" s="226"/>
      <c r="S11534" s="226"/>
      <c r="T11534" s="226"/>
      <c r="U11534" s="226"/>
    </row>
    <row r="11535" spans="16:21" x14ac:dyDescent="0.35">
      <c r="P11535" s="226"/>
      <c r="Q11535" s="226"/>
      <c r="R11535" s="226"/>
      <c r="S11535" s="226"/>
      <c r="T11535" s="226"/>
      <c r="U11535" s="226"/>
    </row>
    <row r="11536" spans="16:21" x14ac:dyDescent="0.35">
      <c r="P11536" s="226"/>
      <c r="Q11536" s="226"/>
      <c r="R11536" s="226"/>
      <c r="S11536" s="226"/>
      <c r="T11536" s="226"/>
      <c r="U11536" s="226"/>
    </row>
    <row r="11537" spans="16:21" x14ac:dyDescent="0.35">
      <c r="P11537" s="226"/>
      <c r="Q11537" s="226"/>
      <c r="R11537" s="226"/>
      <c r="S11537" s="226"/>
      <c r="T11537" s="226"/>
      <c r="U11537" s="226"/>
    </row>
    <row r="11538" spans="16:21" x14ac:dyDescent="0.35">
      <c r="P11538" s="226"/>
      <c r="Q11538" s="226"/>
      <c r="R11538" s="226"/>
      <c r="S11538" s="226"/>
      <c r="T11538" s="226"/>
      <c r="U11538" s="226"/>
    </row>
    <row r="11539" spans="16:21" x14ac:dyDescent="0.35">
      <c r="P11539" s="226"/>
      <c r="Q11539" s="226"/>
      <c r="R11539" s="226"/>
      <c r="S11539" s="226"/>
      <c r="T11539" s="226"/>
      <c r="U11539" s="226"/>
    </row>
    <row r="11540" spans="16:21" x14ac:dyDescent="0.35">
      <c r="P11540" s="226"/>
      <c r="Q11540" s="226"/>
      <c r="R11540" s="226"/>
      <c r="S11540" s="226"/>
      <c r="T11540" s="226"/>
      <c r="U11540" s="226"/>
    </row>
    <row r="11541" spans="16:21" x14ac:dyDescent="0.35">
      <c r="P11541" s="226"/>
      <c r="Q11541" s="226"/>
      <c r="R11541" s="226"/>
      <c r="S11541" s="226"/>
      <c r="T11541" s="226"/>
      <c r="U11541" s="226"/>
    </row>
    <row r="11542" spans="16:21" x14ac:dyDescent="0.35">
      <c r="P11542" s="226"/>
      <c r="Q11542" s="226"/>
      <c r="R11542" s="226"/>
      <c r="S11542" s="226"/>
      <c r="T11542" s="226"/>
      <c r="U11542" s="226"/>
    </row>
    <row r="11543" spans="16:21" x14ac:dyDescent="0.35">
      <c r="P11543" s="226"/>
      <c r="Q11543" s="226"/>
      <c r="R11543" s="226"/>
      <c r="S11543" s="226"/>
      <c r="T11543" s="226"/>
      <c r="U11543" s="226"/>
    </row>
    <row r="11544" spans="16:21" x14ac:dyDescent="0.35">
      <c r="P11544" s="226"/>
      <c r="Q11544" s="226"/>
      <c r="R11544" s="226"/>
      <c r="S11544" s="226"/>
      <c r="T11544" s="226"/>
      <c r="U11544" s="226"/>
    </row>
    <row r="11545" spans="16:21" x14ac:dyDescent="0.35">
      <c r="P11545" s="226"/>
      <c r="Q11545" s="226"/>
      <c r="R11545" s="226"/>
      <c r="S11545" s="226"/>
      <c r="T11545" s="226"/>
      <c r="U11545" s="226"/>
    </row>
    <row r="11546" spans="16:21" x14ac:dyDescent="0.35">
      <c r="P11546" s="226"/>
      <c r="Q11546" s="226"/>
      <c r="R11546" s="226"/>
      <c r="S11546" s="226"/>
      <c r="T11546" s="226"/>
      <c r="U11546" s="226"/>
    </row>
    <row r="11547" spans="16:21" x14ac:dyDescent="0.35">
      <c r="P11547" s="226"/>
      <c r="Q11547" s="226"/>
      <c r="R11547" s="226"/>
      <c r="S11547" s="226"/>
      <c r="T11547" s="226"/>
      <c r="U11547" s="226"/>
    </row>
    <row r="11548" spans="16:21" x14ac:dyDescent="0.35">
      <c r="P11548" s="226"/>
      <c r="Q11548" s="226"/>
      <c r="R11548" s="226"/>
      <c r="S11548" s="226"/>
      <c r="T11548" s="226"/>
      <c r="U11548" s="226"/>
    </row>
    <row r="11549" spans="16:21" x14ac:dyDescent="0.35">
      <c r="P11549" s="226"/>
      <c r="Q11549" s="226"/>
      <c r="R11549" s="226"/>
      <c r="S11549" s="226"/>
      <c r="T11549" s="226"/>
      <c r="U11549" s="226"/>
    </row>
    <row r="11550" spans="16:21" x14ac:dyDescent="0.35">
      <c r="P11550" s="226"/>
      <c r="Q11550" s="226"/>
      <c r="R11550" s="226"/>
      <c r="S11550" s="226"/>
      <c r="T11550" s="226"/>
      <c r="U11550" s="226"/>
    </row>
    <row r="11551" spans="16:21" x14ac:dyDescent="0.35">
      <c r="P11551" s="226"/>
      <c r="Q11551" s="226"/>
      <c r="R11551" s="226"/>
      <c r="S11551" s="226"/>
      <c r="T11551" s="226"/>
      <c r="U11551" s="226"/>
    </row>
    <row r="11552" spans="16:21" x14ac:dyDescent="0.35">
      <c r="P11552" s="226"/>
      <c r="Q11552" s="226"/>
      <c r="R11552" s="226"/>
      <c r="S11552" s="226"/>
      <c r="T11552" s="226"/>
      <c r="U11552" s="226"/>
    </row>
    <row r="11553" spans="16:21" x14ac:dyDescent="0.35">
      <c r="P11553" s="226"/>
      <c r="Q11553" s="226"/>
      <c r="R11553" s="226"/>
      <c r="S11553" s="226"/>
      <c r="T11553" s="226"/>
      <c r="U11553" s="226"/>
    </row>
    <row r="11554" spans="16:21" x14ac:dyDescent="0.35">
      <c r="P11554" s="226"/>
      <c r="Q11554" s="226"/>
      <c r="R11554" s="226"/>
      <c r="S11554" s="226"/>
      <c r="T11554" s="226"/>
      <c r="U11554" s="226"/>
    </row>
    <row r="11555" spans="16:21" x14ac:dyDescent="0.35">
      <c r="P11555" s="226"/>
      <c r="Q11555" s="226"/>
      <c r="R11555" s="226"/>
      <c r="S11555" s="226"/>
      <c r="T11555" s="226"/>
      <c r="U11555" s="226"/>
    </row>
    <row r="11556" spans="16:21" x14ac:dyDescent="0.35">
      <c r="P11556" s="226"/>
      <c r="Q11556" s="226"/>
      <c r="R11556" s="226"/>
      <c r="S11556" s="226"/>
      <c r="T11556" s="226"/>
      <c r="U11556" s="226"/>
    </row>
    <row r="11557" spans="16:21" x14ac:dyDescent="0.35">
      <c r="P11557" s="226"/>
      <c r="Q11557" s="226"/>
      <c r="R11557" s="226"/>
      <c r="S11557" s="226"/>
      <c r="T11557" s="226"/>
      <c r="U11557" s="226"/>
    </row>
    <row r="11558" spans="16:21" x14ac:dyDescent="0.35">
      <c r="P11558" s="226"/>
      <c r="Q11558" s="226"/>
      <c r="R11558" s="226"/>
      <c r="S11558" s="226"/>
      <c r="T11558" s="226"/>
      <c r="U11558" s="226"/>
    </row>
    <row r="11559" spans="16:21" x14ac:dyDescent="0.35">
      <c r="P11559" s="226"/>
      <c r="Q11559" s="226"/>
      <c r="R11559" s="226"/>
      <c r="S11559" s="226"/>
      <c r="T11559" s="226"/>
      <c r="U11559" s="226"/>
    </row>
    <row r="11560" spans="16:21" x14ac:dyDescent="0.35">
      <c r="P11560" s="226"/>
      <c r="Q11560" s="226"/>
      <c r="R11560" s="226"/>
      <c r="S11560" s="226"/>
      <c r="T11560" s="226"/>
      <c r="U11560" s="226"/>
    </row>
    <row r="11561" spans="16:21" x14ac:dyDescent="0.35">
      <c r="P11561" s="226"/>
      <c r="Q11561" s="226"/>
      <c r="R11561" s="226"/>
      <c r="S11561" s="226"/>
      <c r="T11561" s="226"/>
      <c r="U11561" s="226"/>
    </row>
    <row r="11562" spans="16:21" x14ac:dyDescent="0.35">
      <c r="P11562" s="226"/>
      <c r="Q11562" s="226"/>
      <c r="R11562" s="226"/>
      <c r="S11562" s="226"/>
      <c r="T11562" s="226"/>
      <c r="U11562" s="226"/>
    </row>
    <row r="11563" spans="16:21" x14ac:dyDescent="0.35">
      <c r="P11563" s="226"/>
      <c r="Q11563" s="226"/>
      <c r="R11563" s="226"/>
      <c r="S11563" s="226"/>
      <c r="T11563" s="226"/>
      <c r="U11563" s="226"/>
    </row>
    <row r="11564" spans="16:21" x14ac:dyDescent="0.35">
      <c r="P11564" s="226"/>
      <c r="Q11564" s="226"/>
      <c r="R11564" s="226"/>
      <c r="S11564" s="226"/>
      <c r="T11564" s="226"/>
      <c r="U11564" s="226"/>
    </row>
    <row r="11565" spans="16:21" x14ac:dyDescent="0.35">
      <c r="P11565" s="226"/>
      <c r="Q11565" s="226"/>
      <c r="R11565" s="226"/>
      <c r="S11565" s="226"/>
      <c r="T11565" s="226"/>
      <c r="U11565" s="226"/>
    </row>
    <row r="11566" spans="16:21" x14ac:dyDescent="0.35">
      <c r="P11566" s="226"/>
      <c r="Q11566" s="226"/>
      <c r="R11566" s="226"/>
      <c r="S11566" s="226"/>
      <c r="T11566" s="226"/>
      <c r="U11566" s="226"/>
    </row>
    <row r="11567" spans="16:21" x14ac:dyDescent="0.35">
      <c r="P11567" s="226"/>
      <c r="Q11567" s="226"/>
      <c r="R11567" s="226"/>
      <c r="S11567" s="226"/>
      <c r="T11567" s="226"/>
      <c r="U11567" s="226"/>
    </row>
    <row r="11568" spans="16:21" x14ac:dyDescent="0.35">
      <c r="P11568" s="226"/>
      <c r="Q11568" s="226"/>
      <c r="R11568" s="226"/>
      <c r="S11568" s="226"/>
      <c r="T11568" s="226"/>
      <c r="U11568" s="226"/>
    </row>
    <row r="11569" spans="16:21" x14ac:dyDescent="0.35">
      <c r="P11569" s="226"/>
      <c r="Q11569" s="226"/>
      <c r="R11569" s="226"/>
      <c r="S11569" s="226"/>
      <c r="T11569" s="226"/>
      <c r="U11569" s="226"/>
    </row>
    <row r="11570" spans="16:21" x14ac:dyDescent="0.35">
      <c r="P11570" s="226"/>
      <c r="Q11570" s="226"/>
      <c r="R11570" s="226"/>
      <c r="S11570" s="226"/>
      <c r="T11570" s="226"/>
      <c r="U11570" s="226"/>
    </row>
    <row r="11571" spans="16:21" x14ac:dyDescent="0.35">
      <c r="P11571" s="226"/>
      <c r="Q11571" s="226"/>
      <c r="R11571" s="226"/>
      <c r="S11571" s="226"/>
      <c r="T11571" s="226"/>
      <c r="U11571" s="226"/>
    </row>
    <row r="11572" spans="16:21" x14ac:dyDescent="0.35">
      <c r="P11572" s="226"/>
      <c r="Q11572" s="226"/>
      <c r="R11572" s="226"/>
      <c r="S11572" s="226"/>
      <c r="T11572" s="226"/>
      <c r="U11572" s="226"/>
    </row>
    <row r="11573" spans="16:21" x14ac:dyDescent="0.35">
      <c r="P11573" s="226"/>
      <c r="Q11573" s="226"/>
      <c r="R11573" s="226"/>
      <c r="S11573" s="226"/>
      <c r="T11573" s="226"/>
      <c r="U11573" s="226"/>
    </row>
    <row r="11574" spans="16:21" x14ac:dyDescent="0.35">
      <c r="P11574" s="226"/>
      <c r="Q11574" s="226"/>
      <c r="R11574" s="226"/>
      <c r="S11574" s="226"/>
      <c r="T11574" s="226"/>
      <c r="U11574" s="226"/>
    </row>
    <row r="11575" spans="16:21" x14ac:dyDescent="0.35">
      <c r="P11575" s="226"/>
      <c r="Q11575" s="226"/>
      <c r="R11575" s="226"/>
      <c r="S11575" s="226"/>
      <c r="T11575" s="226"/>
      <c r="U11575" s="226"/>
    </row>
    <row r="11576" spans="16:21" x14ac:dyDescent="0.35">
      <c r="P11576" s="226"/>
      <c r="Q11576" s="226"/>
      <c r="R11576" s="226"/>
      <c r="S11576" s="226"/>
      <c r="T11576" s="226"/>
      <c r="U11576" s="226"/>
    </row>
    <row r="11577" spans="16:21" x14ac:dyDescent="0.35">
      <c r="P11577" s="226"/>
      <c r="Q11577" s="226"/>
      <c r="R11577" s="226"/>
      <c r="S11577" s="226"/>
      <c r="T11577" s="226"/>
      <c r="U11577" s="226"/>
    </row>
    <row r="11578" spans="16:21" x14ac:dyDescent="0.35">
      <c r="P11578" s="226"/>
      <c r="Q11578" s="226"/>
      <c r="R11578" s="226"/>
      <c r="S11578" s="226"/>
      <c r="T11578" s="226"/>
      <c r="U11578" s="226"/>
    </row>
    <row r="11579" spans="16:21" x14ac:dyDescent="0.35">
      <c r="P11579" s="226"/>
      <c r="Q11579" s="226"/>
      <c r="R11579" s="226"/>
      <c r="S11579" s="226"/>
      <c r="T11579" s="226"/>
      <c r="U11579" s="226"/>
    </row>
    <row r="11580" spans="16:21" x14ac:dyDescent="0.35">
      <c r="P11580" s="226"/>
      <c r="Q11580" s="226"/>
      <c r="R11580" s="226"/>
      <c r="S11580" s="226"/>
      <c r="T11580" s="226"/>
      <c r="U11580" s="226"/>
    </row>
    <row r="11581" spans="16:21" x14ac:dyDescent="0.35">
      <c r="P11581" s="226"/>
      <c r="Q11581" s="226"/>
      <c r="R11581" s="226"/>
      <c r="S11581" s="226"/>
      <c r="T11581" s="226"/>
      <c r="U11581" s="226"/>
    </row>
    <row r="11582" spans="16:21" x14ac:dyDescent="0.35">
      <c r="P11582" s="226"/>
      <c r="Q11582" s="226"/>
      <c r="R11582" s="226"/>
      <c r="S11582" s="226"/>
      <c r="T11582" s="226"/>
      <c r="U11582" s="226"/>
    </row>
    <row r="11583" spans="16:21" x14ac:dyDescent="0.35">
      <c r="P11583" s="226"/>
      <c r="Q11583" s="226"/>
      <c r="R11583" s="226"/>
      <c r="S11583" s="226"/>
      <c r="T11583" s="226"/>
      <c r="U11583" s="226"/>
    </row>
    <row r="11584" spans="16:21" x14ac:dyDescent="0.35">
      <c r="P11584" s="226"/>
      <c r="Q11584" s="226"/>
      <c r="R11584" s="226"/>
      <c r="S11584" s="226"/>
      <c r="T11584" s="226"/>
      <c r="U11584" s="226"/>
    </row>
    <row r="11585" spans="16:21" x14ac:dyDescent="0.35">
      <c r="P11585" s="226"/>
      <c r="Q11585" s="226"/>
      <c r="R11585" s="226"/>
      <c r="S11585" s="226"/>
      <c r="T11585" s="226"/>
      <c r="U11585" s="226"/>
    </row>
    <row r="11586" spans="16:21" x14ac:dyDescent="0.35">
      <c r="P11586" s="226"/>
      <c r="Q11586" s="226"/>
      <c r="R11586" s="226"/>
      <c r="S11586" s="226"/>
      <c r="T11586" s="226"/>
      <c r="U11586" s="226"/>
    </row>
    <row r="11587" spans="16:21" x14ac:dyDescent="0.35">
      <c r="P11587" s="226"/>
      <c r="Q11587" s="226"/>
      <c r="R11587" s="226"/>
      <c r="S11587" s="226"/>
      <c r="T11587" s="226"/>
      <c r="U11587" s="226"/>
    </row>
    <row r="11588" spans="16:21" x14ac:dyDescent="0.35">
      <c r="P11588" s="226"/>
      <c r="Q11588" s="226"/>
      <c r="R11588" s="226"/>
      <c r="S11588" s="226"/>
      <c r="T11588" s="226"/>
      <c r="U11588" s="226"/>
    </row>
    <row r="11589" spans="16:21" x14ac:dyDescent="0.35">
      <c r="P11589" s="226"/>
      <c r="Q11589" s="226"/>
      <c r="R11589" s="226"/>
      <c r="S11589" s="226"/>
      <c r="T11589" s="226"/>
      <c r="U11589" s="226"/>
    </row>
    <row r="11590" spans="16:21" x14ac:dyDescent="0.35">
      <c r="P11590" s="226"/>
      <c r="Q11590" s="226"/>
      <c r="R11590" s="226"/>
      <c r="S11590" s="226"/>
      <c r="T11590" s="226"/>
      <c r="U11590" s="226"/>
    </row>
    <row r="11591" spans="16:21" x14ac:dyDescent="0.35">
      <c r="P11591" s="226"/>
      <c r="Q11591" s="226"/>
      <c r="R11591" s="226"/>
      <c r="S11591" s="226"/>
      <c r="T11591" s="226"/>
      <c r="U11591" s="226"/>
    </row>
    <row r="11592" spans="16:21" x14ac:dyDescent="0.35">
      <c r="P11592" s="226"/>
      <c r="Q11592" s="226"/>
      <c r="R11592" s="226"/>
      <c r="S11592" s="226"/>
      <c r="T11592" s="226"/>
      <c r="U11592" s="226"/>
    </row>
    <row r="11593" spans="16:21" x14ac:dyDescent="0.35">
      <c r="P11593" s="226"/>
      <c r="Q11593" s="226"/>
      <c r="R11593" s="226"/>
      <c r="S11593" s="226"/>
      <c r="T11593" s="226"/>
      <c r="U11593" s="226"/>
    </row>
    <row r="11594" spans="16:21" x14ac:dyDescent="0.35">
      <c r="P11594" s="226"/>
      <c r="Q11594" s="226"/>
      <c r="R11594" s="226"/>
      <c r="S11594" s="226"/>
      <c r="T11594" s="226"/>
      <c r="U11594" s="226"/>
    </row>
    <row r="11595" spans="16:21" x14ac:dyDescent="0.35">
      <c r="P11595" s="226"/>
      <c r="Q11595" s="226"/>
      <c r="R11595" s="226"/>
      <c r="S11595" s="226"/>
      <c r="T11595" s="226"/>
      <c r="U11595" s="226"/>
    </row>
    <row r="11596" spans="16:21" x14ac:dyDescent="0.35">
      <c r="P11596" s="226"/>
      <c r="Q11596" s="226"/>
      <c r="R11596" s="226"/>
      <c r="S11596" s="226"/>
      <c r="T11596" s="226"/>
      <c r="U11596" s="226"/>
    </row>
    <row r="11597" spans="16:21" x14ac:dyDescent="0.35">
      <c r="P11597" s="226"/>
      <c r="Q11597" s="226"/>
      <c r="R11597" s="226"/>
      <c r="S11597" s="226"/>
      <c r="T11597" s="226"/>
      <c r="U11597" s="226"/>
    </row>
    <row r="11598" spans="16:21" x14ac:dyDescent="0.35">
      <c r="P11598" s="226"/>
      <c r="Q11598" s="226"/>
      <c r="R11598" s="226"/>
      <c r="S11598" s="226"/>
      <c r="T11598" s="226"/>
      <c r="U11598" s="226"/>
    </row>
    <row r="11599" spans="16:21" x14ac:dyDescent="0.35">
      <c r="P11599" s="226"/>
      <c r="Q11599" s="226"/>
      <c r="R11599" s="226"/>
      <c r="S11599" s="226"/>
      <c r="T11599" s="226"/>
      <c r="U11599" s="226"/>
    </row>
    <row r="11600" spans="16:21" x14ac:dyDescent="0.35">
      <c r="P11600" s="226"/>
      <c r="Q11600" s="226"/>
      <c r="R11600" s="226"/>
      <c r="S11600" s="226"/>
      <c r="T11600" s="226"/>
      <c r="U11600" s="226"/>
    </row>
    <row r="11601" spans="16:21" x14ac:dyDescent="0.35">
      <c r="P11601" s="226"/>
      <c r="Q11601" s="226"/>
      <c r="R11601" s="226"/>
      <c r="S11601" s="226"/>
      <c r="T11601" s="226"/>
      <c r="U11601" s="226"/>
    </row>
    <row r="11602" spans="16:21" x14ac:dyDescent="0.35">
      <c r="P11602" s="226"/>
      <c r="Q11602" s="226"/>
      <c r="R11602" s="226"/>
      <c r="S11602" s="226"/>
      <c r="T11602" s="226"/>
      <c r="U11602" s="226"/>
    </row>
    <row r="11603" spans="16:21" x14ac:dyDescent="0.35">
      <c r="P11603" s="226"/>
      <c r="Q11603" s="226"/>
      <c r="R11603" s="226"/>
      <c r="S11603" s="226"/>
      <c r="T11603" s="226"/>
      <c r="U11603" s="226"/>
    </row>
    <row r="11604" spans="16:21" x14ac:dyDescent="0.35">
      <c r="P11604" s="226"/>
      <c r="Q11604" s="226"/>
      <c r="R11604" s="226"/>
      <c r="S11604" s="226"/>
      <c r="T11604" s="226"/>
      <c r="U11604" s="226"/>
    </row>
    <row r="11605" spans="16:21" x14ac:dyDescent="0.35">
      <c r="P11605" s="226"/>
      <c r="Q11605" s="226"/>
      <c r="R11605" s="226"/>
      <c r="S11605" s="226"/>
      <c r="T11605" s="226"/>
      <c r="U11605" s="226"/>
    </row>
    <row r="11606" spans="16:21" x14ac:dyDescent="0.35">
      <c r="P11606" s="226"/>
      <c r="Q11606" s="226"/>
      <c r="R11606" s="226"/>
      <c r="S11606" s="226"/>
      <c r="T11606" s="226"/>
      <c r="U11606" s="226"/>
    </row>
    <row r="11607" spans="16:21" x14ac:dyDescent="0.35">
      <c r="P11607" s="226"/>
      <c r="Q11607" s="226"/>
      <c r="R11607" s="226"/>
      <c r="S11607" s="226"/>
      <c r="T11607" s="226"/>
      <c r="U11607" s="226"/>
    </row>
    <row r="11608" spans="16:21" x14ac:dyDescent="0.35">
      <c r="P11608" s="226"/>
      <c r="Q11608" s="226"/>
      <c r="R11608" s="226"/>
      <c r="S11608" s="226"/>
      <c r="T11608" s="226"/>
      <c r="U11608" s="226"/>
    </row>
    <row r="11609" spans="16:21" x14ac:dyDescent="0.35">
      <c r="P11609" s="226"/>
      <c r="Q11609" s="226"/>
      <c r="R11609" s="226"/>
      <c r="S11609" s="226"/>
      <c r="T11609" s="226"/>
      <c r="U11609" s="226"/>
    </row>
    <row r="11610" spans="16:21" x14ac:dyDescent="0.35">
      <c r="P11610" s="226"/>
      <c r="Q11610" s="226"/>
      <c r="R11610" s="226"/>
      <c r="S11610" s="226"/>
      <c r="T11610" s="226"/>
      <c r="U11610" s="226"/>
    </row>
    <row r="11611" spans="16:21" x14ac:dyDescent="0.35">
      <c r="P11611" s="226"/>
      <c r="Q11611" s="226"/>
      <c r="R11611" s="226"/>
      <c r="S11611" s="226"/>
      <c r="T11611" s="226"/>
      <c r="U11611" s="226"/>
    </row>
    <row r="11612" spans="16:21" x14ac:dyDescent="0.35">
      <c r="P11612" s="226"/>
      <c r="Q11612" s="226"/>
      <c r="R11612" s="226"/>
      <c r="S11612" s="226"/>
      <c r="T11612" s="226"/>
      <c r="U11612" s="226"/>
    </row>
    <row r="11613" spans="16:21" x14ac:dyDescent="0.35">
      <c r="P11613" s="226"/>
      <c r="Q11613" s="226"/>
      <c r="R11613" s="226"/>
      <c r="S11613" s="226"/>
      <c r="T11613" s="226"/>
      <c r="U11613" s="226"/>
    </row>
    <row r="11614" spans="16:21" x14ac:dyDescent="0.35">
      <c r="P11614" s="226"/>
      <c r="Q11614" s="226"/>
      <c r="R11614" s="226"/>
      <c r="S11614" s="226"/>
      <c r="T11614" s="226"/>
      <c r="U11614" s="226"/>
    </row>
    <row r="11615" spans="16:21" x14ac:dyDescent="0.35">
      <c r="P11615" s="226"/>
      <c r="Q11615" s="226"/>
      <c r="R11615" s="226"/>
      <c r="S11615" s="226"/>
      <c r="T11615" s="226"/>
      <c r="U11615" s="226"/>
    </row>
    <row r="11616" spans="16:21" x14ac:dyDescent="0.35">
      <c r="P11616" s="226"/>
      <c r="Q11616" s="226"/>
      <c r="R11616" s="226"/>
      <c r="S11616" s="226"/>
      <c r="T11616" s="226"/>
      <c r="U11616" s="226"/>
    </row>
    <row r="11617" spans="16:21" x14ac:dyDescent="0.35">
      <c r="P11617" s="226"/>
      <c r="Q11617" s="226"/>
      <c r="R11617" s="226"/>
      <c r="S11617" s="226"/>
      <c r="T11617" s="226"/>
      <c r="U11617" s="226"/>
    </row>
    <row r="11618" spans="16:21" x14ac:dyDescent="0.35">
      <c r="P11618" s="226"/>
      <c r="Q11618" s="226"/>
      <c r="R11618" s="226"/>
      <c r="S11618" s="226"/>
      <c r="T11618" s="226"/>
      <c r="U11618" s="226"/>
    </row>
    <row r="11619" spans="16:21" x14ac:dyDescent="0.35">
      <c r="P11619" s="226"/>
      <c r="Q11619" s="226"/>
      <c r="R11619" s="226"/>
      <c r="S11619" s="226"/>
      <c r="T11619" s="226"/>
      <c r="U11619" s="226"/>
    </row>
    <row r="11620" spans="16:21" x14ac:dyDescent="0.35">
      <c r="P11620" s="226"/>
      <c r="Q11620" s="226"/>
      <c r="R11620" s="226"/>
      <c r="S11620" s="226"/>
      <c r="T11620" s="226"/>
      <c r="U11620" s="226"/>
    </row>
    <row r="11621" spans="16:21" x14ac:dyDescent="0.35">
      <c r="P11621" s="226"/>
      <c r="Q11621" s="226"/>
      <c r="R11621" s="226"/>
      <c r="S11621" s="226"/>
      <c r="T11621" s="226"/>
      <c r="U11621" s="226"/>
    </row>
    <row r="11622" spans="16:21" x14ac:dyDescent="0.35">
      <c r="P11622" s="226"/>
      <c r="Q11622" s="226"/>
      <c r="R11622" s="226"/>
      <c r="S11622" s="226"/>
      <c r="T11622" s="226"/>
      <c r="U11622" s="226"/>
    </row>
    <row r="11623" spans="16:21" x14ac:dyDescent="0.35">
      <c r="P11623" s="226"/>
      <c r="Q11623" s="226"/>
      <c r="R11623" s="226"/>
      <c r="S11623" s="226"/>
      <c r="T11623" s="226"/>
      <c r="U11623" s="226"/>
    </row>
    <row r="11624" spans="16:21" x14ac:dyDescent="0.35">
      <c r="P11624" s="226"/>
      <c r="Q11624" s="226"/>
      <c r="R11624" s="226"/>
      <c r="S11624" s="226"/>
      <c r="T11624" s="226"/>
      <c r="U11624" s="226"/>
    </row>
    <row r="11625" spans="16:21" x14ac:dyDescent="0.35">
      <c r="P11625" s="226"/>
      <c r="Q11625" s="226"/>
      <c r="R11625" s="226"/>
      <c r="S11625" s="226"/>
      <c r="T11625" s="226"/>
      <c r="U11625" s="226"/>
    </row>
    <row r="11626" spans="16:21" x14ac:dyDescent="0.35">
      <c r="P11626" s="226"/>
      <c r="Q11626" s="226"/>
      <c r="R11626" s="226"/>
      <c r="S11626" s="226"/>
      <c r="T11626" s="226"/>
      <c r="U11626" s="226"/>
    </row>
    <row r="11627" spans="16:21" x14ac:dyDescent="0.35">
      <c r="P11627" s="226"/>
      <c r="Q11627" s="226"/>
      <c r="R11627" s="226"/>
      <c r="S11627" s="226"/>
      <c r="T11627" s="226"/>
      <c r="U11627" s="226"/>
    </row>
    <row r="11628" spans="16:21" x14ac:dyDescent="0.35">
      <c r="P11628" s="226"/>
      <c r="Q11628" s="226"/>
      <c r="R11628" s="226"/>
      <c r="S11628" s="226"/>
      <c r="T11628" s="226"/>
      <c r="U11628" s="226"/>
    </row>
    <row r="11629" spans="16:21" x14ac:dyDescent="0.35">
      <c r="P11629" s="226"/>
      <c r="Q11629" s="226"/>
      <c r="R11629" s="226"/>
      <c r="S11629" s="226"/>
      <c r="T11629" s="226"/>
      <c r="U11629" s="226"/>
    </row>
    <row r="11630" spans="16:21" x14ac:dyDescent="0.35">
      <c r="P11630" s="226"/>
      <c r="Q11630" s="226"/>
      <c r="R11630" s="226"/>
      <c r="S11630" s="226"/>
      <c r="T11630" s="226"/>
      <c r="U11630" s="226"/>
    </row>
    <row r="11631" spans="16:21" x14ac:dyDescent="0.35">
      <c r="P11631" s="226"/>
      <c r="Q11631" s="226"/>
      <c r="R11631" s="226"/>
      <c r="S11631" s="226"/>
      <c r="T11631" s="226"/>
      <c r="U11631" s="226"/>
    </row>
    <row r="11632" spans="16:21" x14ac:dyDescent="0.35">
      <c r="P11632" s="226"/>
      <c r="Q11632" s="226"/>
      <c r="R11632" s="226"/>
      <c r="S11632" s="226"/>
      <c r="T11632" s="226"/>
      <c r="U11632" s="226"/>
    </row>
    <row r="11633" spans="16:21" x14ac:dyDescent="0.35">
      <c r="P11633" s="226"/>
      <c r="Q11633" s="226"/>
      <c r="R11633" s="226"/>
      <c r="S11633" s="226"/>
      <c r="T11633" s="226"/>
      <c r="U11633" s="226"/>
    </row>
    <row r="11634" spans="16:21" x14ac:dyDescent="0.35">
      <c r="P11634" s="226"/>
      <c r="Q11634" s="226"/>
      <c r="R11634" s="226"/>
      <c r="S11634" s="226"/>
      <c r="T11634" s="226"/>
      <c r="U11634" s="226"/>
    </row>
    <row r="11635" spans="16:21" x14ac:dyDescent="0.35">
      <c r="P11635" s="226"/>
      <c r="Q11635" s="226"/>
      <c r="R11635" s="226"/>
      <c r="S11635" s="226"/>
      <c r="T11635" s="226"/>
      <c r="U11635" s="226"/>
    </row>
    <row r="11636" spans="16:21" x14ac:dyDescent="0.35">
      <c r="P11636" s="226"/>
      <c r="Q11636" s="226"/>
      <c r="R11636" s="226"/>
      <c r="S11636" s="226"/>
      <c r="T11636" s="226"/>
      <c r="U11636" s="226"/>
    </row>
    <row r="11637" spans="16:21" x14ac:dyDescent="0.35">
      <c r="P11637" s="226"/>
      <c r="Q11637" s="226"/>
      <c r="R11637" s="226"/>
      <c r="S11637" s="226"/>
      <c r="T11637" s="226"/>
      <c r="U11637" s="226"/>
    </row>
    <row r="11638" spans="16:21" x14ac:dyDescent="0.35">
      <c r="P11638" s="226"/>
      <c r="Q11638" s="226"/>
      <c r="R11638" s="226"/>
      <c r="S11638" s="226"/>
      <c r="T11638" s="226"/>
      <c r="U11638" s="226"/>
    </row>
    <row r="11639" spans="16:21" x14ac:dyDescent="0.35">
      <c r="P11639" s="226"/>
      <c r="Q11639" s="226"/>
      <c r="R11639" s="226"/>
      <c r="S11639" s="226"/>
      <c r="T11639" s="226"/>
      <c r="U11639" s="226"/>
    </row>
    <row r="11640" spans="16:21" x14ac:dyDescent="0.35">
      <c r="P11640" s="226"/>
      <c r="Q11640" s="226"/>
      <c r="R11640" s="226"/>
      <c r="S11640" s="226"/>
      <c r="T11640" s="226"/>
      <c r="U11640" s="226"/>
    </row>
    <row r="11641" spans="16:21" x14ac:dyDescent="0.35">
      <c r="P11641" s="226"/>
      <c r="Q11641" s="226"/>
      <c r="R11641" s="226"/>
      <c r="S11641" s="226"/>
      <c r="T11641" s="226"/>
      <c r="U11641" s="226"/>
    </row>
    <row r="11642" spans="16:21" x14ac:dyDescent="0.35">
      <c r="P11642" s="226"/>
      <c r="Q11642" s="226"/>
      <c r="R11642" s="226"/>
      <c r="S11642" s="226"/>
      <c r="T11642" s="226"/>
      <c r="U11642" s="226"/>
    </row>
    <row r="11643" spans="16:21" x14ac:dyDescent="0.35">
      <c r="P11643" s="226"/>
      <c r="Q11643" s="226"/>
      <c r="R11643" s="226"/>
      <c r="S11643" s="226"/>
      <c r="T11643" s="226"/>
      <c r="U11643" s="226"/>
    </row>
    <row r="11644" spans="16:21" x14ac:dyDescent="0.35">
      <c r="P11644" s="226"/>
      <c r="Q11644" s="226"/>
      <c r="R11644" s="226"/>
      <c r="S11644" s="226"/>
      <c r="T11644" s="226"/>
      <c r="U11644" s="226"/>
    </row>
    <row r="11645" spans="16:21" x14ac:dyDescent="0.35">
      <c r="P11645" s="226"/>
      <c r="Q11645" s="226"/>
      <c r="R11645" s="226"/>
      <c r="S11645" s="226"/>
      <c r="T11645" s="226"/>
      <c r="U11645" s="226"/>
    </row>
    <row r="11646" spans="16:21" x14ac:dyDescent="0.35">
      <c r="P11646" s="226"/>
      <c r="Q11646" s="226"/>
      <c r="R11646" s="226"/>
      <c r="S11646" s="226"/>
      <c r="T11646" s="226"/>
      <c r="U11646" s="226"/>
    </row>
    <row r="11647" spans="16:21" x14ac:dyDescent="0.35">
      <c r="P11647" s="226"/>
      <c r="Q11647" s="226"/>
      <c r="R11647" s="226"/>
      <c r="S11647" s="226"/>
      <c r="T11647" s="226"/>
      <c r="U11647" s="226"/>
    </row>
    <row r="11648" spans="16:21" x14ac:dyDescent="0.35">
      <c r="P11648" s="226"/>
      <c r="Q11648" s="226"/>
      <c r="R11648" s="226"/>
      <c r="S11648" s="226"/>
      <c r="T11648" s="226"/>
      <c r="U11648" s="226"/>
    </row>
    <row r="11649" spans="16:21" x14ac:dyDescent="0.35">
      <c r="P11649" s="226"/>
      <c r="Q11649" s="226"/>
      <c r="R11649" s="226"/>
      <c r="S11649" s="226"/>
      <c r="T11649" s="226"/>
      <c r="U11649" s="226"/>
    </row>
    <row r="11650" spans="16:21" x14ac:dyDescent="0.35">
      <c r="P11650" s="226"/>
      <c r="Q11650" s="226"/>
      <c r="R11650" s="226"/>
      <c r="S11650" s="226"/>
      <c r="T11650" s="226"/>
      <c r="U11650" s="226"/>
    </row>
    <row r="11651" spans="16:21" x14ac:dyDescent="0.35">
      <c r="P11651" s="226"/>
      <c r="Q11651" s="226"/>
      <c r="R11651" s="226"/>
      <c r="S11651" s="226"/>
      <c r="T11651" s="226"/>
      <c r="U11651" s="226"/>
    </row>
    <row r="11652" spans="16:21" x14ac:dyDescent="0.35">
      <c r="P11652" s="226"/>
      <c r="Q11652" s="226"/>
      <c r="R11652" s="226"/>
      <c r="S11652" s="226"/>
      <c r="T11652" s="226"/>
      <c r="U11652" s="226"/>
    </row>
    <row r="11653" spans="16:21" x14ac:dyDescent="0.35">
      <c r="P11653" s="226"/>
      <c r="Q11653" s="226"/>
      <c r="R11653" s="226"/>
      <c r="S11653" s="226"/>
      <c r="T11653" s="226"/>
      <c r="U11653" s="226"/>
    </row>
    <row r="11654" spans="16:21" x14ac:dyDescent="0.35">
      <c r="P11654" s="226"/>
      <c r="Q11654" s="226"/>
      <c r="R11654" s="226"/>
      <c r="S11654" s="226"/>
      <c r="T11654" s="226"/>
      <c r="U11654" s="226"/>
    </row>
    <row r="11655" spans="16:21" x14ac:dyDescent="0.35">
      <c r="P11655" s="226"/>
      <c r="Q11655" s="226"/>
      <c r="R11655" s="226"/>
      <c r="S11655" s="226"/>
      <c r="T11655" s="226"/>
      <c r="U11655" s="226"/>
    </row>
    <row r="11656" spans="16:21" x14ac:dyDescent="0.35">
      <c r="P11656" s="226"/>
      <c r="Q11656" s="226"/>
      <c r="R11656" s="226"/>
      <c r="S11656" s="226"/>
      <c r="T11656" s="226"/>
      <c r="U11656" s="226"/>
    </row>
    <row r="11657" spans="16:21" x14ac:dyDescent="0.35">
      <c r="P11657" s="226"/>
      <c r="Q11657" s="226"/>
      <c r="R11657" s="226"/>
      <c r="S11657" s="226"/>
      <c r="T11657" s="226"/>
      <c r="U11657" s="226"/>
    </row>
    <row r="11658" spans="16:21" x14ac:dyDescent="0.35">
      <c r="P11658" s="226"/>
      <c r="Q11658" s="226"/>
      <c r="R11658" s="226"/>
      <c r="S11658" s="226"/>
      <c r="T11658" s="226"/>
      <c r="U11658" s="226"/>
    </row>
    <row r="11659" spans="16:21" x14ac:dyDescent="0.35">
      <c r="P11659" s="226"/>
      <c r="Q11659" s="226"/>
      <c r="R11659" s="226"/>
      <c r="S11659" s="226"/>
      <c r="T11659" s="226"/>
      <c r="U11659" s="226"/>
    </row>
    <row r="11660" spans="16:21" x14ac:dyDescent="0.35">
      <c r="P11660" s="226"/>
      <c r="Q11660" s="226"/>
      <c r="R11660" s="226"/>
      <c r="S11660" s="226"/>
      <c r="T11660" s="226"/>
      <c r="U11660" s="226"/>
    </row>
    <row r="11661" spans="16:21" x14ac:dyDescent="0.35">
      <c r="P11661" s="226"/>
      <c r="Q11661" s="226"/>
      <c r="R11661" s="226"/>
      <c r="S11661" s="226"/>
      <c r="T11661" s="226"/>
      <c r="U11661" s="226"/>
    </row>
    <row r="11662" spans="16:21" x14ac:dyDescent="0.35">
      <c r="P11662" s="226"/>
      <c r="Q11662" s="226"/>
      <c r="R11662" s="226"/>
      <c r="S11662" s="226"/>
      <c r="T11662" s="226"/>
      <c r="U11662" s="226"/>
    </row>
    <row r="11663" spans="16:21" x14ac:dyDescent="0.35">
      <c r="P11663" s="226"/>
      <c r="Q11663" s="226"/>
      <c r="R11663" s="226"/>
      <c r="S11663" s="226"/>
      <c r="T11663" s="226"/>
      <c r="U11663" s="226"/>
    </row>
    <row r="11664" spans="16:21" x14ac:dyDescent="0.35">
      <c r="P11664" s="226"/>
      <c r="Q11664" s="226"/>
      <c r="R11664" s="226"/>
      <c r="S11664" s="226"/>
      <c r="T11664" s="226"/>
      <c r="U11664" s="226"/>
    </row>
    <row r="11665" spans="16:21" x14ac:dyDescent="0.35">
      <c r="P11665" s="226"/>
      <c r="Q11665" s="226"/>
      <c r="R11665" s="226"/>
      <c r="S11665" s="226"/>
      <c r="T11665" s="226"/>
      <c r="U11665" s="226"/>
    </row>
    <row r="11666" spans="16:21" x14ac:dyDescent="0.35">
      <c r="P11666" s="226"/>
      <c r="Q11666" s="226"/>
      <c r="R11666" s="226"/>
      <c r="S11666" s="226"/>
      <c r="T11666" s="226"/>
      <c r="U11666" s="226"/>
    </row>
    <row r="11667" spans="16:21" x14ac:dyDescent="0.35">
      <c r="P11667" s="226"/>
      <c r="Q11667" s="226"/>
      <c r="R11667" s="226"/>
      <c r="S11667" s="226"/>
      <c r="T11667" s="226"/>
      <c r="U11667" s="226"/>
    </row>
    <row r="11668" spans="16:21" x14ac:dyDescent="0.35">
      <c r="P11668" s="226"/>
      <c r="Q11668" s="226"/>
      <c r="R11668" s="226"/>
      <c r="S11668" s="226"/>
      <c r="T11668" s="226"/>
      <c r="U11668" s="226"/>
    </row>
    <row r="11669" spans="16:21" x14ac:dyDescent="0.35">
      <c r="P11669" s="226"/>
      <c r="Q11669" s="226"/>
      <c r="R11669" s="226"/>
      <c r="S11669" s="226"/>
      <c r="T11669" s="226"/>
      <c r="U11669" s="226"/>
    </row>
    <row r="11670" spans="16:21" x14ac:dyDescent="0.35">
      <c r="P11670" s="226"/>
      <c r="Q11670" s="226"/>
      <c r="R11670" s="226"/>
      <c r="S11670" s="226"/>
      <c r="T11670" s="226"/>
      <c r="U11670" s="226"/>
    </row>
    <row r="11671" spans="16:21" x14ac:dyDescent="0.35">
      <c r="P11671" s="226"/>
      <c r="Q11671" s="226"/>
      <c r="R11671" s="226"/>
      <c r="S11671" s="226"/>
      <c r="T11671" s="226"/>
      <c r="U11671" s="226"/>
    </row>
    <row r="11672" spans="16:21" x14ac:dyDescent="0.35">
      <c r="P11672" s="226"/>
      <c r="Q11672" s="226"/>
      <c r="R11672" s="226"/>
      <c r="S11672" s="226"/>
      <c r="T11672" s="226"/>
      <c r="U11672" s="226"/>
    </row>
    <row r="11673" spans="16:21" x14ac:dyDescent="0.35">
      <c r="P11673" s="226"/>
      <c r="Q11673" s="226"/>
      <c r="R11673" s="226"/>
      <c r="S11673" s="226"/>
      <c r="T11673" s="226"/>
      <c r="U11673" s="226"/>
    </row>
    <row r="11674" spans="16:21" x14ac:dyDescent="0.35">
      <c r="P11674" s="226"/>
      <c r="Q11674" s="226"/>
      <c r="R11674" s="226"/>
      <c r="S11674" s="226"/>
      <c r="T11674" s="226"/>
      <c r="U11674" s="226"/>
    </row>
    <row r="11675" spans="16:21" x14ac:dyDescent="0.35">
      <c r="P11675" s="226"/>
      <c r="Q11675" s="226"/>
      <c r="R11675" s="226"/>
      <c r="S11675" s="226"/>
      <c r="T11675" s="226"/>
      <c r="U11675" s="226"/>
    </row>
    <row r="11676" spans="16:21" x14ac:dyDescent="0.35">
      <c r="P11676" s="226"/>
      <c r="Q11676" s="226"/>
      <c r="R11676" s="226"/>
      <c r="S11676" s="226"/>
      <c r="T11676" s="226"/>
      <c r="U11676" s="226"/>
    </row>
    <row r="11677" spans="16:21" x14ac:dyDescent="0.35">
      <c r="P11677" s="226"/>
      <c r="Q11677" s="226"/>
      <c r="R11677" s="226"/>
      <c r="S11677" s="226"/>
      <c r="T11677" s="226"/>
      <c r="U11677" s="226"/>
    </row>
    <row r="11678" spans="16:21" x14ac:dyDescent="0.35">
      <c r="P11678" s="226"/>
      <c r="Q11678" s="226"/>
      <c r="R11678" s="226"/>
      <c r="S11678" s="226"/>
      <c r="T11678" s="226"/>
      <c r="U11678" s="226"/>
    </row>
    <row r="11679" spans="16:21" x14ac:dyDescent="0.35">
      <c r="P11679" s="226"/>
      <c r="Q11679" s="226"/>
      <c r="R11679" s="226"/>
      <c r="S11679" s="226"/>
      <c r="T11679" s="226"/>
      <c r="U11679" s="226"/>
    </row>
    <row r="11680" spans="16:21" x14ac:dyDescent="0.35">
      <c r="P11680" s="226"/>
      <c r="Q11680" s="226"/>
      <c r="R11680" s="226"/>
      <c r="S11680" s="226"/>
      <c r="T11680" s="226"/>
      <c r="U11680" s="226"/>
    </row>
    <row r="11681" spans="16:21" x14ac:dyDescent="0.35">
      <c r="P11681" s="226"/>
      <c r="Q11681" s="226"/>
      <c r="R11681" s="226"/>
      <c r="S11681" s="226"/>
      <c r="T11681" s="226"/>
      <c r="U11681" s="226"/>
    </row>
    <row r="11682" spans="16:21" x14ac:dyDescent="0.35">
      <c r="P11682" s="226"/>
      <c r="Q11682" s="226"/>
      <c r="R11682" s="226"/>
      <c r="S11682" s="226"/>
      <c r="T11682" s="226"/>
      <c r="U11682" s="226"/>
    </row>
    <row r="11683" spans="16:21" x14ac:dyDescent="0.35">
      <c r="P11683" s="226"/>
      <c r="Q11683" s="226"/>
      <c r="R11683" s="226"/>
      <c r="S11683" s="226"/>
      <c r="T11683" s="226"/>
      <c r="U11683" s="226"/>
    </row>
    <row r="11684" spans="16:21" x14ac:dyDescent="0.35">
      <c r="P11684" s="226"/>
      <c r="Q11684" s="226"/>
      <c r="R11684" s="226"/>
      <c r="S11684" s="226"/>
      <c r="T11684" s="226"/>
      <c r="U11684" s="226"/>
    </row>
    <row r="11685" spans="16:21" x14ac:dyDescent="0.35">
      <c r="P11685" s="226"/>
      <c r="Q11685" s="226"/>
      <c r="R11685" s="226"/>
      <c r="S11685" s="226"/>
      <c r="T11685" s="226"/>
      <c r="U11685" s="226"/>
    </row>
    <row r="11686" spans="16:21" x14ac:dyDescent="0.35">
      <c r="P11686" s="226"/>
      <c r="Q11686" s="226"/>
      <c r="R11686" s="226"/>
      <c r="S11686" s="226"/>
      <c r="T11686" s="226"/>
      <c r="U11686" s="226"/>
    </row>
    <row r="11687" spans="16:21" x14ac:dyDescent="0.35">
      <c r="P11687" s="226"/>
      <c r="Q11687" s="226"/>
      <c r="R11687" s="226"/>
      <c r="S11687" s="226"/>
      <c r="T11687" s="226"/>
      <c r="U11687" s="226"/>
    </row>
    <row r="11688" spans="16:21" x14ac:dyDescent="0.35">
      <c r="P11688" s="226"/>
      <c r="Q11688" s="226"/>
      <c r="R11688" s="226"/>
      <c r="S11688" s="226"/>
      <c r="T11688" s="226"/>
      <c r="U11688" s="226"/>
    </row>
    <row r="11689" spans="16:21" x14ac:dyDescent="0.35">
      <c r="P11689" s="226"/>
      <c r="Q11689" s="226"/>
      <c r="R11689" s="226"/>
      <c r="S11689" s="226"/>
      <c r="T11689" s="226"/>
      <c r="U11689" s="226"/>
    </row>
    <row r="11690" spans="16:21" x14ac:dyDescent="0.35">
      <c r="P11690" s="226"/>
      <c r="Q11690" s="226"/>
      <c r="R11690" s="226"/>
      <c r="S11690" s="226"/>
      <c r="T11690" s="226"/>
      <c r="U11690" s="226"/>
    </row>
    <row r="11691" spans="16:21" x14ac:dyDescent="0.35">
      <c r="P11691" s="226"/>
      <c r="Q11691" s="226"/>
      <c r="R11691" s="226"/>
      <c r="S11691" s="226"/>
      <c r="T11691" s="226"/>
      <c r="U11691" s="226"/>
    </row>
    <row r="11692" spans="16:21" x14ac:dyDescent="0.35">
      <c r="P11692" s="226"/>
      <c r="Q11692" s="226"/>
      <c r="R11692" s="226"/>
      <c r="S11692" s="226"/>
      <c r="T11692" s="226"/>
      <c r="U11692" s="226"/>
    </row>
    <row r="11693" spans="16:21" x14ac:dyDescent="0.35">
      <c r="P11693" s="226"/>
      <c r="Q11693" s="226"/>
      <c r="R11693" s="226"/>
      <c r="S11693" s="226"/>
      <c r="T11693" s="226"/>
      <c r="U11693" s="226"/>
    </row>
    <row r="11694" spans="16:21" x14ac:dyDescent="0.35">
      <c r="P11694" s="226"/>
      <c r="Q11694" s="226"/>
      <c r="R11694" s="226"/>
      <c r="S11694" s="226"/>
      <c r="T11694" s="226"/>
      <c r="U11694" s="226"/>
    </row>
    <row r="11695" spans="16:21" x14ac:dyDescent="0.35">
      <c r="P11695" s="226"/>
      <c r="Q11695" s="226"/>
      <c r="R11695" s="226"/>
      <c r="S11695" s="226"/>
      <c r="T11695" s="226"/>
      <c r="U11695" s="226"/>
    </row>
    <row r="11696" spans="16:21" x14ac:dyDescent="0.35">
      <c r="P11696" s="226"/>
      <c r="Q11696" s="226"/>
      <c r="R11696" s="226"/>
      <c r="S11696" s="226"/>
      <c r="T11696" s="226"/>
      <c r="U11696" s="226"/>
    </row>
    <row r="11697" spans="16:21" x14ac:dyDescent="0.35">
      <c r="P11697" s="226"/>
      <c r="Q11697" s="226"/>
      <c r="R11697" s="226"/>
      <c r="S11697" s="226"/>
      <c r="T11697" s="226"/>
      <c r="U11697" s="226"/>
    </row>
    <row r="11698" spans="16:21" x14ac:dyDescent="0.35">
      <c r="P11698" s="226"/>
      <c r="Q11698" s="226"/>
      <c r="R11698" s="226"/>
      <c r="S11698" s="226"/>
      <c r="T11698" s="226"/>
      <c r="U11698" s="226"/>
    </row>
    <row r="11699" spans="16:21" x14ac:dyDescent="0.35">
      <c r="P11699" s="226"/>
      <c r="Q11699" s="226"/>
      <c r="R11699" s="226"/>
      <c r="S11699" s="226"/>
      <c r="T11699" s="226"/>
      <c r="U11699" s="226"/>
    </row>
    <row r="11700" spans="16:21" x14ac:dyDescent="0.35">
      <c r="P11700" s="226"/>
      <c r="Q11700" s="226"/>
      <c r="R11700" s="226"/>
      <c r="S11700" s="226"/>
      <c r="T11700" s="226"/>
      <c r="U11700" s="226"/>
    </row>
    <row r="11701" spans="16:21" x14ac:dyDescent="0.35">
      <c r="P11701" s="226"/>
      <c r="Q11701" s="226"/>
      <c r="R11701" s="226"/>
      <c r="S11701" s="226"/>
      <c r="T11701" s="226"/>
      <c r="U11701" s="226"/>
    </row>
    <row r="11702" spans="16:21" x14ac:dyDescent="0.35">
      <c r="P11702" s="226"/>
      <c r="Q11702" s="226"/>
      <c r="R11702" s="226"/>
      <c r="S11702" s="226"/>
      <c r="T11702" s="226"/>
      <c r="U11702" s="226"/>
    </row>
    <row r="11703" spans="16:21" x14ac:dyDescent="0.35">
      <c r="P11703" s="226"/>
      <c r="Q11703" s="226"/>
      <c r="R11703" s="226"/>
      <c r="S11703" s="226"/>
      <c r="T11703" s="226"/>
      <c r="U11703" s="226"/>
    </row>
    <row r="11704" spans="16:21" x14ac:dyDescent="0.35">
      <c r="P11704" s="226"/>
      <c r="Q11704" s="226"/>
      <c r="R11704" s="226"/>
      <c r="S11704" s="226"/>
      <c r="T11704" s="226"/>
      <c r="U11704" s="226"/>
    </row>
    <row r="11705" spans="16:21" x14ac:dyDescent="0.35">
      <c r="P11705" s="226"/>
      <c r="Q11705" s="226"/>
      <c r="R11705" s="226"/>
      <c r="S11705" s="226"/>
      <c r="T11705" s="226"/>
      <c r="U11705" s="226"/>
    </row>
    <row r="11706" spans="16:21" x14ac:dyDescent="0.35">
      <c r="P11706" s="226"/>
      <c r="Q11706" s="226"/>
      <c r="R11706" s="226"/>
      <c r="S11706" s="226"/>
      <c r="T11706" s="226"/>
      <c r="U11706" s="226"/>
    </row>
    <row r="11707" spans="16:21" x14ac:dyDescent="0.35">
      <c r="P11707" s="226"/>
      <c r="Q11707" s="226"/>
      <c r="R11707" s="226"/>
      <c r="S11707" s="226"/>
      <c r="T11707" s="226"/>
      <c r="U11707" s="226"/>
    </row>
    <row r="11708" spans="16:21" x14ac:dyDescent="0.35">
      <c r="P11708" s="226"/>
      <c r="Q11708" s="226"/>
      <c r="R11708" s="226"/>
      <c r="S11708" s="226"/>
      <c r="T11708" s="226"/>
      <c r="U11708" s="226"/>
    </row>
    <row r="11709" spans="16:21" x14ac:dyDescent="0.35">
      <c r="P11709" s="226"/>
      <c r="Q11709" s="226"/>
      <c r="R11709" s="226"/>
      <c r="S11709" s="226"/>
      <c r="T11709" s="226"/>
      <c r="U11709" s="226"/>
    </row>
    <row r="11710" spans="16:21" x14ac:dyDescent="0.35">
      <c r="P11710" s="226"/>
      <c r="Q11710" s="226"/>
      <c r="R11710" s="226"/>
      <c r="S11710" s="226"/>
      <c r="T11710" s="226"/>
      <c r="U11710" s="226"/>
    </row>
    <row r="11711" spans="16:21" x14ac:dyDescent="0.35">
      <c r="P11711" s="226"/>
      <c r="Q11711" s="226"/>
      <c r="R11711" s="226"/>
      <c r="S11711" s="226"/>
      <c r="T11711" s="226"/>
      <c r="U11711" s="226"/>
    </row>
    <row r="11712" spans="16:21" x14ac:dyDescent="0.35">
      <c r="P11712" s="226"/>
      <c r="Q11712" s="226"/>
      <c r="R11712" s="226"/>
      <c r="S11712" s="226"/>
      <c r="T11712" s="226"/>
      <c r="U11712" s="226"/>
    </row>
    <row r="11713" spans="16:21" x14ac:dyDescent="0.35">
      <c r="P11713" s="226"/>
      <c r="Q11713" s="226"/>
      <c r="R11713" s="226"/>
      <c r="S11713" s="226"/>
      <c r="T11713" s="226"/>
      <c r="U11713" s="226"/>
    </row>
    <row r="11714" spans="16:21" x14ac:dyDescent="0.35">
      <c r="P11714" s="226"/>
      <c r="Q11714" s="226"/>
      <c r="R11714" s="226"/>
      <c r="S11714" s="226"/>
      <c r="T11714" s="226"/>
      <c r="U11714" s="226"/>
    </row>
    <row r="11715" spans="16:21" x14ac:dyDescent="0.35">
      <c r="P11715" s="226"/>
      <c r="Q11715" s="226"/>
      <c r="R11715" s="226"/>
      <c r="S11715" s="226"/>
      <c r="T11715" s="226"/>
      <c r="U11715" s="226"/>
    </row>
    <row r="11716" spans="16:21" x14ac:dyDescent="0.35">
      <c r="P11716" s="226"/>
      <c r="Q11716" s="226"/>
      <c r="R11716" s="226"/>
      <c r="S11716" s="226"/>
      <c r="T11716" s="226"/>
      <c r="U11716" s="226"/>
    </row>
    <row r="11717" spans="16:21" x14ac:dyDescent="0.35">
      <c r="P11717" s="226"/>
      <c r="Q11717" s="226"/>
      <c r="R11717" s="226"/>
      <c r="S11717" s="226"/>
      <c r="T11717" s="226"/>
      <c r="U11717" s="226"/>
    </row>
    <row r="11718" spans="16:21" x14ac:dyDescent="0.35">
      <c r="P11718" s="226"/>
      <c r="Q11718" s="226"/>
      <c r="R11718" s="226"/>
      <c r="S11718" s="226"/>
      <c r="T11718" s="226"/>
      <c r="U11718" s="226"/>
    </row>
    <row r="11719" spans="16:21" x14ac:dyDescent="0.35">
      <c r="P11719" s="226"/>
      <c r="Q11719" s="226"/>
      <c r="R11719" s="226"/>
      <c r="S11719" s="226"/>
      <c r="T11719" s="226"/>
      <c r="U11719" s="226"/>
    </row>
    <row r="11720" spans="16:21" x14ac:dyDescent="0.35">
      <c r="P11720" s="226"/>
      <c r="Q11720" s="226"/>
      <c r="R11720" s="226"/>
      <c r="S11720" s="226"/>
      <c r="T11720" s="226"/>
      <c r="U11720" s="226"/>
    </row>
    <row r="11721" spans="16:21" x14ac:dyDescent="0.35">
      <c r="P11721" s="226"/>
      <c r="Q11721" s="226"/>
      <c r="R11721" s="226"/>
      <c r="S11721" s="226"/>
      <c r="T11721" s="226"/>
      <c r="U11721" s="226"/>
    </row>
    <row r="11722" spans="16:21" x14ac:dyDescent="0.35">
      <c r="P11722" s="226"/>
      <c r="Q11722" s="226"/>
      <c r="R11722" s="226"/>
      <c r="S11722" s="226"/>
      <c r="T11722" s="226"/>
      <c r="U11722" s="226"/>
    </row>
    <row r="11723" spans="16:21" x14ac:dyDescent="0.35">
      <c r="P11723" s="226"/>
      <c r="Q11723" s="226"/>
      <c r="R11723" s="226"/>
      <c r="S11723" s="226"/>
      <c r="T11723" s="226"/>
      <c r="U11723" s="226"/>
    </row>
    <row r="11724" spans="16:21" x14ac:dyDescent="0.35">
      <c r="P11724" s="226"/>
      <c r="Q11724" s="226"/>
      <c r="R11724" s="226"/>
      <c r="S11724" s="226"/>
      <c r="T11724" s="226"/>
      <c r="U11724" s="226"/>
    </row>
    <row r="11725" spans="16:21" x14ac:dyDescent="0.35">
      <c r="P11725" s="226"/>
      <c r="Q11725" s="226"/>
      <c r="R11725" s="226"/>
      <c r="S11725" s="226"/>
      <c r="T11725" s="226"/>
      <c r="U11725" s="226"/>
    </row>
    <row r="11726" spans="16:21" x14ac:dyDescent="0.35">
      <c r="P11726" s="226"/>
      <c r="Q11726" s="226"/>
      <c r="R11726" s="226"/>
      <c r="S11726" s="226"/>
      <c r="T11726" s="226"/>
      <c r="U11726" s="226"/>
    </row>
    <row r="11727" spans="16:21" x14ac:dyDescent="0.35">
      <c r="P11727" s="226"/>
      <c r="Q11727" s="226"/>
      <c r="R11727" s="226"/>
      <c r="S11727" s="226"/>
      <c r="T11727" s="226"/>
      <c r="U11727" s="226"/>
    </row>
    <row r="11728" spans="16:21" x14ac:dyDescent="0.35">
      <c r="P11728" s="226"/>
      <c r="Q11728" s="226"/>
      <c r="R11728" s="226"/>
      <c r="S11728" s="226"/>
      <c r="T11728" s="226"/>
      <c r="U11728" s="226"/>
    </row>
    <row r="11729" spans="16:21" x14ac:dyDescent="0.35">
      <c r="P11729" s="226"/>
      <c r="Q11729" s="226"/>
      <c r="R11729" s="226"/>
      <c r="S11729" s="226"/>
      <c r="T11729" s="226"/>
      <c r="U11729" s="226"/>
    </row>
    <row r="11730" spans="16:21" x14ac:dyDescent="0.35">
      <c r="P11730" s="226"/>
      <c r="Q11730" s="226"/>
      <c r="R11730" s="226"/>
      <c r="S11730" s="226"/>
      <c r="T11730" s="226"/>
      <c r="U11730" s="226"/>
    </row>
    <row r="11731" spans="16:21" x14ac:dyDescent="0.35">
      <c r="P11731" s="226"/>
      <c r="Q11731" s="226"/>
      <c r="R11731" s="226"/>
      <c r="S11731" s="226"/>
      <c r="T11731" s="226"/>
      <c r="U11731" s="226"/>
    </row>
    <row r="11732" spans="16:21" x14ac:dyDescent="0.35">
      <c r="P11732" s="226"/>
      <c r="Q11732" s="226"/>
      <c r="R11732" s="226"/>
      <c r="S11732" s="226"/>
      <c r="T11732" s="226"/>
      <c r="U11732" s="226"/>
    </row>
    <row r="11733" spans="16:21" x14ac:dyDescent="0.35">
      <c r="P11733" s="226"/>
      <c r="Q11733" s="226"/>
      <c r="R11733" s="226"/>
      <c r="S11733" s="226"/>
      <c r="T11733" s="226"/>
      <c r="U11733" s="226"/>
    </row>
    <row r="11734" spans="16:21" x14ac:dyDescent="0.35">
      <c r="P11734" s="226"/>
      <c r="Q11734" s="226"/>
      <c r="R11734" s="226"/>
      <c r="S11734" s="226"/>
      <c r="T11734" s="226"/>
      <c r="U11734" s="226"/>
    </row>
    <row r="11735" spans="16:21" x14ac:dyDescent="0.35">
      <c r="P11735" s="226"/>
      <c r="Q11735" s="226"/>
      <c r="R11735" s="226"/>
      <c r="S11735" s="226"/>
      <c r="T11735" s="226"/>
      <c r="U11735" s="226"/>
    </row>
    <row r="11736" spans="16:21" x14ac:dyDescent="0.35">
      <c r="P11736" s="226"/>
      <c r="Q11736" s="226"/>
      <c r="R11736" s="226"/>
      <c r="S11736" s="226"/>
      <c r="T11736" s="226"/>
      <c r="U11736" s="226"/>
    </row>
    <row r="11737" spans="16:21" x14ac:dyDescent="0.35">
      <c r="P11737" s="226"/>
      <c r="Q11737" s="226"/>
      <c r="R11737" s="226"/>
      <c r="S11737" s="226"/>
      <c r="T11737" s="226"/>
      <c r="U11737" s="226"/>
    </row>
    <row r="11738" spans="16:21" x14ac:dyDescent="0.35">
      <c r="P11738" s="226"/>
      <c r="Q11738" s="226"/>
      <c r="R11738" s="226"/>
      <c r="S11738" s="226"/>
      <c r="T11738" s="226"/>
      <c r="U11738" s="226"/>
    </row>
    <row r="11739" spans="16:21" x14ac:dyDescent="0.35">
      <c r="P11739" s="226"/>
      <c r="Q11739" s="226"/>
      <c r="R11739" s="226"/>
      <c r="S11739" s="226"/>
      <c r="T11739" s="226"/>
      <c r="U11739" s="226"/>
    </row>
    <row r="11740" spans="16:21" x14ac:dyDescent="0.35">
      <c r="P11740" s="226"/>
      <c r="Q11740" s="226"/>
      <c r="R11740" s="226"/>
      <c r="S11740" s="226"/>
      <c r="T11740" s="226"/>
      <c r="U11740" s="226"/>
    </row>
    <row r="11741" spans="16:21" x14ac:dyDescent="0.35">
      <c r="P11741" s="226"/>
      <c r="Q11741" s="226"/>
      <c r="R11741" s="226"/>
      <c r="S11741" s="226"/>
      <c r="T11741" s="226"/>
      <c r="U11741" s="226"/>
    </row>
    <row r="11742" spans="16:21" x14ac:dyDescent="0.35">
      <c r="P11742" s="226"/>
      <c r="Q11742" s="226"/>
      <c r="R11742" s="226"/>
      <c r="S11742" s="226"/>
      <c r="T11742" s="226"/>
      <c r="U11742" s="226"/>
    </row>
    <row r="11743" spans="16:21" x14ac:dyDescent="0.35">
      <c r="P11743" s="226"/>
      <c r="Q11743" s="226"/>
      <c r="R11743" s="226"/>
      <c r="S11743" s="226"/>
      <c r="T11743" s="226"/>
      <c r="U11743" s="226"/>
    </row>
    <row r="11744" spans="16:21" x14ac:dyDescent="0.35">
      <c r="P11744" s="226"/>
      <c r="Q11744" s="226"/>
      <c r="R11744" s="226"/>
      <c r="S11744" s="226"/>
      <c r="T11744" s="226"/>
      <c r="U11744" s="226"/>
    </row>
    <row r="11745" spans="16:21" x14ac:dyDescent="0.35">
      <c r="P11745" s="226"/>
      <c r="Q11745" s="226"/>
      <c r="R11745" s="226"/>
      <c r="S11745" s="226"/>
      <c r="T11745" s="226"/>
      <c r="U11745" s="226"/>
    </row>
    <row r="11746" spans="16:21" x14ac:dyDescent="0.35">
      <c r="P11746" s="226"/>
      <c r="Q11746" s="226"/>
      <c r="R11746" s="226"/>
      <c r="S11746" s="226"/>
      <c r="T11746" s="226"/>
      <c r="U11746" s="226"/>
    </row>
    <row r="11747" spans="16:21" x14ac:dyDescent="0.35">
      <c r="P11747" s="226"/>
      <c r="Q11747" s="226"/>
      <c r="R11747" s="226"/>
      <c r="S11747" s="226"/>
      <c r="T11747" s="226"/>
      <c r="U11747" s="226"/>
    </row>
    <row r="11748" spans="16:21" x14ac:dyDescent="0.35">
      <c r="P11748" s="226"/>
      <c r="Q11748" s="226"/>
      <c r="R11748" s="226"/>
      <c r="S11748" s="226"/>
      <c r="T11748" s="226"/>
      <c r="U11748" s="226"/>
    </row>
    <row r="11749" spans="16:21" x14ac:dyDescent="0.35">
      <c r="P11749" s="226"/>
      <c r="Q11749" s="226"/>
      <c r="R11749" s="226"/>
      <c r="S11749" s="226"/>
      <c r="T11749" s="226"/>
      <c r="U11749" s="226"/>
    </row>
    <row r="11750" spans="16:21" x14ac:dyDescent="0.35">
      <c r="P11750" s="226"/>
      <c r="Q11750" s="226"/>
      <c r="R11750" s="226"/>
      <c r="S11750" s="226"/>
      <c r="T11750" s="226"/>
      <c r="U11750" s="226"/>
    </row>
    <row r="11751" spans="16:21" x14ac:dyDescent="0.35">
      <c r="P11751" s="226"/>
      <c r="Q11751" s="226"/>
      <c r="R11751" s="226"/>
      <c r="S11751" s="226"/>
      <c r="T11751" s="226"/>
      <c r="U11751" s="226"/>
    </row>
    <row r="11752" spans="16:21" x14ac:dyDescent="0.35">
      <c r="P11752" s="226"/>
      <c r="Q11752" s="226"/>
      <c r="R11752" s="226"/>
      <c r="S11752" s="226"/>
      <c r="T11752" s="226"/>
      <c r="U11752" s="226"/>
    </row>
    <row r="11753" spans="16:21" x14ac:dyDescent="0.35">
      <c r="P11753" s="226"/>
      <c r="Q11753" s="226"/>
      <c r="R11753" s="226"/>
      <c r="S11753" s="226"/>
      <c r="T11753" s="226"/>
      <c r="U11753" s="226"/>
    </row>
    <row r="11754" spans="16:21" x14ac:dyDescent="0.35">
      <c r="P11754" s="226"/>
      <c r="Q11754" s="226"/>
      <c r="R11754" s="226"/>
      <c r="S11754" s="226"/>
      <c r="T11754" s="226"/>
      <c r="U11754" s="226"/>
    </row>
    <row r="11755" spans="16:21" x14ac:dyDescent="0.35">
      <c r="P11755" s="226"/>
      <c r="Q11755" s="226"/>
      <c r="R11755" s="226"/>
      <c r="S11755" s="226"/>
      <c r="T11755" s="226"/>
      <c r="U11755" s="226"/>
    </row>
    <row r="11756" spans="16:21" x14ac:dyDescent="0.35">
      <c r="P11756" s="226"/>
      <c r="Q11756" s="226"/>
      <c r="R11756" s="226"/>
      <c r="S11756" s="226"/>
      <c r="T11756" s="226"/>
      <c r="U11756" s="226"/>
    </row>
    <row r="11757" spans="16:21" x14ac:dyDescent="0.35">
      <c r="P11757" s="226"/>
      <c r="Q11757" s="226"/>
      <c r="R11757" s="226"/>
      <c r="S11757" s="226"/>
      <c r="T11757" s="226"/>
      <c r="U11757" s="226"/>
    </row>
    <row r="11758" spans="16:21" x14ac:dyDescent="0.35">
      <c r="P11758" s="226"/>
      <c r="Q11758" s="226"/>
      <c r="R11758" s="226"/>
      <c r="S11758" s="226"/>
      <c r="T11758" s="226"/>
      <c r="U11758" s="226"/>
    </row>
    <row r="11759" spans="16:21" x14ac:dyDescent="0.35">
      <c r="P11759" s="226"/>
      <c r="Q11759" s="226"/>
      <c r="R11759" s="226"/>
      <c r="S11759" s="226"/>
      <c r="T11759" s="226"/>
      <c r="U11759" s="226"/>
    </row>
    <row r="11760" spans="16:21" x14ac:dyDescent="0.35">
      <c r="P11760" s="226"/>
      <c r="Q11760" s="226"/>
      <c r="R11760" s="226"/>
      <c r="S11760" s="226"/>
      <c r="T11760" s="226"/>
      <c r="U11760" s="226"/>
    </row>
    <row r="11761" spans="16:21" x14ac:dyDescent="0.35">
      <c r="P11761" s="226"/>
      <c r="Q11761" s="226"/>
      <c r="R11761" s="226"/>
      <c r="S11761" s="226"/>
      <c r="T11761" s="226"/>
      <c r="U11761" s="226"/>
    </row>
    <row r="11762" spans="16:21" x14ac:dyDescent="0.35">
      <c r="P11762" s="226"/>
      <c r="Q11762" s="226"/>
      <c r="R11762" s="226"/>
      <c r="S11762" s="226"/>
      <c r="T11762" s="226"/>
      <c r="U11762" s="226"/>
    </row>
    <row r="11763" spans="16:21" x14ac:dyDescent="0.35">
      <c r="P11763" s="226"/>
      <c r="Q11763" s="226"/>
      <c r="R11763" s="226"/>
      <c r="S11763" s="226"/>
      <c r="T11763" s="226"/>
      <c r="U11763" s="226"/>
    </row>
    <row r="11764" spans="16:21" x14ac:dyDescent="0.35">
      <c r="P11764" s="226"/>
      <c r="Q11764" s="226"/>
      <c r="R11764" s="226"/>
      <c r="S11764" s="226"/>
      <c r="T11764" s="226"/>
      <c r="U11764" s="226"/>
    </row>
    <row r="11765" spans="16:21" x14ac:dyDescent="0.35">
      <c r="P11765" s="226"/>
      <c r="Q11765" s="226"/>
      <c r="R11765" s="226"/>
      <c r="S11765" s="226"/>
      <c r="T11765" s="226"/>
      <c r="U11765" s="226"/>
    </row>
    <row r="11766" spans="16:21" x14ac:dyDescent="0.35">
      <c r="P11766" s="226"/>
      <c r="Q11766" s="226"/>
      <c r="R11766" s="226"/>
      <c r="S11766" s="226"/>
      <c r="T11766" s="226"/>
      <c r="U11766" s="226"/>
    </row>
    <row r="11767" spans="16:21" x14ac:dyDescent="0.35">
      <c r="P11767" s="226"/>
      <c r="Q11767" s="226"/>
      <c r="R11767" s="226"/>
      <c r="S11767" s="226"/>
      <c r="T11767" s="226"/>
      <c r="U11767" s="226"/>
    </row>
    <row r="11768" spans="16:21" x14ac:dyDescent="0.35">
      <c r="P11768" s="226"/>
      <c r="Q11768" s="226"/>
      <c r="R11768" s="226"/>
      <c r="S11768" s="226"/>
      <c r="T11768" s="226"/>
      <c r="U11768" s="226"/>
    </row>
    <row r="11769" spans="16:21" x14ac:dyDescent="0.35">
      <c r="P11769" s="226"/>
      <c r="Q11769" s="226"/>
      <c r="R11769" s="226"/>
      <c r="S11769" s="226"/>
      <c r="T11769" s="226"/>
      <c r="U11769" s="226"/>
    </row>
    <row r="11770" spans="16:21" x14ac:dyDescent="0.35">
      <c r="P11770" s="226"/>
      <c r="Q11770" s="226"/>
      <c r="R11770" s="226"/>
      <c r="S11770" s="226"/>
      <c r="T11770" s="226"/>
      <c r="U11770" s="226"/>
    </row>
    <row r="11771" spans="16:21" x14ac:dyDescent="0.35">
      <c r="P11771" s="226"/>
      <c r="Q11771" s="226"/>
      <c r="R11771" s="226"/>
      <c r="S11771" s="226"/>
      <c r="T11771" s="226"/>
      <c r="U11771" s="226"/>
    </row>
    <row r="11772" spans="16:21" x14ac:dyDescent="0.35">
      <c r="P11772" s="226"/>
      <c r="Q11772" s="226"/>
      <c r="R11772" s="226"/>
      <c r="S11772" s="226"/>
      <c r="T11772" s="226"/>
      <c r="U11772" s="226"/>
    </row>
    <row r="11773" spans="16:21" x14ac:dyDescent="0.35">
      <c r="P11773" s="226"/>
      <c r="Q11773" s="226"/>
      <c r="R11773" s="226"/>
      <c r="S11773" s="226"/>
      <c r="T11773" s="226"/>
      <c r="U11773" s="226"/>
    </row>
    <row r="11774" spans="16:21" x14ac:dyDescent="0.35">
      <c r="P11774" s="226"/>
      <c r="Q11774" s="226"/>
      <c r="R11774" s="226"/>
      <c r="S11774" s="226"/>
      <c r="T11774" s="226"/>
      <c r="U11774" s="226"/>
    </row>
    <row r="11775" spans="16:21" x14ac:dyDescent="0.35">
      <c r="P11775" s="226"/>
      <c r="Q11775" s="226"/>
      <c r="R11775" s="226"/>
      <c r="S11775" s="226"/>
      <c r="T11775" s="226"/>
      <c r="U11775" s="226"/>
    </row>
    <row r="11776" spans="16:21" x14ac:dyDescent="0.35">
      <c r="P11776" s="226"/>
      <c r="Q11776" s="226"/>
      <c r="R11776" s="226"/>
      <c r="S11776" s="226"/>
      <c r="T11776" s="226"/>
      <c r="U11776" s="226"/>
    </row>
    <row r="11777" spans="16:21" x14ac:dyDescent="0.35">
      <c r="P11777" s="226"/>
      <c r="Q11777" s="226"/>
      <c r="R11777" s="226"/>
      <c r="S11777" s="226"/>
      <c r="T11777" s="226"/>
      <c r="U11777" s="226"/>
    </row>
    <row r="11778" spans="16:21" x14ac:dyDescent="0.35">
      <c r="P11778" s="226"/>
      <c r="Q11778" s="226"/>
      <c r="R11778" s="226"/>
      <c r="S11778" s="226"/>
      <c r="T11778" s="226"/>
      <c r="U11778" s="226"/>
    </row>
    <row r="11779" spans="16:21" x14ac:dyDescent="0.35">
      <c r="P11779" s="226"/>
      <c r="Q11779" s="226"/>
      <c r="R11779" s="226"/>
      <c r="S11779" s="226"/>
      <c r="T11779" s="226"/>
      <c r="U11779" s="226"/>
    </row>
    <row r="11780" spans="16:21" x14ac:dyDescent="0.35">
      <c r="P11780" s="226"/>
      <c r="Q11780" s="226"/>
      <c r="R11780" s="226"/>
      <c r="S11780" s="226"/>
      <c r="T11780" s="226"/>
      <c r="U11780" s="226"/>
    </row>
    <row r="11781" spans="16:21" x14ac:dyDescent="0.35">
      <c r="P11781" s="226"/>
      <c r="Q11781" s="226"/>
      <c r="R11781" s="226"/>
      <c r="S11781" s="226"/>
      <c r="T11781" s="226"/>
      <c r="U11781" s="226"/>
    </row>
    <row r="11782" spans="16:21" x14ac:dyDescent="0.35">
      <c r="P11782" s="226"/>
      <c r="Q11782" s="226"/>
      <c r="R11782" s="226"/>
      <c r="S11782" s="226"/>
      <c r="T11782" s="226"/>
      <c r="U11782" s="226"/>
    </row>
    <row r="11783" spans="16:21" x14ac:dyDescent="0.35">
      <c r="P11783" s="226"/>
      <c r="Q11783" s="226"/>
      <c r="R11783" s="226"/>
      <c r="S11783" s="226"/>
      <c r="T11783" s="226"/>
      <c r="U11783" s="226"/>
    </row>
    <row r="11784" spans="16:21" x14ac:dyDescent="0.35">
      <c r="P11784" s="226"/>
      <c r="Q11784" s="226"/>
      <c r="R11784" s="226"/>
      <c r="S11784" s="226"/>
      <c r="T11784" s="226"/>
      <c r="U11784" s="226"/>
    </row>
    <row r="11785" spans="16:21" x14ac:dyDescent="0.35">
      <c r="P11785" s="226"/>
      <c r="Q11785" s="226"/>
      <c r="R11785" s="226"/>
      <c r="S11785" s="226"/>
      <c r="T11785" s="226"/>
      <c r="U11785" s="226"/>
    </row>
    <row r="11786" spans="16:21" x14ac:dyDescent="0.35">
      <c r="P11786" s="226"/>
      <c r="Q11786" s="226"/>
      <c r="R11786" s="226"/>
      <c r="S11786" s="226"/>
      <c r="T11786" s="226"/>
      <c r="U11786" s="226"/>
    </row>
    <row r="11787" spans="16:21" x14ac:dyDescent="0.35">
      <c r="P11787" s="226"/>
      <c r="Q11787" s="226"/>
      <c r="R11787" s="226"/>
      <c r="S11787" s="226"/>
      <c r="T11787" s="226"/>
      <c r="U11787" s="226"/>
    </row>
    <row r="11788" spans="16:21" x14ac:dyDescent="0.35">
      <c r="P11788" s="226"/>
      <c r="Q11788" s="226"/>
      <c r="R11788" s="226"/>
      <c r="S11788" s="226"/>
      <c r="T11788" s="226"/>
      <c r="U11788" s="226"/>
    </row>
    <row r="11789" spans="16:21" x14ac:dyDescent="0.35">
      <c r="P11789" s="226"/>
      <c r="Q11789" s="226"/>
      <c r="R11789" s="226"/>
      <c r="S11789" s="226"/>
      <c r="T11789" s="226"/>
      <c r="U11789" s="226"/>
    </row>
    <row r="11790" spans="16:21" x14ac:dyDescent="0.35">
      <c r="P11790" s="226"/>
      <c r="Q11790" s="226"/>
      <c r="R11790" s="226"/>
      <c r="S11790" s="226"/>
      <c r="T11790" s="226"/>
      <c r="U11790" s="226"/>
    </row>
    <row r="11791" spans="16:21" x14ac:dyDescent="0.35">
      <c r="P11791" s="226"/>
      <c r="Q11791" s="226"/>
      <c r="R11791" s="226"/>
      <c r="S11791" s="226"/>
      <c r="T11791" s="226"/>
      <c r="U11791" s="226"/>
    </row>
    <row r="11792" spans="16:21" x14ac:dyDescent="0.35">
      <c r="P11792" s="226"/>
      <c r="Q11792" s="226"/>
      <c r="R11792" s="226"/>
      <c r="S11792" s="226"/>
      <c r="T11792" s="226"/>
      <c r="U11792" s="226"/>
    </row>
    <row r="11793" spans="16:21" x14ac:dyDescent="0.35">
      <c r="P11793" s="226"/>
      <c r="Q11793" s="226"/>
      <c r="R11793" s="226"/>
      <c r="S11793" s="226"/>
      <c r="T11793" s="226"/>
      <c r="U11793" s="226"/>
    </row>
    <row r="11794" spans="16:21" x14ac:dyDescent="0.35">
      <c r="P11794" s="226"/>
      <c r="Q11794" s="226"/>
      <c r="R11794" s="226"/>
      <c r="S11794" s="226"/>
      <c r="T11794" s="226"/>
      <c r="U11794" s="226"/>
    </row>
    <row r="11795" spans="16:21" x14ac:dyDescent="0.35">
      <c r="P11795" s="226"/>
      <c r="Q11795" s="226"/>
      <c r="R11795" s="226"/>
      <c r="S11795" s="226"/>
      <c r="T11795" s="226"/>
      <c r="U11795" s="226"/>
    </row>
    <row r="11796" spans="16:21" x14ac:dyDescent="0.35">
      <c r="P11796" s="226"/>
      <c r="Q11796" s="226"/>
      <c r="R11796" s="226"/>
      <c r="S11796" s="226"/>
      <c r="T11796" s="226"/>
      <c r="U11796" s="226"/>
    </row>
    <row r="11797" spans="16:21" x14ac:dyDescent="0.35">
      <c r="P11797" s="226"/>
      <c r="Q11797" s="226"/>
      <c r="R11797" s="226"/>
      <c r="S11797" s="226"/>
      <c r="T11797" s="226"/>
      <c r="U11797" s="226"/>
    </row>
    <row r="11798" spans="16:21" x14ac:dyDescent="0.35">
      <c r="P11798" s="226"/>
      <c r="Q11798" s="226"/>
      <c r="R11798" s="226"/>
      <c r="S11798" s="226"/>
      <c r="T11798" s="226"/>
      <c r="U11798" s="226"/>
    </row>
    <row r="11799" spans="16:21" x14ac:dyDescent="0.35">
      <c r="P11799" s="226"/>
      <c r="Q11799" s="226"/>
      <c r="R11799" s="226"/>
      <c r="S11799" s="226"/>
      <c r="T11799" s="226"/>
      <c r="U11799" s="226"/>
    </row>
    <row r="11800" spans="16:21" x14ac:dyDescent="0.35">
      <c r="P11800" s="226"/>
      <c r="Q11800" s="226"/>
      <c r="R11800" s="226"/>
      <c r="S11800" s="226"/>
      <c r="T11800" s="226"/>
      <c r="U11800" s="226"/>
    </row>
    <row r="11801" spans="16:21" x14ac:dyDescent="0.35">
      <c r="P11801" s="226"/>
      <c r="Q11801" s="226"/>
      <c r="R11801" s="226"/>
      <c r="S11801" s="226"/>
      <c r="T11801" s="226"/>
      <c r="U11801" s="226"/>
    </row>
    <row r="11802" spans="16:21" x14ac:dyDescent="0.35">
      <c r="P11802" s="226"/>
      <c r="Q11802" s="226"/>
      <c r="R11802" s="226"/>
      <c r="S11802" s="226"/>
      <c r="T11802" s="226"/>
      <c r="U11802" s="226"/>
    </row>
    <row r="11803" spans="16:21" x14ac:dyDescent="0.35">
      <c r="P11803" s="226"/>
      <c r="Q11803" s="226"/>
      <c r="R11803" s="226"/>
      <c r="S11803" s="226"/>
      <c r="T11803" s="226"/>
      <c r="U11803" s="226"/>
    </row>
    <row r="11804" spans="16:21" x14ac:dyDescent="0.35">
      <c r="P11804" s="226"/>
      <c r="Q11804" s="226"/>
      <c r="R11804" s="226"/>
      <c r="S11804" s="226"/>
      <c r="T11804" s="226"/>
      <c r="U11804" s="226"/>
    </row>
    <row r="11805" spans="16:21" x14ac:dyDescent="0.35">
      <c r="P11805" s="226"/>
      <c r="Q11805" s="226"/>
      <c r="R11805" s="226"/>
      <c r="S11805" s="226"/>
      <c r="T11805" s="226"/>
      <c r="U11805" s="226"/>
    </row>
    <row r="11806" spans="16:21" x14ac:dyDescent="0.35">
      <c r="P11806" s="226"/>
      <c r="Q11806" s="226"/>
      <c r="R11806" s="226"/>
      <c r="S11806" s="226"/>
      <c r="T11806" s="226"/>
      <c r="U11806" s="226"/>
    </row>
    <row r="11807" spans="16:21" x14ac:dyDescent="0.35">
      <c r="P11807" s="226"/>
      <c r="Q11807" s="226"/>
      <c r="R11807" s="226"/>
      <c r="S11807" s="226"/>
      <c r="T11807" s="226"/>
      <c r="U11807" s="226"/>
    </row>
    <row r="11808" spans="16:21" x14ac:dyDescent="0.35">
      <c r="P11808" s="226"/>
      <c r="Q11808" s="226"/>
      <c r="R11808" s="226"/>
      <c r="S11808" s="226"/>
      <c r="T11808" s="226"/>
      <c r="U11808" s="226"/>
    </row>
    <row r="11809" spans="16:21" x14ac:dyDescent="0.35">
      <c r="P11809" s="226"/>
      <c r="Q11809" s="226"/>
      <c r="R11809" s="226"/>
      <c r="S11809" s="226"/>
      <c r="T11809" s="226"/>
      <c r="U11809" s="226"/>
    </row>
    <row r="11810" spans="16:21" x14ac:dyDescent="0.35">
      <c r="P11810" s="226"/>
      <c r="Q11810" s="226"/>
      <c r="R11810" s="226"/>
      <c r="S11810" s="226"/>
      <c r="T11810" s="226"/>
      <c r="U11810" s="226"/>
    </row>
    <row r="11811" spans="16:21" x14ac:dyDescent="0.35">
      <c r="P11811" s="226"/>
      <c r="Q11811" s="226"/>
      <c r="R11811" s="226"/>
      <c r="S11811" s="226"/>
      <c r="T11811" s="226"/>
      <c r="U11811" s="226"/>
    </row>
    <row r="11812" spans="16:21" x14ac:dyDescent="0.35">
      <c r="P11812" s="226"/>
      <c r="Q11812" s="226"/>
      <c r="R11812" s="226"/>
      <c r="S11812" s="226"/>
      <c r="T11812" s="226"/>
      <c r="U11812" s="226"/>
    </row>
    <row r="11813" spans="16:21" x14ac:dyDescent="0.35">
      <c r="P11813" s="226"/>
      <c r="Q11813" s="226"/>
      <c r="R11813" s="226"/>
      <c r="S11813" s="226"/>
      <c r="T11813" s="226"/>
      <c r="U11813" s="226"/>
    </row>
    <row r="11814" spans="16:21" x14ac:dyDescent="0.35">
      <c r="P11814" s="226"/>
      <c r="Q11814" s="226"/>
      <c r="R11814" s="226"/>
      <c r="S11814" s="226"/>
      <c r="T11814" s="226"/>
      <c r="U11814" s="226"/>
    </row>
    <row r="11815" spans="16:21" x14ac:dyDescent="0.35">
      <c r="P11815" s="226"/>
      <c r="Q11815" s="226"/>
      <c r="R11815" s="226"/>
      <c r="S11815" s="226"/>
      <c r="T11815" s="226"/>
      <c r="U11815" s="226"/>
    </row>
    <row r="11816" spans="16:21" x14ac:dyDescent="0.35">
      <c r="P11816" s="226"/>
      <c r="Q11816" s="226"/>
      <c r="R11816" s="226"/>
      <c r="S11816" s="226"/>
      <c r="T11816" s="226"/>
      <c r="U11816" s="226"/>
    </row>
    <row r="11817" spans="16:21" x14ac:dyDescent="0.35">
      <c r="P11817" s="226"/>
      <c r="Q11817" s="226"/>
      <c r="R11817" s="226"/>
      <c r="S11817" s="226"/>
      <c r="T11817" s="226"/>
      <c r="U11817" s="226"/>
    </row>
    <row r="11818" spans="16:21" x14ac:dyDescent="0.35">
      <c r="P11818" s="226"/>
      <c r="Q11818" s="226"/>
      <c r="R11818" s="226"/>
      <c r="S11818" s="226"/>
      <c r="T11818" s="226"/>
      <c r="U11818" s="226"/>
    </row>
    <row r="11819" spans="16:21" x14ac:dyDescent="0.35">
      <c r="P11819" s="226"/>
      <c r="Q11819" s="226"/>
      <c r="R11819" s="226"/>
      <c r="S11819" s="226"/>
      <c r="T11819" s="226"/>
      <c r="U11819" s="226"/>
    </row>
    <row r="11820" spans="16:21" x14ac:dyDescent="0.35">
      <c r="P11820" s="226"/>
      <c r="Q11820" s="226"/>
      <c r="R11820" s="226"/>
      <c r="S11820" s="226"/>
      <c r="T11820" s="226"/>
      <c r="U11820" s="226"/>
    </row>
    <row r="11821" spans="16:21" x14ac:dyDescent="0.35">
      <c r="P11821" s="226"/>
      <c r="Q11821" s="226"/>
      <c r="R11821" s="226"/>
      <c r="S11821" s="226"/>
      <c r="T11821" s="226"/>
      <c r="U11821" s="226"/>
    </row>
    <row r="11822" spans="16:21" x14ac:dyDescent="0.35">
      <c r="P11822" s="226"/>
      <c r="Q11822" s="226"/>
      <c r="R11822" s="226"/>
      <c r="S11822" s="226"/>
      <c r="T11822" s="226"/>
      <c r="U11822" s="226"/>
    </row>
    <row r="11823" spans="16:21" x14ac:dyDescent="0.35">
      <c r="P11823" s="226"/>
      <c r="Q11823" s="226"/>
      <c r="R11823" s="226"/>
      <c r="S11823" s="226"/>
      <c r="T11823" s="226"/>
      <c r="U11823" s="226"/>
    </row>
    <row r="11824" spans="16:21" x14ac:dyDescent="0.35">
      <c r="P11824" s="226"/>
      <c r="Q11824" s="226"/>
      <c r="R11824" s="226"/>
      <c r="S11824" s="226"/>
      <c r="T11824" s="226"/>
      <c r="U11824" s="226"/>
    </row>
    <row r="11825" spans="16:21" x14ac:dyDescent="0.35">
      <c r="P11825" s="226"/>
      <c r="Q11825" s="226"/>
      <c r="R11825" s="226"/>
      <c r="S11825" s="226"/>
      <c r="T11825" s="226"/>
      <c r="U11825" s="226"/>
    </row>
    <row r="11826" spans="16:21" x14ac:dyDescent="0.35">
      <c r="P11826" s="226"/>
      <c r="Q11826" s="226"/>
      <c r="R11826" s="226"/>
      <c r="S11826" s="226"/>
      <c r="T11826" s="226"/>
      <c r="U11826" s="226"/>
    </row>
    <row r="11827" spans="16:21" x14ac:dyDescent="0.35">
      <c r="P11827" s="226"/>
      <c r="Q11827" s="226"/>
      <c r="R11827" s="226"/>
      <c r="S11827" s="226"/>
      <c r="T11827" s="226"/>
      <c r="U11827" s="226"/>
    </row>
    <row r="11828" spans="16:21" x14ac:dyDescent="0.35">
      <c r="P11828" s="226"/>
      <c r="Q11828" s="226"/>
      <c r="R11828" s="226"/>
      <c r="S11828" s="226"/>
      <c r="T11828" s="226"/>
      <c r="U11828" s="226"/>
    </row>
    <row r="11829" spans="16:21" x14ac:dyDescent="0.35">
      <c r="P11829" s="226"/>
      <c r="Q11829" s="226"/>
      <c r="R11829" s="226"/>
      <c r="S11829" s="226"/>
      <c r="T11829" s="226"/>
      <c r="U11829" s="226"/>
    </row>
    <row r="11830" spans="16:21" x14ac:dyDescent="0.35">
      <c r="P11830" s="226"/>
      <c r="Q11830" s="226"/>
      <c r="R11830" s="226"/>
      <c r="S11830" s="226"/>
      <c r="T11830" s="226"/>
      <c r="U11830" s="226"/>
    </row>
    <row r="11831" spans="16:21" x14ac:dyDescent="0.35">
      <c r="P11831" s="226"/>
      <c r="Q11831" s="226"/>
      <c r="R11831" s="226"/>
      <c r="S11831" s="226"/>
      <c r="T11831" s="226"/>
      <c r="U11831" s="226"/>
    </row>
    <row r="11832" spans="16:21" x14ac:dyDescent="0.35">
      <c r="P11832" s="226"/>
      <c r="Q11832" s="226"/>
      <c r="R11832" s="226"/>
      <c r="S11832" s="226"/>
      <c r="T11832" s="226"/>
      <c r="U11832" s="226"/>
    </row>
    <row r="11833" spans="16:21" x14ac:dyDescent="0.35">
      <c r="P11833" s="226"/>
      <c r="Q11833" s="226"/>
      <c r="R11833" s="226"/>
      <c r="S11833" s="226"/>
      <c r="T11833" s="226"/>
      <c r="U11833" s="226"/>
    </row>
    <row r="11834" spans="16:21" x14ac:dyDescent="0.35">
      <c r="P11834" s="226"/>
      <c r="Q11834" s="226"/>
      <c r="R11834" s="226"/>
      <c r="S11834" s="226"/>
      <c r="T11834" s="226"/>
      <c r="U11834" s="226"/>
    </row>
    <row r="11835" spans="16:21" x14ac:dyDescent="0.35">
      <c r="P11835" s="226"/>
      <c r="Q11835" s="226"/>
      <c r="R11835" s="226"/>
      <c r="S11835" s="226"/>
      <c r="T11835" s="226"/>
      <c r="U11835" s="226"/>
    </row>
    <row r="11836" spans="16:21" x14ac:dyDescent="0.35">
      <c r="P11836" s="226"/>
      <c r="Q11836" s="226"/>
      <c r="R11836" s="226"/>
      <c r="S11836" s="226"/>
      <c r="T11836" s="226"/>
      <c r="U11836" s="226"/>
    </row>
    <row r="11837" spans="16:21" x14ac:dyDescent="0.35">
      <c r="P11837" s="226"/>
      <c r="Q11837" s="226"/>
      <c r="R11837" s="226"/>
      <c r="S11837" s="226"/>
      <c r="T11837" s="226"/>
      <c r="U11837" s="226"/>
    </row>
    <row r="11838" spans="16:21" x14ac:dyDescent="0.35">
      <c r="P11838" s="226"/>
      <c r="Q11838" s="226"/>
      <c r="R11838" s="226"/>
      <c r="S11838" s="226"/>
      <c r="T11838" s="226"/>
      <c r="U11838" s="226"/>
    </row>
    <row r="11839" spans="16:21" x14ac:dyDescent="0.35">
      <c r="P11839" s="226"/>
      <c r="Q11839" s="226"/>
      <c r="R11839" s="226"/>
      <c r="S11839" s="226"/>
      <c r="T11839" s="226"/>
      <c r="U11839" s="226"/>
    </row>
    <row r="11840" spans="16:21" x14ac:dyDescent="0.35">
      <c r="P11840" s="226"/>
      <c r="Q11840" s="226"/>
      <c r="R11840" s="226"/>
      <c r="S11840" s="226"/>
      <c r="T11840" s="226"/>
      <c r="U11840" s="226"/>
    </row>
    <row r="11841" spans="16:21" x14ac:dyDescent="0.35">
      <c r="P11841" s="226"/>
      <c r="Q11841" s="226"/>
      <c r="R11841" s="226"/>
      <c r="S11841" s="226"/>
      <c r="T11841" s="226"/>
      <c r="U11841" s="226"/>
    </row>
    <row r="11842" spans="16:21" x14ac:dyDescent="0.35">
      <c r="P11842" s="226"/>
      <c r="Q11842" s="226"/>
      <c r="R11842" s="226"/>
      <c r="S11842" s="226"/>
      <c r="T11842" s="226"/>
      <c r="U11842" s="226"/>
    </row>
    <row r="11843" spans="16:21" x14ac:dyDescent="0.35">
      <c r="P11843" s="226"/>
      <c r="Q11843" s="226"/>
      <c r="R11843" s="226"/>
      <c r="S11843" s="226"/>
      <c r="T11843" s="226"/>
      <c r="U11843" s="226"/>
    </row>
    <row r="11844" spans="16:21" x14ac:dyDescent="0.35">
      <c r="P11844" s="226"/>
      <c r="Q11844" s="226"/>
      <c r="R11844" s="226"/>
      <c r="S11844" s="226"/>
      <c r="T11844" s="226"/>
      <c r="U11844" s="226"/>
    </row>
    <row r="11845" spans="16:21" x14ac:dyDescent="0.35">
      <c r="P11845" s="226"/>
      <c r="Q11845" s="226"/>
      <c r="R11845" s="226"/>
      <c r="S11845" s="226"/>
      <c r="T11845" s="226"/>
      <c r="U11845" s="226"/>
    </row>
    <row r="11846" spans="16:21" x14ac:dyDescent="0.35">
      <c r="P11846" s="226"/>
      <c r="Q11846" s="226"/>
      <c r="R11846" s="226"/>
      <c r="S11846" s="226"/>
      <c r="T11846" s="226"/>
      <c r="U11846" s="226"/>
    </row>
    <row r="11847" spans="16:21" x14ac:dyDescent="0.35">
      <c r="P11847" s="226"/>
      <c r="Q11847" s="226"/>
      <c r="R11847" s="226"/>
      <c r="S11847" s="226"/>
      <c r="T11847" s="226"/>
      <c r="U11847" s="226"/>
    </row>
    <row r="11848" spans="16:21" x14ac:dyDescent="0.35">
      <c r="P11848" s="226"/>
      <c r="Q11848" s="226"/>
      <c r="R11848" s="226"/>
      <c r="S11848" s="226"/>
      <c r="T11848" s="226"/>
      <c r="U11848" s="226"/>
    </row>
    <row r="11849" spans="16:21" x14ac:dyDescent="0.35">
      <c r="P11849" s="226"/>
      <c r="Q11849" s="226"/>
      <c r="R11849" s="226"/>
      <c r="S11849" s="226"/>
      <c r="T11849" s="226"/>
      <c r="U11849" s="226"/>
    </row>
    <row r="11850" spans="16:21" x14ac:dyDescent="0.35">
      <c r="P11850" s="226"/>
      <c r="Q11850" s="226"/>
      <c r="R11850" s="226"/>
      <c r="S11850" s="226"/>
      <c r="T11850" s="226"/>
      <c r="U11850" s="226"/>
    </row>
    <row r="11851" spans="16:21" x14ac:dyDescent="0.35">
      <c r="P11851" s="226"/>
      <c r="Q11851" s="226"/>
      <c r="R11851" s="226"/>
      <c r="S11851" s="226"/>
      <c r="T11851" s="226"/>
      <c r="U11851" s="226"/>
    </row>
    <row r="11852" spans="16:21" x14ac:dyDescent="0.35">
      <c r="P11852" s="226"/>
      <c r="Q11852" s="226"/>
      <c r="R11852" s="226"/>
      <c r="S11852" s="226"/>
      <c r="T11852" s="226"/>
      <c r="U11852" s="226"/>
    </row>
    <row r="11853" spans="16:21" x14ac:dyDescent="0.35">
      <c r="P11853" s="226"/>
      <c r="Q11853" s="226"/>
      <c r="R11853" s="226"/>
      <c r="S11853" s="226"/>
      <c r="T11853" s="226"/>
      <c r="U11853" s="226"/>
    </row>
    <row r="11854" spans="16:21" x14ac:dyDescent="0.35">
      <c r="P11854" s="226"/>
      <c r="Q11854" s="226"/>
      <c r="R11854" s="226"/>
      <c r="S11854" s="226"/>
      <c r="T11854" s="226"/>
      <c r="U11854" s="226"/>
    </row>
    <row r="11855" spans="16:21" x14ac:dyDescent="0.35">
      <c r="P11855" s="226"/>
      <c r="Q11855" s="226"/>
      <c r="R11855" s="226"/>
      <c r="S11855" s="226"/>
      <c r="T11855" s="226"/>
      <c r="U11855" s="226"/>
    </row>
    <row r="11856" spans="16:21" x14ac:dyDescent="0.35">
      <c r="P11856" s="226"/>
      <c r="Q11856" s="226"/>
      <c r="R11856" s="226"/>
      <c r="S11856" s="226"/>
      <c r="T11856" s="226"/>
      <c r="U11856" s="226"/>
    </row>
    <row r="11857" spans="16:21" x14ac:dyDescent="0.35">
      <c r="P11857" s="226"/>
      <c r="Q11857" s="226"/>
      <c r="R11857" s="226"/>
      <c r="S11857" s="226"/>
      <c r="T11857" s="226"/>
      <c r="U11857" s="226"/>
    </row>
    <row r="11858" spans="16:21" x14ac:dyDescent="0.35">
      <c r="P11858" s="226"/>
      <c r="Q11858" s="226"/>
      <c r="R11858" s="226"/>
      <c r="S11858" s="226"/>
      <c r="T11858" s="226"/>
      <c r="U11858" s="226"/>
    </row>
    <row r="11859" spans="16:21" x14ac:dyDescent="0.35">
      <c r="P11859" s="226"/>
      <c r="Q11859" s="226"/>
      <c r="R11859" s="226"/>
      <c r="S11859" s="226"/>
      <c r="T11859" s="226"/>
      <c r="U11859" s="226"/>
    </row>
    <row r="11860" spans="16:21" x14ac:dyDescent="0.35">
      <c r="P11860" s="226"/>
      <c r="Q11860" s="226"/>
      <c r="R11860" s="226"/>
      <c r="S11860" s="226"/>
      <c r="T11860" s="226"/>
      <c r="U11860" s="226"/>
    </row>
    <row r="11861" spans="16:21" x14ac:dyDescent="0.35">
      <c r="P11861" s="226"/>
      <c r="Q11861" s="226"/>
      <c r="R11861" s="226"/>
      <c r="S11861" s="226"/>
      <c r="T11861" s="226"/>
      <c r="U11861" s="226"/>
    </row>
    <row r="11862" spans="16:21" x14ac:dyDescent="0.35">
      <c r="P11862" s="226"/>
      <c r="Q11862" s="226"/>
      <c r="R11862" s="226"/>
      <c r="S11862" s="226"/>
      <c r="T11862" s="226"/>
      <c r="U11862" s="226"/>
    </row>
    <row r="11863" spans="16:21" x14ac:dyDescent="0.35">
      <c r="P11863" s="226"/>
      <c r="Q11863" s="226"/>
      <c r="R11863" s="226"/>
      <c r="S11863" s="226"/>
      <c r="T11863" s="226"/>
      <c r="U11863" s="226"/>
    </row>
    <row r="11864" spans="16:21" x14ac:dyDescent="0.35">
      <c r="P11864" s="226"/>
      <c r="Q11864" s="226"/>
      <c r="R11864" s="226"/>
      <c r="S11864" s="226"/>
      <c r="T11864" s="226"/>
      <c r="U11864" s="226"/>
    </row>
    <row r="11865" spans="16:21" x14ac:dyDescent="0.35">
      <c r="P11865" s="226"/>
      <c r="Q11865" s="226"/>
      <c r="R11865" s="226"/>
      <c r="S11865" s="226"/>
      <c r="T11865" s="226"/>
      <c r="U11865" s="226"/>
    </row>
    <row r="11866" spans="16:21" x14ac:dyDescent="0.35">
      <c r="P11866" s="226"/>
      <c r="Q11866" s="226"/>
      <c r="R11866" s="226"/>
      <c r="S11866" s="226"/>
      <c r="T11866" s="226"/>
      <c r="U11866" s="226"/>
    </row>
    <row r="11867" spans="16:21" x14ac:dyDescent="0.35">
      <c r="P11867" s="226"/>
      <c r="Q11867" s="226"/>
      <c r="R11867" s="226"/>
      <c r="S11867" s="226"/>
      <c r="T11867" s="226"/>
      <c r="U11867" s="226"/>
    </row>
    <row r="11868" spans="16:21" x14ac:dyDescent="0.35">
      <c r="P11868" s="226"/>
      <c r="Q11868" s="226"/>
      <c r="R11868" s="226"/>
      <c r="S11868" s="226"/>
      <c r="T11868" s="226"/>
      <c r="U11868" s="226"/>
    </row>
    <row r="11869" spans="16:21" x14ac:dyDescent="0.35">
      <c r="P11869" s="226"/>
      <c r="Q11869" s="226"/>
      <c r="R11869" s="226"/>
      <c r="S11869" s="226"/>
      <c r="T11869" s="226"/>
      <c r="U11869" s="226"/>
    </row>
    <row r="11870" spans="16:21" x14ac:dyDescent="0.35">
      <c r="P11870" s="226"/>
      <c r="Q11870" s="226"/>
      <c r="R11870" s="226"/>
      <c r="S11870" s="226"/>
      <c r="T11870" s="226"/>
      <c r="U11870" s="226"/>
    </row>
    <row r="11871" spans="16:21" x14ac:dyDescent="0.35">
      <c r="P11871" s="226"/>
      <c r="Q11871" s="226"/>
      <c r="R11871" s="226"/>
      <c r="S11871" s="226"/>
      <c r="T11871" s="226"/>
      <c r="U11871" s="226"/>
    </row>
    <row r="11872" spans="16:21" x14ac:dyDescent="0.35">
      <c r="P11872" s="226"/>
      <c r="Q11872" s="226"/>
      <c r="R11872" s="226"/>
      <c r="S11872" s="226"/>
      <c r="T11872" s="226"/>
      <c r="U11872" s="226"/>
    </row>
    <row r="11873" spans="16:21" x14ac:dyDescent="0.35">
      <c r="P11873" s="226"/>
      <c r="Q11873" s="226"/>
      <c r="R11873" s="226"/>
      <c r="S11873" s="226"/>
      <c r="T11873" s="226"/>
      <c r="U11873" s="226"/>
    </row>
    <row r="11874" spans="16:21" x14ac:dyDescent="0.35">
      <c r="P11874" s="226"/>
      <c r="Q11874" s="226"/>
      <c r="R11874" s="226"/>
      <c r="S11874" s="226"/>
      <c r="T11874" s="226"/>
      <c r="U11874" s="226"/>
    </row>
    <row r="11875" spans="16:21" x14ac:dyDescent="0.35">
      <c r="P11875" s="226"/>
      <c r="Q11875" s="226"/>
      <c r="R11875" s="226"/>
      <c r="S11875" s="226"/>
      <c r="T11875" s="226"/>
      <c r="U11875" s="226"/>
    </row>
    <row r="11876" spans="16:21" x14ac:dyDescent="0.35">
      <c r="P11876" s="226"/>
      <c r="Q11876" s="226"/>
      <c r="R11876" s="226"/>
      <c r="S11876" s="226"/>
      <c r="T11876" s="226"/>
      <c r="U11876" s="226"/>
    </row>
    <row r="11877" spans="16:21" x14ac:dyDescent="0.35">
      <c r="P11877" s="226"/>
      <c r="Q11877" s="226"/>
      <c r="R11877" s="226"/>
      <c r="S11877" s="226"/>
      <c r="T11877" s="226"/>
      <c r="U11877" s="226"/>
    </row>
    <row r="11878" spans="16:21" x14ac:dyDescent="0.35">
      <c r="P11878" s="226"/>
      <c r="Q11878" s="226"/>
      <c r="R11878" s="226"/>
      <c r="S11878" s="226"/>
      <c r="T11878" s="226"/>
      <c r="U11878" s="226"/>
    </row>
    <row r="11879" spans="16:21" x14ac:dyDescent="0.35">
      <c r="P11879" s="226"/>
      <c r="Q11879" s="226"/>
      <c r="R11879" s="226"/>
      <c r="S11879" s="226"/>
      <c r="T11879" s="226"/>
      <c r="U11879" s="226"/>
    </row>
    <row r="11880" spans="16:21" x14ac:dyDescent="0.35">
      <c r="P11880" s="226"/>
      <c r="Q11880" s="226"/>
      <c r="R11880" s="226"/>
      <c r="S11880" s="226"/>
      <c r="T11880" s="226"/>
      <c r="U11880" s="226"/>
    </row>
    <row r="11881" spans="16:21" x14ac:dyDescent="0.35">
      <c r="P11881" s="226"/>
      <c r="Q11881" s="226"/>
      <c r="R11881" s="226"/>
      <c r="S11881" s="226"/>
      <c r="T11881" s="226"/>
      <c r="U11881" s="226"/>
    </row>
    <row r="11882" spans="16:21" x14ac:dyDescent="0.35">
      <c r="P11882" s="226"/>
      <c r="Q11882" s="226"/>
      <c r="R11882" s="226"/>
      <c r="S11882" s="226"/>
      <c r="T11882" s="226"/>
      <c r="U11882" s="226"/>
    </row>
    <row r="11883" spans="16:21" x14ac:dyDescent="0.35">
      <c r="P11883" s="226"/>
      <c r="Q11883" s="226"/>
      <c r="R11883" s="226"/>
      <c r="S11883" s="226"/>
      <c r="T11883" s="226"/>
      <c r="U11883" s="226"/>
    </row>
    <row r="11884" spans="16:21" x14ac:dyDescent="0.35">
      <c r="P11884" s="226"/>
      <c r="Q11884" s="226"/>
      <c r="R11884" s="226"/>
      <c r="S11884" s="226"/>
      <c r="T11884" s="226"/>
      <c r="U11884" s="226"/>
    </row>
    <row r="11885" spans="16:21" x14ac:dyDescent="0.35">
      <c r="P11885" s="226"/>
      <c r="Q11885" s="226"/>
      <c r="R11885" s="226"/>
      <c r="S11885" s="226"/>
      <c r="T11885" s="226"/>
      <c r="U11885" s="226"/>
    </row>
    <row r="11886" spans="16:21" x14ac:dyDescent="0.35">
      <c r="P11886" s="226"/>
      <c r="Q11886" s="226"/>
      <c r="R11886" s="226"/>
      <c r="S11886" s="226"/>
      <c r="T11886" s="226"/>
      <c r="U11886" s="226"/>
    </row>
    <row r="11887" spans="16:21" x14ac:dyDescent="0.35">
      <c r="P11887" s="226"/>
      <c r="Q11887" s="226"/>
      <c r="R11887" s="226"/>
      <c r="S11887" s="226"/>
      <c r="T11887" s="226"/>
      <c r="U11887" s="226"/>
    </row>
    <row r="11888" spans="16:21" x14ac:dyDescent="0.35">
      <c r="P11888" s="226"/>
      <c r="Q11888" s="226"/>
      <c r="R11888" s="226"/>
      <c r="S11888" s="226"/>
      <c r="T11888" s="226"/>
      <c r="U11888" s="226"/>
    </row>
    <row r="11889" spans="16:21" x14ac:dyDescent="0.35">
      <c r="P11889" s="226"/>
      <c r="Q11889" s="226"/>
      <c r="R11889" s="226"/>
      <c r="S11889" s="226"/>
      <c r="T11889" s="226"/>
      <c r="U11889" s="226"/>
    </row>
    <row r="11890" spans="16:21" x14ac:dyDescent="0.35">
      <c r="P11890" s="226"/>
      <c r="Q11890" s="226"/>
      <c r="R11890" s="226"/>
      <c r="S11890" s="226"/>
      <c r="T11890" s="226"/>
      <c r="U11890" s="226"/>
    </row>
    <row r="11891" spans="16:21" x14ac:dyDescent="0.35">
      <c r="P11891" s="226"/>
      <c r="Q11891" s="226"/>
      <c r="R11891" s="226"/>
      <c r="S11891" s="226"/>
      <c r="T11891" s="226"/>
      <c r="U11891" s="226"/>
    </row>
    <row r="11892" spans="16:21" x14ac:dyDescent="0.35">
      <c r="P11892" s="226"/>
      <c r="Q11892" s="226"/>
      <c r="R11892" s="226"/>
      <c r="S11892" s="226"/>
      <c r="T11892" s="226"/>
      <c r="U11892" s="226"/>
    </row>
    <row r="11893" spans="16:21" x14ac:dyDescent="0.35">
      <c r="P11893" s="226"/>
      <c r="Q11893" s="226"/>
      <c r="R11893" s="226"/>
      <c r="S11893" s="226"/>
      <c r="T11893" s="226"/>
      <c r="U11893" s="226"/>
    </row>
    <row r="11894" spans="16:21" x14ac:dyDescent="0.35">
      <c r="P11894" s="226"/>
      <c r="Q11894" s="226"/>
      <c r="R11894" s="226"/>
      <c r="S11894" s="226"/>
      <c r="T11894" s="226"/>
      <c r="U11894" s="226"/>
    </row>
    <row r="11895" spans="16:21" x14ac:dyDescent="0.35">
      <c r="P11895" s="226"/>
      <c r="Q11895" s="226"/>
      <c r="R11895" s="226"/>
      <c r="S11895" s="226"/>
      <c r="T11895" s="226"/>
      <c r="U11895" s="226"/>
    </row>
    <row r="11896" spans="16:21" x14ac:dyDescent="0.35">
      <c r="P11896" s="226"/>
      <c r="Q11896" s="226"/>
      <c r="R11896" s="226"/>
      <c r="S11896" s="226"/>
      <c r="T11896" s="226"/>
      <c r="U11896" s="226"/>
    </row>
    <row r="11897" spans="16:21" x14ac:dyDescent="0.35">
      <c r="P11897" s="226"/>
      <c r="Q11897" s="226"/>
      <c r="R11897" s="226"/>
      <c r="S11897" s="226"/>
      <c r="T11897" s="226"/>
      <c r="U11897" s="226"/>
    </row>
    <row r="11898" spans="16:21" x14ac:dyDescent="0.35">
      <c r="P11898" s="226"/>
      <c r="Q11898" s="226"/>
      <c r="R11898" s="226"/>
      <c r="S11898" s="226"/>
      <c r="T11898" s="226"/>
      <c r="U11898" s="226"/>
    </row>
    <row r="11899" spans="16:21" x14ac:dyDescent="0.35">
      <c r="P11899" s="226"/>
      <c r="Q11899" s="226"/>
      <c r="R11899" s="226"/>
      <c r="S11899" s="226"/>
      <c r="T11899" s="226"/>
      <c r="U11899" s="226"/>
    </row>
    <row r="11900" spans="16:21" x14ac:dyDescent="0.35">
      <c r="P11900" s="226"/>
      <c r="Q11900" s="226"/>
      <c r="R11900" s="226"/>
      <c r="S11900" s="226"/>
      <c r="T11900" s="226"/>
      <c r="U11900" s="226"/>
    </row>
    <row r="11901" spans="16:21" x14ac:dyDescent="0.35">
      <c r="P11901" s="226"/>
      <c r="Q11901" s="226"/>
      <c r="R11901" s="226"/>
      <c r="S11901" s="226"/>
      <c r="T11901" s="226"/>
      <c r="U11901" s="226"/>
    </row>
    <row r="11902" spans="16:21" x14ac:dyDescent="0.35">
      <c r="P11902" s="226"/>
      <c r="Q11902" s="226"/>
      <c r="R11902" s="226"/>
      <c r="S11902" s="226"/>
      <c r="T11902" s="226"/>
      <c r="U11902" s="226"/>
    </row>
    <row r="11903" spans="16:21" x14ac:dyDescent="0.35">
      <c r="P11903" s="226"/>
      <c r="Q11903" s="226"/>
      <c r="R11903" s="226"/>
      <c r="S11903" s="226"/>
      <c r="T11903" s="226"/>
      <c r="U11903" s="226"/>
    </row>
    <row r="11904" spans="16:21" x14ac:dyDescent="0.35">
      <c r="P11904" s="226"/>
      <c r="Q11904" s="226"/>
      <c r="R11904" s="226"/>
      <c r="S11904" s="226"/>
      <c r="T11904" s="226"/>
      <c r="U11904" s="226"/>
    </row>
    <row r="11905" spans="16:21" x14ac:dyDescent="0.35">
      <c r="P11905" s="226"/>
      <c r="Q11905" s="226"/>
      <c r="R11905" s="226"/>
      <c r="S11905" s="226"/>
      <c r="T11905" s="226"/>
      <c r="U11905" s="226"/>
    </row>
    <row r="11906" spans="16:21" x14ac:dyDescent="0.35">
      <c r="P11906" s="226"/>
      <c r="Q11906" s="226"/>
      <c r="R11906" s="226"/>
      <c r="S11906" s="226"/>
      <c r="T11906" s="226"/>
      <c r="U11906" s="226"/>
    </row>
    <row r="11907" spans="16:21" x14ac:dyDescent="0.35">
      <c r="P11907" s="226"/>
      <c r="Q11907" s="226"/>
      <c r="R11907" s="226"/>
      <c r="S11907" s="226"/>
      <c r="T11907" s="226"/>
      <c r="U11907" s="226"/>
    </row>
    <row r="11908" spans="16:21" x14ac:dyDescent="0.35">
      <c r="P11908" s="226"/>
      <c r="Q11908" s="226"/>
      <c r="R11908" s="226"/>
      <c r="S11908" s="226"/>
      <c r="T11908" s="226"/>
      <c r="U11908" s="226"/>
    </row>
    <row r="11909" spans="16:21" x14ac:dyDescent="0.35">
      <c r="P11909" s="226"/>
      <c r="Q11909" s="226"/>
      <c r="R11909" s="226"/>
      <c r="S11909" s="226"/>
      <c r="T11909" s="226"/>
      <c r="U11909" s="226"/>
    </row>
    <row r="11910" spans="16:21" x14ac:dyDescent="0.35">
      <c r="P11910" s="226"/>
      <c r="Q11910" s="226"/>
      <c r="R11910" s="226"/>
      <c r="S11910" s="226"/>
      <c r="T11910" s="226"/>
      <c r="U11910" s="226"/>
    </row>
    <row r="11911" spans="16:21" x14ac:dyDescent="0.35">
      <c r="P11911" s="226"/>
      <c r="Q11911" s="226"/>
      <c r="R11911" s="226"/>
      <c r="S11911" s="226"/>
      <c r="T11911" s="226"/>
      <c r="U11911" s="226"/>
    </row>
    <row r="11912" spans="16:21" x14ac:dyDescent="0.35">
      <c r="P11912" s="226"/>
      <c r="Q11912" s="226"/>
      <c r="R11912" s="226"/>
      <c r="S11912" s="226"/>
      <c r="T11912" s="226"/>
      <c r="U11912" s="226"/>
    </row>
    <row r="11913" spans="16:21" x14ac:dyDescent="0.35">
      <c r="P11913" s="226"/>
      <c r="Q11913" s="226"/>
      <c r="R11913" s="226"/>
      <c r="S11913" s="226"/>
      <c r="T11913" s="226"/>
      <c r="U11913" s="226"/>
    </row>
    <row r="11914" spans="16:21" x14ac:dyDescent="0.35">
      <c r="P11914" s="226"/>
      <c r="Q11914" s="226"/>
      <c r="R11914" s="226"/>
      <c r="S11914" s="226"/>
      <c r="T11914" s="226"/>
      <c r="U11914" s="226"/>
    </row>
    <row r="11915" spans="16:21" x14ac:dyDescent="0.35">
      <c r="P11915" s="226"/>
      <c r="Q11915" s="226"/>
      <c r="R11915" s="226"/>
      <c r="S11915" s="226"/>
      <c r="T11915" s="226"/>
      <c r="U11915" s="226"/>
    </row>
    <row r="11916" spans="16:21" x14ac:dyDescent="0.35">
      <c r="P11916" s="226"/>
      <c r="Q11916" s="226"/>
      <c r="R11916" s="226"/>
      <c r="S11916" s="226"/>
      <c r="T11916" s="226"/>
      <c r="U11916" s="226"/>
    </row>
    <row r="11917" spans="16:21" x14ac:dyDescent="0.35">
      <c r="P11917" s="226"/>
      <c r="Q11917" s="226"/>
      <c r="R11917" s="226"/>
      <c r="S11917" s="226"/>
      <c r="T11917" s="226"/>
      <c r="U11917" s="226"/>
    </row>
    <row r="11918" spans="16:21" x14ac:dyDescent="0.35">
      <c r="P11918" s="226"/>
      <c r="Q11918" s="226"/>
      <c r="R11918" s="226"/>
      <c r="S11918" s="226"/>
      <c r="T11918" s="226"/>
      <c r="U11918" s="226"/>
    </row>
    <row r="11919" spans="16:21" x14ac:dyDescent="0.35">
      <c r="P11919" s="226"/>
      <c r="Q11919" s="226"/>
      <c r="R11919" s="226"/>
      <c r="S11919" s="226"/>
      <c r="T11919" s="226"/>
      <c r="U11919" s="226"/>
    </row>
    <row r="11920" spans="16:21" x14ac:dyDescent="0.35">
      <c r="P11920" s="226"/>
      <c r="Q11920" s="226"/>
      <c r="R11920" s="226"/>
      <c r="S11920" s="226"/>
      <c r="T11920" s="226"/>
      <c r="U11920" s="226"/>
    </row>
    <row r="11921" spans="16:21" x14ac:dyDescent="0.35">
      <c r="P11921" s="226"/>
      <c r="Q11921" s="226"/>
      <c r="R11921" s="226"/>
      <c r="S11921" s="226"/>
      <c r="T11921" s="226"/>
      <c r="U11921" s="226"/>
    </row>
    <row r="11922" spans="16:21" x14ac:dyDescent="0.35">
      <c r="P11922" s="226"/>
      <c r="Q11922" s="226"/>
      <c r="R11922" s="226"/>
      <c r="S11922" s="226"/>
      <c r="T11922" s="226"/>
      <c r="U11922" s="226"/>
    </row>
    <row r="11923" spans="16:21" x14ac:dyDescent="0.35">
      <c r="P11923" s="226"/>
      <c r="Q11923" s="226"/>
      <c r="R11923" s="226"/>
      <c r="S11923" s="226"/>
      <c r="T11923" s="226"/>
      <c r="U11923" s="226"/>
    </row>
    <row r="11924" spans="16:21" x14ac:dyDescent="0.35">
      <c r="P11924" s="226"/>
      <c r="Q11924" s="226"/>
      <c r="R11924" s="226"/>
      <c r="S11924" s="226"/>
      <c r="T11924" s="226"/>
      <c r="U11924" s="226"/>
    </row>
    <row r="11925" spans="16:21" x14ac:dyDescent="0.35">
      <c r="P11925" s="226"/>
      <c r="Q11925" s="226"/>
      <c r="R11925" s="226"/>
      <c r="S11925" s="226"/>
      <c r="T11925" s="226"/>
      <c r="U11925" s="226"/>
    </row>
    <row r="11926" spans="16:21" x14ac:dyDescent="0.35">
      <c r="P11926" s="226"/>
      <c r="Q11926" s="226"/>
      <c r="R11926" s="226"/>
      <c r="S11926" s="226"/>
      <c r="T11926" s="226"/>
      <c r="U11926" s="226"/>
    </row>
    <row r="11927" spans="16:21" x14ac:dyDescent="0.35">
      <c r="P11927" s="226"/>
      <c r="Q11927" s="226"/>
      <c r="R11927" s="226"/>
      <c r="S11927" s="226"/>
      <c r="T11927" s="226"/>
      <c r="U11927" s="226"/>
    </row>
    <row r="11928" spans="16:21" x14ac:dyDescent="0.35">
      <c r="P11928" s="226"/>
      <c r="Q11928" s="226"/>
      <c r="R11928" s="226"/>
      <c r="S11928" s="226"/>
      <c r="T11928" s="226"/>
      <c r="U11928" s="226"/>
    </row>
    <row r="11929" spans="16:21" x14ac:dyDescent="0.35">
      <c r="P11929" s="226"/>
      <c r="Q11929" s="226"/>
      <c r="R11929" s="226"/>
      <c r="S11929" s="226"/>
      <c r="T11929" s="226"/>
      <c r="U11929" s="226"/>
    </row>
    <row r="11930" spans="16:21" x14ac:dyDescent="0.35">
      <c r="P11930" s="226"/>
      <c r="Q11930" s="226"/>
      <c r="R11930" s="226"/>
      <c r="S11930" s="226"/>
      <c r="T11930" s="226"/>
      <c r="U11930" s="226"/>
    </row>
    <row r="11931" spans="16:21" x14ac:dyDescent="0.35">
      <c r="P11931" s="226"/>
      <c r="Q11931" s="226"/>
      <c r="R11931" s="226"/>
      <c r="S11931" s="226"/>
      <c r="T11931" s="226"/>
      <c r="U11931" s="226"/>
    </row>
    <row r="11932" spans="16:21" x14ac:dyDescent="0.35">
      <c r="P11932" s="226"/>
      <c r="Q11932" s="226"/>
      <c r="R11932" s="226"/>
      <c r="S11932" s="226"/>
      <c r="T11932" s="226"/>
      <c r="U11932" s="226"/>
    </row>
    <row r="11933" spans="16:21" x14ac:dyDescent="0.35">
      <c r="P11933" s="226"/>
      <c r="Q11933" s="226"/>
      <c r="R11933" s="226"/>
      <c r="S11933" s="226"/>
      <c r="T11933" s="226"/>
      <c r="U11933" s="226"/>
    </row>
    <row r="11934" spans="16:21" x14ac:dyDescent="0.35">
      <c r="P11934" s="226"/>
      <c r="Q11934" s="226"/>
      <c r="R11934" s="226"/>
      <c r="S11934" s="226"/>
      <c r="T11934" s="226"/>
      <c r="U11934" s="226"/>
    </row>
    <row r="11935" spans="16:21" x14ac:dyDescent="0.35">
      <c r="P11935" s="226"/>
      <c r="Q11935" s="226"/>
      <c r="R11935" s="226"/>
      <c r="S11935" s="226"/>
      <c r="T11935" s="226"/>
      <c r="U11935" s="226"/>
    </row>
    <row r="11936" spans="16:21" x14ac:dyDescent="0.35">
      <c r="P11936" s="226"/>
      <c r="Q11936" s="226"/>
      <c r="R11936" s="226"/>
      <c r="S11936" s="226"/>
      <c r="T11936" s="226"/>
      <c r="U11936" s="226"/>
    </row>
    <row r="11937" spans="16:21" x14ac:dyDescent="0.35">
      <c r="P11937" s="226"/>
      <c r="Q11937" s="226"/>
      <c r="R11937" s="226"/>
      <c r="S11937" s="226"/>
      <c r="T11937" s="226"/>
      <c r="U11937" s="226"/>
    </row>
    <row r="11938" spans="16:21" x14ac:dyDescent="0.35">
      <c r="P11938" s="226"/>
      <c r="Q11938" s="226"/>
      <c r="R11938" s="226"/>
      <c r="S11938" s="226"/>
      <c r="T11938" s="226"/>
      <c r="U11938" s="226"/>
    </row>
    <row r="11939" spans="16:21" x14ac:dyDescent="0.35">
      <c r="P11939" s="226"/>
      <c r="Q11939" s="226"/>
      <c r="R11939" s="226"/>
      <c r="S11939" s="226"/>
      <c r="T11939" s="226"/>
      <c r="U11939" s="226"/>
    </row>
    <row r="11940" spans="16:21" x14ac:dyDescent="0.35">
      <c r="P11940" s="226"/>
      <c r="Q11940" s="226"/>
      <c r="R11940" s="226"/>
      <c r="S11940" s="226"/>
      <c r="T11940" s="226"/>
      <c r="U11940" s="226"/>
    </row>
    <row r="11941" spans="16:21" x14ac:dyDescent="0.35">
      <c r="P11941" s="226"/>
      <c r="Q11941" s="226"/>
      <c r="R11941" s="226"/>
      <c r="S11941" s="226"/>
      <c r="T11941" s="226"/>
      <c r="U11941" s="226"/>
    </row>
    <row r="11942" spans="16:21" x14ac:dyDescent="0.35">
      <c r="P11942" s="226"/>
      <c r="Q11942" s="226"/>
      <c r="R11942" s="226"/>
      <c r="S11942" s="226"/>
      <c r="T11942" s="226"/>
      <c r="U11942" s="226"/>
    </row>
    <row r="11943" spans="16:21" x14ac:dyDescent="0.35">
      <c r="P11943" s="226"/>
      <c r="Q11943" s="226"/>
      <c r="R11943" s="226"/>
      <c r="S11943" s="226"/>
      <c r="T11943" s="226"/>
      <c r="U11943" s="226"/>
    </row>
    <row r="11944" spans="16:21" x14ac:dyDescent="0.35">
      <c r="P11944" s="226"/>
      <c r="Q11944" s="226"/>
      <c r="R11944" s="226"/>
      <c r="S11944" s="226"/>
      <c r="T11944" s="226"/>
      <c r="U11944" s="226"/>
    </row>
    <row r="11945" spans="16:21" x14ac:dyDescent="0.35">
      <c r="P11945" s="226"/>
      <c r="Q11945" s="226"/>
      <c r="R11945" s="226"/>
      <c r="S11945" s="226"/>
      <c r="T11945" s="226"/>
      <c r="U11945" s="226"/>
    </row>
    <row r="11946" spans="16:21" x14ac:dyDescent="0.35">
      <c r="P11946" s="226"/>
      <c r="Q11946" s="226"/>
      <c r="R11946" s="226"/>
      <c r="S11946" s="226"/>
      <c r="T11946" s="226"/>
      <c r="U11946" s="226"/>
    </row>
    <row r="11947" spans="16:21" x14ac:dyDescent="0.35">
      <c r="P11947" s="226"/>
      <c r="Q11947" s="226"/>
      <c r="R11947" s="226"/>
      <c r="S11947" s="226"/>
      <c r="T11947" s="226"/>
      <c r="U11947" s="226"/>
    </row>
    <row r="11948" spans="16:21" x14ac:dyDescent="0.35">
      <c r="P11948" s="226"/>
      <c r="Q11948" s="226"/>
      <c r="R11948" s="226"/>
      <c r="S11948" s="226"/>
      <c r="T11948" s="226"/>
      <c r="U11948" s="226"/>
    </row>
    <row r="11949" spans="16:21" x14ac:dyDescent="0.35">
      <c r="P11949" s="226"/>
      <c r="Q11949" s="226"/>
      <c r="R11949" s="226"/>
      <c r="S11949" s="226"/>
      <c r="T11949" s="226"/>
      <c r="U11949" s="226"/>
    </row>
    <row r="11950" spans="16:21" x14ac:dyDescent="0.35">
      <c r="P11950" s="226"/>
      <c r="Q11950" s="226"/>
      <c r="R11950" s="226"/>
      <c r="S11950" s="226"/>
      <c r="T11950" s="226"/>
      <c r="U11950" s="226"/>
    </row>
    <row r="11951" spans="16:21" x14ac:dyDescent="0.35">
      <c r="P11951" s="226"/>
      <c r="Q11951" s="226"/>
      <c r="R11951" s="226"/>
      <c r="S11951" s="226"/>
      <c r="T11951" s="226"/>
      <c r="U11951" s="226"/>
    </row>
    <row r="11952" spans="16:21" x14ac:dyDescent="0.35">
      <c r="P11952" s="226"/>
      <c r="Q11952" s="226"/>
      <c r="R11952" s="226"/>
      <c r="S11952" s="226"/>
      <c r="T11952" s="226"/>
      <c r="U11952" s="226"/>
    </row>
    <row r="11953" spans="16:21" x14ac:dyDescent="0.35">
      <c r="P11953" s="226"/>
      <c r="Q11953" s="226"/>
      <c r="R11953" s="226"/>
      <c r="S11953" s="226"/>
      <c r="T11953" s="226"/>
      <c r="U11953" s="226"/>
    </row>
    <row r="11954" spans="16:21" x14ac:dyDescent="0.35">
      <c r="P11954" s="226"/>
      <c r="Q11954" s="226"/>
      <c r="R11954" s="226"/>
      <c r="S11954" s="226"/>
      <c r="T11954" s="226"/>
      <c r="U11954" s="226"/>
    </row>
    <row r="11955" spans="16:21" x14ac:dyDescent="0.35">
      <c r="P11955" s="226"/>
      <c r="Q11955" s="226"/>
      <c r="R11955" s="226"/>
      <c r="S11955" s="226"/>
      <c r="T11955" s="226"/>
      <c r="U11955" s="226"/>
    </row>
    <row r="11956" spans="16:21" x14ac:dyDescent="0.35">
      <c r="P11956" s="226"/>
      <c r="Q11956" s="226"/>
      <c r="R11956" s="226"/>
      <c r="S11956" s="226"/>
      <c r="T11956" s="226"/>
      <c r="U11956" s="226"/>
    </row>
    <row r="11957" spans="16:21" x14ac:dyDescent="0.35">
      <c r="P11957" s="226"/>
      <c r="Q11957" s="226"/>
      <c r="R11957" s="226"/>
      <c r="S11957" s="226"/>
      <c r="T11957" s="226"/>
      <c r="U11957" s="226"/>
    </row>
    <row r="11958" spans="16:21" x14ac:dyDescent="0.35">
      <c r="P11958" s="226"/>
      <c r="Q11958" s="226"/>
      <c r="R11958" s="226"/>
      <c r="S11958" s="226"/>
      <c r="T11958" s="226"/>
      <c r="U11958" s="226"/>
    </row>
    <row r="11959" spans="16:21" x14ac:dyDescent="0.35">
      <c r="P11959" s="226"/>
      <c r="Q11959" s="226"/>
      <c r="R11959" s="226"/>
      <c r="S11959" s="226"/>
      <c r="T11959" s="226"/>
      <c r="U11959" s="226"/>
    </row>
    <row r="11960" spans="16:21" x14ac:dyDescent="0.35">
      <c r="P11960" s="226"/>
      <c r="Q11960" s="226"/>
      <c r="R11960" s="226"/>
      <c r="S11960" s="226"/>
      <c r="T11960" s="226"/>
      <c r="U11960" s="226"/>
    </row>
    <row r="11961" spans="16:21" x14ac:dyDescent="0.35">
      <c r="P11961" s="226"/>
      <c r="Q11961" s="226"/>
      <c r="R11961" s="226"/>
      <c r="S11961" s="226"/>
      <c r="T11961" s="226"/>
      <c r="U11961" s="226"/>
    </row>
    <row r="11962" spans="16:21" x14ac:dyDescent="0.35">
      <c r="P11962" s="226"/>
      <c r="Q11962" s="226"/>
      <c r="R11962" s="226"/>
      <c r="S11962" s="226"/>
      <c r="T11962" s="226"/>
      <c r="U11962" s="226"/>
    </row>
    <row r="11963" spans="16:21" x14ac:dyDescent="0.35">
      <c r="P11963" s="226"/>
      <c r="Q11963" s="226"/>
      <c r="R11963" s="226"/>
      <c r="S11963" s="226"/>
      <c r="T11963" s="226"/>
      <c r="U11963" s="226"/>
    </row>
    <row r="11964" spans="16:21" x14ac:dyDescent="0.35">
      <c r="P11964" s="226"/>
      <c r="Q11964" s="226"/>
      <c r="R11964" s="226"/>
      <c r="S11964" s="226"/>
      <c r="T11964" s="226"/>
      <c r="U11964" s="226"/>
    </row>
    <row r="11965" spans="16:21" x14ac:dyDescent="0.35">
      <c r="P11965" s="226"/>
      <c r="Q11965" s="226"/>
      <c r="R11965" s="226"/>
      <c r="S11965" s="226"/>
      <c r="T11965" s="226"/>
      <c r="U11965" s="226"/>
    </row>
    <row r="11966" spans="16:21" x14ac:dyDescent="0.35">
      <c r="P11966" s="226"/>
      <c r="Q11966" s="226"/>
      <c r="R11966" s="226"/>
      <c r="S11966" s="226"/>
      <c r="T11966" s="226"/>
      <c r="U11966" s="226"/>
    </row>
    <row r="11967" spans="16:21" x14ac:dyDescent="0.35">
      <c r="P11967" s="226"/>
      <c r="Q11967" s="226"/>
      <c r="R11967" s="226"/>
      <c r="S11967" s="226"/>
      <c r="T11967" s="226"/>
      <c r="U11967" s="226"/>
    </row>
    <row r="11968" spans="16:21" x14ac:dyDescent="0.35">
      <c r="P11968" s="226"/>
      <c r="Q11968" s="226"/>
      <c r="R11968" s="226"/>
      <c r="S11968" s="226"/>
      <c r="T11968" s="226"/>
      <c r="U11968" s="226"/>
    </row>
    <row r="11969" spans="16:21" x14ac:dyDescent="0.35">
      <c r="P11969" s="226"/>
      <c r="Q11969" s="226"/>
      <c r="R11969" s="226"/>
      <c r="S11969" s="226"/>
      <c r="T11969" s="226"/>
      <c r="U11969" s="226"/>
    </row>
    <row r="11970" spans="16:21" x14ac:dyDescent="0.35">
      <c r="P11970" s="226"/>
      <c r="Q11970" s="226"/>
      <c r="R11970" s="226"/>
      <c r="S11970" s="226"/>
      <c r="T11970" s="226"/>
      <c r="U11970" s="226"/>
    </row>
    <row r="11971" spans="16:21" x14ac:dyDescent="0.35">
      <c r="P11971" s="226"/>
      <c r="Q11971" s="226"/>
      <c r="R11971" s="226"/>
      <c r="S11971" s="226"/>
      <c r="T11971" s="226"/>
      <c r="U11971" s="226"/>
    </row>
    <row r="11972" spans="16:21" x14ac:dyDescent="0.35">
      <c r="P11972" s="226"/>
      <c r="Q11972" s="226"/>
      <c r="R11972" s="226"/>
      <c r="S11972" s="226"/>
      <c r="T11972" s="226"/>
      <c r="U11972" s="226"/>
    </row>
    <row r="11973" spans="16:21" x14ac:dyDescent="0.35">
      <c r="P11973" s="226"/>
      <c r="Q11973" s="226"/>
      <c r="R11973" s="226"/>
      <c r="S11973" s="226"/>
      <c r="T11973" s="226"/>
      <c r="U11973" s="226"/>
    </row>
    <row r="11974" spans="16:21" x14ac:dyDescent="0.35">
      <c r="P11974" s="226"/>
      <c r="Q11974" s="226"/>
      <c r="R11974" s="226"/>
      <c r="S11974" s="226"/>
      <c r="T11974" s="226"/>
      <c r="U11974" s="226"/>
    </row>
    <row r="11975" spans="16:21" x14ac:dyDescent="0.35">
      <c r="P11975" s="226"/>
      <c r="Q11975" s="226"/>
      <c r="R11975" s="226"/>
      <c r="S11975" s="226"/>
      <c r="T11975" s="226"/>
      <c r="U11975" s="226"/>
    </row>
    <row r="11976" spans="16:21" x14ac:dyDescent="0.35">
      <c r="P11976" s="226"/>
      <c r="Q11976" s="226"/>
      <c r="R11976" s="226"/>
      <c r="S11976" s="226"/>
      <c r="T11976" s="226"/>
      <c r="U11976" s="226"/>
    </row>
    <row r="11977" spans="16:21" x14ac:dyDescent="0.35">
      <c r="P11977" s="226"/>
      <c r="Q11977" s="226"/>
      <c r="R11977" s="226"/>
      <c r="S11977" s="226"/>
      <c r="T11977" s="226"/>
      <c r="U11977" s="226"/>
    </row>
    <row r="11978" spans="16:21" x14ac:dyDescent="0.35">
      <c r="P11978" s="226"/>
      <c r="Q11978" s="226"/>
      <c r="R11978" s="226"/>
      <c r="S11978" s="226"/>
      <c r="T11978" s="226"/>
      <c r="U11978" s="226"/>
    </row>
    <row r="11979" spans="16:21" x14ac:dyDescent="0.35">
      <c r="P11979" s="226"/>
      <c r="Q11979" s="226"/>
      <c r="R11979" s="226"/>
      <c r="S11979" s="226"/>
      <c r="T11979" s="226"/>
      <c r="U11979" s="226"/>
    </row>
    <row r="11980" spans="16:21" x14ac:dyDescent="0.35">
      <c r="P11980" s="226"/>
      <c r="Q11980" s="226"/>
      <c r="R11980" s="226"/>
      <c r="S11980" s="226"/>
      <c r="T11980" s="226"/>
      <c r="U11980" s="226"/>
    </row>
    <row r="11981" spans="16:21" x14ac:dyDescent="0.35">
      <c r="P11981" s="226"/>
      <c r="Q11981" s="226"/>
      <c r="R11981" s="226"/>
      <c r="S11981" s="226"/>
      <c r="T11981" s="226"/>
      <c r="U11981" s="226"/>
    </row>
    <row r="11982" spans="16:21" x14ac:dyDescent="0.35">
      <c r="P11982" s="226"/>
      <c r="Q11982" s="226"/>
      <c r="R11982" s="226"/>
      <c r="S11982" s="226"/>
      <c r="T11982" s="226"/>
      <c r="U11982" s="226"/>
    </row>
    <row r="11983" spans="16:21" x14ac:dyDescent="0.35">
      <c r="P11983" s="226"/>
      <c r="Q11983" s="226"/>
      <c r="R11983" s="226"/>
      <c r="S11983" s="226"/>
      <c r="T11983" s="226"/>
      <c r="U11983" s="226"/>
    </row>
    <row r="11984" spans="16:21" x14ac:dyDescent="0.35">
      <c r="P11984" s="226"/>
      <c r="Q11984" s="226"/>
      <c r="R11984" s="226"/>
      <c r="S11984" s="226"/>
      <c r="T11984" s="226"/>
      <c r="U11984" s="226"/>
    </row>
    <row r="11985" spans="16:21" x14ac:dyDescent="0.35">
      <c r="P11985" s="226"/>
      <c r="Q11985" s="226"/>
      <c r="R11985" s="226"/>
      <c r="S11985" s="226"/>
      <c r="T11985" s="226"/>
      <c r="U11985" s="226"/>
    </row>
    <row r="11986" spans="16:21" x14ac:dyDescent="0.35">
      <c r="P11986" s="226"/>
      <c r="Q11986" s="226"/>
      <c r="R11986" s="226"/>
      <c r="S11986" s="226"/>
      <c r="T11986" s="226"/>
      <c r="U11986" s="226"/>
    </row>
    <row r="11987" spans="16:21" x14ac:dyDescent="0.35">
      <c r="P11987" s="226"/>
      <c r="Q11987" s="226"/>
      <c r="R11987" s="226"/>
      <c r="S11987" s="226"/>
      <c r="T11987" s="226"/>
      <c r="U11987" s="226"/>
    </row>
    <row r="11988" spans="16:21" x14ac:dyDescent="0.35">
      <c r="P11988" s="226"/>
      <c r="Q11988" s="226"/>
      <c r="R11988" s="226"/>
      <c r="S11988" s="226"/>
      <c r="T11988" s="226"/>
      <c r="U11988" s="226"/>
    </row>
    <row r="11989" spans="16:21" x14ac:dyDescent="0.35">
      <c r="P11989" s="226"/>
      <c r="Q11989" s="226"/>
      <c r="R11989" s="226"/>
      <c r="S11989" s="226"/>
      <c r="T11989" s="226"/>
      <c r="U11989" s="226"/>
    </row>
    <row r="11990" spans="16:21" x14ac:dyDescent="0.35">
      <c r="P11990" s="226"/>
      <c r="Q11990" s="226"/>
      <c r="R11990" s="226"/>
      <c r="S11990" s="226"/>
      <c r="T11990" s="226"/>
      <c r="U11990" s="226"/>
    </row>
    <row r="11991" spans="16:21" x14ac:dyDescent="0.35">
      <c r="P11991" s="226"/>
      <c r="Q11991" s="226"/>
      <c r="R11991" s="226"/>
      <c r="S11991" s="226"/>
      <c r="T11991" s="226"/>
      <c r="U11991" s="226"/>
    </row>
    <row r="11992" spans="16:21" x14ac:dyDescent="0.35">
      <c r="P11992" s="226"/>
      <c r="Q11992" s="226"/>
      <c r="R11992" s="226"/>
      <c r="S11992" s="226"/>
      <c r="T11992" s="226"/>
      <c r="U11992" s="226"/>
    </row>
    <row r="11993" spans="16:21" x14ac:dyDescent="0.35">
      <c r="P11993" s="226"/>
      <c r="Q11993" s="226"/>
      <c r="R11993" s="226"/>
      <c r="S11993" s="226"/>
      <c r="T11993" s="226"/>
      <c r="U11993" s="226"/>
    </row>
    <row r="11994" spans="16:21" x14ac:dyDescent="0.35">
      <c r="P11994" s="226"/>
      <c r="Q11994" s="226"/>
      <c r="R11994" s="226"/>
      <c r="S11994" s="226"/>
      <c r="T11994" s="226"/>
      <c r="U11994" s="226"/>
    </row>
    <row r="11995" spans="16:21" x14ac:dyDescent="0.35">
      <c r="P11995" s="226"/>
      <c r="Q11995" s="226"/>
      <c r="R11995" s="226"/>
      <c r="S11995" s="226"/>
      <c r="T11995" s="226"/>
      <c r="U11995" s="226"/>
    </row>
    <row r="11996" spans="16:21" x14ac:dyDescent="0.35">
      <c r="P11996" s="226"/>
      <c r="Q11996" s="226"/>
      <c r="R11996" s="226"/>
      <c r="S11996" s="226"/>
      <c r="T11996" s="226"/>
      <c r="U11996" s="226"/>
    </row>
    <row r="11997" spans="16:21" x14ac:dyDescent="0.35">
      <c r="P11997" s="226"/>
      <c r="Q11997" s="226"/>
      <c r="R11997" s="226"/>
      <c r="S11997" s="226"/>
      <c r="T11997" s="226"/>
      <c r="U11997" s="226"/>
    </row>
    <row r="11998" spans="16:21" x14ac:dyDescent="0.35">
      <c r="P11998" s="226"/>
      <c r="Q11998" s="226"/>
      <c r="R11998" s="226"/>
      <c r="S11998" s="226"/>
      <c r="T11998" s="226"/>
      <c r="U11998" s="226"/>
    </row>
    <row r="11999" spans="16:21" x14ac:dyDescent="0.35">
      <c r="P11999" s="226"/>
      <c r="Q11999" s="226"/>
      <c r="R11999" s="226"/>
      <c r="S11999" s="226"/>
      <c r="T11999" s="226"/>
      <c r="U11999" s="226"/>
    </row>
    <row r="12000" spans="16:21" x14ac:dyDescent="0.35">
      <c r="P12000" s="226"/>
      <c r="Q12000" s="226"/>
      <c r="R12000" s="226"/>
      <c r="S12000" s="226"/>
      <c r="T12000" s="226"/>
      <c r="U12000" s="226"/>
    </row>
    <row r="12001" spans="16:21" x14ac:dyDescent="0.35">
      <c r="P12001" s="226"/>
      <c r="Q12001" s="226"/>
      <c r="R12001" s="226"/>
      <c r="S12001" s="226"/>
      <c r="T12001" s="226"/>
      <c r="U12001" s="226"/>
    </row>
    <row r="12002" spans="16:21" x14ac:dyDescent="0.35">
      <c r="P12002" s="226"/>
      <c r="Q12002" s="226"/>
      <c r="R12002" s="226"/>
      <c r="S12002" s="226"/>
      <c r="T12002" s="226"/>
      <c r="U12002" s="226"/>
    </row>
    <row r="12003" spans="16:21" x14ac:dyDescent="0.35">
      <c r="P12003" s="226"/>
      <c r="Q12003" s="226"/>
      <c r="R12003" s="226"/>
      <c r="S12003" s="226"/>
      <c r="T12003" s="226"/>
      <c r="U12003" s="226"/>
    </row>
    <row r="12004" spans="16:21" x14ac:dyDescent="0.35">
      <c r="P12004" s="226"/>
      <c r="Q12004" s="226"/>
      <c r="R12004" s="226"/>
      <c r="S12004" s="226"/>
      <c r="T12004" s="226"/>
      <c r="U12004" s="226"/>
    </row>
    <row r="12005" spans="16:21" x14ac:dyDescent="0.35">
      <c r="P12005" s="226"/>
      <c r="Q12005" s="226"/>
      <c r="R12005" s="226"/>
      <c r="S12005" s="226"/>
      <c r="T12005" s="226"/>
      <c r="U12005" s="226"/>
    </row>
    <row r="12006" spans="16:21" x14ac:dyDescent="0.35">
      <c r="P12006" s="226"/>
      <c r="Q12006" s="226"/>
      <c r="R12006" s="226"/>
      <c r="S12006" s="226"/>
      <c r="T12006" s="226"/>
      <c r="U12006" s="226"/>
    </row>
    <row r="12007" spans="16:21" x14ac:dyDescent="0.35">
      <c r="P12007" s="226"/>
      <c r="Q12007" s="226"/>
      <c r="R12007" s="226"/>
      <c r="S12007" s="226"/>
      <c r="T12007" s="226"/>
      <c r="U12007" s="226"/>
    </row>
    <row r="12008" spans="16:21" x14ac:dyDescent="0.35">
      <c r="P12008" s="226"/>
      <c r="Q12008" s="226"/>
      <c r="R12008" s="226"/>
      <c r="S12008" s="226"/>
      <c r="T12008" s="226"/>
      <c r="U12008" s="226"/>
    </row>
    <row r="12009" spans="16:21" x14ac:dyDescent="0.35">
      <c r="P12009" s="226"/>
      <c r="Q12009" s="226"/>
      <c r="R12009" s="226"/>
      <c r="S12009" s="226"/>
      <c r="T12009" s="226"/>
      <c r="U12009" s="226"/>
    </row>
    <row r="12010" spans="16:21" x14ac:dyDescent="0.35">
      <c r="P12010" s="226"/>
      <c r="Q12010" s="226"/>
      <c r="R12010" s="226"/>
      <c r="S12010" s="226"/>
      <c r="T12010" s="226"/>
      <c r="U12010" s="226"/>
    </row>
    <row r="12011" spans="16:21" x14ac:dyDescent="0.35">
      <c r="P12011" s="226"/>
      <c r="Q12011" s="226"/>
      <c r="R12011" s="226"/>
      <c r="S12011" s="226"/>
      <c r="T12011" s="226"/>
      <c r="U12011" s="226"/>
    </row>
    <row r="12012" spans="16:21" x14ac:dyDescent="0.35">
      <c r="P12012" s="226"/>
      <c r="Q12012" s="226"/>
      <c r="R12012" s="226"/>
      <c r="S12012" s="226"/>
      <c r="T12012" s="226"/>
      <c r="U12012" s="226"/>
    </row>
    <row r="12013" spans="16:21" x14ac:dyDescent="0.35">
      <c r="P12013" s="226"/>
      <c r="Q12013" s="226"/>
      <c r="R12013" s="226"/>
      <c r="S12013" s="226"/>
      <c r="T12013" s="226"/>
      <c r="U12013" s="226"/>
    </row>
    <row r="12014" spans="16:21" x14ac:dyDescent="0.35">
      <c r="P12014" s="226"/>
      <c r="Q12014" s="226"/>
      <c r="R12014" s="226"/>
      <c r="S12014" s="226"/>
      <c r="T12014" s="226"/>
      <c r="U12014" s="226"/>
    </row>
    <row r="12015" spans="16:21" x14ac:dyDescent="0.35">
      <c r="P12015" s="226"/>
      <c r="Q12015" s="226"/>
      <c r="R12015" s="226"/>
      <c r="S12015" s="226"/>
      <c r="T12015" s="226"/>
      <c r="U12015" s="226"/>
    </row>
    <row r="12016" spans="16:21" x14ac:dyDescent="0.35">
      <c r="P12016" s="226"/>
      <c r="Q12016" s="226"/>
      <c r="R12016" s="226"/>
      <c r="S12016" s="226"/>
      <c r="T12016" s="226"/>
      <c r="U12016" s="226"/>
    </row>
    <row r="12017" spans="16:21" x14ac:dyDescent="0.35">
      <c r="P12017" s="226"/>
      <c r="Q12017" s="226"/>
      <c r="R12017" s="226"/>
      <c r="S12017" s="226"/>
      <c r="T12017" s="226"/>
      <c r="U12017" s="226"/>
    </row>
    <row r="12018" spans="16:21" x14ac:dyDescent="0.35">
      <c r="P12018" s="226"/>
      <c r="Q12018" s="226"/>
      <c r="R12018" s="226"/>
      <c r="S12018" s="226"/>
      <c r="T12018" s="226"/>
      <c r="U12018" s="226"/>
    </row>
    <row r="12019" spans="16:21" x14ac:dyDescent="0.35">
      <c r="P12019" s="226"/>
      <c r="Q12019" s="226"/>
      <c r="R12019" s="226"/>
      <c r="S12019" s="226"/>
      <c r="T12019" s="226"/>
      <c r="U12019" s="226"/>
    </row>
    <row r="12020" spans="16:21" x14ac:dyDescent="0.35">
      <c r="P12020" s="226"/>
      <c r="Q12020" s="226"/>
      <c r="R12020" s="226"/>
      <c r="S12020" s="226"/>
      <c r="T12020" s="226"/>
      <c r="U12020" s="226"/>
    </row>
    <row r="12021" spans="16:21" x14ac:dyDescent="0.35">
      <c r="P12021" s="226"/>
      <c r="Q12021" s="226"/>
      <c r="R12021" s="226"/>
      <c r="S12021" s="226"/>
      <c r="T12021" s="226"/>
      <c r="U12021" s="226"/>
    </row>
    <row r="12022" spans="16:21" x14ac:dyDescent="0.35">
      <c r="P12022" s="226"/>
      <c r="Q12022" s="226"/>
      <c r="R12022" s="226"/>
      <c r="S12022" s="226"/>
      <c r="T12022" s="226"/>
      <c r="U12022" s="226"/>
    </row>
    <row r="12023" spans="16:21" x14ac:dyDescent="0.35">
      <c r="P12023" s="226"/>
      <c r="Q12023" s="226"/>
      <c r="R12023" s="226"/>
      <c r="S12023" s="226"/>
      <c r="T12023" s="226"/>
      <c r="U12023" s="226"/>
    </row>
    <row r="12024" spans="16:21" x14ac:dyDescent="0.35">
      <c r="P12024" s="226"/>
      <c r="Q12024" s="226"/>
      <c r="R12024" s="226"/>
      <c r="S12024" s="226"/>
      <c r="T12024" s="226"/>
      <c r="U12024" s="226"/>
    </row>
    <row r="12025" spans="16:21" x14ac:dyDescent="0.35">
      <c r="P12025" s="226"/>
      <c r="Q12025" s="226"/>
      <c r="R12025" s="226"/>
      <c r="S12025" s="226"/>
      <c r="T12025" s="226"/>
      <c r="U12025" s="226"/>
    </row>
    <row r="12026" spans="16:21" x14ac:dyDescent="0.35">
      <c r="P12026" s="226"/>
      <c r="Q12026" s="226"/>
      <c r="R12026" s="226"/>
      <c r="S12026" s="226"/>
      <c r="T12026" s="226"/>
      <c r="U12026" s="226"/>
    </row>
    <row r="12027" spans="16:21" x14ac:dyDescent="0.35">
      <c r="P12027" s="226"/>
      <c r="Q12027" s="226"/>
      <c r="R12027" s="226"/>
      <c r="S12027" s="226"/>
      <c r="T12027" s="226"/>
      <c r="U12027" s="226"/>
    </row>
    <row r="12028" spans="16:21" x14ac:dyDescent="0.35">
      <c r="P12028" s="226"/>
      <c r="Q12028" s="226"/>
      <c r="R12028" s="226"/>
      <c r="S12028" s="226"/>
      <c r="T12028" s="226"/>
      <c r="U12028" s="226"/>
    </row>
    <row r="12029" spans="16:21" x14ac:dyDescent="0.35">
      <c r="P12029" s="226"/>
      <c r="Q12029" s="226"/>
      <c r="R12029" s="226"/>
      <c r="S12029" s="226"/>
      <c r="T12029" s="226"/>
      <c r="U12029" s="226"/>
    </row>
    <row r="12030" spans="16:21" x14ac:dyDescent="0.35">
      <c r="P12030" s="226"/>
      <c r="Q12030" s="226"/>
      <c r="R12030" s="226"/>
      <c r="S12030" s="226"/>
      <c r="T12030" s="226"/>
      <c r="U12030" s="226"/>
    </row>
    <row r="12031" spans="16:21" x14ac:dyDescent="0.35">
      <c r="P12031" s="226"/>
      <c r="Q12031" s="226"/>
      <c r="R12031" s="226"/>
      <c r="S12031" s="226"/>
      <c r="T12031" s="226"/>
      <c r="U12031" s="226"/>
    </row>
    <row r="12032" spans="16:21" x14ac:dyDescent="0.35">
      <c r="P12032" s="226"/>
      <c r="Q12032" s="226"/>
      <c r="R12032" s="226"/>
      <c r="S12032" s="226"/>
      <c r="T12032" s="226"/>
      <c r="U12032" s="226"/>
    </row>
    <row r="12033" spans="16:21" x14ac:dyDescent="0.35">
      <c r="P12033" s="226"/>
      <c r="Q12033" s="226"/>
      <c r="R12033" s="226"/>
      <c r="S12033" s="226"/>
      <c r="T12033" s="226"/>
      <c r="U12033" s="226"/>
    </row>
    <row r="12034" spans="16:21" x14ac:dyDescent="0.35">
      <c r="P12034" s="226"/>
      <c r="Q12034" s="226"/>
      <c r="R12034" s="226"/>
      <c r="S12034" s="226"/>
      <c r="T12034" s="226"/>
      <c r="U12034" s="226"/>
    </row>
    <row r="12035" spans="16:21" x14ac:dyDescent="0.35">
      <c r="P12035" s="226"/>
      <c r="Q12035" s="226"/>
      <c r="R12035" s="226"/>
      <c r="S12035" s="226"/>
      <c r="T12035" s="226"/>
      <c r="U12035" s="226"/>
    </row>
    <row r="12036" spans="16:21" x14ac:dyDescent="0.35">
      <c r="P12036" s="226"/>
      <c r="Q12036" s="226"/>
      <c r="R12036" s="226"/>
      <c r="S12036" s="226"/>
      <c r="T12036" s="226"/>
      <c r="U12036" s="226"/>
    </row>
    <row r="12037" spans="16:21" x14ac:dyDescent="0.35">
      <c r="P12037" s="226"/>
      <c r="Q12037" s="226"/>
      <c r="R12037" s="226"/>
      <c r="S12037" s="226"/>
      <c r="T12037" s="226"/>
      <c r="U12037" s="226"/>
    </row>
    <row r="12038" spans="16:21" x14ac:dyDescent="0.35">
      <c r="P12038" s="226"/>
      <c r="Q12038" s="226"/>
      <c r="R12038" s="226"/>
      <c r="S12038" s="226"/>
      <c r="T12038" s="226"/>
      <c r="U12038" s="226"/>
    </row>
    <row r="12039" spans="16:21" x14ac:dyDescent="0.35">
      <c r="P12039" s="226"/>
      <c r="Q12039" s="226"/>
      <c r="R12039" s="226"/>
      <c r="S12039" s="226"/>
      <c r="T12039" s="226"/>
      <c r="U12039" s="226"/>
    </row>
    <row r="12040" spans="16:21" x14ac:dyDescent="0.35">
      <c r="P12040" s="226"/>
      <c r="Q12040" s="226"/>
      <c r="R12040" s="226"/>
      <c r="S12040" s="226"/>
      <c r="T12040" s="226"/>
      <c r="U12040" s="226"/>
    </row>
    <row r="12041" spans="16:21" x14ac:dyDescent="0.35">
      <c r="P12041" s="226"/>
      <c r="Q12041" s="226"/>
      <c r="R12041" s="226"/>
      <c r="S12041" s="226"/>
      <c r="T12041" s="226"/>
      <c r="U12041" s="226"/>
    </row>
    <row r="12042" spans="16:21" x14ac:dyDescent="0.35">
      <c r="P12042" s="226"/>
      <c r="Q12042" s="226"/>
      <c r="R12042" s="226"/>
      <c r="S12042" s="226"/>
      <c r="T12042" s="226"/>
      <c r="U12042" s="226"/>
    </row>
    <row r="12043" spans="16:21" x14ac:dyDescent="0.35">
      <c r="P12043" s="226"/>
      <c r="Q12043" s="226"/>
      <c r="R12043" s="226"/>
      <c r="S12043" s="226"/>
      <c r="T12043" s="226"/>
      <c r="U12043" s="226"/>
    </row>
    <row r="12044" spans="16:21" x14ac:dyDescent="0.35">
      <c r="P12044" s="226"/>
      <c r="Q12044" s="226"/>
      <c r="R12044" s="226"/>
      <c r="S12044" s="226"/>
      <c r="T12044" s="226"/>
      <c r="U12044" s="226"/>
    </row>
    <row r="12045" spans="16:21" x14ac:dyDescent="0.35">
      <c r="P12045" s="226"/>
      <c r="Q12045" s="226"/>
      <c r="R12045" s="226"/>
      <c r="S12045" s="226"/>
      <c r="T12045" s="226"/>
      <c r="U12045" s="226"/>
    </row>
    <row r="12046" spans="16:21" x14ac:dyDescent="0.35">
      <c r="P12046" s="226"/>
      <c r="Q12046" s="226"/>
      <c r="R12046" s="226"/>
      <c r="S12046" s="226"/>
      <c r="T12046" s="226"/>
      <c r="U12046" s="226"/>
    </row>
    <row r="12047" spans="16:21" x14ac:dyDescent="0.35">
      <c r="P12047" s="226"/>
      <c r="Q12047" s="226"/>
      <c r="R12047" s="226"/>
      <c r="S12047" s="226"/>
      <c r="T12047" s="226"/>
      <c r="U12047" s="226"/>
    </row>
    <row r="12048" spans="16:21" x14ac:dyDescent="0.35">
      <c r="P12048" s="226"/>
      <c r="Q12048" s="226"/>
      <c r="R12048" s="226"/>
      <c r="S12048" s="226"/>
      <c r="T12048" s="226"/>
      <c r="U12048" s="226"/>
    </row>
    <row r="12049" spans="16:21" x14ac:dyDescent="0.35">
      <c r="P12049" s="226"/>
      <c r="Q12049" s="226"/>
      <c r="R12049" s="226"/>
      <c r="S12049" s="226"/>
      <c r="T12049" s="226"/>
      <c r="U12049" s="226"/>
    </row>
    <row r="12050" spans="16:21" x14ac:dyDescent="0.35">
      <c r="P12050" s="226"/>
      <c r="Q12050" s="226"/>
      <c r="R12050" s="226"/>
      <c r="S12050" s="226"/>
      <c r="T12050" s="226"/>
      <c r="U12050" s="226"/>
    </row>
    <row r="12051" spans="16:21" x14ac:dyDescent="0.35">
      <c r="P12051" s="226"/>
      <c r="Q12051" s="226"/>
      <c r="R12051" s="226"/>
      <c r="S12051" s="226"/>
      <c r="T12051" s="226"/>
      <c r="U12051" s="226"/>
    </row>
    <row r="12052" spans="16:21" x14ac:dyDescent="0.35">
      <c r="P12052" s="226"/>
      <c r="Q12052" s="226"/>
      <c r="R12052" s="226"/>
      <c r="S12052" s="226"/>
      <c r="T12052" s="226"/>
      <c r="U12052" s="226"/>
    </row>
    <row r="12053" spans="16:21" x14ac:dyDescent="0.35">
      <c r="P12053" s="226"/>
      <c r="Q12053" s="226"/>
      <c r="R12053" s="226"/>
      <c r="S12053" s="226"/>
      <c r="T12053" s="226"/>
      <c r="U12053" s="226"/>
    </row>
    <row r="12054" spans="16:21" x14ac:dyDescent="0.35">
      <c r="P12054" s="226"/>
      <c r="Q12054" s="226"/>
      <c r="R12054" s="226"/>
      <c r="S12054" s="226"/>
      <c r="T12054" s="226"/>
      <c r="U12054" s="226"/>
    </row>
    <row r="12055" spans="16:21" x14ac:dyDescent="0.35">
      <c r="P12055" s="226"/>
      <c r="Q12055" s="226"/>
      <c r="R12055" s="226"/>
      <c r="S12055" s="226"/>
      <c r="T12055" s="226"/>
      <c r="U12055" s="226"/>
    </row>
    <row r="12056" spans="16:21" x14ac:dyDescent="0.35">
      <c r="P12056" s="226"/>
      <c r="Q12056" s="226"/>
      <c r="R12056" s="226"/>
      <c r="S12056" s="226"/>
      <c r="T12056" s="226"/>
      <c r="U12056" s="226"/>
    </row>
    <row r="12057" spans="16:21" x14ac:dyDescent="0.35">
      <c r="P12057" s="226"/>
      <c r="Q12057" s="226"/>
      <c r="R12057" s="226"/>
      <c r="S12057" s="226"/>
      <c r="T12057" s="226"/>
      <c r="U12057" s="226"/>
    </row>
    <row r="12058" spans="16:21" x14ac:dyDescent="0.35">
      <c r="P12058" s="226"/>
      <c r="Q12058" s="226"/>
      <c r="R12058" s="226"/>
      <c r="S12058" s="226"/>
      <c r="T12058" s="226"/>
      <c r="U12058" s="226"/>
    </row>
    <row r="12059" spans="16:21" x14ac:dyDescent="0.35">
      <c r="P12059" s="226"/>
      <c r="Q12059" s="226"/>
      <c r="R12059" s="226"/>
      <c r="S12059" s="226"/>
      <c r="T12059" s="226"/>
      <c r="U12059" s="226"/>
    </row>
    <row r="12060" spans="16:21" x14ac:dyDescent="0.35">
      <c r="P12060" s="226"/>
      <c r="Q12060" s="226"/>
      <c r="R12060" s="226"/>
      <c r="S12060" s="226"/>
      <c r="T12060" s="226"/>
      <c r="U12060" s="226"/>
    </row>
    <row r="12061" spans="16:21" x14ac:dyDescent="0.35">
      <c r="P12061" s="226"/>
      <c r="Q12061" s="226"/>
      <c r="R12061" s="226"/>
      <c r="S12061" s="226"/>
      <c r="T12061" s="226"/>
      <c r="U12061" s="226"/>
    </row>
    <row r="12062" spans="16:21" x14ac:dyDescent="0.35">
      <c r="P12062" s="226"/>
      <c r="Q12062" s="226"/>
      <c r="R12062" s="226"/>
      <c r="S12062" s="226"/>
      <c r="T12062" s="226"/>
      <c r="U12062" s="226"/>
    </row>
    <row r="12063" spans="16:21" x14ac:dyDescent="0.35">
      <c r="P12063" s="226"/>
      <c r="Q12063" s="226"/>
      <c r="R12063" s="226"/>
      <c r="S12063" s="226"/>
      <c r="T12063" s="226"/>
      <c r="U12063" s="226"/>
    </row>
    <row r="12064" spans="16:21" x14ac:dyDescent="0.35">
      <c r="P12064" s="226"/>
      <c r="Q12064" s="226"/>
      <c r="R12064" s="226"/>
      <c r="S12064" s="226"/>
      <c r="T12064" s="226"/>
      <c r="U12064" s="226"/>
    </row>
    <row r="12065" spans="16:21" x14ac:dyDescent="0.35">
      <c r="P12065" s="226"/>
      <c r="Q12065" s="226"/>
      <c r="R12065" s="226"/>
      <c r="S12065" s="226"/>
      <c r="T12065" s="226"/>
      <c r="U12065" s="226"/>
    </row>
    <row r="12066" spans="16:21" x14ac:dyDescent="0.35">
      <c r="P12066" s="226"/>
      <c r="Q12066" s="226"/>
      <c r="R12066" s="226"/>
      <c r="S12066" s="226"/>
      <c r="T12066" s="226"/>
      <c r="U12066" s="226"/>
    </row>
    <row r="12067" spans="16:21" x14ac:dyDescent="0.35">
      <c r="P12067" s="226"/>
      <c r="Q12067" s="226"/>
      <c r="R12067" s="226"/>
      <c r="S12067" s="226"/>
      <c r="T12067" s="226"/>
      <c r="U12067" s="226"/>
    </row>
    <row r="12068" spans="16:21" x14ac:dyDescent="0.35">
      <c r="P12068" s="226"/>
      <c r="Q12068" s="226"/>
      <c r="R12068" s="226"/>
      <c r="S12068" s="226"/>
      <c r="T12068" s="226"/>
      <c r="U12068" s="226"/>
    </row>
    <row r="12069" spans="16:21" x14ac:dyDescent="0.35">
      <c r="P12069" s="226"/>
      <c r="Q12069" s="226"/>
      <c r="R12069" s="226"/>
      <c r="S12069" s="226"/>
      <c r="T12069" s="226"/>
      <c r="U12069" s="226"/>
    </row>
    <row r="12070" spans="16:21" x14ac:dyDescent="0.35">
      <c r="P12070" s="226"/>
      <c r="Q12070" s="226"/>
      <c r="R12070" s="226"/>
      <c r="S12070" s="226"/>
      <c r="T12070" s="226"/>
      <c r="U12070" s="226"/>
    </row>
    <row r="12071" spans="16:21" x14ac:dyDescent="0.35">
      <c r="P12071" s="226"/>
      <c r="Q12071" s="226"/>
      <c r="R12071" s="226"/>
      <c r="S12071" s="226"/>
      <c r="T12071" s="226"/>
      <c r="U12071" s="226"/>
    </row>
    <row r="12072" spans="16:21" x14ac:dyDescent="0.35">
      <c r="P12072" s="226"/>
      <c r="Q12072" s="226"/>
      <c r="R12072" s="226"/>
      <c r="S12072" s="226"/>
      <c r="T12072" s="226"/>
      <c r="U12072" s="226"/>
    </row>
    <row r="12073" spans="16:21" x14ac:dyDescent="0.35">
      <c r="P12073" s="226"/>
      <c r="Q12073" s="226"/>
      <c r="R12073" s="226"/>
      <c r="S12073" s="226"/>
      <c r="T12073" s="226"/>
      <c r="U12073" s="226"/>
    </row>
    <row r="12074" spans="16:21" x14ac:dyDescent="0.35">
      <c r="P12074" s="226"/>
      <c r="Q12074" s="226"/>
      <c r="R12074" s="226"/>
      <c r="S12074" s="226"/>
      <c r="T12074" s="226"/>
      <c r="U12074" s="226"/>
    </row>
    <row r="12075" spans="16:21" x14ac:dyDescent="0.35">
      <c r="P12075" s="226"/>
      <c r="Q12075" s="226"/>
      <c r="R12075" s="226"/>
      <c r="S12075" s="226"/>
      <c r="T12075" s="226"/>
      <c r="U12075" s="226"/>
    </row>
    <row r="12076" spans="16:21" x14ac:dyDescent="0.35">
      <c r="P12076" s="226"/>
      <c r="Q12076" s="226"/>
      <c r="R12076" s="226"/>
      <c r="S12076" s="226"/>
      <c r="T12076" s="226"/>
      <c r="U12076" s="226"/>
    </row>
    <row r="12077" spans="16:21" x14ac:dyDescent="0.35">
      <c r="P12077" s="226"/>
      <c r="Q12077" s="226"/>
      <c r="R12077" s="226"/>
      <c r="S12077" s="226"/>
      <c r="T12077" s="226"/>
      <c r="U12077" s="226"/>
    </row>
    <row r="12078" spans="16:21" x14ac:dyDescent="0.35">
      <c r="P12078" s="226"/>
      <c r="Q12078" s="226"/>
      <c r="R12078" s="226"/>
      <c r="S12078" s="226"/>
      <c r="T12078" s="226"/>
      <c r="U12078" s="226"/>
    </row>
    <row r="12079" spans="16:21" x14ac:dyDescent="0.35">
      <c r="P12079" s="226"/>
      <c r="Q12079" s="226"/>
      <c r="R12079" s="226"/>
      <c r="S12079" s="226"/>
      <c r="T12079" s="226"/>
      <c r="U12079" s="226"/>
    </row>
    <row r="12080" spans="16:21" x14ac:dyDescent="0.35">
      <c r="P12080" s="226"/>
      <c r="Q12080" s="226"/>
      <c r="R12080" s="226"/>
      <c r="S12080" s="226"/>
      <c r="T12080" s="226"/>
      <c r="U12080" s="226"/>
    </row>
    <row r="12081" spans="16:21" x14ac:dyDescent="0.35">
      <c r="P12081" s="226"/>
      <c r="Q12081" s="226"/>
      <c r="R12081" s="226"/>
      <c r="S12081" s="226"/>
      <c r="T12081" s="226"/>
      <c r="U12081" s="226"/>
    </row>
    <row r="12082" spans="16:21" x14ac:dyDescent="0.35">
      <c r="P12082" s="226"/>
      <c r="Q12082" s="226"/>
      <c r="R12082" s="226"/>
      <c r="S12082" s="226"/>
      <c r="T12082" s="226"/>
      <c r="U12082" s="226"/>
    </row>
    <row r="12083" spans="16:21" x14ac:dyDescent="0.35">
      <c r="P12083" s="226"/>
      <c r="Q12083" s="226"/>
      <c r="R12083" s="226"/>
      <c r="S12083" s="226"/>
      <c r="T12083" s="226"/>
      <c r="U12083" s="226"/>
    </row>
    <row r="12084" spans="16:21" x14ac:dyDescent="0.35">
      <c r="P12084" s="226"/>
      <c r="Q12084" s="226"/>
      <c r="R12084" s="226"/>
      <c r="S12084" s="226"/>
      <c r="T12084" s="226"/>
      <c r="U12084" s="226"/>
    </row>
    <row r="12085" spans="16:21" x14ac:dyDescent="0.35">
      <c r="P12085" s="226"/>
      <c r="Q12085" s="226"/>
      <c r="R12085" s="226"/>
      <c r="S12085" s="226"/>
      <c r="T12085" s="226"/>
      <c r="U12085" s="226"/>
    </row>
    <row r="12086" spans="16:21" x14ac:dyDescent="0.35">
      <c r="P12086" s="226"/>
      <c r="Q12086" s="226"/>
      <c r="R12086" s="226"/>
      <c r="S12086" s="226"/>
      <c r="T12086" s="226"/>
      <c r="U12086" s="226"/>
    </row>
    <row r="12087" spans="16:21" x14ac:dyDescent="0.35">
      <c r="P12087" s="226"/>
      <c r="Q12087" s="226"/>
      <c r="R12087" s="226"/>
      <c r="S12087" s="226"/>
      <c r="T12087" s="226"/>
      <c r="U12087" s="226"/>
    </row>
    <row r="12088" spans="16:21" x14ac:dyDescent="0.35">
      <c r="P12088" s="226"/>
      <c r="Q12088" s="226"/>
      <c r="R12088" s="226"/>
      <c r="S12088" s="226"/>
      <c r="T12088" s="226"/>
      <c r="U12088" s="226"/>
    </row>
    <row r="12089" spans="16:21" x14ac:dyDescent="0.35">
      <c r="P12089" s="226"/>
      <c r="Q12089" s="226"/>
      <c r="R12089" s="226"/>
      <c r="S12089" s="226"/>
      <c r="T12089" s="226"/>
      <c r="U12089" s="226"/>
    </row>
    <row r="12090" spans="16:21" x14ac:dyDescent="0.35">
      <c r="P12090" s="226"/>
      <c r="Q12090" s="226"/>
      <c r="R12090" s="226"/>
      <c r="S12090" s="226"/>
      <c r="T12090" s="226"/>
      <c r="U12090" s="226"/>
    </row>
    <row r="12091" spans="16:21" x14ac:dyDescent="0.35">
      <c r="P12091" s="226"/>
      <c r="Q12091" s="226"/>
      <c r="R12091" s="226"/>
      <c r="S12091" s="226"/>
      <c r="T12091" s="226"/>
      <c r="U12091" s="226"/>
    </row>
    <row r="12092" spans="16:21" x14ac:dyDescent="0.35">
      <c r="P12092" s="226"/>
      <c r="Q12092" s="226"/>
      <c r="R12092" s="226"/>
      <c r="S12092" s="226"/>
      <c r="T12092" s="226"/>
      <c r="U12092" s="226"/>
    </row>
    <row r="12093" spans="16:21" x14ac:dyDescent="0.35">
      <c r="P12093" s="226"/>
      <c r="Q12093" s="226"/>
      <c r="R12093" s="226"/>
      <c r="S12093" s="226"/>
      <c r="T12093" s="226"/>
      <c r="U12093" s="226"/>
    </row>
    <row r="12094" spans="16:21" x14ac:dyDescent="0.35">
      <c r="P12094" s="226"/>
      <c r="Q12094" s="226"/>
      <c r="R12094" s="226"/>
      <c r="S12094" s="226"/>
      <c r="T12094" s="226"/>
      <c r="U12094" s="226"/>
    </row>
    <row r="12095" spans="16:21" x14ac:dyDescent="0.35">
      <c r="P12095" s="226"/>
      <c r="Q12095" s="226"/>
      <c r="R12095" s="226"/>
      <c r="S12095" s="226"/>
      <c r="T12095" s="226"/>
      <c r="U12095" s="226"/>
    </row>
    <row r="12096" spans="16:21" x14ac:dyDescent="0.35">
      <c r="P12096" s="226"/>
      <c r="Q12096" s="226"/>
      <c r="R12096" s="226"/>
      <c r="S12096" s="226"/>
      <c r="T12096" s="226"/>
      <c r="U12096" s="226"/>
    </row>
    <row r="12097" spans="16:21" x14ac:dyDescent="0.35">
      <c r="P12097" s="226"/>
      <c r="Q12097" s="226"/>
      <c r="R12097" s="226"/>
      <c r="S12097" s="226"/>
      <c r="T12097" s="226"/>
      <c r="U12097" s="226"/>
    </row>
    <row r="12098" spans="16:21" x14ac:dyDescent="0.35">
      <c r="P12098" s="226"/>
      <c r="Q12098" s="226"/>
      <c r="R12098" s="226"/>
      <c r="S12098" s="226"/>
      <c r="T12098" s="226"/>
      <c r="U12098" s="226"/>
    </row>
    <row r="12099" spans="16:21" x14ac:dyDescent="0.35">
      <c r="P12099" s="226"/>
      <c r="Q12099" s="226"/>
      <c r="R12099" s="226"/>
      <c r="S12099" s="226"/>
      <c r="T12099" s="226"/>
      <c r="U12099" s="226"/>
    </row>
    <row r="12100" spans="16:21" x14ac:dyDescent="0.35">
      <c r="P12100" s="226"/>
      <c r="Q12100" s="226"/>
      <c r="R12100" s="226"/>
      <c r="S12100" s="226"/>
      <c r="T12100" s="226"/>
      <c r="U12100" s="226"/>
    </row>
    <row r="12101" spans="16:21" x14ac:dyDescent="0.35">
      <c r="P12101" s="226"/>
      <c r="Q12101" s="226"/>
      <c r="R12101" s="226"/>
      <c r="S12101" s="226"/>
      <c r="T12101" s="226"/>
      <c r="U12101" s="226"/>
    </row>
    <row r="12102" spans="16:21" x14ac:dyDescent="0.35">
      <c r="P12102" s="226"/>
      <c r="Q12102" s="226"/>
      <c r="R12102" s="226"/>
      <c r="S12102" s="226"/>
      <c r="T12102" s="226"/>
      <c r="U12102" s="226"/>
    </row>
    <row r="12103" spans="16:21" x14ac:dyDescent="0.35">
      <c r="P12103" s="226"/>
      <c r="Q12103" s="226"/>
      <c r="R12103" s="226"/>
      <c r="S12103" s="226"/>
      <c r="T12103" s="226"/>
      <c r="U12103" s="226"/>
    </row>
    <row r="12104" spans="16:21" x14ac:dyDescent="0.35">
      <c r="P12104" s="226"/>
      <c r="Q12104" s="226"/>
      <c r="R12104" s="226"/>
      <c r="S12104" s="226"/>
      <c r="T12104" s="226"/>
      <c r="U12104" s="226"/>
    </row>
    <row r="12105" spans="16:21" x14ac:dyDescent="0.35">
      <c r="P12105" s="226"/>
      <c r="Q12105" s="226"/>
      <c r="R12105" s="226"/>
      <c r="S12105" s="226"/>
      <c r="T12105" s="226"/>
      <c r="U12105" s="226"/>
    </row>
    <row r="12106" spans="16:21" x14ac:dyDescent="0.35">
      <c r="P12106" s="226"/>
      <c r="Q12106" s="226"/>
      <c r="R12106" s="226"/>
      <c r="S12106" s="226"/>
      <c r="T12106" s="226"/>
      <c r="U12106" s="226"/>
    </row>
    <row r="12107" spans="16:21" x14ac:dyDescent="0.35">
      <c r="P12107" s="226"/>
      <c r="Q12107" s="226"/>
      <c r="R12107" s="226"/>
      <c r="S12107" s="226"/>
      <c r="T12107" s="226"/>
      <c r="U12107" s="226"/>
    </row>
    <row r="12108" spans="16:21" x14ac:dyDescent="0.35">
      <c r="P12108" s="226"/>
      <c r="Q12108" s="226"/>
      <c r="R12108" s="226"/>
      <c r="S12108" s="226"/>
      <c r="T12108" s="226"/>
      <c r="U12108" s="226"/>
    </row>
    <row r="12109" spans="16:21" x14ac:dyDescent="0.35">
      <c r="P12109" s="226"/>
      <c r="Q12109" s="226"/>
      <c r="R12109" s="226"/>
      <c r="S12109" s="226"/>
      <c r="T12109" s="226"/>
      <c r="U12109" s="226"/>
    </row>
    <row r="12110" spans="16:21" x14ac:dyDescent="0.35">
      <c r="P12110" s="226"/>
      <c r="Q12110" s="226"/>
      <c r="R12110" s="226"/>
      <c r="S12110" s="226"/>
      <c r="T12110" s="226"/>
      <c r="U12110" s="226"/>
    </row>
    <row r="12111" spans="16:21" x14ac:dyDescent="0.35">
      <c r="P12111" s="226"/>
      <c r="Q12111" s="226"/>
      <c r="R12111" s="226"/>
      <c r="S12111" s="226"/>
      <c r="T12111" s="226"/>
      <c r="U12111" s="226"/>
    </row>
    <row r="12112" spans="16:21" x14ac:dyDescent="0.35">
      <c r="P12112" s="226"/>
      <c r="Q12112" s="226"/>
      <c r="R12112" s="226"/>
      <c r="S12112" s="226"/>
      <c r="T12112" s="226"/>
      <c r="U12112" s="226"/>
    </row>
    <row r="12113" spans="16:21" x14ac:dyDescent="0.35">
      <c r="P12113" s="226"/>
      <c r="Q12113" s="226"/>
      <c r="R12113" s="226"/>
      <c r="S12113" s="226"/>
      <c r="T12113" s="226"/>
      <c r="U12113" s="226"/>
    </row>
    <row r="12114" spans="16:21" x14ac:dyDescent="0.35">
      <c r="P12114" s="226"/>
      <c r="Q12114" s="226"/>
      <c r="R12114" s="226"/>
      <c r="S12114" s="226"/>
      <c r="T12114" s="226"/>
      <c r="U12114" s="226"/>
    </row>
    <row r="12115" spans="16:21" x14ac:dyDescent="0.35">
      <c r="P12115" s="226"/>
      <c r="Q12115" s="226"/>
      <c r="R12115" s="226"/>
      <c r="S12115" s="226"/>
      <c r="T12115" s="226"/>
      <c r="U12115" s="226"/>
    </row>
    <row r="12116" spans="16:21" x14ac:dyDescent="0.35">
      <c r="P12116" s="226"/>
      <c r="Q12116" s="226"/>
      <c r="R12116" s="226"/>
      <c r="S12116" s="226"/>
      <c r="T12116" s="226"/>
      <c r="U12116" s="226"/>
    </row>
    <row r="12117" spans="16:21" x14ac:dyDescent="0.35">
      <c r="P12117" s="226"/>
      <c r="Q12117" s="226"/>
      <c r="R12117" s="226"/>
      <c r="S12117" s="226"/>
      <c r="T12117" s="226"/>
      <c r="U12117" s="226"/>
    </row>
    <row r="12118" spans="16:21" x14ac:dyDescent="0.35">
      <c r="P12118" s="226"/>
      <c r="Q12118" s="226"/>
      <c r="R12118" s="226"/>
      <c r="S12118" s="226"/>
      <c r="T12118" s="226"/>
      <c r="U12118" s="226"/>
    </row>
    <row r="12119" spans="16:21" x14ac:dyDescent="0.35">
      <c r="P12119" s="226"/>
      <c r="Q12119" s="226"/>
      <c r="R12119" s="226"/>
      <c r="S12119" s="226"/>
      <c r="T12119" s="226"/>
      <c r="U12119" s="226"/>
    </row>
    <row r="12120" spans="16:21" x14ac:dyDescent="0.35">
      <c r="P12120" s="226"/>
      <c r="Q12120" s="226"/>
      <c r="R12120" s="226"/>
      <c r="S12120" s="226"/>
      <c r="T12120" s="226"/>
      <c r="U12120" s="226"/>
    </row>
    <row r="12121" spans="16:21" x14ac:dyDescent="0.35">
      <c r="P12121" s="226"/>
      <c r="Q12121" s="226"/>
      <c r="R12121" s="226"/>
      <c r="S12121" s="226"/>
      <c r="T12121" s="226"/>
      <c r="U12121" s="226"/>
    </row>
    <row r="12122" spans="16:21" x14ac:dyDescent="0.35">
      <c r="P12122" s="226"/>
      <c r="Q12122" s="226"/>
      <c r="R12122" s="226"/>
      <c r="S12122" s="226"/>
      <c r="T12122" s="226"/>
      <c r="U12122" s="226"/>
    </row>
    <row r="12123" spans="16:21" x14ac:dyDescent="0.35">
      <c r="P12123" s="226"/>
      <c r="Q12123" s="226"/>
      <c r="R12123" s="226"/>
      <c r="S12123" s="226"/>
      <c r="T12123" s="226"/>
      <c r="U12123" s="226"/>
    </row>
    <row r="12124" spans="16:21" x14ac:dyDescent="0.35">
      <c r="P12124" s="226"/>
      <c r="Q12124" s="226"/>
      <c r="R12124" s="226"/>
      <c r="S12124" s="226"/>
      <c r="T12124" s="226"/>
      <c r="U12124" s="226"/>
    </row>
    <row r="12125" spans="16:21" x14ac:dyDescent="0.35">
      <c r="P12125" s="226"/>
      <c r="Q12125" s="226"/>
      <c r="R12125" s="226"/>
      <c r="S12125" s="226"/>
      <c r="T12125" s="226"/>
      <c r="U12125" s="226"/>
    </row>
    <row r="12126" spans="16:21" x14ac:dyDescent="0.35">
      <c r="P12126" s="226"/>
      <c r="Q12126" s="226"/>
      <c r="R12126" s="226"/>
      <c r="S12126" s="226"/>
      <c r="T12126" s="226"/>
      <c r="U12126" s="226"/>
    </row>
    <row r="12127" spans="16:21" x14ac:dyDescent="0.35">
      <c r="P12127" s="226"/>
      <c r="Q12127" s="226"/>
      <c r="R12127" s="226"/>
      <c r="S12127" s="226"/>
      <c r="T12127" s="226"/>
      <c r="U12127" s="226"/>
    </row>
    <row r="12128" spans="16:21" x14ac:dyDescent="0.35">
      <c r="P12128" s="226"/>
      <c r="Q12128" s="226"/>
      <c r="R12128" s="226"/>
      <c r="S12128" s="226"/>
      <c r="T12128" s="226"/>
      <c r="U12128" s="226"/>
    </row>
    <row r="12129" spans="16:21" x14ac:dyDescent="0.35">
      <c r="P12129" s="226"/>
      <c r="Q12129" s="226"/>
      <c r="R12129" s="226"/>
      <c r="S12129" s="226"/>
      <c r="T12129" s="226"/>
      <c r="U12129" s="226"/>
    </row>
    <row r="12130" spans="16:21" x14ac:dyDescent="0.35">
      <c r="P12130" s="226"/>
      <c r="Q12130" s="226"/>
      <c r="R12130" s="226"/>
      <c r="S12130" s="226"/>
      <c r="T12130" s="226"/>
      <c r="U12130" s="226"/>
    </row>
    <row r="12131" spans="16:21" x14ac:dyDescent="0.35">
      <c r="P12131" s="226"/>
      <c r="Q12131" s="226"/>
      <c r="R12131" s="226"/>
      <c r="S12131" s="226"/>
      <c r="T12131" s="226"/>
      <c r="U12131" s="226"/>
    </row>
    <row r="12132" spans="16:21" x14ac:dyDescent="0.35">
      <c r="P12132" s="226"/>
      <c r="Q12132" s="226"/>
      <c r="R12132" s="226"/>
      <c r="S12132" s="226"/>
      <c r="T12132" s="226"/>
      <c r="U12132" s="226"/>
    </row>
    <row r="12133" spans="16:21" x14ac:dyDescent="0.35">
      <c r="P12133" s="226"/>
      <c r="Q12133" s="226"/>
      <c r="R12133" s="226"/>
      <c r="S12133" s="226"/>
      <c r="T12133" s="226"/>
      <c r="U12133" s="226"/>
    </row>
    <row r="12134" spans="16:21" x14ac:dyDescent="0.35">
      <c r="P12134" s="226"/>
      <c r="Q12134" s="226"/>
      <c r="R12134" s="226"/>
      <c r="S12134" s="226"/>
      <c r="T12134" s="226"/>
      <c r="U12134" s="226"/>
    </row>
    <row r="12135" spans="16:21" x14ac:dyDescent="0.35">
      <c r="P12135" s="226"/>
      <c r="Q12135" s="226"/>
      <c r="R12135" s="226"/>
      <c r="S12135" s="226"/>
      <c r="T12135" s="226"/>
      <c r="U12135" s="226"/>
    </row>
    <row r="12136" spans="16:21" x14ac:dyDescent="0.35">
      <c r="P12136" s="226"/>
      <c r="Q12136" s="226"/>
      <c r="R12136" s="226"/>
      <c r="S12136" s="226"/>
      <c r="T12136" s="226"/>
      <c r="U12136" s="226"/>
    </row>
    <row r="12137" spans="16:21" x14ac:dyDescent="0.35">
      <c r="P12137" s="226"/>
      <c r="Q12137" s="226"/>
      <c r="R12137" s="226"/>
      <c r="S12137" s="226"/>
      <c r="T12137" s="226"/>
      <c r="U12137" s="226"/>
    </row>
    <row r="12138" spans="16:21" x14ac:dyDescent="0.35">
      <c r="P12138" s="226"/>
      <c r="Q12138" s="226"/>
      <c r="R12138" s="226"/>
      <c r="S12138" s="226"/>
      <c r="T12138" s="226"/>
      <c r="U12138" s="226"/>
    </row>
    <row r="12139" spans="16:21" x14ac:dyDescent="0.35">
      <c r="P12139" s="226"/>
      <c r="Q12139" s="226"/>
      <c r="R12139" s="226"/>
      <c r="S12139" s="226"/>
      <c r="T12139" s="226"/>
      <c r="U12139" s="226"/>
    </row>
    <row r="12140" spans="16:21" x14ac:dyDescent="0.35">
      <c r="P12140" s="226"/>
      <c r="Q12140" s="226"/>
      <c r="R12140" s="226"/>
      <c r="S12140" s="226"/>
      <c r="T12140" s="226"/>
      <c r="U12140" s="226"/>
    </row>
    <row r="12141" spans="16:21" x14ac:dyDescent="0.35">
      <c r="P12141" s="226"/>
      <c r="Q12141" s="226"/>
      <c r="R12141" s="226"/>
      <c r="S12141" s="226"/>
      <c r="T12141" s="226"/>
      <c r="U12141" s="226"/>
    </row>
    <row r="12142" spans="16:21" x14ac:dyDescent="0.35">
      <c r="P12142" s="226"/>
      <c r="Q12142" s="226"/>
      <c r="R12142" s="226"/>
      <c r="S12142" s="226"/>
      <c r="T12142" s="226"/>
      <c r="U12142" s="226"/>
    </row>
    <row r="12143" spans="16:21" x14ac:dyDescent="0.35">
      <c r="P12143" s="226"/>
      <c r="Q12143" s="226"/>
      <c r="R12143" s="226"/>
      <c r="S12143" s="226"/>
      <c r="T12143" s="226"/>
      <c r="U12143" s="226"/>
    </row>
    <row r="12144" spans="16:21" x14ac:dyDescent="0.35">
      <c r="P12144" s="226"/>
      <c r="Q12144" s="226"/>
      <c r="R12144" s="226"/>
      <c r="S12144" s="226"/>
      <c r="T12144" s="226"/>
      <c r="U12144" s="226"/>
    </row>
    <row r="12145" spans="16:21" x14ac:dyDescent="0.35">
      <c r="P12145" s="226"/>
      <c r="Q12145" s="226"/>
      <c r="R12145" s="226"/>
      <c r="S12145" s="226"/>
      <c r="T12145" s="226"/>
      <c r="U12145" s="226"/>
    </row>
    <row r="12146" spans="16:21" x14ac:dyDescent="0.35">
      <c r="P12146" s="226"/>
      <c r="Q12146" s="226"/>
      <c r="R12146" s="226"/>
      <c r="S12146" s="226"/>
      <c r="T12146" s="226"/>
      <c r="U12146" s="226"/>
    </row>
    <row r="12147" spans="16:21" x14ac:dyDescent="0.35">
      <c r="P12147" s="226"/>
      <c r="Q12147" s="226"/>
      <c r="R12147" s="226"/>
      <c r="S12147" s="226"/>
      <c r="T12147" s="226"/>
      <c r="U12147" s="226"/>
    </row>
    <row r="12148" spans="16:21" x14ac:dyDescent="0.35">
      <c r="P12148" s="226"/>
      <c r="Q12148" s="226"/>
      <c r="R12148" s="226"/>
      <c r="S12148" s="226"/>
      <c r="T12148" s="226"/>
      <c r="U12148" s="226"/>
    </row>
    <row r="12149" spans="16:21" x14ac:dyDescent="0.35">
      <c r="P12149" s="226"/>
      <c r="Q12149" s="226"/>
      <c r="R12149" s="226"/>
      <c r="S12149" s="226"/>
      <c r="T12149" s="226"/>
      <c r="U12149" s="226"/>
    </row>
    <row r="12150" spans="16:21" x14ac:dyDescent="0.35">
      <c r="P12150" s="226"/>
      <c r="Q12150" s="226"/>
      <c r="R12150" s="226"/>
      <c r="S12150" s="226"/>
      <c r="T12150" s="226"/>
      <c r="U12150" s="226"/>
    </row>
    <row r="12151" spans="16:21" x14ac:dyDescent="0.35">
      <c r="P12151" s="226"/>
      <c r="Q12151" s="226"/>
      <c r="R12151" s="226"/>
      <c r="S12151" s="226"/>
      <c r="T12151" s="226"/>
      <c r="U12151" s="226"/>
    </row>
    <row r="12152" spans="16:21" x14ac:dyDescent="0.35">
      <c r="P12152" s="226"/>
      <c r="Q12152" s="226"/>
      <c r="R12152" s="226"/>
      <c r="S12152" s="226"/>
      <c r="T12152" s="226"/>
      <c r="U12152" s="226"/>
    </row>
    <row r="12153" spans="16:21" x14ac:dyDescent="0.35">
      <c r="P12153" s="226"/>
      <c r="Q12153" s="226"/>
      <c r="R12153" s="226"/>
      <c r="S12153" s="226"/>
      <c r="T12153" s="226"/>
      <c r="U12153" s="226"/>
    </row>
    <row r="12154" spans="16:21" x14ac:dyDescent="0.35">
      <c r="P12154" s="226"/>
      <c r="Q12154" s="226"/>
      <c r="R12154" s="226"/>
      <c r="S12154" s="226"/>
      <c r="T12154" s="226"/>
      <c r="U12154" s="226"/>
    </row>
    <row r="12155" spans="16:21" x14ac:dyDescent="0.35">
      <c r="P12155" s="226"/>
      <c r="Q12155" s="226"/>
      <c r="R12155" s="226"/>
      <c r="S12155" s="226"/>
      <c r="T12155" s="226"/>
      <c r="U12155" s="226"/>
    </row>
    <row r="12156" spans="16:21" x14ac:dyDescent="0.35">
      <c r="P12156" s="226"/>
      <c r="Q12156" s="226"/>
      <c r="R12156" s="226"/>
      <c r="S12156" s="226"/>
      <c r="T12156" s="226"/>
      <c r="U12156" s="226"/>
    </row>
    <row r="12157" spans="16:21" x14ac:dyDescent="0.35">
      <c r="P12157" s="226"/>
      <c r="Q12157" s="226"/>
      <c r="R12157" s="226"/>
      <c r="S12157" s="226"/>
      <c r="T12157" s="226"/>
      <c r="U12157" s="226"/>
    </row>
    <row r="12158" spans="16:21" x14ac:dyDescent="0.35">
      <c r="P12158" s="226"/>
      <c r="Q12158" s="226"/>
      <c r="R12158" s="226"/>
      <c r="S12158" s="226"/>
      <c r="T12158" s="226"/>
      <c r="U12158" s="226"/>
    </row>
    <row r="12159" spans="16:21" x14ac:dyDescent="0.35">
      <c r="P12159" s="226"/>
      <c r="Q12159" s="226"/>
      <c r="R12159" s="226"/>
      <c r="S12159" s="226"/>
      <c r="T12159" s="226"/>
      <c r="U12159" s="226"/>
    </row>
    <row r="12160" spans="16:21" x14ac:dyDescent="0.35">
      <c r="P12160" s="226"/>
      <c r="Q12160" s="226"/>
      <c r="R12160" s="226"/>
      <c r="S12160" s="226"/>
      <c r="T12160" s="226"/>
      <c r="U12160" s="226"/>
    </row>
    <row r="12161" spans="16:21" x14ac:dyDescent="0.35">
      <c r="P12161" s="226"/>
      <c r="Q12161" s="226"/>
      <c r="R12161" s="226"/>
      <c r="S12161" s="226"/>
      <c r="T12161" s="226"/>
      <c r="U12161" s="226"/>
    </row>
    <row r="12162" spans="16:21" x14ac:dyDescent="0.35">
      <c r="P12162" s="226"/>
      <c r="Q12162" s="226"/>
      <c r="R12162" s="226"/>
      <c r="S12162" s="226"/>
      <c r="T12162" s="226"/>
      <c r="U12162" s="226"/>
    </row>
    <row r="12163" spans="16:21" x14ac:dyDescent="0.35">
      <c r="P12163" s="226"/>
      <c r="Q12163" s="226"/>
      <c r="R12163" s="226"/>
      <c r="S12163" s="226"/>
      <c r="T12163" s="226"/>
      <c r="U12163" s="226"/>
    </row>
    <row r="12164" spans="16:21" x14ac:dyDescent="0.35">
      <c r="P12164" s="226"/>
      <c r="Q12164" s="226"/>
      <c r="R12164" s="226"/>
      <c r="S12164" s="226"/>
      <c r="T12164" s="226"/>
      <c r="U12164" s="226"/>
    </row>
    <row r="12165" spans="16:21" x14ac:dyDescent="0.35">
      <c r="P12165" s="226"/>
      <c r="Q12165" s="226"/>
      <c r="R12165" s="226"/>
      <c r="S12165" s="226"/>
      <c r="T12165" s="226"/>
      <c r="U12165" s="226"/>
    </row>
    <row r="12166" spans="16:21" x14ac:dyDescent="0.35">
      <c r="P12166" s="226"/>
      <c r="Q12166" s="226"/>
      <c r="R12166" s="226"/>
      <c r="S12166" s="226"/>
      <c r="T12166" s="226"/>
      <c r="U12166" s="226"/>
    </row>
    <row r="12167" spans="16:21" x14ac:dyDescent="0.35">
      <c r="P12167" s="226"/>
      <c r="Q12167" s="226"/>
      <c r="R12167" s="226"/>
      <c r="S12167" s="226"/>
      <c r="T12167" s="226"/>
      <c r="U12167" s="226"/>
    </row>
    <row r="12168" spans="16:21" x14ac:dyDescent="0.35">
      <c r="P12168" s="226"/>
      <c r="Q12168" s="226"/>
      <c r="R12168" s="226"/>
      <c r="S12168" s="226"/>
      <c r="T12168" s="226"/>
      <c r="U12168" s="226"/>
    </row>
    <row r="12169" spans="16:21" x14ac:dyDescent="0.35">
      <c r="P12169" s="226"/>
      <c r="Q12169" s="226"/>
      <c r="R12169" s="226"/>
      <c r="S12169" s="226"/>
      <c r="T12169" s="226"/>
      <c r="U12169" s="226"/>
    </row>
    <row r="12170" spans="16:21" x14ac:dyDescent="0.35">
      <c r="P12170" s="226"/>
      <c r="Q12170" s="226"/>
      <c r="R12170" s="226"/>
      <c r="S12170" s="226"/>
      <c r="T12170" s="226"/>
      <c r="U12170" s="226"/>
    </row>
    <row r="12171" spans="16:21" x14ac:dyDescent="0.35">
      <c r="P12171" s="226"/>
      <c r="Q12171" s="226"/>
      <c r="R12171" s="226"/>
      <c r="S12171" s="226"/>
      <c r="T12171" s="226"/>
      <c r="U12171" s="226"/>
    </row>
    <row r="12172" spans="16:21" x14ac:dyDescent="0.35">
      <c r="P12172" s="226"/>
      <c r="Q12172" s="226"/>
      <c r="R12172" s="226"/>
      <c r="S12172" s="226"/>
      <c r="T12172" s="226"/>
      <c r="U12172" s="226"/>
    </row>
    <row r="12173" spans="16:21" x14ac:dyDescent="0.35">
      <c r="P12173" s="226"/>
      <c r="Q12173" s="226"/>
      <c r="R12173" s="226"/>
      <c r="S12173" s="226"/>
      <c r="T12173" s="226"/>
      <c r="U12173" s="226"/>
    </row>
    <row r="12174" spans="16:21" x14ac:dyDescent="0.35">
      <c r="P12174" s="226"/>
      <c r="Q12174" s="226"/>
      <c r="R12174" s="226"/>
      <c r="S12174" s="226"/>
      <c r="T12174" s="226"/>
      <c r="U12174" s="226"/>
    </row>
    <row r="12175" spans="16:21" x14ac:dyDescent="0.35">
      <c r="P12175" s="226"/>
      <c r="Q12175" s="226"/>
      <c r="R12175" s="226"/>
      <c r="S12175" s="226"/>
      <c r="T12175" s="226"/>
      <c r="U12175" s="226"/>
    </row>
    <row r="12176" spans="16:21" x14ac:dyDescent="0.35">
      <c r="P12176" s="226"/>
      <c r="Q12176" s="226"/>
      <c r="R12176" s="226"/>
      <c r="S12176" s="226"/>
      <c r="T12176" s="226"/>
      <c r="U12176" s="226"/>
    </row>
    <row r="12177" spans="16:21" x14ac:dyDescent="0.35">
      <c r="P12177" s="226"/>
      <c r="Q12177" s="226"/>
      <c r="R12177" s="226"/>
      <c r="S12177" s="226"/>
      <c r="T12177" s="226"/>
      <c r="U12177" s="226"/>
    </row>
    <row r="12178" spans="16:21" x14ac:dyDescent="0.35">
      <c r="P12178" s="226"/>
      <c r="Q12178" s="226"/>
      <c r="R12178" s="226"/>
      <c r="S12178" s="226"/>
      <c r="T12178" s="226"/>
      <c r="U12178" s="226"/>
    </row>
    <row r="12179" spans="16:21" x14ac:dyDescent="0.35">
      <c r="P12179" s="226"/>
      <c r="Q12179" s="226"/>
      <c r="R12179" s="226"/>
      <c r="S12179" s="226"/>
      <c r="T12179" s="226"/>
      <c r="U12179" s="226"/>
    </row>
    <row r="12180" spans="16:21" x14ac:dyDescent="0.35">
      <c r="P12180" s="226"/>
      <c r="Q12180" s="226"/>
      <c r="R12180" s="226"/>
      <c r="S12180" s="226"/>
      <c r="T12180" s="226"/>
      <c r="U12180" s="226"/>
    </row>
    <row r="12181" spans="16:21" x14ac:dyDescent="0.35">
      <c r="P12181" s="226"/>
      <c r="Q12181" s="226"/>
      <c r="R12181" s="226"/>
      <c r="S12181" s="226"/>
      <c r="T12181" s="226"/>
      <c r="U12181" s="226"/>
    </row>
    <row r="12182" spans="16:21" x14ac:dyDescent="0.35">
      <c r="P12182" s="226"/>
      <c r="Q12182" s="226"/>
      <c r="R12182" s="226"/>
      <c r="S12182" s="226"/>
      <c r="T12182" s="226"/>
      <c r="U12182" s="226"/>
    </row>
    <row r="12183" spans="16:21" x14ac:dyDescent="0.35">
      <c r="P12183" s="226"/>
      <c r="Q12183" s="226"/>
      <c r="R12183" s="226"/>
      <c r="S12183" s="226"/>
      <c r="T12183" s="226"/>
      <c r="U12183" s="226"/>
    </row>
    <row r="12184" spans="16:21" x14ac:dyDescent="0.35">
      <c r="P12184" s="226"/>
      <c r="Q12184" s="226"/>
      <c r="R12184" s="226"/>
      <c r="S12184" s="226"/>
      <c r="T12184" s="226"/>
      <c r="U12184" s="226"/>
    </row>
    <row r="12185" spans="16:21" x14ac:dyDescent="0.35">
      <c r="P12185" s="226"/>
      <c r="Q12185" s="226"/>
      <c r="R12185" s="226"/>
      <c r="S12185" s="226"/>
      <c r="T12185" s="226"/>
      <c r="U12185" s="226"/>
    </row>
    <row r="12186" spans="16:21" x14ac:dyDescent="0.35">
      <c r="P12186" s="226"/>
      <c r="Q12186" s="226"/>
      <c r="R12186" s="226"/>
      <c r="S12186" s="226"/>
      <c r="T12186" s="226"/>
      <c r="U12186" s="226"/>
    </row>
    <row r="12187" spans="16:21" x14ac:dyDescent="0.35">
      <c r="P12187" s="226"/>
      <c r="Q12187" s="226"/>
      <c r="R12187" s="226"/>
      <c r="S12187" s="226"/>
      <c r="T12187" s="226"/>
      <c r="U12187" s="226"/>
    </row>
    <row r="12188" spans="16:21" x14ac:dyDescent="0.35">
      <c r="P12188" s="226"/>
      <c r="Q12188" s="226"/>
      <c r="R12188" s="226"/>
      <c r="S12188" s="226"/>
      <c r="T12188" s="226"/>
      <c r="U12188" s="226"/>
    </row>
    <row r="12189" spans="16:21" x14ac:dyDescent="0.35">
      <c r="P12189" s="226"/>
      <c r="Q12189" s="226"/>
      <c r="R12189" s="226"/>
      <c r="S12189" s="226"/>
      <c r="T12189" s="226"/>
      <c r="U12189" s="226"/>
    </row>
    <row r="12190" spans="16:21" x14ac:dyDescent="0.35">
      <c r="P12190" s="226"/>
      <c r="Q12190" s="226"/>
      <c r="R12190" s="226"/>
      <c r="S12190" s="226"/>
      <c r="T12190" s="226"/>
      <c r="U12190" s="226"/>
    </row>
    <row r="12191" spans="16:21" x14ac:dyDescent="0.35">
      <c r="P12191" s="226"/>
      <c r="Q12191" s="226"/>
      <c r="R12191" s="226"/>
      <c r="S12191" s="226"/>
      <c r="T12191" s="226"/>
      <c r="U12191" s="226"/>
    </row>
    <row r="12192" spans="16:21" x14ac:dyDescent="0.35">
      <c r="P12192" s="226"/>
      <c r="Q12192" s="226"/>
      <c r="R12192" s="226"/>
      <c r="S12192" s="226"/>
      <c r="T12192" s="226"/>
      <c r="U12192" s="226"/>
    </row>
    <row r="12193" spans="16:21" x14ac:dyDescent="0.35">
      <c r="P12193" s="226"/>
      <c r="Q12193" s="226"/>
      <c r="R12193" s="226"/>
      <c r="S12193" s="226"/>
      <c r="T12193" s="226"/>
      <c r="U12193" s="226"/>
    </row>
    <row r="12194" spans="16:21" x14ac:dyDescent="0.35">
      <c r="P12194" s="226"/>
      <c r="Q12194" s="226"/>
      <c r="R12194" s="226"/>
      <c r="S12194" s="226"/>
      <c r="T12194" s="226"/>
      <c r="U12194" s="226"/>
    </row>
    <row r="12195" spans="16:21" x14ac:dyDescent="0.35">
      <c r="P12195" s="226"/>
      <c r="Q12195" s="226"/>
      <c r="R12195" s="226"/>
      <c r="S12195" s="226"/>
      <c r="T12195" s="226"/>
      <c r="U12195" s="226"/>
    </row>
    <row r="12196" spans="16:21" x14ac:dyDescent="0.35">
      <c r="P12196" s="226"/>
      <c r="Q12196" s="226"/>
      <c r="R12196" s="226"/>
      <c r="S12196" s="226"/>
      <c r="T12196" s="226"/>
      <c r="U12196" s="226"/>
    </row>
    <row r="12197" spans="16:21" x14ac:dyDescent="0.35">
      <c r="P12197" s="226"/>
      <c r="Q12197" s="226"/>
      <c r="R12197" s="226"/>
      <c r="S12197" s="226"/>
      <c r="T12197" s="226"/>
      <c r="U12197" s="226"/>
    </row>
    <row r="12198" spans="16:21" x14ac:dyDescent="0.35">
      <c r="P12198" s="226"/>
      <c r="Q12198" s="226"/>
      <c r="R12198" s="226"/>
      <c r="S12198" s="226"/>
      <c r="T12198" s="226"/>
      <c r="U12198" s="226"/>
    </row>
    <row r="12199" spans="16:21" x14ac:dyDescent="0.35">
      <c r="P12199" s="226"/>
      <c r="Q12199" s="226"/>
      <c r="R12199" s="226"/>
      <c r="S12199" s="226"/>
      <c r="T12199" s="226"/>
      <c r="U12199" s="226"/>
    </row>
    <row r="12200" spans="16:21" x14ac:dyDescent="0.35">
      <c r="P12200" s="226"/>
      <c r="Q12200" s="226"/>
      <c r="R12200" s="226"/>
      <c r="S12200" s="226"/>
      <c r="T12200" s="226"/>
      <c r="U12200" s="226"/>
    </row>
    <row r="12201" spans="16:21" x14ac:dyDescent="0.35">
      <c r="P12201" s="226"/>
      <c r="Q12201" s="226"/>
      <c r="R12201" s="226"/>
      <c r="S12201" s="226"/>
      <c r="T12201" s="226"/>
      <c r="U12201" s="226"/>
    </row>
    <row r="12202" spans="16:21" x14ac:dyDescent="0.35">
      <c r="P12202" s="226"/>
      <c r="Q12202" s="226"/>
      <c r="R12202" s="226"/>
      <c r="S12202" s="226"/>
      <c r="T12202" s="226"/>
      <c r="U12202" s="226"/>
    </row>
    <row r="12203" spans="16:21" x14ac:dyDescent="0.35">
      <c r="P12203" s="226"/>
      <c r="Q12203" s="226"/>
      <c r="R12203" s="226"/>
      <c r="S12203" s="226"/>
      <c r="T12203" s="226"/>
      <c r="U12203" s="226"/>
    </row>
    <row r="12204" spans="16:21" x14ac:dyDescent="0.35">
      <c r="P12204" s="226"/>
      <c r="Q12204" s="226"/>
      <c r="R12204" s="226"/>
      <c r="S12204" s="226"/>
      <c r="T12204" s="226"/>
      <c r="U12204" s="226"/>
    </row>
    <row r="12205" spans="16:21" x14ac:dyDescent="0.35">
      <c r="P12205" s="226"/>
      <c r="Q12205" s="226"/>
      <c r="R12205" s="226"/>
      <c r="S12205" s="226"/>
      <c r="T12205" s="226"/>
      <c r="U12205" s="226"/>
    </row>
    <row r="12206" spans="16:21" x14ac:dyDescent="0.35">
      <c r="P12206" s="226"/>
      <c r="Q12206" s="226"/>
      <c r="R12206" s="226"/>
      <c r="S12206" s="226"/>
      <c r="T12206" s="226"/>
      <c r="U12206" s="226"/>
    </row>
    <row r="12207" spans="16:21" x14ac:dyDescent="0.35">
      <c r="P12207" s="226"/>
      <c r="Q12207" s="226"/>
      <c r="R12207" s="226"/>
      <c r="S12207" s="226"/>
      <c r="T12207" s="226"/>
      <c r="U12207" s="226"/>
    </row>
    <row r="12208" spans="16:21" x14ac:dyDescent="0.35">
      <c r="P12208" s="226"/>
      <c r="Q12208" s="226"/>
      <c r="R12208" s="226"/>
      <c r="S12208" s="226"/>
      <c r="T12208" s="226"/>
      <c r="U12208" s="226"/>
    </row>
    <row r="12209" spans="16:21" x14ac:dyDescent="0.35">
      <c r="P12209" s="226"/>
      <c r="Q12209" s="226"/>
      <c r="R12209" s="226"/>
      <c r="S12209" s="226"/>
      <c r="T12209" s="226"/>
      <c r="U12209" s="226"/>
    </row>
    <row r="12210" spans="16:21" x14ac:dyDescent="0.35">
      <c r="P12210" s="226"/>
      <c r="Q12210" s="226"/>
      <c r="R12210" s="226"/>
      <c r="S12210" s="226"/>
      <c r="T12210" s="226"/>
      <c r="U12210" s="226"/>
    </row>
    <row r="12211" spans="16:21" x14ac:dyDescent="0.35">
      <c r="P12211" s="226"/>
      <c r="Q12211" s="226"/>
      <c r="R12211" s="226"/>
      <c r="S12211" s="226"/>
      <c r="T12211" s="226"/>
      <c r="U12211" s="226"/>
    </row>
    <row r="12212" spans="16:21" x14ac:dyDescent="0.35">
      <c r="P12212" s="226"/>
      <c r="Q12212" s="226"/>
      <c r="R12212" s="226"/>
      <c r="S12212" s="226"/>
      <c r="T12212" s="226"/>
      <c r="U12212" s="226"/>
    </row>
    <row r="12213" spans="16:21" x14ac:dyDescent="0.35">
      <c r="P12213" s="226"/>
      <c r="Q12213" s="226"/>
      <c r="R12213" s="226"/>
      <c r="S12213" s="226"/>
      <c r="T12213" s="226"/>
      <c r="U12213" s="226"/>
    </row>
    <row r="12214" spans="16:21" x14ac:dyDescent="0.35">
      <c r="P12214" s="226"/>
      <c r="Q12214" s="226"/>
      <c r="R12214" s="226"/>
      <c r="S12214" s="226"/>
      <c r="T12214" s="226"/>
      <c r="U12214" s="226"/>
    </row>
    <row r="12215" spans="16:21" x14ac:dyDescent="0.35">
      <c r="P12215" s="226"/>
      <c r="Q12215" s="226"/>
      <c r="R12215" s="226"/>
      <c r="S12215" s="226"/>
      <c r="T12215" s="226"/>
      <c r="U12215" s="226"/>
    </row>
    <row r="12216" spans="16:21" x14ac:dyDescent="0.35">
      <c r="P12216" s="226"/>
      <c r="Q12216" s="226"/>
      <c r="R12216" s="226"/>
      <c r="S12216" s="226"/>
      <c r="T12216" s="226"/>
      <c r="U12216" s="226"/>
    </row>
    <row r="12217" spans="16:21" x14ac:dyDescent="0.35">
      <c r="P12217" s="226"/>
      <c r="Q12217" s="226"/>
      <c r="R12217" s="226"/>
      <c r="S12217" s="226"/>
      <c r="T12217" s="226"/>
      <c r="U12217" s="226"/>
    </row>
    <row r="12218" spans="16:21" x14ac:dyDescent="0.35">
      <c r="P12218" s="226"/>
      <c r="Q12218" s="226"/>
      <c r="R12218" s="226"/>
      <c r="S12218" s="226"/>
      <c r="T12218" s="226"/>
      <c r="U12218" s="226"/>
    </row>
    <row r="12219" spans="16:21" x14ac:dyDescent="0.35">
      <c r="P12219" s="226"/>
      <c r="Q12219" s="226"/>
      <c r="R12219" s="226"/>
      <c r="S12219" s="226"/>
      <c r="T12219" s="226"/>
      <c r="U12219" s="226"/>
    </row>
    <row r="12220" spans="16:21" x14ac:dyDescent="0.35">
      <c r="P12220" s="226"/>
      <c r="Q12220" s="226"/>
      <c r="R12220" s="226"/>
      <c r="S12220" s="226"/>
      <c r="T12220" s="226"/>
      <c r="U12220" s="226"/>
    </row>
    <row r="12221" spans="16:21" x14ac:dyDescent="0.35">
      <c r="P12221" s="226"/>
      <c r="Q12221" s="226"/>
      <c r="R12221" s="226"/>
      <c r="S12221" s="226"/>
      <c r="T12221" s="226"/>
      <c r="U12221" s="226"/>
    </row>
    <row r="12222" spans="16:21" x14ac:dyDescent="0.35">
      <c r="P12222" s="226"/>
      <c r="Q12222" s="226"/>
      <c r="R12222" s="226"/>
      <c r="S12222" s="226"/>
      <c r="T12222" s="226"/>
      <c r="U12222" s="226"/>
    </row>
    <row r="12223" spans="16:21" x14ac:dyDescent="0.35">
      <c r="P12223" s="226"/>
      <c r="Q12223" s="226"/>
      <c r="R12223" s="226"/>
      <c r="S12223" s="226"/>
      <c r="T12223" s="226"/>
      <c r="U12223" s="226"/>
    </row>
    <row r="12224" spans="16:21" x14ac:dyDescent="0.35">
      <c r="P12224" s="226"/>
      <c r="Q12224" s="226"/>
      <c r="R12224" s="226"/>
      <c r="S12224" s="226"/>
      <c r="T12224" s="226"/>
      <c r="U12224" s="226"/>
    </row>
    <row r="12225" spans="16:21" x14ac:dyDescent="0.35">
      <c r="P12225" s="226"/>
      <c r="Q12225" s="226"/>
      <c r="R12225" s="226"/>
      <c r="S12225" s="226"/>
      <c r="T12225" s="226"/>
      <c r="U12225" s="226"/>
    </row>
    <row r="12226" spans="16:21" x14ac:dyDescent="0.35">
      <c r="P12226" s="226"/>
      <c r="Q12226" s="226"/>
      <c r="R12226" s="226"/>
      <c r="S12226" s="226"/>
      <c r="T12226" s="226"/>
      <c r="U12226" s="226"/>
    </row>
    <row r="12227" spans="16:21" x14ac:dyDescent="0.35">
      <c r="P12227" s="226"/>
      <c r="Q12227" s="226"/>
      <c r="R12227" s="226"/>
      <c r="S12227" s="226"/>
      <c r="T12227" s="226"/>
      <c r="U12227" s="226"/>
    </row>
    <row r="12228" spans="16:21" x14ac:dyDescent="0.35">
      <c r="P12228" s="226"/>
      <c r="Q12228" s="226"/>
      <c r="R12228" s="226"/>
      <c r="S12228" s="226"/>
      <c r="T12228" s="226"/>
      <c r="U12228" s="226"/>
    </row>
    <row r="12229" spans="16:21" x14ac:dyDescent="0.35">
      <c r="P12229" s="226"/>
      <c r="Q12229" s="226"/>
      <c r="R12229" s="226"/>
      <c r="S12229" s="226"/>
      <c r="T12229" s="226"/>
      <c r="U12229" s="226"/>
    </row>
    <row r="12230" spans="16:21" x14ac:dyDescent="0.35">
      <c r="P12230" s="226"/>
      <c r="Q12230" s="226"/>
      <c r="R12230" s="226"/>
      <c r="S12230" s="226"/>
      <c r="T12230" s="226"/>
      <c r="U12230" s="226"/>
    </row>
    <row r="12231" spans="16:21" x14ac:dyDescent="0.35">
      <c r="P12231" s="226"/>
      <c r="Q12231" s="226"/>
      <c r="R12231" s="226"/>
      <c r="S12231" s="226"/>
      <c r="T12231" s="226"/>
      <c r="U12231" s="226"/>
    </row>
    <row r="12232" spans="16:21" x14ac:dyDescent="0.35">
      <c r="P12232" s="226"/>
      <c r="Q12232" s="226"/>
      <c r="R12232" s="226"/>
      <c r="S12232" s="226"/>
      <c r="T12232" s="226"/>
      <c r="U12232" s="226"/>
    </row>
    <row r="12233" spans="16:21" x14ac:dyDescent="0.35">
      <c r="P12233" s="226"/>
      <c r="Q12233" s="226"/>
      <c r="R12233" s="226"/>
      <c r="S12233" s="226"/>
      <c r="T12233" s="226"/>
      <c r="U12233" s="226"/>
    </row>
    <row r="12234" spans="16:21" x14ac:dyDescent="0.35">
      <c r="P12234" s="226"/>
      <c r="Q12234" s="226"/>
      <c r="R12234" s="226"/>
      <c r="S12234" s="226"/>
      <c r="T12234" s="226"/>
      <c r="U12234" s="226"/>
    </row>
    <row r="12235" spans="16:21" x14ac:dyDescent="0.35">
      <c r="P12235" s="226"/>
      <c r="Q12235" s="226"/>
      <c r="R12235" s="226"/>
      <c r="S12235" s="226"/>
      <c r="T12235" s="226"/>
      <c r="U12235" s="226"/>
    </row>
    <row r="12236" spans="16:21" x14ac:dyDescent="0.35">
      <c r="P12236" s="226"/>
      <c r="Q12236" s="226"/>
      <c r="R12236" s="226"/>
      <c r="S12236" s="226"/>
      <c r="T12236" s="226"/>
      <c r="U12236" s="226"/>
    </row>
    <row r="12237" spans="16:21" x14ac:dyDescent="0.35">
      <c r="P12237" s="226"/>
      <c r="Q12237" s="226"/>
      <c r="R12237" s="226"/>
      <c r="S12237" s="226"/>
      <c r="T12237" s="226"/>
      <c r="U12237" s="226"/>
    </row>
    <row r="12238" spans="16:21" x14ac:dyDescent="0.35">
      <c r="P12238" s="226"/>
      <c r="Q12238" s="226"/>
      <c r="R12238" s="226"/>
      <c r="S12238" s="226"/>
      <c r="T12238" s="226"/>
      <c r="U12238" s="226"/>
    </row>
    <row r="12239" spans="16:21" x14ac:dyDescent="0.35">
      <c r="P12239" s="226"/>
      <c r="Q12239" s="226"/>
      <c r="R12239" s="226"/>
      <c r="S12239" s="226"/>
      <c r="T12239" s="226"/>
      <c r="U12239" s="226"/>
    </row>
    <row r="12240" spans="16:21" x14ac:dyDescent="0.35">
      <c r="P12240" s="226"/>
      <c r="Q12240" s="226"/>
      <c r="R12240" s="226"/>
      <c r="S12240" s="226"/>
      <c r="T12240" s="226"/>
      <c r="U12240" s="226"/>
    </row>
    <row r="12241" spans="16:21" x14ac:dyDescent="0.35">
      <c r="P12241" s="226"/>
      <c r="Q12241" s="226"/>
      <c r="R12241" s="226"/>
      <c r="S12241" s="226"/>
      <c r="T12241" s="226"/>
      <c r="U12241" s="226"/>
    </row>
    <row r="12242" spans="16:21" x14ac:dyDescent="0.35">
      <c r="P12242" s="226"/>
      <c r="Q12242" s="226"/>
      <c r="R12242" s="226"/>
      <c r="S12242" s="226"/>
      <c r="T12242" s="226"/>
      <c r="U12242" s="226"/>
    </row>
    <row r="12243" spans="16:21" x14ac:dyDescent="0.35">
      <c r="P12243" s="226"/>
      <c r="Q12243" s="226"/>
      <c r="R12243" s="226"/>
      <c r="S12243" s="226"/>
      <c r="T12243" s="226"/>
      <c r="U12243" s="226"/>
    </row>
    <row r="12244" spans="16:21" x14ac:dyDescent="0.35">
      <c r="P12244" s="226"/>
      <c r="Q12244" s="226"/>
      <c r="R12244" s="226"/>
      <c r="S12244" s="226"/>
      <c r="T12244" s="226"/>
      <c r="U12244" s="226"/>
    </row>
    <row r="12245" spans="16:21" x14ac:dyDescent="0.35">
      <c r="P12245" s="226"/>
      <c r="Q12245" s="226"/>
      <c r="R12245" s="226"/>
      <c r="S12245" s="226"/>
      <c r="T12245" s="226"/>
      <c r="U12245" s="226"/>
    </row>
    <row r="12246" spans="16:21" x14ac:dyDescent="0.35">
      <c r="P12246" s="226"/>
      <c r="Q12246" s="226"/>
      <c r="R12246" s="226"/>
      <c r="S12246" s="226"/>
      <c r="T12246" s="226"/>
      <c r="U12246" s="226"/>
    </row>
    <row r="12247" spans="16:21" x14ac:dyDescent="0.35">
      <c r="P12247" s="226"/>
      <c r="Q12247" s="226"/>
      <c r="R12247" s="226"/>
      <c r="S12247" s="226"/>
      <c r="T12247" s="226"/>
      <c r="U12247" s="226"/>
    </row>
    <row r="12248" spans="16:21" x14ac:dyDescent="0.35">
      <c r="P12248" s="226"/>
      <c r="Q12248" s="226"/>
      <c r="R12248" s="226"/>
      <c r="S12248" s="226"/>
      <c r="T12248" s="226"/>
      <c r="U12248" s="226"/>
    </row>
    <row r="12249" spans="16:21" x14ac:dyDescent="0.35">
      <c r="P12249" s="226"/>
      <c r="Q12249" s="226"/>
      <c r="R12249" s="226"/>
      <c r="S12249" s="226"/>
      <c r="T12249" s="226"/>
      <c r="U12249" s="226"/>
    </row>
    <row r="12250" spans="16:21" x14ac:dyDescent="0.35">
      <c r="P12250" s="226"/>
      <c r="Q12250" s="226"/>
      <c r="R12250" s="226"/>
      <c r="S12250" s="226"/>
      <c r="T12250" s="226"/>
      <c r="U12250" s="226"/>
    </row>
    <row r="12251" spans="16:21" x14ac:dyDescent="0.35">
      <c r="P12251" s="226"/>
      <c r="Q12251" s="226"/>
      <c r="R12251" s="226"/>
      <c r="S12251" s="226"/>
      <c r="T12251" s="226"/>
      <c r="U12251" s="226"/>
    </row>
    <row r="12252" spans="16:21" x14ac:dyDescent="0.35">
      <c r="P12252" s="226"/>
      <c r="Q12252" s="226"/>
      <c r="R12252" s="226"/>
      <c r="S12252" s="226"/>
      <c r="T12252" s="226"/>
      <c r="U12252" s="226"/>
    </row>
    <row r="12253" spans="16:21" x14ac:dyDescent="0.35">
      <c r="P12253" s="226"/>
      <c r="Q12253" s="226"/>
      <c r="R12253" s="226"/>
      <c r="S12253" s="226"/>
      <c r="T12253" s="226"/>
      <c r="U12253" s="226"/>
    </row>
    <row r="12254" spans="16:21" x14ac:dyDescent="0.35">
      <c r="P12254" s="226"/>
      <c r="Q12254" s="226"/>
      <c r="R12254" s="226"/>
      <c r="S12254" s="226"/>
      <c r="T12254" s="226"/>
      <c r="U12254" s="226"/>
    </row>
    <row r="12255" spans="16:21" x14ac:dyDescent="0.35">
      <c r="P12255" s="226"/>
      <c r="Q12255" s="226"/>
      <c r="R12255" s="226"/>
      <c r="S12255" s="226"/>
      <c r="T12255" s="226"/>
      <c r="U12255" s="226"/>
    </row>
    <row r="12256" spans="16:21" x14ac:dyDescent="0.35">
      <c r="P12256" s="226"/>
      <c r="Q12256" s="226"/>
      <c r="R12256" s="226"/>
      <c r="S12256" s="226"/>
      <c r="T12256" s="226"/>
      <c r="U12256" s="226"/>
    </row>
    <row r="12257" spans="16:21" x14ac:dyDescent="0.35">
      <c r="P12257" s="226"/>
      <c r="Q12257" s="226"/>
      <c r="R12257" s="226"/>
      <c r="S12257" s="226"/>
      <c r="T12257" s="226"/>
      <c r="U12257" s="226"/>
    </row>
    <row r="12258" spans="16:21" x14ac:dyDescent="0.35">
      <c r="P12258" s="226"/>
      <c r="Q12258" s="226"/>
      <c r="R12258" s="226"/>
      <c r="S12258" s="226"/>
      <c r="T12258" s="226"/>
      <c r="U12258" s="226"/>
    </row>
    <row r="12259" spans="16:21" x14ac:dyDescent="0.35">
      <c r="P12259" s="226"/>
      <c r="Q12259" s="226"/>
      <c r="R12259" s="226"/>
      <c r="S12259" s="226"/>
      <c r="T12259" s="226"/>
      <c r="U12259" s="226"/>
    </row>
    <row r="12260" spans="16:21" x14ac:dyDescent="0.35">
      <c r="P12260" s="226"/>
      <c r="Q12260" s="226"/>
      <c r="R12260" s="226"/>
      <c r="S12260" s="226"/>
      <c r="T12260" s="226"/>
      <c r="U12260" s="226"/>
    </row>
    <row r="12261" spans="16:21" x14ac:dyDescent="0.35">
      <c r="P12261" s="226"/>
      <c r="Q12261" s="226"/>
      <c r="R12261" s="226"/>
      <c r="S12261" s="226"/>
      <c r="T12261" s="226"/>
      <c r="U12261" s="226"/>
    </row>
    <row r="12262" spans="16:21" x14ac:dyDescent="0.35">
      <c r="P12262" s="226"/>
      <c r="Q12262" s="226"/>
      <c r="R12262" s="226"/>
      <c r="S12262" s="226"/>
      <c r="T12262" s="226"/>
      <c r="U12262" s="226"/>
    </row>
    <row r="12263" spans="16:21" x14ac:dyDescent="0.35">
      <c r="P12263" s="226"/>
      <c r="Q12263" s="226"/>
      <c r="R12263" s="226"/>
      <c r="S12263" s="226"/>
      <c r="T12263" s="226"/>
      <c r="U12263" s="226"/>
    </row>
    <row r="12264" spans="16:21" x14ac:dyDescent="0.35">
      <c r="P12264" s="226"/>
      <c r="Q12264" s="226"/>
      <c r="R12264" s="226"/>
      <c r="S12264" s="226"/>
      <c r="T12264" s="226"/>
      <c r="U12264" s="226"/>
    </row>
    <row r="12265" spans="16:21" x14ac:dyDescent="0.35">
      <c r="P12265" s="226"/>
      <c r="Q12265" s="226"/>
      <c r="R12265" s="226"/>
      <c r="S12265" s="226"/>
      <c r="T12265" s="226"/>
      <c r="U12265" s="226"/>
    </row>
    <row r="12266" spans="16:21" x14ac:dyDescent="0.35">
      <c r="P12266" s="226"/>
      <c r="Q12266" s="226"/>
      <c r="R12266" s="226"/>
      <c r="S12266" s="226"/>
      <c r="T12266" s="226"/>
      <c r="U12266" s="226"/>
    </row>
    <row r="12267" spans="16:21" x14ac:dyDescent="0.35">
      <c r="P12267" s="226"/>
      <c r="Q12267" s="226"/>
      <c r="R12267" s="226"/>
      <c r="S12267" s="226"/>
      <c r="T12267" s="226"/>
      <c r="U12267" s="226"/>
    </row>
    <row r="12268" spans="16:21" x14ac:dyDescent="0.35">
      <c r="P12268" s="226"/>
      <c r="Q12268" s="226"/>
      <c r="R12268" s="226"/>
      <c r="S12268" s="226"/>
      <c r="T12268" s="226"/>
      <c r="U12268" s="226"/>
    </row>
    <row r="12269" spans="16:21" x14ac:dyDescent="0.35">
      <c r="P12269" s="226"/>
      <c r="Q12269" s="226"/>
      <c r="R12269" s="226"/>
      <c r="S12269" s="226"/>
      <c r="T12269" s="226"/>
      <c r="U12269" s="226"/>
    </row>
    <row r="12270" spans="16:21" x14ac:dyDescent="0.35">
      <c r="P12270" s="226"/>
      <c r="Q12270" s="226"/>
      <c r="R12270" s="226"/>
      <c r="S12270" s="226"/>
      <c r="T12270" s="226"/>
      <c r="U12270" s="226"/>
    </row>
    <row r="12271" spans="16:21" x14ac:dyDescent="0.35">
      <c r="P12271" s="226"/>
      <c r="Q12271" s="226"/>
      <c r="R12271" s="226"/>
      <c r="S12271" s="226"/>
      <c r="T12271" s="226"/>
      <c r="U12271" s="226"/>
    </row>
    <row r="12272" spans="16:21" x14ac:dyDescent="0.35">
      <c r="P12272" s="226"/>
      <c r="Q12272" s="226"/>
      <c r="R12272" s="226"/>
      <c r="S12272" s="226"/>
      <c r="T12272" s="226"/>
      <c r="U12272" s="226"/>
    </row>
    <row r="12273" spans="16:21" x14ac:dyDescent="0.35">
      <c r="P12273" s="226"/>
      <c r="Q12273" s="226"/>
      <c r="R12273" s="226"/>
      <c r="S12273" s="226"/>
      <c r="T12273" s="226"/>
      <c r="U12273" s="226"/>
    </row>
    <row r="12274" spans="16:21" x14ac:dyDescent="0.35">
      <c r="P12274" s="226"/>
      <c r="Q12274" s="226"/>
      <c r="R12274" s="226"/>
      <c r="S12274" s="226"/>
      <c r="T12274" s="226"/>
      <c r="U12274" s="226"/>
    </row>
    <row r="12275" spans="16:21" x14ac:dyDescent="0.35">
      <c r="P12275" s="226"/>
      <c r="Q12275" s="226"/>
      <c r="R12275" s="226"/>
      <c r="S12275" s="226"/>
      <c r="T12275" s="226"/>
      <c r="U12275" s="226"/>
    </row>
    <row r="12276" spans="16:21" x14ac:dyDescent="0.35">
      <c r="P12276" s="226"/>
      <c r="Q12276" s="226"/>
      <c r="R12276" s="226"/>
      <c r="S12276" s="226"/>
      <c r="T12276" s="226"/>
      <c r="U12276" s="226"/>
    </row>
    <row r="12277" spans="16:21" x14ac:dyDescent="0.35">
      <c r="P12277" s="226"/>
      <c r="Q12277" s="226"/>
      <c r="R12277" s="226"/>
      <c r="S12277" s="226"/>
      <c r="T12277" s="226"/>
      <c r="U12277" s="226"/>
    </row>
    <row r="12278" spans="16:21" x14ac:dyDescent="0.35">
      <c r="P12278" s="226"/>
      <c r="Q12278" s="226"/>
      <c r="R12278" s="226"/>
      <c r="S12278" s="226"/>
      <c r="T12278" s="226"/>
      <c r="U12278" s="226"/>
    </row>
    <row r="12279" spans="16:21" x14ac:dyDescent="0.35">
      <c r="P12279" s="226"/>
      <c r="Q12279" s="226"/>
      <c r="R12279" s="226"/>
      <c r="S12279" s="226"/>
      <c r="T12279" s="226"/>
      <c r="U12279" s="226"/>
    </row>
    <row r="12280" spans="16:21" x14ac:dyDescent="0.35">
      <c r="P12280" s="226"/>
      <c r="Q12280" s="226"/>
      <c r="R12280" s="226"/>
      <c r="S12280" s="226"/>
      <c r="T12280" s="226"/>
      <c r="U12280" s="226"/>
    </row>
    <row r="12281" spans="16:21" x14ac:dyDescent="0.35">
      <c r="P12281" s="226"/>
      <c r="Q12281" s="226"/>
      <c r="R12281" s="226"/>
      <c r="S12281" s="226"/>
      <c r="T12281" s="226"/>
      <c r="U12281" s="226"/>
    </row>
    <row r="12282" spans="16:21" x14ac:dyDescent="0.35">
      <c r="P12282" s="226"/>
      <c r="Q12282" s="226"/>
      <c r="R12282" s="226"/>
      <c r="S12282" s="226"/>
      <c r="T12282" s="226"/>
      <c r="U12282" s="226"/>
    </row>
    <row r="12283" spans="16:21" x14ac:dyDescent="0.35">
      <c r="P12283" s="226"/>
      <c r="Q12283" s="226"/>
      <c r="R12283" s="226"/>
      <c r="S12283" s="226"/>
      <c r="T12283" s="226"/>
      <c r="U12283" s="226"/>
    </row>
    <row r="12284" spans="16:21" x14ac:dyDescent="0.35">
      <c r="P12284" s="226"/>
      <c r="Q12284" s="226"/>
      <c r="R12284" s="226"/>
      <c r="S12284" s="226"/>
      <c r="T12284" s="226"/>
      <c r="U12284" s="226"/>
    </row>
    <row r="12285" spans="16:21" x14ac:dyDescent="0.35">
      <c r="P12285" s="226"/>
      <c r="Q12285" s="226"/>
      <c r="R12285" s="226"/>
      <c r="S12285" s="226"/>
      <c r="T12285" s="226"/>
      <c r="U12285" s="226"/>
    </row>
    <row r="12286" spans="16:21" x14ac:dyDescent="0.35">
      <c r="P12286" s="226"/>
      <c r="Q12286" s="226"/>
      <c r="R12286" s="226"/>
      <c r="S12286" s="226"/>
      <c r="T12286" s="226"/>
      <c r="U12286" s="226"/>
    </row>
    <row r="12287" spans="16:21" x14ac:dyDescent="0.35">
      <c r="P12287" s="226"/>
      <c r="Q12287" s="226"/>
      <c r="R12287" s="226"/>
      <c r="S12287" s="226"/>
      <c r="T12287" s="226"/>
      <c r="U12287" s="226"/>
    </row>
    <row r="12288" spans="16:21" x14ac:dyDescent="0.35">
      <c r="P12288" s="226"/>
      <c r="Q12288" s="226"/>
      <c r="R12288" s="226"/>
      <c r="S12288" s="226"/>
      <c r="T12288" s="226"/>
      <c r="U12288" s="226"/>
    </row>
    <row r="12289" spans="16:21" x14ac:dyDescent="0.35">
      <c r="P12289" s="226"/>
      <c r="Q12289" s="226"/>
      <c r="R12289" s="226"/>
      <c r="S12289" s="226"/>
      <c r="T12289" s="226"/>
      <c r="U12289" s="226"/>
    </row>
    <row r="12290" spans="16:21" x14ac:dyDescent="0.35">
      <c r="P12290" s="226"/>
      <c r="Q12290" s="226"/>
      <c r="R12290" s="226"/>
      <c r="S12290" s="226"/>
      <c r="T12290" s="226"/>
      <c r="U12290" s="226"/>
    </row>
    <row r="12291" spans="16:21" x14ac:dyDescent="0.35">
      <c r="P12291" s="226"/>
      <c r="Q12291" s="226"/>
      <c r="R12291" s="226"/>
      <c r="S12291" s="226"/>
      <c r="T12291" s="226"/>
      <c r="U12291" s="226"/>
    </row>
    <row r="12292" spans="16:21" x14ac:dyDescent="0.35">
      <c r="P12292" s="226"/>
      <c r="Q12292" s="226"/>
      <c r="R12292" s="226"/>
      <c r="S12292" s="226"/>
      <c r="T12292" s="226"/>
      <c r="U12292" s="226"/>
    </row>
    <row r="12293" spans="16:21" x14ac:dyDescent="0.35">
      <c r="P12293" s="226"/>
      <c r="Q12293" s="226"/>
      <c r="R12293" s="226"/>
      <c r="S12293" s="226"/>
      <c r="T12293" s="226"/>
      <c r="U12293" s="226"/>
    </row>
    <row r="12294" spans="16:21" x14ac:dyDescent="0.35">
      <c r="P12294" s="226"/>
      <c r="Q12294" s="226"/>
      <c r="R12294" s="226"/>
      <c r="S12294" s="226"/>
      <c r="T12294" s="226"/>
      <c r="U12294" s="226"/>
    </row>
    <row r="12295" spans="16:21" x14ac:dyDescent="0.35">
      <c r="P12295" s="226"/>
      <c r="Q12295" s="226"/>
      <c r="R12295" s="226"/>
      <c r="S12295" s="226"/>
      <c r="T12295" s="226"/>
      <c r="U12295" s="226"/>
    </row>
    <row r="12296" spans="16:21" x14ac:dyDescent="0.35">
      <c r="P12296" s="226"/>
      <c r="Q12296" s="226"/>
      <c r="R12296" s="226"/>
      <c r="S12296" s="226"/>
      <c r="T12296" s="226"/>
      <c r="U12296" s="226"/>
    </row>
    <row r="12297" spans="16:21" x14ac:dyDescent="0.35">
      <c r="P12297" s="226"/>
      <c r="Q12297" s="226"/>
      <c r="R12297" s="226"/>
      <c r="S12297" s="226"/>
      <c r="T12297" s="226"/>
      <c r="U12297" s="226"/>
    </row>
    <row r="12298" spans="16:21" x14ac:dyDescent="0.35">
      <c r="P12298" s="226"/>
      <c r="Q12298" s="226"/>
      <c r="R12298" s="226"/>
      <c r="S12298" s="226"/>
      <c r="T12298" s="226"/>
      <c r="U12298" s="226"/>
    </row>
    <row r="12299" spans="16:21" x14ac:dyDescent="0.35">
      <c r="P12299" s="226"/>
      <c r="Q12299" s="226"/>
      <c r="R12299" s="226"/>
      <c r="S12299" s="226"/>
      <c r="T12299" s="226"/>
      <c r="U12299" s="226"/>
    </row>
    <row r="12300" spans="16:21" x14ac:dyDescent="0.35">
      <c r="P12300" s="226"/>
      <c r="Q12300" s="226"/>
      <c r="R12300" s="226"/>
      <c r="S12300" s="226"/>
      <c r="T12300" s="226"/>
      <c r="U12300" s="226"/>
    </row>
    <row r="12301" spans="16:21" x14ac:dyDescent="0.35">
      <c r="P12301" s="226"/>
      <c r="Q12301" s="226"/>
      <c r="R12301" s="226"/>
      <c r="S12301" s="226"/>
      <c r="T12301" s="226"/>
      <c r="U12301" s="226"/>
    </row>
    <row r="12302" spans="16:21" x14ac:dyDescent="0.35">
      <c r="P12302" s="226"/>
      <c r="Q12302" s="226"/>
      <c r="R12302" s="226"/>
      <c r="S12302" s="226"/>
      <c r="T12302" s="226"/>
      <c r="U12302" s="226"/>
    </row>
    <row r="12303" spans="16:21" x14ac:dyDescent="0.35">
      <c r="P12303" s="226"/>
      <c r="Q12303" s="226"/>
      <c r="R12303" s="226"/>
      <c r="S12303" s="226"/>
      <c r="T12303" s="226"/>
      <c r="U12303" s="226"/>
    </row>
    <row r="12304" spans="16:21" x14ac:dyDescent="0.35">
      <c r="P12304" s="226"/>
      <c r="Q12304" s="226"/>
      <c r="R12304" s="226"/>
      <c r="S12304" s="226"/>
      <c r="T12304" s="226"/>
      <c r="U12304" s="226"/>
    </row>
    <row r="12305" spans="16:21" x14ac:dyDescent="0.35">
      <c r="P12305" s="226"/>
      <c r="Q12305" s="226"/>
      <c r="R12305" s="226"/>
      <c r="S12305" s="226"/>
      <c r="T12305" s="226"/>
      <c r="U12305" s="226"/>
    </row>
    <row r="12306" spans="16:21" x14ac:dyDescent="0.35">
      <c r="P12306" s="226"/>
      <c r="Q12306" s="226"/>
      <c r="R12306" s="226"/>
      <c r="S12306" s="226"/>
      <c r="T12306" s="226"/>
      <c r="U12306" s="226"/>
    </row>
    <row r="12307" spans="16:21" x14ac:dyDescent="0.35">
      <c r="P12307" s="226"/>
      <c r="Q12307" s="226"/>
      <c r="R12307" s="226"/>
      <c r="S12307" s="226"/>
      <c r="T12307" s="226"/>
      <c r="U12307" s="226"/>
    </row>
    <row r="12308" spans="16:21" x14ac:dyDescent="0.35">
      <c r="P12308" s="226"/>
      <c r="Q12308" s="226"/>
      <c r="R12308" s="226"/>
      <c r="S12308" s="226"/>
      <c r="T12308" s="226"/>
      <c r="U12308" s="226"/>
    </row>
    <row r="12309" spans="16:21" x14ac:dyDescent="0.35">
      <c r="P12309" s="226"/>
      <c r="Q12309" s="226"/>
      <c r="R12309" s="226"/>
      <c r="S12309" s="226"/>
      <c r="T12309" s="226"/>
      <c r="U12309" s="226"/>
    </row>
    <row r="12310" spans="16:21" x14ac:dyDescent="0.35">
      <c r="P12310" s="226"/>
      <c r="Q12310" s="226"/>
      <c r="R12310" s="226"/>
      <c r="S12310" s="226"/>
      <c r="T12310" s="226"/>
      <c r="U12310" s="226"/>
    </row>
    <row r="12311" spans="16:21" x14ac:dyDescent="0.35">
      <c r="P12311" s="226"/>
      <c r="Q12311" s="226"/>
      <c r="R12311" s="226"/>
      <c r="S12311" s="226"/>
      <c r="T12311" s="226"/>
      <c r="U12311" s="226"/>
    </row>
    <row r="12312" spans="16:21" x14ac:dyDescent="0.35">
      <c r="P12312" s="226"/>
      <c r="Q12312" s="226"/>
      <c r="R12312" s="226"/>
      <c r="S12312" s="226"/>
      <c r="T12312" s="226"/>
      <c r="U12312" s="226"/>
    </row>
    <row r="12313" spans="16:21" x14ac:dyDescent="0.35">
      <c r="P12313" s="226"/>
      <c r="Q12313" s="226"/>
      <c r="R12313" s="226"/>
      <c r="S12313" s="226"/>
      <c r="T12313" s="226"/>
      <c r="U12313" s="226"/>
    </row>
    <row r="12314" spans="16:21" x14ac:dyDescent="0.35">
      <c r="P12314" s="226"/>
      <c r="Q12314" s="226"/>
      <c r="R12314" s="226"/>
      <c r="S12314" s="226"/>
      <c r="T12314" s="226"/>
      <c r="U12314" s="226"/>
    </row>
    <row r="12315" spans="16:21" x14ac:dyDescent="0.35">
      <c r="P12315" s="226"/>
      <c r="Q12315" s="226"/>
      <c r="R12315" s="226"/>
      <c r="S12315" s="226"/>
      <c r="T12315" s="226"/>
      <c r="U12315" s="226"/>
    </row>
    <row r="12316" spans="16:21" x14ac:dyDescent="0.35">
      <c r="P12316" s="226"/>
      <c r="Q12316" s="226"/>
      <c r="R12316" s="226"/>
      <c r="S12316" s="226"/>
      <c r="T12316" s="226"/>
      <c r="U12316" s="226"/>
    </row>
    <row r="12317" spans="16:21" x14ac:dyDescent="0.35">
      <c r="P12317" s="226"/>
      <c r="Q12317" s="226"/>
      <c r="R12317" s="226"/>
      <c r="S12317" s="226"/>
      <c r="T12317" s="226"/>
      <c r="U12317" s="226"/>
    </row>
    <row r="12318" spans="16:21" x14ac:dyDescent="0.35">
      <c r="P12318" s="226"/>
      <c r="Q12318" s="226"/>
      <c r="R12318" s="226"/>
      <c r="S12318" s="226"/>
      <c r="T12318" s="226"/>
      <c r="U12318" s="226"/>
    </row>
    <row r="12319" spans="16:21" x14ac:dyDescent="0.35">
      <c r="P12319" s="226"/>
      <c r="Q12319" s="226"/>
      <c r="R12319" s="226"/>
      <c r="S12319" s="226"/>
      <c r="T12319" s="226"/>
      <c r="U12319" s="226"/>
    </row>
    <row r="12320" spans="16:21" x14ac:dyDescent="0.35">
      <c r="P12320" s="226"/>
      <c r="Q12320" s="226"/>
      <c r="R12320" s="226"/>
      <c r="S12320" s="226"/>
      <c r="T12320" s="226"/>
      <c r="U12320" s="226"/>
    </row>
    <row r="12321" spans="16:21" x14ac:dyDescent="0.35">
      <c r="P12321" s="226"/>
      <c r="Q12321" s="226"/>
      <c r="R12321" s="226"/>
      <c r="S12321" s="226"/>
      <c r="T12321" s="226"/>
      <c r="U12321" s="226"/>
    </row>
    <row r="12322" spans="16:21" x14ac:dyDescent="0.35">
      <c r="P12322" s="226"/>
      <c r="Q12322" s="226"/>
      <c r="R12322" s="226"/>
      <c r="S12322" s="226"/>
      <c r="T12322" s="226"/>
      <c r="U12322" s="226"/>
    </row>
    <row r="12323" spans="16:21" x14ac:dyDescent="0.35">
      <c r="P12323" s="226"/>
      <c r="Q12323" s="226"/>
      <c r="R12323" s="226"/>
      <c r="S12323" s="226"/>
      <c r="T12323" s="226"/>
      <c r="U12323" s="226"/>
    </row>
    <row r="12324" spans="16:21" x14ac:dyDescent="0.35">
      <c r="P12324" s="226"/>
      <c r="Q12324" s="226"/>
      <c r="R12324" s="226"/>
      <c r="S12324" s="226"/>
      <c r="T12324" s="226"/>
      <c r="U12324" s="226"/>
    </row>
    <row r="12325" spans="16:21" x14ac:dyDescent="0.35">
      <c r="P12325" s="226"/>
      <c r="Q12325" s="226"/>
      <c r="R12325" s="226"/>
      <c r="S12325" s="226"/>
      <c r="T12325" s="226"/>
      <c r="U12325" s="226"/>
    </row>
    <row r="12326" spans="16:21" x14ac:dyDescent="0.35">
      <c r="P12326" s="226"/>
      <c r="Q12326" s="226"/>
      <c r="R12326" s="226"/>
      <c r="S12326" s="226"/>
      <c r="T12326" s="226"/>
      <c r="U12326" s="226"/>
    </row>
    <row r="12327" spans="16:21" x14ac:dyDescent="0.35">
      <c r="P12327" s="226"/>
      <c r="Q12327" s="226"/>
      <c r="R12327" s="226"/>
      <c r="S12327" s="226"/>
      <c r="T12327" s="226"/>
      <c r="U12327" s="226"/>
    </row>
    <row r="12328" spans="16:21" x14ac:dyDescent="0.35">
      <c r="P12328" s="226"/>
      <c r="Q12328" s="226"/>
      <c r="R12328" s="226"/>
      <c r="S12328" s="226"/>
      <c r="T12328" s="226"/>
      <c r="U12328" s="226"/>
    </row>
    <row r="12329" spans="16:21" x14ac:dyDescent="0.35">
      <c r="P12329" s="226"/>
      <c r="Q12329" s="226"/>
      <c r="R12329" s="226"/>
      <c r="S12329" s="226"/>
      <c r="T12329" s="226"/>
      <c r="U12329" s="226"/>
    </row>
    <row r="12330" spans="16:21" x14ac:dyDescent="0.35">
      <c r="P12330" s="226"/>
      <c r="Q12330" s="226"/>
      <c r="R12330" s="226"/>
      <c r="S12330" s="226"/>
      <c r="T12330" s="226"/>
      <c r="U12330" s="226"/>
    </row>
    <row r="12331" spans="16:21" x14ac:dyDescent="0.35">
      <c r="P12331" s="226"/>
      <c r="Q12331" s="226"/>
      <c r="R12331" s="226"/>
      <c r="S12331" s="226"/>
      <c r="T12331" s="226"/>
      <c r="U12331" s="226"/>
    </row>
    <row r="12332" spans="16:21" x14ac:dyDescent="0.35">
      <c r="P12332" s="226"/>
      <c r="Q12332" s="226"/>
      <c r="R12332" s="226"/>
      <c r="S12332" s="226"/>
      <c r="T12332" s="226"/>
      <c r="U12332" s="226"/>
    </row>
    <row r="12333" spans="16:21" x14ac:dyDescent="0.35">
      <c r="P12333" s="226"/>
      <c r="Q12333" s="226"/>
      <c r="R12333" s="226"/>
      <c r="S12333" s="226"/>
      <c r="T12333" s="226"/>
      <c r="U12333" s="226"/>
    </row>
    <row r="12334" spans="16:21" x14ac:dyDescent="0.35">
      <c r="P12334" s="226"/>
      <c r="Q12334" s="226"/>
      <c r="R12334" s="226"/>
      <c r="S12334" s="226"/>
      <c r="T12334" s="226"/>
      <c r="U12334" s="226"/>
    </row>
    <row r="12335" spans="16:21" x14ac:dyDescent="0.35">
      <c r="P12335" s="226"/>
      <c r="Q12335" s="226"/>
      <c r="R12335" s="226"/>
      <c r="S12335" s="226"/>
      <c r="T12335" s="226"/>
      <c r="U12335" s="226"/>
    </row>
    <row r="12336" spans="16:21" x14ac:dyDescent="0.35">
      <c r="P12336" s="226"/>
      <c r="Q12336" s="226"/>
      <c r="R12336" s="226"/>
      <c r="S12336" s="226"/>
      <c r="T12336" s="226"/>
      <c r="U12336" s="226"/>
    </row>
    <row r="12337" spans="16:21" x14ac:dyDescent="0.35">
      <c r="P12337" s="226"/>
      <c r="Q12337" s="226"/>
      <c r="R12337" s="226"/>
      <c r="S12337" s="226"/>
      <c r="T12337" s="226"/>
      <c r="U12337" s="226"/>
    </row>
    <row r="12338" spans="16:21" x14ac:dyDescent="0.35">
      <c r="P12338" s="226"/>
      <c r="Q12338" s="226"/>
      <c r="R12338" s="226"/>
      <c r="S12338" s="226"/>
      <c r="T12338" s="226"/>
      <c r="U12338" s="226"/>
    </row>
    <row r="12339" spans="16:21" x14ac:dyDescent="0.35">
      <c r="P12339" s="226"/>
      <c r="Q12339" s="226"/>
      <c r="R12339" s="226"/>
      <c r="S12339" s="226"/>
      <c r="T12339" s="226"/>
      <c r="U12339" s="226"/>
    </row>
    <row r="12340" spans="16:21" x14ac:dyDescent="0.35">
      <c r="P12340" s="226"/>
      <c r="Q12340" s="226"/>
      <c r="R12340" s="226"/>
      <c r="S12340" s="226"/>
      <c r="T12340" s="226"/>
      <c r="U12340" s="226"/>
    </row>
    <row r="12341" spans="16:21" x14ac:dyDescent="0.35">
      <c r="P12341" s="226"/>
      <c r="Q12341" s="226"/>
      <c r="R12341" s="226"/>
      <c r="S12341" s="226"/>
      <c r="T12341" s="226"/>
      <c r="U12341" s="226"/>
    </row>
    <row r="12342" spans="16:21" x14ac:dyDescent="0.35">
      <c r="P12342" s="226"/>
      <c r="Q12342" s="226"/>
      <c r="R12342" s="226"/>
      <c r="S12342" s="226"/>
      <c r="T12342" s="226"/>
      <c r="U12342" s="226"/>
    </row>
    <row r="12343" spans="16:21" x14ac:dyDescent="0.35">
      <c r="P12343" s="226"/>
      <c r="Q12343" s="226"/>
      <c r="R12343" s="226"/>
      <c r="S12343" s="226"/>
      <c r="T12343" s="226"/>
      <c r="U12343" s="226"/>
    </row>
    <row r="12344" spans="16:21" x14ac:dyDescent="0.35">
      <c r="P12344" s="226"/>
      <c r="Q12344" s="226"/>
      <c r="R12344" s="226"/>
      <c r="S12344" s="226"/>
      <c r="T12344" s="226"/>
      <c r="U12344" s="226"/>
    </row>
    <row r="12345" spans="16:21" x14ac:dyDescent="0.35">
      <c r="P12345" s="226"/>
      <c r="Q12345" s="226"/>
      <c r="R12345" s="226"/>
      <c r="S12345" s="226"/>
      <c r="T12345" s="226"/>
      <c r="U12345" s="226"/>
    </row>
    <row r="12346" spans="16:21" x14ac:dyDescent="0.35">
      <c r="P12346" s="226"/>
      <c r="Q12346" s="226"/>
      <c r="R12346" s="226"/>
      <c r="S12346" s="226"/>
      <c r="T12346" s="226"/>
      <c r="U12346" s="226"/>
    </row>
    <row r="12347" spans="16:21" x14ac:dyDescent="0.35">
      <c r="P12347" s="226"/>
      <c r="Q12347" s="226"/>
      <c r="R12347" s="226"/>
      <c r="S12347" s="226"/>
      <c r="T12347" s="226"/>
      <c r="U12347" s="226"/>
    </row>
    <row r="12348" spans="16:21" x14ac:dyDescent="0.35">
      <c r="P12348" s="226"/>
      <c r="Q12348" s="226"/>
      <c r="R12348" s="226"/>
      <c r="S12348" s="226"/>
      <c r="T12348" s="226"/>
      <c r="U12348" s="226"/>
    </row>
    <row r="12349" spans="16:21" x14ac:dyDescent="0.35">
      <c r="P12349" s="226"/>
      <c r="Q12349" s="226"/>
      <c r="R12349" s="226"/>
      <c r="S12349" s="226"/>
      <c r="T12349" s="226"/>
      <c r="U12349" s="226"/>
    </row>
    <row r="12350" spans="16:21" x14ac:dyDescent="0.35">
      <c r="P12350" s="226"/>
      <c r="Q12350" s="226"/>
      <c r="R12350" s="226"/>
      <c r="S12350" s="226"/>
      <c r="T12350" s="226"/>
      <c r="U12350" s="226"/>
    </row>
    <row r="12351" spans="16:21" x14ac:dyDescent="0.35">
      <c r="P12351" s="226"/>
      <c r="Q12351" s="226"/>
      <c r="R12351" s="226"/>
      <c r="S12351" s="226"/>
      <c r="T12351" s="226"/>
      <c r="U12351" s="226"/>
    </row>
    <row r="12352" spans="16:21" x14ac:dyDescent="0.35">
      <c r="P12352" s="226"/>
      <c r="Q12352" s="226"/>
      <c r="R12352" s="226"/>
      <c r="S12352" s="226"/>
      <c r="T12352" s="226"/>
      <c r="U12352" s="226"/>
    </row>
    <row r="12353" spans="16:21" x14ac:dyDescent="0.35">
      <c r="P12353" s="226"/>
      <c r="Q12353" s="226"/>
      <c r="R12353" s="226"/>
      <c r="S12353" s="226"/>
      <c r="T12353" s="226"/>
      <c r="U12353" s="226"/>
    </row>
    <row r="12354" spans="16:21" x14ac:dyDescent="0.35">
      <c r="P12354" s="226"/>
      <c r="Q12354" s="226"/>
      <c r="R12354" s="226"/>
      <c r="S12354" s="226"/>
      <c r="T12354" s="226"/>
      <c r="U12354" s="226"/>
    </row>
    <row r="12355" spans="16:21" x14ac:dyDescent="0.35">
      <c r="P12355" s="226"/>
      <c r="Q12355" s="226"/>
      <c r="R12355" s="226"/>
      <c r="S12355" s="226"/>
      <c r="T12355" s="226"/>
      <c r="U12355" s="226"/>
    </row>
    <row r="12356" spans="16:21" x14ac:dyDescent="0.35">
      <c r="P12356" s="226"/>
      <c r="Q12356" s="226"/>
      <c r="R12356" s="226"/>
      <c r="S12356" s="226"/>
      <c r="T12356" s="226"/>
      <c r="U12356" s="226"/>
    </row>
    <row r="12357" spans="16:21" x14ac:dyDescent="0.35">
      <c r="P12357" s="226"/>
      <c r="Q12357" s="226"/>
      <c r="R12357" s="226"/>
      <c r="S12357" s="226"/>
      <c r="T12357" s="226"/>
      <c r="U12357" s="226"/>
    </row>
    <row r="12358" spans="16:21" x14ac:dyDescent="0.35">
      <c r="P12358" s="226"/>
      <c r="Q12358" s="226"/>
      <c r="R12358" s="226"/>
      <c r="S12358" s="226"/>
      <c r="T12358" s="226"/>
      <c r="U12358" s="226"/>
    </row>
    <row r="12359" spans="16:21" x14ac:dyDescent="0.35">
      <c r="P12359" s="226"/>
      <c r="Q12359" s="226"/>
      <c r="R12359" s="226"/>
      <c r="S12359" s="226"/>
      <c r="T12359" s="226"/>
      <c r="U12359" s="226"/>
    </row>
    <row r="12360" spans="16:21" x14ac:dyDescent="0.35">
      <c r="P12360" s="226"/>
      <c r="Q12360" s="226"/>
      <c r="R12360" s="226"/>
      <c r="S12360" s="226"/>
      <c r="T12360" s="226"/>
      <c r="U12360" s="226"/>
    </row>
    <row r="12361" spans="16:21" x14ac:dyDescent="0.35">
      <c r="P12361" s="226"/>
      <c r="Q12361" s="226"/>
      <c r="R12361" s="226"/>
      <c r="S12361" s="226"/>
      <c r="T12361" s="226"/>
      <c r="U12361" s="226"/>
    </row>
    <row r="12362" spans="16:21" x14ac:dyDescent="0.35">
      <c r="P12362" s="226"/>
      <c r="Q12362" s="226"/>
      <c r="R12362" s="226"/>
      <c r="S12362" s="226"/>
      <c r="T12362" s="226"/>
      <c r="U12362" s="226"/>
    </row>
    <row r="12363" spans="16:21" x14ac:dyDescent="0.35">
      <c r="P12363" s="226"/>
      <c r="Q12363" s="226"/>
      <c r="R12363" s="226"/>
      <c r="S12363" s="226"/>
      <c r="T12363" s="226"/>
      <c r="U12363" s="226"/>
    </row>
    <row r="12364" spans="16:21" x14ac:dyDescent="0.35">
      <c r="P12364" s="226"/>
      <c r="Q12364" s="226"/>
      <c r="R12364" s="226"/>
      <c r="S12364" s="226"/>
      <c r="T12364" s="226"/>
      <c r="U12364" s="226"/>
    </row>
    <row r="12365" spans="16:21" x14ac:dyDescent="0.35">
      <c r="P12365" s="226"/>
      <c r="Q12365" s="226"/>
      <c r="R12365" s="226"/>
      <c r="S12365" s="226"/>
      <c r="T12365" s="226"/>
      <c r="U12365" s="226"/>
    </row>
    <row r="12366" spans="16:21" x14ac:dyDescent="0.35">
      <c r="P12366" s="226"/>
      <c r="Q12366" s="226"/>
      <c r="R12366" s="226"/>
      <c r="S12366" s="226"/>
      <c r="T12366" s="226"/>
      <c r="U12366" s="226"/>
    </row>
    <row r="12367" spans="16:21" x14ac:dyDescent="0.35">
      <c r="P12367" s="226"/>
      <c r="Q12367" s="226"/>
      <c r="R12367" s="226"/>
      <c r="S12367" s="226"/>
      <c r="T12367" s="226"/>
      <c r="U12367" s="226"/>
    </row>
    <row r="12368" spans="16:21" x14ac:dyDescent="0.35">
      <c r="P12368" s="226"/>
      <c r="Q12368" s="226"/>
      <c r="R12368" s="226"/>
      <c r="S12368" s="226"/>
      <c r="T12368" s="226"/>
      <c r="U12368" s="226"/>
    </row>
    <row r="12369" spans="16:21" x14ac:dyDescent="0.35">
      <c r="P12369" s="226"/>
      <c r="Q12369" s="226"/>
      <c r="R12369" s="226"/>
      <c r="S12369" s="226"/>
      <c r="T12369" s="226"/>
      <c r="U12369" s="226"/>
    </row>
    <row r="12370" spans="16:21" x14ac:dyDescent="0.35">
      <c r="P12370" s="226"/>
      <c r="Q12370" s="226"/>
      <c r="R12370" s="226"/>
      <c r="S12370" s="226"/>
      <c r="T12370" s="226"/>
      <c r="U12370" s="226"/>
    </row>
    <row r="12371" spans="16:21" x14ac:dyDescent="0.35">
      <c r="P12371" s="226"/>
      <c r="Q12371" s="226"/>
      <c r="R12371" s="226"/>
      <c r="S12371" s="226"/>
      <c r="T12371" s="226"/>
      <c r="U12371" s="226"/>
    </row>
    <row r="12372" spans="16:21" x14ac:dyDescent="0.35">
      <c r="P12372" s="226"/>
      <c r="Q12372" s="226"/>
      <c r="R12372" s="226"/>
      <c r="S12372" s="226"/>
      <c r="T12372" s="226"/>
      <c r="U12372" s="226"/>
    </row>
    <row r="12373" spans="16:21" x14ac:dyDescent="0.35">
      <c r="P12373" s="226"/>
      <c r="Q12373" s="226"/>
      <c r="R12373" s="226"/>
      <c r="S12373" s="226"/>
      <c r="T12373" s="226"/>
      <c r="U12373" s="226"/>
    </row>
    <row r="12374" spans="16:21" x14ac:dyDescent="0.35">
      <c r="P12374" s="226"/>
      <c r="Q12374" s="226"/>
      <c r="R12374" s="226"/>
      <c r="S12374" s="226"/>
      <c r="T12374" s="226"/>
      <c r="U12374" s="226"/>
    </row>
    <row r="12375" spans="16:21" x14ac:dyDescent="0.35">
      <c r="P12375" s="226"/>
      <c r="Q12375" s="226"/>
      <c r="R12375" s="226"/>
      <c r="S12375" s="226"/>
      <c r="T12375" s="226"/>
      <c r="U12375" s="226"/>
    </row>
    <row r="12376" spans="16:21" x14ac:dyDescent="0.35">
      <c r="P12376" s="226"/>
      <c r="Q12376" s="226"/>
      <c r="R12376" s="226"/>
      <c r="S12376" s="226"/>
      <c r="T12376" s="226"/>
      <c r="U12376" s="226"/>
    </row>
    <row r="12377" spans="16:21" x14ac:dyDescent="0.35">
      <c r="P12377" s="226"/>
      <c r="Q12377" s="226"/>
      <c r="R12377" s="226"/>
      <c r="S12377" s="226"/>
      <c r="T12377" s="226"/>
      <c r="U12377" s="226"/>
    </row>
    <row r="12378" spans="16:21" x14ac:dyDescent="0.35">
      <c r="P12378" s="226"/>
      <c r="Q12378" s="226"/>
      <c r="R12378" s="226"/>
      <c r="S12378" s="226"/>
      <c r="T12378" s="226"/>
      <c r="U12378" s="226"/>
    </row>
    <row r="12379" spans="16:21" x14ac:dyDescent="0.35">
      <c r="P12379" s="226"/>
      <c r="Q12379" s="226"/>
      <c r="R12379" s="226"/>
      <c r="S12379" s="226"/>
      <c r="T12379" s="226"/>
      <c r="U12379" s="226"/>
    </row>
    <row r="12380" spans="16:21" x14ac:dyDescent="0.35">
      <c r="P12380" s="226"/>
      <c r="Q12380" s="226"/>
      <c r="R12380" s="226"/>
      <c r="S12380" s="226"/>
      <c r="T12380" s="226"/>
      <c r="U12380" s="226"/>
    </row>
    <row r="12381" spans="16:21" x14ac:dyDescent="0.35">
      <c r="P12381" s="226"/>
      <c r="Q12381" s="226"/>
      <c r="R12381" s="226"/>
      <c r="S12381" s="226"/>
      <c r="T12381" s="226"/>
      <c r="U12381" s="226"/>
    </row>
    <row r="12382" spans="16:21" x14ac:dyDescent="0.35">
      <c r="P12382" s="226"/>
      <c r="Q12382" s="226"/>
      <c r="R12382" s="226"/>
      <c r="S12382" s="226"/>
      <c r="T12382" s="226"/>
      <c r="U12382" s="226"/>
    </row>
    <row r="12383" spans="16:21" x14ac:dyDescent="0.35">
      <c r="P12383" s="226"/>
      <c r="Q12383" s="226"/>
      <c r="R12383" s="226"/>
      <c r="S12383" s="226"/>
      <c r="T12383" s="226"/>
      <c r="U12383" s="226"/>
    </row>
    <row r="12384" spans="16:21" x14ac:dyDescent="0.35">
      <c r="P12384" s="226"/>
      <c r="Q12384" s="226"/>
      <c r="R12384" s="226"/>
      <c r="S12384" s="226"/>
      <c r="T12384" s="226"/>
      <c r="U12384" s="226"/>
    </row>
    <row r="12385" spans="16:21" x14ac:dyDescent="0.35">
      <c r="P12385" s="226"/>
      <c r="Q12385" s="226"/>
      <c r="R12385" s="226"/>
      <c r="S12385" s="226"/>
      <c r="T12385" s="226"/>
      <c r="U12385" s="226"/>
    </row>
    <row r="12386" spans="16:21" x14ac:dyDescent="0.35">
      <c r="P12386" s="226"/>
      <c r="Q12386" s="226"/>
      <c r="R12386" s="226"/>
      <c r="S12386" s="226"/>
      <c r="T12386" s="226"/>
      <c r="U12386" s="226"/>
    </row>
    <row r="12387" spans="16:21" x14ac:dyDescent="0.35">
      <c r="P12387" s="226"/>
      <c r="Q12387" s="226"/>
      <c r="R12387" s="226"/>
      <c r="S12387" s="226"/>
      <c r="T12387" s="226"/>
      <c r="U12387" s="226"/>
    </row>
    <row r="12388" spans="16:21" x14ac:dyDescent="0.35">
      <c r="P12388" s="226"/>
      <c r="Q12388" s="226"/>
      <c r="R12388" s="226"/>
      <c r="S12388" s="226"/>
      <c r="T12388" s="226"/>
      <c r="U12388" s="226"/>
    </row>
    <row r="12389" spans="16:21" x14ac:dyDescent="0.35">
      <c r="P12389" s="226"/>
      <c r="Q12389" s="226"/>
      <c r="R12389" s="226"/>
      <c r="S12389" s="226"/>
      <c r="T12389" s="226"/>
      <c r="U12389" s="226"/>
    </row>
    <row r="12390" spans="16:21" x14ac:dyDescent="0.35">
      <c r="P12390" s="226"/>
      <c r="Q12390" s="226"/>
      <c r="R12390" s="226"/>
      <c r="S12390" s="226"/>
      <c r="T12390" s="226"/>
      <c r="U12390" s="226"/>
    </row>
    <row r="12391" spans="16:21" x14ac:dyDescent="0.35">
      <c r="P12391" s="226"/>
      <c r="Q12391" s="226"/>
      <c r="R12391" s="226"/>
      <c r="S12391" s="226"/>
      <c r="T12391" s="226"/>
      <c r="U12391" s="226"/>
    </row>
    <row r="12392" spans="16:21" x14ac:dyDescent="0.35">
      <c r="P12392" s="226"/>
      <c r="Q12392" s="226"/>
      <c r="R12392" s="226"/>
      <c r="S12392" s="226"/>
      <c r="T12392" s="226"/>
      <c r="U12392" s="226"/>
    </row>
    <row r="12393" spans="16:21" x14ac:dyDescent="0.35">
      <c r="P12393" s="226"/>
      <c r="Q12393" s="226"/>
      <c r="R12393" s="226"/>
      <c r="S12393" s="226"/>
      <c r="T12393" s="226"/>
      <c r="U12393" s="226"/>
    </row>
    <row r="12394" spans="16:21" x14ac:dyDescent="0.35">
      <c r="P12394" s="226"/>
      <c r="Q12394" s="226"/>
      <c r="R12394" s="226"/>
      <c r="S12394" s="226"/>
      <c r="T12394" s="226"/>
      <c r="U12394" s="226"/>
    </row>
    <row r="12395" spans="16:21" x14ac:dyDescent="0.35">
      <c r="P12395" s="226"/>
      <c r="Q12395" s="226"/>
      <c r="R12395" s="226"/>
      <c r="S12395" s="226"/>
      <c r="T12395" s="226"/>
      <c r="U12395" s="226"/>
    </row>
    <row r="12396" spans="16:21" x14ac:dyDescent="0.35">
      <c r="P12396" s="226"/>
      <c r="Q12396" s="226"/>
      <c r="R12396" s="226"/>
      <c r="S12396" s="226"/>
      <c r="T12396" s="226"/>
      <c r="U12396" s="226"/>
    </row>
    <row r="12397" spans="16:21" x14ac:dyDescent="0.35">
      <c r="P12397" s="226"/>
      <c r="Q12397" s="226"/>
      <c r="R12397" s="226"/>
      <c r="S12397" s="226"/>
      <c r="T12397" s="226"/>
      <c r="U12397" s="226"/>
    </row>
    <row r="12398" spans="16:21" x14ac:dyDescent="0.35">
      <c r="P12398" s="226"/>
      <c r="Q12398" s="226"/>
      <c r="R12398" s="226"/>
      <c r="S12398" s="226"/>
      <c r="T12398" s="226"/>
      <c r="U12398" s="226"/>
    </row>
    <row r="12399" spans="16:21" x14ac:dyDescent="0.35">
      <c r="P12399" s="226"/>
      <c r="Q12399" s="226"/>
      <c r="R12399" s="226"/>
      <c r="S12399" s="226"/>
      <c r="T12399" s="226"/>
      <c r="U12399" s="226"/>
    </row>
    <row r="12400" spans="16:21" x14ac:dyDescent="0.35">
      <c r="P12400" s="226"/>
      <c r="Q12400" s="226"/>
      <c r="R12400" s="226"/>
      <c r="S12400" s="226"/>
      <c r="T12400" s="226"/>
      <c r="U12400" s="226"/>
    </row>
    <row r="12401" spans="16:21" x14ac:dyDescent="0.35">
      <c r="P12401" s="226"/>
      <c r="Q12401" s="226"/>
      <c r="R12401" s="226"/>
      <c r="S12401" s="226"/>
      <c r="T12401" s="226"/>
      <c r="U12401" s="226"/>
    </row>
    <row r="12402" spans="16:21" x14ac:dyDescent="0.35">
      <c r="P12402" s="226"/>
      <c r="Q12402" s="226"/>
      <c r="R12402" s="226"/>
      <c r="S12402" s="226"/>
      <c r="T12402" s="226"/>
      <c r="U12402" s="226"/>
    </row>
    <row r="12403" spans="16:21" x14ac:dyDescent="0.35">
      <c r="P12403" s="226"/>
      <c r="Q12403" s="226"/>
      <c r="R12403" s="226"/>
      <c r="S12403" s="226"/>
      <c r="T12403" s="226"/>
      <c r="U12403" s="226"/>
    </row>
    <row r="12404" spans="16:21" x14ac:dyDescent="0.35">
      <c r="P12404" s="226"/>
      <c r="Q12404" s="226"/>
      <c r="R12404" s="226"/>
      <c r="S12404" s="226"/>
      <c r="T12404" s="226"/>
      <c r="U12404" s="226"/>
    </row>
    <row r="12405" spans="16:21" x14ac:dyDescent="0.35">
      <c r="P12405" s="226"/>
      <c r="Q12405" s="226"/>
      <c r="R12405" s="226"/>
      <c r="S12405" s="226"/>
      <c r="T12405" s="226"/>
      <c r="U12405" s="226"/>
    </row>
    <row r="12406" spans="16:21" x14ac:dyDescent="0.35">
      <c r="P12406" s="226"/>
      <c r="Q12406" s="226"/>
      <c r="R12406" s="226"/>
      <c r="S12406" s="226"/>
      <c r="T12406" s="226"/>
      <c r="U12406" s="226"/>
    </row>
    <row r="12407" spans="16:21" x14ac:dyDescent="0.35">
      <c r="P12407" s="226"/>
      <c r="Q12407" s="226"/>
      <c r="R12407" s="226"/>
      <c r="S12407" s="226"/>
      <c r="T12407" s="226"/>
      <c r="U12407" s="226"/>
    </row>
    <row r="12408" spans="16:21" x14ac:dyDescent="0.35">
      <c r="P12408" s="226"/>
      <c r="Q12408" s="226"/>
      <c r="R12408" s="226"/>
      <c r="S12408" s="226"/>
      <c r="T12408" s="226"/>
      <c r="U12408" s="226"/>
    </row>
    <row r="12409" spans="16:21" x14ac:dyDescent="0.35">
      <c r="P12409" s="226"/>
      <c r="Q12409" s="226"/>
      <c r="R12409" s="226"/>
      <c r="S12409" s="226"/>
      <c r="T12409" s="226"/>
      <c r="U12409" s="226"/>
    </row>
    <row r="12410" spans="16:21" x14ac:dyDescent="0.35">
      <c r="P12410" s="226"/>
      <c r="Q12410" s="226"/>
      <c r="R12410" s="226"/>
      <c r="S12410" s="226"/>
      <c r="T12410" s="226"/>
      <c r="U12410" s="226"/>
    </row>
    <row r="12411" spans="16:21" x14ac:dyDescent="0.35">
      <c r="P12411" s="226"/>
      <c r="Q12411" s="226"/>
      <c r="R12411" s="226"/>
      <c r="S12411" s="226"/>
      <c r="T12411" s="226"/>
      <c r="U12411" s="226"/>
    </row>
    <row r="12412" spans="16:21" x14ac:dyDescent="0.35">
      <c r="P12412" s="226"/>
      <c r="Q12412" s="226"/>
      <c r="R12412" s="226"/>
      <c r="S12412" s="226"/>
      <c r="T12412" s="226"/>
      <c r="U12412" s="226"/>
    </row>
    <row r="12413" spans="16:21" x14ac:dyDescent="0.35">
      <c r="P12413" s="226"/>
      <c r="Q12413" s="226"/>
      <c r="R12413" s="226"/>
      <c r="S12413" s="226"/>
      <c r="T12413" s="226"/>
      <c r="U12413" s="226"/>
    </row>
    <row r="12414" spans="16:21" x14ac:dyDescent="0.35">
      <c r="P12414" s="226"/>
      <c r="Q12414" s="226"/>
      <c r="R12414" s="226"/>
      <c r="S12414" s="226"/>
      <c r="T12414" s="226"/>
      <c r="U12414" s="226"/>
    </row>
    <row r="12415" spans="16:21" x14ac:dyDescent="0.35">
      <c r="P12415" s="226"/>
      <c r="Q12415" s="226"/>
      <c r="R12415" s="226"/>
      <c r="S12415" s="226"/>
      <c r="T12415" s="226"/>
      <c r="U12415" s="226"/>
    </row>
    <row r="12416" spans="16:21" x14ac:dyDescent="0.35">
      <c r="P12416" s="226"/>
      <c r="Q12416" s="226"/>
      <c r="R12416" s="226"/>
      <c r="S12416" s="226"/>
      <c r="T12416" s="226"/>
      <c r="U12416" s="226"/>
    </row>
    <row r="12417" spans="16:21" x14ac:dyDescent="0.35">
      <c r="P12417" s="226"/>
      <c r="Q12417" s="226"/>
      <c r="R12417" s="226"/>
      <c r="S12417" s="226"/>
      <c r="T12417" s="226"/>
      <c r="U12417" s="226"/>
    </row>
    <row r="12418" spans="16:21" x14ac:dyDescent="0.35">
      <c r="P12418" s="226"/>
      <c r="Q12418" s="226"/>
      <c r="R12418" s="226"/>
      <c r="S12418" s="226"/>
      <c r="T12418" s="226"/>
      <c r="U12418" s="226"/>
    </row>
    <row r="12419" spans="16:21" x14ac:dyDescent="0.35">
      <c r="P12419" s="226"/>
      <c r="Q12419" s="226"/>
      <c r="R12419" s="226"/>
      <c r="S12419" s="226"/>
      <c r="T12419" s="226"/>
      <c r="U12419" s="226"/>
    </row>
    <row r="12420" spans="16:21" x14ac:dyDescent="0.35">
      <c r="P12420" s="226"/>
      <c r="Q12420" s="226"/>
      <c r="R12420" s="226"/>
      <c r="S12420" s="226"/>
      <c r="T12420" s="226"/>
      <c r="U12420" s="226"/>
    </row>
    <row r="12421" spans="16:21" x14ac:dyDescent="0.35">
      <c r="P12421" s="226"/>
      <c r="Q12421" s="226"/>
      <c r="R12421" s="226"/>
      <c r="S12421" s="226"/>
      <c r="T12421" s="226"/>
      <c r="U12421" s="226"/>
    </row>
    <row r="12422" spans="16:21" x14ac:dyDescent="0.35">
      <c r="P12422" s="226"/>
      <c r="Q12422" s="226"/>
      <c r="R12422" s="226"/>
      <c r="S12422" s="226"/>
      <c r="T12422" s="226"/>
      <c r="U12422" s="226"/>
    </row>
    <row r="12423" spans="16:21" x14ac:dyDescent="0.35">
      <c r="P12423" s="226"/>
      <c r="Q12423" s="226"/>
      <c r="R12423" s="226"/>
      <c r="S12423" s="226"/>
      <c r="T12423" s="226"/>
      <c r="U12423" s="226"/>
    </row>
    <row r="12424" spans="16:21" x14ac:dyDescent="0.35">
      <c r="P12424" s="226"/>
      <c r="Q12424" s="226"/>
      <c r="R12424" s="226"/>
      <c r="S12424" s="226"/>
      <c r="T12424" s="226"/>
      <c r="U12424" s="226"/>
    </row>
    <row r="12425" spans="16:21" x14ac:dyDescent="0.35">
      <c r="P12425" s="226"/>
      <c r="Q12425" s="226"/>
      <c r="R12425" s="226"/>
      <c r="S12425" s="226"/>
      <c r="T12425" s="226"/>
      <c r="U12425" s="226"/>
    </row>
    <row r="12426" spans="16:21" x14ac:dyDescent="0.35">
      <c r="P12426" s="226"/>
      <c r="Q12426" s="226"/>
      <c r="R12426" s="226"/>
      <c r="S12426" s="226"/>
      <c r="T12426" s="226"/>
      <c r="U12426" s="226"/>
    </row>
    <row r="12427" spans="16:21" x14ac:dyDescent="0.35">
      <c r="P12427" s="226"/>
      <c r="Q12427" s="226"/>
      <c r="R12427" s="226"/>
      <c r="S12427" s="226"/>
      <c r="T12427" s="226"/>
      <c r="U12427" s="226"/>
    </row>
    <row r="12428" spans="16:21" x14ac:dyDescent="0.35">
      <c r="P12428" s="226"/>
      <c r="Q12428" s="226"/>
      <c r="R12428" s="226"/>
      <c r="S12428" s="226"/>
      <c r="T12428" s="226"/>
      <c r="U12428" s="226"/>
    </row>
    <row r="12429" spans="16:21" x14ac:dyDescent="0.35">
      <c r="P12429" s="226"/>
      <c r="Q12429" s="226"/>
      <c r="R12429" s="226"/>
      <c r="S12429" s="226"/>
      <c r="T12429" s="226"/>
      <c r="U12429" s="226"/>
    </row>
    <row r="12430" spans="16:21" x14ac:dyDescent="0.35">
      <c r="P12430" s="226"/>
      <c r="Q12430" s="226"/>
      <c r="R12430" s="226"/>
      <c r="S12430" s="226"/>
      <c r="T12430" s="226"/>
      <c r="U12430" s="226"/>
    </row>
    <row r="12431" spans="16:21" x14ac:dyDescent="0.35">
      <c r="P12431" s="226"/>
      <c r="Q12431" s="226"/>
      <c r="R12431" s="226"/>
      <c r="S12431" s="226"/>
      <c r="T12431" s="226"/>
      <c r="U12431" s="226"/>
    </row>
    <row r="12432" spans="16:21" x14ac:dyDescent="0.35">
      <c r="P12432" s="226"/>
      <c r="Q12432" s="226"/>
      <c r="R12432" s="226"/>
      <c r="S12432" s="226"/>
      <c r="T12432" s="226"/>
      <c r="U12432" s="226"/>
    </row>
    <row r="12433" spans="16:21" x14ac:dyDescent="0.35">
      <c r="P12433" s="226"/>
      <c r="Q12433" s="226"/>
      <c r="R12433" s="226"/>
      <c r="S12433" s="226"/>
      <c r="T12433" s="226"/>
      <c r="U12433" s="226"/>
    </row>
    <row r="12434" spans="16:21" x14ac:dyDescent="0.35">
      <c r="P12434" s="226"/>
      <c r="Q12434" s="226"/>
      <c r="R12434" s="226"/>
      <c r="S12434" s="226"/>
      <c r="T12434" s="226"/>
      <c r="U12434" s="226"/>
    </row>
    <row r="12435" spans="16:21" x14ac:dyDescent="0.35">
      <c r="P12435" s="226"/>
      <c r="Q12435" s="226"/>
      <c r="R12435" s="226"/>
      <c r="S12435" s="226"/>
      <c r="T12435" s="226"/>
      <c r="U12435" s="226"/>
    </row>
    <row r="12436" spans="16:21" x14ac:dyDescent="0.35">
      <c r="P12436" s="226"/>
      <c r="Q12436" s="226"/>
      <c r="R12436" s="226"/>
      <c r="S12436" s="226"/>
      <c r="T12436" s="226"/>
      <c r="U12436" s="226"/>
    </row>
    <row r="12437" spans="16:21" x14ac:dyDescent="0.35">
      <c r="P12437" s="226"/>
      <c r="Q12437" s="226"/>
      <c r="R12437" s="226"/>
      <c r="S12437" s="226"/>
      <c r="T12437" s="226"/>
      <c r="U12437" s="226"/>
    </row>
    <row r="12438" spans="16:21" x14ac:dyDescent="0.35">
      <c r="P12438" s="226"/>
      <c r="Q12438" s="226"/>
      <c r="R12438" s="226"/>
      <c r="S12438" s="226"/>
      <c r="T12438" s="226"/>
      <c r="U12438" s="226"/>
    </row>
    <row r="12439" spans="16:21" x14ac:dyDescent="0.35">
      <c r="P12439" s="226"/>
      <c r="Q12439" s="226"/>
      <c r="R12439" s="226"/>
      <c r="S12439" s="226"/>
      <c r="T12439" s="226"/>
      <c r="U12439" s="226"/>
    </row>
    <row r="12440" spans="16:21" x14ac:dyDescent="0.35">
      <c r="P12440" s="226"/>
      <c r="Q12440" s="226"/>
      <c r="R12440" s="226"/>
      <c r="S12440" s="226"/>
      <c r="T12440" s="226"/>
      <c r="U12440" s="226"/>
    </row>
    <row r="12441" spans="16:21" x14ac:dyDescent="0.35">
      <c r="P12441" s="226"/>
      <c r="Q12441" s="226"/>
      <c r="R12441" s="226"/>
      <c r="S12441" s="226"/>
      <c r="T12441" s="226"/>
      <c r="U12441" s="226"/>
    </row>
    <row r="12442" spans="16:21" x14ac:dyDescent="0.35">
      <c r="P12442" s="226"/>
      <c r="Q12442" s="226"/>
      <c r="R12442" s="226"/>
      <c r="S12442" s="226"/>
      <c r="T12442" s="226"/>
      <c r="U12442" s="226"/>
    </row>
    <row r="12443" spans="16:21" x14ac:dyDescent="0.35">
      <c r="P12443" s="226"/>
      <c r="Q12443" s="226"/>
      <c r="R12443" s="226"/>
      <c r="S12443" s="226"/>
      <c r="T12443" s="226"/>
      <c r="U12443" s="226"/>
    </row>
    <row r="12444" spans="16:21" x14ac:dyDescent="0.35">
      <c r="P12444" s="226"/>
      <c r="Q12444" s="226"/>
      <c r="R12444" s="226"/>
      <c r="S12444" s="226"/>
      <c r="T12444" s="226"/>
      <c r="U12444" s="226"/>
    </row>
    <row r="12445" spans="16:21" x14ac:dyDescent="0.35">
      <c r="P12445" s="226"/>
      <c r="Q12445" s="226"/>
      <c r="R12445" s="226"/>
      <c r="S12445" s="226"/>
      <c r="T12445" s="226"/>
      <c r="U12445" s="226"/>
    </row>
    <row r="12446" spans="16:21" x14ac:dyDescent="0.35">
      <c r="P12446" s="226"/>
      <c r="Q12446" s="226"/>
      <c r="R12446" s="226"/>
      <c r="S12446" s="226"/>
      <c r="T12446" s="226"/>
      <c r="U12446" s="226"/>
    </row>
    <row r="12447" spans="16:21" x14ac:dyDescent="0.35">
      <c r="P12447" s="226"/>
      <c r="Q12447" s="226"/>
      <c r="R12447" s="226"/>
      <c r="S12447" s="226"/>
      <c r="T12447" s="226"/>
      <c r="U12447" s="226"/>
    </row>
    <row r="12448" spans="16:21" x14ac:dyDescent="0.35">
      <c r="P12448" s="226"/>
      <c r="Q12448" s="226"/>
      <c r="R12448" s="226"/>
      <c r="S12448" s="226"/>
      <c r="T12448" s="226"/>
      <c r="U12448" s="226"/>
    </row>
    <row r="12449" spans="16:21" x14ac:dyDescent="0.35">
      <c r="P12449" s="226"/>
      <c r="Q12449" s="226"/>
      <c r="R12449" s="226"/>
      <c r="S12449" s="226"/>
      <c r="T12449" s="226"/>
      <c r="U12449" s="226"/>
    </row>
    <row r="12450" spans="16:21" x14ac:dyDescent="0.35">
      <c r="P12450" s="226"/>
      <c r="Q12450" s="226"/>
      <c r="R12450" s="226"/>
      <c r="S12450" s="226"/>
      <c r="T12450" s="226"/>
      <c r="U12450" s="226"/>
    </row>
    <row r="12451" spans="16:21" x14ac:dyDescent="0.35">
      <c r="P12451" s="226"/>
      <c r="Q12451" s="226"/>
      <c r="R12451" s="226"/>
      <c r="S12451" s="226"/>
      <c r="T12451" s="226"/>
      <c r="U12451" s="226"/>
    </row>
    <row r="12452" spans="16:21" x14ac:dyDescent="0.35">
      <c r="P12452" s="226"/>
      <c r="Q12452" s="226"/>
      <c r="R12452" s="226"/>
      <c r="S12452" s="226"/>
      <c r="T12452" s="226"/>
      <c r="U12452" s="226"/>
    </row>
    <row r="12453" spans="16:21" x14ac:dyDescent="0.35">
      <c r="P12453" s="226"/>
      <c r="Q12453" s="226"/>
      <c r="R12453" s="226"/>
      <c r="S12453" s="226"/>
      <c r="T12453" s="226"/>
      <c r="U12453" s="226"/>
    </row>
    <row r="12454" spans="16:21" x14ac:dyDescent="0.35">
      <c r="P12454" s="226"/>
      <c r="Q12454" s="226"/>
      <c r="R12454" s="226"/>
      <c r="S12454" s="226"/>
      <c r="T12454" s="226"/>
      <c r="U12454" s="226"/>
    </row>
    <row r="12455" spans="16:21" x14ac:dyDescent="0.35">
      <c r="P12455" s="226"/>
      <c r="Q12455" s="226"/>
      <c r="R12455" s="226"/>
      <c r="S12455" s="226"/>
      <c r="T12455" s="226"/>
      <c r="U12455" s="226"/>
    </row>
    <row r="12456" spans="16:21" x14ac:dyDescent="0.35">
      <c r="P12456" s="226"/>
      <c r="Q12456" s="226"/>
      <c r="R12456" s="226"/>
      <c r="S12456" s="226"/>
      <c r="T12456" s="226"/>
      <c r="U12456" s="226"/>
    </row>
    <row r="12457" spans="16:21" x14ac:dyDescent="0.35">
      <c r="P12457" s="226"/>
      <c r="Q12457" s="226"/>
      <c r="R12457" s="226"/>
      <c r="S12457" s="226"/>
      <c r="T12457" s="226"/>
      <c r="U12457" s="226"/>
    </row>
    <row r="12458" spans="16:21" x14ac:dyDescent="0.35">
      <c r="P12458" s="226"/>
      <c r="Q12458" s="226"/>
      <c r="R12458" s="226"/>
      <c r="S12458" s="226"/>
      <c r="T12458" s="226"/>
      <c r="U12458" s="226"/>
    </row>
    <row r="12459" spans="16:21" x14ac:dyDescent="0.35">
      <c r="P12459" s="226"/>
      <c r="Q12459" s="226"/>
      <c r="R12459" s="226"/>
      <c r="S12459" s="226"/>
      <c r="T12459" s="226"/>
      <c r="U12459" s="226"/>
    </row>
    <row r="12460" spans="16:21" x14ac:dyDescent="0.35">
      <c r="P12460" s="226"/>
      <c r="Q12460" s="226"/>
      <c r="R12460" s="226"/>
      <c r="S12460" s="226"/>
      <c r="T12460" s="226"/>
      <c r="U12460" s="226"/>
    </row>
    <row r="12461" spans="16:21" x14ac:dyDescent="0.35">
      <c r="P12461" s="226"/>
      <c r="Q12461" s="226"/>
      <c r="R12461" s="226"/>
      <c r="S12461" s="226"/>
      <c r="T12461" s="226"/>
      <c r="U12461" s="226"/>
    </row>
    <row r="12462" spans="16:21" x14ac:dyDescent="0.35">
      <c r="P12462" s="226"/>
      <c r="Q12462" s="226"/>
      <c r="R12462" s="226"/>
      <c r="S12462" s="226"/>
      <c r="T12462" s="226"/>
      <c r="U12462" s="226"/>
    </row>
    <row r="12463" spans="16:21" x14ac:dyDescent="0.35">
      <c r="P12463" s="226"/>
      <c r="Q12463" s="226"/>
      <c r="R12463" s="226"/>
      <c r="S12463" s="226"/>
      <c r="T12463" s="226"/>
      <c r="U12463" s="226"/>
    </row>
    <row r="12464" spans="16:21" x14ac:dyDescent="0.35">
      <c r="P12464" s="226"/>
      <c r="Q12464" s="226"/>
      <c r="R12464" s="226"/>
      <c r="S12464" s="226"/>
      <c r="T12464" s="226"/>
      <c r="U12464" s="226"/>
    </row>
    <row r="12465" spans="16:21" x14ac:dyDescent="0.35">
      <c r="P12465" s="226"/>
      <c r="Q12465" s="226"/>
      <c r="R12465" s="226"/>
      <c r="S12465" s="226"/>
      <c r="T12465" s="226"/>
      <c r="U12465" s="226"/>
    </row>
    <row r="12466" spans="16:21" x14ac:dyDescent="0.35">
      <c r="P12466" s="226"/>
      <c r="Q12466" s="226"/>
      <c r="R12466" s="226"/>
      <c r="S12466" s="226"/>
      <c r="T12466" s="226"/>
      <c r="U12466" s="226"/>
    </row>
    <row r="12467" spans="16:21" x14ac:dyDescent="0.35">
      <c r="P12467" s="226"/>
      <c r="Q12467" s="226"/>
      <c r="R12467" s="226"/>
      <c r="S12467" s="226"/>
      <c r="T12467" s="226"/>
      <c r="U12467" s="226"/>
    </row>
    <row r="12468" spans="16:21" x14ac:dyDescent="0.35">
      <c r="P12468" s="226"/>
      <c r="Q12468" s="226"/>
      <c r="R12468" s="226"/>
      <c r="S12468" s="226"/>
      <c r="T12468" s="226"/>
      <c r="U12468" s="226"/>
    </row>
    <row r="12469" spans="16:21" x14ac:dyDescent="0.35">
      <c r="P12469" s="226"/>
      <c r="Q12469" s="226"/>
      <c r="R12469" s="226"/>
      <c r="S12469" s="226"/>
      <c r="T12469" s="226"/>
      <c r="U12469" s="226"/>
    </row>
    <row r="12470" spans="16:21" x14ac:dyDescent="0.35">
      <c r="P12470" s="226"/>
      <c r="Q12470" s="226"/>
      <c r="R12470" s="226"/>
      <c r="S12470" s="226"/>
      <c r="T12470" s="226"/>
      <c r="U12470" s="226"/>
    </row>
    <row r="12471" spans="16:21" x14ac:dyDescent="0.35">
      <c r="P12471" s="226"/>
      <c r="Q12471" s="226"/>
      <c r="R12471" s="226"/>
      <c r="S12471" s="226"/>
      <c r="T12471" s="226"/>
      <c r="U12471" s="226"/>
    </row>
    <row r="12472" spans="16:21" x14ac:dyDescent="0.35">
      <c r="P12472" s="226"/>
      <c r="Q12472" s="226"/>
      <c r="R12472" s="226"/>
      <c r="S12472" s="226"/>
      <c r="T12472" s="226"/>
      <c r="U12472" s="226"/>
    </row>
    <row r="12473" spans="16:21" x14ac:dyDescent="0.35">
      <c r="P12473" s="226"/>
      <c r="Q12473" s="226"/>
      <c r="R12473" s="226"/>
      <c r="S12473" s="226"/>
      <c r="T12473" s="226"/>
      <c r="U12473" s="226"/>
    </row>
    <row r="12474" spans="16:21" x14ac:dyDescent="0.35">
      <c r="P12474" s="226"/>
      <c r="Q12474" s="226"/>
      <c r="R12474" s="226"/>
      <c r="S12474" s="226"/>
      <c r="T12474" s="226"/>
      <c r="U12474" s="226"/>
    </row>
    <row r="12475" spans="16:21" x14ac:dyDescent="0.35">
      <c r="P12475" s="226"/>
      <c r="Q12475" s="226"/>
      <c r="R12475" s="226"/>
      <c r="S12475" s="226"/>
      <c r="T12475" s="226"/>
      <c r="U12475" s="226"/>
    </row>
    <row r="12476" spans="16:21" x14ac:dyDescent="0.35">
      <c r="P12476" s="226"/>
      <c r="Q12476" s="226"/>
      <c r="R12476" s="226"/>
      <c r="S12476" s="226"/>
      <c r="T12476" s="226"/>
      <c r="U12476" s="226"/>
    </row>
    <row r="12477" spans="16:21" x14ac:dyDescent="0.35">
      <c r="P12477" s="226"/>
      <c r="Q12477" s="226"/>
      <c r="R12477" s="226"/>
      <c r="S12477" s="226"/>
      <c r="T12477" s="226"/>
      <c r="U12477" s="226"/>
    </row>
    <row r="12478" spans="16:21" x14ac:dyDescent="0.35">
      <c r="P12478" s="226"/>
      <c r="Q12478" s="226"/>
      <c r="R12478" s="226"/>
      <c r="S12478" s="226"/>
      <c r="T12478" s="226"/>
      <c r="U12478" s="226"/>
    </row>
    <row r="12479" spans="16:21" x14ac:dyDescent="0.35">
      <c r="P12479" s="226"/>
      <c r="Q12479" s="226"/>
      <c r="R12479" s="226"/>
      <c r="S12479" s="226"/>
      <c r="T12479" s="226"/>
      <c r="U12479" s="226"/>
    </row>
    <row r="12480" spans="16:21" x14ac:dyDescent="0.35">
      <c r="P12480" s="226"/>
      <c r="Q12480" s="226"/>
      <c r="R12480" s="226"/>
      <c r="S12480" s="226"/>
      <c r="T12480" s="226"/>
      <c r="U12480" s="226"/>
    </row>
    <row r="12481" spans="16:21" x14ac:dyDescent="0.35">
      <c r="P12481" s="226"/>
      <c r="Q12481" s="226"/>
      <c r="R12481" s="226"/>
      <c r="S12481" s="226"/>
      <c r="T12481" s="226"/>
      <c r="U12481" s="226"/>
    </row>
    <row r="12482" spans="16:21" x14ac:dyDescent="0.35">
      <c r="P12482" s="226"/>
      <c r="Q12482" s="226"/>
      <c r="R12482" s="226"/>
      <c r="S12482" s="226"/>
      <c r="T12482" s="226"/>
      <c r="U12482" s="226"/>
    </row>
    <row r="12483" spans="16:21" x14ac:dyDescent="0.35">
      <c r="P12483" s="226"/>
      <c r="Q12483" s="226"/>
      <c r="R12483" s="226"/>
      <c r="S12483" s="226"/>
      <c r="T12483" s="226"/>
      <c r="U12483" s="226"/>
    </row>
    <row r="12484" spans="16:21" x14ac:dyDescent="0.35">
      <c r="P12484" s="226"/>
      <c r="Q12484" s="226"/>
      <c r="R12484" s="226"/>
      <c r="S12484" s="226"/>
      <c r="T12484" s="226"/>
      <c r="U12484" s="226"/>
    </row>
    <row r="12485" spans="16:21" x14ac:dyDescent="0.35">
      <c r="P12485" s="226"/>
      <c r="Q12485" s="226"/>
      <c r="R12485" s="226"/>
      <c r="S12485" s="226"/>
      <c r="T12485" s="226"/>
      <c r="U12485" s="226"/>
    </row>
    <row r="12486" spans="16:21" x14ac:dyDescent="0.35">
      <c r="P12486" s="226"/>
      <c r="Q12486" s="226"/>
      <c r="R12486" s="226"/>
      <c r="S12486" s="226"/>
      <c r="T12486" s="226"/>
      <c r="U12486" s="226"/>
    </row>
    <row r="12487" spans="16:21" x14ac:dyDescent="0.35">
      <c r="P12487" s="226"/>
      <c r="Q12487" s="226"/>
      <c r="R12487" s="226"/>
      <c r="S12487" s="226"/>
      <c r="T12487" s="226"/>
      <c r="U12487" s="226"/>
    </row>
    <row r="12488" spans="16:21" x14ac:dyDescent="0.35">
      <c r="P12488" s="226"/>
      <c r="Q12488" s="226"/>
      <c r="R12488" s="226"/>
      <c r="S12488" s="226"/>
      <c r="T12488" s="226"/>
      <c r="U12488" s="226"/>
    </row>
    <row r="12489" spans="16:21" x14ac:dyDescent="0.35">
      <c r="P12489" s="226"/>
      <c r="Q12489" s="226"/>
      <c r="R12489" s="226"/>
      <c r="S12489" s="226"/>
      <c r="T12489" s="226"/>
      <c r="U12489" s="226"/>
    </row>
    <row r="12490" spans="16:21" x14ac:dyDescent="0.35">
      <c r="P12490" s="226"/>
      <c r="Q12490" s="226"/>
      <c r="R12490" s="226"/>
      <c r="S12490" s="226"/>
      <c r="T12490" s="226"/>
      <c r="U12490" s="226"/>
    </row>
    <row r="12491" spans="16:21" x14ac:dyDescent="0.35">
      <c r="P12491" s="226"/>
      <c r="Q12491" s="226"/>
      <c r="R12491" s="226"/>
      <c r="S12491" s="226"/>
      <c r="T12491" s="226"/>
      <c r="U12491" s="226"/>
    </row>
    <row r="12492" spans="16:21" x14ac:dyDescent="0.35">
      <c r="P12492" s="226"/>
      <c r="Q12492" s="226"/>
      <c r="R12492" s="226"/>
      <c r="S12492" s="226"/>
      <c r="T12492" s="226"/>
      <c r="U12492" s="226"/>
    </row>
    <row r="12493" spans="16:21" x14ac:dyDescent="0.35">
      <c r="P12493" s="226"/>
      <c r="Q12493" s="226"/>
      <c r="R12493" s="226"/>
      <c r="S12493" s="226"/>
      <c r="T12493" s="226"/>
      <c r="U12493" s="226"/>
    </row>
    <row r="12494" spans="16:21" x14ac:dyDescent="0.35">
      <c r="P12494" s="226"/>
      <c r="Q12494" s="226"/>
      <c r="R12494" s="226"/>
      <c r="S12494" s="226"/>
      <c r="T12494" s="226"/>
      <c r="U12494" s="226"/>
    </row>
    <row r="12495" spans="16:21" x14ac:dyDescent="0.35">
      <c r="P12495" s="226"/>
      <c r="Q12495" s="226"/>
      <c r="R12495" s="226"/>
      <c r="S12495" s="226"/>
      <c r="T12495" s="226"/>
      <c r="U12495" s="226"/>
    </row>
    <row r="12496" spans="16:21" x14ac:dyDescent="0.35">
      <c r="P12496" s="226"/>
      <c r="Q12496" s="226"/>
      <c r="R12496" s="226"/>
      <c r="S12496" s="226"/>
      <c r="T12496" s="226"/>
      <c r="U12496" s="226"/>
    </row>
    <row r="12497" spans="16:21" x14ac:dyDescent="0.35">
      <c r="P12497" s="226"/>
      <c r="Q12497" s="226"/>
      <c r="R12497" s="226"/>
      <c r="S12497" s="226"/>
      <c r="T12497" s="226"/>
      <c r="U12497" s="226"/>
    </row>
    <row r="12498" spans="16:21" x14ac:dyDescent="0.35">
      <c r="P12498" s="226"/>
      <c r="Q12498" s="226"/>
      <c r="R12498" s="226"/>
      <c r="S12498" s="226"/>
      <c r="T12498" s="226"/>
      <c r="U12498" s="226"/>
    </row>
    <row r="12499" spans="16:21" x14ac:dyDescent="0.35">
      <c r="P12499" s="226"/>
      <c r="Q12499" s="226"/>
      <c r="R12499" s="226"/>
      <c r="S12499" s="226"/>
      <c r="T12499" s="226"/>
      <c r="U12499" s="226"/>
    </row>
    <row r="12500" spans="16:21" x14ac:dyDescent="0.35">
      <c r="P12500" s="226"/>
      <c r="Q12500" s="226"/>
      <c r="R12500" s="226"/>
      <c r="S12500" s="226"/>
      <c r="T12500" s="226"/>
      <c r="U12500" s="226"/>
    </row>
    <row r="12501" spans="16:21" x14ac:dyDescent="0.35">
      <c r="P12501" s="226"/>
      <c r="Q12501" s="226"/>
      <c r="R12501" s="226"/>
      <c r="S12501" s="226"/>
      <c r="T12501" s="226"/>
      <c r="U12501" s="226"/>
    </row>
    <row r="12502" spans="16:21" x14ac:dyDescent="0.35">
      <c r="P12502" s="226"/>
      <c r="Q12502" s="226"/>
      <c r="R12502" s="226"/>
      <c r="S12502" s="226"/>
      <c r="T12502" s="226"/>
      <c r="U12502" s="226"/>
    </row>
    <row r="12503" spans="16:21" x14ac:dyDescent="0.35">
      <c r="P12503" s="226"/>
      <c r="Q12503" s="226"/>
      <c r="R12503" s="226"/>
      <c r="S12503" s="226"/>
      <c r="T12503" s="226"/>
      <c r="U12503" s="226"/>
    </row>
    <row r="12504" spans="16:21" x14ac:dyDescent="0.35">
      <c r="P12504" s="226"/>
      <c r="Q12504" s="226"/>
      <c r="R12504" s="226"/>
      <c r="S12504" s="226"/>
      <c r="T12504" s="226"/>
      <c r="U12504" s="226"/>
    </row>
    <row r="12505" spans="16:21" x14ac:dyDescent="0.35">
      <c r="P12505" s="226"/>
      <c r="Q12505" s="226"/>
      <c r="R12505" s="226"/>
      <c r="S12505" s="226"/>
      <c r="T12505" s="226"/>
      <c r="U12505" s="226"/>
    </row>
    <row r="12506" spans="16:21" x14ac:dyDescent="0.35">
      <c r="P12506" s="226"/>
      <c r="Q12506" s="226"/>
      <c r="R12506" s="226"/>
      <c r="S12506" s="226"/>
      <c r="T12506" s="226"/>
      <c r="U12506" s="226"/>
    </row>
    <row r="12507" spans="16:21" x14ac:dyDescent="0.35">
      <c r="P12507" s="226"/>
      <c r="Q12507" s="226"/>
      <c r="R12507" s="226"/>
      <c r="S12507" s="226"/>
      <c r="T12507" s="226"/>
      <c r="U12507" s="226"/>
    </row>
    <row r="12508" spans="16:21" x14ac:dyDescent="0.35">
      <c r="P12508" s="226"/>
      <c r="Q12508" s="226"/>
      <c r="R12508" s="226"/>
      <c r="S12508" s="226"/>
      <c r="T12508" s="226"/>
      <c r="U12508" s="226"/>
    </row>
    <row r="12509" spans="16:21" x14ac:dyDescent="0.35">
      <c r="P12509" s="226"/>
      <c r="Q12509" s="226"/>
      <c r="R12509" s="226"/>
      <c r="S12509" s="226"/>
      <c r="T12509" s="226"/>
      <c r="U12509" s="226"/>
    </row>
    <row r="12510" spans="16:21" x14ac:dyDescent="0.35">
      <c r="P12510" s="226"/>
      <c r="Q12510" s="226"/>
      <c r="R12510" s="226"/>
      <c r="S12510" s="226"/>
      <c r="T12510" s="226"/>
      <c r="U12510" s="226"/>
    </row>
    <row r="12511" spans="16:21" x14ac:dyDescent="0.35">
      <c r="P12511" s="226"/>
      <c r="Q12511" s="226"/>
      <c r="R12511" s="226"/>
      <c r="S12511" s="226"/>
      <c r="T12511" s="226"/>
      <c r="U12511" s="226"/>
    </row>
    <row r="12512" spans="16:21" x14ac:dyDescent="0.35">
      <c r="P12512" s="226"/>
      <c r="Q12512" s="226"/>
      <c r="R12512" s="226"/>
      <c r="S12512" s="226"/>
      <c r="T12512" s="226"/>
      <c r="U12512" s="226"/>
    </row>
    <row r="12513" spans="16:21" x14ac:dyDescent="0.35">
      <c r="P12513" s="226"/>
      <c r="Q12513" s="226"/>
      <c r="R12513" s="226"/>
      <c r="S12513" s="226"/>
      <c r="T12513" s="226"/>
      <c r="U12513" s="226"/>
    </row>
    <row r="12514" spans="16:21" x14ac:dyDescent="0.35">
      <c r="P12514" s="226"/>
      <c r="Q12514" s="226"/>
      <c r="R12514" s="226"/>
      <c r="S12514" s="226"/>
      <c r="T12514" s="226"/>
      <c r="U12514" s="226"/>
    </row>
    <row r="12515" spans="16:21" x14ac:dyDescent="0.35">
      <c r="P12515" s="226"/>
      <c r="Q12515" s="226"/>
      <c r="R12515" s="226"/>
      <c r="S12515" s="226"/>
      <c r="T12515" s="226"/>
      <c r="U12515" s="226"/>
    </row>
    <row r="12516" spans="16:21" x14ac:dyDescent="0.35">
      <c r="P12516" s="226"/>
      <c r="Q12516" s="226"/>
      <c r="R12516" s="226"/>
      <c r="S12516" s="226"/>
      <c r="T12516" s="226"/>
      <c r="U12516" s="226"/>
    </row>
    <row r="12517" spans="16:21" x14ac:dyDescent="0.35">
      <c r="P12517" s="226"/>
      <c r="Q12517" s="226"/>
      <c r="R12517" s="226"/>
      <c r="S12517" s="226"/>
      <c r="T12517" s="226"/>
      <c r="U12517" s="226"/>
    </row>
    <row r="12518" spans="16:21" x14ac:dyDescent="0.35">
      <c r="P12518" s="226"/>
      <c r="Q12518" s="226"/>
      <c r="R12518" s="226"/>
      <c r="S12518" s="226"/>
      <c r="T12518" s="226"/>
      <c r="U12518" s="226"/>
    </row>
    <row r="12519" spans="16:21" x14ac:dyDescent="0.35">
      <c r="P12519" s="226"/>
      <c r="Q12519" s="226"/>
      <c r="R12519" s="226"/>
      <c r="S12519" s="226"/>
      <c r="T12519" s="226"/>
      <c r="U12519" s="226"/>
    </row>
    <row r="12520" spans="16:21" x14ac:dyDescent="0.35">
      <c r="P12520" s="226"/>
      <c r="Q12520" s="226"/>
      <c r="R12520" s="226"/>
      <c r="S12520" s="226"/>
      <c r="T12520" s="226"/>
      <c r="U12520" s="226"/>
    </row>
    <row r="12521" spans="16:21" x14ac:dyDescent="0.35">
      <c r="P12521" s="226"/>
      <c r="Q12521" s="226"/>
      <c r="R12521" s="226"/>
      <c r="S12521" s="226"/>
      <c r="T12521" s="226"/>
      <c r="U12521" s="226"/>
    </row>
    <row r="12522" spans="16:21" x14ac:dyDescent="0.35">
      <c r="P12522" s="226"/>
      <c r="Q12522" s="226"/>
      <c r="R12522" s="226"/>
      <c r="S12522" s="226"/>
      <c r="T12522" s="226"/>
      <c r="U12522" s="226"/>
    </row>
    <row r="12523" spans="16:21" x14ac:dyDescent="0.35">
      <c r="P12523" s="226"/>
      <c r="Q12523" s="226"/>
      <c r="R12523" s="226"/>
      <c r="S12523" s="226"/>
      <c r="T12523" s="226"/>
      <c r="U12523" s="226"/>
    </row>
    <row r="12524" spans="16:21" x14ac:dyDescent="0.35">
      <c r="P12524" s="226"/>
      <c r="Q12524" s="226"/>
      <c r="R12524" s="226"/>
      <c r="S12524" s="226"/>
      <c r="T12524" s="226"/>
      <c r="U12524" s="226"/>
    </row>
    <row r="12525" spans="16:21" x14ac:dyDescent="0.35">
      <c r="P12525" s="226"/>
      <c r="Q12525" s="226"/>
      <c r="R12525" s="226"/>
      <c r="S12525" s="226"/>
      <c r="T12525" s="226"/>
      <c r="U12525" s="226"/>
    </row>
    <row r="12526" spans="16:21" x14ac:dyDescent="0.35">
      <c r="P12526" s="226"/>
      <c r="Q12526" s="226"/>
      <c r="R12526" s="226"/>
      <c r="S12526" s="226"/>
      <c r="T12526" s="226"/>
      <c r="U12526" s="226"/>
    </row>
    <row r="12527" spans="16:21" x14ac:dyDescent="0.35">
      <c r="P12527" s="226"/>
      <c r="Q12527" s="226"/>
      <c r="R12527" s="226"/>
      <c r="S12527" s="226"/>
      <c r="T12527" s="226"/>
      <c r="U12527" s="226"/>
    </row>
    <row r="12528" spans="16:21" x14ac:dyDescent="0.35">
      <c r="P12528" s="226"/>
      <c r="Q12528" s="226"/>
      <c r="R12528" s="226"/>
      <c r="S12528" s="226"/>
      <c r="T12528" s="226"/>
      <c r="U12528" s="226"/>
    </row>
    <row r="12529" spans="16:21" x14ac:dyDescent="0.35">
      <c r="P12529" s="226"/>
      <c r="Q12529" s="226"/>
      <c r="R12529" s="226"/>
      <c r="S12529" s="226"/>
      <c r="T12529" s="226"/>
      <c r="U12529" s="226"/>
    </row>
    <row r="12530" spans="16:21" x14ac:dyDescent="0.35">
      <c r="P12530" s="226"/>
      <c r="Q12530" s="226"/>
      <c r="R12530" s="226"/>
      <c r="S12530" s="226"/>
      <c r="T12530" s="226"/>
      <c r="U12530" s="226"/>
    </row>
    <row r="12531" spans="16:21" x14ac:dyDescent="0.35">
      <c r="P12531" s="226"/>
      <c r="Q12531" s="226"/>
      <c r="R12531" s="226"/>
      <c r="S12531" s="226"/>
      <c r="T12531" s="226"/>
      <c r="U12531" s="226"/>
    </row>
    <row r="12532" spans="16:21" x14ac:dyDescent="0.35">
      <c r="P12532" s="226"/>
      <c r="Q12532" s="226"/>
      <c r="R12532" s="226"/>
      <c r="S12532" s="226"/>
      <c r="T12532" s="226"/>
      <c r="U12532" s="226"/>
    </row>
    <row r="12533" spans="16:21" x14ac:dyDescent="0.35">
      <c r="P12533" s="226"/>
      <c r="Q12533" s="226"/>
      <c r="R12533" s="226"/>
      <c r="S12533" s="226"/>
      <c r="T12533" s="226"/>
      <c r="U12533" s="226"/>
    </row>
    <row r="12534" spans="16:21" x14ac:dyDescent="0.35">
      <c r="P12534" s="226"/>
      <c r="Q12534" s="226"/>
      <c r="R12534" s="226"/>
      <c r="S12534" s="226"/>
      <c r="T12534" s="226"/>
      <c r="U12534" s="226"/>
    </row>
    <row r="12535" spans="16:21" x14ac:dyDescent="0.35">
      <c r="P12535" s="226"/>
      <c r="Q12535" s="226"/>
      <c r="R12535" s="226"/>
      <c r="S12535" s="226"/>
      <c r="T12535" s="226"/>
      <c r="U12535" s="226"/>
    </row>
    <row r="12536" spans="16:21" x14ac:dyDescent="0.35">
      <c r="P12536" s="226"/>
      <c r="Q12536" s="226"/>
      <c r="R12536" s="226"/>
      <c r="S12536" s="226"/>
      <c r="T12536" s="226"/>
      <c r="U12536" s="226"/>
    </row>
    <row r="12537" spans="16:21" x14ac:dyDescent="0.35">
      <c r="P12537" s="226"/>
      <c r="Q12537" s="226"/>
      <c r="R12537" s="226"/>
      <c r="S12537" s="226"/>
      <c r="T12537" s="226"/>
      <c r="U12537" s="226"/>
    </row>
    <row r="12538" spans="16:21" x14ac:dyDescent="0.35">
      <c r="P12538" s="226"/>
      <c r="Q12538" s="226"/>
      <c r="R12538" s="226"/>
      <c r="S12538" s="226"/>
      <c r="T12538" s="226"/>
      <c r="U12538" s="226"/>
    </row>
    <row r="12539" spans="16:21" x14ac:dyDescent="0.35">
      <c r="P12539" s="226"/>
      <c r="Q12539" s="226"/>
      <c r="R12539" s="226"/>
      <c r="S12539" s="226"/>
      <c r="T12539" s="226"/>
      <c r="U12539" s="226"/>
    </row>
    <row r="12540" spans="16:21" x14ac:dyDescent="0.35">
      <c r="P12540" s="226"/>
      <c r="Q12540" s="226"/>
      <c r="R12540" s="226"/>
      <c r="S12540" s="226"/>
      <c r="T12540" s="226"/>
      <c r="U12540" s="226"/>
    </row>
    <row r="12541" spans="16:21" x14ac:dyDescent="0.35">
      <c r="P12541" s="226"/>
      <c r="Q12541" s="226"/>
      <c r="R12541" s="226"/>
      <c r="S12541" s="226"/>
      <c r="T12541" s="226"/>
      <c r="U12541" s="226"/>
    </row>
    <row r="12542" spans="16:21" x14ac:dyDescent="0.35">
      <c r="P12542" s="226"/>
      <c r="Q12542" s="226"/>
      <c r="R12542" s="226"/>
      <c r="S12542" s="226"/>
      <c r="T12542" s="226"/>
      <c r="U12542" s="226"/>
    </row>
    <row r="12543" spans="16:21" x14ac:dyDescent="0.35">
      <c r="P12543" s="226"/>
      <c r="Q12543" s="226"/>
      <c r="R12543" s="226"/>
      <c r="S12543" s="226"/>
      <c r="T12543" s="226"/>
      <c r="U12543" s="226"/>
    </row>
    <row r="12544" spans="16:21" x14ac:dyDescent="0.35">
      <c r="P12544" s="226"/>
      <c r="Q12544" s="226"/>
      <c r="R12544" s="226"/>
      <c r="S12544" s="226"/>
      <c r="T12544" s="226"/>
      <c r="U12544" s="226"/>
    </row>
    <row r="12545" spans="16:21" x14ac:dyDescent="0.35">
      <c r="P12545" s="226"/>
      <c r="Q12545" s="226"/>
      <c r="R12545" s="226"/>
      <c r="S12545" s="226"/>
      <c r="T12545" s="226"/>
      <c r="U12545" s="226"/>
    </row>
    <row r="12546" spans="16:21" x14ac:dyDescent="0.35">
      <c r="P12546" s="226"/>
      <c r="Q12546" s="226"/>
      <c r="R12546" s="226"/>
      <c r="S12546" s="226"/>
      <c r="T12546" s="226"/>
      <c r="U12546" s="226"/>
    </row>
    <row r="12547" spans="16:21" x14ac:dyDescent="0.35">
      <c r="P12547" s="226"/>
      <c r="Q12547" s="226"/>
      <c r="R12547" s="226"/>
      <c r="S12547" s="226"/>
      <c r="T12547" s="226"/>
      <c r="U12547" s="226"/>
    </row>
    <row r="12548" spans="16:21" x14ac:dyDescent="0.35">
      <c r="P12548" s="226"/>
      <c r="Q12548" s="226"/>
      <c r="R12548" s="226"/>
      <c r="S12548" s="226"/>
      <c r="T12548" s="226"/>
      <c r="U12548" s="226"/>
    </row>
    <row r="12549" spans="16:21" x14ac:dyDescent="0.35">
      <c r="P12549" s="226"/>
      <c r="Q12549" s="226"/>
      <c r="R12549" s="226"/>
      <c r="S12549" s="226"/>
      <c r="T12549" s="226"/>
      <c r="U12549" s="226"/>
    </row>
    <row r="12550" spans="16:21" x14ac:dyDescent="0.35">
      <c r="P12550" s="226"/>
      <c r="Q12550" s="226"/>
      <c r="R12550" s="226"/>
      <c r="S12550" s="226"/>
      <c r="T12550" s="226"/>
      <c r="U12550" s="226"/>
    </row>
    <row r="12551" spans="16:21" x14ac:dyDescent="0.35">
      <c r="P12551" s="226"/>
      <c r="Q12551" s="226"/>
      <c r="R12551" s="226"/>
      <c r="S12551" s="226"/>
      <c r="T12551" s="226"/>
      <c r="U12551" s="226"/>
    </row>
    <row r="12552" spans="16:21" x14ac:dyDescent="0.35">
      <c r="P12552" s="226"/>
      <c r="Q12552" s="226"/>
      <c r="R12552" s="226"/>
      <c r="S12552" s="226"/>
      <c r="T12552" s="226"/>
      <c r="U12552" s="226"/>
    </row>
    <row r="12553" spans="16:21" x14ac:dyDescent="0.35">
      <c r="P12553" s="226"/>
      <c r="Q12553" s="226"/>
      <c r="R12553" s="226"/>
      <c r="S12553" s="226"/>
      <c r="T12553" s="226"/>
      <c r="U12553" s="226"/>
    </row>
    <row r="12554" spans="16:21" x14ac:dyDescent="0.35">
      <c r="P12554" s="226"/>
      <c r="Q12554" s="226"/>
      <c r="R12554" s="226"/>
      <c r="S12554" s="226"/>
      <c r="T12554" s="226"/>
      <c r="U12554" s="226"/>
    </row>
    <row r="12555" spans="16:21" x14ac:dyDescent="0.35">
      <c r="P12555" s="226"/>
      <c r="Q12555" s="226"/>
      <c r="R12555" s="226"/>
      <c r="S12555" s="226"/>
      <c r="T12555" s="226"/>
      <c r="U12555" s="226"/>
    </row>
    <row r="12556" spans="16:21" x14ac:dyDescent="0.35">
      <c r="P12556" s="226"/>
      <c r="Q12556" s="226"/>
      <c r="R12556" s="226"/>
      <c r="S12556" s="226"/>
      <c r="T12556" s="226"/>
      <c r="U12556" s="226"/>
    </row>
    <row r="12557" spans="16:21" x14ac:dyDescent="0.35">
      <c r="P12557" s="226"/>
      <c r="Q12557" s="226"/>
      <c r="R12557" s="226"/>
      <c r="S12557" s="226"/>
      <c r="T12557" s="226"/>
      <c r="U12557" s="226"/>
    </row>
    <row r="12558" spans="16:21" x14ac:dyDescent="0.35">
      <c r="P12558" s="226"/>
      <c r="Q12558" s="226"/>
      <c r="R12558" s="226"/>
      <c r="S12558" s="226"/>
      <c r="T12558" s="226"/>
      <c r="U12558" s="226"/>
    </row>
    <row r="12559" spans="16:21" x14ac:dyDescent="0.35">
      <c r="P12559" s="226"/>
      <c r="Q12559" s="226"/>
      <c r="R12559" s="226"/>
      <c r="S12559" s="226"/>
      <c r="T12559" s="226"/>
      <c r="U12559" s="226"/>
    </row>
    <row r="12560" spans="16:21" x14ac:dyDescent="0.35">
      <c r="P12560" s="226"/>
      <c r="Q12560" s="226"/>
      <c r="R12560" s="226"/>
      <c r="S12560" s="226"/>
      <c r="T12560" s="226"/>
      <c r="U12560" s="226"/>
    </row>
    <row r="12561" spans="16:21" x14ac:dyDescent="0.35">
      <c r="P12561" s="226"/>
      <c r="Q12561" s="226"/>
      <c r="R12561" s="226"/>
      <c r="S12561" s="226"/>
      <c r="T12561" s="226"/>
      <c r="U12561" s="226"/>
    </row>
    <row r="12562" spans="16:21" x14ac:dyDescent="0.35">
      <c r="P12562" s="226"/>
      <c r="Q12562" s="226"/>
      <c r="R12562" s="226"/>
      <c r="S12562" s="226"/>
      <c r="T12562" s="226"/>
      <c r="U12562" s="226"/>
    </row>
    <row r="12563" spans="16:21" x14ac:dyDescent="0.35">
      <c r="P12563" s="226"/>
      <c r="Q12563" s="226"/>
      <c r="R12563" s="226"/>
      <c r="S12563" s="226"/>
      <c r="T12563" s="226"/>
      <c r="U12563" s="226"/>
    </row>
    <row r="12564" spans="16:21" x14ac:dyDescent="0.35">
      <c r="P12564" s="226"/>
      <c r="Q12564" s="226"/>
      <c r="R12564" s="226"/>
      <c r="S12564" s="226"/>
      <c r="T12564" s="226"/>
      <c r="U12564" s="226"/>
    </row>
    <row r="12565" spans="16:21" x14ac:dyDescent="0.35">
      <c r="P12565" s="226"/>
      <c r="Q12565" s="226"/>
      <c r="R12565" s="226"/>
      <c r="S12565" s="226"/>
      <c r="T12565" s="226"/>
      <c r="U12565" s="226"/>
    </row>
    <row r="12566" spans="16:21" x14ac:dyDescent="0.35">
      <c r="P12566" s="226"/>
      <c r="Q12566" s="226"/>
      <c r="R12566" s="226"/>
      <c r="S12566" s="226"/>
      <c r="T12566" s="226"/>
      <c r="U12566" s="226"/>
    </row>
    <row r="12567" spans="16:21" x14ac:dyDescent="0.35">
      <c r="P12567" s="226"/>
      <c r="Q12567" s="226"/>
      <c r="R12567" s="226"/>
      <c r="S12567" s="226"/>
      <c r="T12567" s="226"/>
      <c r="U12567" s="226"/>
    </row>
    <row r="12568" spans="16:21" x14ac:dyDescent="0.35">
      <c r="P12568" s="226"/>
      <c r="Q12568" s="226"/>
      <c r="R12568" s="226"/>
      <c r="S12568" s="226"/>
      <c r="T12568" s="226"/>
      <c r="U12568" s="226"/>
    </row>
    <row r="12569" spans="16:21" x14ac:dyDescent="0.35">
      <c r="P12569" s="226"/>
      <c r="Q12569" s="226"/>
      <c r="R12569" s="226"/>
      <c r="S12569" s="226"/>
      <c r="T12569" s="226"/>
      <c r="U12569" s="226"/>
    </row>
    <row r="12570" spans="16:21" x14ac:dyDescent="0.35">
      <c r="P12570" s="226"/>
      <c r="Q12570" s="226"/>
      <c r="R12570" s="226"/>
      <c r="S12570" s="226"/>
      <c r="T12570" s="226"/>
      <c r="U12570" s="226"/>
    </row>
    <row r="12571" spans="16:21" x14ac:dyDescent="0.35">
      <c r="P12571" s="226"/>
      <c r="Q12571" s="226"/>
      <c r="R12571" s="226"/>
      <c r="S12571" s="226"/>
      <c r="T12571" s="226"/>
      <c r="U12571" s="226"/>
    </row>
    <row r="12572" spans="16:21" x14ac:dyDescent="0.35">
      <c r="P12572" s="226"/>
      <c r="Q12572" s="226"/>
      <c r="R12572" s="226"/>
      <c r="S12572" s="226"/>
      <c r="T12572" s="226"/>
      <c r="U12572" s="226"/>
    </row>
    <row r="12573" spans="16:21" x14ac:dyDescent="0.35">
      <c r="P12573" s="226"/>
      <c r="Q12573" s="226"/>
      <c r="R12573" s="226"/>
      <c r="S12573" s="226"/>
      <c r="T12573" s="226"/>
      <c r="U12573" s="226"/>
    </row>
    <row r="12574" spans="16:21" x14ac:dyDescent="0.35">
      <c r="P12574" s="226"/>
      <c r="Q12574" s="226"/>
      <c r="R12574" s="226"/>
      <c r="S12574" s="226"/>
      <c r="T12574" s="226"/>
      <c r="U12574" s="226"/>
    </row>
    <row r="12575" spans="16:21" x14ac:dyDescent="0.35">
      <c r="P12575" s="226"/>
      <c r="Q12575" s="226"/>
      <c r="R12575" s="226"/>
      <c r="S12575" s="226"/>
      <c r="T12575" s="226"/>
      <c r="U12575" s="226"/>
    </row>
    <row r="12576" spans="16:21" x14ac:dyDescent="0.35">
      <c r="P12576" s="226"/>
      <c r="Q12576" s="226"/>
      <c r="R12576" s="226"/>
      <c r="S12576" s="226"/>
      <c r="T12576" s="226"/>
      <c r="U12576" s="226"/>
    </row>
    <row r="12577" spans="16:21" x14ac:dyDescent="0.35">
      <c r="P12577" s="226"/>
      <c r="Q12577" s="226"/>
      <c r="R12577" s="226"/>
      <c r="S12577" s="226"/>
      <c r="T12577" s="226"/>
      <c r="U12577" s="226"/>
    </row>
    <row r="12578" spans="16:21" x14ac:dyDescent="0.35">
      <c r="P12578" s="226"/>
      <c r="Q12578" s="226"/>
      <c r="R12578" s="226"/>
      <c r="S12578" s="226"/>
      <c r="T12578" s="226"/>
      <c r="U12578" s="226"/>
    </row>
    <row r="12579" spans="16:21" x14ac:dyDescent="0.35">
      <c r="P12579" s="226"/>
      <c r="Q12579" s="226"/>
      <c r="R12579" s="226"/>
      <c r="S12579" s="226"/>
      <c r="T12579" s="226"/>
      <c r="U12579" s="226"/>
    </row>
    <row r="12580" spans="16:21" x14ac:dyDescent="0.35">
      <c r="P12580" s="226"/>
      <c r="Q12580" s="226"/>
      <c r="R12580" s="226"/>
      <c r="S12580" s="226"/>
      <c r="T12580" s="226"/>
      <c r="U12580" s="226"/>
    </row>
    <row r="12581" spans="16:21" x14ac:dyDescent="0.35">
      <c r="P12581" s="226"/>
      <c r="Q12581" s="226"/>
      <c r="R12581" s="226"/>
      <c r="S12581" s="226"/>
      <c r="T12581" s="226"/>
      <c r="U12581" s="226"/>
    </row>
    <row r="12582" spans="16:21" x14ac:dyDescent="0.35">
      <c r="P12582" s="226"/>
      <c r="Q12582" s="226"/>
      <c r="R12582" s="226"/>
      <c r="S12582" s="226"/>
      <c r="T12582" s="226"/>
      <c r="U12582" s="226"/>
    </row>
    <row r="12583" spans="16:21" x14ac:dyDescent="0.35">
      <c r="P12583" s="226"/>
      <c r="Q12583" s="226"/>
      <c r="R12583" s="226"/>
      <c r="S12583" s="226"/>
      <c r="T12583" s="226"/>
      <c r="U12583" s="226"/>
    </row>
    <row r="12584" spans="16:21" x14ac:dyDescent="0.35">
      <c r="P12584" s="226"/>
      <c r="Q12584" s="226"/>
      <c r="R12584" s="226"/>
      <c r="S12584" s="226"/>
      <c r="T12584" s="226"/>
      <c r="U12584" s="226"/>
    </row>
    <row r="12585" spans="16:21" x14ac:dyDescent="0.35">
      <c r="P12585" s="226"/>
      <c r="Q12585" s="226"/>
      <c r="R12585" s="226"/>
      <c r="S12585" s="226"/>
      <c r="T12585" s="226"/>
      <c r="U12585" s="226"/>
    </row>
    <row r="12586" spans="16:21" x14ac:dyDescent="0.35">
      <c r="P12586" s="226"/>
      <c r="Q12586" s="226"/>
      <c r="R12586" s="226"/>
      <c r="S12586" s="226"/>
      <c r="T12586" s="226"/>
      <c r="U12586" s="226"/>
    </row>
    <row r="12587" spans="16:21" x14ac:dyDescent="0.35">
      <c r="P12587" s="226"/>
      <c r="Q12587" s="226"/>
      <c r="R12587" s="226"/>
      <c r="S12587" s="226"/>
      <c r="T12587" s="226"/>
      <c r="U12587" s="226"/>
    </row>
    <row r="12588" spans="16:21" x14ac:dyDescent="0.35">
      <c r="P12588" s="226"/>
      <c r="Q12588" s="226"/>
      <c r="R12588" s="226"/>
      <c r="S12588" s="226"/>
      <c r="T12588" s="226"/>
      <c r="U12588" s="226"/>
    </row>
    <row r="12589" spans="16:21" x14ac:dyDescent="0.35">
      <c r="P12589" s="226"/>
      <c r="Q12589" s="226"/>
      <c r="R12589" s="226"/>
      <c r="S12589" s="226"/>
      <c r="T12589" s="226"/>
      <c r="U12589" s="226"/>
    </row>
    <row r="12590" spans="16:21" x14ac:dyDescent="0.35">
      <c r="P12590" s="226"/>
      <c r="Q12590" s="226"/>
      <c r="R12590" s="226"/>
      <c r="S12590" s="226"/>
      <c r="T12590" s="226"/>
      <c r="U12590" s="226"/>
    </row>
    <row r="12591" spans="16:21" x14ac:dyDescent="0.35">
      <c r="P12591" s="226"/>
      <c r="Q12591" s="226"/>
      <c r="R12591" s="226"/>
      <c r="S12591" s="226"/>
      <c r="T12591" s="226"/>
      <c r="U12591" s="226"/>
    </row>
    <row r="12592" spans="16:21" x14ac:dyDescent="0.35">
      <c r="P12592" s="226"/>
      <c r="Q12592" s="226"/>
      <c r="R12592" s="226"/>
      <c r="S12592" s="226"/>
      <c r="T12592" s="226"/>
      <c r="U12592" s="226"/>
    </row>
    <row r="12593" spans="16:21" x14ac:dyDescent="0.35">
      <c r="P12593" s="226"/>
      <c r="Q12593" s="226"/>
      <c r="R12593" s="226"/>
      <c r="S12593" s="226"/>
      <c r="T12593" s="226"/>
      <c r="U12593" s="226"/>
    </row>
    <row r="12594" spans="16:21" x14ac:dyDescent="0.35">
      <c r="P12594" s="226"/>
      <c r="Q12594" s="226"/>
      <c r="R12594" s="226"/>
      <c r="S12594" s="226"/>
      <c r="T12594" s="226"/>
      <c r="U12594" s="226"/>
    </row>
    <row r="12595" spans="16:21" x14ac:dyDescent="0.35">
      <c r="P12595" s="226"/>
      <c r="Q12595" s="226"/>
      <c r="R12595" s="226"/>
      <c r="S12595" s="226"/>
      <c r="T12595" s="226"/>
      <c r="U12595" s="226"/>
    </row>
    <row r="12596" spans="16:21" x14ac:dyDescent="0.35">
      <c r="P12596" s="226"/>
      <c r="Q12596" s="226"/>
      <c r="R12596" s="226"/>
      <c r="S12596" s="226"/>
      <c r="T12596" s="226"/>
      <c r="U12596" s="226"/>
    </row>
    <row r="12597" spans="16:21" x14ac:dyDescent="0.35">
      <c r="P12597" s="226"/>
      <c r="Q12597" s="226"/>
      <c r="R12597" s="226"/>
      <c r="S12597" s="226"/>
      <c r="T12597" s="226"/>
      <c r="U12597" s="226"/>
    </row>
    <row r="12598" spans="16:21" x14ac:dyDescent="0.35">
      <c r="P12598" s="226"/>
      <c r="Q12598" s="226"/>
      <c r="R12598" s="226"/>
      <c r="S12598" s="226"/>
      <c r="T12598" s="226"/>
      <c r="U12598" s="226"/>
    </row>
    <row r="12599" spans="16:21" x14ac:dyDescent="0.35">
      <c r="P12599" s="226"/>
      <c r="Q12599" s="226"/>
      <c r="R12599" s="226"/>
      <c r="S12599" s="226"/>
      <c r="T12599" s="226"/>
      <c r="U12599" s="226"/>
    </row>
    <row r="12600" spans="16:21" x14ac:dyDescent="0.35">
      <c r="P12600" s="226"/>
      <c r="Q12600" s="226"/>
      <c r="R12600" s="226"/>
      <c r="S12600" s="226"/>
      <c r="T12600" s="226"/>
      <c r="U12600" s="226"/>
    </row>
    <row r="12601" spans="16:21" x14ac:dyDescent="0.35">
      <c r="P12601" s="226"/>
      <c r="Q12601" s="226"/>
      <c r="R12601" s="226"/>
      <c r="S12601" s="226"/>
      <c r="T12601" s="226"/>
      <c r="U12601" s="226"/>
    </row>
    <row r="12602" spans="16:21" x14ac:dyDescent="0.35">
      <c r="P12602" s="226"/>
      <c r="Q12602" s="226"/>
      <c r="R12602" s="226"/>
      <c r="S12602" s="226"/>
      <c r="T12602" s="226"/>
      <c r="U12602" s="226"/>
    </row>
    <row r="12603" spans="16:21" x14ac:dyDescent="0.35">
      <c r="P12603" s="226"/>
      <c r="Q12603" s="226"/>
      <c r="R12603" s="226"/>
      <c r="S12603" s="226"/>
      <c r="T12603" s="226"/>
      <c r="U12603" s="226"/>
    </row>
    <row r="12604" spans="16:21" x14ac:dyDescent="0.35">
      <c r="P12604" s="226"/>
      <c r="Q12604" s="226"/>
      <c r="R12604" s="226"/>
      <c r="S12604" s="226"/>
      <c r="T12604" s="226"/>
      <c r="U12604" s="226"/>
    </row>
    <row r="12605" spans="16:21" x14ac:dyDescent="0.35">
      <c r="P12605" s="226"/>
      <c r="Q12605" s="226"/>
      <c r="R12605" s="226"/>
      <c r="S12605" s="226"/>
      <c r="T12605" s="226"/>
      <c r="U12605" s="226"/>
    </row>
    <row r="12606" spans="16:21" x14ac:dyDescent="0.35">
      <c r="P12606" s="226"/>
      <c r="Q12606" s="226"/>
      <c r="R12606" s="226"/>
      <c r="S12606" s="226"/>
      <c r="T12606" s="226"/>
      <c r="U12606" s="226"/>
    </row>
    <row r="12607" spans="16:21" x14ac:dyDescent="0.35">
      <c r="P12607" s="226"/>
      <c r="Q12607" s="226"/>
      <c r="R12607" s="226"/>
      <c r="S12607" s="226"/>
      <c r="T12607" s="226"/>
      <c r="U12607" s="226"/>
    </row>
    <row r="12608" spans="16:21" x14ac:dyDescent="0.35">
      <c r="P12608" s="226"/>
      <c r="Q12608" s="226"/>
      <c r="R12608" s="226"/>
      <c r="S12608" s="226"/>
      <c r="T12608" s="226"/>
      <c r="U12608" s="226"/>
    </row>
    <row r="12609" spans="16:21" x14ac:dyDescent="0.35">
      <c r="P12609" s="226"/>
      <c r="Q12609" s="226"/>
      <c r="R12609" s="226"/>
      <c r="S12609" s="226"/>
      <c r="T12609" s="226"/>
      <c r="U12609" s="226"/>
    </row>
    <row r="12610" spans="16:21" x14ac:dyDescent="0.35">
      <c r="P12610" s="226"/>
      <c r="Q12610" s="226"/>
      <c r="R12610" s="226"/>
      <c r="S12610" s="226"/>
      <c r="T12610" s="226"/>
      <c r="U12610" s="226"/>
    </row>
    <row r="12611" spans="16:21" x14ac:dyDescent="0.35">
      <c r="P12611" s="226"/>
      <c r="Q12611" s="226"/>
      <c r="R12611" s="226"/>
      <c r="S12611" s="226"/>
      <c r="T12611" s="226"/>
      <c r="U12611" s="226"/>
    </row>
    <row r="12612" spans="16:21" x14ac:dyDescent="0.35">
      <c r="P12612" s="226"/>
      <c r="Q12612" s="226"/>
      <c r="R12612" s="226"/>
      <c r="S12612" s="226"/>
      <c r="T12612" s="226"/>
      <c r="U12612" s="226"/>
    </row>
    <row r="12613" spans="16:21" x14ac:dyDescent="0.35">
      <c r="P12613" s="226"/>
      <c r="Q12613" s="226"/>
      <c r="R12613" s="226"/>
      <c r="S12613" s="226"/>
      <c r="T12613" s="226"/>
      <c r="U12613" s="226"/>
    </row>
    <row r="12614" spans="16:21" x14ac:dyDescent="0.35">
      <c r="P12614" s="226"/>
      <c r="Q12614" s="226"/>
      <c r="R12614" s="226"/>
      <c r="S12614" s="226"/>
      <c r="T12614" s="226"/>
      <c r="U12614" s="226"/>
    </row>
    <row r="12615" spans="16:21" x14ac:dyDescent="0.35">
      <c r="P12615" s="226"/>
      <c r="Q12615" s="226"/>
      <c r="R12615" s="226"/>
      <c r="S12615" s="226"/>
      <c r="T12615" s="226"/>
      <c r="U12615" s="226"/>
    </row>
    <row r="12616" spans="16:21" x14ac:dyDescent="0.35">
      <c r="P12616" s="226"/>
      <c r="Q12616" s="226"/>
      <c r="R12616" s="226"/>
      <c r="S12616" s="226"/>
      <c r="T12616" s="226"/>
      <c r="U12616" s="226"/>
    </row>
    <row r="12617" spans="16:21" x14ac:dyDescent="0.35">
      <c r="P12617" s="226"/>
      <c r="Q12617" s="226"/>
      <c r="R12617" s="226"/>
      <c r="S12617" s="226"/>
      <c r="T12617" s="226"/>
      <c r="U12617" s="226"/>
    </row>
    <row r="12618" spans="16:21" x14ac:dyDescent="0.35">
      <c r="P12618" s="226"/>
      <c r="Q12618" s="226"/>
      <c r="R12618" s="226"/>
      <c r="S12618" s="226"/>
      <c r="T12618" s="226"/>
      <c r="U12618" s="226"/>
    </row>
    <row r="12619" spans="16:21" x14ac:dyDescent="0.35">
      <c r="P12619" s="226"/>
      <c r="Q12619" s="226"/>
      <c r="R12619" s="226"/>
      <c r="S12619" s="226"/>
      <c r="T12619" s="226"/>
      <c r="U12619" s="226"/>
    </row>
    <row r="12620" spans="16:21" x14ac:dyDescent="0.35">
      <c r="P12620" s="226"/>
      <c r="Q12620" s="226"/>
      <c r="R12620" s="226"/>
      <c r="S12620" s="226"/>
      <c r="T12620" s="226"/>
      <c r="U12620" s="226"/>
    </row>
    <row r="12621" spans="16:21" x14ac:dyDescent="0.35">
      <c r="P12621" s="226"/>
      <c r="Q12621" s="226"/>
      <c r="R12621" s="226"/>
      <c r="S12621" s="226"/>
      <c r="T12621" s="226"/>
      <c r="U12621" s="226"/>
    </row>
    <row r="12622" spans="16:21" x14ac:dyDescent="0.35">
      <c r="P12622" s="226"/>
      <c r="Q12622" s="226"/>
      <c r="R12622" s="226"/>
      <c r="S12622" s="226"/>
      <c r="T12622" s="226"/>
      <c r="U12622" s="226"/>
    </row>
    <row r="12623" spans="16:21" x14ac:dyDescent="0.35">
      <c r="P12623" s="226"/>
      <c r="Q12623" s="226"/>
      <c r="R12623" s="226"/>
      <c r="S12623" s="226"/>
      <c r="T12623" s="226"/>
      <c r="U12623" s="226"/>
    </row>
    <row r="12624" spans="16:21" x14ac:dyDescent="0.35">
      <c r="P12624" s="226"/>
      <c r="Q12624" s="226"/>
      <c r="R12624" s="226"/>
      <c r="S12624" s="226"/>
      <c r="T12624" s="226"/>
      <c r="U12624" s="226"/>
    </row>
    <row r="12625" spans="16:21" x14ac:dyDescent="0.35">
      <c r="P12625" s="226"/>
      <c r="Q12625" s="226"/>
      <c r="R12625" s="226"/>
      <c r="S12625" s="226"/>
      <c r="T12625" s="226"/>
      <c r="U12625" s="226"/>
    </row>
    <row r="12626" spans="16:21" x14ac:dyDescent="0.35">
      <c r="P12626" s="226"/>
      <c r="Q12626" s="226"/>
      <c r="R12626" s="226"/>
      <c r="S12626" s="226"/>
      <c r="T12626" s="226"/>
      <c r="U12626" s="226"/>
    </row>
    <row r="12627" spans="16:21" x14ac:dyDescent="0.35">
      <c r="P12627" s="226"/>
      <c r="Q12627" s="226"/>
      <c r="R12627" s="226"/>
      <c r="S12627" s="226"/>
      <c r="T12627" s="226"/>
      <c r="U12627" s="226"/>
    </row>
    <row r="12628" spans="16:21" x14ac:dyDescent="0.35">
      <c r="P12628" s="226"/>
      <c r="Q12628" s="226"/>
      <c r="R12628" s="226"/>
      <c r="S12628" s="226"/>
      <c r="T12628" s="226"/>
      <c r="U12628" s="226"/>
    </row>
    <row r="12629" spans="16:21" x14ac:dyDescent="0.35">
      <c r="P12629" s="226"/>
      <c r="Q12629" s="226"/>
      <c r="R12629" s="226"/>
      <c r="S12629" s="226"/>
      <c r="T12629" s="226"/>
      <c r="U12629" s="226"/>
    </row>
    <row r="12630" spans="16:21" x14ac:dyDescent="0.35">
      <c r="P12630" s="226"/>
      <c r="Q12630" s="226"/>
      <c r="R12630" s="226"/>
      <c r="S12630" s="226"/>
      <c r="T12630" s="226"/>
      <c r="U12630" s="226"/>
    </row>
    <row r="12631" spans="16:21" x14ac:dyDescent="0.35">
      <c r="P12631" s="226"/>
      <c r="Q12631" s="226"/>
      <c r="R12631" s="226"/>
      <c r="S12631" s="226"/>
      <c r="T12631" s="226"/>
      <c r="U12631" s="226"/>
    </row>
    <row r="12632" spans="16:21" x14ac:dyDescent="0.35">
      <c r="P12632" s="226"/>
      <c r="Q12632" s="226"/>
      <c r="R12632" s="226"/>
      <c r="S12632" s="226"/>
      <c r="T12632" s="226"/>
      <c r="U12632" s="226"/>
    </row>
    <row r="12633" spans="16:21" x14ac:dyDescent="0.35">
      <c r="P12633" s="226"/>
      <c r="Q12633" s="226"/>
      <c r="R12633" s="226"/>
      <c r="S12633" s="226"/>
      <c r="T12633" s="226"/>
      <c r="U12633" s="226"/>
    </row>
    <row r="12634" spans="16:21" x14ac:dyDescent="0.35">
      <c r="P12634" s="226"/>
      <c r="Q12634" s="226"/>
      <c r="R12634" s="226"/>
      <c r="S12634" s="226"/>
      <c r="T12634" s="226"/>
      <c r="U12634" s="226"/>
    </row>
    <row r="12635" spans="16:21" x14ac:dyDescent="0.35">
      <c r="P12635" s="226"/>
      <c r="Q12635" s="226"/>
      <c r="R12635" s="226"/>
      <c r="S12635" s="226"/>
      <c r="T12635" s="226"/>
      <c r="U12635" s="226"/>
    </row>
    <row r="12636" spans="16:21" x14ac:dyDescent="0.35">
      <c r="P12636" s="226"/>
      <c r="Q12636" s="226"/>
      <c r="R12636" s="226"/>
      <c r="S12636" s="226"/>
      <c r="T12636" s="226"/>
      <c r="U12636" s="226"/>
    </row>
    <row r="12637" spans="16:21" x14ac:dyDescent="0.35">
      <c r="P12637" s="226"/>
      <c r="Q12637" s="226"/>
      <c r="R12637" s="226"/>
      <c r="S12637" s="226"/>
      <c r="T12637" s="226"/>
      <c r="U12637" s="226"/>
    </row>
    <row r="12638" spans="16:21" x14ac:dyDescent="0.35">
      <c r="P12638" s="226"/>
      <c r="Q12638" s="226"/>
      <c r="R12638" s="226"/>
      <c r="S12638" s="226"/>
      <c r="T12638" s="226"/>
      <c r="U12638" s="226"/>
    </row>
    <row r="12639" spans="16:21" x14ac:dyDescent="0.35">
      <c r="P12639" s="226"/>
      <c r="Q12639" s="226"/>
      <c r="R12639" s="226"/>
      <c r="S12639" s="226"/>
      <c r="T12639" s="226"/>
      <c r="U12639" s="226"/>
    </row>
    <row r="12640" spans="16:21" x14ac:dyDescent="0.35">
      <c r="P12640" s="226"/>
      <c r="Q12640" s="226"/>
      <c r="R12640" s="226"/>
      <c r="S12640" s="226"/>
      <c r="T12640" s="226"/>
      <c r="U12640" s="226"/>
    </row>
    <row r="12641" spans="16:21" x14ac:dyDescent="0.35">
      <c r="P12641" s="226"/>
      <c r="Q12641" s="226"/>
      <c r="R12641" s="226"/>
      <c r="S12641" s="226"/>
      <c r="T12641" s="226"/>
      <c r="U12641" s="226"/>
    </row>
    <row r="12642" spans="16:21" x14ac:dyDescent="0.35">
      <c r="P12642" s="226"/>
      <c r="Q12642" s="226"/>
      <c r="R12642" s="226"/>
      <c r="S12642" s="226"/>
      <c r="T12642" s="226"/>
      <c r="U12642" s="226"/>
    </row>
    <row r="12643" spans="16:21" x14ac:dyDescent="0.35">
      <c r="P12643" s="226"/>
      <c r="Q12643" s="226"/>
      <c r="R12643" s="226"/>
      <c r="S12643" s="226"/>
      <c r="T12643" s="226"/>
      <c r="U12643" s="226"/>
    </row>
    <row r="12644" spans="16:21" x14ac:dyDescent="0.35">
      <c r="P12644" s="226"/>
      <c r="Q12644" s="226"/>
      <c r="R12644" s="226"/>
      <c r="S12644" s="226"/>
      <c r="T12644" s="226"/>
      <c r="U12644" s="226"/>
    </row>
    <row r="12645" spans="16:21" x14ac:dyDescent="0.35">
      <c r="P12645" s="226"/>
      <c r="Q12645" s="226"/>
      <c r="R12645" s="226"/>
      <c r="S12645" s="226"/>
      <c r="T12645" s="226"/>
      <c r="U12645" s="226"/>
    </row>
    <row r="12646" spans="16:21" x14ac:dyDescent="0.35">
      <c r="P12646" s="226"/>
      <c r="Q12646" s="226"/>
      <c r="R12646" s="226"/>
      <c r="S12646" s="226"/>
      <c r="T12646" s="226"/>
      <c r="U12646" s="226"/>
    </row>
    <row r="12647" spans="16:21" x14ac:dyDescent="0.35">
      <c r="P12647" s="226"/>
      <c r="Q12647" s="226"/>
      <c r="R12647" s="226"/>
      <c r="S12647" s="226"/>
      <c r="T12647" s="226"/>
      <c r="U12647" s="226"/>
    </row>
    <row r="12648" spans="16:21" x14ac:dyDescent="0.35">
      <c r="P12648" s="226"/>
      <c r="Q12648" s="226"/>
      <c r="R12648" s="226"/>
      <c r="S12648" s="226"/>
      <c r="T12648" s="226"/>
      <c r="U12648" s="226"/>
    </row>
    <row r="12649" spans="16:21" x14ac:dyDescent="0.35">
      <c r="P12649" s="226"/>
      <c r="Q12649" s="226"/>
      <c r="R12649" s="226"/>
      <c r="S12649" s="226"/>
      <c r="T12649" s="226"/>
      <c r="U12649" s="226"/>
    </row>
    <row r="12650" spans="16:21" x14ac:dyDescent="0.35">
      <c r="P12650" s="226"/>
      <c r="Q12650" s="226"/>
      <c r="R12650" s="226"/>
      <c r="S12650" s="226"/>
      <c r="T12650" s="226"/>
      <c r="U12650" s="226"/>
    </row>
    <row r="12651" spans="16:21" x14ac:dyDescent="0.35">
      <c r="P12651" s="226"/>
      <c r="Q12651" s="226"/>
      <c r="R12651" s="226"/>
      <c r="S12651" s="226"/>
      <c r="T12651" s="226"/>
      <c r="U12651" s="226"/>
    </row>
    <row r="12652" spans="16:21" x14ac:dyDescent="0.35">
      <c r="P12652" s="226"/>
      <c r="Q12652" s="226"/>
      <c r="R12652" s="226"/>
      <c r="S12652" s="226"/>
      <c r="T12652" s="226"/>
      <c r="U12652" s="226"/>
    </row>
    <row r="12653" spans="16:21" x14ac:dyDescent="0.35">
      <c r="P12653" s="226"/>
      <c r="Q12653" s="226"/>
      <c r="R12653" s="226"/>
      <c r="S12653" s="226"/>
      <c r="T12653" s="226"/>
      <c r="U12653" s="226"/>
    </row>
    <row r="12654" spans="16:21" x14ac:dyDescent="0.35">
      <c r="P12654" s="226"/>
      <c r="Q12654" s="226"/>
      <c r="R12654" s="226"/>
      <c r="S12654" s="226"/>
      <c r="T12654" s="226"/>
      <c r="U12654" s="226"/>
    </row>
    <row r="12655" spans="16:21" x14ac:dyDescent="0.35">
      <c r="P12655" s="226"/>
      <c r="Q12655" s="226"/>
      <c r="R12655" s="226"/>
      <c r="S12655" s="226"/>
      <c r="T12655" s="226"/>
      <c r="U12655" s="226"/>
    </row>
    <row r="12656" spans="16:21" x14ac:dyDescent="0.35">
      <c r="P12656" s="226"/>
      <c r="Q12656" s="226"/>
      <c r="R12656" s="226"/>
      <c r="S12656" s="226"/>
      <c r="T12656" s="226"/>
      <c r="U12656" s="226"/>
    </row>
    <row r="12657" spans="16:21" x14ac:dyDescent="0.35">
      <c r="P12657" s="226"/>
      <c r="Q12657" s="226"/>
      <c r="R12657" s="226"/>
      <c r="S12657" s="226"/>
      <c r="T12657" s="226"/>
      <c r="U12657" s="226"/>
    </row>
    <row r="12658" spans="16:21" x14ac:dyDescent="0.35">
      <c r="P12658" s="226"/>
      <c r="Q12658" s="226"/>
      <c r="R12658" s="226"/>
      <c r="S12658" s="226"/>
      <c r="T12658" s="226"/>
      <c r="U12658" s="226"/>
    </row>
    <row r="12659" spans="16:21" x14ac:dyDescent="0.35">
      <c r="P12659" s="226"/>
      <c r="Q12659" s="226"/>
      <c r="R12659" s="226"/>
      <c r="S12659" s="226"/>
      <c r="T12659" s="226"/>
      <c r="U12659" s="226"/>
    </row>
    <row r="12660" spans="16:21" x14ac:dyDescent="0.35">
      <c r="P12660" s="226"/>
      <c r="Q12660" s="226"/>
      <c r="R12660" s="226"/>
      <c r="S12660" s="226"/>
      <c r="T12660" s="226"/>
      <c r="U12660" s="226"/>
    </row>
    <row r="12661" spans="16:21" x14ac:dyDescent="0.35">
      <c r="P12661" s="226"/>
      <c r="Q12661" s="226"/>
      <c r="R12661" s="226"/>
      <c r="S12661" s="226"/>
      <c r="T12661" s="226"/>
      <c r="U12661" s="226"/>
    </row>
    <row r="12662" spans="16:21" x14ac:dyDescent="0.35">
      <c r="P12662" s="226"/>
      <c r="Q12662" s="226"/>
      <c r="R12662" s="226"/>
      <c r="S12662" s="226"/>
      <c r="T12662" s="226"/>
      <c r="U12662" s="226"/>
    </row>
    <row r="12663" spans="16:21" x14ac:dyDescent="0.35">
      <c r="P12663" s="226"/>
      <c r="Q12663" s="226"/>
      <c r="R12663" s="226"/>
      <c r="S12663" s="226"/>
      <c r="T12663" s="226"/>
      <c r="U12663" s="226"/>
    </row>
    <row r="12664" spans="16:21" x14ac:dyDescent="0.35">
      <c r="P12664" s="226"/>
      <c r="Q12664" s="226"/>
      <c r="R12664" s="226"/>
      <c r="S12664" s="226"/>
      <c r="T12664" s="226"/>
      <c r="U12664" s="226"/>
    </row>
    <row r="12665" spans="16:21" x14ac:dyDescent="0.35">
      <c r="P12665" s="226"/>
      <c r="Q12665" s="226"/>
      <c r="R12665" s="226"/>
      <c r="S12665" s="226"/>
      <c r="T12665" s="226"/>
      <c r="U12665" s="226"/>
    </row>
    <row r="12666" spans="16:21" x14ac:dyDescent="0.35">
      <c r="P12666" s="226"/>
      <c r="Q12666" s="226"/>
      <c r="R12666" s="226"/>
      <c r="S12666" s="226"/>
      <c r="T12666" s="226"/>
      <c r="U12666" s="226"/>
    </row>
    <row r="12667" spans="16:21" x14ac:dyDescent="0.35">
      <c r="P12667" s="226"/>
      <c r="Q12667" s="226"/>
      <c r="R12667" s="226"/>
      <c r="S12667" s="226"/>
      <c r="T12667" s="226"/>
      <c r="U12667" s="226"/>
    </row>
    <row r="12668" spans="16:21" x14ac:dyDescent="0.35">
      <c r="P12668" s="226"/>
      <c r="Q12668" s="226"/>
      <c r="R12668" s="226"/>
      <c r="S12668" s="226"/>
      <c r="T12668" s="226"/>
      <c r="U12668" s="226"/>
    </row>
    <row r="12669" spans="16:21" x14ac:dyDescent="0.35">
      <c r="P12669" s="226"/>
      <c r="Q12669" s="226"/>
      <c r="R12669" s="226"/>
      <c r="S12669" s="226"/>
      <c r="T12669" s="226"/>
      <c r="U12669" s="226"/>
    </row>
    <row r="12670" spans="16:21" x14ac:dyDescent="0.35">
      <c r="P12670" s="226"/>
      <c r="Q12670" s="226"/>
      <c r="R12670" s="226"/>
      <c r="S12670" s="226"/>
      <c r="T12670" s="226"/>
      <c r="U12670" s="226"/>
    </row>
    <row r="12671" spans="16:21" x14ac:dyDescent="0.35">
      <c r="P12671" s="226"/>
      <c r="Q12671" s="226"/>
      <c r="R12671" s="226"/>
      <c r="S12671" s="226"/>
      <c r="T12671" s="226"/>
      <c r="U12671" s="226"/>
    </row>
    <row r="12672" spans="16:21" x14ac:dyDescent="0.35">
      <c r="P12672" s="226"/>
      <c r="Q12672" s="226"/>
      <c r="R12672" s="226"/>
      <c r="S12672" s="226"/>
      <c r="T12672" s="226"/>
      <c r="U12672" s="226"/>
    </row>
    <row r="12673" spans="16:21" x14ac:dyDescent="0.35">
      <c r="P12673" s="226"/>
      <c r="Q12673" s="226"/>
      <c r="R12673" s="226"/>
      <c r="S12673" s="226"/>
      <c r="T12673" s="226"/>
      <c r="U12673" s="226"/>
    </row>
    <row r="12674" spans="16:21" x14ac:dyDescent="0.35">
      <c r="P12674" s="226"/>
      <c r="Q12674" s="226"/>
      <c r="R12674" s="226"/>
      <c r="S12674" s="226"/>
      <c r="T12674" s="226"/>
      <c r="U12674" s="226"/>
    </row>
    <row r="12675" spans="16:21" x14ac:dyDescent="0.35">
      <c r="P12675" s="226"/>
      <c r="Q12675" s="226"/>
      <c r="R12675" s="226"/>
      <c r="S12675" s="226"/>
      <c r="T12675" s="226"/>
      <c r="U12675" s="226"/>
    </row>
    <row r="12676" spans="16:21" x14ac:dyDescent="0.35">
      <c r="P12676" s="226"/>
      <c r="Q12676" s="226"/>
      <c r="R12676" s="226"/>
      <c r="S12676" s="226"/>
      <c r="T12676" s="226"/>
      <c r="U12676" s="226"/>
    </row>
    <row r="12677" spans="16:21" x14ac:dyDescent="0.35">
      <c r="P12677" s="226"/>
      <c r="Q12677" s="226"/>
      <c r="R12677" s="226"/>
      <c r="S12677" s="226"/>
      <c r="T12677" s="226"/>
      <c r="U12677" s="226"/>
    </row>
    <row r="12678" spans="16:21" x14ac:dyDescent="0.35">
      <c r="P12678" s="226"/>
      <c r="Q12678" s="226"/>
      <c r="R12678" s="226"/>
      <c r="S12678" s="226"/>
      <c r="T12678" s="226"/>
      <c r="U12678" s="226"/>
    </row>
    <row r="12679" spans="16:21" x14ac:dyDescent="0.35">
      <c r="P12679" s="226"/>
      <c r="Q12679" s="226"/>
      <c r="R12679" s="226"/>
      <c r="S12679" s="226"/>
      <c r="T12679" s="226"/>
      <c r="U12679" s="226"/>
    </row>
    <row r="12680" spans="16:21" x14ac:dyDescent="0.35">
      <c r="P12680" s="226"/>
      <c r="Q12680" s="226"/>
      <c r="R12680" s="226"/>
      <c r="S12680" s="226"/>
      <c r="T12680" s="226"/>
      <c r="U12680" s="226"/>
    </row>
    <row r="12681" spans="16:21" x14ac:dyDescent="0.35">
      <c r="P12681" s="226"/>
      <c r="Q12681" s="226"/>
      <c r="R12681" s="226"/>
      <c r="S12681" s="226"/>
      <c r="T12681" s="226"/>
      <c r="U12681" s="226"/>
    </row>
    <row r="12682" spans="16:21" x14ac:dyDescent="0.35">
      <c r="P12682" s="226"/>
      <c r="Q12682" s="226"/>
      <c r="R12682" s="226"/>
      <c r="S12682" s="226"/>
      <c r="T12682" s="226"/>
      <c r="U12682" s="226"/>
    </row>
    <row r="12683" spans="16:21" x14ac:dyDescent="0.35">
      <c r="P12683" s="226"/>
      <c r="Q12683" s="226"/>
      <c r="R12683" s="226"/>
      <c r="S12683" s="226"/>
      <c r="T12683" s="226"/>
      <c r="U12683" s="226"/>
    </row>
    <row r="12684" spans="16:21" x14ac:dyDescent="0.35">
      <c r="P12684" s="226"/>
      <c r="Q12684" s="226"/>
      <c r="R12684" s="226"/>
      <c r="S12684" s="226"/>
      <c r="T12684" s="226"/>
      <c r="U12684" s="226"/>
    </row>
    <row r="12685" spans="16:21" x14ac:dyDescent="0.35">
      <c r="P12685" s="226"/>
      <c r="Q12685" s="226"/>
      <c r="R12685" s="226"/>
      <c r="S12685" s="226"/>
      <c r="T12685" s="226"/>
      <c r="U12685" s="226"/>
    </row>
    <row r="12686" spans="16:21" x14ac:dyDescent="0.35">
      <c r="P12686" s="226"/>
      <c r="Q12686" s="226"/>
      <c r="R12686" s="226"/>
      <c r="S12686" s="226"/>
      <c r="T12686" s="226"/>
      <c r="U12686" s="226"/>
    </row>
    <row r="12687" spans="16:21" x14ac:dyDescent="0.35">
      <c r="P12687" s="226"/>
      <c r="Q12687" s="226"/>
      <c r="R12687" s="226"/>
      <c r="S12687" s="226"/>
      <c r="T12687" s="226"/>
      <c r="U12687" s="226"/>
    </row>
    <row r="12688" spans="16:21" x14ac:dyDescent="0.35">
      <c r="P12688" s="226"/>
      <c r="Q12688" s="226"/>
      <c r="R12688" s="226"/>
      <c r="S12688" s="226"/>
      <c r="T12688" s="226"/>
      <c r="U12688" s="226"/>
    </row>
    <row r="12689" spans="16:21" x14ac:dyDescent="0.35">
      <c r="P12689" s="226"/>
      <c r="Q12689" s="226"/>
      <c r="R12689" s="226"/>
      <c r="S12689" s="226"/>
      <c r="T12689" s="226"/>
      <c r="U12689" s="226"/>
    </row>
    <row r="12690" spans="16:21" x14ac:dyDescent="0.35">
      <c r="P12690" s="226"/>
      <c r="Q12690" s="226"/>
      <c r="R12690" s="226"/>
      <c r="S12690" s="226"/>
      <c r="T12690" s="226"/>
      <c r="U12690" s="226"/>
    </row>
    <row r="12691" spans="16:21" x14ac:dyDescent="0.35">
      <c r="P12691" s="226"/>
      <c r="Q12691" s="226"/>
      <c r="R12691" s="226"/>
      <c r="S12691" s="226"/>
      <c r="T12691" s="226"/>
      <c r="U12691" s="226"/>
    </row>
    <row r="12692" spans="16:21" x14ac:dyDescent="0.35">
      <c r="P12692" s="226"/>
      <c r="Q12692" s="226"/>
      <c r="R12692" s="226"/>
      <c r="S12692" s="226"/>
      <c r="T12692" s="226"/>
      <c r="U12692" s="226"/>
    </row>
    <row r="12693" spans="16:21" x14ac:dyDescent="0.35">
      <c r="P12693" s="226"/>
      <c r="Q12693" s="226"/>
      <c r="R12693" s="226"/>
      <c r="S12693" s="226"/>
      <c r="T12693" s="226"/>
      <c r="U12693" s="226"/>
    </row>
    <row r="12694" spans="16:21" x14ac:dyDescent="0.35">
      <c r="P12694" s="226"/>
      <c r="Q12694" s="226"/>
      <c r="R12694" s="226"/>
      <c r="S12694" s="226"/>
      <c r="T12694" s="226"/>
      <c r="U12694" s="226"/>
    </row>
    <row r="12695" spans="16:21" x14ac:dyDescent="0.35">
      <c r="P12695" s="226"/>
      <c r="Q12695" s="226"/>
      <c r="R12695" s="226"/>
      <c r="S12695" s="226"/>
      <c r="T12695" s="226"/>
      <c r="U12695" s="226"/>
    </row>
    <row r="12696" spans="16:21" x14ac:dyDescent="0.35">
      <c r="P12696" s="226"/>
      <c r="Q12696" s="226"/>
      <c r="R12696" s="226"/>
      <c r="S12696" s="226"/>
      <c r="T12696" s="226"/>
      <c r="U12696" s="226"/>
    </row>
    <row r="12697" spans="16:21" x14ac:dyDescent="0.35">
      <c r="P12697" s="226"/>
      <c r="Q12697" s="226"/>
      <c r="R12697" s="226"/>
      <c r="S12697" s="226"/>
      <c r="T12697" s="226"/>
      <c r="U12697" s="226"/>
    </row>
    <row r="12698" spans="16:21" x14ac:dyDescent="0.35">
      <c r="P12698" s="226"/>
      <c r="Q12698" s="226"/>
      <c r="R12698" s="226"/>
      <c r="S12698" s="226"/>
      <c r="T12698" s="226"/>
      <c r="U12698" s="226"/>
    </row>
    <row r="12699" spans="16:21" x14ac:dyDescent="0.35">
      <c r="P12699" s="226"/>
      <c r="Q12699" s="226"/>
      <c r="R12699" s="226"/>
      <c r="S12699" s="226"/>
      <c r="T12699" s="226"/>
      <c r="U12699" s="226"/>
    </row>
    <row r="12700" spans="16:21" x14ac:dyDescent="0.35">
      <c r="P12700" s="226"/>
      <c r="Q12700" s="226"/>
      <c r="R12700" s="226"/>
      <c r="S12700" s="226"/>
      <c r="T12700" s="226"/>
      <c r="U12700" s="226"/>
    </row>
    <row r="12701" spans="16:21" x14ac:dyDescent="0.35">
      <c r="P12701" s="226"/>
      <c r="Q12701" s="226"/>
      <c r="R12701" s="226"/>
      <c r="S12701" s="226"/>
      <c r="T12701" s="226"/>
      <c r="U12701" s="226"/>
    </row>
    <row r="12702" spans="16:21" x14ac:dyDescent="0.35">
      <c r="P12702" s="226"/>
      <c r="Q12702" s="226"/>
      <c r="R12702" s="226"/>
      <c r="S12702" s="226"/>
      <c r="T12702" s="226"/>
      <c r="U12702" s="226"/>
    </row>
    <row r="12703" spans="16:21" x14ac:dyDescent="0.35">
      <c r="P12703" s="226"/>
      <c r="Q12703" s="226"/>
      <c r="R12703" s="226"/>
      <c r="S12703" s="226"/>
      <c r="T12703" s="226"/>
      <c r="U12703" s="226"/>
    </row>
    <row r="12704" spans="16:21" x14ac:dyDescent="0.35">
      <c r="P12704" s="226"/>
      <c r="Q12704" s="226"/>
      <c r="R12704" s="226"/>
      <c r="S12704" s="226"/>
      <c r="T12704" s="226"/>
      <c r="U12704" s="226"/>
    </row>
    <row r="12705" spans="16:21" x14ac:dyDescent="0.35">
      <c r="P12705" s="226"/>
      <c r="Q12705" s="226"/>
      <c r="R12705" s="226"/>
      <c r="S12705" s="226"/>
      <c r="T12705" s="226"/>
      <c r="U12705" s="226"/>
    </row>
    <row r="12706" spans="16:21" x14ac:dyDescent="0.35">
      <c r="P12706" s="226"/>
      <c r="Q12706" s="226"/>
      <c r="R12706" s="226"/>
      <c r="S12706" s="226"/>
      <c r="T12706" s="226"/>
      <c r="U12706" s="226"/>
    </row>
    <row r="12707" spans="16:21" x14ac:dyDescent="0.35">
      <c r="P12707" s="226"/>
      <c r="Q12707" s="226"/>
      <c r="R12707" s="226"/>
      <c r="S12707" s="226"/>
      <c r="T12707" s="226"/>
      <c r="U12707" s="226"/>
    </row>
    <row r="12708" spans="16:21" x14ac:dyDescent="0.35">
      <c r="P12708" s="226"/>
      <c r="Q12708" s="226"/>
      <c r="R12708" s="226"/>
      <c r="S12708" s="226"/>
      <c r="T12708" s="226"/>
      <c r="U12708" s="226"/>
    </row>
    <row r="12709" spans="16:21" x14ac:dyDescent="0.35">
      <c r="P12709" s="226"/>
      <c r="Q12709" s="226"/>
      <c r="R12709" s="226"/>
      <c r="S12709" s="226"/>
      <c r="T12709" s="226"/>
      <c r="U12709" s="226"/>
    </row>
    <row r="12710" spans="16:21" x14ac:dyDescent="0.35">
      <c r="P12710" s="226"/>
      <c r="Q12710" s="226"/>
      <c r="R12710" s="226"/>
      <c r="S12710" s="226"/>
      <c r="T12710" s="226"/>
      <c r="U12710" s="226"/>
    </row>
    <row r="12711" spans="16:21" x14ac:dyDescent="0.35">
      <c r="P12711" s="226"/>
      <c r="Q12711" s="226"/>
      <c r="R12711" s="226"/>
      <c r="S12711" s="226"/>
      <c r="T12711" s="226"/>
      <c r="U12711" s="226"/>
    </row>
    <row r="12712" spans="16:21" x14ac:dyDescent="0.35">
      <c r="P12712" s="226"/>
      <c r="Q12712" s="226"/>
      <c r="R12712" s="226"/>
      <c r="S12712" s="226"/>
      <c r="T12712" s="226"/>
      <c r="U12712" s="226"/>
    </row>
    <row r="12713" spans="16:21" x14ac:dyDescent="0.35">
      <c r="P12713" s="226"/>
      <c r="Q12713" s="226"/>
      <c r="R12713" s="226"/>
      <c r="S12713" s="226"/>
      <c r="T12713" s="226"/>
      <c r="U12713" s="226"/>
    </row>
    <row r="12714" spans="16:21" x14ac:dyDescent="0.35">
      <c r="P12714" s="226"/>
      <c r="Q12714" s="226"/>
      <c r="R12714" s="226"/>
      <c r="S12714" s="226"/>
      <c r="T12714" s="226"/>
      <c r="U12714" s="226"/>
    </row>
    <row r="12715" spans="16:21" x14ac:dyDescent="0.35">
      <c r="P12715" s="226"/>
      <c r="Q12715" s="226"/>
      <c r="R12715" s="226"/>
      <c r="S12715" s="226"/>
      <c r="T12715" s="226"/>
      <c r="U12715" s="226"/>
    </row>
    <row r="12716" spans="16:21" x14ac:dyDescent="0.35">
      <c r="P12716" s="226"/>
      <c r="Q12716" s="226"/>
      <c r="R12716" s="226"/>
      <c r="S12716" s="226"/>
      <c r="T12716" s="226"/>
      <c r="U12716" s="226"/>
    </row>
    <row r="12717" spans="16:21" x14ac:dyDescent="0.35">
      <c r="P12717" s="226"/>
      <c r="Q12717" s="226"/>
      <c r="R12717" s="226"/>
      <c r="S12717" s="226"/>
      <c r="T12717" s="226"/>
      <c r="U12717" s="226"/>
    </row>
    <row r="12718" spans="16:21" x14ac:dyDescent="0.35">
      <c r="P12718" s="226"/>
      <c r="Q12718" s="226"/>
      <c r="R12718" s="226"/>
      <c r="S12718" s="226"/>
      <c r="T12718" s="226"/>
      <c r="U12718" s="226"/>
    </row>
    <row r="12719" spans="16:21" x14ac:dyDescent="0.35">
      <c r="P12719" s="226"/>
      <c r="Q12719" s="226"/>
      <c r="R12719" s="226"/>
      <c r="S12719" s="226"/>
      <c r="T12719" s="226"/>
      <c r="U12719" s="226"/>
    </row>
    <row r="12720" spans="16:21" x14ac:dyDescent="0.35">
      <c r="P12720" s="226"/>
      <c r="Q12720" s="226"/>
      <c r="R12720" s="226"/>
      <c r="S12720" s="226"/>
      <c r="T12720" s="226"/>
      <c r="U12720" s="226"/>
    </row>
    <row r="12721" spans="16:21" x14ac:dyDescent="0.35">
      <c r="P12721" s="226"/>
      <c r="Q12721" s="226"/>
      <c r="R12721" s="226"/>
      <c r="S12721" s="226"/>
      <c r="T12721" s="226"/>
      <c r="U12721" s="226"/>
    </row>
    <row r="12722" spans="16:21" x14ac:dyDescent="0.35">
      <c r="P12722" s="226"/>
      <c r="Q12722" s="226"/>
      <c r="R12722" s="226"/>
      <c r="S12722" s="226"/>
      <c r="T12722" s="226"/>
      <c r="U12722" s="226"/>
    </row>
    <row r="12723" spans="16:21" x14ac:dyDescent="0.35">
      <c r="P12723" s="226"/>
      <c r="Q12723" s="226"/>
      <c r="R12723" s="226"/>
      <c r="S12723" s="226"/>
      <c r="T12723" s="226"/>
      <c r="U12723" s="226"/>
    </row>
    <row r="12724" spans="16:21" x14ac:dyDescent="0.35">
      <c r="P12724" s="226"/>
      <c r="Q12724" s="226"/>
      <c r="R12724" s="226"/>
      <c r="S12724" s="226"/>
      <c r="T12724" s="226"/>
      <c r="U12724" s="226"/>
    </row>
    <row r="12725" spans="16:21" x14ac:dyDescent="0.35">
      <c r="P12725" s="226"/>
      <c r="Q12725" s="226"/>
      <c r="R12725" s="226"/>
      <c r="S12725" s="226"/>
      <c r="T12725" s="226"/>
      <c r="U12725" s="226"/>
    </row>
    <row r="12726" spans="16:21" x14ac:dyDescent="0.35">
      <c r="P12726" s="226"/>
      <c r="Q12726" s="226"/>
      <c r="R12726" s="226"/>
      <c r="S12726" s="226"/>
      <c r="T12726" s="226"/>
      <c r="U12726" s="226"/>
    </row>
    <row r="12727" spans="16:21" x14ac:dyDescent="0.35">
      <c r="P12727" s="226"/>
      <c r="Q12727" s="226"/>
      <c r="R12727" s="226"/>
      <c r="S12727" s="226"/>
      <c r="T12727" s="226"/>
      <c r="U12727" s="226"/>
    </row>
    <row r="12728" spans="16:21" x14ac:dyDescent="0.35">
      <c r="P12728" s="226"/>
      <c r="Q12728" s="226"/>
      <c r="R12728" s="226"/>
      <c r="S12728" s="226"/>
      <c r="T12728" s="226"/>
      <c r="U12728" s="226"/>
    </row>
    <row r="12729" spans="16:21" x14ac:dyDescent="0.35">
      <c r="P12729" s="226"/>
      <c r="Q12729" s="226"/>
      <c r="R12729" s="226"/>
      <c r="S12729" s="226"/>
      <c r="T12729" s="226"/>
      <c r="U12729" s="226"/>
    </row>
    <row r="12730" spans="16:21" x14ac:dyDescent="0.35">
      <c r="P12730" s="226"/>
      <c r="Q12730" s="226"/>
      <c r="R12730" s="226"/>
      <c r="S12730" s="226"/>
      <c r="T12730" s="226"/>
      <c r="U12730" s="226"/>
    </row>
    <row r="12731" spans="16:21" x14ac:dyDescent="0.35">
      <c r="P12731" s="226"/>
      <c r="Q12731" s="226"/>
      <c r="R12731" s="226"/>
      <c r="S12731" s="226"/>
      <c r="T12731" s="226"/>
      <c r="U12731" s="226"/>
    </row>
    <row r="12732" spans="16:21" x14ac:dyDescent="0.35">
      <c r="P12732" s="226"/>
      <c r="Q12732" s="226"/>
      <c r="R12732" s="226"/>
      <c r="S12732" s="226"/>
      <c r="T12732" s="226"/>
      <c r="U12732" s="226"/>
    </row>
    <row r="12733" spans="16:21" x14ac:dyDescent="0.35">
      <c r="P12733" s="226"/>
      <c r="Q12733" s="226"/>
      <c r="R12733" s="226"/>
      <c r="S12733" s="226"/>
      <c r="T12733" s="226"/>
      <c r="U12733" s="226"/>
    </row>
    <row r="12734" spans="16:21" x14ac:dyDescent="0.35">
      <c r="P12734" s="226"/>
      <c r="Q12734" s="226"/>
      <c r="R12734" s="226"/>
      <c r="S12734" s="226"/>
      <c r="T12734" s="226"/>
      <c r="U12734" s="226"/>
    </row>
    <row r="12735" spans="16:21" x14ac:dyDescent="0.35">
      <c r="P12735" s="226"/>
      <c r="Q12735" s="226"/>
      <c r="R12735" s="226"/>
      <c r="S12735" s="226"/>
      <c r="T12735" s="226"/>
      <c r="U12735" s="226"/>
    </row>
    <row r="12736" spans="16:21" x14ac:dyDescent="0.35">
      <c r="P12736" s="226"/>
      <c r="Q12736" s="226"/>
      <c r="R12736" s="226"/>
      <c r="S12736" s="226"/>
      <c r="T12736" s="226"/>
      <c r="U12736" s="226"/>
    </row>
    <row r="12737" spans="16:21" x14ac:dyDescent="0.35">
      <c r="P12737" s="226"/>
      <c r="Q12737" s="226"/>
      <c r="R12737" s="226"/>
      <c r="S12737" s="226"/>
      <c r="T12737" s="226"/>
      <c r="U12737" s="226"/>
    </row>
    <row r="12738" spans="16:21" x14ac:dyDescent="0.35">
      <c r="P12738" s="226"/>
      <c r="Q12738" s="226"/>
      <c r="R12738" s="226"/>
      <c r="S12738" s="226"/>
      <c r="T12738" s="226"/>
      <c r="U12738" s="226"/>
    </row>
    <row r="12739" spans="16:21" x14ac:dyDescent="0.35">
      <c r="P12739" s="226"/>
      <c r="Q12739" s="226"/>
      <c r="R12739" s="226"/>
      <c r="S12739" s="226"/>
      <c r="T12739" s="226"/>
      <c r="U12739" s="226"/>
    </row>
    <row r="12740" spans="16:21" x14ac:dyDescent="0.35">
      <c r="P12740" s="226"/>
      <c r="Q12740" s="226"/>
      <c r="R12740" s="226"/>
      <c r="S12740" s="226"/>
      <c r="T12740" s="226"/>
      <c r="U12740" s="226"/>
    </row>
    <row r="12741" spans="16:21" x14ac:dyDescent="0.35">
      <c r="P12741" s="226"/>
      <c r="Q12741" s="226"/>
      <c r="R12741" s="226"/>
      <c r="S12741" s="226"/>
      <c r="T12741" s="226"/>
      <c r="U12741" s="226"/>
    </row>
    <row r="12742" spans="16:21" x14ac:dyDescent="0.35">
      <c r="P12742" s="226"/>
      <c r="Q12742" s="226"/>
      <c r="R12742" s="226"/>
      <c r="S12742" s="226"/>
      <c r="T12742" s="226"/>
      <c r="U12742" s="226"/>
    </row>
    <row r="12743" spans="16:21" x14ac:dyDescent="0.35">
      <c r="P12743" s="226"/>
      <c r="Q12743" s="226"/>
      <c r="R12743" s="226"/>
      <c r="S12743" s="226"/>
      <c r="T12743" s="226"/>
      <c r="U12743" s="226"/>
    </row>
    <row r="12744" spans="16:21" x14ac:dyDescent="0.35">
      <c r="P12744" s="226"/>
      <c r="Q12744" s="226"/>
      <c r="R12744" s="226"/>
      <c r="S12744" s="226"/>
      <c r="T12744" s="226"/>
      <c r="U12744" s="226"/>
    </row>
    <row r="12745" spans="16:21" x14ac:dyDescent="0.35">
      <c r="P12745" s="226"/>
      <c r="Q12745" s="226"/>
      <c r="R12745" s="226"/>
      <c r="S12745" s="226"/>
      <c r="T12745" s="226"/>
      <c r="U12745" s="226"/>
    </row>
    <row r="12746" spans="16:21" x14ac:dyDescent="0.35">
      <c r="P12746" s="226"/>
      <c r="Q12746" s="226"/>
      <c r="R12746" s="226"/>
      <c r="S12746" s="226"/>
      <c r="T12746" s="226"/>
      <c r="U12746" s="226"/>
    </row>
    <row r="12747" spans="16:21" x14ac:dyDescent="0.35">
      <c r="P12747" s="226"/>
      <c r="Q12747" s="226"/>
      <c r="R12747" s="226"/>
      <c r="S12747" s="226"/>
      <c r="T12747" s="226"/>
      <c r="U12747" s="226"/>
    </row>
    <row r="12748" spans="16:21" x14ac:dyDescent="0.35">
      <c r="P12748" s="226"/>
      <c r="Q12748" s="226"/>
      <c r="R12748" s="226"/>
      <c r="S12748" s="226"/>
      <c r="T12748" s="226"/>
      <c r="U12748" s="226"/>
    </row>
    <row r="12749" spans="16:21" x14ac:dyDescent="0.35">
      <c r="P12749" s="226"/>
      <c r="Q12749" s="226"/>
      <c r="R12749" s="226"/>
      <c r="S12749" s="226"/>
      <c r="T12749" s="226"/>
      <c r="U12749" s="226"/>
    </row>
    <row r="12750" spans="16:21" x14ac:dyDescent="0.35">
      <c r="P12750" s="226"/>
      <c r="Q12750" s="226"/>
      <c r="R12750" s="226"/>
      <c r="S12750" s="226"/>
      <c r="T12750" s="226"/>
      <c r="U12750" s="226"/>
    </row>
    <row r="12751" spans="16:21" x14ac:dyDescent="0.35">
      <c r="P12751" s="226"/>
      <c r="Q12751" s="226"/>
      <c r="R12751" s="226"/>
      <c r="S12751" s="226"/>
      <c r="T12751" s="226"/>
      <c r="U12751" s="226"/>
    </row>
    <row r="12752" spans="16:21" x14ac:dyDescent="0.35">
      <c r="P12752" s="226"/>
      <c r="Q12752" s="226"/>
      <c r="R12752" s="226"/>
      <c r="S12752" s="226"/>
      <c r="T12752" s="226"/>
      <c r="U12752" s="226"/>
    </row>
    <row r="12753" spans="16:21" x14ac:dyDescent="0.35">
      <c r="P12753" s="226"/>
      <c r="Q12753" s="226"/>
      <c r="R12753" s="226"/>
      <c r="S12753" s="226"/>
      <c r="T12753" s="226"/>
      <c r="U12753" s="226"/>
    </row>
    <row r="12754" spans="16:21" x14ac:dyDescent="0.35">
      <c r="P12754" s="226"/>
      <c r="Q12754" s="226"/>
      <c r="R12754" s="226"/>
      <c r="S12754" s="226"/>
      <c r="T12754" s="226"/>
      <c r="U12754" s="226"/>
    </row>
    <row r="12755" spans="16:21" x14ac:dyDescent="0.35">
      <c r="P12755" s="226"/>
      <c r="Q12755" s="226"/>
      <c r="R12755" s="226"/>
      <c r="S12755" s="226"/>
      <c r="T12755" s="226"/>
      <c r="U12755" s="226"/>
    </row>
    <row r="12756" spans="16:21" x14ac:dyDescent="0.35">
      <c r="P12756" s="226"/>
      <c r="Q12756" s="226"/>
      <c r="R12756" s="226"/>
      <c r="S12756" s="226"/>
      <c r="T12756" s="226"/>
      <c r="U12756" s="226"/>
    </row>
    <row r="12757" spans="16:21" x14ac:dyDescent="0.35">
      <c r="P12757" s="226"/>
      <c r="Q12757" s="226"/>
      <c r="R12757" s="226"/>
      <c r="S12757" s="226"/>
      <c r="T12757" s="226"/>
      <c r="U12757" s="226"/>
    </row>
    <row r="12758" spans="16:21" x14ac:dyDescent="0.35">
      <c r="P12758" s="226"/>
      <c r="Q12758" s="226"/>
      <c r="R12758" s="226"/>
      <c r="S12758" s="226"/>
      <c r="T12758" s="226"/>
      <c r="U12758" s="226"/>
    </row>
    <row r="12759" spans="16:21" x14ac:dyDescent="0.35">
      <c r="P12759" s="226"/>
      <c r="Q12759" s="226"/>
      <c r="R12759" s="226"/>
      <c r="S12759" s="226"/>
      <c r="T12759" s="226"/>
      <c r="U12759" s="226"/>
    </row>
    <row r="12760" spans="16:21" x14ac:dyDescent="0.35">
      <c r="P12760" s="226"/>
      <c r="Q12760" s="226"/>
      <c r="R12760" s="226"/>
      <c r="S12760" s="226"/>
      <c r="T12760" s="226"/>
      <c r="U12760" s="226"/>
    </row>
    <row r="12761" spans="16:21" x14ac:dyDescent="0.35">
      <c r="P12761" s="226"/>
      <c r="Q12761" s="226"/>
      <c r="R12761" s="226"/>
      <c r="S12761" s="226"/>
      <c r="T12761" s="226"/>
      <c r="U12761" s="226"/>
    </row>
    <row r="12762" spans="16:21" x14ac:dyDescent="0.35">
      <c r="P12762" s="226"/>
      <c r="Q12762" s="226"/>
      <c r="R12762" s="226"/>
      <c r="S12762" s="226"/>
      <c r="T12762" s="226"/>
      <c r="U12762" s="226"/>
    </row>
    <row r="12763" spans="16:21" x14ac:dyDescent="0.35">
      <c r="P12763" s="226"/>
      <c r="Q12763" s="226"/>
      <c r="R12763" s="226"/>
      <c r="S12763" s="226"/>
      <c r="T12763" s="226"/>
      <c r="U12763" s="226"/>
    </row>
    <row r="12764" spans="16:21" x14ac:dyDescent="0.35">
      <c r="P12764" s="226"/>
      <c r="Q12764" s="226"/>
      <c r="R12764" s="226"/>
      <c r="S12764" s="226"/>
      <c r="T12764" s="226"/>
      <c r="U12764" s="226"/>
    </row>
    <row r="12765" spans="16:21" x14ac:dyDescent="0.35">
      <c r="P12765" s="226"/>
      <c r="Q12765" s="226"/>
      <c r="R12765" s="226"/>
      <c r="S12765" s="226"/>
      <c r="T12765" s="226"/>
      <c r="U12765" s="226"/>
    </row>
    <row r="12766" spans="16:21" x14ac:dyDescent="0.35">
      <c r="P12766" s="226"/>
      <c r="Q12766" s="226"/>
      <c r="R12766" s="226"/>
      <c r="S12766" s="226"/>
      <c r="T12766" s="226"/>
      <c r="U12766" s="226"/>
    </row>
    <row r="12767" spans="16:21" x14ac:dyDescent="0.35">
      <c r="P12767" s="226"/>
      <c r="Q12767" s="226"/>
      <c r="R12767" s="226"/>
      <c r="S12767" s="226"/>
      <c r="T12767" s="226"/>
      <c r="U12767" s="226"/>
    </row>
    <row r="12768" spans="16:21" x14ac:dyDescent="0.35">
      <c r="P12768" s="226"/>
      <c r="Q12768" s="226"/>
      <c r="R12768" s="226"/>
      <c r="S12768" s="226"/>
      <c r="T12768" s="226"/>
      <c r="U12768" s="226"/>
    </row>
    <row r="12769" spans="16:21" x14ac:dyDescent="0.35">
      <c r="P12769" s="226"/>
      <c r="Q12769" s="226"/>
      <c r="R12769" s="226"/>
      <c r="S12769" s="226"/>
      <c r="T12769" s="226"/>
      <c r="U12769" s="226"/>
    </row>
    <row r="12770" spans="16:21" x14ac:dyDescent="0.35">
      <c r="P12770" s="226"/>
      <c r="Q12770" s="226"/>
      <c r="R12770" s="226"/>
      <c r="S12770" s="226"/>
      <c r="T12770" s="226"/>
      <c r="U12770" s="226"/>
    </row>
    <row r="12771" spans="16:21" x14ac:dyDescent="0.35">
      <c r="P12771" s="226"/>
      <c r="Q12771" s="226"/>
      <c r="R12771" s="226"/>
      <c r="S12771" s="226"/>
      <c r="T12771" s="226"/>
      <c r="U12771" s="226"/>
    </row>
    <row r="12772" spans="16:21" x14ac:dyDescent="0.35">
      <c r="P12772" s="226"/>
      <c r="Q12772" s="226"/>
      <c r="R12772" s="226"/>
      <c r="S12772" s="226"/>
      <c r="T12772" s="226"/>
      <c r="U12772" s="226"/>
    </row>
    <row r="12773" spans="16:21" x14ac:dyDescent="0.35">
      <c r="P12773" s="226"/>
      <c r="Q12773" s="226"/>
      <c r="R12773" s="226"/>
      <c r="S12773" s="226"/>
      <c r="T12773" s="226"/>
      <c r="U12773" s="226"/>
    </row>
    <row r="12774" spans="16:21" x14ac:dyDescent="0.35">
      <c r="P12774" s="226"/>
      <c r="Q12774" s="226"/>
      <c r="R12774" s="226"/>
      <c r="S12774" s="226"/>
      <c r="T12774" s="226"/>
      <c r="U12774" s="226"/>
    </row>
    <row r="12775" spans="16:21" x14ac:dyDescent="0.35">
      <c r="P12775" s="226"/>
      <c r="Q12775" s="226"/>
      <c r="R12775" s="226"/>
      <c r="S12775" s="226"/>
      <c r="T12775" s="226"/>
      <c r="U12775" s="226"/>
    </row>
    <row r="12776" spans="16:21" x14ac:dyDescent="0.35">
      <c r="P12776" s="226"/>
      <c r="Q12776" s="226"/>
      <c r="R12776" s="226"/>
      <c r="S12776" s="226"/>
      <c r="T12776" s="226"/>
      <c r="U12776" s="226"/>
    </row>
    <row r="12777" spans="16:21" x14ac:dyDescent="0.35">
      <c r="P12777" s="226"/>
      <c r="Q12777" s="226"/>
      <c r="R12777" s="226"/>
      <c r="S12777" s="226"/>
      <c r="T12777" s="226"/>
      <c r="U12777" s="226"/>
    </row>
    <row r="12778" spans="16:21" x14ac:dyDescent="0.35">
      <c r="P12778" s="226"/>
      <c r="Q12778" s="226"/>
      <c r="R12778" s="226"/>
      <c r="S12778" s="226"/>
      <c r="T12778" s="226"/>
      <c r="U12778" s="226"/>
    </row>
    <row r="12779" spans="16:21" x14ac:dyDescent="0.35">
      <c r="P12779" s="226"/>
      <c r="Q12779" s="226"/>
      <c r="R12779" s="226"/>
      <c r="S12779" s="226"/>
      <c r="T12779" s="226"/>
      <c r="U12779" s="226"/>
    </row>
    <row r="12780" spans="16:21" x14ac:dyDescent="0.35">
      <c r="P12780" s="226"/>
      <c r="Q12780" s="226"/>
      <c r="R12780" s="226"/>
      <c r="S12780" s="226"/>
      <c r="T12780" s="226"/>
      <c r="U12780" s="226"/>
    </row>
    <row r="12781" spans="16:21" x14ac:dyDescent="0.35">
      <c r="P12781" s="226"/>
      <c r="Q12781" s="226"/>
      <c r="R12781" s="226"/>
      <c r="S12781" s="226"/>
      <c r="T12781" s="226"/>
      <c r="U12781" s="226"/>
    </row>
    <row r="12782" spans="16:21" x14ac:dyDescent="0.35">
      <c r="P12782" s="226"/>
      <c r="Q12782" s="226"/>
      <c r="R12782" s="226"/>
      <c r="S12782" s="226"/>
      <c r="T12782" s="226"/>
      <c r="U12782" s="226"/>
    </row>
    <row r="12783" spans="16:21" x14ac:dyDescent="0.35">
      <c r="P12783" s="226"/>
      <c r="Q12783" s="226"/>
      <c r="R12783" s="226"/>
      <c r="S12783" s="226"/>
      <c r="T12783" s="226"/>
      <c r="U12783" s="226"/>
    </row>
    <row r="12784" spans="16:21" x14ac:dyDescent="0.35">
      <c r="P12784" s="226"/>
      <c r="Q12784" s="226"/>
      <c r="R12784" s="226"/>
      <c r="S12784" s="226"/>
      <c r="T12784" s="226"/>
      <c r="U12784" s="226"/>
    </row>
    <row r="12785" spans="16:21" x14ac:dyDescent="0.35">
      <c r="P12785" s="226"/>
      <c r="Q12785" s="226"/>
      <c r="R12785" s="226"/>
      <c r="S12785" s="226"/>
      <c r="T12785" s="226"/>
      <c r="U12785" s="226"/>
    </row>
    <row r="12786" spans="16:21" x14ac:dyDescent="0.35">
      <c r="P12786" s="226"/>
      <c r="Q12786" s="226"/>
      <c r="R12786" s="226"/>
      <c r="S12786" s="226"/>
      <c r="T12786" s="226"/>
      <c r="U12786" s="226"/>
    </row>
    <row r="12787" spans="16:21" x14ac:dyDescent="0.35">
      <c r="P12787" s="226"/>
      <c r="Q12787" s="226"/>
      <c r="R12787" s="226"/>
      <c r="S12787" s="226"/>
      <c r="T12787" s="226"/>
      <c r="U12787" s="226"/>
    </row>
    <row r="12788" spans="16:21" x14ac:dyDescent="0.35">
      <c r="P12788" s="226"/>
      <c r="Q12788" s="226"/>
      <c r="R12788" s="226"/>
      <c r="S12788" s="226"/>
      <c r="T12788" s="226"/>
      <c r="U12788" s="226"/>
    </row>
    <row r="12789" spans="16:21" x14ac:dyDescent="0.35">
      <c r="P12789" s="226"/>
      <c r="Q12789" s="226"/>
      <c r="R12789" s="226"/>
      <c r="S12789" s="226"/>
      <c r="T12789" s="226"/>
      <c r="U12789" s="226"/>
    </row>
    <row r="12790" spans="16:21" x14ac:dyDescent="0.35">
      <c r="P12790" s="226"/>
      <c r="Q12790" s="226"/>
      <c r="R12790" s="226"/>
      <c r="S12790" s="226"/>
      <c r="T12790" s="226"/>
      <c r="U12790" s="226"/>
    </row>
    <row r="12791" spans="16:21" x14ac:dyDescent="0.35">
      <c r="P12791" s="226"/>
      <c r="Q12791" s="226"/>
      <c r="R12791" s="226"/>
      <c r="S12791" s="226"/>
      <c r="T12791" s="226"/>
      <c r="U12791" s="226"/>
    </row>
    <row r="12792" spans="16:21" x14ac:dyDescent="0.35">
      <c r="P12792" s="226"/>
      <c r="Q12792" s="226"/>
      <c r="R12792" s="226"/>
      <c r="S12792" s="226"/>
      <c r="T12792" s="226"/>
      <c r="U12792" s="226"/>
    </row>
    <row r="12793" spans="16:21" x14ac:dyDescent="0.35">
      <c r="P12793" s="226"/>
      <c r="Q12793" s="226"/>
      <c r="R12793" s="226"/>
      <c r="S12793" s="226"/>
      <c r="T12793" s="226"/>
      <c r="U12793" s="226"/>
    </row>
    <row r="12794" spans="16:21" x14ac:dyDescent="0.35">
      <c r="P12794" s="226"/>
      <c r="Q12794" s="226"/>
      <c r="R12794" s="226"/>
      <c r="S12794" s="226"/>
      <c r="T12794" s="226"/>
      <c r="U12794" s="226"/>
    </row>
    <row r="12795" spans="16:21" x14ac:dyDescent="0.35">
      <c r="P12795" s="226"/>
      <c r="Q12795" s="226"/>
      <c r="R12795" s="226"/>
      <c r="S12795" s="226"/>
      <c r="T12795" s="226"/>
      <c r="U12795" s="226"/>
    </row>
    <row r="12796" spans="16:21" x14ac:dyDescent="0.35">
      <c r="P12796" s="226"/>
      <c r="Q12796" s="226"/>
      <c r="R12796" s="226"/>
      <c r="S12796" s="226"/>
      <c r="T12796" s="226"/>
      <c r="U12796" s="226"/>
    </row>
    <row r="12797" spans="16:21" x14ac:dyDescent="0.35">
      <c r="P12797" s="226"/>
      <c r="Q12797" s="226"/>
      <c r="R12797" s="226"/>
      <c r="S12797" s="226"/>
      <c r="T12797" s="226"/>
      <c r="U12797" s="226"/>
    </row>
    <row r="12798" spans="16:21" x14ac:dyDescent="0.35">
      <c r="P12798" s="226"/>
      <c r="Q12798" s="226"/>
      <c r="R12798" s="226"/>
      <c r="S12798" s="226"/>
      <c r="T12798" s="226"/>
      <c r="U12798" s="226"/>
    </row>
    <row r="12799" spans="16:21" x14ac:dyDescent="0.35">
      <c r="P12799" s="226"/>
      <c r="Q12799" s="226"/>
      <c r="R12799" s="226"/>
      <c r="S12799" s="226"/>
      <c r="T12799" s="226"/>
      <c r="U12799" s="226"/>
    </row>
    <row r="12800" spans="16:21" x14ac:dyDescent="0.35">
      <c r="P12800" s="226"/>
      <c r="Q12800" s="226"/>
      <c r="R12800" s="226"/>
      <c r="S12800" s="226"/>
      <c r="T12800" s="226"/>
      <c r="U12800" s="226"/>
    </row>
    <row r="12801" spans="16:21" x14ac:dyDescent="0.35">
      <c r="P12801" s="226"/>
      <c r="Q12801" s="226"/>
      <c r="R12801" s="226"/>
      <c r="S12801" s="226"/>
      <c r="T12801" s="226"/>
      <c r="U12801" s="226"/>
    </row>
    <row r="12802" spans="16:21" x14ac:dyDescent="0.35">
      <c r="P12802" s="226"/>
      <c r="Q12802" s="226"/>
      <c r="R12802" s="226"/>
      <c r="S12802" s="226"/>
      <c r="T12802" s="226"/>
      <c r="U12802" s="226"/>
    </row>
    <row r="12803" spans="16:21" x14ac:dyDescent="0.35">
      <c r="P12803" s="226"/>
      <c r="Q12803" s="226"/>
      <c r="R12803" s="226"/>
      <c r="S12803" s="226"/>
      <c r="T12803" s="226"/>
      <c r="U12803" s="226"/>
    </row>
    <row r="12804" spans="16:21" x14ac:dyDescent="0.35">
      <c r="P12804" s="226"/>
      <c r="Q12804" s="226"/>
      <c r="R12804" s="226"/>
      <c r="S12804" s="226"/>
      <c r="T12804" s="226"/>
      <c r="U12804" s="226"/>
    </row>
    <row r="12805" spans="16:21" x14ac:dyDescent="0.35">
      <c r="P12805" s="226"/>
      <c r="Q12805" s="226"/>
      <c r="R12805" s="226"/>
      <c r="S12805" s="226"/>
      <c r="T12805" s="226"/>
      <c r="U12805" s="226"/>
    </row>
    <row r="12806" spans="16:21" x14ac:dyDescent="0.35">
      <c r="P12806" s="226"/>
      <c r="Q12806" s="226"/>
      <c r="R12806" s="226"/>
      <c r="S12806" s="226"/>
      <c r="T12806" s="226"/>
      <c r="U12806" s="226"/>
    </row>
    <row r="12807" spans="16:21" x14ac:dyDescent="0.35">
      <c r="P12807" s="226"/>
      <c r="Q12807" s="226"/>
      <c r="R12807" s="226"/>
      <c r="S12807" s="226"/>
      <c r="T12807" s="226"/>
      <c r="U12807" s="226"/>
    </row>
    <row r="12808" spans="16:21" x14ac:dyDescent="0.35">
      <c r="P12808" s="226"/>
      <c r="Q12808" s="226"/>
      <c r="R12808" s="226"/>
      <c r="S12808" s="226"/>
      <c r="T12808" s="226"/>
      <c r="U12808" s="226"/>
    </row>
    <row r="12809" spans="16:21" x14ac:dyDescent="0.35">
      <c r="P12809" s="226"/>
      <c r="Q12809" s="226"/>
      <c r="R12809" s="226"/>
      <c r="S12809" s="226"/>
      <c r="T12809" s="226"/>
      <c r="U12809" s="226"/>
    </row>
    <row r="12810" spans="16:21" x14ac:dyDescent="0.35">
      <c r="P12810" s="226"/>
      <c r="Q12810" s="226"/>
      <c r="R12810" s="226"/>
      <c r="S12810" s="226"/>
      <c r="T12810" s="226"/>
      <c r="U12810" s="226"/>
    </row>
    <row r="12811" spans="16:21" x14ac:dyDescent="0.35">
      <c r="P12811" s="226"/>
      <c r="Q12811" s="226"/>
      <c r="R12811" s="226"/>
      <c r="S12811" s="226"/>
      <c r="T12811" s="226"/>
      <c r="U12811" s="226"/>
    </row>
    <row r="12812" spans="16:21" x14ac:dyDescent="0.35">
      <c r="P12812" s="226"/>
      <c r="Q12812" s="226"/>
      <c r="R12812" s="226"/>
      <c r="S12812" s="226"/>
      <c r="T12812" s="226"/>
      <c r="U12812" s="226"/>
    </row>
    <row r="12813" spans="16:21" x14ac:dyDescent="0.35">
      <c r="P12813" s="226"/>
      <c r="Q12813" s="226"/>
      <c r="R12813" s="226"/>
      <c r="S12813" s="226"/>
      <c r="T12813" s="226"/>
      <c r="U12813" s="226"/>
    </row>
    <row r="12814" spans="16:21" x14ac:dyDescent="0.35">
      <c r="P12814" s="226"/>
      <c r="Q12814" s="226"/>
      <c r="R12814" s="226"/>
      <c r="S12814" s="226"/>
      <c r="T12814" s="226"/>
      <c r="U12814" s="226"/>
    </row>
    <row r="12815" spans="16:21" x14ac:dyDescent="0.35">
      <c r="P12815" s="226"/>
      <c r="Q12815" s="226"/>
      <c r="R12815" s="226"/>
      <c r="S12815" s="226"/>
      <c r="T12815" s="226"/>
      <c r="U12815" s="226"/>
    </row>
    <row r="12816" spans="16:21" x14ac:dyDescent="0.35">
      <c r="P12816" s="226"/>
      <c r="Q12816" s="226"/>
      <c r="R12816" s="226"/>
      <c r="S12816" s="226"/>
      <c r="T12816" s="226"/>
      <c r="U12816" s="226"/>
    </row>
    <row r="12817" spans="16:21" x14ac:dyDescent="0.35">
      <c r="P12817" s="226"/>
      <c r="Q12817" s="226"/>
      <c r="R12817" s="226"/>
      <c r="S12817" s="226"/>
      <c r="T12817" s="226"/>
      <c r="U12817" s="226"/>
    </row>
    <row r="12818" spans="16:21" x14ac:dyDescent="0.35">
      <c r="P12818" s="226"/>
      <c r="Q12818" s="226"/>
      <c r="R12818" s="226"/>
      <c r="S12818" s="226"/>
      <c r="T12818" s="226"/>
      <c r="U12818" s="226"/>
    </row>
    <row r="12819" spans="16:21" x14ac:dyDescent="0.35">
      <c r="P12819" s="226"/>
      <c r="Q12819" s="226"/>
      <c r="R12819" s="226"/>
      <c r="S12819" s="226"/>
      <c r="T12819" s="226"/>
      <c r="U12819" s="226"/>
    </row>
    <row r="12820" spans="16:21" x14ac:dyDescent="0.35">
      <c r="P12820" s="226"/>
      <c r="Q12820" s="226"/>
      <c r="R12820" s="226"/>
      <c r="S12820" s="226"/>
      <c r="T12820" s="226"/>
      <c r="U12820" s="226"/>
    </row>
    <row r="12821" spans="16:21" x14ac:dyDescent="0.35">
      <c r="P12821" s="226"/>
      <c r="Q12821" s="226"/>
      <c r="R12821" s="226"/>
      <c r="S12821" s="226"/>
      <c r="T12821" s="226"/>
      <c r="U12821" s="226"/>
    </row>
    <row r="12822" spans="16:21" x14ac:dyDescent="0.35">
      <c r="P12822" s="226"/>
      <c r="Q12822" s="226"/>
      <c r="R12822" s="226"/>
      <c r="S12822" s="226"/>
      <c r="T12822" s="226"/>
      <c r="U12822" s="226"/>
    </row>
    <row r="12823" spans="16:21" x14ac:dyDescent="0.35">
      <c r="P12823" s="226"/>
      <c r="Q12823" s="226"/>
      <c r="R12823" s="226"/>
      <c r="S12823" s="226"/>
      <c r="T12823" s="226"/>
      <c r="U12823" s="226"/>
    </row>
    <row r="12824" spans="16:21" x14ac:dyDescent="0.35">
      <c r="P12824" s="226"/>
      <c r="Q12824" s="226"/>
      <c r="R12824" s="226"/>
      <c r="S12824" s="226"/>
      <c r="T12824" s="226"/>
      <c r="U12824" s="226"/>
    </row>
    <row r="12825" spans="16:21" x14ac:dyDescent="0.35">
      <c r="P12825" s="226"/>
      <c r="Q12825" s="226"/>
      <c r="R12825" s="226"/>
      <c r="S12825" s="226"/>
      <c r="T12825" s="226"/>
      <c r="U12825" s="226"/>
    </row>
    <row r="12826" spans="16:21" x14ac:dyDescent="0.35">
      <c r="P12826" s="226"/>
      <c r="Q12826" s="226"/>
      <c r="R12826" s="226"/>
      <c r="S12826" s="226"/>
      <c r="T12826" s="226"/>
      <c r="U12826" s="226"/>
    </row>
    <row r="12827" spans="16:21" x14ac:dyDescent="0.35">
      <c r="P12827" s="226"/>
      <c r="Q12827" s="226"/>
      <c r="R12827" s="226"/>
      <c r="S12827" s="226"/>
      <c r="T12827" s="226"/>
      <c r="U12827" s="226"/>
    </row>
    <row r="12828" spans="16:21" x14ac:dyDescent="0.35">
      <c r="P12828" s="226"/>
      <c r="Q12828" s="226"/>
      <c r="R12828" s="226"/>
      <c r="S12828" s="226"/>
      <c r="T12828" s="226"/>
      <c r="U12828" s="226"/>
    </row>
    <row r="12829" spans="16:21" x14ac:dyDescent="0.35">
      <c r="P12829" s="226"/>
      <c r="Q12829" s="226"/>
      <c r="R12829" s="226"/>
      <c r="S12829" s="226"/>
      <c r="T12829" s="226"/>
      <c r="U12829" s="226"/>
    </row>
    <row r="12830" spans="16:21" x14ac:dyDescent="0.35">
      <c r="P12830" s="226"/>
      <c r="Q12830" s="226"/>
      <c r="R12830" s="226"/>
      <c r="S12830" s="226"/>
      <c r="T12830" s="226"/>
      <c r="U12830" s="226"/>
    </row>
    <row r="12831" spans="16:21" x14ac:dyDescent="0.35">
      <c r="P12831" s="226"/>
      <c r="Q12831" s="226"/>
      <c r="R12831" s="226"/>
      <c r="S12831" s="226"/>
      <c r="T12831" s="226"/>
      <c r="U12831" s="226"/>
    </row>
    <row r="12832" spans="16:21" x14ac:dyDescent="0.35">
      <c r="P12832" s="226"/>
      <c r="Q12832" s="226"/>
      <c r="R12832" s="226"/>
      <c r="S12832" s="226"/>
      <c r="T12832" s="226"/>
      <c r="U12832" s="226"/>
    </row>
    <row r="12833" spans="16:21" x14ac:dyDescent="0.35">
      <c r="P12833" s="226"/>
      <c r="Q12833" s="226"/>
      <c r="R12833" s="226"/>
      <c r="S12833" s="226"/>
      <c r="T12833" s="226"/>
      <c r="U12833" s="226"/>
    </row>
    <row r="12834" spans="16:21" x14ac:dyDescent="0.35">
      <c r="P12834" s="226"/>
      <c r="Q12834" s="226"/>
      <c r="R12834" s="226"/>
      <c r="S12834" s="226"/>
      <c r="T12834" s="226"/>
      <c r="U12834" s="226"/>
    </row>
    <row r="12835" spans="16:21" x14ac:dyDescent="0.35">
      <c r="P12835" s="226"/>
      <c r="Q12835" s="226"/>
      <c r="R12835" s="226"/>
      <c r="S12835" s="226"/>
      <c r="T12835" s="226"/>
      <c r="U12835" s="226"/>
    </row>
    <row r="12836" spans="16:21" x14ac:dyDescent="0.35">
      <c r="P12836" s="226"/>
      <c r="Q12836" s="226"/>
      <c r="R12836" s="226"/>
      <c r="S12836" s="226"/>
      <c r="T12836" s="226"/>
      <c r="U12836" s="226"/>
    </row>
    <row r="12837" spans="16:21" x14ac:dyDescent="0.35">
      <c r="P12837" s="226"/>
      <c r="Q12837" s="226"/>
      <c r="R12837" s="226"/>
      <c r="S12837" s="226"/>
      <c r="T12837" s="226"/>
      <c r="U12837" s="226"/>
    </row>
    <row r="12838" spans="16:21" x14ac:dyDescent="0.35">
      <c r="P12838" s="226"/>
      <c r="Q12838" s="226"/>
      <c r="R12838" s="226"/>
      <c r="S12838" s="226"/>
      <c r="T12838" s="226"/>
      <c r="U12838" s="226"/>
    </row>
    <row r="12839" spans="16:21" x14ac:dyDescent="0.35">
      <c r="P12839" s="226"/>
      <c r="Q12839" s="226"/>
      <c r="R12839" s="226"/>
      <c r="S12839" s="226"/>
      <c r="T12839" s="226"/>
      <c r="U12839" s="226"/>
    </row>
    <row r="12840" spans="16:21" x14ac:dyDescent="0.35">
      <c r="P12840" s="226"/>
      <c r="Q12840" s="226"/>
      <c r="R12840" s="226"/>
      <c r="S12840" s="226"/>
      <c r="T12840" s="226"/>
      <c r="U12840" s="226"/>
    </row>
    <row r="12841" spans="16:21" x14ac:dyDescent="0.35">
      <c r="P12841" s="226"/>
      <c r="Q12841" s="226"/>
      <c r="R12841" s="226"/>
      <c r="S12841" s="226"/>
      <c r="T12841" s="226"/>
      <c r="U12841" s="226"/>
    </row>
    <row r="12842" spans="16:21" x14ac:dyDescent="0.35">
      <c r="P12842" s="226"/>
      <c r="Q12842" s="226"/>
      <c r="R12842" s="226"/>
      <c r="S12842" s="226"/>
      <c r="T12842" s="226"/>
      <c r="U12842" s="226"/>
    </row>
    <row r="12843" spans="16:21" x14ac:dyDescent="0.35">
      <c r="P12843" s="226"/>
      <c r="Q12843" s="226"/>
      <c r="R12843" s="226"/>
      <c r="S12843" s="226"/>
      <c r="T12843" s="226"/>
      <c r="U12843" s="226"/>
    </row>
    <row r="12844" spans="16:21" x14ac:dyDescent="0.35">
      <c r="P12844" s="226"/>
      <c r="Q12844" s="226"/>
      <c r="R12844" s="226"/>
      <c r="S12844" s="226"/>
      <c r="T12844" s="226"/>
      <c r="U12844" s="226"/>
    </row>
    <row r="12845" spans="16:21" x14ac:dyDescent="0.35">
      <c r="P12845" s="226"/>
      <c r="Q12845" s="226"/>
      <c r="R12845" s="226"/>
      <c r="S12845" s="226"/>
      <c r="T12845" s="226"/>
      <c r="U12845" s="226"/>
    </row>
    <row r="12846" spans="16:21" x14ac:dyDescent="0.35">
      <c r="P12846" s="226"/>
      <c r="Q12846" s="226"/>
      <c r="R12846" s="226"/>
      <c r="S12846" s="226"/>
      <c r="T12846" s="226"/>
      <c r="U12846" s="226"/>
    </row>
    <row r="12847" spans="16:21" x14ac:dyDescent="0.35">
      <c r="P12847" s="226"/>
      <c r="Q12847" s="226"/>
      <c r="R12847" s="226"/>
      <c r="S12847" s="226"/>
      <c r="T12847" s="226"/>
      <c r="U12847" s="226"/>
    </row>
    <row r="12848" spans="16:21" x14ac:dyDescent="0.35">
      <c r="P12848" s="226"/>
      <c r="Q12848" s="226"/>
      <c r="R12848" s="226"/>
      <c r="S12848" s="226"/>
      <c r="T12848" s="226"/>
      <c r="U12848" s="226"/>
    </row>
    <row r="12849" spans="16:21" x14ac:dyDescent="0.35">
      <c r="P12849" s="226"/>
      <c r="Q12849" s="226"/>
      <c r="R12849" s="226"/>
      <c r="S12849" s="226"/>
      <c r="T12849" s="226"/>
      <c r="U12849" s="226"/>
    </row>
    <row r="12850" spans="16:21" x14ac:dyDescent="0.35">
      <c r="P12850" s="226"/>
      <c r="Q12850" s="226"/>
      <c r="R12850" s="226"/>
      <c r="S12850" s="226"/>
      <c r="T12850" s="226"/>
      <c r="U12850" s="226"/>
    </row>
    <row r="12851" spans="16:21" x14ac:dyDescent="0.35">
      <c r="P12851" s="226"/>
      <c r="Q12851" s="226"/>
      <c r="R12851" s="226"/>
      <c r="S12851" s="226"/>
      <c r="T12851" s="226"/>
      <c r="U12851" s="226"/>
    </row>
    <row r="12852" spans="16:21" x14ac:dyDescent="0.35">
      <c r="P12852" s="226"/>
      <c r="Q12852" s="226"/>
      <c r="R12852" s="226"/>
      <c r="S12852" s="226"/>
      <c r="T12852" s="226"/>
      <c r="U12852" s="226"/>
    </row>
    <row r="12853" spans="16:21" x14ac:dyDescent="0.35">
      <c r="P12853" s="226"/>
      <c r="Q12853" s="226"/>
      <c r="R12853" s="226"/>
      <c r="S12853" s="226"/>
      <c r="T12853" s="226"/>
      <c r="U12853" s="226"/>
    </row>
    <row r="12854" spans="16:21" x14ac:dyDescent="0.35">
      <c r="P12854" s="226"/>
      <c r="Q12854" s="226"/>
      <c r="R12854" s="226"/>
      <c r="S12854" s="226"/>
      <c r="T12854" s="226"/>
      <c r="U12854" s="226"/>
    </row>
    <row r="12855" spans="16:21" x14ac:dyDescent="0.35">
      <c r="P12855" s="226"/>
      <c r="Q12855" s="226"/>
      <c r="R12855" s="226"/>
      <c r="S12855" s="226"/>
      <c r="T12855" s="226"/>
      <c r="U12855" s="226"/>
    </row>
    <row r="12856" spans="16:21" x14ac:dyDescent="0.35">
      <c r="P12856" s="226"/>
      <c r="Q12856" s="226"/>
      <c r="R12856" s="226"/>
      <c r="S12856" s="226"/>
      <c r="T12856" s="226"/>
      <c r="U12856" s="226"/>
    </row>
    <row r="12857" spans="16:21" x14ac:dyDescent="0.35">
      <c r="P12857" s="226"/>
      <c r="Q12857" s="226"/>
      <c r="R12857" s="226"/>
      <c r="S12857" s="226"/>
      <c r="T12857" s="226"/>
      <c r="U12857" s="226"/>
    </row>
    <row r="12858" spans="16:21" x14ac:dyDescent="0.35">
      <c r="P12858" s="226"/>
      <c r="Q12858" s="226"/>
      <c r="R12858" s="226"/>
      <c r="S12858" s="226"/>
      <c r="T12858" s="226"/>
      <c r="U12858" s="226"/>
    </row>
    <row r="12859" spans="16:21" x14ac:dyDescent="0.35">
      <c r="P12859" s="226"/>
      <c r="Q12859" s="226"/>
      <c r="R12859" s="226"/>
      <c r="S12859" s="226"/>
      <c r="T12859" s="226"/>
      <c r="U12859" s="226"/>
    </row>
    <row r="12860" spans="16:21" x14ac:dyDescent="0.35">
      <c r="P12860" s="226"/>
      <c r="Q12860" s="226"/>
      <c r="R12860" s="226"/>
      <c r="S12860" s="226"/>
      <c r="T12860" s="226"/>
      <c r="U12860" s="226"/>
    </row>
    <row r="12861" spans="16:21" x14ac:dyDescent="0.35">
      <c r="P12861" s="226"/>
      <c r="Q12861" s="226"/>
      <c r="R12861" s="226"/>
      <c r="S12861" s="226"/>
      <c r="T12861" s="226"/>
      <c r="U12861" s="226"/>
    </row>
    <row r="12862" spans="16:21" x14ac:dyDescent="0.35">
      <c r="P12862" s="226"/>
      <c r="Q12862" s="226"/>
      <c r="R12862" s="226"/>
      <c r="S12862" s="226"/>
      <c r="T12862" s="226"/>
      <c r="U12862" s="226"/>
    </row>
    <row r="12863" spans="16:21" x14ac:dyDescent="0.35">
      <c r="P12863" s="226"/>
      <c r="Q12863" s="226"/>
      <c r="R12863" s="226"/>
      <c r="S12863" s="226"/>
      <c r="T12863" s="226"/>
      <c r="U12863" s="226"/>
    </row>
    <row r="12864" spans="16:21" x14ac:dyDescent="0.35">
      <c r="P12864" s="226"/>
      <c r="Q12864" s="226"/>
      <c r="R12864" s="226"/>
      <c r="S12864" s="226"/>
      <c r="T12864" s="226"/>
      <c r="U12864" s="226"/>
    </row>
    <row r="12865" spans="16:21" x14ac:dyDescent="0.35">
      <c r="P12865" s="226"/>
      <c r="Q12865" s="226"/>
      <c r="R12865" s="226"/>
      <c r="S12865" s="226"/>
      <c r="T12865" s="226"/>
      <c r="U12865" s="226"/>
    </row>
    <row r="12866" spans="16:21" x14ac:dyDescent="0.35">
      <c r="P12866" s="226"/>
      <c r="Q12866" s="226"/>
      <c r="R12866" s="226"/>
      <c r="S12866" s="226"/>
      <c r="T12866" s="226"/>
      <c r="U12866" s="226"/>
    </row>
    <row r="12867" spans="16:21" x14ac:dyDescent="0.35">
      <c r="P12867" s="226"/>
      <c r="Q12867" s="226"/>
      <c r="R12867" s="226"/>
      <c r="S12867" s="226"/>
      <c r="T12867" s="226"/>
      <c r="U12867" s="226"/>
    </row>
    <row r="12868" spans="16:21" x14ac:dyDescent="0.35">
      <c r="P12868" s="226"/>
      <c r="Q12868" s="226"/>
      <c r="R12868" s="226"/>
      <c r="S12868" s="226"/>
      <c r="T12868" s="226"/>
      <c r="U12868" s="226"/>
    </row>
    <row r="12869" spans="16:21" x14ac:dyDescent="0.35">
      <c r="P12869" s="226"/>
      <c r="Q12869" s="226"/>
      <c r="R12869" s="226"/>
      <c r="S12869" s="226"/>
      <c r="T12869" s="226"/>
      <c r="U12869" s="226"/>
    </row>
    <row r="12870" spans="16:21" x14ac:dyDescent="0.35">
      <c r="P12870" s="226"/>
      <c r="Q12870" s="226"/>
      <c r="R12870" s="226"/>
      <c r="S12870" s="226"/>
      <c r="T12870" s="226"/>
      <c r="U12870" s="226"/>
    </row>
    <row r="12871" spans="16:21" x14ac:dyDescent="0.35">
      <c r="P12871" s="226"/>
      <c r="Q12871" s="226"/>
      <c r="R12871" s="226"/>
      <c r="S12871" s="226"/>
      <c r="T12871" s="226"/>
      <c r="U12871" s="226"/>
    </row>
    <row r="12872" spans="16:21" x14ac:dyDescent="0.35">
      <c r="P12872" s="226"/>
      <c r="Q12872" s="226"/>
      <c r="R12872" s="226"/>
      <c r="S12872" s="226"/>
      <c r="T12872" s="226"/>
      <c r="U12872" s="226"/>
    </row>
    <row r="12873" spans="16:21" x14ac:dyDescent="0.35">
      <c r="P12873" s="226"/>
      <c r="Q12873" s="226"/>
      <c r="R12873" s="226"/>
      <c r="S12873" s="226"/>
      <c r="T12873" s="226"/>
      <c r="U12873" s="226"/>
    </row>
    <row r="12874" spans="16:21" x14ac:dyDescent="0.35">
      <c r="P12874" s="226"/>
      <c r="Q12874" s="226"/>
      <c r="R12874" s="226"/>
      <c r="S12874" s="226"/>
      <c r="T12874" s="226"/>
      <c r="U12874" s="226"/>
    </row>
    <row r="12875" spans="16:21" x14ac:dyDescent="0.35">
      <c r="P12875" s="226"/>
      <c r="Q12875" s="226"/>
      <c r="R12875" s="226"/>
      <c r="S12875" s="226"/>
      <c r="T12875" s="226"/>
      <c r="U12875" s="226"/>
    </row>
    <row r="12876" spans="16:21" x14ac:dyDescent="0.35">
      <c r="P12876" s="226"/>
      <c r="Q12876" s="226"/>
      <c r="R12876" s="226"/>
      <c r="S12876" s="226"/>
      <c r="T12876" s="226"/>
      <c r="U12876" s="226"/>
    </row>
    <row r="12877" spans="16:21" x14ac:dyDescent="0.35">
      <c r="P12877" s="226"/>
      <c r="Q12877" s="226"/>
      <c r="R12877" s="226"/>
      <c r="S12877" s="226"/>
      <c r="T12877" s="226"/>
      <c r="U12877" s="226"/>
    </row>
    <row r="12878" spans="16:21" x14ac:dyDescent="0.35">
      <c r="P12878" s="226"/>
      <c r="Q12878" s="226"/>
      <c r="R12878" s="226"/>
      <c r="S12878" s="226"/>
      <c r="T12878" s="226"/>
      <c r="U12878" s="226"/>
    </row>
    <row r="12879" spans="16:21" x14ac:dyDescent="0.35">
      <c r="P12879" s="226"/>
      <c r="Q12879" s="226"/>
      <c r="R12879" s="226"/>
      <c r="S12879" s="226"/>
      <c r="T12879" s="226"/>
      <c r="U12879" s="226"/>
    </row>
    <row r="12880" spans="16:21" x14ac:dyDescent="0.35">
      <c r="P12880" s="226"/>
      <c r="Q12880" s="226"/>
      <c r="R12880" s="226"/>
      <c r="S12880" s="226"/>
      <c r="T12880" s="226"/>
      <c r="U12880" s="226"/>
    </row>
    <row r="12881" spans="16:21" x14ac:dyDescent="0.35">
      <c r="P12881" s="226"/>
      <c r="Q12881" s="226"/>
      <c r="R12881" s="226"/>
      <c r="S12881" s="226"/>
      <c r="T12881" s="226"/>
      <c r="U12881" s="226"/>
    </row>
    <row r="12882" spans="16:21" x14ac:dyDescent="0.35">
      <c r="P12882" s="226"/>
      <c r="Q12882" s="226"/>
      <c r="R12882" s="226"/>
      <c r="S12882" s="226"/>
      <c r="T12882" s="226"/>
      <c r="U12882" s="226"/>
    </row>
    <row r="12883" spans="16:21" x14ac:dyDescent="0.35">
      <c r="P12883" s="226"/>
      <c r="Q12883" s="226"/>
      <c r="R12883" s="226"/>
      <c r="S12883" s="226"/>
      <c r="T12883" s="226"/>
      <c r="U12883" s="226"/>
    </row>
    <row r="12884" spans="16:21" x14ac:dyDescent="0.35">
      <c r="P12884" s="226"/>
      <c r="Q12884" s="226"/>
      <c r="R12884" s="226"/>
      <c r="S12884" s="226"/>
      <c r="T12884" s="226"/>
      <c r="U12884" s="226"/>
    </row>
    <row r="12885" spans="16:21" x14ac:dyDescent="0.35">
      <c r="P12885" s="226"/>
      <c r="Q12885" s="226"/>
      <c r="R12885" s="226"/>
      <c r="S12885" s="226"/>
      <c r="T12885" s="226"/>
      <c r="U12885" s="226"/>
    </row>
    <row r="12886" spans="16:21" x14ac:dyDescent="0.35">
      <c r="P12886" s="226"/>
      <c r="Q12886" s="226"/>
      <c r="R12886" s="226"/>
      <c r="S12886" s="226"/>
      <c r="T12886" s="226"/>
      <c r="U12886" s="226"/>
    </row>
    <row r="12887" spans="16:21" x14ac:dyDescent="0.35">
      <c r="P12887" s="226"/>
      <c r="Q12887" s="226"/>
      <c r="R12887" s="226"/>
      <c r="S12887" s="226"/>
      <c r="T12887" s="226"/>
      <c r="U12887" s="226"/>
    </row>
    <row r="12888" spans="16:21" x14ac:dyDescent="0.35">
      <c r="P12888" s="226"/>
      <c r="Q12888" s="226"/>
      <c r="R12888" s="226"/>
      <c r="S12888" s="226"/>
      <c r="T12888" s="226"/>
      <c r="U12888" s="226"/>
    </row>
    <row r="12889" spans="16:21" x14ac:dyDescent="0.35">
      <c r="P12889" s="226"/>
      <c r="Q12889" s="226"/>
      <c r="R12889" s="226"/>
      <c r="S12889" s="226"/>
      <c r="T12889" s="226"/>
      <c r="U12889" s="226"/>
    </row>
    <row r="12890" spans="16:21" x14ac:dyDescent="0.35">
      <c r="P12890" s="226"/>
      <c r="Q12890" s="226"/>
      <c r="R12890" s="226"/>
      <c r="S12890" s="226"/>
      <c r="T12890" s="226"/>
      <c r="U12890" s="226"/>
    </row>
    <row r="12891" spans="16:21" x14ac:dyDescent="0.35">
      <c r="P12891" s="226"/>
      <c r="Q12891" s="226"/>
      <c r="R12891" s="226"/>
      <c r="S12891" s="226"/>
      <c r="T12891" s="226"/>
      <c r="U12891" s="226"/>
    </row>
    <row r="12892" spans="16:21" x14ac:dyDescent="0.35">
      <c r="P12892" s="226"/>
      <c r="Q12892" s="226"/>
      <c r="R12892" s="226"/>
      <c r="S12892" s="226"/>
      <c r="T12892" s="226"/>
      <c r="U12892" s="226"/>
    </row>
    <row r="12893" spans="16:21" x14ac:dyDescent="0.35">
      <c r="P12893" s="226"/>
      <c r="Q12893" s="226"/>
      <c r="R12893" s="226"/>
      <c r="S12893" s="226"/>
      <c r="T12893" s="226"/>
      <c r="U12893" s="226"/>
    </row>
    <row r="12894" spans="16:21" x14ac:dyDescent="0.35">
      <c r="P12894" s="226"/>
      <c r="Q12894" s="226"/>
      <c r="R12894" s="226"/>
      <c r="S12894" s="226"/>
      <c r="T12894" s="226"/>
      <c r="U12894" s="226"/>
    </row>
    <row r="12895" spans="16:21" x14ac:dyDescent="0.35">
      <c r="P12895" s="226"/>
      <c r="Q12895" s="226"/>
      <c r="R12895" s="226"/>
      <c r="S12895" s="226"/>
      <c r="T12895" s="226"/>
      <c r="U12895" s="226"/>
    </row>
    <row r="12896" spans="16:21" x14ac:dyDescent="0.35">
      <c r="P12896" s="226"/>
      <c r="Q12896" s="226"/>
      <c r="R12896" s="226"/>
      <c r="S12896" s="226"/>
      <c r="T12896" s="226"/>
      <c r="U12896" s="226"/>
    </row>
    <row r="12897" spans="16:21" x14ac:dyDescent="0.35">
      <c r="P12897" s="226"/>
      <c r="Q12897" s="226"/>
      <c r="R12897" s="226"/>
      <c r="S12897" s="226"/>
      <c r="T12897" s="226"/>
      <c r="U12897" s="226"/>
    </row>
    <row r="12898" spans="16:21" x14ac:dyDescent="0.35">
      <c r="P12898" s="226"/>
      <c r="Q12898" s="226"/>
      <c r="R12898" s="226"/>
      <c r="S12898" s="226"/>
      <c r="T12898" s="226"/>
      <c r="U12898" s="226"/>
    </row>
    <row r="12899" spans="16:21" x14ac:dyDescent="0.35">
      <c r="P12899" s="226"/>
      <c r="Q12899" s="226"/>
      <c r="R12899" s="226"/>
      <c r="S12899" s="226"/>
      <c r="T12899" s="226"/>
      <c r="U12899" s="226"/>
    </row>
    <row r="12900" spans="16:21" x14ac:dyDescent="0.35">
      <c r="P12900" s="226"/>
      <c r="Q12900" s="226"/>
      <c r="R12900" s="226"/>
      <c r="S12900" s="226"/>
      <c r="T12900" s="226"/>
      <c r="U12900" s="226"/>
    </row>
    <row r="12901" spans="16:21" x14ac:dyDescent="0.35">
      <c r="P12901" s="226"/>
      <c r="Q12901" s="226"/>
      <c r="R12901" s="226"/>
      <c r="S12901" s="226"/>
      <c r="T12901" s="226"/>
      <c r="U12901" s="226"/>
    </row>
    <row r="12902" spans="16:21" x14ac:dyDescent="0.35">
      <c r="P12902" s="226"/>
      <c r="Q12902" s="226"/>
      <c r="R12902" s="226"/>
      <c r="S12902" s="226"/>
      <c r="T12902" s="226"/>
      <c r="U12902" s="226"/>
    </row>
    <row r="12903" spans="16:21" x14ac:dyDescent="0.35">
      <c r="P12903" s="226"/>
      <c r="Q12903" s="226"/>
      <c r="R12903" s="226"/>
      <c r="S12903" s="226"/>
      <c r="T12903" s="226"/>
      <c r="U12903" s="226"/>
    </row>
    <row r="12904" spans="16:21" x14ac:dyDescent="0.35">
      <c r="P12904" s="226"/>
      <c r="Q12904" s="226"/>
      <c r="R12904" s="226"/>
      <c r="S12904" s="226"/>
      <c r="T12904" s="226"/>
      <c r="U12904" s="226"/>
    </row>
    <row r="12905" spans="16:21" x14ac:dyDescent="0.35">
      <c r="P12905" s="226"/>
      <c r="Q12905" s="226"/>
      <c r="R12905" s="226"/>
      <c r="S12905" s="226"/>
      <c r="T12905" s="226"/>
      <c r="U12905" s="226"/>
    </row>
    <row r="12906" spans="16:21" x14ac:dyDescent="0.35">
      <c r="P12906" s="226"/>
      <c r="Q12906" s="226"/>
      <c r="R12906" s="226"/>
      <c r="S12906" s="226"/>
      <c r="T12906" s="226"/>
      <c r="U12906" s="226"/>
    </row>
    <row r="12907" spans="16:21" x14ac:dyDescent="0.35">
      <c r="P12907" s="226"/>
      <c r="Q12907" s="226"/>
      <c r="R12907" s="226"/>
      <c r="S12907" s="226"/>
      <c r="T12907" s="226"/>
      <c r="U12907" s="226"/>
    </row>
    <row r="12908" spans="16:21" x14ac:dyDescent="0.35">
      <c r="P12908" s="226"/>
      <c r="Q12908" s="226"/>
      <c r="R12908" s="226"/>
      <c r="S12908" s="226"/>
      <c r="T12908" s="226"/>
      <c r="U12908" s="226"/>
    </row>
    <row r="12909" spans="16:21" x14ac:dyDescent="0.35">
      <c r="P12909" s="226"/>
      <c r="Q12909" s="226"/>
      <c r="R12909" s="226"/>
      <c r="S12909" s="226"/>
      <c r="T12909" s="226"/>
      <c r="U12909" s="226"/>
    </row>
    <row r="12910" spans="16:21" x14ac:dyDescent="0.35">
      <c r="P12910" s="226"/>
      <c r="Q12910" s="226"/>
      <c r="R12910" s="226"/>
      <c r="S12910" s="226"/>
      <c r="T12910" s="226"/>
      <c r="U12910" s="226"/>
    </row>
    <row r="12911" spans="16:21" x14ac:dyDescent="0.35">
      <c r="P12911" s="226"/>
      <c r="Q12911" s="226"/>
      <c r="R12911" s="226"/>
      <c r="S12911" s="226"/>
      <c r="T12911" s="226"/>
      <c r="U12911" s="226"/>
    </row>
    <row r="12912" spans="16:21" x14ac:dyDescent="0.35">
      <c r="P12912" s="226"/>
      <c r="Q12912" s="226"/>
      <c r="R12912" s="226"/>
      <c r="S12912" s="226"/>
      <c r="T12912" s="226"/>
      <c r="U12912" s="226"/>
    </row>
    <row r="12913" spans="16:21" x14ac:dyDescent="0.35">
      <c r="P12913" s="226"/>
      <c r="Q12913" s="226"/>
      <c r="R12913" s="226"/>
      <c r="S12913" s="226"/>
      <c r="T12913" s="226"/>
      <c r="U12913" s="226"/>
    </row>
    <row r="12914" spans="16:21" x14ac:dyDescent="0.35">
      <c r="P12914" s="226"/>
      <c r="Q12914" s="226"/>
      <c r="R12914" s="226"/>
      <c r="S12914" s="226"/>
      <c r="T12914" s="226"/>
      <c r="U12914" s="226"/>
    </row>
    <row r="12915" spans="16:21" x14ac:dyDescent="0.35">
      <c r="P12915" s="226"/>
      <c r="Q12915" s="226"/>
      <c r="R12915" s="226"/>
      <c r="S12915" s="226"/>
      <c r="T12915" s="226"/>
      <c r="U12915" s="226"/>
    </row>
    <row r="12916" spans="16:21" x14ac:dyDescent="0.35">
      <c r="P12916" s="226"/>
      <c r="Q12916" s="226"/>
      <c r="R12916" s="226"/>
      <c r="S12916" s="226"/>
      <c r="T12916" s="226"/>
      <c r="U12916" s="226"/>
    </row>
    <row r="12917" spans="16:21" x14ac:dyDescent="0.35">
      <c r="P12917" s="226"/>
      <c r="Q12917" s="226"/>
      <c r="R12917" s="226"/>
      <c r="S12917" s="226"/>
      <c r="T12917" s="226"/>
      <c r="U12917" s="226"/>
    </row>
    <row r="12918" spans="16:21" x14ac:dyDescent="0.35">
      <c r="P12918" s="226"/>
      <c r="Q12918" s="226"/>
      <c r="R12918" s="226"/>
      <c r="S12918" s="226"/>
      <c r="T12918" s="226"/>
      <c r="U12918" s="226"/>
    </row>
    <row r="12919" spans="16:21" x14ac:dyDescent="0.35">
      <c r="P12919" s="226"/>
      <c r="Q12919" s="226"/>
      <c r="R12919" s="226"/>
      <c r="S12919" s="226"/>
      <c r="T12919" s="226"/>
      <c r="U12919" s="226"/>
    </row>
    <row r="12920" spans="16:21" x14ac:dyDescent="0.35">
      <c r="P12920" s="226"/>
      <c r="Q12920" s="226"/>
      <c r="R12920" s="226"/>
      <c r="S12920" s="226"/>
      <c r="T12920" s="226"/>
      <c r="U12920" s="226"/>
    </row>
    <row r="12921" spans="16:21" x14ac:dyDescent="0.35">
      <c r="P12921" s="226"/>
      <c r="Q12921" s="226"/>
      <c r="R12921" s="226"/>
      <c r="S12921" s="226"/>
      <c r="T12921" s="226"/>
      <c r="U12921" s="226"/>
    </row>
    <row r="12922" spans="16:21" x14ac:dyDescent="0.35">
      <c r="P12922" s="226"/>
      <c r="Q12922" s="226"/>
      <c r="R12922" s="226"/>
      <c r="S12922" s="226"/>
      <c r="T12922" s="226"/>
      <c r="U12922" s="226"/>
    </row>
    <row r="12923" spans="16:21" x14ac:dyDescent="0.35">
      <c r="P12923" s="226"/>
      <c r="Q12923" s="226"/>
      <c r="R12923" s="226"/>
      <c r="S12923" s="226"/>
      <c r="T12923" s="226"/>
      <c r="U12923" s="226"/>
    </row>
    <row r="12924" spans="16:21" x14ac:dyDescent="0.35">
      <c r="P12924" s="226"/>
      <c r="Q12924" s="226"/>
      <c r="R12924" s="226"/>
      <c r="S12924" s="226"/>
      <c r="T12924" s="226"/>
      <c r="U12924" s="226"/>
    </row>
    <row r="12925" spans="16:21" x14ac:dyDescent="0.35">
      <c r="P12925" s="226"/>
      <c r="Q12925" s="226"/>
      <c r="R12925" s="226"/>
      <c r="S12925" s="226"/>
      <c r="T12925" s="226"/>
      <c r="U12925" s="226"/>
    </row>
    <row r="12926" spans="16:21" x14ac:dyDescent="0.35">
      <c r="P12926" s="226"/>
      <c r="Q12926" s="226"/>
      <c r="R12926" s="226"/>
      <c r="S12926" s="226"/>
      <c r="T12926" s="226"/>
      <c r="U12926" s="226"/>
    </row>
    <row r="12927" spans="16:21" x14ac:dyDescent="0.35">
      <c r="P12927" s="226"/>
      <c r="Q12927" s="226"/>
      <c r="R12927" s="226"/>
      <c r="S12927" s="226"/>
      <c r="T12927" s="226"/>
      <c r="U12927" s="226"/>
    </row>
    <row r="12928" spans="16:21" x14ac:dyDescent="0.35">
      <c r="P12928" s="226"/>
      <c r="Q12928" s="226"/>
      <c r="R12928" s="226"/>
      <c r="S12928" s="226"/>
      <c r="T12928" s="226"/>
      <c r="U12928" s="226"/>
    </row>
    <row r="12929" spans="16:21" x14ac:dyDescent="0.35">
      <c r="P12929" s="226"/>
      <c r="Q12929" s="226"/>
      <c r="R12929" s="226"/>
      <c r="S12929" s="226"/>
      <c r="T12929" s="226"/>
      <c r="U12929" s="226"/>
    </row>
    <row r="12930" spans="16:21" x14ac:dyDescent="0.35">
      <c r="P12930" s="226"/>
      <c r="Q12930" s="226"/>
      <c r="R12930" s="226"/>
      <c r="S12930" s="226"/>
      <c r="T12930" s="226"/>
      <c r="U12930" s="226"/>
    </row>
    <row r="12931" spans="16:21" x14ac:dyDescent="0.35">
      <c r="P12931" s="226"/>
      <c r="Q12931" s="226"/>
      <c r="R12931" s="226"/>
      <c r="S12931" s="226"/>
      <c r="T12931" s="226"/>
      <c r="U12931" s="226"/>
    </row>
    <row r="12932" spans="16:21" x14ac:dyDescent="0.35">
      <c r="P12932" s="226"/>
      <c r="Q12932" s="226"/>
      <c r="R12932" s="226"/>
      <c r="S12932" s="226"/>
      <c r="T12932" s="226"/>
      <c r="U12932" s="226"/>
    </row>
    <row r="12933" spans="16:21" x14ac:dyDescent="0.35">
      <c r="P12933" s="226"/>
      <c r="Q12933" s="226"/>
      <c r="R12933" s="226"/>
      <c r="S12933" s="226"/>
      <c r="T12933" s="226"/>
      <c r="U12933" s="226"/>
    </row>
    <row r="12934" spans="16:21" x14ac:dyDescent="0.35">
      <c r="P12934" s="226"/>
      <c r="Q12934" s="226"/>
      <c r="R12934" s="226"/>
      <c r="S12934" s="226"/>
      <c r="T12934" s="226"/>
      <c r="U12934" s="226"/>
    </row>
    <row r="12935" spans="16:21" x14ac:dyDescent="0.35">
      <c r="P12935" s="226"/>
      <c r="Q12935" s="226"/>
      <c r="R12935" s="226"/>
      <c r="S12935" s="226"/>
      <c r="T12935" s="226"/>
      <c r="U12935" s="226"/>
    </row>
    <row r="12936" spans="16:21" x14ac:dyDescent="0.35">
      <c r="P12936" s="226"/>
      <c r="Q12936" s="226"/>
      <c r="R12936" s="226"/>
      <c r="S12936" s="226"/>
      <c r="T12936" s="226"/>
      <c r="U12936" s="226"/>
    </row>
    <row r="12937" spans="16:21" x14ac:dyDescent="0.35">
      <c r="P12937" s="226"/>
      <c r="Q12937" s="226"/>
      <c r="R12937" s="226"/>
      <c r="S12937" s="226"/>
      <c r="T12937" s="226"/>
      <c r="U12937" s="226"/>
    </row>
    <row r="12938" spans="16:21" x14ac:dyDescent="0.35">
      <c r="P12938" s="226"/>
      <c r="Q12938" s="226"/>
      <c r="R12938" s="226"/>
      <c r="S12938" s="226"/>
      <c r="T12938" s="226"/>
      <c r="U12938" s="226"/>
    </row>
    <row r="12939" spans="16:21" x14ac:dyDescent="0.35">
      <c r="P12939" s="226"/>
      <c r="Q12939" s="226"/>
      <c r="R12939" s="226"/>
      <c r="S12939" s="226"/>
      <c r="T12939" s="226"/>
      <c r="U12939" s="226"/>
    </row>
    <row r="12940" spans="16:21" x14ac:dyDescent="0.35">
      <c r="P12940" s="226"/>
      <c r="Q12940" s="226"/>
      <c r="R12940" s="226"/>
      <c r="S12940" s="226"/>
      <c r="T12940" s="226"/>
      <c r="U12940" s="226"/>
    </row>
    <row r="12941" spans="16:21" x14ac:dyDescent="0.35">
      <c r="P12941" s="226"/>
      <c r="Q12941" s="226"/>
      <c r="R12941" s="226"/>
      <c r="S12941" s="226"/>
      <c r="T12941" s="226"/>
      <c r="U12941" s="226"/>
    </row>
    <row r="12942" spans="16:21" x14ac:dyDescent="0.35">
      <c r="P12942" s="226"/>
      <c r="Q12942" s="226"/>
      <c r="R12942" s="226"/>
      <c r="S12942" s="226"/>
      <c r="T12942" s="226"/>
      <c r="U12942" s="226"/>
    </row>
    <row r="12943" spans="16:21" x14ac:dyDescent="0.35">
      <c r="P12943" s="226"/>
      <c r="Q12943" s="226"/>
      <c r="R12943" s="226"/>
      <c r="S12943" s="226"/>
      <c r="T12943" s="226"/>
      <c r="U12943" s="226"/>
    </row>
    <row r="12944" spans="16:21" x14ac:dyDescent="0.35">
      <c r="P12944" s="226"/>
      <c r="Q12944" s="226"/>
      <c r="R12944" s="226"/>
      <c r="S12944" s="226"/>
      <c r="T12944" s="226"/>
      <c r="U12944" s="226"/>
    </row>
    <row r="12945" spans="16:21" x14ac:dyDescent="0.35">
      <c r="P12945" s="226"/>
      <c r="Q12945" s="226"/>
      <c r="R12945" s="226"/>
      <c r="S12945" s="226"/>
      <c r="T12945" s="226"/>
      <c r="U12945" s="226"/>
    </row>
    <row r="12946" spans="16:21" x14ac:dyDescent="0.35">
      <c r="P12946" s="226"/>
      <c r="Q12946" s="226"/>
      <c r="R12946" s="226"/>
      <c r="S12946" s="226"/>
      <c r="T12946" s="226"/>
      <c r="U12946" s="226"/>
    </row>
    <row r="12947" spans="16:21" x14ac:dyDescent="0.35">
      <c r="P12947" s="226"/>
      <c r="Q12947" s="226"/>
      <c r="R12947" s="226"/>
      <c r="S12947" s="226"/>
      <c r="T12947" s="226"/>
      <c r="U12947" s="226"/>
    </row>
    <row r="12948" spans="16:21" x14ac:dyDescent="0.35">
      <c r="P12948" s="226"/>
      <c r="Q12948" s="226"/>
      <c r="R12948" s="226"/>
      <c r="S12948" s="226"/>
      <c r="T12948" s="226"/>
      <c r="U12948" s="226"/>
    </row>
    <row r="12949" spans="16:21" x14ac:dyDescent="0.35">
      <c r="P12949" s="226"/>
      <c r="Q12949" s="226"/>
      <c r="R12949" s="226"/>
      <c r="S12949" s="226"/>
      <c r="T12949" s="226"/>
      <c r="U12949" s="226"/>
    </row>
    <row r="12950" spans="16:21" x14ac:dyDescent="0.35">
      <c r="P12950" s="226"/>
      <c r="Q12950" s="226"/>
      <c r="R12950" s="226"/>
      <c r="S12950" s="226"/>
      <c r="T12950" s="226"/>
      <c r="U12950" s="226"/>
    </row>
    <row r="12951" spans="16:21" x14ac:dyDescent="0.35">
      <c r="P12951" s="226"/>
      <c r="Q12951" s="226"/>
      <c r="R12951" s="226"/>
      <c r="S12951" s="226"/>
      <c r="T12951" s="226"/>
      <c r="U12951" s="226"/>
    </row>
    <row r="12952" spans="16:21" x14ac:dyDescent="0.35">
      <c r="P12952" s="226"/>
      <c r="Q12952" s="226"/>
      <c r="R12952" s="226"/>
      <c r="S12952" s="226"/>
      <c r="T12952" s="226"/>
      <c r="U12952" s="226"/>
    </row>
    <row r="12953" spans="16:21" x14ac:dyDescent="0.35">
      <c r="P12953" s="226"/>
      <c r="Q12953" s="226"/>
      <c r="R12953" s="226"/>
      <c r="S12953" s="226"/>
      <c r="T12953" s="226"/>
      <c r="U12953" s="226"/>
    </row>
    <row r="12954" spans="16:21" x14ac:dyDescent="0.35">
      <c r="P12954" s="226"/>
      <c r="Q12954" s="226"/>
      <c r="R12954" s="226"/>
      <c r="S12954" s="226"/>
      <c r="T12954" s="226"/>
      <c r="U12954" s="226"/>
    </row>
    <row r="12955" spans="16:21" x14ac:dyDescent="0.35">
      <c r="P12955" s="226"/>
      <c r="Q12955" s="226"/>
      <c r="R12955" s="226"/>
      <c r="S12955" s="226"/>
      <c r="T12955" s="226"/>
      <c r="U12955" s="226"/>
    </row>
    <row r="12956" spans="16:21" x14ac:dyDescent="0.35">
      <c r="P12956" s="226"/>
      <c r="Q12956" s="226"/>
      <c r="R12956" s="226"/>
      <c r="S12956" s="226"/>
      <c r="T12956" s="226"/>
      <c r="U12956" s="226"/>
    </row>
    <row r="12957" spans="16:21" x14ac:dyDescent="0.35">
      <c r="P12957" s="226"/>
      <c r="Q12957" s="226"/>
      <c r="R12957" s="226"/>
      <c r="S12957" s="226"/>
      <c r="T12957" s="226"/>
      <c r="U12957" s="226"/>
    </row>
    <row r="12958" spans="16:21" x14ac:dyDescent="0.35">
      <c r="P12958" s="226"/>
      <c r="Q12958" s="226"/>
      <c r="R12958" s="226"/>
      <c r="S12958" s="226"/>
      <c r="T12958" s="226"/>
      <c r="U12958" s="226"/>
    </row>
    <row r="12959" spans="16:21" x14ac:dyDescent="0.35">
      <c r="P12959" s="226"/>
      <c r="Q12959" s="226"/>
      <c r="R12959" s="226"/>
      <c r="S12959" s="226"/>
      <c r="T12959" s="226"/>
      <c r="U12959" s="226"/>
    </row>
    <row r="12960" spans="16:21" x14ac:dyDescent="0.35">
      <c r="P12960" s="226"/>
      <c r="Q12960" s="226"/>
      <c r="R12960" s="226"/>
      <c r="S12960" s="226"/>
      <c r="T12960" s="226"/>
      <c r="U12960" s="226"/>
    </row>
    <row r="12961" spans="16:21" x14ac:dyDescent="0.35">
      <c r="P12961" s="226"/>
      <c r="Q12961" s="226"/>
      <c r="R12961" s="226"/>
      <c r="S12961" s="226"/>
      <c r="T12961" s="226"/>
      <c r="U12961" s="226"/>
    </row>
    <row r="12962" spans="16:21" x14ac:dyDescent="0.35">
      <c r="P12962" s="226"/>
      <c r="Q12962" s="226"/>
      <c r="R12962" s="226"/>
      <c r="S12962" s="226"/>
      <c r="T12962" s="226"/>
      <c r="U12962" s="226"/>
    </row>
    <row r="12963" spans="16:21" x14ac:dyDescent="0.35">
      <c r="P12963" s="226"/>
      <c r="Q12963" s="226"/>
      <c r="R12963" s="226"/>
      <c r="S12963" s="226"/>
      <c r="T12963" s="226"/>
      <c r="U12963" s="226"/>
    </row>
    <row r="12964" spans="16:21" x14ac:dyDescent="0.35">
      <c r="P12964" s="226"/>
      <c r="Q12964" s="226"/>
      <c r="R12964" s="226"/>
      <c r="S12964" s="226"/>
      <c r="T12964" s="226"/>
      <c r="U12964" s="226"/>
    </row>
    <row r="12965" spans="16:21" x14ac:dyDescent="0.35">
      <c r="P12965" s="226"/>
      <c r="Q12965" s="226"/>
      <c r="R12965" s="226"/>
      <c r="S12965" s="226"/>
      <c r="T12965" s="226"/>
      <c r="U12965" s="226"/>
    </row>
    <row r="12966" spans="16:21" x14ac:dyDescent="0.35">
      <c r="P12966" s="226"/>
      <c r="Q12966" s="226"/>
      <c r="R12966" s="226"/>
      <c r="S12966" s="226"/>
      <c r="T12966" s="226"/>
      <c r="U12966" s="226"/>
    </row>
    <row r="12967" spans="16:21" x14ac:dyDescent="0.35">
      <c r="P12967" s="226"/>
      <c r="Q12967" s="226"/>
      <c r="R12967" s="226"/>
      <c r="S12967" s="226"/>
      <c r="T12967" s="226"/>
      <c r="U12967" s="226"/>
    </row>
    <row r="12968" spans="16:21" x14ac:dyDescent="0.35">
      <c r="P12968" s="226"/>
      <c r="Q12968" s="226"/>
      <c r="R12968" s="226"/>
      <c r="S12968" s="226"/>
      <c r="T12968" s="226"/>
      <c r="U12968" s="226"/>
    </row>
    <row r="12969" spans="16:21" x14ac:dyDescent="0.35">
      <c r="P12969" s="226"/>
      <c r="Q12969" s="226"/>
      <c r="R12969" s="226"/>
      <c r="S12969" s="226"/>
      <c r="T12969" s="226"/>
      <c r="U12969" s="226"/>
    </row>
    <row r="12970" spans="16:21" x14ac:dyDescent="0.35">
      <c r="P12970" s="226"/>
      <c r="Q12970" s="226"/>
      <c r="R12970" s="226"/>
      <c r="S12970" s="226"/>
      <c r="T12970" s="226"/>
      <c r="U12970" s="226"/>
    </row>
    <row r="12971" spans="16:21" x14ac:dyDescent="0.35">
      <c r="P12971" s="226"/>
      <c r="Q12971" s="226"/>
      <c r="R12971" s="226"/>
      <c r="S12971" s="226"/>
      <c r="T12971" s="226"/>
      <c r="U12971" s="226"/>
    </row>
    <row r="12972" spans="16:21" x14ac:dyDescent="0.35">
      <c r="P12972" s="226"/>
      <c r="Q12972" s="226"/>
      <c r="R12972" s="226"/>
      <c r="S12972" s="226"/>
      <c r="T12972" s="226"/>
      <c r="U12972" s="226"/>
    </row>
    <row r="12973" spans="16:21" x14ac:dyDescent="0.35">
      <c r="P12973" s="226"/>
      <c r="Q12973" s="226"/>
      <c r="R12973" s="226"/>
      <c r="S12973" s="226"/>
      <c r="T12973" s="226"/>
      <c r="U12973" s="226"/>
    </row>
    <row r="12974" spans="16:21" x14ac:dyDescent="0.35">
      <c r="P12974" s="226"/>
      <c r="Q12974" s="226"/>
      <c r="R12974" s="226"/>
      <c r="S12974" s="226"/>
      <c r="T12974" s="226"/>
      <c r="U12974" s="226"/>
    </row>
    <row r="12975" spans="16:21" x14ac:dyDescent="0.35">
      <c r="P12975" s="226"/>
      <c r="Q12975" s="226"/>
      <c r="R12975" s="226"/>
      <c r="S12975" s="226"/>
      <c r="T12975" s="226"/>
      <c r="U12975" s="226"/>
    </row>
    <row r="12976" spans="16:21" x14ac:dyDescent="0.35">
      <c r="P12976" s="226"/>
      <c r="Q12976" s="226"/>
      <c r="R12976" s="226"/>
      <c r="S12976" s="226"/>
      <c r="T12976" s="226"/>
      <c r="U12976" s="226"/>
    </row>
    <row r="12977" spans="16:21" x14ac:dyDescent="0.35">
      <c r="P12977" s="226"/>
      <c r="Q12977" s="226"/>
      <c r="R12977" s="226"/>
      <c r="S12977" s="226"/>
      <c r="T12977" s="226"/>
      <c r="U12977" s="226"/>
    </row>
    <row r="12978" spans="16:21" x14ac:dyDescent="0.35">
      <c r="P12978" s="226"/>
      <c r="Q12978" s="226"/>
      <c r="R12978" s="226"/>
      <c r="S12978" s="226"/>
      <c r="T12978" s="226"/>
      <c r="U12978" s="226"/>
    </row>
    <row r="12979" spans="16:21" x14ac:dyDescent="0.35">
      <c r="P12979" s="226"/>
      <c r="Q12979" s="226"/>
      <c r="R12979" s="226"/>
      <c r="S12979" s="226"/>
      <c r="T12979" s="226"/>
      <c r="U12979" s="226"/>
    </row>
    <row r="12980" spans="16:21" x14ac:dyDescent="0.35">
      <c r="P12980" s="226"/>
      <c r="Q12980" s="226"/>
      <c r="R12980" s="226"/>
      <c r="S12980" s="226"/>
      <c r="T12980" s="226"/>
      <c r="U12980" s="226"/>
    </row>
    <row r="12981" spans="16:21" x14ac:dyDescent="0.35">
      <c r="P12981" s="226"/>
      <c r="Q12981" s="226"/>
      <c r="R12981" s="226"/>
      <c r="S12981" s="226"/>
      <c r="T12981" s="226"/>
      <c r="U12981" s="226"/>
    </row>
    <row r="12982" spans="16:21" x14ac:dyDescent="0.35">
      <c r="P12982" s="226"/>
      <c r="Q12982" s="226"/>
      <c r="R12982" s="226"/>
      <c r="S12982" s="226"/>
      <c r="T12982" s="226"/>
      <c r="U12982" s="226"/>
    </row>
    <row r="12983" spans="16:21" x14ac:dyDescent="0.35">
      <c r="P12983" s="226"/>
      <c r="Q12983" s="226"/>
      <c r="R12983" s="226"/>
      <c r="S12983" s="226"/>
      <c r="T12983" s="226"/>
      <c r="U12983" s="226"/>
    </row>
    <row r="12984" spans="16:21" x14ac:dyDescent="0.35">
      <c r="P12984" s="226"/>
      <c r="Q12984" s="226"/>
      <c r="R12984" s="226"/>
      <c r="S12984" s="226"/>
      <c r="T12984" s="226"/>
      <c r="U12984" s="226"/>
    </row>
    <row r="12985" spans="16:21" x14ac:dyDescent="0.35">
      <c r="P12985" s="226"/>
      <c r="Q12985" s="226"/>
      <c r="R12985" s="226"/>
      <c r="S12985" s="226"/>
      <c r="T12985" s="226"/>
      <c r="U12985" s="226"/>
    </row>
    <row r="12986" spans="16:21" x14ac:dyDescent="0.35">
      <c r="P12986" s="226"/>
      <c r="Q12986" s="226"/>
      <c r="R12986" s="226"/>
      <c r="S12986" s="226"/>
      <c r="T12986" s="226"/>
      <c r="U12986" s="226"/>
    </row>
    <row r="12987" spans="16:21" x14ac:dyDescent="0.35">
      <c r="P12987" s="226"/>
      <c r="Q12987" s="226"/>
      <c r="R12987" s="226"/>
      <c r="S12987" s="226"/>
      <c r="T12987" s="226"/>
      <c r="U12987" s="226"/>
    </row>
    <row r="12988" spans="16:21" x14ac:dyDescent="0.35">
      <c r="P12988" s="226"/>
      <c r="Q12988" s="226"/>
      <c r="R12988" s="226"/>
      <c r="S12988" s="226"/>
      <c r="T12988" s="226"/>
      <c r="U12988" s="226"/>
    </row>
    <row r="12989" spans="16:21" x14ac:dyDescent="0.35">
      <c r="P12989" s="226"/>
      <c r="Q12989" s="226"/>
      <c r="R12989" s="226"/>
      <c r="S12989" s="226"/>
      <c r="T12989" s="226"/>
      <c r="U12989" s="226"/>
    </row>
    <row r="12990" spans="16:21" x14ac:dyDescent="0.35">
      <c r="P12990" s="226"/>
      <c r="Q12990" s="226"/>
      <c r="R12990" s="226"/>
      <c r="S12990" s="226"/>
      <c r="T12990" s="226"/>
      <c r="U12990" s="226"/>
    </row>
    <row r="12991" spans="16:21" x14ac:dyDescent="0.35">
      <c r="P12991" s="226"/>
      <c r="Q12991" s="226"/>
      <c r="R12991" s="226"/>
      <c r="S12991" s="226"/>
      <c r="T12991" s="226"/>
      <c r="U12991" s="226"/>
    </row>
    <row r="12992" spans="16:21" x14ac:dyDescent="0.35">
      <c r="P12992" s="226"/>
      <c r="Q12992" s="226"/>
      <c r="R12992" s="226"/>
      <c r="S12992" s="226"/>
      <c r="T12992" s="226"/>
      <c r="U12992" s="226"/>
    </row>
    <row r="12993" spans="16:21" x14ac:dyDescent="0.35">
      <c r="P12993" s="226"/>
      <c r="Q12993" s="226"/>
      <c r="R12993" s="226"/>
      <c r="S12993" s="226"/>
      <c r="T12993" s="226"/>
      <c r="U12993" s="226"/>
    </row>
    <row r="12994" spans="16:21" x14ac:dyDescent="0.35">
      <c r="P12994" s="226"/>
      <c r="Q12994" s="226"/>
      <c r="R12994" s="226"/>
      <c r="S12994" s="226"/>
      <c r="T12994" s="226"/>
      <c r="U12994" s="226"/>
    </row>
    <row r="12995" spans="16:21" x14ac:dyDescent="0.35">
      <c r="P12995" s="226"/>
      <c r="Q12995" s="226"/>
      <c r="R12995" s="226"/>
      <c r="S12995" s="226"/>
      <c r="T12995" s="226"/>
      <c r="U12995" s="226"/>
    </row>
    <row r="12996" spans="16:21" x14ac:dyDescent="0.35">
      <c r="P12996" s="226"/>
      <c r="Q12996" s="226"/>
      <c r="R12996" s="226"/>
      <c r="S12996" s="226"/>
      <c r="T12996" s="226"/>
      <c r="U12996" s="226"/>
    </row>
    <row r="12997" spans="16:21" x14ac:dyDescent="0.35">
      <c r="P12997" s="226"/>
      <c r="Q12997" s="226"/>
      <c r="R12997" s="226"/>
      <c r="S12997" s="226"/>
      <c r="T12997" s="226"/>
      <c r="U12997" s="226"/>
    </row>
    <row r="12998" spans="16:21" x14ac:dyDescent="0.35">
      <c r="P12998" s="226"/>
      <c r="Q12998" s="226"/>
      <c r="R12998" s="226"/>
      <c r="S12998" s="226"/>
      <c r="T12998" s="226"/>
      <c r="U12998" s="226"/>
    </row>
    <row r="12999" spans="16:21" x14ac:dyDescent="0.35">
      <c r="P12999" s="226"/>
      <c r="Q12999" s="226"/>
      <c r="R12999" s="226"/>
      <c r="S12999" s="226"/>
      <c r="T12999" s="226"/>
      <c r="U12999" s="226"/>
    </row>
    <row r="13000" spans="16:21" x14ac:dyDescent="0.35">
      <c r="P13000" s="226"/>
      <c r="Q13000" s="226"/>
      <c r="R13000" s="226"/>
      <c r="S13000" s="226"/>
      <c r="T13000" s="226"/>
      <c r="U13000" s="226"/>
    </row>
    <row r="13001" spans="16:21" x14ac:dyDescent="0.35">
      <c r="P13001" s="226"/>
      <c r="Q13001" s="226"/>
      <c r="R13001" s="226"/>
      <c r="S13001" s="226"/>
      <c r="T13001" s="226"/>
      <c r="U13001" s="226"/>
    </row>
    <row r="13002" spans="16:21" x14ac:dyDescent="0.35">
      <c r="P13002" s="226"/>
      <c r="Q13002" s="226"/>
      <c r="R13002" s="226"/>
      <c r="S13002" s="226"/>
      <c r="T13002" s="226"/>
      <c r="U13002" s="226"/>
    </row>
    <row r="13003" spans="16:21" x14ac:dyDescent="0.35">
      <c r="P13003" s="226"/>
      <c r="Q13003" s="226"/>
      <c r="R13003" s="226"/>
      <c r="S13003" s="226"/>
      <c r="T13003" s="226"/>
      <c r="U13003" s="226"/>
    </row>
    <row r="13004" spans="16:21" x14ac:dyDescent="0.35">
      <c r="P13004" s="226"/>
      <c r="Q13004" s="226"/>
      <c r="R13004" s="226"/>
      <c r="S13004" s="226"/>
      <c r="T13004" s="226"/>
      <c r="U13004" s="226"/>
    </row>
    <row r="13005" spans="16:21" x14ac:dyDescent="0.35">
      <c r="P13005" s="226"/>
      <c r="Q13005" s="226"/>
      <c r="R13005" s="226"/>
      <c r="S13005" s="226"/>
      <c r="T13005" s="226"/>
      <c r="U13005" s="226"/>
    </row>
    <row r="13006" spans="16:21" x14ac:dyDescent="0.35">
      <c r="P13006" s="226"/>
      <c r="Q13006" s="226"/>
      <c r="R13006" s="226"/>
      <c r="S13006" s="226"/>
      <c r="T13006" s="226"/>
      <c r="U13006" s="226"/>
    </row>
    <row r="13007" spans="16:21" x14ac:dyDescent="0.35">
      <c r="P13007" s="226"/>
      <c r="Q13007" s="226"/>
      <c r="R13007" s="226"/>
      <c r="S13007" s="226"/>
      <c r="T13007" s="226"/>
      <c r="U13007" s="226"/>
    </row>
    <row r="13008" spans="16:21" x14ac:dyDescent="0.35">
      <c r="P13008" s="226"/>
      <c r="Q13008" s="226"/>
      <c r="R13008" s="226"/>
      <c r="S13008" s="226"/>
      <c r="T13008" s="226"/>
      <c r="U13008" s="226"/>
    </row>
    <row r="13009" spans="16:21" x14ac:dyDescent="0.35">
      <c r="P13009" s="226"/>
      <c r="Q13009" s="226"/>
      <c r="R13009" s="226"/>
      <c r="S13009" s="226"/>
      <c r="T13009" s="226"/>
      <c r="U13009" s="226"/>
    </row>
    <row r="13010" spans="16:21" x14ac:dyDescent="0.35">
      <c r="P13010" s="226"/>
      <c r="Q13010" s="226"/>
      <c r="R13010" s="226"/>
      <c r="S13010" s="226"/>
      <c r="T13010" s="226"/>
      <c r="U13010" s="226"/>
    </row>
    <row r="13011" spans="16:21" x14ac:dyDescent="0.35">
      <c r="P13011" s="226"/>
      <c r="Q13011" s="226"/>
      <c r="R13011" s="226"/>
      <c r="S13011" s="226"/>
      <c r="T13011" s="226"/>
      <c r="U13011" s="226"/>
    </row>
    <row r="13012" spans="16:21" x14ac:dyDescent="0.35">
      <c r="P13012" s="226"/>
      <c r="Q13012" s="226"/>
      <c r="R13012" s="226"/>
      <c r="S13012" s="226"/>
      <c r="T13012" s="226"/>
      <c r="U13012" s="226"/>
    </row>
    <row r="13013" spans="16:21" x14ac:dyDescent="0.35">
      <c r="P13013" s="226"/>
      <c r="Q13013" s="226"/>
      <c r="R13013" s="226"/>
      <c r="S13013" s="226"/>
      <c r="T13013" s="226"/>
      <c r="U13013" s="226"/>
    </row>
    <row r="13014" spans="16:21" x14ac:dyDescent="0.35">
      <c r="P13014" s="226"/>
      <c r="Q13014" s="226"/>
      <c r="R13014" s="226"/>
      <c r="S13014" s="226"/>
      <c r="T13014" s="226"/>
      <c r="U13014" s="226"/>
    </row>
    <row r="13015" spans="16:21" x14ac:dyDescent="0.35">
      <c r="P13015" s="226"/>
      <c r="Q13015" s="226"/>
      <c r="R13015" s="226"/>
      <c r="S13015" s="226"/>
      <c r="T13015" s="226"/>
      <c r="U13015" s="226"/>
    </row>
    <row r="13016" spans="16:21" x14ac:dyDescent="0.35">
      <c r="P13016" s="226"/>
      <c r="Q13016" s="226"/>
      <c r="R13016" s="226"/>
      <c r="S13016" s="226"/>
      <c r="T13016" s="226"/>
      <c r="U13016" s="226"/>
    </row>
    <row r="13017" spans="16:21" x14ac:dyDescent="0.35">
      <c r="P13017" s="226"/>
      <c r="Q13017" s="226"/>
      <c r="R13017" s="226"/>
      <c r="S13017" s="226"/>
      <c r="T13017" s="226"/>
      <c r="U13017" s="226"/>
    </row>
    <row r="13018" spans="16:21" x14ac:dyDescent="0.35">
      <c r="P13018" s="226"/>
      <c r="Q13018" s="226"/>
      <c r="R13018" s="226"/>
      <c r="S13018" s="226"/>
      <c r="T13018" s="226"/>
      <c r="U13018" s="226"/>
    </row>
    <row r="13019" spans="16:21" x14ac:dyDescent="0.35">
      <c r="P13019" s="226"/>
      <c r="Q13019" s="226"/>
      <c r="R13019" s="226"/>
      <c r="S13019" s="226"/>
      <c r="T13019" s="226"/>
      <c r="U13019" s="226"/>
    </row>
    <row r="13020" spans="16:21" x14ac:dyDescent="0.35">
      <c r="P13020" s="226"/>
      <c r="Q13020" s="226"/>
      <c r="R13020" s="226"/>
      <c r="S13020" s="226"/>
      <c r="T13020" s="226"/>
      <c r="U13020" s="226"/>
    </row>
    <row r="13021" spans="16:21" x14ac:dyDescent="0.35">
      <c r="P13021" s="226"/>
      <c r="Q13021" s="226"/>
      <c r="R13021" s="226"/>
      <c r="S13021" s="226"/>
      <c r="T13021" s="226"/>
      <c r="U13021" s="226"/>
    </row>
    <row r="13022" spans="16:21" x14ac:dyDescent="0.35">
      <c r="P13022" s="226"/>
      <c r="Q13022" s="226"/>
      <c r="R13022" s="226"/>
      <c r="S13022" s="226"/>
      <c r="T13022" s="226"/>
      <c r="U13022" s="226"/>
    </row>
    <row r="13023" spans="16:21" x14ac:dyDescent="0.35">
      <c r="P13023" s="226"/>
      <c r="Q13023" s="226"/>
      <c r="R13023" s="226"/>
      <c r="S13023" s="226"/>
      <c r="T13023" s="226"/>
      <c r="U13023" s="226"/>
    </row>
    <row r="13024" spans="16:21" x14ac:dyDescent="0.35">
      <c r="P13024" s="226"/>
      <c r="Q13024" s="226"/>
      <c r="R13024" s="226"/>
      <c r="S13024" s="226"/>
      <c r="T13024" s="226"/>
      <c r="U13024" s="226"/>
    </row>
    <row r="13025" spans="16:21" x14ac:dyDescent="0.35">
      <c r="P13025" s="226"/>
      <c r="Q13025" s="226"/>
      <c r="R13025" s="226"/>
      <c r="S13025" s="226"/>
      <c r="T13025" s="226"/>
      <c r="U13025" s="226"/>
    </row>
    <row r="13026" spans="16:21" x14ac:dyDescent="0.35">
      <c r="P13026" s="226"/>
      <c r="Q13026" s="226"/>
      <c r="R13026" s="226"/>
      <c r="S13026" s="226"/>
      <c r="T13026" s="226"/>
      <c r="U13026" s="226"/>
    </row>
    <row r="13027" spans="16:21" x14ac:dyDescent="0.35">
      <c r="P13027" s="226"/>
      <c r="Q13027" s="226"/>
      <c r="R13027" s="226"/>
      <c r="S13027" s="226"/>
      <c r="T13027" s="226"/>
      <c r="U13027" s="226"/>
    </row>
    <row r="13028" spans="16:21" x14ac:dyDescent="0.35">
      <c r="P13028" s="226"/>
      <c r="Q13028" s="226"/>
      <c r="R13028" s="226"/>
      <c r="S13028" s="226"/>
      <c r="T13028" s="226"/>
      <c r="U13028" s="226"/>
    </row>
    <row r="13029" spans="16:21" x14ac:dyDescent="0.35">
      <c r="P13029" s="226"/>
      <c r="Q13029" s="226"/>
      <c r="R13029" s="226"/>
      <c r="S13029" s="226"/>
      <c r="T13029" s="226"/>
      <c r="U13029" s="226"/>
    </row>
    <row r="13030" spans="16:21" x14ac:dyDescent="0.35">
      <c r="P13030" s="226"/>
      <c r="Q13030" s="226"/>
      <c r="R13030" s="226"/>
      <c r="S13030" s="226"/>
      <c r="T13030" s="226"/>
      <c r="U13030" s="226"/>
    </row>
    <row r="13031" spans="16:21" x14ac:dyDescent="0.35">
      <c r="P13031" s="226"/>
      <c r="Q13031" s="226"/>
      <c r="R13031" s="226"/>
      <c r="S13031" s="226"/>
      <c r="T13031" s="226"/>
      <c r="U13031" s="226"/>
    </row>
    <row r="13032" spans="16:21" x14ac:dyDescent="0.35">
      <c r="P13032" s="226"/>
      <c r="Q13032" s="226"/>
      <c r="R13032" s="226"/>
      <c r="S13032" s="226"/>
      <c r="T13032" s="226"/>
      <c r="U13032" s="226"/>
    </row>
    <row r="13033" spans="16:21" x14ac:dyDescent="0.35">
      <c r="P13033" s="226"/>
      <c r="Q13033" s="226"/>
      <c r="R13033" s="226"/>
      <c r="S13033" s="226"/>
      <c r="T13033" s="226"/>
      <c r="U13033" s="226"/>
    </row>
    <row r="13034" spans="16:21" x14ac:dyDescent="0.35">
      <c r="P13034" s="226"/>
      <c r="Q13034" s="226"/>
      <c r="R13034" s="226"/>
      <c r="S13034" s="226"/>
      <c r="T13034" s="226"/>
      <c r="U13034" s="226"/>
    </row>
    <row r="13035" spans="16:21" x14ac:dyDescent="0.35">
      <c r="P13035" s="226"/>
      <c r="Q13035" s="226"/>
      <c r="R13035" s="226"/>
      <c r="S13035" s="226"/>
      <c r="T13035" s="226"/>
      <c r="U13035" s="226"/>
    </row>
    <row r="13036" spans="16:21" x14ac:dyDescent="0.35">
      <c r="P13036" s="226"/>
      <c r="Q13036" s="226"/>
      <c r="R13036" s="226"/>
      <c r="S13036" s="226"/>
      <c r="T13036" s="226"/>
      <c r="U13036" s="226"/>
    </row>
    <row r="13037" spans="16:21" x14ac:dyDescent="0.35">
      <c r="P13037" s="226"/>
      <c r="Q13037" s="226"/>
      <c r="R13037" s="226"/>
      <c r="S13037" s="226"/>
      <c r="T13037" s="226"/>
      <c r="U13037" s="226"/>
    </row>
    <row r="13038" spans="16:21" x14ac:dyDescent="0.35">
      <c r="P13038" s="226"/>
      <c r="Q13038" s="226"/>
      <c r="R13038" s="226"/>
      <c r="S13038" s="226"/>
      <c r="T13038" s="226"/>
      <c r="U13038" s="226"/>
    </row>
    <row r="13039" spans="16:21" x14ac:dyDescent="0.35">
      <c r="P13039" s="226"/>
      <c r="Q13039" s="226"/>
      <c r="R13039" s="226"/>
      <c r="S13039" s="226"/>
      <c r="T13039" s="226"/>
      <c r="U13039" s="226"/>
    </row>
    <row r="13040" spans="16:21" x14ac:dyDescent="0.35">
      <c r="P13040" s="226"/>
      <c r="Q13040" s="226"/>
      <c r="R13040" s="226"/>
      <c r="S13040" s="226"/>
      <c r="T13040" s="226"/>
      <c r="U13040" s="226"/>
    </row>
    <row r="13041" spans="16:21" x14ac:dyDescent="0.35">
      <c r="P13041" s="226"/>
      <c r="Q13041" s="226"/>
      <c r="R13041" s="226"/>
      <c r="S13041" s="226"/>
      <c r="T13041" s="226"/>
      <c r="U13041" s="226"/>
    </row>
    <row r="13042" spans="16:21" x14ac:dyDescent="0.35">
      <c r="P13042" s="226"/>
      <c r="Q13042" s="226"/>
      <c r="R13042" s="226"/>
      <c r="S13042" s="226"/>
      <c r="T13042" s="226"/>
      <c r="U13042" s="226"/>
    </row>
    <row r="13043" spans="16:21" x14ac:dyDescent="0.35">
      <c r="P13043" s="226"/>
      <c r="Q13043" s="226"/>
      <c r="R13043" s="226"/>
      <c r="S13043" s="226"/>
      <c r="T13043" s="226"/>
      <c r="U13043" s="226"/>
    </row>
    <row r="13044" spans="16:21" x14ac:dyDescent="0.35">
      <c r="P13044" s="226"/>
      <c r="Q13044" s="226"/>
      <c r="R13044" s="226"/>
      <c r="S13044" s="226"/>
      <c r="T13044" s="226"/>
      <c r="U13044" s="226"/>
    </row>
    <row r="13045" spans="16:21" x14ac:dyDescent="0.35">
      <c r="P13045" s="226"/>
      <c r="Q13045" s="226"/>
      <c r="R13045" s="226"/>
      <c r="S13045" s="226"/>
      <c r="T13045" s="226"/>
      <c r="U13045" s="226"/>
    </row>
    <row r="13046" spans="16:21" x14ac:dyDescent="0.35">
      <c r="P13046" s="226"/>
      <c r="Q13046" s="226"/>
      <c r="R13046" s="226"/>
      <c r="S13046" s="226"/>
      <c r="T13046" s="226"/>
      <c r="U13046" s="226"/>
    </row>
    <row r="13047" spans="16:21" x14ac:dyDescent="0.35">
      <c r="P13047" s="226"/>
      <c r="Q13047" s="226"/>
      <c r="R13047" s="226"/>
      <c r="S13047" s="226"/>
      <c r="T13047" s="226"/>
      <c r="U13047" s="226"/>
    </row>
    <row r="13048" spans="16:21" x14ac:dyDescent="0.35">
      <c r="P13048" s="226"/>
      <c r="Q13048" s="226"/>
      <c r="R13048" s="226"/>
      <c r="S13048" s="226"/>
      <c r="T13048" s="226"/>
      <c r="U13048" s="226"/>
    </row>
    <row r="13049" spans="16:21" x14ac:dyDescent="0.35">
      <c r="P13049" s="226"/>
      <c r="Q13049" s="226"/>
      <c r="R13049" s="226"/>
      <c r="S13049" s="226"/>
      <c r="T13049" s="226"/>
      <c r="U13049" s="226"/>
    </row>
    <row r="13050" spans="16:21" x14ac:dyDescent="0.35">
      <c r="P13050" s="226"/>
      <c r="Q13050" s="226"/>
      <c r="R13050" s="226"/>
      <c r="S13050" s="226"/>
      <c r="T13050" s="226"/>
      <c r="U13050" s="226"/>
    </row>
    <row r="13051" spans="16:21" x14ac:dyDescent="0.35">
      <c r="P13051" s="226"/>
      <c r="Q13051" s="226"/>
      <c r="R13051" s="226"/>
      <c r="S13051" s="226"/>
      <c r="T13051" s="226"/>
      <c r="U13051" s="226"/>
    </row>
    <row r="13052" spans="16:21" x14ac:dyDescent="0.35">
      <c r="P13052" s="226"/>
      <c r="Q13052" s="226"/>
      <c r="R13052" s="226"/>
      <c r="S13052" s="226"/>
      <c r="T13052" s="226"/>
      <c r="U13052" s="226"/>
    </row>
    <row r="13053" spans="16:21" x14ac:dyDescent="0.35">
      <c r="P13053" s="226"/>
      <c r="Q13053" s="226"/>
      <c r="R13053" s="226"/>
      <c r="S13053" s="226"/>
      <c r="T13053" s="226"/>
      <c r="U13053" s="226"/>
    </row>
    <row r="13054" spans="16:21" x14ac:dyDescent="0.35">
      <c r="P13054" s="226"/>
      <c r="Q13054" s="226"/>
      <c r="R13054" s="226"/>
      <c r="S13054" s="226"/>
      <c r="T13054" s="226"/>
      <c r="U13054" s="226"/>
    </row>
    <row r="13055" spans="16:21" x14ac:dyDescent="0.35">
      <c r="P13055" s="226"/>
      <c r="Q13055" s="226"/>
      <c r="R13055" s="226"/>
      <c r="S13055" s="226"/>
      <c r="T13055" s="226"/>
      <c r="U13055" s="226"/>
    </row>
    <row r="13056" spans="16:21" x14ac:dyDescent="0.35">
      <c r="P13056" s="226"/>
      <c r="Q13056" s="226"/>
      <c r="R13056" s="226"/>
      <c r="S13056" s="226"/>
      <c r="T13056" s="226"/>
      <c r="U13056" s="226"/>
    </row>
    <row r="13057" spans="16:21" x14ac:dyDescent="0.35">
      <c r="P13057" s="226"/>
      <c r="Q13057" s="226"/>
      <c r="R13057" s="226"/>
      <c r="S13057" s="226"/>
      <c r="T13057" s="226"/>
      <c r="U13057" s="226"/>
    </row>
    <row r="13058" spans="16:21" x14ac:dyDescent="0.35">
      <c r="P13058" s="226"/>
      <c r="Q13058" s="226"/>
      <c r="R13058" s="226"/>
      <c r="S13058" s="226"/>
      <c r="T13058" s="226"/>
      <c r="U13058" s="226"/>
    </row>
    <row r="13059" spans="16:21" x14ac:dyDescent="0.35">
      <c r="P13059" s="226"/>
      <c r="Q13059" s="226"/>
      <c r="R13059" s="226"/>
      <c r="S13059" s="226"/>
      <c r="T13059" s="226"/>
      <c r="U13059" s="226"/>
    </row>
    <row r="13060" spans="16:21" x14ac:dyDescent="0.35">
      <c r="P13060" s="226"/>
      <c r="Q13060" s="226"/>
      <c r="R13060" s="226"/>
      <c r="S13060" s="226"/>
      <c r="T13060" s="226"/>
      <c r="U13060" s="226"/>
    </row>
    <row r="13061" spans="16:21" x14ac:dyDescent="0.35">
      <c r="P13061" s="226"/>
      <c r="Q13061" s="226"/>
      <c r="R13061" s="226"/>
      <c r="S13061" s="226"/>
      <c r="T13061" s="226"/>
      <c r="U13061" s="226"/>
    </row>
    <row r="13062" spans="16:21" x14ac:dyDescent="0.35">
      <c r="P13062" s="226"/>
      <c r="Q13062" s="226"/>
      <c r="R13062" s="226"/>
      <c r="S13062" s="226"/>
      <c r="T13062" s="226"/>
      <c r="U13062" s="226"/>
    </row>
    <row r="13063" spans="16:21" x14ac:dyDescent="0.35">
      <c r="P13063" s="226"/>
      <c r="Q13063" s="226"/>
      <c r="R13063" s="226"/>
      <c r="S13063" s="226"/>
      <c r="T13063" s="226"/>
      <c r="U13063" s="226"/>
    </row>
    <row r="13064" spans="16:21" x14ac:dyDescent="0.35">
      <c r="P13064" s="226"/>
      <c r="Q13064" s="226"/>
      <c r="R13064" s="226"/>
      <c r="S13064" s="226"/>
      <c r="T13064" s="226"/>
      <c r="U13064" s="226"/>
    </row>
    <row r="13065" spans="16:21" x14ac:dyDescent="0.35">
      <c r="P13065" s="226"/>
      <c r="Q13065" s="226"/>
      <c r="R13065" s="226"/>
      <c r="S13065" s="226"/>
      <c r="T13065" s="226"/>
      <c r="U13065" s="226"/>
    </row>
    <row r="13066" spans="16:21" x14ac:dyDescent="0.35">
      <c r="P13066" s="226"/>
      <c r="Q13066" s="226"/>
      <c r="R13066" s="226"/>
      <c r="S13066" s="226"/>
      <c r="T13066" s="226"/>
      <c r="U13066" s="226"/>
    </row>
    <row r="13067" spans="16:21" x14ac:dyDescent="0.35">
      <c r="P13067" s="226"/>
      <c r="Q13067" s="226"/>
      <c r="R13067" s="226"/>
      <c r="S13067" s="226"/>
      <c r="T13067" s="226"/>
      <c r="U13067" s="226"/>
    </row>
    <row r="13068" spans="16:21" x14ac:dyDescent="0.35">
      <c r="P13068" s="226"/>
      <c r="Q13068" s="226"/>
      <c r="R13068" s="226"/>
      <c r="S13068" s="226"/>
      <c r="T13068" s="226"/>
      <c r="U13068" s="226"/>
    </row>
    <row r="13069" spans="16:21" x14ac:dyDescent="0.35">
      <c r="P13069" s="226"/>
      <c r="Q13069" s="226"/>
      <c r="R13069" s="226"/>
      <c r="S13069" s="226"/>
      <c r="T13069" s="226"/>
      <c r="U13069" s="226"/>
    </row>
    <row r="13070" spans="16:21" x14ac:dyDescent="0.35">
      <c r="P13070" s="226"/>
      <c r="Q13070" s="226"/>
      <c r="R13070" s="226"/>
      <c r="S13070" s="226"/>
      <c r="T13070" s="226"/>
      <c r="U13070" s="226"/>
    </row>
    <row r="13071" spans="16:21" x14ac:dyDescent="0.35">
      <c r="P13071" s="226"/>
      <c r="Q13071" s="226"/>
      <c r="R13071" s="226"/>
      <c r="S13071" s="226"/>
      <c r="T13071" s="226"/>
      <c r="U13071" s="226"/>
    </row>
    <row r="13072" spans="16:21" x14ac:dyDescent="0.35">
      <c r="P13072" s="226"/>
      <c r="Q13072" s="226"/>
      <c r="R13072" s="226"/>
      <c r="S13072" s="226"/>
      <c r="T13072" s="226"/>
      <c r="U13072" s="226"/>
    </row>
    <row r="13073" spans="16:21" x14ac:dyDescent="0.35">
      <c r="P13073" s="226"/>
      <c r="Q13073" s="226"/>
      <c r="R13073" s="226"/>
      <c r="S13073" s="226"/>
      <c r="T13073" s="226"/>
      <c r="U13073" s="226"/>
    </row>
    <row r="13074" spans="16:21" x14ac:dyDescent="0.35">
      <c r="P13074" s="226"/>
      <c r="Q13074" s="226"/>
      <c r="R13074" s="226"/>
      <c r="S13074" s="226"/>
      <c r="T13074" s="226"/>
      <c r="U13074" s="226"/>
    </row>
    <row r="13075" spans="16:21" x14ac:dyDescent="0.35">
      <c r="P13075" s="226"/>
      <c r="Q13075" s="226"/>
      <c r="R13075" s="226"/>
      <c r="S13075" s="226"/>
      <c r="T13075" s="226"/>
      <c r="U13075" s="226"/>
    </row>
    <row r="13076" spans="16:21" x14ac:dyDescent="0.35">
      <c r="P13076" s="226"/>
      <c r="Q13076" s="226"/>
      <c r="R13076" s="226"/>
      <c r="S13076" s="226"/>
      <c r="T13076" s="226"/>
      <c r="U13076" s="226"/>
    </row>
    <row r="13077" spans="16:21" x14ac:dyDescent="0.35">
      <c r="P13077" s="226"/>
      <c r="Q13077" s="226"/>
      <c r="R13077" s="226"/>
      <c r="S13077" s="226"/>
      <c r="T13077" s="226"/>
      <c r="U13077" s="226"/>
    </row>
    <row r="13078" spans="16:21" x14ac:dyDescent="0.35">
      <c r="P13078" s="226"/>
      <c r="Q13078" s="226"/>
      <c r="R13078" s="226"/>
      <c r="S13078" s="226"/>
      <c r="T13078" s="226"/>
      <c r="U13078" s="226"/>
    </row>
    <row r="13079" spans="16:21" x14ac:dyDescent="0.35">
      <c r="P13079" s="226"/>
      <c r="Q13079" s="226"/>
      <c r="R13079" s="226"/>
      <c r="S13079" s="226"/>
      <c r="T13079" s="226"/>
      <c r="U13079" s="226"/>
    </row>
    <row r="13080" spans="16:21" x14ac:dyDescent="0.35">
      <c r="P13080" s="226"/>
      <c r="Q13080" s="226"/>
      <c r="R13080" s="226"/>
      <c r="S13080" s="226"/>
      <c r="T13080" s="226"/>
      <c r="U13080" s="226"/>
    </row>
    <row r="13081" spans="16:21" x14ac:dyDescent="0.35">
      <c r="P13081" s="226"/>
      <c r="Q13081" s="226"/>
      <c r="R13081" s="226"/>
      <c r="S13081" s="226"/>
      <c r="T13081" s="226"/>
      <c r="U13081" s="226"/>
    </row>
    <row r="13082" spans="16:21" x14ac:dyDescent="0.35">
      <c r="P13082" s="226"/>
      <c r="Q13082" s="226"/>
      <c r="R13082" s="226"/>
      <c r="S13082" s="226"/>
      <c r="T13082" s="226"/>
      <c r="U13082" s="226"/>
    </row>
    <row r="13083" spans="16:21" x14ac:dyDescent="0.35">
      <c r="P13083" s="226"/>
      <c r="Q13083" s="226"/>
      <c r="R13083" s="226"/>
      <c r="S13083" s="226"/>
      <c r="T13083" s="226"/>
      <c r="U13083" s="226"/>
    </row>
    <row r="13084" spans="16:21" x14ac:dyDescent="0.35">
      <c r="P13084" s="226"/>
      <c r="Q13084" s="226"/>
      <c r="R13084" s="226"/>
      <c r="S13084" s="226"/>
      <c r="T13084" s="226"/>
      <c r="U13084" s="226"/>
    </row>
    <row r="13085" spans="16:21" x14ac:dyDescent="0.35">
      <c r="P13085" s="226"/>
      <c r="Q13085" s="226"/>
      <c r="R13085" s="226"/>
      <c r="S13085" s="226"/>
      <c r="T13085" s="226"/>
      <c r="U13085" s="226"/>
    </row>
    <row r="13086" spans="16:21" x14ac:dyDescent="0.35">
      <c r="P13086" s="226"/>
      <c r="Q13086" s="226"/>
      <c r="R13086" s="226"/>
      <c r="S13086" s="226"/>
      <c r="T13086" s="226"/>
      <c r="U13086" s="226"/>
    </row>
    <row r="13087" spans="16:21" x14ac:dyDescent="0.35">
      <c r="P13087" s="226"/>
      <c r="Q13087" s="226"/>
      <c r="R13087" s="226"/>
      <c r="S13087" s="226"/>
      <c r="T13087" s="226"/>
      <c r="U13087" s="226"/>
    </row>
    <row r="13088" spans="16:21" x14ac:dyDescent="0.35">
      <c r="P13088" s="226"/>
      <c r="Q13088" s="226"/>
      <c r="R13088" s="226"/>
      <c r="S13088" s="226"/>
      <c r="T13088" s="226"/>
      <c r="U13088" s="226"/>
    </row>
    <row r="13089" spans="16:21" x14ac:dyDescent="0.35">
      <c r="P13089" s="226"/>
      <c r="Q13089" s="226"/>
      <c r="R13089" s="226"/>
      <c r="S13089" s="226"/>
      <c r="T13089" s="226"/>
      <c r="U13089" s="226"/>
    </row>
    <row r="13090" spans="16:21" x14ac:dyDescent="0.35">
      <c r="P13090" s="226"/>
      <c r="Q13090" s="226"/>
      <c r="R13090" s="226"/>
      <c r="S13090" s="226"/>
      <c r="T13090" s="226"/>
      <c r="U13090" s="226"/>
    </row>
    <row r="13091" spans="16:21" x14ac:dyDescent="0.35">
      <c r="P13091" s="226"/>
      <c r="Q13091" s="226"/>
      <c r="R13091" s="226"/>
      <c r="S13091" s="226"/>
      <c r="T13091" s="226"/>
      <c r="U13091" s="226"/>
    </row>
    <row r="13092" spans="16:21" x14ac:dyDescent="0.35">
      <c r="P13092" s="226"/>
      <c r="Q13092" s="226"/>
      <c r="R13092" s="226"/>
      <c r="S13092" s="226"/>
      <c r="T13092" s="226"/>
      <c r="U13092" s="226"/>
    </row>
    <row r="13093" spans="16:21" x14ac:dyDescent="0.35">
      <c r="P13093" s="226"/>
      <c r="Q13093" s="226"/>
      <c r="R13093" s="226"/>
      <c r="S13093" s="226"/>
      <c r="T13093" s="226"/>
      <c r="U13093" s="226"/>
    </row>
    <row r="13094" spans="16:21" x14ac:dyDescent="0.35">
      <c r="P13094" s="226"/>
      <c r="Q13094" s="226"/>
      <c r="R13094" s="226"/>
      <c r="S13094" s="226"/>
      <c r="T13094" s="226"/>
      <c r="U13094" s="226"/>
    </row>
    <row r="13095" spans="16:21" x14ac:dyDescent="0.35">
      <c r="P13095" s="226"/>
      <c r="Q13095" s="226"/>
      <c r="R13095" s="226"/>
      <c r="S13095" s="226"/>
      <c r="T13095" s="226"/>
      <c r="U13095" s="226"/>
    </row>
    <row r="13096" spans="16:21" x14ac:dyDescent="0.35">
      <c r="P13096" s="226"/>
      <c r="Q13096" s="226"/>
      <c r="R13096" s="226"/>
      <c r="S13096" s="226"/>
      <c r="T13096" s="226"/>
      <c r="U13096" s="226"/>
    </row>
    <row r="13097" spans="16:21" x14ac:dyDescent="0.35">
      <c r="P13097" s="226"/>
      <c r="Q13097" s="226"/>
      <c r="R13097" s="226"/>
      <c r="S13097" s="226"/>
      <c r="T13097" s="226"/>
      <c r="U13097" s="226"/>
    </row>
    <row r="13098" spans="16:21" x14ac:dyDescent="0.35">
      <c r="P13098" s="226"/>
      <c r="Q13098" s="226"/>
      <c r="R13098" s="226"/>
      <c r="S13098" s="226"/>
      <c r="T13098" s="226"/>
      <c r="U13098" s="226"/>
    </row>
    <row r="13099" spans="16:21" x14ac:dyDescent="0.35">
      <c r="P13099" s="226"/>
      <c r="Q13099" s="226"/>
      <c r="R13099" s="226"/>
      <c r="S13099" s="226"/>
      <c r="T13099" s="226"/>
      <c r="U13099" s="226"/>
    </row>
    <row r="13100" spans="16:21" x14ac:dyDescent="0.35">
      <c r="P13100" s="226"/>
      <c r="Q13100" s="226"/>
      <c r="R13100" s="226"/>
      <c r="S13100" s="226"/>
      <c r="T13100" s="226"/>
      <c r="U13100" s="226"/>
    </row>
    <row r="13101" spans="16:21" x14ac:dyDescent="0.35">
      <c r="P13101" s="226"/>
      <c r="Q13101" s="226"/>
      <c r="R13101" s="226"/>
      <c r="S13101" s="226"/>
      <c r="T13101" s="226"/>
      <c r="U13101" s="226"/>
    </row>
    <row r="13102" spans="16:21" x14ac:dyDescent="0.35">
      <c r="P13102" s="226"/>
      <c r="Q13102" s="226"/>
      <c r="R13102" s="226"/>
      <c r="S13102" s="226"/>
      <c r="T13102" s="226"/>
      <c r="U13102" s="226"/>
    </row>
    <row r="13103" spans="16:21" x14ac:dyDescent="0.35">
      <c r="P13103" s="226"/>
      <c r="Q13103" s="226"/>
      <c r="R13103" s="226"/>
      <c r="S13103" s="226"/>
      <c r="T13103" s="226"/>
      <c r="U13103" s="226"/>
    </row>
    <row r="13104" spans="16:21" x14ac:dyDescent="0.35">
      <c r="P13104" s="226"/>
      <c r="Q13104" s="226"/>
      <c r="R13104" s="226"/>
      <c r="S13104" s="226"/>
      <c r="T13104" s="226"/>
      <c r="U13104" s="226"/>
    </row>
    <row r="13105" spans="16:21" x14ac:dyDescent="0.35">
      <c r="P13105" s="226"/>
      <c r="Q13105" s="226"/>
      <c r="R13105" s="226"/>
      <c r="S13105" s="226"/>
      <c r="T13105" s="226"/>
      <c r="U13105" s="226"/>
    </row>
    <row r="13106" spans="16:21" x14ac:dyDescent="0.35">
      <c r="P13106" s="226"/>
      <c r="Q13106" s="226"/>
      <c r="R13106" s="226"/>
      <c r="S13106" s="226"/>
      <c r="T13106" s="226"/>
      <c r="U13106" s="226"/>
    </row>
    <row r="13107" spans="16:21" x14ac:dyDescent="0.35">
      <c r="P13107" s="226"/>
      <c r="Q13107" s="226"/>
      <c r="R13107" s="226"/>
      <c r="S13107" s="226"/>
      <c r="T13107" s="226"/>
      <c r="U13107" s="226"/>
    </row>
    <row r="13108" spans="16:21" x14ac:dyDescent="0.35">
      <c r="P13108" s="226"/>
      <c r="Q13108" s="226"/>
      <c r="R13108" s="226"/>
      <c r="S13108" s="226"/>
      <c r="T13108" s="226"/>
      <c r="U13108" s="226"/>
    </row>
    <row r="13109" spans="16:21" x14ac:dyDescent="0.35">
      <c r="P13109" s="226"/>
      <c r="Q13109" s="226"/>
      <c r="R13109" s="226"/>
      <c r="S13109" s="226"/>
      <c r="T13109" s="226"/>
      <c r="U13109" s="226"/>
    </row>
    <row r="13110" spans="16:21" x14ac:dyDescent="0.35">
      <c r="P13110" s="226"/>
      <c r="Q13110" s="226"/>
      <c r="R13110" s="226"/>
      <c r="S13110" s="226"/>
      <c r="T13110" s="226"/>
      <c r="U13110" s="226"/>
    </row>
    <row r="13111" spans="16:21" x14ac:dyDescent="0.35">
      <c r="P13111" s="226"/>
      <c r="Q13111" s="226"/>
      <c r="R13111" s="226"/>
      <c r="S13111" s="226"/>
      <c r="T13111" s="226"/>
      <c r="U13111" s="226"/>
    </row>
    <row r="13112" spans="16:21" x14ac:dyDescent="0.35">
      <c r="P13112" s="226"/>
      <c r="Q13112" s="226"/>
      <c r="R13112" s="226"/>
      <c r="S13112" s="226"/>
      <c r="T13112" s="226"/>
      <c r="U13112" s="226"/>
    </row>
    <row r="13113" spans="16:21" x14ac:dyDescent="0.35">
      <c r="P13113" s="226"/>
      <c r="Q13113" s="226"/>
      <c r="R13113" s="226"/>
      <c r="S13113" s="226"/>
      <c r="T13113" s="226"/>
      <c r="U13113" s="226"/>
    </row>
    <row r="13114" spans="16:21" x14ac:dyDescent="0.35">
      <c r="P13114" s="226"/>
      <c r="Q13114" s="226"/>
      <c r="R13114" s="226"/>
      <c r="S13114" s="226"/>
      <c r="T13114" s="226"/>
      <c r="U13114" s="226"/>
    </row>
    <row r="13115" spans="16:21" x14ac:dyDescent="0.35">
      <c r="P13115" s="226"/>
      <c r="Q13115" s="226"/>
      <c r="R13115" s="226"/>
      <c r="S13115" s="226"/>
      <c r="T13115" s="226"/>
      <c r="U13115" s="226"/>
    </row>
    <row r="13116" spans="16:21" x14ac:dyDescent="0.35">
      <c r="P13116" s="226"/>
      <c r="Q13116" s="226"/>
      <c r="R13116" s="226"/>
      <c r="S13116" s="226"/>
      <c r="T13116" s="226"/>
      <c r="U13116" s="226"/>
    </row>
    <row r="13117" spans="16:21" x14ac:dyDescent="0.35">
      <c r="P13117" s="226"/>
      <c r="Q13117" s="226"/>
      <c r="R13117" s="226"/>
      <c r="S13117" s="226"/>
      <c r="T13117" s="226"/>
      <c r="U13117" s="226"/>
    </row>
    <row r="13118" spans="16:21" x14ac:dyDescent="0.35">
      <c r="P13118" s="226"/>
      <c r="Q13118" s="226"/>
      <c r="R13118" s="226"/>
      <c r="S13118" s="226"/>
      <c r="T13118" s="226"/>
      <c r="U13118" s="226"/>
    </row>
    <row r="13119" spans="16:21" x14ac:dyDescent="0.35">
      <c r="P13119" s="226"/>
      <c r="Q13119" s="226"/>
      <c r="R13119" s="226"/>
      <c r="S13119" s="226"/>
      <c r="T13119" s="226"/>
      <c r="U13119" s="226"/>
    </row>
    <row r="13120" spans="16:21" x14ac:dyDescent="0.35">
      <c r="P13120" s="226"/>
      <c r="Q13120" s="226"/>
      <c r="R13120" s="226"/>
      <c r="S13120" s="226"/>
      <c r="T13120" s="226"/>
      <c r="U13120" s="226"/>
    </row>
    <row r="13121" spans="16:21" x14ac:dyDescent="0.35">
      <c r="P13121" s="226"/>
      <c r="Q13121" s="226"/>
      <c r="R13121" s="226"/>
      <c r="S13121" s="226"/>
      <c r="T13121" s="226"/>
      <c r="U13121" s="226"/>
    </row>
    <row r="13122" spans="16:21" x14ac:dyDescent="0.35">
      <c r="P13122" s="226"/>
      <c r="Q13122" s="226"/>
      <c r="R13122" s="226"/>
      <c r="S13122" s="226"/>
      <c r="T13122" s="226"/>
      <c r="U13122" s="226"/>
    </row>
    <row r="13123" spans="16:21" x14ac:dyDescent="0.35">
      <c r="P13123" s="226"/>
      <c r="Q13123" s="226"/>
      <c r="R13123" s="226"/>
      <c r="S13123" s="226"/>
      <c r="T13123" s="226"/>
      <c r="U13123" s="226"/>
    </row>
    <row r="13124" spans="16:21" x14ac:dyDescent="0.35">
      <c r="P13124" s="226"/>
      <c r="Q13124" s="226"/>
      <c r="R13124" s="226"/>
      <c r="S13124" s="226"/>
      <c r="T13124" s="226"/>
      <c r="U13124" s="226"/>
    </row>
    <row r="13125" spans="16:21" x14ac:dyDescent="0.35">
      <c r="P13125" s="226"/>
      <c r="Q13125" s="226"/>
      <c r="R13125" s="226"/>
      <c r="S13125" s="226"/>
      <c r="T13125" s="226"/>
      <c r="U13125" s="226"/>
    </row>
    <row r="13126" spans="16:21" x14ac:dyDescent="0.35">
      <c r="P13126" s="226"/>
      <c r="Q13126" s="226"/>
      <c r="R13126" s="226"/>
      <c r="S13126" s="226"/>
      <c r="T13126" s="226"/>
      <c r="U13126" s="226"/>
    </row>
    <row r="13127" spans="16:21" x14ac:dyDescent="0.35">
      <c r="P13127" s="226"/>
      <c r="Q13127" s="226"/>
      <c r="R13127" s="226"/>
      <c r="S13127" s="226"/>
      <c r="T13127" s="226"/>
      <c r="U13127" s="226"/>
    </row>
    <row r="13128" spans="16:21" x14ac:dyDescent="0.35">
      <c r="P13128" s="226"/>
      <c r="Q13128" s="226"/>
      <c r="R13128" s="226"/>
      <c r="S13128" s="226"/>
      <c r="T13128" s="226"/>
      <c r="U13128" s="226"/>
    </row>
    <row r="13129" spans="16:21" x14ac:dyDescent="0.35">
      <c r="P13129" s="226"/>
      <c r="Q13129" s="226"/>
      <c r="R13129" s="226"/>
      <c r="S13129" s="226"/>
      <c r="T13129" s="226"/>
      <c r="U13129" s="226"/>
    </row>
    <row r="13130" spans="16:21" x14ac:dyDescent="0.35">
      <c r="P13130" s="226"/>
      <c r="Q13130" s="226"/>
      <c r="R13130" s="226"/>
      <c r="S13130" s="226"/>
      <c r="T13130" s="226"/>
      <c r="U13130" s="226"/>
    </row>
    <row r="13131" spans="16:21" x14ac:dyDescent="0.35">
      <c r="P13131" s="226"/>
      <c r="Q13131" s="226"/>
      <c r="R13131" s="226"/>
      <c r="S13131" s="226"/>
      <c r="T13131" s="226"/>
      <c r="U13131" s="226"/>
    </row>
    <row r="13132" spans="16:21" x14ac:dyDescent="0.35">
      <c r="P13132" s="226"/>
      <c r="Q13132" s="226"/>
      <c r="R13132" s="226"/>
      <c r="S13132" s="226"/>
      <c r="T13132" s="226"/>
      <c r="U13132" s="226"/>
    </row>
    <row r="13133" spans="16:21" x14ac:dyDescent="0.35">
      <c r="P13133" s="226"/>
      <c r="Q13133" s="226"/>
      <c r="R13133" s="226"/>
      <c r="S13133" s="226"/>
      <c r="T13133" s="226"/>
      <c r="U13133" s="226"/>
    </row>
    <row r="13134" spans="16:21" x14ac:dyDescent="0.35">
      <c r="P13134" s="226"/>
      <c r="Q13134" s="226"/>
      <c r="R13134" s="226"/>
      <c r="S13134" s="226"/>
      <c r="T13134" s="226"/>
      <c r="U13134" s="226"/>
    </row>
    <row r="13135" spans="16:21" x14ac:dyDescent="0.35">
      <c r="P13135" s="226"/>
      <c r="Q13135" s="226"/>
      <c r="R13135" s="226"/>
      <c r="S13135" s="226"/>
      <c r="T13135" s="226"/>
      <c r="U13135" s="226"/>
    </row>
    <row r="13136" spans="16:21" x14ac:dyDescent="0.35">
      <c r="P13136" s="226"/>
      <c r="Q13136" s="226"/>
      <c r="R13136" s="226"/>
      <c r="S13136" s="226"/>
      <c r="T13136" s="226"/>
      <c r="U13136" s="226"/>
    </row>
    <row r="13137" spans="16:21" x14ac:dyDescent="0.35">
      <c r="P13137" s="226"/>
      <c r="Q13137" s="226"/>
      <c r="R13137" s="226"/>
      <c r="S13137" s="226"/>
      <c r="T13137" s="226"/>
      <c r="U13137" s="226"/>
    </row>
    <row r="13138" spans="16:21" x14ac:dyDescent="0.35">
      <c r="P13138" s="226"/>
      <c r="Q13138" s="226"/>
      <c r="R13138" s="226"/>
      <c r="S13138" s="226"/>
      <c r="T13138" s="226"/>
      <c r="U13138" s="226"/>
    </row>
    <row r="13139" spans="16:21" x14ac:dyDescent="0.35">
      <c r="P13139" s="226"/>
      <c r="Q13139" s="226"/>
      <c r="R13139" s="226"/>
      <c r="S13139" s="226"/>
      <c r="T13139" s="226"/>
      <c r="U13139" s="226"/>
    </row>
    <row r="13140" spans="16:21" x14ac:dyDescent="0.35">
      <c r="P13140" s="226"/>
      <c r="Q13140" s="226"/>
      <c r="R13140" s="226"/>
      <c r="S13140" s="226"/>
      <c r="T13140" s="226"/>
      <c r="U13140" s="226"/>
    </row>
    <row r="13141" spans="16:21" x14ac:dyDescent="0.35">
      <c r="P13141" s="226"/>
      <c r="Q13141" s="226"/>
      <c r="R13141" s="226"/>
      <c r="S13141" s="226"/>
      <c r="T13141" s="226"/>
      <c r="U13141" s="226"/>
    </row>
    <row r="13142" spans="16:21" x14ac:dyDescent="0.35">
      <c r="P13142" s="226"/>
      <c r="Q13142" s="226"/>
      <c r="R13142" s="226"/>
      <c r="S13142" s="226"/>
      <c r="T13142" s="226"/>
      <c r="U13142" s="226"/>
    </row>
    <row r="13143" spans="16:21" x14ac:dyDescent="0.35">
      <c r="P13143" s="226"/>
      <c r="Q13143" s="226"/>
      <c r="R13143" s="226"/>
      <c r="S13143" s="226"/>
      <c r="T13143" s="226"/>
      <c r="U13143" s="226"/>
    </row>
    <row r="13144" spans="16:21" x14ac:dyDescent="0.35">
      <c r="P13144" s="226"/>
      <c r="Q13144" s="226"/>
      <c r="R13144" s="226"/>
      <c r="S13144" s="226"/>
      <c r="T13144" s="226"/>
      <c r="U13144" s="226"/>
    </row>
    <row r="13145" spans="16:21" x14ac:dyDescent="0.35">
      <c r="P13145" s="226"/>
      <c r="Q13145" s="226"/>
      <c r="R13145" s="226"/>
      <c r="S13145" s="226"/>
      <c r="T13145" s="226"/>
      <c r="U13145" s="226"/>
    </row>
    <row r="13146" spans="16:21" x14ac:dyDescent="0.35">
      <c r="P13146" s="226"/>
      <c r="Q13146" s="226"/>
      <c r="R13146" s="226"/>
      <c r="S13146" s="226"/>
      <c r="T13146" s="226"/>
      <c r="U13146" s="226"/>
    </row>
    <row r="13147" spans="16:21" x14ac:dyDescent="0.35">
      <c r="P13147" s="226"/>
      <c r="Q13147" s="226"/>
      <c r="R13147" s="226"/>
      <c r="S13147" s="226"/>
      <c r="T13147" s="226"/>
      <c r="U13147" s="226"/>
    </row>
    <row r="13148" spans="16:21" x14ac:dyDescent="0.35">
      <c r="P13148" s="226"/>
      <c r="Q13148" s="226"/>
      <c r="R13148" s="226"/>
      <c r="S13148" s="226"/>
      <c r="T13148" s="226"/>
      <c r="U13148" s="226"/>
    </row>
    <row r="13149" spans="16:21" x14ac:dyDescent="0.35">
      <c r="P13149" s="226"/>
      <c r="Q13149" s="226"/>
      <c r="R13149" s="226"/>
      <c r="S13149" s="226"/>
      <c r="T13149" s="226"/>
      <c r="U13149" s="226"/>
    </row>
    <row r="13150" spans="16:21" x14ac:dyDescent="0.35">
      <c r="P13150" s="226"/>
      <c r="Q13150" s="226"/>
      <c r="R13150" s="226"/>
      <c r="S13150" s="226"/>
      <c r="T13150" s="226"/>
      <c r="U13150" s="226"/>
    </row>
    <row r="13151" spans="16:21" x14ac:dyDescent="0.35">
      <c r="P13151" s="226"/>
      <c r="Q13151" s="226"/>
      <c r="R13151" s="226"/>
      <c r="S13151" s="226"/>
      <c r="T13151" s="226"/>
      <c r="U13151" s="226"/>
    </row>
    <row r="13152" spans="16:21" x14ac:dyDescent="0.35">
      <c r="P13152" s="226"/>
      <c r="Q13152" s="226"/>
      <c r="R13152" s="226"/>
      <c r="S13152" s="226"/>
      <c r="T13152" s="226"/>
      <c r="U13152" s="226"/>
    </row>
    <row r="13153" spans="16:21" x14ac:dyDescent="0.35">
      <c r="P13153" s="226"/>
      <c r="Q13153" s="226"/>
      <c r="R13153" s="226"/>
      <c r="S13153" s="226"/>
      <c r="T13153" s="226"/>
      <c r="U13153" s="226"/>
    </row>
    <row r="13154" spans="16:21" x14ac:dyDescent="0.35">
      <c r="P13154" s="226"/>
      <c r="Q13154" s="226"/>
      <c r="R13154" s="226"/>
      <c r="S13154" s="226"/>
      <c r="T13154" s="226"/>
      <c r="U13154" s="226"/>
    </row>
    <row r="13155" spans="16:21" x14ac:dyDescent="0.35">
      <c r="P13155" s="226"/>
      <c r="Q13155" s="226"/>
      <c r="R13155" s="226"/>
      <c r="S13155" s="226"/>
      <c r="T13155" s="226"/>
      <c r="U13155" s="226"/>
    </row>
    <row r="13156" spans="16:21" x14ac:dyDescent="0.35">
      <c r="P13156" s="226"/>
      <c r="Q13156" s="226"/>
      <c r="R13156" s="226"/>
      <c r="S13156" s="226"/>
      <c r="T13156" s="226"/>
      <c r="U13156" s="226"/>
    </row>
    <row r="13157" spans="16:21" x14ac:dyDescent="0.35">
      <c r="P13157" s="226"/>
      <c r="Q13157" s="226"/>
      <c r="R13157" s="226"/>
      <c r="S13157" s="226"/>
      <c r="T13157" s="226"/>
      <c r="U13157" s="226"/>
    </row>
    <row r="13158" spans="16:21" x14ac:dyDescent="0.35">
      <c r="P13158" s="226"/>
      <c r="Q13158" s="226"/>
      <c r="R13158" s="226"/>
      <c r="S13158" s="226"/>
      <c r="T13158" s="226"/>
      <c r="U13158" s="226"/>
    </row>
    <row r="13159" spans="16:21" x14ac:dyDescent="0.35">
      <c r="P13159" s="226"/>
      <c r="Q13159" s="226"/>
      <c r="R13159" s="226"/>
      <c r="S13159" s="226"/>
      <c r="T13159" s="226"/>
      <c r="U13159" s="226"/>
    </row>
    <row r="13160" spans="16:21" x14ac:dyDescent="0.35">
      <c r="P13160" s="226"/>
      <c r="Q13160" s="226"/>
      <c r="R13160" s="226"/>
      <c r="S13160" s="226"/>
      <c r="T13160" s="226"/>
      <c r="U13160" s="226"/>
    </row>
    <row r="13161" spans="16:21" x14ac:dyDescent="0.35">
      <c r="P13161" s="226"/>
      <c r="Q13161" s="226"/>
      <c r="R13161" s="226"/>
      <c r="S13161" s="226"/>
      <c r="T13161" s="226"/>
      <c r="U13161" s="226"/>
    </row>
    <row r="13162" spans="16:21" x14ac:dyDescent="0.35">
      <c r="P13162" s="226"/>
      <c r="Q13162" s="226"/>
      <c r="R13162" s="226"/>
      <c r="S13162" s="226"/>
      <c r="T13162" s="226"/>
      <c r="U13162" s="226"/>
    </row>
    <row r="13163" spans="16:21" x14ac:dyDescent="0.35">
      <c r="P13163" s="226"/>
      <c r="Q13163" s="226"/>
      <c r="R13163" s="226"/>
      <c r="S13163" s="226"/>
      <c r="T13163" s="226"/>
      <c r="U13163" s="226"/>
    </row>
    <row r="13164" spans="16:21" x14ac:dyDescent="0.35">
      <c r="P13164" s="226"/>
      <c r="Q13164" s="226"/>
      <c r="R13164" s="226"/>
      <c r="S13164" s="226"/>
      <c r="T13164" s="226"/>
      <c r="U13164" s="226"/>
    </row>
    <row r="13165" spans="16:21" x14ac:dyDescent="0.35">
      <c r="P13165" s="226"/>
      <c r="Q13165" s="226"/>
      <c r="R13165" s="226"/>
      <c r="S13165" s="226"/>
      <c r="T13165" s="226"/>
      <c r="U13165" s="226"/>
    </row>
    <row r="13166" spans="16:21" x14ac:dyDescent="0.35">
      <c r="P13166" s="226"/>
      <c r="Q13166" s="226"/>
      <c r="R13166" s="226"/>
      <c r="S13166" s="226"/>
      <c r="T13166" s="226"/>
      <c r="U13166" s="226"/>
    </row>
    <row r="13167" spans="16:21" x14ac:dyDescent="0.35">
      <c r="P13167" s="226"/>
      <c r="Q13167" s="226"/>
      <c r="R13167" s="226"/>
      <c r="S13167" s="226"/>
      <c r="T13167" s="226"/>
      <c r="U13167" s="226"/>
    </row>
    <row r="13168" spans="16:21" x14ac:dyDescent="0.35">
      <c r="P13168" s="226"/>
      <c r="Q13168" s="226"/>
      <c r="R13168" s="226"/>
      <c r="S13168" s="226"/>
      <c r="T13168" s="226"/>
      <c r="U13168" s="226"/>
    </row>
    <row r="13169" spans="16:21" x14ac:dyDescent="0.35">
      <c r="P13169" s="226"/>
      <c r="Q13169" s="226"/>
      <c r="R13169" s="226"/>
      <c r="S13169" s="226"/>
      <c r="T13169" s="226"/>
      <c r="U13169" s="226"/>
    </row>
    <row r="13170" spans="16:21" x14ac:dyDescent="0.35">
      <c r="P13170" s="226"/>
      <c r="Q13170" s="226"/>
      <c r="R13170" s="226"/>
      <c r="S13170" s="226"/>
      <c r="T13170" s="226"/>
      <c r="U13170" s="226"/>
    </row>
    <row r="13171" spans="16:21" x14ac:dyDescent="0.35">
      <c r="P13171" s="226"/>
      <c r="Q13171" s="226"/>
      <c r="R13171" s="226"/>
      <c r="S13171" s="226"/>
      <c r="T13171" s="226"/>
      <c r="U13171" s="226"/>
    </row>
    <row r="13172" spans="16:21" x14ac:dyDescent="0.35">
      <c r="P13172" s="226"/>
      <c r="Q13172" s="226"/>
      <c r="R13172" s="226"/>
      <c r="S13172" s="226"/>
      <c r="T13172" s="226"/>
      <c r="U13172" s="226"/>
    </row>
    <row r="13173" spans="16:21" x14ac:dyDescent="0.35">
      <c r="P13173" s="226"/>
      <c r="Q13173" s="226"/>
      <c r="R13173" s="226"/>
      <c r="S13173" s="226"/>
      <c r="T13173" s="226"/>
      <c r="U13173" s="226"/>
    </row>
    <row r="13174" spans="16:21" x14ac:dyDescent="0.35">
      <c r="P13174" s="226"/>
      <c r="Q13174" s="226"/>
      <c r="R13174" s="226"/>
      <c r="S13174" s="226"/>
      <c r="T13174" s="226"/>
      <c r="U13174" s="226"/>
    </row>
    <row r="13175" spans="16:21" x14ac:dyDescent="0.35">
      <c r="P13175" s="226"/>
      <c r="Q13175" s="226"/>
      <c r="R13175" s="226"/>
      <c r="S13175" s="226"/>
      <c r="T13175" s="226"/>
      <c r="U13175" s="226"/>
    </row>
    <row r="13176" spans="16:21" x14ac:dyDescent="0.35">
      <c r="P13176" s="226"/>
      <c r="Q13176" s="226"/>
      <c r="R13176" s="226"/>
      <c r="S13176" s="226"/>
      <c r="T13176" s="226"/>
      <c r="U13176" s="226"/>
    </row>
    <row r="13177" spans="16:21" x14ac:dyDescent="0.35">
      <c r="P13177" s="226"/>
      <c r="Q13177" s="226"/>
      <c r="R13177" s="226"/>
      <c r="S13177" s="226"/>
      <c r="T13177" s="226"/>
      <c r="U13177" s="226"/>
    </row>
    <row r="13178" spans="16:21" x14ac:dyDescent="0.35">
      <c r="P13178" s="226"/>
      <c r="Q13178" s="226"/>
      <c r="R13178" s="226"/>
      <c r="S13178" s="226"/>
      <c r="T13178" s="226"/>
      <c r="U13178" s="226"/>
    </row>
    <row r="13179" spans="16:21" x14ac:dyDescent="0.35">
      <c r="P13179" s="226"/>
      <c r="Q13179" s="226"/>
      <c r="R13179" s="226"/>
      <c r="S13179" s="226"/>
      <c r="T13179" s="226"/>
      <c r="U13179" s="226"/>
    </row>
    <row r="13180" spans="16:21" x14ac:dyDescent="0.35">
      <c r="P13180" s="226"/>
      <c r="Q13180" s="226"/>
      <c r="R13180" s="226"/>
      <c r="S13180" s="226"/>
      <c r="T13180" s="226"/>
      <c r="U13180" s="226"/>
    </row>
    <row r="13181" spans="16:21" x14ac:dyDescent="0.35">
      <c r="P13181" s="226"/>
      <c r="Q13181" s="226"/>
      <c r="R13181" s="226"/>
      <c r="S13181" s="226"/>
      <c r="T13181" s="226"/>
      <c r="U13181" s="226"/>
    </row>
    <row r="13182" spans="16:21" x14ac:dyDescent="0.35">
      <c r="P13182" s="226"/>
      <c r="Q13182" s="226"/>
      <c r="R13182" s="226"/>
      <c r="S13182" s="226"/>
      <c r="T13182" s="226"/>
      <c r="U13182" s="226"/>
    </row>
    <row r="13183" spans="16:21" x14ac:dyDescent="0.35">
      <c r="P13183" s="226"/>
      <c r="Q13183" s="226"/>
      <c r="R13183" s="226"/>
      <c r="S13183" s="226"/>
      <c r="T13183" s="226"/>
      <c r="U13183" s="226"/>
    </row>
    <row r="13184" spans="16:21" x14ac:dyDescent="0.35">
      <c r="P13184" s="226"/>
      <c r="Q13184" s="226"/>
      <c r="R13184" s="226"/>
      <c r="S13184" s="226"/>
      <c r="T13184" s="226"/>
      <c r="U13184" s="226"/>
    </row>
    <row r="13185" spans="16:21" x14ac:dyDescent="0.35">
      <c r="P13185" s="226"/>
      <c r="Q13185" s="226"/>
      <c r="R13185" s="226"/>
      <c r="S13185" s="226"/>
      <c r="T13185" s="226"/>
      <c r="U13185" s="226"/>
    </row>
    <row r="13186" spans="16:21" x14ac:dyDescent="0.35">
      <c r="P13186" s="226"/>
      <c r="Q13186" s="226"/>
      <c r="R13186" s="226"/>
      <c r="S13186" s="226"/>
      <c r="T13186" s="226"/>
      <c r="U13186" s="226"/>
    </row>
    <row r="13187" spans="16:21" x14ac:dyDescent="0.35">
      <c r="P13187" s="226"/>
      <c r="Q13187" s="226"/>
      <c r="R13187" s="226"/>
      <c r="S13187" s="226"/>
      <c r="T13187" s="226"/>
      <c r="U13187" s="226"/>
    </row>
    <row r="13188" spans="16:21" x14ac:dyDescent="0.35">
      <c r="P13188" s="226"/>
      <c r="Q13188" s="226"/>
      <c r="R13188" s="226"/>
      <c r="S13188" s="226"/>
      <c r="T13188" s="226"/>
      <c r="U13188" s="226"/>
    </row>
    <row r="13189" spans="16:21" x14ac:dyDescent="0.35">
      <c r="P13189" s="226"/>
      <c r="Q13189" s="226"/>
      <c r="R13189" s="226"/>
      <c r="S13189" s="226"/>
      <c r="T13189" s="226"/>
      <c r="U13189" s="226"/>
    </row>
    <row r="13190" spans="16:21" x14ac:dyDescent="0.35">
      <c r="P13190" s="226"/>
      <c r="Q13190" s="226"/>
      <c r="R13190" s="226"/>
      <c r="S13190" s="226"/>
      <c r="T13190" s="226"/>
      <c r="U13190" s="226"/>
    </row>
    <row r="13191" spans="16:21" x14ac:dyDescent="0.35">
      <c r="P13191" s="226"/>
      <c r="Q13191" s="226"/>
      <c r="R13191" s="226"/>
      <c r="S13191" s="226"/>
      <c r="T13191" s="226"/>
      <c r="U13191" s="226"/>
    </row>
    <row r="13192" spans="16:21" x14ac:dyDescent="0.35">
      <c r="P13192" s="226"/>
      <c r="Q13192" s="226"/>
      <c r="R13192" s="226"/>
      <c r="S13192" s="226"/>
      <c r="T13192" s="226"/>
      <c r="U13192" s="226"/>
    </row>
    <row r="13193" spans="16:21" x14ac:dyDescent="0.35">
      <c r="P13193" s="226"/>
      <c r="Q13193" s="226"/>
      <c r="R13193" s="226"/>
      <c r="S13193" s="226"/>
      <c r="T13193" s="226"/>
      <c r="U13193" s="226"/>
    </row>
    <row r="13194" spans="16:21" x14ac:dyDescent="0.35">
      <c r="P13194" s="226"/>
      <c r="Q13194" s="226"/>
      <c r="R13194" s="226"/>
      <c r="S13194" s="226"/>
      <c r="T13194" s="226"/>
      <c r="U13194" s="226"/>
    </row>
    <row r="13195" spans="16:21" x14ac:dyDescent="0.35">
      <c r="P13195" s="226"/>
      <c r="Q13195" s="226"/>
      <c r="R13195" s="226"/>
      <c r="S13195" s="226"/>
      <c r="T13195" s="226"/>
      <c r="U13195" s="226"/>
    </row>
    <row r="13196" spans="16:21" x14ac:dyDescent="0.35">
      <c r="P13196" s="226"/>
      <c r="Q13196" s="226"/>
      <c r="R13196" s="226"/>
      <c r="S13196" s="226"/>
      <c r="T13196" s="226"/>
      <c r="U13196" s="226"/>
    </row>
    <row r="13197" spans="16:21" x14ac:dyDescent="0.35">
      <c r="P13197" s="226"/>
      <c r="Q13197" s="226"/>
      <c r="R13197" s="226"/>
      <c r="S13197" s="226"/>
      <c r="T13197" s="226"/>
      <c r="U13197" s="226"/>
    </row>
    <row r="13198" spans="16:21" x14ac:dyDescent="0.35">
      <c r="P13198" s="226"/>
      <c r="Q13198" s="226"/>
      <c r="R13198" s="226"/>
      <c r="S13198" s="226"/>
      <c r="T13198" s="226"/>
      <c r="U13198" s="226"/>
    </row>
    <row r="13199" spans="16:21" x14ac:dyDescent="0.35">
      <c r="P13199" s="226"/>
      <c r="Q13199" s="226"/>
      <c r="R13199" s="226"/>
      <c r="S13199" s="226"/>
      <c r="T13199" s="226"/>
      <c r="U13199" s="226"/>
    </row>
    <row r="13200" spans="16:21" x14ac:dyDescent="0.35">
      <c r="P13200" s="226"/>
      <c r="Q13200" s="226"/>
      <c r="R13200" s="226"/>
      <c r="S13200" s="226"/>
      <c r="T13200" s="226"/>
      <c r="U13200" s="226"/>
    </row>
    <row r="13201" spans="16:21" x14ac:dyDescent="0.35">
      <c r="P13201" s="226"/>
      <c r="Q13201" s="226"/>
      <c r="R13201" s="226"/>
      <c r="S13201" s="226"/>
      <c r="T13201" s="226"/>
      <c r="U13201" s="226"/>
    </row>
    <row r="13202" spans="16:21" x14ac:dyDescent="0.35">
      <c r="P13202" s="226"/>
      <c r="Q13202" s="226"/>
      <c r="R13202" s="226"/>
      <c r="S13202" s="226"/>
      <c r="T13202" s="226"/>
      <c r="U13202" s="226"/>
    </row>
    <row r="13203" spans="16:21" x14ac:dyDescent="0.35">
      <c r="P13203" s="226"/>
      <c r="Q13203" s="226"/>
      <c r="R13203" s="226"/>
      <c r="S13203" s="226"/>
      <c r="T13203" s="226"/>
      <c r="U13203" s="226"/>
    </row>
    <row r="13204" spans="16:21" x14ac:dyDescent="0.35">
      <c r="P13204" s="226"/>
      <c r="Q13204" s="226"/>
      <c r="R13204" s="226"/>
      <c r="S13204" s="226"/>
      <c r="T13204" s="226"/>
      <c r="U13204" s="226"/>
    </row>
    <row r="13205" spans="16:21" x14ac:dyDescent="0.35">
      <c r="P13205" s="226"/>
      <c r="Q13205" s="226"/>
      <c r="R13205" s="226"/>
      <c r="S13205" s="226"/>
      <c r="T13205" s="226"/>
      <c r="U13205" s="226"/>
    </row>
    <row r="13206" spans="16:21" x14ac:dyDescent="0.35">
      <c r="P13206" s="226"/>
      <c r="Q13206" s="226"/>
      <c r="R13206" s="226"/>
      <c r="S13206" s="226"/>
      <c r="T13206" s="226"/>
      <c r="U13206" s="226"/>
    </row>
    <row r="13207" spans="16:21" x14ac:dyDescent="0.35">
      <c r="P13207" s="226"/>
      <c r="Q13207" s="226"/>
      <c r="R13207" s="226"/>
      <c r="S13207" s="226"/>
      <c r="T13207" s="226"/>
      <c r="U13207" s="226"/>
    </row>
    <row r="13208" spans="16:21" x14ac:dyDescent="0.35">
      <c r="P13208" s="226"/>
      <c r="Q13208" s="226"/>
      <c r="R13208" s="226"/>
      <c r="S13208" s="226"/>
      <c r="T13208" s="226"/>
      <c r="U13208" s="226"/>
    </row>
    <row r="13209" spans="16:21" x14ac:dyDescent="0.35">
      <c r="P13209" s="226"/>
      <c r="Q13209" s="226"/>
      <c r="R13209" s="226"/>
      <c r="S13209" s="226"/>
      <c r="T13209" s="226"/>
      <c r="U13209" s="226"/>
    </row>
    <row r="13210" spans="16:21" x14ac:dyDescent="0.35">
      <c r="P13210" s="226"/>
      <c r="Q13210" s="226"/>
      <c r="R13210" s="226"/>
      <c r="S13210" s="226"/>
      <c r="T13210" s="226"/>
      <c r="U13210" s="226"/>
    </row>
    <row r="13211" spans="16:21" x14ac:dyDescent="0.35">
      <c r="P13211" s="226"/>
      <c r="Q13211" s="226"/>
      <c r="R13211" s="226"/>
      <c r="S13211" s="226"/>
      <c r="T13211" s="226"/>
      <c r="U13211" s="226"/>
    </row>
    <row r="13212" spans="16:21" x14ac:dyDescent="0.35">
      <c r="P13212" s="226"/>
      <c r="Q13212" s="226"/>
      <c r="R13212" s="226"/>
      <c r="S13212" s="226"/>
      <c r="T13212" s="226"/>
      <c r="U13212" s="226"/>
    </row>
    <row r="13213" spans="16:21" x14ac:dyDescent="0.35">
      <c r="P13213" s="226"/>
      <c r="Q13213" s="226"/>
      <c r="R13213" s="226"/>
      <c r="S13213" s="226"/>
      <c r="T13213" s="226"/>
      <c r="U13213" s="226"/>
    </row>
    <row r="13214" spans="16:21" x14ac:dyDescent="0.35">
      <c r="P13214" s="226"/>
      <c r="Q13214" s="226"/>
      <c r="R13214" s="226"/>
      <c r="S13214" s="226"/>
      <c r="T13214" s="226"/>
      <c r="U13214" s="226"/>
    </row>
    <row r="13215" spans="16:21" x14ac:dyDescent="0.35">
      <c r="P13215" s="226"/>
      <c r="Q13215" s="226"/>
      <c r="R13215" s="226"/>
      <c r="S13215" s="226"/>
      <c r="T13215" s="226"/>
      <c r="U13215" s="226"/>
    </row>
    <row r="13216" spans="16:21" x14ac:dyDescent="0.35">
      <c r="P13216" s="226"/>
      <c r="Q13216" s="226"/>
      <c r="R13216" s="226"/>
      <c r="S13216" s="226"/>
      <c r="T13216" s="226"/>
      <c r="U13216" s="226"/>
    </row>
    <row r="13217" spans="16:21" x14ac:dyDescent="0.35">
      <c r="P13217" s="226"/>
      <c r="Q13217" s="226"/>
      <c r="R13217" s="226"/>
      <c r="S13217" s="226"/>
      <c r="T13217" s="226"/>
      <c r="U13217" s="226"/>
    </row>
    <row r="13218" spans="16:21" x14ac:dyDescent="0.35">
      <c r="P13218" s="226"/>
      <c r="Q13218" s="226"/>
      <c r="R13218" s="226"/>
      <c r="S13218" s="226"/>
      <c r="T13218" s="226"/>
      <c r="U13218" s="226"/>
    </row>
    <row r="13219" spans="16:21" x14ac:dyDescent="0.35">
      <c r="P13219" s="226"/>
      <c r="Q13219" s="226"/>
      <c r="R13219" s="226"/>
      <c r="S13219" s="226"/>
      <c r="T13219" s="226"/>
      <c r="U13219" s="226"/>
    </row>
    <row r="13220" spans="16:21" x14ac:dyDescent="0.35">
      <c r="P13220" s="226"/>
      <c r="Q13220" s="226"/>
      <c r="R13220" s="226"/>
      <c r="S13220" s="226"/>
      <c r="T13220" s="226"/>
      <c r="U13220" s="226"/>
    </row>
    <row r="13221" spans="16:21" x14ac:dyDescent="0.35">
      <c r="P13221" s="226"/>
      <c r="Q13221" s="226"/>
      <c r="R13221" s="226"/>
      <c r="S13221" s="226"/>
      <c r="T13221" s="226"/>
      <c r="U13221" s="226"/>
    </row>
    <row r="13222" spans="16:21" x14ac:dyDescent="0.35">
      <c r="P13222" s="226"/>
      <c r="Q13222" s="226"/>
      <c r="R13222" s="226"/>
      <c r="S13222" s="226"/>
      <c r="T13222" s="226"/>
      <c r="U13222" s="226"/>
    </row>
    <row r="13223" spans="16:21" x14ac:dyDescent="0.35">
      <c r="P13223" s="226"/>
      <c r="Q13223" s="226"/>
      <c r="R13223" s="226"/>
      <c r="S13223" s="226"/>
      <c r="T13223" s="226"/>
      <c r="U13223" s="226"/>
    </row>
    <row r="13224" spans="16:21" x14ac:dyDescent="0.35">
      <c r="P13224" s="226"/>
      <c r="Q13224" s="226"/>
      <c r="R13224" s="226"/>
      <c r="S13224" s="226"/>
      <c r="T13224" s="226"/>
      <c r="U13224" s="226"/>
    </row>
    <row r="13225" spans="16:21" x14ac:dyDescent="0.35">
      <c r="P13225" s="226"/>
      <c r="Q13225" s="226"/>
      <c r="R13225" s="226"/>
      <c r="S13225" s="226"/>
      <c r="T13225" s="226"/>
      <c r="U13225" s="226"/>
    </row>
    <row r="13226" spans="16:21" x14ac:dyDescent="0.35">
      <c r="P13226" s="226"/>
      <c r="Q13226" s="226"/>
      <c r="R13226" s="226"/>
      <c r="S13226" s="226"/>
      <c r="T13226" s="226"/>
      <c r="U13226" s="226"/>
    </row>
    <row r="13227" spans="16:21" x14ac:dyDescent="0.35">
      <c r="P13227" s="226"/>
      <c r="Q13227" s="226"/>
      <c r="R13227" s="226"/>
      <c r="S13227" s="226"/>
      <c r="T13227" s="226"/>
      <c r="U13227" s="226"/>
    </row>
    <row r="13228" spans="16:21" x14ac:dyDescent="0.35">
      <c r="P13228" s="226"/>
      <c r="Q13228" s="226"/>
      <c r="R13228" s="226"/>
      <c r="S13228" s="226"/>
      <c r="T13228" s="226"/>
      <c r="U13228" s="226"/>
    </row>
    <row r="13229" spans="16:21" x14ac:dyDescent="0.35">
      <c r="P13229" s="226"/>
      <c r="Q13229" s="226"/>
      <c r="R13229" s="226"/>
      <c r="S13229" s="226"/>
      <c r="T13229" s="226"/>
      <c r="U13229" s="226"/>
    </row>
    <row r="13230" spans="16:21" x14ac:dyDescent="0.35">
      <c r="P13230" s="226"/>
      <c r="Q13230" s="226"/>
      <c r="R13230" s="226"/>
      <c r="S13230" s="226"/>
      <c r="T13230" s="226"/>
      <c r="U13230" s="226"/>
    </row>
    <row r="13231" spans="16:21" x14ac:dyDescent="0.35">
      <c r="P13231" s="226"/>
      <c r="Q13231" s="226"/>
      <c r="R13231" s="226"/>
      <c r="S13231" s="226"/>
      <c r="T13231" s="226"/>
      <c r="U13231" s="226"/>
    </row>
    <row r="13232" spans="16:21" x14ac:dyDescent="0.35">
      <c r="P13232" s="226"/>
      <c r="Q13232" s="226"/>
      <c r="R13232" s="226"/>
      <c r="S13232" s="226"/>
      <c r="T13232" s="226"/>
      <c r="U13232" s="226"/>
    </row>
    <row r="13233" spans="16:21" x14ac:dyDescent="0.35">
      <c r="P13233" s="226"/>
      <c r="Q13233" s="226"/>
      <c r="R13233" s="226"/>
      <c r="S13233" s="226"/>
      <c r="T13233" s="226"/>
      <c r="U13233" s="226"/>
    </row>
    <row r="13234" spans="16:21" x14ac:dyDescent="0.35">
      <c r="P13234" s="226"/>
      <c r="Q13234" s="226"/>
      <c r="R13234" s="226"/>
      <c r="S13234" s="226"/>
      <c r="T13234" s="226"/>
      <c r="U13234" s="226"/>
    </row>
    <row r="13235" spans="16:21" x14ac:dyDescent="0.35">
      <c r="P13235" s="226"/>
      <c r="Q13235" s="226"/>
      <c r="R13235" s="226"/>
      <c r="S13235" s="226"/>
      <c r="T13235" s="226"/>
      <c r="U13235" s="226"/>
    </row>
    <row r="13236" spans="16:21" x14ac:dyDescent="0.35">
      <c r="P13236" s="226"/>
      <c r="Q13236" s="226"/>
      <c r="R13236" s="226"/>
      <c r="S13236" s="226"/>
      <c r="T13236" s="226"/>
      <c r="U13236" s="226"/>
    </row>
    <row r="13237" spans="16:21" x14ac:dyDescent="0.35">
      <c r="P13237" s="226"/>
      <c r="Q13237" s="226"/>
      <c r="R13237" s="226"/>
      <c r="S13237" s="226"/>
      <c r="T13237" s="226"/>
      <c r="U13237" s="226"/>
    </row>
    <row r="13238" spans="16:21" x14ac:dyDescent="0.35">
      <c r="P13238" s="226"/>
      <c r="Q13238" s="226"/>
      <c r="R13238" s="226"/>
      <c r="S13238" s="226"/>
      <c r="T13238" s="226"/>
      <c r="U13238" s="226"/>
    </row>
    <row r="13239" spans="16:21" x14ac:dyDescent="0.35">
      <c r="P13239" s="226"/>
      <c r="Q13239" s="226"/>
      <c r="R13239" s="226"/>
      <c r="S13239" s="226"/>
      <c r="T13239" s="226"/>
      <c r="U13239" s="226"/>
    </row>
    <row r="13240" spans="16:21" x14ac:dyDescent="0.35">
      <c r="P13240" s="226"/>
      <c r="Q13240" s="226"/>
      <c r="R13240" s="226"/>
      <c r="S13240" s="226"/>
      <c r="T13240" s="226"/>
      <c r="U13240" s="226"/>
    </row>
    <row r="13241" spans="16:21" x14ac:dyDescent="0.35">
      <c r="P13241" s="226"/>
      <c r="Q13241" s="226"/>
      <c r="R13241" s="226"/>
      <c r="S13241" s="226"/>
      <c r="T13241" s="226"/>
      <c r="U13241" s="226"/>
    </row>
    <row r="13242" spans="16:21" x14ac:dyDescent="0.35">
      <c r="P13242" s="226"/>
      <c r="Q13242" s="226"/>
      <c r="R13242" s="226"/>
      <c r="S13242" s="226"/>
      <c r="T13242" s="226"/>
      <c r="U13242" s="226"/>
    </row>
    <row r="13243" spans="16:21" x14ac:dyDescent="0.35">
      <c r="P13243" s="226"/>
      <c r="Q13243" s="226"/>
      <c r="R13243" s="226"/>
      <c r="S13243" s="226"/>
      <c r="T13243" s="226"/>
      <c r="U13243" s="226"/>
    </row>
    <row r="13244" spans="16:21" x14ac:dyDescent="0.35">
      <c r="P13244" s="226"/>
      <c r="Q13244" s="226"/>
      <c r="R13244" s="226"/>
      <c r="S13244" s="226"/>
      <c r="T13244" s="226"/>
      <c r="U13244" s="226"/>
    </row>
    <row r="13245" spans="16:21" x14ac:dyDescent="0.35">
      <c r="P13245" s="226"/>
      <c r="Q13245" s="226"/>
      <c r="R13245" s="226"/>
      <c r="S13245" s="226"/>
      <c r="T13245" s="226"/>
      <c r="U13245" s="226"/>
    </row>
    <row r="13246" spans="16:21" x14ac:dyDescent="0.35">
      <c r="P13246" s="226"/>
      <c r="Q13246" s="226"/>
      <c r="R13246" s="226"/>
      <c r="S13246" s="226"/>
      <c r="T13246" s="226"/>
      <c r="U13246" s="226"/>
    </row>
    <row r="13247" spans="16:21" x14ac:dyDescent="0.35">
      <c r="P13247" s="226"/>
      <c r="Q13247" s="226"/>
      <c r="R13247" s="226"/>
      <c r="S13247" s="226"/>
      <c r="T13247" s="226"/>
      <c r="U13247" s="226"/>
    </row>
    <row r="13248" spans="16:21" x14ac:dyDescent="0.35">
      <c r="P13248" s="226"/>
      <c r="Q13248" s="226"/>
      <c r="R13248" s="226"/>
      <c r="S13248" s="226"/>
      <c r="T13248" s="226"/>
      <c r="U13248" s="226"/>
    </row>
    <row r="13249" spans="16:21" x14ac:dyDescent="0.35">
      <c r="P13249" s="226"/>
      <c r="Q13249" s="226"/>
      <c r="R13249" s="226"/>
      <c r="S13249" s="226"/>
      <c r="T13249" s="226"/>
      <c r="U13249" s="226"/>
    </row>
    <row r="13250" spans="16:21" x14ac:dyDescent="0.35">
      <c r="P13250" s="226"/>
      <c r="Q13250" s="226"/>
      <c r="R13250" s="226"/>
      <c r="S13250" s="226"/>
      <c r="T13250" s="226"/>
      <c r="U13250" s="226"/>
    </row>
    <row r="13251" spans="16:21" x14ac:dyDescent="0.35">
      <c r="P13251" s="226"/>
      <c r="Q13251" s="226"/>
      <c r="R13251" s="226"/>
      <c r="S13251" s="226"/>
      <c r="T13251" s="226"/>
      <c r="U13251" s="226"/>
    </row>
    <row r="13252" spans="16:21" x14ac:dyDescent="0.35">
      <c r="P13252" s="226"/>
      <c r="Q13252" s="226"/>
      <c r="R13252" s="226"/>
      <c r="S13252" s="226"/>
      <c r="T13252" s="226"/>
      <c r="U13252" s="226"/>
    </row>
    <row r="13253" spans="16:21" x14ac:dyDescent="0.35">
      <c r="P13253" s="226"/>
      <c r="Q13253" s="226"/>
      <c r="R13253" s="226"/>
      <c r="S13253" s="226"/>
      <c r="T13253" s="226"/>
      <c r="U13253" s="226"/>
    </row>
    <row r="13254" spans="16:21" x14ac:dyDescent="0.35">
      <c r="P13254" s="226"/>
      <c r="Q13254" s="226"/>
      <c r="R13254" s="226"/>
      <c r="S13254" s="226"/>
      <c r="T13254" s="226"/>
      <c r="U13254" s="226"/>
    </row>
    <row r="13255" spans="16:21" x14ac:dyDescent="0.35">
      <c r="P13255" s="226"/>
      <c r="Q13255" s="226"/>
      <c r="R13255" s="226"/>
      <c r="S13255" s="226"/>
      <c r="T13255" s="226"/>
      <c r="U13255" s="226"/>
    </row>
    <row r="13256" spans="16:21" x14ac:dyDescent="0.35">
      <c r="P13256" s="226"/>
      <c r="Q13256" s="226"/>
      <c r="R13256" s="226"/>
      <c r="S13256" s="226"/>
      <c r="T13256" s="226"/>
      <c r="U13256" s="226"/>
    </row>
    <row r="13257" spans="16:21" x14ac:dyDescent="0.35">
      <c r="P13257" s="226"/>
      <c r="Q13257" s="226"/>
      <c r="R13257" s="226"/>
      <c r="S13257" s="226"/>
      <c r="T13257" s="226"/>
      <c r="U13257" s="226"/>
    </row>
    <row r="13258" spans="16:21" x14ac:dyDescent="0.35">
      <c r="P13258" s="226"/>
      <c r="Q13258" s="226"/>
      <c r="R13258" s="226"/>
      <c r="S13258" s="226"/>
      <c r="T13258" s="226"/>
      <c r="U13258" s="226"/>
    </row>
    <row r="13259" spans="16:21" x14ac:dyDescent="0.35">
      <c r="P13259" s="226"/>
      <c r="Q13259" s="226"/>
      <c r="R13259" s="226"/>
      <c r="S13259" s="226"/>
      <c r="T13259" s="226"/>
      <c r="U13259" s="226"/>
    </row>
    <row r="13260" spans="16:21" x14ac:dyDescent="0.35">
      <c r="P13260" s="226"/>
      <c r="Q13260" s="226"/>
      <c r="R13260" s="226"/>
      <c r="S13260" s="226"/>
      <c r="T13260" s="226"/>
      <c r="U13260" s="226"/>
    </row>
    <row r="13261" spans="16:21" x14ac:dyDescent="0.35">
      <c r="P13261" s="226"/>
      <c r="Q13261" s="226"/>
      <c r="R13261" s="226"/>
      <c r="S13261" s="226"/>
      <c r="T13261" s="226"/>
      <c r="U13261" s="226"/>
    </row>
    <row r="13262" spans="16:21" x14ac:dyDescent="0.35">
      <c r="P13262" s="226"/>
      <c r="Q13262" s="226"/>
      <c r="R13262" s="226"/>
      <c r="S13262" s="226"/>
      <c r="T13262" s="226"/>
      <c r="U13262" s="226"/>
    </row>
    <row r="13263" spans="16:21" x14ac:dyDescent="0.35">
      <c r="P13263" s="226"/>
      <c r="Q13263" s="226"/>
      <c r="R13263" s="226"/>
      <c r="S13263" s="226"/>
      <c r="T13263" s="226"/>
      <c r="U13263" s="226"/>
    </row>
    <row r="13264" spans="16:21" x14ac:dyDescent="0.35">
      <c r="P13264" s="226"/>
      <c r="Q13264" s="226"/>
      <c r="R13264" s="226"/>
      <c r="S13264" s="226"/>
      <c r="T13264" s="226"/>
      <c r="U13264" s="226"/>
    </row>
    <row r="13265" spans="16:21" x14ac:dyDescent="0.35">
      <c r="P13265" s="226"/>
      <c r="Q13265" s="226"/>
      <c r="R13265" s="226"/>
      <c r="S13265" s="226"/>
      <c r="T13265" s="226"/>
      <c r="U13265" s="226"/>
    </row>
    <row r="13266" spans="16:21" x14ac:dyDescent="0.35">
      <c r="P13266" s="226"/>
      <c r="Q13266" s="226"/>
      <c r="R13266" s="226"/>
      <c r="S13266" s="226"/>
      <c r="T13266" s="226"/>
      <c r="U13266" s="226"/>
    </row>
    <row r="13267" spans="16:21" x14ac:dyDescent="0.35">
      <c r="P13267" s="226"/>
      <c r="Q13267" s="226"/>
      <c r="R13267" s="226"/>
      <c r="S13267" s="226"/>
      <c r="T13267" s="226"/>
      <c r="U13267" s="226"/>
    </row>
    <row r="13268" spans="16:21" x14ac:dyDescent="0.35">
      <c r="P13268" s="226"/>
      <c r="Q13268" s="226"/>
      <c r="R13268" s="226"/>
      <c r="S13268" s="226"/>
      <c r="T13268" s="226"/>
      <c r="U13268" s="226"/>
    </row>
    <row r="13269" spans="16:21" x14ac:dyDescent="0.35">
      <c r="P13269" s="226"/>
      <c r="Q13269" s="226"/>
      <c r="R13269" s="226"/>
      <c r="S13269" s="226"/>
      <c r="T13269" s="226"/>
      <c r="U13269" s="226"/>
    </row>
    <row r="13270" spans="16:21" x14ac:dyDescent="0.35">
      <c r="P13270" s="226"/>
      <c r="Q13270" s="226"/>
      <c r="R13270" s="226"/>
      <c r="S13270" s="226"/>
      <c r="T13270" s="226"/>
      <c r="U13270" s="226"/>
    </row>
    <row r="13271" spans="16:21" x14ac:dyDescent="0.35">
      <c r="P13271" s="226"/>
      <c r="Q13271" s="226"/>
      <c r="R13271" s="226"/>
      <c r="S13271" s="226"/>
      <c r="T13271" s="226"/>
      <c r="U13271" s="226"/>
    </row>
    <row r="13272" spans="16:21" x14ac:dyDescent="0.35">
      <c r="P13272" s="226"/>
      <c r="Q13272" s="226"/>
      <c r="R13272" s="226"/>
      <c r="S13272" s="226"/>
      <c r="T13272" s="226"/>
      <c r="U13272" s="226"/>
    </row>
    <row r="13273" spans="16:21" x14ac:dyDescent="0.35">
      <c r="P13273" s="226"/>
      <c r="Q13273" s="226"/>
      <c r="R13273" s="226"/>
      <c r="S13273" s="226"/>
      <c r="T13273" s="226"/>
      <c r="U13273" s="226"/>
    </row>
    <row r="13274" spans="16:21" x14ac:dyDescent="0.35">
      <c r="P13274" s="226"/>
      <c r="Q13274" s="226"/>
      <c r="R13274" s="226"/>
      <c r="S13274" s="226"/>
      <c r="T13274" s="226"/>
      <c r="U13274" s="226"/>
    </row>
    <row r="13275" spans="16:21" x14ac:dyDescent="0.35">
      <c r="P13275" s="226"/>
      <c r="Q13275" s="226"/>
      <c r="R13275" s="226"/>
      <c r="S13275" s="226"/>
      <c r="T13275" s="226"/>
      <c r="U13275" s="226"/>
    </row>
    <row r="13276" spans="16:21" x14ac:dyDescent="0.35">
      <c r="P13276" s="226"/>
      <c r="Q13276" s="226"/>
      <c r="R13276" s="226"/>
      <c r="S13276" s="226"/>
      <c r="T13276" s="226"/>
      <c r="U13276" s="226"/>
    </row>
    <row r="13277" spans="16:21" x14ac:dyDescent="0.35">
      <c r="P13277" s="226"/>
      <c r="Q13277" s="226"/>
      <c r="R13277" s="226"/>
      <c r="S13277" s="226"/>
      <c r="T13277" s="226"/>
      <c r="U13277" s="226"/>
    </row>
    <row r="13278" spans="16:21" x14ac:dyDescent="0.35">
      <c r="P13278" s="226"/>
      <c r="Q13278" s="226"/>
      <c r="R13278" s="226"/>
      <c r="S13278" s="226"/>
      <c r="T13278" s="226"/>
      <c r="U13278" s="226"/>
    </row>
    <row r="13279" spans="16:21" x14ac:dyDescent="0.35">
      <c r="P13279" s="226"/>
      <c r="Q13279" s="226"/>
      <c r="R13279" s="226"/>
      <c r="S13279" s="226"/>
      <c r="T13279" s="226"/>
      <c r="U13279" s="226"/>
    </row>
    <row r="13280" spans="16:21" x14ac:dyDescent="0.35">
      <c r="P13280" s="226"/>
      <c r="Q13280" s="226"/>
      <c r="R13280" s="226"/>
      <c r="S13280" s="226"/>
      <c r="T13280" s="226"/>
      <c r="U13280" s="226"/>
    </row>
    <row r="13281" spans="16:21" x14ac:dyDescent="0.35">
      <c r="P13281" s="226"/>
      <c r="Q13281" s="226"/>
      <c r="R13281" s="226"/>
      <c r="S13281" s="226"/>
      <c r="T13281" s="226"/>
      <c r="U13281" s="226"/>
    </row>
    <row r="13282" spans="16:21" x14ac:dyDescent="0.35">
      <c r="P13282" s="226"/>
      <c r="Q13282" s="226"/>
      <c r="R13282" s="226"/>
      <c r="S13282" s="226"/>
      <c r="T13282" s="226"/>
      <c r="U13282" s="226"/>
    </row>
    <row r="13283" spans="16:21" x14ac:dyDescent="0.35">
      <c r="P13283" s="226"/>
      <c r="Q13283" s="226"/>
      <c r="R13283" s="226"/>
      <c r="S13283" s="226"/>
      <c r="T13283" s="226"/>
      <c r="U13283" s="226"/>
    </row>
    <row r="13284" spans="16:21" x14ac:dyDescent="0.35">
      <c r="P13284" s="226"/>
      <c r="Q13284" s="226"/>
      <c r="R13284" s="226"/>
      <c r="S13284" s="226"/>
      <c r="T13284" s="226"/>
      <c r="U13284" s="226"/>
    </row>
    <row r="13285" spans="16:21" x14ac:dyDescent="0.35">
      <c r="P13285" s="226"/>
      <c r="Q13285" s="226"/>
      <c r="R13285" s="226"/>
      <c r="S13285" s="226"/>
      <c r="T13285" s="226"/>
      <c r="U13285" s="226"/>
    </row>
    <row r="13286" spans="16:21" x14ac:dyDescent="0.35">
      <c r="P13286" s="226"/>
      <c r="Q13286" s="226"/>
      <c r="R13286" s="226"/>
      <c r="S13286" s="226"/>
      <c r="T13286" s="226"/>
      <c r="U13286" s="226"/>
    </row>
    <row r="13287" spans="16:21" x14ac:dyDescent="0.35">
      <c r="P13287" s="226"/>
      <c r="Q13287" s="226"/>
      <c r="R13287" s="226"/>
      <c r="S13287" s="226"/>
      <c r="T13287" s="226"/>
      <c r="U13287" s="226"/>
    </row>
    <row r="13288" spans="16:21" x14ac:dyDescent="0.35">
      <c r="P13288" s="226"/>
      <c r="Q13288" s="226"/>
      <c r="R13288" s="226"/>
      <c r="S13288" s="226"/>
      <c r="T13288" s="226"/>
      <c r="U13288" s="226"/>
    </row>
    <row r="13289" spans="16:21" x14ac:dyDescent="0.35">
      <c r="P13289" s="226"/>
      <c r="Q13289" s="226"/>
      <c r="R13289" s="226"/>
      <c r="S13289" s="226"/>
      <c r="T13289" s="226"/>
      <c r="U13289" s="226"/>
    </row>
    <row r="13290" spans="16:21" x14ac:dyDescent="0.35">
      <c r="P13290" s="226"/>
      <c r="Q13290" s="226"/>
      <c r="R13290" s="226"/>
      <c r="S13290" s="226"/>
      <c r="T13290" s="226"/>
      <c r="U13290" s="226"/>
    </row>
    <row r="13291" spans="16:21" x14ac:dyDescent="0.35">
      <c r="P13291" s="226"/>
      <c r="Q13291" s="226"/>
      <c r="R13291" s="226"/>
      <c r="S13291" s="226"/>
      <c r="T13291" s="226"/>
      <c r="U13291" s="226"/>
    </row>
    <row r="13292" spans="16:21" x14ac:dyDescent="0.35">
      <c r="P13292" s="226"/>
      <c r="Q13292" s="226"/>
      <c r="R13292" s="226"/>
      <c r="S13292" s="226"/>
      <c r="T13292" s="226"/>
      <c r="U13292" s="226"/>
    </row>
    <row r="13293" spans="16:21" x14ac:dyDescent="0.35">
      <c r="P13293" s="226"/>
      <c r="Q13293" s="226"/>
      <c r="R13293" s="226"/>
      <c r="S13293" s="226"/>
      <c r="T13293" s="226"/>
      <c r="U13293" s="226"/>
    </row>
    <row r="13294" spans="16:21" x14ac:dyDescent="0.35">
      <c r="P13294" s="226"/>
      <c r="Q13294" s="226"/>
      <c r="R13294" s="226"/>
      <c r="S13294" s="226"/>
      <c r="T13294" s="226"/>
      <c r="U13294" s="226"/>
    </row>
    <row r="13295" spans="16:21" x14ac:dyDescent="0.35">
      <c r="P13295" s="226"/>
      <c r="Q13295" s="226"/>
      <c r="R13295" s="226"/>
      <c r="S13295" s="226"/>
      <c r="T13295" s="226"/>
      <c r="U13295" s="226"/>
    </row>
    <row r="13296" spans="16:21" x14ac:dyDescent="0.35">
      <c r="P13296" s="226"/>
      <c r="Q13296" s="226"/>
      <c r="R13296" s="226"/>
      <c r="S13296" s="226"/>
      <c r="T13296" s="226"/>
      <c r="U13296" s="226"/>
    </row>
    <row r="13297" spans="16:21" x14ac:dyDescent="0.35">
      <c r="P13297" s="226"/>
      <c r="Q13297" s="226"/>
      <c r="R13297" s="226"/>
      <c r="S13297" s="226"/>
      <c r="T13297" s="226"/>
      <c r="U13297" s="226"/>
    </row>
    <row r="13298" spans="16:21" x14ac:dyDescent="0.35">
      <c r="P13298" s="226"/>
      <c r="Q13298" s="226"/>
      <c r="R13298" s="226"/>
      <c r="S13298" s="226"/>
      <c r="T13298" s="226"/>
      <c r="U13298" s="226"/>
    </row>
    <row r="13299" spans="16:21" x14ac:dyDescent="0.35">
      <c r="P13299" s="226"/>
      <c r="Q13299" s="226"/>
      <c r="R13299" s="226"/>
      <c r="S13299" s="226"/>
      <c r="T13299" s="226"/>
      <c r="U13299" s="226"/>
    </row>
    <row r="13300" spans="16:21" x14ac:dyDescent="0.35">
      <c r="P13300" s="226"/>
      <c r="Q13300" s="226"/>
      <c r="R13300" s="226"/>
      <c r="S13300" s="226"/>
      <c r="T13300" s="226"/>
      <c r="U13300" s="226"/>
    </row>
    <row r="13301" spans="16:21" x14ac:dyDescent="0.35">
      <c r="P13301" s="226"/>
      <c r="Q13301" s="226"/>
      <c r="R13301" s="226"/>
      <c r="S13301" s="226"/>
      <c r="T13301" s="226"/>
      <c r="U13301" s="226"/>
    </row>
    <row r="13302" spans="16:21" x14ac:dyDescent="0.35">
      <c r="P13302" s="226"/>
      <c r="Q13302" s="226"/>
      <c r="R13302" s="226"/>
      <c r="S13302" s="226"/>
      <c r="T13302" s="226"/>
      <c r="U13302" s="226"/>
    </row>
    <row r="13303" spans="16:21" x14ac:dyDescent="0.35">
      <c r="P13303" s="226"/>
      <c r="Q13303" s="226"/>
      <c r="R13303" s="226"/>
      <c r="S13303" s="226"/>
      <c r="T13303" s="226"/>
      <c r="U13303" s="226"/>
    </row>
    <row r="13304" spans="16:21" x14ac:dyDescent="0.35">
      <c r="P13304" s="226"/>
      <c r="Q13304" s="226"/>
      <c r="R13304" s="226"/>
      <c r="S13304" s="226"/>
      <c r="T13304" s="226"/>
      <c r="U13304" s="226"/>
    </row>
    <row r="13305" spans="16:21" x14ac:dyDescent="0.35">
      <c r="P13305" s="226"/>
      <c r="Q13305" s="226"/>
      <c r="R13305" s="226"/>
      <c r="S13305" s="226"/>
      <c r="T13305" s="226"/>
      <c r="U13305" s="226"/>
    </row>
    <row r="13306" spans="16:21" x14ac:dyDescent="0.35">
      <c r="P13306" s="226"/>
      <c r="Q13306" s="226"/>
      <c r="R13306" s="226"/>
      <c r="S13306" s="226"/>
      <c r="T13306" s="226"/>
      <c r="U13306" s="226"/>
    </row>
    <row r="13307" spans="16:21" x14ac:dyDescent="0.35">
      <c r="P13307" s="226"/>
      <c r="Q13307" s="226"/>
      <c r="R13307" s="226"/>
      <c r="S13307" s="226"/>
      <c r="T13307" s="226"/>
      <c r="U13307" s="226"/>
    </row>
    <row r="13308" spans="16:21" x14ac:dyDescent="0.35">
      <c r="P13308" s="226"/>
      <c r="Q13308" s="226"/>
      <c r="R13308" s="226"/>
      <c r="S13308" s="226"/>
      <c r="T13308" s="226"/>
      <c r="U13308" s="226"/>
    </row>
    <row r="13309" spans="16:21" x14ac:dyDescent="0.35">
      <c r="P13309" s="226"/>
      <c r="Q13309" s="226"/>
      <c r="R13309" s="226"/>
      <c r="S13309" s="226"/>
      <c r="T13309" s="226"/>
      <c r="U13309" s="226"/>
    </row>
    <row r="13310" spans="16:21" x14ac:dyDescent="0.35">
      <c r="P13310" s="226"/>
      <c r="Q13310" s="226"/>
      <c r="R13310" s="226"/>
      <c r="S13310" s="226"/>
      <c r="T13310" s="226"/>
      <c r="U13310" s="226"/>
    </row>
    <row r="13311" spans="16:21" x14ac:dyDescent="0.35">
      <c r="P13311" s="226"/>
      <c r="Q13311" s="226"/>
      <c r="R13311" s="226"/>
      <c r="S13311" s="226"/>
      <c r="T13311" s="226"/>
      <c r="U13311" s="226"/>
    </row>
    <row r="13312" spans="16:21" x14ac:dyDescent="0.35">
      <c r="P13312" s="226"/>
      <c r="Q13312" s="226"/>
      <c r="R13312" s="226"/>
      <c r="S13312" s="226"/>
      <c r="T13312" s="226"/>
      <c r="U13312" s="226"/>
    </row>
    <row r="13313" spans="16:21" x14ac:dyDescent="0.35">
      <c r="P13313" s="226"/>
      <c r="Q13313" s="226"/>
      <c r="R13313" s="226"/>
      <c r="S13313" s="226"/>
      <c r="T13313" s="226"/>
      <c r="U13313" s="226"/>
    </row>
    <row r="13314" spans="16:21" x14ac:dyDescent="0.35">
      <c r="P13314" s="226"/>
      <c r="Q13314" s="226"/>
      <c r="R13314" s="226"/>
      <c r="S13314" s="226"/>
      <c r="T13314" s="226"/>
      <c r="U13314" s="226"/>
    </row>
    <row r="13315" spans="16:21" x14ac:dyDescent="0.35">
      <c r="P13315" s="226"/>
      <c r="Q13315" s="226"/>
      <c r="R13315" s="226"/>
      <c r="S13315" s="226"/>
      <c r="T13315" s="226"/>
      <c r="U13315" s="226"/>
    </row>
    <row r="13316" spans="16:21" x14ac:dyDescent="0.35">
      <c r="P13316" s="226"/>
      <c r="Q13316" s="226"/>
      <c r="R13316" s="226"/>
      <c r="S13316" s="226"/>
      <c r="T13316" s="226"/>
      <c r="U13316" s="226"/>
    </row>
    <row r="13317" spans="16:21" x14ac:dyDescent="0.35">
      <c r="P13317" s="226"/>
      <c r="Q13317" s="226"/>
      <c r="R13317" s="226"/>
      <c r="S13317" s="226"/>
      <c r="T13317" s="226"/>
      <c r="U13317" s="226"/>
    </row>
    <row r="13318" spans="16:21" x14ac:dyDescent="0.35">
      <c r="P13318" s="226"/>
      <c r="Q13318" s="226"/>
      <c r="R13318" s="226"/>
      <c r="S13318" s="226"/>
      <c r="T13318" s="226"/>
      <c r="U13318" s="226"/>
    </row>
    <row r="13319" spans="16:21" x14ac:dyDescent="0.35">
      <c r="P13319" s="226"/>
      <c r="Q13319" s="226"/>
      <c r="R13319" s="226"/>
      <c r="S13319" s="226"/>
      <c r="T13319" s="226"/>
      <c r="U13319" s="226"/>
    </row>
    <row r="13320" spans="16:21" x14ac:dyDescent="0.35">
      <c r="P13320" s="226"/>
      <c r="Q13320" s="226"/>
      <c r="R13320" s="226"/>
      <c r="S13320" s="226"/>
      <c r="T13320" s="226"/>
      <c r="U13320" s="226"/>
    </row>
    <row r="13321" spans="16:21" x14ac:dyDescent="0.35">
      <c r="P13321" s="226"/>
      <c r="Q13321" s="226"/>
      <c r="R13321" s="226"/>
      <c r="S13321" s="226"/>
      <c r="T13321" s="226"/>
      <c r="U13321" s="226"/>
    </row>
    <row r="13322" spans="16:21" x14ac:dyDescent="0.35">
      <c r="P13322" s="226"/>
      <c r="Q13322" s="226"/>
      <c r="R13322" s="226"/>
      <c r="S13322" s="226"/>
      <c r="T13322" s="226"/>
      <c r="U13322" s="226"/>
    </row>
    <row r="13323" spans="16:21" x14ac:dyDescent="0.35">
      <c r="P13323" s="226"/>
      <c r="Q13323" s="226"/>
      <c r="R13323" s="226"/>
      <c r="S13323" s="226"/>
      <c r="T13323" s="226"/>
      <c r="U13323" s="226"/>
    </row>
    <row r="13324" spans="16:21" x14ac:dyDescent="0.35">
      <c r="P13324" s="226"/>
      <c r="Q13324" s="226"/>
      <c r="R13324" s="226"/>
      <c r="S13324" s="226"/>
      <c r="T13324" s="226"/>
      <c r="U13324" s="226"/>
    </row>
    <row r="13325" spans="16:21" x14ac:dyDescent="0.35">
      <c r="P13325" s="226"/>
      <c r="Q13325" s="226"/>
      <c r="R13325" s="226"/>
      <c r="S13325" s="226"/>
      <c r="T13325" s="226"/>
      <c r="U13325" s="226"/>
    </row>
    <row r="13326" spans="16:21" x14ac:dyDescent="0.35">
      <c r="P13326" s="226"/>
      <c r="Q13326" s="226"/>
      <c r="R13326" s="226"/>
      <c r="S13326" s="226"/>
      <c r="T13326" s="226"/>
      <c r="U13326" s="226"/>
    </row>
    <row r="13327" spans="16:21" x14ac:dyDescent="0.35">
      <c r="P13327" s="226"/>
      <c r="Q13327" s="226"/>
      <c r="R13327" s="226"/>
      <c r="S13327" s="226"/>
      <c r="T13327" s="226"/>
      <c r="U13327" s="226"/>
    </row>
    <row r="13328" spans="16:21" x14ac:dyDescent="0.35">
      <c r="P13328" s="226"/>
      <c r="Q13328" s="226"/>
      <c r="R13328" s="226"/>
      <c r="S13328" s="226"/>
      <c r="T13328" s="226"/>
      <c r="U13328" s="226"/>
    </row>
    <row r="13329" spans="16:21" x14ac:dyDescent="0.35">
      <c r="P13329" s="226"/>
      <c r="Q13329" s="226"/>
      <c r="R13329" s="226"/>
      <c r="S13329" s="226"/>
      <c r="T13329" s="226"/>
      <c r="U13329" s="226"/>
    </row>
    <row r="13330" spans="16:21" x14ac:dyDescent="0.35">
      <c r="P13330" s="226"/>
      <c r="Q13330" s="226"/>
      <c r="R13330" s="226"/>
      <c r="S13330" s="226"/>
      <c r="T13330" s="226"/>
      <c r="U13330" s="226"/>
    </row>
    <row r="13331" spans="16:21" x14ac:dyDescent="0.35">
      <c r="P13331" s="226"/>
      <c r="Q13331" s="226"/>
      <c r="R13331" s="226"/>
      <c r="S13331" s="226"/>
      <c r="T13331" s="226"/>
      <c r="U13331" s="226"/>
    </row>
    <row r="13332" spans="16:21" x14ac:dyDescent="0.35">
      <c r="P13332" s="226"/>
      <c r="Q13332" s="226"/>
      <c r="R13332" s="226"/>
      <c r="S13332" s="226"/>
      <c r="T13332" s="226"/>
      <c r="U13332" s="226"/>
    </row>
    <row r="13333" spans="16:21" x14ac:dyDescent="0.35">
      <c r="P13333" s="226"/>
      <c r="Q13333" s="226"/>
      <c r="R13333" s="226"/>
      <c r="S13333" s="226"/>
      <c r="T13333" s="226"/>
      <c r="U13333" s="226"/>
    </row>
    <row r="13334" spans="16:21" x14ac:dyDescent="0.35">
      <c r="P13334" s="226"/>
      <c r="Q13334" s="226"/>
      <c r="R13334" s="226"/>
      <c r="S13334" s="226"/>
      <c r="T13334" s="226"/>
      <c r="U13334" s="226"/>
    </row>
    <row r="13335" spans="16:21" x14ac:dyDescent="0.35">
      <c r="P13335" s="226"/>
      <c r="Q13335" s="226"/>
      <c r="R13335" s="226"/>
      <c r="S13335" s="226"/>
      <c r="T13335" s="226"/>
      <c r="U13335" s="226"/>
    </row>
    <row r="13336" spans="16:21" x14ac:dyDescent="0.35">
      <c r="P13336" s="226"/>
      <c r="Q13336" s="226"/>
      <c r="R13336" s="226"/>
      <c r="S13336" s="226"/>
      <c r="T13336" s="226"/>
      <c r="U13336" s="226"/>
    </row>
    <row r="13337" spans="16:21" x14ac:dyDescent="0.35">
      <c r="P13337" s="226"/>
      <c r="Q13337" s="226"/>
      <c r="R13337" s="226"/>
      <c r="S13337" s="226"/>
      <c r="T13337" s="226"/>
      <c r="U13337" s="226"/>
    </row>
    <row r="13338" spans="16:21" x14ac:dyDescent="0.35">
      <c r="P13338" s="226"/>
      <c r="Q13338" s="226"/>
      <c r="R13338" s="226"/>
      <c r="S13338" s="226"/>
      <c r="T13338" s="226"/>
      <c r="U13338" s="226"/>
    </row>
    <row r="13339" spans="16:21" x14ac:dyDescent="0.35">
      <c r="P13339" s="226"/>
      <c r="Q13339" s="226"/>
      <c r="R13339" s="226"/>
      <c r="S13339" s="226"/>
      <c r="T13339" s="226"/>
      <c r="U13339" s="226"/>
    </row>
    <row r="13340" spans="16:21" x14ac:dyDescent="0.35">
      <c r="P13340" s="226"/>
      <c r="Q13340" s="226"/>
      <c r="R13340" s="226"/>
      <c r="S13340" s="226"/>
      <c r="T13340" s="226"/>
      <c r="U13340" s="226"/>
    </row>
    <row r="13341" spans="16:21" x14ac:dyDescent="0.35">
      <c r="P13341" s="226"/>
      <c r="Q13341" s="226"/>
      <c r="R13341" s="226"/>
      <c r="S13341" s="226"/>
      <c r="T13341" s="226"/>
      <c r="U13341" s="226"/>
    </row>
    <row r="13342" spans="16:21" x14ac:dyDescent="0.35">
      <c r="P13342" s="226"/>
      <c r="Q13342" s="226"/>
      <c r="R13342" s="226"/>
      <c r="S13342" s="226"/>
      <c r="T13342" s="226"/>
      <c r="U13342" s="226"/>
    </row>
    <row r="13343" spans="16:21" x14ac:dyDescent="0.35">
      <c r="P13343" s="226"/>
      <c r="Q13343" s="226"/>
      <c r="R13343" s="226"/>
      <c r="S13343" s="226"/>
      <c r="T13343" s="226"/>
      <c r="U13343" s="226"/>
    </row>
    <row r="13344" spans="16:21" x14ac:dyDescent="0.35">
      <c r="P13344" s="226"/>
      <c r="Q13344" s="226"/>
      <c r="R13344" s="226"/>
      <c r="S13344" s="226"/>
      <c r="T13344" s="226"/>
      <c r="U13344" s="226"/>
    </row>
    <row r="13345" spans="16:21" x14ac:dyDescent="0.35">
      <c r="P13345" s="226"/>
      <c r="Q13345" s="226"/>
      <c r="R13345" s="226"/>
      <c r="S13345" s="226"/>
      <c r="T13345" s="226"/>
      <c r="U13345" s="226"/>
    </row>
    <row r="13346" spans="16:21" x14ac:dyDescent="0.35">
      <c r="P13346" s="226"/>
      <c r="Q13346" s="226"/>
      <c r="R13346" s="226"/>
      <c r="S13346" s="226"/>
      <c r="T13346" s="226"/>
      <c r="U13346" s="226"/>
    </row>
    <row r="13347" spans="16:21" x14ac:dyDescent="0.35">
      <c r="P13347" s="226"/>
      <c r="Q13347" s="226"/>
      <c r="R13347" s="226"/>
      <c r="S13347" s="226"/>
      <c r="T13347" s="226"/>
      <c r="U13347" s="226"/>
    </row>
    <row r="13348" spans="16:21" x14ac:dyDescent="0.35">
      <c r="P13348" s="226"/>
      <c r="Q13348" s="226"/>
      <c r="R13348" s="226"/>
      <c r="S13348" s="226"/>
      <c r="T13348" s="226"/>
      <c r="U13348" s="226"/>
    </row>
    <row r="13349" spans="16:21" x14ac:dyDescent="0.35">
      <c r="P13349" s="226"/>
      <c r="Q13349" s="226"/>
      <c r="R13349" s="226"/>
      <c r="S13349" s="226"/>
      <c r="T13349" s="226"/>
      <c r="U13349" s="226"/>
    </row>
    <row r="13350" spans="16:21" x14ac:dyDescent="0.35">
      <c r="P13350" s="226"/>
      <c r="Q13350" s="226"/>
      <c r="R13350" s="226"/>
      <c r="S13350" s="226"/>
      <c r="T13350" s="226"/>
      <c r="U13350" s="226"/>
    </row>
    <row r="13351" spans="16:21" x14ac:dyDescent="0.35">
      <c r="P13351" s="226"/>
      <c r="Q13351" s="226"/>
      <c r="R13351" s="226"/>
      <c r="S13351" s="226"/>
      <c r="T13351" s="226"/>
      <c r="U13351" s="226"/>
    </row>
    <row r="13352" spans="16:21" x14ac:dyDescent="0.35">
      <c r="P13352" s="226"/>
      <c r="Q13352" s="226"/>
      <c r="R13352" s="226"/>
      <c r="S13352" s="226"/>
      <c r="T13352" s="226"/>
      <c r="U13352" s="226"/>
    </row>
    <row r="13353" spans="16:21" x14ac:dyDescent="0.35">
      <c r="P13353" s="226"/>
      <c r="Q13353" s="226"/>
      <c r="R13353" s="226"/>
      <c r="S13353" s="226"/>
      <c r="T13353" s="226"/>
      <c r="U13353" s="226"/>
    </row>
    <row r="13354" spans="16:21" x14ac:dyDescent="0.35">
      <c r="P13354" s="226"/>
      <c r="Q13354" s="226"/>
      <c r="R13354" s="226"/>
      <c r="S13354" s="226"/>
      <c r="T13354" s="226"/>
      <c r="U13354" s="226"/>
    </row>
    <row r="13355" spans="16:21" x14ac:dyDescent="0.35">
      <c r="P13355" s="226"/>
      <c r="Q13355" s="226"/>
      <c r="R13355" s="226"/>
      <c r="S13355" s="226"/>
      <c r="T13355" s="226"/>
      <c r="U13355" s="226"/>
    </row>
    <row r="13356" spans="16:21" x14ac:dyDescent="0.35">
      <c r="P13356" s="226"/>
      <c r="Q13356" s="226"/>
      <c r="R13356" s="226"/>
      <c r="S13356" s="226"/>
      <c r="T13356" s="226"/>
      <c r="U13356" s="226"/>
    </row>
    <row r="13357" spans="16:21" x14ac:dyDescent="0.35">
      <c r="P13357" s="226"/>
      <c r="Q13357" s="226"/>
      <c r="R13357" s="226"/>
      <c r="S13357" s="226"/>
      <c r="T13357" s="226"/>
      <c r="U13357" s="226"/>
    </row>
    <row r="13358" spans="16:21" x14ac:dyDescent="0.35">
      <c r="P13358" s="226"/>
      <c r="Q13358" s="226"/>
      <c r="R13358" s="226"/>
      <c r="S13358" s="226"/>
      <c r="T13358" s="226"/>
      <c r="U13358" s="226"/>
    </row>
    <row r="13359" spans="16:21" x14ac:dyDescent="0.35">
      <c r="P13359" s="226"/>
      <c r="Q13359" s="226"/>
      <c r="R13359" s="226"/>
      <c r="S13359" s="226"/>
      <c r="T13359" s="226"/>
      <c r="U13359" s="226"/>
    </row>
    <row r="13360" spans="16:21" x14ac:dyDescent="0.35">
      <c r="P13360" s="226"/>
      <c r="Q13360" s="226"/>
      <c r="R13360" s="226"/>
      <c r="S13360" s="226"/>
      <c r="T13360" s="226"/>
      <c r="U13360" s="226"/>
    </row>
    <row r="13361" spans="16:21" x14ac:dyDescent="0.35">
      <c r="P13361" s="226"/>
      <c r="Q13361" s="226"/>
      <c r="R13361" s="226"/>
      <c r="S13361" s="226"/>
      <c r="T13361" s="226"/>
      <c r="U13361" s="226"/>
    </row>
    <row r="13362" spans="16:21" x14ac:dyDescent="0.35">
      <c r="P13362" s="226"/>
      <c r="Q13362" s="226"/>
      <c r="R13362" s="226"/>
      <c r="S13362" s="226"/>
      <c r="T13362" s="226"/>
      <c r="U13362" s="226"/>
    </row>
    <row r="13363" spans="16:21" x14ac:dyDescent="0.35">
      <c r="P13363" s="226"/>
      <c r="Q13363" s="226"/>
      <c r="R13363" s="226"/>
      <c r="S13363" s="226"/>
      <c r="T13363" s="226"/>
      <c r="U13363" s="226"/>
    </row>
    <row r="13364" spans="16:21" x14ac:dyDescent="0.35">
      <c r="P13364" s="226"/>
      <c r="Q13364" s="226"/>
      <c r="R13364" s="226"/>
      <c r="S13364" s="226"/>
      <c r="T13364" s="226"/>
      <c r="U13364" s="226"/>
    </row>
    <row r="13365" spans="16:21" x14ac:dyDescent="0.35">
      <c r="P13365" s="226"/>
      <c r="Q13365" s="226"/>
      <c r="R13365" s="226"/>
      <c r="S13365" s="226"/>
      <c r="T13365" s="226"/>
      <c r="U13365" s="226"/>
    </row>
    <row r="13366" spans="16:21" x14ac:dyDescent="0.35">
      <c r="P13366" s="226"/>
      <c r="Q13366" s="226"/>
      <c r="R13366" s="226"/>
      <c r="S13366" s="226"/>
      <c r="T13366" s="226"/>
      <c r="U13366" s="226"/>
    </row>
    <row r="13367" spans="16:21" x14ac:dyDescent="0.35">
      <c r="P13367" s="226"/>
      <c r="Q13367" s="226"/>
      <c r="R13367" s="226"/>
      <c r="S13367" s="226"/>
      <c r="T13367" s="226"/>
      <c r="U13367" s="226"/>
    </row>
    <row r="13368" spans="16:21" x14ac:dyDescent="0.35">
      <c r="P13368" s="226"/>
      <c r="Q13368" s="226"/>
      <c r="R13368" s="226"/>
      <c r="S13368" s="226"/>
      <c r="T13368" s="226"/>
      <c r="U13368" s="226"/>
    </row>
    <row r="13369" spans="16:21" x14ac:dyDescent="0.35">
      <c r="P13369" s="226"/>
      <c r="Q13369" s="226"/>
      <c r="R13369" s="226"/>
      <c r="S13369" s="226"/>
      <c r="T13369" s="226"/>
      <c r="U13369" s="226"/>
    </row>
    <row r="13370" spans="16:21" x14ac:dyDescent="0.35">
      <c r="P13370" s="226"/>
      <c r="Q13370" s="226"/>
      <c r="R13370" s="226"/>
      <c r="S13370" s="226"/>
      <c r="T13370" s="226"/>
      <c r="U13370" s="226"/>
    </row>
    <row r="13371" spans="16:21" x14ac:dyDescent="0.35">
      <c r="P13371" s="226"/>
      <c r="Q13371" s="226"/>
      <c r="R13371" s="226"/>
      <c r="S13371" s="226"/>
      <c r="T13371" s="226"/>
      <c r="U13371" s="226"/>
    </row>
    <row r="13372" spans="16:21" x14ac:dyDescent="0.35">
      <c r="P13372" s="226"/>
      <c r="Q13372" s="226"/>
      <c r="R13372" s="226"/>
      <c r="S13372" s="226"/>
      <c r="T13372" s="226"/>
      <c r="U13372" s="226"/>
    </row>
    <row r="13373" spans="16:21" x14ac:dyDescent="0.35">
      <c r="P13373" s="226"/>
      <c r="Q13373" s="226"/>
      <c r="R13373" s="226"/>
      <c r="S13373" s="226"/>
      <c r="T13373" s="226"/>
      <c r="U13373" s="226"/>
    </row>
    <row r="13374" spans="16:21" x14ac:dyDescent="0.35">
      <c r="P13374" s="226"/>
      <c r="Q13374" s="226"/>
      <c r="R13374" s="226"/>
      <c r="S13374" s="226"/>
      <c r="T13374" s="226"/>
      <c r="U13374" s="226"/>
    </row>
    <row r="13375" spans="16:21" x14ac:dyDescent="0.35">
      <c r="P13375" s="226"/>
      <c r="Q13375" s="226"/>
      <c r="R13375" s="226"/>
      <c r="S13375" s="226"/>
      <c r="T13375" s="226"/>
      <c r="U13375" s="226"/>
    </row>
    <row r="13376" spans="16:21" x14ac:dyDescent="0.35">
      <c r="P13376" s="226"/>
      <c r="Q13376" s="226"/>
      <c r="R13376" s="226"/>
      <c r="S13376" s="226"/>
      <c r="T13376" s="226"/>
      <c r="U13376" s="226"/>
    </row>
    <row r="13377" spans="16:21" x14ac:dyDescent="0.35">
      <c r="P13377" s="226"/>
      <c r="Q13377" s="226"/>
      <c r="R13377" s="226"/>
      <c r="S13377" s="226"/>
      <c r="T13377" s="226"/>
      <c r="U13377" s="226"/>
    </row>
    <row r="13378" spans="16:21" x14ac:dyDescent="0.35">
      <c r="P13378" s="226"/>
      <c r="Q13378" s="226"/>
      <c r="R13378" s="226"/>
      <c r="S13378" s="226"/>
      <c r="T13378" s="226"/>
      <c r="U13378" s="226"/>
    </row>
    <row r="13379" spans="16:21" x14ac:dyDescent="0.35">
      <c r="P13379" s="226"/>
      <c r="Q13379" s="226"/>
      <c r="R13379" s="226"/>
      <c r="S13379" s="226"/>
      <c r="T13379" s="226"/>
      <c r="U13379" s="226"/>
    </row>
    <row r="13380" spans="16:21" x14ac:dyDescent="0.35">
      <c r="P13380" s="226"/>
      <c r="Q13380" s="226"/>
      <c r="R13380" s="226"/>
      <c r="S13380" s="226"/>
      <c r="T13380" s="226"/>
      <c r="U13380" s="226"/>
    </row>
    <row r="13381" spans="16:21" x14ac:dyDescent="0.35">
      <c r="P13381" s="226"/>
      <c r="Q13381" s="226"/>
      <c r="R13381" s="226"/>
      <c r="S13381" s="226"/>
      <c r="T13381" s="226"/>
      <c r="U13381" s="226"/>
    </row>
    <row r="13382" spans="16:21" x14ac:dyDescent="0.35">
      <c r="P13382" s="226"/>
      <c r="Q13382" s="226"/>
      <c r="R13382" s="226"/>
      <c r="S13382" s="226"/>
      <c r="T13382" s="226"/>
      <c r="U13382" s="226"/>
    </row>
    <row r="13383" spans="16:21" x14ac:dyDescent="0.35">
      <c r="P13383" s="226"/>
      <c r="Q13383" s="226"/>
      <c r="R13383" s="226"/>
      <c r="S13383" s="226"/>
      <c r="T13383" s="226"/>
      <c r="U13383" s="226"/>
    </row>
    <row r="13384" spans="16:21" x14ac:dyDescent="0.35">
      <c r="P13384" s="226"/>
      <c r="Q13384" s="226"/>
      <c r="R13384" s="226"/>
      <c r="S13384" s="226"/>
      <c r="T13384" s="226"/>
      <c r="U13384" s="226"/>
    </row>
    <row r="13385" spans="16:21" x14ac:dyDescent="0.35">
      <c r="P13385" s="226"/>
      <c r="Q13385" s="226"/>
      <c r="R13385" s="226"/>
      <c r="S13385" s="226"/>
      <c r="T13385" s="226"/>
      <c r="U13385" s="226"/>
    </row>
    <row r="13386" spans="16:21" x14ac:dyDescent="0.35">
      <c r="P13386" s="226"/>
      <c r="Q13386" s="226"/>
      <c r="R13386" s="226"/>
      <c r="S13386" s="226"/>
      <c r="T13386" s="226"/>
      <c r="U13386" s="226"/>
    </row>
    <row r="13387" spans="16:21" x14ac:dyDescent="0.35">
      <c r="P13387" s="226"/>
      <c r="Q13387" s="226"/>
      <c r="R13387" s="226"/>
      <c r="S13387" s="226"/>
      <c r="T13387" s="226"/>
      <c r="U13387" s="226"/>
    </row>
    <row r="13388" spans="16:21" x14ac:dyDescent="0.35">
      <c r="P13388" s="226"/>
      <c r="Q13388" s="226"/>
      <c r="R13388" s="226"/>
      <c r="S13388" s="226"/>
      <c r="T13388" s="226"/>
      <c r="U13388" s="226"/>
    </row>
    <row r="13389" spans="16:21" x14ac:dyDescent="0.35">
      <c r="P13389" s="226"/>
      <c r="Q13389" s="226"/>
      <c r="R13389" s="226"/>
      <c r="S13389" s="226"/>
      <c r="T13389" s="226"/>
      <c r="U13389" s="226"/>
    </row>
    <row r="13390" spans="16:21" x14ac:dyDescent="0.35">
      <c r="P13390" s="226"/>
      <c r="Q13390" s="226"/>
      <c r="R13390" s="226"/>
      <c r="S13390" s="226"/>
      <c r="T13390" s="226"/>
      <c r="U13390" s="226"/>
    </row>
    <row r="13391" spans="16:21" x14ac:dyDescent="0.35">
      <c r="P13391" s="226"/>
      <c r="Q13391" s="226"/>
      <c r="R13391" s="226"/>
      <c r="S13391" s="226"/>
      <c r="T13391" s="226"/>
      <c r="U13391" s="226"/>
    </row>
    <row r="13392" spans="16:21" x14ac:dyDescent="0.35">
      <c r="P13392" s="226"/>
      <c r="Q13392" s="226"/>
      <c r="R13392" s="226"/>
      <c r="S13392" s="226"/>
      <c r="T13392" s="226"/>
      <c r="U13392" s="226"/>
    </row>
    <row r="13393" spans="16:21" x14ac:dyDescent="0.35">
      <c r="P13393" s="226"/>
      <c r="Q13393" s="226"/>
      <c r="R13393" s="226"/>
      <c r="S13393" s="226"/>
      <c r="T13393" s="226"/>
      <c r="U13393" s="226"/>
    </row>
    <row r="13394" spans="16:21" x14ac:dyDescent="0.35">
      <c r="P13394" s="226"/>
      <c r="Q13394" s="226"/>
      <c r="R13394" s="226"/>
      <c r="S13394" s="226"/>
      <c r="T13394" s="226"/>
      <c r="U13394" s="226"/>
    </row>
    <row r="13395" spans="16:21" x14ac:dyDescent="0.35">
      <c r="P13395" s="226"/>
      <c r="Q13395" s="226"/>
      <c r="R13395" s="226"/>
      <c r="S13395" s="226"/>
      <c r="T13395" s="226"/>
      <c r="U13395" s="226"/>
    </row>
    <row r="13396" spans="16:21" x14ac:dyDescent="0.35">
      <c r="P13396" s="226"/>
      <c r="Q13396" s="226"/>
      <c r="R13396" s="226"/>
      <c r="S13396" s="226"/>
      <c r="T13396" s="226"/>
      <c r="U13396" s="226"/>
    </row>
    <row r="13397" spans="16:21" x14ac:dyDescent="0.35">
      <c r="P13397" s="226"/>
      <c r="Q13397" s="226"/>
      <c r="R13397" s="226"/>
      <c r="S13397" s="226"/>
      <c r="T13397" s="226"/>
      <c r="U13397" s="226"/>
    </row>
    <row r="13398" spans="16:21" x14ac:dyDescent="0.35">
      <c r="P13398" s="226"/>
      <c r="Q13398" s="226"/>
      <c r="R13398" s="226"/>
      <c r="S13398" s="226"/>
      <c r="T13398" s="226"/>
      <c r="U13398" s="226"/>
    </row>
    <row r="13399" spans="16:21" x14ac:dyDescent="0.35">
      <c r="P13399" s="226"/>
      <c r="Q13399" s="226"/>
      <c r="R13399" s="226"/>
      <c r="S13399" s="226"/>
      <c r="T13399" s="226"/>
      <c r="U13399" s="226"/>
    </row>
    <row r="13400" spans="16:21" x14ac:dyDescent="0.35">
      <c r="P13400" s="226"/>
      <c r="Q13400" s="226"/>
      <c r="R13400" s="226"/>
      <c r="S13400" s="226"/>
      <c r="T13400" s="226"/>
      <c r="U13400" s="226"/>
    </row>
    <row r="13401" spans="16:21" x14ac:dyDescent="0.35">
      <c r="P13401" s="226"/>
      <c r="Q13401" s="226"/>
      <c r="R13401" s="226"/>
      <c r="S13401" s="226"/>
      <c r="T13401" s="226"/>
      <c r="U13401" s="226"/>
    </row>
    <row r="13402" spans="16:21" x14ac:dyDescent="0.35">
      <c r="P13402" s="226"/>
      <c r="Q13402" s="226"/>
      <c r="R13402" s="226"/>
      <c r="S13402" s="226"/>
      <c r="T13402" s="226"/>
      <c r="U13402" s="226"/>
    </row>
    <row r="13403" spans="16:21" x14ac:dyDescent="0.35">
      <c r="P13403" s="226"/>
      <c r="Q13403" s="226"/>
      <c r="R13403" s="226"/>
      <c r="S13403" s="226"/>
      <c r="T13403" s="226"/>
      <c r="U13403" s="226"/>
    </row>
    <row r="13404" spans="16:21" x14ac:dyDescent="0.35">
      <c r="P13404" s="226"/>
      <c r="Q13404" s="226"/>
      <c r="R13404" s="226"/>
      <c r="S13404" s="226"/>
      <c r="T13404" s="226"/>
      <c r="U13404" s="226"/>
    </row>
    <row r="13405" spans="16:21" x14ac:dyDescent="0.35">
      <c r="P13405" s="226"/>
      <c r="Q13405" s="226"/>
      <c r="R13405" s="226"/>
      <c r="S13405" s="226"/>
      <c r="T13405" s="226"/>
      <c r="U13405" s="226"/>
    </row>
    <row r="13406" spans="16:21" x14ac:dyDescent="0.35">
      <c r="P13406" s="226"/>
      <c r="Q13406" s="226"/>
      <c r="R13406" s="226"/>
      <c r="S13406" s="226"/>
      <c r="T13406" s="226"/>
      <c r="U13406" s="226"/>
    </row>
    <row r="13407" spans="16:21" x14ac:dyDescent="0.35">
      <c r="P13407" s="226"/>
      <c r="Q13407" s="226"/>
      <c r="R13407" s="226"/>
      <c r="S13407" s="226"/>
      <c r="T13407" s="226"/>
      <c r="U13407" s="226"/>
    </row>
    <row r="13408" spans="16:21" x14ac:dyDescent="0.35">
      <c r="P13408" s="226"/>
      <c r="Q13408" s="226"/>
      <c r="R13408" s="226"/>
      <c r="S13408" s="226"/>
      <c r="T13408" s="226"/>
      <c r="U13408" s="226"/>
    </row>
    <row r="13409" spans="16:21" x14ac:dyDescent="0.35">
      <c r="P13409" s="226"/>
      <c r="Q13409" s="226"/>
      <c r="R13409" s="226"/>
      <c r="S13409" s="226"/>
      <c r="T13409" s="226"/>
      <c r="U13409" s="226"/>
    </row>
    <row r="13410" spans="16:21" x14ac:dyDescent="0.35">
      <c r="P13410" s="226"/>
      <c r="Q13410" s="226"/>
      <c r="R13410" s="226"/>
      <c r="S13410" s="226"/>
      <c r="T13410" s="226"/>
      <c r="U13410" s="226"/>
    </row>
    <row r="13411" spans="16:21" x14ac:dyDescent="0.35">
      <c r="P13411" s="226"/>
      <c r="Q13411" s="226"/>
      <c r="R13411" s="226"/>
      <c r="S13411" s="226"/>
      <c r="T13411" s="226"/>
      <c r="U13411" s="226"/>
    </row>
    <row r="13412" spans="16:21" x14ac:dyDescent="0.35">
      <c r="P13412" s="226"/>
      <c r="Q13412" s="226"/>
      <c r="R13412" s="226"/>
      <c r="S13412" s="226"/>
      <c r="T13412" s="226"/>
      <c r="U13412" s="226"/>
    </row>
    <row r="13413" spans="16:21" x14ac:dyDescent="0.35">
      <c r="P13413" s="226"/>
      <c r="Q13413" s="226"/>
      <c r="R13413" s="226"/>
      <c r="S13413" s="226"/>
      <c r="T13413" s="226"/>
      <c r="U13413" s="226"/>
    </row>
    <row r="13414" spans="16:21" x14ac:dyDescent="0.35">
      <c r="P13414" s="226"/>
      <c r="Q13414" s="226"/>
      <c r="R13414" s="226"/>
      <c r="S13414" s="226"/>
      <c r="T13414" s="226"/>
      <c r="U13414" s="226"/>
    </row>
    <row r="13415" spans="16:21" x14ac:dyDescent="0.35">
      <c r="P13415" s="226"/>
      <c r="Q13415" s="226"/>
      <c r="R13415" s="226"/>
      <c r="S13415" s="226"/>
      <c r="T13415" s="226"/>
      <c r="U13415" s="226"/>
    </row>
    <row r="13416" spans="16:21" x14ac:dyDescent="0.35">
      <c r="P13416" s="226"/>
      <c r="Q13416" s="226"/>
      <c r="R13416" s="226"/>
      <c r="S13416" s="226"/>
      <c r="T13416" s="226"/>
      <c r="U13416" s="226"/>
    </row>
    <row r="13417" spans="16:21" x14ac:dyDescent="0.35">
      <c r="P13417" s="226"/>
      <c r="Q13417" s="226"/>
      <c r="R13417" s="226"/>
      <c r="S13417" s="226"/>
      <c r="T13417" s="226"/>
      <c r="U13417" s="226"/>
    </row>
    <row r="13418" spans="16:21" x14ac:dyDescent="0.35">
      <c r="P13418" s="226"/>
      <c r="Q13418" s="226"/>
      <c r="R13418" s="226"/>
      <c r="S13418" s="226"/>
      <c r="T13418" s="226"/>
      <c r="U13418" s="226"/>
    </row>
    <row r="13419" spans="16:21" x14ac:dyDescent="0.35">
      <c r="P13419" s="226"/>
      <c r="Q13419" s="226"/>
      <c r="R13419" s="226"/>
      <c r="S13419" s="226"/>
      <c r="T13419" s="226"/>
      <c r="U13419" s="226"/>
    </row>
    <row r="13420" spans="16:21" x14ac:dyDescent="0.35">
      <c r="P13420" s="226"/>
      <c r="Q13420" s="226"/>
      <c r="R13420" s="226"/>
      <c r="S13420" s="226"/>
      <c r="T13420" s="226"/>
      <c r="U13420" s="226"/>
    </row>
    <row r="13421" spans="16:21" x14ac:dyDescent="0.35">
      <c r="P13421" s="226"/>
      <c r="Q13421" s="226"/>
      <c r="R13421" s="226"/>
      <c r="S13421" s="226"/>
      <c r="T13421" s="226"/>
      <c r="U13421" s="226"/>
    </row>
    <row r="13422" spans="16:21" x14ac:dyDescent="0.35">
      <c r="P13422" s="226"/>
      <c r="Q13422" s="226"/>
      <c r="R13422" s="226"/>
      <c r="S13422" s="226"/>
      <c r="T13422" s="226"/>
      <c r="U13422" s="226"/>
    </row>
    <row r="13423" spans="16:21" x14ac:dyDescent="0.35">
      <c r="P13423" s="226"/>
      <c r="Q13423" s="226"/>
      <c r="R13423" s="226"/>
      <c r="S13423" s="226"/>
      <c r="T13423" s="226"/>
      <c r="U13423" s="226"/>
    </row>
    <row r="13424" spans="16:21" x14ac:dyDescent="0.35">
      <c r="P13424" s="226"/>
      <c r="Q13424" s="226"/>
      <c r="R13424" s="226"/>
      <c r="S13424" s="226"/>
      <c r="T13424" s="226"/>
      <c r="U13424" s="226"/>
    </row>
    <row r="13425" spans="16:21" x14ac:dyDescent="0.35">
      <c r="P13425" s="226"/>
      <c r="Q13425" s="226"/>
      <c r="R13425" s="226"/>
      <c r="S13425" s="226"/>
      <c r="T13425" s="226"/>
      <c r="U13425" s="226"/>
    </row>
    <row r="13426" spans="16:21" x14ac:dyDescent="0.35">
      <c r="P13426" s="226"/>
      <c r="Q13426" s="226"/>
      <c r="R13426" s="226"/>
      <c r="S13426" s="226"/>
      <c r="T13426" s="226"/>
      <c r="U13426" s="226"/>
    </row>
    <row r="13427" spans="16:21" x14ac:dyDescent="0.35">
      <c r="P13427" s="226"/>
      <c r="Q13427" s="226"/>
      <c r="R13427" s="226"/>
      <c r="S13427" s="226"/>
      <c r="T13427" s="226"/>
      <c r="U13427" s="226"/>
    </row>
    <row r="13428" spans="16:21" x14ac:dyDescent="0.35">
      <c r="P13428" s="226"/>
      <c r="Q13428" s="226"/>
      <c r="R13428" s="226"/>
      <c r="S13428" s="226"/>
      <c r="T13428" s="226"/>
      <c r="U13428" s="226"/>
    </row>
    <row r="13429" spans="16:21" x14ac:dyDescent="0.35">
      <c r="P13429" s="226"/>
      <c r="Q13429" s="226"/>
      <c r="R13429" s="226"/>
      <c r="S13429" s="226"/>
      <c r="T13429" s="226"/>
      <c r="U13429" s="226"/>
    </row>
    <row r="13430" spans="16:21" x14ac:dyDescent="0.35">
      <c r="P13430" s="226"/>
      <c r="Q13430" s="226"/>
      <c r="R13430" s="226"/>
      <c r="S13430" s="226"/>
      <c r="T13430" s="226"/>
      <c r="U13430" s="226"/>
    </row>
    <row r="13431" spans="16:21" x14ac:dyDescent="0.35">
      <c r="P13431" s="226"/>
      <c r="Q13431" s="226"/>
      <c r="R13431" s="226"/>
      <c r="S13431" s="226"/>
      <c r="T13431" s="226"/>
      <c r="U13431" s="226"/>
    </row>
    <row r="13432" spans="16:21" x14ac:dyDescent="0.35">
      <c r="P13432" s="226"/>
      <c r="Q13432" s="226"/>
      <c r="R13432" s="226"/>
      <c r="S13432" s="226"/>
      <c r="T13432" s="226"/>
      <c r="U13432" s="226"/>
    </row>
    <row r="13433" spans="16:21" x14ac:dyDescent="0.35">
      <c r="P13433" s="226"/>
      <c r="Q13433" s="226"/>
      <c r="R13433" s="226"/>
      <c r="S13433" s="226"/>
      <c r="T13433" s="226"/>
      <c r="U13433" s="226"/>
    </row>
    <row r="13434" spans="16:21" x14ac:dyDescent="0.35">
      <c r="P13434" s="226"/>
      <c r="Q13434" s="226"/>
      <c r="R13434" s="226"/>
      <c r="S13434" s="226"/>
      <c r="T13434" s="226"/>
      <c r="U13434" s="226"/>
    </row>
    <row r="13435" spans="16:21" x14ac:dyDescent="0.35">
      <c r="P13435" s="226"/>
      <c r="Q13435" s="226"/>
      <c r="R13435" s="226"/>
      <c r="S13435" s="226"/>
      <c r="T13435" s="226"/>
      <c r="U13435" s="226"/>
    </row>
    <row r="13436" spans="16:21" x14ac:dyDescent="0.35">
      <c r="P13436" s="226"/>
      <c r="Q13436" s="226"/>
      <c r="R13436" s="226"/>
      <c r="S13436" s="226"/>
      <c r="T13436" s="226"/>
      <c r="U13436" s="226"/>
    </row>
    <row r="13437" spans="16:21" x14ac:dyDescent="0.35">
      <c r="P13437" s="226"/>
      <c r="Q13437" s="226"/>
      <c r="R13437" s="226"/>
      <c r="S13437" s="226"/>
      <c r="T13437" s="226"/>
      <c r="U13437" s="226"/>
    </row>
    <row r="13438" spans="16:21" x14ac:dyDescent="0.35">
      <c r="P13438" s="226"/>
      <c r="Q13438" s="226"/>
      <c r="R13438" s="226"/>
      <c r="S13438" s="226"/>
      <c r="T13438" s="226"/>
      <c r="U13438" s="226"/>
    </row>
    <row r="13439" spans="16:21" x14ac:dyDescent="0.35">
      <c r="P13439" s="226"/>
      <c r="Q13439" s="226"/>
      <c r="R13439" s="226"/>
      <c r="S13439" s="226"/>
      <c r="T13439" s="226"/>
      <c r="U13439" s="226"/>
    </row>
    <row r="13440" spans="16:21" x14ac:dyDescent="0.35">
      <c r="P13440" s="226"/>
      <c r="Q13440" s="226"/>
      <c r="R13440" s="226"/>
      <c r="S13440" s="226"/>
      <c r="T13440" s="226"/>
      <c r="U13440" s="226"/>
    </row>
    <row r="13441" spans="16:21" x14ac:dyDescent="0.35">
      <c r="P13441" s="226"/>
      <c r="Q13441" s="226"/>
      <c r="R13441" s="226"/>
      <c r="S13441" s="226"/>
      <c r="T13441" s="226"/>
      <c r="U13441" s="226"/>
    </row>
    <row r="13442" spans="16:21" x14ac:dyDescent="0.35">
      <c r="P13442" s="226"/>
      <c r="Q13442" s="226"/>
      <c r="R13442" s="226"/>
      <c r="S13442" s="226"/>
      <c r="T13442" s="226"/>
      <c r="U13442" s="226"/>
    </row>
    <row r="13443" spans="16:21" x14ac:dyDescent="0.35">
      <c r="P13443" s="226"/>
      <c r="Q13443" s="226"/>
      <c r="R13443" s="226"/>
      <c r="S13443" s="226"/>
      <c r="T13443" s="226"/>
      <c r="U13443" s="226"/>
    </row>
    <row r="13444" spans="16:21" x14ac:dyDescent="0.35">
      <c r="P13444" s="226"/>
      <c r="Q13444" s="226"/>
      <c r="R13444" s="226"/>
      <c r="S13444" s="226"/>
      <c r="T13444" s="226"/>
      <c r="U13444" s="226"/>
    </row>
    <row r="13445" spans="16:21" x14ac:dyDescent="0.35">
      <c r="P13445" s="226"/>
      <c r="Q13445" s="226"/>
      <c r="R13445" s="226"/>
      <c r="S13445" s="226"/>
      <c r="T13445" s="226"/>
      <c r="U13445" s="226"/>
    </row>
    <row r="13446" spans="16:21" x14ac:dyDescent="0.35">
      <c r="P13446" s="226"/>
      <c r="Q13446" s="226"/>
      <c r="R13446" s="226"/>
      <c r="S13446" s="226"/>
      <c r="T13446" s="226"/>
      <c r="U13446" s="226"/>
    </row>
    <row r="13447" spans="16:21" x14ac:dyDescent="0.35">
      <c r="P13447" s="226"/>
      <c r="Q13447" s="226"/>
      <c r="R13447" s="226"/>
      <c r="S13447" s="226"/>
      <c r="T13447" s="226"/>
      <c r="U13447" s="226"/>
    </row>
    <row r="13448" spans="16:21" x14ac:dyDescent="0.35">
      <c r="P13448" s="226"/>
      <c r="Q13448" s="226"/>
      <c r="R13448" s="226"/>
      <c r="S13448" s="226"/>
      <c r="T13448" s="226"/>
      <c r="U13448" s="226"/>
    </row>
    <row r="13449" spans="16:21" x14ac:dyDescent="0.35">
      <c r="P13449" s="226"/>
      <c r="Q13449" s="226"/>
      <c r="R13449" s="226"/>
      <c r="S13449" s="226"/>
      <c r="T13449" s="226"/>
      <c r="U13449" s="226"/>
    </row>
    <row r="13450" spans="16:21" x14ac:dyDescent="0.35">
      <c r="P13450" s="226"/>
      <c r="Q13450" s="226"/>
      <c r="R13450" s="226"/>
      <c r="S13450" s="226"/>
      <c r="T13450" s="226"/>
      <c r="U13450" s="226"/>
    </row>
    <row r="13451" spans="16:21" x14ac:dyDescent="0.35">
      <c r="P13451" s="226"/>
      <c r="Q13451" s="226"/>
      <c r="R13451" s="226"/>
      <c r="S13451" s="226"/>
      <c r="T13451" s="226"/>
      <c r="U13451" s="226"/>
    </row>
    <row r="13452" spans="16:21" x14ac:dyDescent="0.35">
      <c r="P13452" s="226"/>
      <c r="Q13452" s="226"/>
      <c r="R13452" s="226"/>
      <c r="S13452" s="226"/>
      <c r="T13452" s="226"/>
      <c r="U13452" s="226"/>
    </row>
    <row r="13453" spans="16:21" x14ac:dyDescent="0.35">
      <c r="P13453" s="226"/>
      <c r="Q13453" s="226"/>
      <c r="R13453" s="226"/>
      <c r="S13453" s="226"/>
      <c r="T13453" s="226"/>
      <c r="U13453" s="226"/>
    </row>
    <row r="13454" spans="16:21" x14ac:dyDescent="0.35">
      <c r="P13454" s="226"/>
      <c r="Q13454" s="226"/>
      <c r="R13454" s="226"/>
      <c r="S13454" s="226"/>
      <c r="T13454" s="226"/>
      <c r="U13454" s="226"/>
    </row>
    <row r="13455" spans="16:21" x14ac:dyDescent="0.35">
      <c r="P13455" s="226"/>
      <c r="Q13455" s="226"/>
      <c r="R13455" s="226"/>
      <c r="S13455" s="226"/>
      <c r="T13455" s="226"/>
      <c r="U13455" s="226"/>
    </row>
    <row r="13456" spans="16:21" x14ac:dyDescent="0.35">
      <c r="P13456" s="226"/>
      <c r="Q13456" s="226"/>
      <c r="R13456" s="226"/>
      <c r="S13456" s="226"/>
      <c r="T13456" s="226"/>
      <c r="U13456" s="226"/>
    </row>
    <row r="13457" spans="16:21" x14ac:dyDescent="0.35">
      <c r="P13457" s="226"/>
      <c r="Q13457" s="226"/>
      <c r="R13457" s="226"/>
      <c r="S13457" s="226"/>
      <c r="T13457" s="226"/>
      <c r="U13457" s="226"/>
    </row>
    <row r="13458" spans="16:21" x14ac:dyDescent="0.35">
      <c r="P13458" s="226"/>
      <c r="Q13458" s="226"/>
      <c r="R13458" s="226"/>
      <c r="S13458" s="226"/>
      <c r="T13458" s="226"/>
      <c r="U13458" s="226"/>
    </row>
    <row r="13459" spans="16:21" x14ac:dyDescent="0.35">
      <c r="P13459" s="226"/>
      <c r="Q13459" s="226"/>
      <c r="R13459" s="226"/>
      <c r="S13459" s="226"/>
      <c r="T13459" s="226"/>
      <c r="U13459" s="226"/>
    </row>
    <row r="13460" spans="16:21" x14ac:dyDescent="0.35">
      <c r="P13460" s="226"/>
      <c r="Q13460" s="226"/>
      <c r="R13460" s="226"/>
      <c r="S13460" s="226"/>
      <c r="T13460" s="226"/>
      <c r="U13460" s="226"/>
    </row>
    <row r="13461" spans="16:21" x14ac:dyDescent="0.35">
      <c r="P13461" s="226"/>
      <c r="Q13461" s="226"/>
      <c r="R13461" s="226"/>
      <c r="S13461" s="226"/>
      <c r="T13461" s="226"/>
      <c r="U13461" s="226"/>
    </row>
    <row r="13462" spans="16:21" x14ac:dyDescent="0.35">
      <c r="P13462" s="226"/>
      <c r="Q13462" s="226"/>
      <c r="R13462" s="226"/>
      <c r="S13462" s="226"/>
      <c r="T13462" s="226"/>
      <c r="U13462" s="226"/>
    </row>
    <row r="13463" spans="16:21" x14ac:dyDescent="0.35">
      <c r="P13463" s="226"/>
      <c r="Q13463" s="226"/>
      <c r="R13463" s="226"/>
      <c r="S13463" s="226"/>
      <c r="T13463" s="226"/>
      <c r="U13463" s="226"/>
    </row>
    <row r="13464" spans="16:21" x14ac:dyDescent="0.35">
      <c r="P13464" s="226"/>
      <c r="Q13464" s="226"/>
      <c r="R13464" s="226"/>
      <c r="S13464" s="226"/>
      <c r="T13464" s="226"/>
      <c r="U13464" s="226"/>
    </row>
    <row r="13465" spans="16:21" x14ac:dyDescent="0.35">
      <c r="P13465" s="226"/>
      <c r="Q13465" s="226"/>
      <c r="R13465" s="226"/>
      <c r="S13465" s="226"/>
      <c r="T13465" s="226"/>
      <c r="U13465" s="226"/>
    </row>
    <row r="13466" spans="16:21" x14ac:dyDescent="0.35">
      <c r="P13466" s="226"/>
      <c r="Q13466" s="226"/>
      <c r="R13466" s="226"/>
      <c r="S13466" s="226"/>
      <c r="T13466" s="226"/>
      <c r="U13466" s="226"/>
    </row>
    <row r="13467" spans="16:21" x14ac:dyDescent="0.35">
      <c r="P13467" s="226"/>
      <c r="Q13467" s="226"/>
      <c r="R13467" s="226"/>
      <c r="S13467" s="226"/>
      <c r="T13467" s="226"/>
      <c r="U13467" s="226"/>
    </row>
    <row r="13468" spans="16:21" x14ac:dyDescent="0.35">
      <c r="P13468" s="226"/>
      <c r="Q13468" s="226"/>
      <c r="R13468" s="226"/>
      <c r="S13468" s="226"/>
      <c r="T13468" s="226"/>
      <c r="U13468" s="226"/>
    </row>
    <row r="13469" spans="16:21" x14ac:dyDescent="0.35">
      <c r="P13469" s="226"/>
      <c r="Q13469" s="226"/>
      <c r="R13469" s="226"/>
      <c r="S13469" s="226"/>
      <c r="T13469" s="226"/>
      <c r="U13469" s="226"/>
    </row>
    <row r="13470" spans="16:21" x14ac:dyDescent="0.35">
      <c r="P13470" s="226"/>
      <c r="Q13470" s="226"/>
      <c r="R13470" s="226"/>
      <c r="S13470" s="226"/>
      <c r="T13470" s="226"/>
      <c r="U13470" s="226"/>
    </row>
    <row r="13471" spans="16:21" x14ac:dyDescent="0.35">
      <c r="P13471" s="226"/>
      <c r="Q13471" s="226"/>
      <c r="R13471" s="226"/>
      <c r="S13471" s="226"/>
      <c r="T13471" s="226"/>
      <c r="U13471" s="226"/>
    </row>
    <row r="13472" spans="16:21" x14ac:dyDescent="0.35">
      <c r="P13472" s="226"/>
      <c r="Q13472" s="226"/>
      <c r="R13472" s="226"/>
      <c r="S13472" s="226"/>
      <c r="T13472" s="226"/>
      <c r="U13472" s="226"/>
    </row>
    <row r="13473" spans="16:21" x14ac:dyDescent="0.35">
      <c r="P13473" s="226"/>
      <c r="Q13473" s="226"/>
      <c r="R13473" s="226"/>
      <c r="S13473" s="226"/>
      <c r="T13473" s="226"/>
      <c r="U13473" s="226"/>
    </row>
    <row r="13474" spans="16:21" x14ac:dyDescent="0.35">
      <c r="P13474" s="226"/>
      <c r="Q13474" s="226"/>
      <c r="R13474" s="226"/>
      <c r="S13474" s="226"/>
      <c r="T13474" s="226"/>
      <c r="U13474" s="226"/>
    </row>
    <row r="13475" spans="16:21" x14ac:dyDescent="0.35">
      <c r="P13475" s="226"/>
      <c r="Q13475" s="226"/>
      <c r="R13475" s="226"/>
      <c r="S13475" s="226"/>
      <c r="T13475" s="226"/>
      <c r="U13475" s="226"/>
    </row>
    <row r="13476" spans="16:21" x14ac:dyDescent="0.35">
      <c r="P13476" s="226"/>
      <c r="Q13476" s="226"/>
      <c r="R13476" s="226"/>
      <c r="S13476" s="226"/>
      <c r="T13476" s="226"/>
      <c r="U13476" s="226"/>
    </row>
    <row r="13477" spans="16:21" x14ac:dyDescent="0.35">
      <c r="P13477" s="226"/>
      <c r="Q13477" s="226"/>
      <c r="R13477" s="226"/>
      <c r="S13477" s="226"/>
      <c r="T13477" s="226"/>
      <c r="U13477" s="226"/>
    </row>
    <row r="13478" spans="16:21" x14ac:dyDescent="0.35">
      <c r="P13478" s="226"/>
      <c r="Q13478" s="226"/>
      <c r="R13478" s="226"/>
      <c r="S13478" s="226"/>
      <c r="T13478" s="226"/>
      <c r="U13478" s="226"/>
    </row>
    <row r="13479" spans="16:21" x14ac:dyDescent="0.35">
      <c r="P13479" s="226"/>
      <c r="Q13479" s="226"/>
      <c r="R13479" s="226"/>
      <c r="S13479" s="226"/>
      <c r="T13479" s="226"/>
      <c r="U13479" s="226"/>
    </row>
    <row r="13480" spans="16:21" x14ac:dyDescent="0.35">
      <c r="P13480" s="226"/>
      <c r="Q13480" s="226"/>
      <c r="R13480" s="226"/>
      <c r="S13480" s="226"/>
      <c r="T13480" s="226"/>
      <c r="U13480" s="226"/>
    </row>
    <row r="13481" spans="16:21" x14ac:dyDescent="0.35">
      <c r="P13481" s="226"/>
      <c r="Q13481" s="226"/>
      <c r="R13481" s="226"/>
      <c r="S13481" s="226"/>
      <c r="T13481" s="226"/>
      <c r="U13481" s="226"/>
    </row>
    <row r="13482" spans="16:21" x14ac:dyDescent="0.35">
      <c r="P13482" s="226"/>
      <c r="Q13482" s="226"/>
      <c r="R13482" s="226"/>
      <c r="S13482" s="226"/>
      <c r="T13482" s="226"/>
      <c r="U13482" s="226"/>
    </row>
    <row r="13483" spans="16:21" x14ac:dyDescent="0.35">
      <c r="P13483" s="226"/>
      <c r="Q13483" s="226"/>
      <c r="R13483" s="226"/>
      <c r="S13483" s="226"/>
      <c r="T13483" s="226"/>
      <c r="U13483" s="226"/>
    </row>
    <row r="13484" spans="16:21" x14ac:dyDescent="0.35">
      <c r="P13484" s="226"/>
      <c r="Q13484" s="226"/>
      <c r="R13484" s="226"/>
      <c r="S13484" s="226"/>
      <c r="T13484" s="226"/>
      <c r="U13484" s="226"/>
    </row>
    <row r="13485" spans="16:21" x14ac:dyDescent="0.35">
      <c r="P13485" s="226"/>
      <c r="Q13485" s="226"/>
      <c r="R13485" s="226"/>
      <c r="S13485" s="226"/>
      <c r="T13485" s="226"/>
      <c r="U13485" s="226"/>
    </row>
    <row r="13486" spans="16:21" x14ac:dyDescent="0.35">
      <c r="P13486" s="226"/>
      <c r="Q13486" s="226"/>
      <c r="R13486" s="226"/>
      <c r="S13486" s="226"/>
      <c r="T13486" s="226"/>
      <c r="U13486" s="226"/>
    </row>
    <row r="13487" spans="16:21" x14ac:dyDescent="0.35">
      <c r="P13487" s="226"/>
      <c r="Q13487" s="226"/>
      <c r="R13487" s="226"/>
      <c r="S13487" s="226"/>
      <c r="T13487" s="226"/>
      <c r="U13487" s="226"/>
    </row>
    <row r="13488" spans="16:21" x14ac:dyDescent="0.35">
      <c r="P13488" s="226"/>
      <c r="Q13488" s="226"/>
      <c r="R13488" s="226"/>
      <c r="S13488" s="226"/>
      <c r="T13488" s="226"/>
      <c r="U13488" s="226"/>
    </row>
    <row r="13489" spans="16:21" x14ac:dyDescent="0.35">
      <c r="P13489" s="226"/>
      <c r="Q13489" s="226"/>
      <c r="R13489" s="226"/>
      <c r="S13489" s="226"/>
      <c r="T13489" s="226"/>
      <c r="U13489" s="226"/>
    </row>
    <row r="13490" spans="16:21" x14ac:dyDescent="0.35">
      <c r="P13490" s="226"/>
      <c r="Q13490" s="226"/>
      <c r="R13490" s="226"/>
      <c r="S13490" s="226"/>
      <c r="T13490" s="226"/>
      <c r="U13490" s="226"/>
    </row>
    <row r="13491" spans="16:21" x14ac:dyDescent="0.35">
      <c r="P13491" s="226"/>
      <c r="Q13491" s="226"/>
      <c r="R13491" s="226"/>
      <c r="S13491" s="226"/>
      <c r="T13491" s="226"/>
      <c r="U13491" s="226"/>
    </row>
    <row r="13492" spans="16:21" x14ac:dyDescent="0.35">
      <c r="P13492" s="226"/>
      <c r="Q13492" s="226"/>
      <c r="R13492" s="226"/>
      <c r="S13492" s="226"/>
      <c r="T13492" s="226"/>
      <c r="U13492" s="226"/>
    </row>
    <row r="13493" spans="16:21" x14ac:dyDescent="0.35">
      <c r="P13493" s="226"/>
      <c r="Q13493" s="226"/>
      <c r="R13493" s="226"/>
      <c r="S13493" s="226"/>
      <c r="T13493" s="226"/>
      <c r="U13493" s="226"/>
    </row>
    <row r="13494" spans="16:21" x14ac:dyDescent="0.35">
      <c r="P13494" s="226"/>
      <c r="Q13494" s="226"/>
      <c r="R13494" s="226"/>
      <c r="S13494" s="226"/>
      <c r="T13494" s="226"/>
      <c r="U13494" s="226"/>
    </row>
    <row r="13495" spans="16:21" x14ac:dyDescent="0.35">
      <c r="P13495" s="226"/>
      <c r="Q13495" s="226"/>
      <c r="R13495" s="226"/>
      <c r="S13495" s="226"/>
      <c r="T13495" s="226"/>
      <c r="U13495" s="226"/>
    </row>
    <row r="13496" spans="16:21" x14ac:dyDescent="0.35">
      <c r="P13496" s="226"/>
      <c r="Q13496" s="226"/>
      <c r="R13496" s="226"/>
      <c r="S13496" s="226"/>
      <c r="T13496" s="226"/>
      <c r="U13496" s="226"/>
    </row>
    <row r="13497" spans="16:21" x14ac:dyDescent="0.35">
      <c r="P13497" s="226"/>
      <c r="Q13497" s="226"/>
      <c r="R13497" s="226"/>
      <c r="S13497" s="226"/>
      <c r="T13497" s="226"/>
      <c r="U13497" s="226"/>
    </row>
    <row r="13498" spans="16:21" x14ac:dyDescent="0.35">
      <c r="P13498" s="226"/>
      <c r="Q13498" s="226"/>
      <c r="R13498" s="226"/>
      <c r="S13498" s="226"/>
      <c r="T13498" s="226"/>
      <c r="U13498" s="226"/>
    </row>
    <row r="13499" spans="16:21" x14ac:dyDescent="0.35">
      <c r="P13499" s="226"/>
      <c r="Q13499" s="226"/>
      <c r="R13499" s="226"/>
      <c r="S13499" s="226"/>
      <c r="T13499" s="226"/>
      <c r="U13499" s="226"/>
    </row>
    <row r="13500" spans="16:21" x14ac:dyDescent="0.35">
      <c r="P13500" s="226"/>
      <c r="Q13500" s="226"/>
      <c r="R13500" s="226"/>
      <c r="S13500" s="226"/>
      <c r="T13500" s="226"/>
      <c r="U13500" s="226"/>
    </row>
    <row r="13501" spans="16:21" x14ac:dyDescent="0.35">
      <c r="P13501" s="226"/>
      <c r="Q13501" s="226"/>
      <c r="R13501" s="226"/>
      <c r="S13501" s="226"/>
      <c r="T13501" s="226"/>
      <c r="U13501" s="226"/>
    </row>
    <row r="13502" spans="16:21" x14ac:dyDescent="0.35">
      <c r="P13502" s="226"/>
      <c r="Q13502" s="226"/>
      <c r="R13502" s="226"/>
      <c r="S13502" s="226"/>
      <c r="T13502" s="226"/>
      <c r="U13502" s="226"/>
    </row>
    <row r="13503" spans="16:21" x14ac:dyDescent="0.35">
      <c r="P13503" s="226"/>
      <c r="Q13503" s="226"/>
      <c r="R13503" s="226"/>
      <c r="S13503" s="226"/>
      <c r="T13503" s="226"/>
      <c r="U13503" s="226"/>
    </row>
    <row r="13504" spans="16:21" x14ac:dyDescent="0.35">
      <c r="P13504" s="226"/>
      <c r="Q13504" s="226"/>
      <c r="R13504" s="226"/>
      <c r="S13504" s="226"/>
      <c r="T13504" s="226"/>
      <c r="U13504" s="226"/>
    </row>
    <row r="13505" spans="16:21" x14ac:dyDescent="0.35">
      <c r="P13505" s="226"/>
      <c r="Q13505" s="226"/>
      <c r="R13505" s="226"/>
      <c r="S13505" s="226"/>
      <c r="T13505" s="226"/>
      <c r="U13505" s="226"/>
    </row>
    <row r="13506" spans="16:21" x14ac:dyDescent="0.35">
      <c r="P13506" s="226"/>
      <c r="Q13506" s="226"/>
      <c r="R13506" s="226"/>
      <c r="S13506" s="226"/>
      <c r="T13506" s="226"/>
      <c r="U13506" s="226"/>
    </row>
    <row r="13507" spans="16:21" x14ac:dyDescent="0.35">
      <c r="P13507" s="226"/>
      <c r="Q13507" s="226"/>
      <c r="R13507" s="226"/>
      <c r="S13507" s="226"/>
      <c r="T13507" s="226"/>
      <c r="U13507" s="226"/>
    </row>
    <row r="13508" spans="16:21" x14ac:dyDescent="0.35">
      <c r="P13508" s="226"/>
      <c r="Q13508" s="226"/>
      <c r="R13508" s="226"/>
      <c r="S13508" s="226"/>
      <c r="T13508" s="226"/>
      <c r="U13508" s="226"/>
    </row>
    <row r="13509" spans="16:21" x14ac:dyDescent="0.35">
      <c r="P13509" s="226"/>
      <c r="Q13509" s="226"/>
      <c r="R13509" s="226"/>
      <c r="S13509" s="226"/>
      <c r="T13509" s="226"/>
      <c r="U13509" s="226"/>
    </row>
    <row r="13510" spans="16:21" x14ac:dyDescent="0.35">
      <c r="P13510" s="226"/>
      <c r="Q13510" s="226"/>
      <c r="R13510" s="226"/>
      <c r="S13510" s="226"/>
      <c r="T13510" s="226"/>
      <c r="U13510" s="226"/>
    </row>
    <row r="13511" spans="16:21" x14ac:dyDescent="0.35">
      <c r="P13511" s="226"/>
      <c r="Q13511" s="226"/>
      <c r="R13511" s="226"/>
      <c r="S13511" s="226"/>
      <c r="T13511" s="226"/>
      <c r="U13511" s="226"/>
    </row>
    <row r="13512" spans="16:21" x14ac:dyDescent="0.35">
      <c r="P13512" s="226"/>
      <c r="Q13512" s="226"/>
      <c r="R13512" s="226"/>
      <c r="S13512" s="226"/>
      <c r="T13512" s="226"/>
      <c r="U13512" s="226"/>
    </row>
    <row r="13513" spans="16:21" x14ac:dyDescent="0.35">
      <c r="P13513" s="226"/>
      <c r="Q13513" s="226"/>
      <c r="R13513" s="226"/>
      <c r="S13513" s="226"/>
      <c r="T13513" s="226"/>
      <c r="U13513" s="226"/>
    </row>
    <row r="13514" spans="16:21" x14ac:dyDescent="0.35">
      <c r="P13514" s="226"/>
      <c r="Q13514" s="226"/>
      <c r="R13514" s="226"/>
      <c r="S13514" s="226"/>
      <c r="T13514" s="226"/>
      <c r="U13514" s="226"/>
    </row>
    <row r="13515" spans="16:21" x14ac:dyDescent="0.35">
      <c r="P13515" s="226"/>
      <c r="Q13515" s="226"/>
      <c r="R13515" s="226"/>
      <c r="S13515" s="226"/>
      <c r="T13515" s="226"/>
      <c r="U13515" s="226"/>
    </row>
    <row r="13516" spans="16:21" x14ac:dyDescent="0.35">
      <c r="P13516" s="226"/>
      <c r="Q13516" s="226"/>
      <c r="R13516" s="226"/>
      <c r="S13516" s="226"/>
      <c r="T13516" s="226"/>
      <c r="U13516" s="226"/>
    </row>
    <row r="13517" spans="16:21" x14ac:dyDescent="0.35">
      <c r="P13517" s="226"/>
      <c r="Q13517" s="226"/>
      <c r="R13517" s="226"/>
      <c r="S13517" s="226"/>
      <c r="T13517" s="226"/>
      <c r="U13517" s="226"/>
    </row>
    <row r="13518" spans="16:21" x14ac:dyDescent="0.35">
      <c r="P13518" s="226"/>
      <c r="Q13518" s="226"/>
      <c r="R13518" s="226"/>
      <c r="S13518" s="226"/>
      <c r="T13518" s="226"/>
      <c r="U13518" s="226"/>
    </row>
    <row r="13519" spans="16:21" x14ac:dyDescent="0.35">
      <c r="P13519" s="226"/>
      <c r="Q13519" s="226"/>
      <c r="R13519" s="226"/>
      <c r="S13519" s="226"/>
      <c r="T13519" s="226"/>
      <c r="U13519" s="226"/>
    </row>
    <row r="13520" spans="16:21" x14ac:dyDescent="0.35">
      <c r="P13520" s="226"/>
      <c r="Q13520" s="226"/>
      <c r="R13520" s="226"/>
      <c r="S13520" s="226"/>
      <c r="T13520" s="226"/>
      <c r="U13520" s="226"/>
    </row>
    <row r="13521" spans="16:21" x14ac:dyDescent="0.35">
      <c r="P13521" s="226"/>
      <c r="Q13521" s="226"/>
      <c r="R13521" s="226"/>
      <c r="S13521" s="226"/>
      <c r="T13521" s="226"/>
      <c r="U13521" s="226"/>
    </row>
    <row r="13522" spans="16:21" x14ac:dyDescent="0.35">
      <c r="P13522" s="226"/>
      <c r="Q13522" s="226"/>
      <c r="R13522" s="226"/>
      <c r="S13522" s="226"/>
      <c r="T13522" s="226"/>
      <c r="U13522" s="226"/>
    </row>
    <row r="13523" spans="16:21" x14ac:dyDescent="0.35">
      <c r="P13523" s="226"/>
      <c r="Q13523" s="226"/>
      <c r="R13523" s="226"/>
      <c r="S13523" s="226"/>
      <c r="T13523" s="226"/>
      <c r="U13523" s="226"/>
    </row>
    <row r="13524" spans="16:21" x14ac:dyDescent="0.35">
      <c r="P13524" s="226"/>
      <c r="Q13524" s="226"/>
      <c r="R13524" s="226"/>
      <c r="S13524" s="226"/>
      <c r="T13524" s="226"/>
      <c r="U13524" s="226"/>
    </row>
    <row r="13525" spans="16:21" x14ac:dyDescent="0.35">
      <c r="P13525" s="226"/>
      <c r="Q13525" s="226"/>
      <c r="R13525" s="226"/>
      <c r="S13525" s="226"/>
      <c r="T13525" s="226"/>
      <c r="U13525" s="226"/>
    </row>
    <row r="13526" spans="16:21" x14ac:dyDescent="0.35">
      <c r="P13526" s="226"/>
      <c r="Q13526" s="226"/>
      <c r="R13526" s="226"/>
      <c r="S13526" s="226"/>
      <c r="T13526" s="226"/>
      <c r="U13526" s="226"/>
    </row>
    <row r="13527" spans="16:21" x14ac:dyDescent="0.35">
      <c r="P13527" s="226"/>
      <c r="Q13527" s="226"/>
      <c r="R13527" s="226"/>
      <c r="S13527" s="226"/>
      <c r="T13527" s="226"/>
      <c r="U13527" s="226"/>
    </row>
    <row r="13528" spans="16:21" x14ac:dyDescent="0.35">
      <c r="P13528" s="226"/>
      <c r="Q13528" s="226"/>
      <c r="R13528" s="226"/>
      <c r="S13528" s="226"/>
      <c r="T13528" s="226"/>
      <c r="U13528" s="226"/>
    </row>
    <row r="13529" spans="16:21" x14ac:dyDescent="0.35">
      <c r="P13529" s="226"/>
      <c r="Q13529" s="226"/>
      <c r="R13529" s="226"/>
      <c r="S13529" s="226"/>
      <c r="T13529" s="226"/>
      <c r="U13529" s="226"/>
    </row>
    <row r="13530" spans="16:21" x14ac:dyDescent="0.35">
      <c r="P13530" s="226"/>
      <c r="Q13530" s="226"/>
      <c r="R13530" s="226"/>
      <c r="S13530" s="226"/>
      <c r="T13530" s="226"/>
      <c r="U13530" s="226"/>
    </row>
    <row r="13531" spans="16:21" x14ac:dyDescent="0.35">
      <c r="P13531" s="226"/>
      <c r="Q13531" s="226"/>
      <c r="R13531" s="226"/>
      <c r="S13531" s="226"/>
      <c r="T13531" s="226"/>
      <c r="U13531" s="226"/>
    </row>
    <row r="13532" spans="16:21" x14ac:dyDescent="0.35">
      <c r="P13532" s="226"/>
      <c r="Q13532" s="226"/>
      <c r="R13532" s="226"/>
      <c r="S13532" s="226"/>
      <c r="T13532" s="226"/>
      <c r="U13532" s="226"/>
    </row>
    <row r="13533" spans="16:21" x14ac:dyDescent="0.35">
      <c r="P13533" s="226"/>
      <c r="Q13533" s="226"/>
      <c r="R13533" s="226"/>
      <c r="S13533" s="226"/>
      <c r="T13533" s="226"/>
      <c r="U13533" s="226"/>
    </row>
    <row r="13534" spans="16:21" x14ac:dyDescent="0.35">
      <c r="P13534" s="226"/>
      <c r="Q13534" s="226"/>
      <c r="R13534" s="226"/>
      <c r="S13534" s="226"/>
      <c r="T13534" s="226"/>
      <c r="U13534" s="226"/>
    </row>
    <row r="13535" spans="16:21" x14ac:dyDescent="0.35">
      <c r="P13535" s="226"/>
      <c r="Q13535" s="226"/>
      <c r="R13535" s="226"/>
      <c r="S13535" s="226"/>
      <c r="T13535" s="226"/>
      <c r="U13535" s="226"/>
    </row>
    <row r="13536" spans="16:21" x14ac:dyDescent="0.35">
      <c r="P13536" s="226"/>
      <c r="Q13536" s="226"/>
      <c r="R13536" s="226"/>
      <c r="S13536" s="226"/>
      <c r="T13536" s="226"/>
      <c r="U13536" s="226"/>
    </row>
    <row r="13537" spans="16:21" x14ac:dyDescent="0.35">
      <c r="P13537" s="226"/>
      <c r="Q13537" s="226"/>
      <c r="R13537" s="226"/>
      <c r="S13537" s="226"/>
      <c r="T13537" s="226"/>
      <c r="U13537" s="226"/>
    </row>
    <row r="13538" spans="16:21" x14ac:dyDescent="0.35">
      <c r="P13538" s="226"/>
      <c r="Q13538" s="226"/>
      <c r="R13538" s="226"/>
      <c r="S13538" s="226"/>
      <c r="T13538" s="226"/>
      <c r="U13538" s="226"/>
    </row>
    <row r="13539" spans="16:21" x14ac:dyDescent="0.35">
      <c r="P13539" s="226"/>
      <c r="Q13539" s="226"/>
      <c r="R13539" s="226"/>
      <c r="S13539" s="226"/>
      <c r="T13539" s="226"/>
      <c r="U13539" s="226"/>
    </row>
    <row r="13540" spans="16:21" x14ac:dyDescent="0.35">
      <c r="P13540" s="226"/>
      <c r="Q13540" s="226"/>
      <c r="R13540" s="226"/>
      <c r="S13540" s="226"/>
      <c r="T13540" s="226"/>
      <c r="U13540" s="226"/>
    </row>
    <row r="13541" spans="16:21" x14ac:dyDescent="0.35">
      <c r="P13541" s="226"/>
      <c r="Q13541" s="226"/>
      <c r="R13541" s="226"/>
      <c r="S13541" s="226"/>
      <c r="T13541" s="226"/>
      <c r="U13541" s="226"/>
    </row>
    <row r="13542" spans="16:21" x14ac:dyDescent="0.35">
      <c r="P13542" s="226"/>
      <c r="Q13542" s="226"/>
      <c r="R13542" s="226"/>
      <c r="S13542" s="226"/>
      <c r="T13542" s="226"/>
      <c r="U13542" s="226"/>
    </row>
    <row r="13543" spans="16:21" x14ac:dyDescent="0.35">
      <c r="P13543" s="226"/>
      <c r="Q13543" s="226"/>
      <c r="R13543" s="226"/>
      <c r="S13543" s="226"/>
      <c r="T13543" s="226"/>
      <c r="U13543" s="226"/>
    </row>
    <row r="13544" spans="16:21" x14ac:dyDescent="0.35">
      <c r="P13544" s="226"/>
      <c r="Q13544" s="226"/>
      <c r="R13544" s="226"/>
      <c r="S13544" s="226"/>
      <c r="T13544" s="226"/>
      <c r="U13544" s="226"/>
    </row>
    <row r="13545" spans="16:21" x14ac:dyDescent="0.35">
      <c r="P13545" s="226"/>
      <c r="Q13545" s="226"/>
      <c r="R13545" s="226"/>
      <c r="S13545" s="226"/>
      <c r="T13545" s="226"/>
      <c r="U13545" s="226"/>
    </row>
    <row r="13546" spans="16:21" x14ac:dyDescent="0.35">
      <c r="P13546" s="226"/>
      <c r="Q13546" s="226"/>
      <c r="R13546" s="226"/>
      <c r="S13546" s="226"/>
      <c r="T13546" s="226"/>
      <c r="U13546" s="226"/>
    </row>
    <row r="13547" spans="16:21" x14ac:dyDescent="0.35">
      <c r="P13547" s="226"/>
      <c r="Q13547" s="226"/>
      <c r="R13547" s="226"/>
      <c r="S13547" s="226"/>
      <c r="T13547" s="226"/>
      <c r="U13547" s="226"/>
    </row>
    <row r="13548" spans="16:21" x14ac:dyDescent="0.35">
      <c r="P13548" s="226"/>
      <c r="Q13548" s="226"/>
      <c r="R13548" s="226"/>
      <c r="S13548" s="226"/>
      <c r="T13548" s="226"/>
      <c r="U13548" s="226"/>
    </row>
    <row r="13549" spans="16:21" x14ac:dyDescent="0.35">
      <c r="P13549" s="226"/>
      <c r="Q13549" s="226"/>
      <c r="R13549" s="226"/>
      <c r="S13549" s="226"/>
      <c r="T13549" s="226"/>
      <c r="U13549" s="226"/>
    </row>
    <row r="13550" spans="16:21" x14ac:dyDescent="0.35">
      <c r="P13550" s="226"/>
      <c r="Q13550" s="226"/>
      <c r="R13550" s="226"/>
      <c r="S13550" s="226"/>
      <c r="T13550" s="226"/>
      <c r="U13550" s="226"/>
    </row>
    <row r="13551" spans="16:21" x14ac:dyDescent="0.35">
      <c r="P13551" s="226"/>
      <c r="Q13551" s="226"/>
      <c r="R13551" s="226"/>
      <c r="S13551" s="226"/>
      <c r="T13551" s="226"/>
      <c r="U13551" s="226"/>
    </row>
    <row r="13552" spans="16:21" x14ac:dyDescent="0.35">
      <c r="P13552" s="226"/>
      <c r="Q13552" s="226"/>
      <c r="R13552" s="226"/>
      <c r="S13552" s="226"/>
      <c r="T13552" s="226"/>
      <c r="U13552" s="226"/>
    </row>
    <row r="13553" spans="16:21" x14ac:dyDescent="0.35">
      <c r="P13553" s="226"/>
      <c r="Q13553" s="226"/>
      <c r="R13553" s="226"/>
      <c r="S13553" s="226"/>
      <c r="T13553" s="226"/>
      <c r="U13553" s="226"/>
    </row>
    <row r="13554" spans="16:21" x14ac:dyDescent="0.35">
      <c r="P13554" s="226"/>
      <c r="Q13554" s="226"/>
      <c r="R13554" s="226"/>
      <c r="S13554" s="226"/>
      <c r="T13554" s="226"/>
      <c r="U13554" s="226"/>
    </row>
    <row r="13555" spans="16:21" x14ac:dyDescent="0.35">
      <c r="P13555" s="226"/>
      <c r="Q13555" s="226"/>
      <c r="R13555" s="226"/>
      <c r="S13555" s="226"/>
      <c r="T13555" s="226"/>
      <c r="U13555" s="226"/>
    </row>
    <row r="13556" spans="16:21" x14ac:dyDescent="0.35">
      <c r="P13556" s="226"/>
      <c r="Q13556" s="226"/>
      <c r="R13556" s="226"/>
      <c r="S13556" s="226"/>
      <c r="T13556" s="226"/>
      <c r="U13556" s="226"/>
    </row>
    <row r="13557" spans="16:21" x14ac:dyDescent="0.35">
      <c r="P13557" s="226"/>
      <c r="Q13557" s="226"/>
      <c r="R13557" s="226"/>
      <c r="S13557" s="226"/>
      <c r="T13557" s="226"/>
      <c r="U13557" s="226"/>
    </row>
    <row r="13558" spans="16:21" x14ac:dyDescent="0.35">
      <c r="P13558" s="226"/>
      <c r="Q13558" s="226"/>
      <c r="R13558" s="226"/>
      <c r="S13558" s="226"/>
      <c r="T13558" s="226"/>
      <c r="U13558" s="226"/>
    </row>
    <row r="13559" spans="16:21" x14ac:dyDescent="0.35">
      <c r="P13559" s="226"/>
      <c r="Q13559" s="226"/>
      <c r="R13559" s="226"/>
      <c r="S13559" s="226"/>
      <c r="T13559" s="226"/>
      <c r="U13559" s="226"/>
    </row>
    <row r="13560" spans="16:21" x14ac:dyDescent="0.35">
      <c r="P13560" s="226"/>
      <c r="Q13560" s="226"/>
      <c r="R13560" s="226"/>
      <c r="S13560" s="226"/>
      <c r="T13560" s="226"/>
      <c r="U13560" s="226"/>
    </row>
    <row r="13561" spans="16:21" x14ac:dyDescent="0.35">
      <c r="P13561" s="226"/>
      <c r="Q13561" s="226"/>
      <c r="R13561" s="226"/>
      <c r="S13561" s="226"/>
      <c r="T13561" s="226"/>
      <c r="U13561" s="226"/>
    </row>
    <row r="13562" spans="16:21" x14ac:dyDescent="0.35">
      <c r="P13562" s="226"/>
      <c r="Q13562" s="226"/>
      <c r="R13562" s="226"/>
      <c r="S13562" s="226"/>
      <c r="T13562" s="226"/>
      <c r="U13562" s="226"/>
    </row>
    <row r="13563" spans="16:21" x14ac:dyDescent="0.35">
      <c r="P13563" s="226"/>
      <c r="Q13563" s="226"/>
      <c r="R13563" s="226"/>
      <c r="S13563" s="226"/>
      <c r="T13563" s="226"/>
      <c r="U13563" s="226"/>
    </row>
    <row r="13564" spans="16:21" x14ac:dyDescent="0.35">
      <c r="P13564" s="226"/>
      <c r="Q13564" s="226"/>
      <c r="R13564" s="226"/>
      <c r="S13564" s="226"/>
      <c r="T13564" s="226"/>
      <c r="U13564" s="226"/>
    </row>
    <row r="13565" spans="16:21" x14ac:dyDescent="0.35">
      <c r="P13565" s="226"/>
      <c r="Q13565" s="226"/>
      <c r="R13565" s="226"/>
      <c r="S13565" s="226"/>
      <c r="T13565" s="226"/>
      <c r="U13565" s="226"/>
    </row>
    <row r="13566" spans="16:21" x14ac:dyDescent="0.35">
      <c r="P13566" s="226"/>
      <c r="Q13566" s="226"/>
      <c r="R13566" s="226"/>
      <c r="S13566" s="226"/>
      <c r="T13566" s="226"/>
      <c r="U13566" s="226"/>
    </row>
    <row r="13567" spans="16:21" x14ac:dyDescent="0.35">
      <c r="P13567" s="226"/>
      <c r="Q13567" s="226"/>
      <c r="R13567" s="226"/>
      <c r="S13567" s="226"/>
      <c r="T13567" s="226"/>
      <c r="U13567" s="226"/>
    </row>
    <row r="13568" spans="16:21" x14ac:dyDescent="0.35">
      <c r="P13568" s="226"/>
      <c r="Q13568" s="226"/>
      <c r="R13568" s="226"/>
      <c r="S13568" s="226"/>
      <c r="T13568" s="226"/>
      <c r="U13568" s="226"/>
    </row>
    <row r="13569" spans="16:21" x14ac:dyDescent="0.35">
      <c r="P13569" s="226"/>
      <c r="Q13569" s="226"/>
      <c r="R13569" s="226"/>
      <c r="S13569" s="226"/>
      <c r="T13569" s="226"/>
      <c r="U13569" s="226"/>
    </row>
    <row r="13570" spans="16:21" x14ac:dyDescent="0.35">
      <c r="P13570" s="226"/>
      <c r="Q13570" s="226"/>
      <c r="R13570" s="226"/>
      <c r="S13570" s="226"/>
      <c r="T13570" s="226"/>
      <c r="U13570" s="226"/>
    </row>
    <row r="13571" spans="16:21" x14ac:dyDescent="0.35">
      <c r="P13571" s="226"/>
      <c r="Q13571" s="226"/>
      <c r="R13571" s="226"/>
      <c r="S13571" s="226"/>
      <c r="T13571" s="226"/>
      <c r="U13571" s="226"/>
    </row>
    <row r="13572" spans="16:21" x14ac:dyDescent="0.35">
      <c r="P13572" s="226"/>
      <c r="Q13572" s="226"/>
      <c r="R13572" s="226"/>
      <c r="S13572" s="226"/>
      <c r="T13572" s="226"/>
      <c r="U13572" s="226"/>
    </row>
    <row r="13573" spans="16:21" x14ac:dyDescent="0.35">
      <c r="P13573" s="226"/>
      <c r="Q13573" s="226"/>
      <c r="R13573" s="226"/>
      <c r="S13573" s="226"/>
      <c r="T13573" s="226"/>
      <c r="U13573" s="226"/>
    </row>
    <row r="13574" spans="16:21" x14ac:dyDescent="0.35">
      <c r="P13574" s="226"/>
      <c r="Q13574" s="226"/>
      <c r="R13574" s="226"/>
      <c r="S13574" s="226"/>
      <c r="T13574" s="226"/>
      <c r="U13574" s="226"/>
    </row>
    <row r="13575" spans="16:21" x14ac:dyDescent="0.35">
      <c r="P13575" s="226"/>
      <c r="Q13575" s="226"/>
      <c r="R13575" s="226"/>
      <c r="S13575" s="226"/>
      <c r="T13575" s="226"/>
      <c r="U13575" s="226"/>
    </row>
    <row r="13576" spans="16:21" x14ac:dyDescent="0.35">
      <c r="P13576" s="226"/>
      <c r="Q13576" s="226"/>
      <c r="R13576" s="226"/>
      <c r="S13576" s="226"/>
      <c r="T13576" s="226"/>
      <c r="U13576" s="226"/>
    </row>
    <row r="13577" spans="16:21" x14ac:dyDescent="0.35">
      <c r="P13577" s="226"/>
      <c r="Q13577" s="226"/>
      <c r="R13577" s="226"/>
      <c r="S13577" s="226"/>
      <c r="T13577" s="226"/>
      <c r="U13577" s="226"/>
    </row>
    <row r="13578" spans="16:21" x14ac:dyDescent="0.35">
      <c r="P13578" s="226"/>
      <c r="Q13578" s="226"/>
      <c r="R13578" s="226"/>
      <c r="S13578" s="226"/>
      <c r="T13578" s="226"/>
      <c r="U13578" s="226"/>
    </row>
    <row r="13579" spans="16:21" x14ac:dyDescent="0.35">
      <c r="P13579" s="226"/>
      <c r="Q13579" s="226"/>
      <c r="R13579" s="226"/>
      <c r="S13579" s="226"/>
      <c r="T13579" s="226"/>
      <c r="U13579" s="226"/>
    </row>
    <row r="13580" spans="16:21" x14ac:dyDescent="0.35">
      <c r="P13580" s="226"/>
      <c r="Q13580" s="226"/>
      <c r="R13580" s="226"/>
      <c r="S13580" s="226"/>
      <c r="T13580" s="226"/>
      <c r="U13580" s="226"/>
    </row>
    <row r="13581" spans="16:21" x14ac:dyDescent="0.35">
      <c r="P13581" s="226"/>
      <c r="Q13581" s="226"/>
      <c r="R13581" s="226"/>
      <c r="S13581" s="226"/>
      <c r="T13581" s="226"/>
      <c r="U13581" s="226"/>
    </row>
    <row r="13582" spans="16:21" x14ac:dyDescent="0.35">
      <c r="P13582" s="226"/>
      <c r="Q13582" s="226"/>
      <c r="R13582" s="226"/>
      <c r="S13582" s="226"/>
      <c r="T13582" s="226"/>
      <c r="U13582" s="226"/>
    </row>
    <row r="13583" spans="16:21" x14ac:dyDescent="0.35">
      <c r="P13583" s="226"/>
      <c r="Q13583" s="226"/>
      <c r="R13583" s="226"/>
      <c r="S13583" s="226"/>
      <c r="T13583" s="226"/>
      <c r="U13583" s="226"/>
    </row>
    <row r="13584" spans="16:21" x14ac:dyDescent="0.35">
      <c r="P13584" s="226"/>
      <c r="Q13584" s="226"/>
      <c r="R13584" s="226"/>
      <c r="S13584" s="226"/>
      <c r="T13584" s="226"/>
      <c r="U13584" s="226"/>
    </row>
    <row r="13585" spans="16:21" x14ac:dyDescent="0.35">
      <c r="P13585" s="226"/>
      <c r="Q13585" s="226"/>
      <c r="R13585" s="226"/>
      <c r="S13585" s="226"/>
      <c r="T13585" s="226"/>
      <c r="U13585" s="226"/>
    </row>
    <row r="13586" spans="16:21" x14ac:dyDescent="0.35">
      <c r="P13586" s="226"/>
      <c r="Q13586" s="226"/>
      <c r="R13586" s="226"/>
      <c r="S13586" s="226"/>
      <c r="T13586" s="226"/>
      <c r="U13586" s="226"/>
    </row>
    <row r="13587" spans="16:21" x14ac:dyDescent="0.35">
      <c r="P13587" s="226"/>
      <c r="Q13587" s="226"/>
      <c r="R13587" s="226"/>
      <c r="S13587" s="226"/>
      <c r="T13587" s="226"/>
      <c r="U13587" s="226"/>
    </row>
    <row r="13588" spans="16:21" x14ac:dyDescent="0.35">
      <c r="P13588" s="226"/>
      <c r="Q13588" s="226"/>
      <c r="R13588" s="226"/>
      <c r="S13588" s="226"/>
      <c r="T13588" s="226"/>
      <c r="U13588" s="226"/>
    </row>
    <row r="13589" spans="16:21" x14ac:dyDescent="0.35">
      <c r="P13589" s="226"/>
      <c r="Q13589" s="226"/>
      <c r="R13589" s="226"/>
      <c r="S13589" s="226"/>
      <c r="T13589" s="226"/>
      <c r="U13589" s="226"/>
    </row>
    <row r="13590" spans="16:21" x14ac:dyDescent="0.35">
      <c r="P13590" s="226"/>
      <c r="Q13590" s="226"/>
      <c r="R13590" s="226"/>
      <c r="S13590" s="226"/>
      <c r="T13590" s="226"/>
      <c r="U13590" s="226"/>
    </row>
    <row r="13591" spans="16:21" x14ac:dyDescent="0.35">
      <c r="P13591" s="226"/>
      <c r="Q13591" s="226"/>
      <c r="R13591" s="226"/>
      <c r="S13591" s="226"/>
      <c r="T13591" s="226"/>
      <c r="U13591" s="226"/>
    </row>
    <row r="13592" spans="16:21" x14ac:dyDescent="0.35">
      <c r="P13592" s="226"/>
      <c r="Q13592" s="226"/>
      <c r="R13592" s="226"/>
      <c r="S13592" s="226"/>
      <c r="T13592" s="226"/>
      <c r="U13592" s="226"/>
    </row>
    <row r="13593" spans="16:21" x14ac:dyDescent="0.35">
      <c r="P13593" s="226"/>
      <c r="Q13593" s="226"/>
      <c r="R13593" s="226"/>
      <c r="S13593" s="226"/>
      <c r="T13593" s="226"/>
      <c r="U13593" s="226"/>
    </row>
    <row r="13594" spans="16:21" x14ac:dyDescent="0.35">
      <c r="P13594" s="226"/>
      <c r="Q13594" s="226"/>
      <c r="R13594" s="226"/>
      <c r="S13594" s="226"/>
      <c r="T13594" s="226"/>
      <c r="U13594" s="226"/>
    </row>
    <row r="13595" spans="16:21" x14ac:dyDescent="0.35">
      <c r="P13595" s="226"/>
      <c r="Q13595" s="226"/>
      <c r="R13595" s="226"/>
      <c r="S13595" s="226"/>
      <c r="T13595" s="226"/>
      <c r="U13595" s="226"/>
    </row>
    <row r="13596" spans="16:21" x14ac:dyDescent="0.35">
      <c r="P13596" s="226"/>
      <c r="Q13596" s="226"/>
      <c r="R13596" s="226"/>
      <c r="S13596" s="226"/>
      <c r="T13596" s="226"/>
      <c r="U13596" s="226"/>
    </row>
    <row r="13597" spans="16:21" x14ac:dyDescent="0.35">
      <c r="P13597" s="226"/>
      <c r="Q13597" s="226"/>
      <c r="R13597" s="226"/>
      <c r="S13597" s="226"/>
      <c r="T13597" s="226"/>
      <c r="U13597" s="226"/>
    </row>
    <row r="13598" spans="16:21" x14ac:dyDescent="0.35">
      <c r="P13598" s="226"/>
      <c r="Q13598" s="226"/>
      <c r="R13598" s="226"/>
      <c r="S13598" s="226"/>
      <c r="T13598" s="226"/>
      <c r="U13598" s="226"/>
    </row>
    <row r="13599" spans="16:21" x14ac:dyDescent="0.35">
      <c r="P13599" s="226"/>
      <c r="Q13599" s="226"/>
      <c r="R13599" s="226"/>
      <c r="S13599" s="226"/>
      <c r="T13599" s="226"/>
      <c r="U13599" s="226"/>
    </row>
    <row r="13600" spans="16:21" x14ac:dyDescent="0.35">
      <c r="P13600" s="226"/>
      <c r="Q13600" s="226"/>
      <c r="R13600" s="226"/>
      <c r="S13600" s="226"/>
      <c r="T13600" s="226"/>
      <c r="U13600" s="226"/>
    </row>
    <row r="13601" spans="16:21" x14ac:dyDescent="0.35">
      <c r="P13601" s="226"/>
      <c r="Q13601" s="226"/>
      <c r="R13601" s="226"/>
      <c r="S13601" s="226"/>
      <c r="T13601" s="226"/>
      <c r="U13601" s="226"/>
    </row>
    <row r="13602" spans="16:21" x14ac:dyDescent="0.35">
      <c r="P13602" s="226"/>
      <c r="Q13602" s="226"/>
      <c r="R13602" s="226"/>
      <c r="S13602" s="226"/>
      <c r="T13602" s="226"/>
      <c r="U13602" s="226"/>
    </row>
    <row r="13603" spans="16:21" x14ac:dyDescent="0.35">
      <c r="P13603" s="226"/>
      <c r="Q13603" s="226"/>
      <c r="R13603" s="226"/>
      <c r="S13603" s="226"/>
      <c r="T13603" s="226"/>
      <c r="U13603" s="226"/>
    </row>
    <row r="13604" spans="16:21" x14ac:dyDescent="0.35">
      <c r="P13604" s="226"/>
      <c r="Q13604" s="226"/>
      <c r="R13604" s="226"/>
      <c r="S13604" s="226"/>
      <c r="T13604" s="226"/>
      <c r="U13604" s="226"/>
    </row>
    <row r="13605" spans="16:21" x14ac:dyDescent="0.35">
      <c r="P13605" s="226"/>
      <c r="Q13605" s="226"/>
      <c r="R13605" s="226"/>
      <c r="S13605" s="226"/>
      <c r="T13605" s="226"/>
      <c r="U13605" s="226"/>
    </row>
    <row r="13606" spans="16:21" x14ac:dyDescent="0.35">
      <c r="P13606" s="226"/>
      <c r="Q13606" s="226"/>
      <c r="R13606" s="226"/>
      <c r="S13606" s="226"/>
      <c r="T13606" s="226"/>
      <c r="U13606" s="226"/>
    </row>
    <row r="13607" spans="16:21" x14ac:dyDescent="0.35">
      <c r="P13607" s="226"/>
      <c r="Q13607" s="226"/>
      <c r="R13607" s="226"/>
      <c r="S13607" s="226"/>
      <c r="T13607" s="226"/>
      <c r="U13607" s="226"/>
    </row>
    <row r="13608" spans="16:21" x14ac:dyDescent="0.35">
      <c r="P13608" s="226"/>
      <c r="Q13608" s="226"/>
      <c r="R13608" s="226"/>
      <c r="S13608" s="226"/>
      <c r="T13608" s="226"/>
      <c r="U13608" s="226"/>
    </row>
    <row r="13609" spans="16:21" x14ac:dyDescent="0.35">
      <c r="P13609" s="226"/>
      <c r="Q13609" s="226"/>
      <c r="R13609" s="226"/>
      <c r="S13609" s="226"/>
      <c r="T13609" s="226"/>
      <c r="U13609" s="226"/>
    </row>
    <row r="13610" spans="16:21" x14ac:dyDescent="0.35">
      <c r="P13610" s="226"/>
      <c r="Q13610" s="226"/>
      <c r="R13610" s="226"/>
      <c r="S13610" s="226"/>
      <c r="T13610" s="226"/>
      <c r="U13610" s="226"/>
    </row>
    <row r="13611" spans="16:21" x14ac:dyDescent="0.35">
      <c r="P13611" s="226"/>
      <c r="Q13611" s="226"/>
      <c r="R13611" s="226"/>
      <c r="S13611" s="226"/>
      <c r="T13611" s="226"/>
      <c r="U13611" s="226"/>
    </row>
    <row r="13612" spans="16:21" x14ac:dyDescent="0.35">
      <c r="P13612" s="226"/>
      <c r="Q13612" s="226"/>
      <c r="R13612" s="226"/>
      <c r="S13612" s="226"/>
      <c r="T13612" s="226"/>
      <c r="U13612" s="226"/>
    </row>
    <row r="13613" spans="16:21" x14ac:dyDescent="0.35">
      <c r="P13613" s="226"/>
      <c r="Q13613" s="226"/>
      <c r="R13613" s="226"/>
      <c r="S13613" s="226"/>
      <c r="T13613" s="226"/>
      <c r="U13613" s="226"/>
    </row>
    <row r="13614" spans="16:21" x14ac:dyDescent="0.35">
      <c r="P13614" s="226"/>
      <c r="Q13614" s="226"/>
      <c r="R13614" s="226"/>
      <c r="S13614" s="226"/>
      <c r="T13614" s="226"/>
      <c r="U13614" s="226"/>
    </row>
    <row r="13615" spans="16:21" x14ac:dyDescent="0.35">
      <c r="P13615" s="226"/>
      <c r="Q13615" s="226"/>
      <c r="R13615" s="226"/>
      <c r="S13615" s="226"/>
      <c r="T13615" s="226"/>
      <c r="U13615" s="226"/>
    </row>
    <row r="13616" spans="16:21" x14ac:dyDescent="0.35">
      <c r="P13616" s="226"/>
      <c r="Q13616" s="226"/>
      <c r="R13616" s="226"/>
      <c r="S13616" s="226"/>
      <c r="T13616" s="226"/>
      <c r="U13616" s="226"/>
    </row>
    <row r="13617" spans="16:21" x14ac:dyDescent="0.35">
      <c r="P13617" s="226"/>
      <c r="Q13617" s="226"/>
      <c r="R13617" s="226"/>
      <c r="S13617" s="226"/>
      <c r="T13617" s="226"/>
      <c r="U13617" s="226"/>
    </row>
    <row r="13618" spans="16:21" x14ac:dyDescent="0.35">
      <c r="P13618" s="226"/>
      <c r="Q13618" s="226"/>
      <c r="R13618" s="226"/>
      <c r="S13618" s="226"/>
      <c r="T13618" s="226"/>
      <c r="U13618" s="226"/>
    </row>
    <row r="13619" spans="16:21" x14ac:dyDescent="0.35">
      <c r="P13619" s="226"/>
      <c r="Q13619" s="226"/>
      <c r="R13619" s="226"/>
      <c r="S13619" s="226"/>
      <c r="T13619" s="226"/>
      <c r="U13619" s="226"/>
    </row>
    <row r="13620" spans="16:21" x14ac:dyDescent="0.35">
      <c r="P13620" s="226"/>
      <c r="Q13620" s="226"/>
      <c r="R13620" s="226"/>
      <c r="S13620" s="226"/>
      <c r="T13620" s="226"/>
      <c r="U13620" s="226"/>
    </row>
    <row r="13621" spans="16:21" x14ac:dyDescent="0.35">
      <c r="P13621" s="226"/>
      <c r="Q13621" s="226"/>
      <c r="R13621" s="226"/>
      <c r="S13621" s="226"/>
      <c r="T13621" s="226"/>
      <c r="U13621" s="226"/>
    </row>
    <row r="13622" spans="16:21" x14ac:dyDescent="0.35">
      <c r="P13622" s="226"/>
      <c r="Q13622" s="226"/>
      <c r="R13622" s="226"/>
      <c r="S13622" s="226"/>
      <c r="T13622" s="226"/>
      <c r="U13622" s="226"/>
    </row>
    <row r="13623" spans="16:21" x14ac:dyDescent="0.35">
      <c r="P13623" s="226"/>
      <c r="Q13623" s="226"/>
      <c r="R13623" s="226"/>
      <c r="S13623" s="226"/>
      <c r="T13623" s="226"/>
      <c r="U13623" s="226"/>
    </row>
    <row r="13624" spans="16:21" x14ac:dyDescent="0.35">
      <c r="P13624" s="226"/>
      <c r="Q13624" s="226"/>
      <c r="R13624" s="226"/>
      <c r="S13624" s="226"/>
      <c r="T13624" s="226"/>
      <c r="U13624" s="226"/>
    </row>
    <row r="13625" spans="16:21" x14ac:dyDescent="0.35">
      <c r="P13625" s="226"/>
      <c r="Q13625" s="226"/>
      <c r="R13625" s="226"/>
      <c r="S13625" s="226"/>
      <c r="T13625" s="226"/>
      <c r="U13625" s="226"/>
    </row>
    <row r="13626" spans="16:21" x14ac:dyDescent="0.35">
      <c r="P13626" s="226"/>
      <c r="Q13626" s="226"/>
      <c r="R13626" s="226"/>
      <c r="S13626" s="226"/>
      <c r="T13626" s="226"/>
      <c r="U13626" s="226"/>
    </row>
    <row r="13627" spans="16:21" x14ac:dyDescent="0.35">
      <c r="P13627" s="226"/>
      <c r="Q13627" s="226"/>
      <c r="R13627" s="226"/>
      <c r="S13627" s="226"/>
      <c r="T13627" s="226"/>
      <c r="U13627" s="226"/>
    </row>
    <row r="13628" spans="16:21" x14ac:dyDescent="0.35">
      <c r="P13628" s="226"/>
      <c r="Q13628" s="226"/>
      <c r="R13628" s="226"/>
      <c r="S13628" s="226"/>
      <c r="T13628" s="226"/>
      <c r="U13628" s="226"/>
    </row>
    <row r="13629" spans="16:21" x14ac:dyDescent="0.35">
      <c r="P13629" s="226"/>
      <c r="Q13629" s="226"/>
      <c r="R13629" s="226"/>
      <c r="S13629" s="226"/>
      <c r="T13629" s="226"/>
      <c r="U13629" s="226"/>
    </row>
    <row r="13630" spans="16:21" x14ac:dyDescent="0.35">
      <c r="P13630" s="226"/>
      <c r="Q13630" s="226"/>
      <c r="R13630" s="226"/>
      <c r="S13630" s="226"/>
      <c r="T13630" s="226"/>
      <c r="U13630" s="226"/>
    </row>
    <row r="13631" spans="16:21" x14ac:dyDescent="0.35">
      <c r="P13631" s="226"/>
      <c r="Q13631" s="226"/>
      <c r="R13631" s="226"/>
      <c r="S13631" s="226"/>
      <c r="T13631" s="226"/>
      <c r="U13631" s="226"/>
    </row>
    <row r="13632" spans="16:21" x14ac:dyDescent="0.35">
      <c r="P13632" s="226"/>
      <c r="Q13632" s="226"/>
      <c r="R13632" s="226"/>
      <c r="S13632" s="226"/>
      <c r="T13632" s="226"/>
      <c r="U13632" s="226"/>
    </row>
    <row r="13633" spans="16:21" x14ac:dyDescent="0.35">
      <c r="P13633" s="226"/>
      <c r="Q13633" s="226"/>
      <c r="R13633" s="226"/>
      <c r="S13633" s="226"/>
      <c r="T13633" s="226"/>
      <c r="U13633" s="226"/>
    </row>
    <row r="13634" spans="16:21" x14ac:dyDescent="0.35">
      <c r="P13634" s="226"/>
      <c r="Q13634" s="226"/>
      <c r="R13634" s="226"/>
      <c r="S13634" s="226"/>
      <c r="T13634" s="226"/>
      <c r="U13634" s="226"/>
    </row>
    <row r="13635" spans="16:21" x14ac:dyDescent="0.35">
      <c r="P13635" s="226"/>
      <c r="Q13635" s="226"/>
      <c r="R13635" s="226"/>
      <c r="S13635" s="226"/>
      <c r="T13635" s="226"/>
      <c r="U13635" s="226"/>
    </row>
    <row r="13636" spans="16:21" x14ac:dyDescent="0.35">
      <c r="P13636" s="226"/>
      <c r="Q13636" s="226"/>
      <c r="R13636" s="226"/>
      <c r="S13636" s="226"/>
      <c r="T13636" s="226"/>
      <c r="U13636" s="226"/>
    </row>
    <row r="13637" spans="16:21" x14ac:dyDescent="0.35">
      <c r="P13637" s="226"/>
      <c r="Q13637" s="226"/>
      <c r="R13637" s="226"/>
      <c r="S13637" s="226"/>
      <c r="T13637" s="226"/>
      <c r="U13637" s="226"/>
    </row>
    <row r="13638" spans="16:21" x14ac:dyDescent="0.35">
      <c r="P13638" s="226"/>
      <c r="Q13638" s="226"/>
      <c r="R13638" s="226"/>
      <c r="S13638" s="226"/>
      <c r="T13638" s="226"/>
      <c r="U13638" s="226"/>
    </row>
    <row r="13639" spans="16:21" x14ac:dyDescent="0.35">
      <c r="P13639" s="226"/>
      <c r="Q13639" s="226"/>
      <c r="R13639" s="226"/>
      <c r="S13639" s="226"/>
      <c r="T13639" s="226"/>
      <c r="U13639" s="226"/>
    </row>
    <row r="13640" spans="16:21" x14ac:dyDescent="0.35">
      <c r="P13640" s="226"/>
      <c r="Q13640" s="226"/>
      <c r="R13640" s="226"/>
      <c r="S13640" s="226"/>
      <c r="T13640" s="226"/>
      <c r="U13640" s="226"/>
    </row>
    <row r="13641" spans="16:21" x14ac:dyDescent="0.35">
      <c r="P13641" s="226"/>
      <c r="Q13641" s="226"/>
      <c r="R13641" s="226"/>
      <c r="S13641" s="226"/>
      <c r="T13641" s="226"/>
      <c r="U13641" s="226"/>
    </row>
    <row r="13642" spans="16:21" x14ac:dyDescent="0.35">
      <c r="P13642" s="226"/>
      <c r="Q13642" s="226"/>
      <c r="R13642" s="226"/>
      <c r="S13642" s="226"/>
      <c r="T13642" s="226"/>
      <c r="U13642" s="226"/>
    </row>
    <row r="13643" spans="16:21" x14ac:dyDescent="0.35">
      <c r="P13643" s="226"/>
      <c r="Q13643" s="226"/>
      <c r="R13643" s="226"/>
      <c r="S13643" s="226"/>
      <c r="T13643" s="226"/>
      <c r="U13643" s="226"/>
    </row>
    <row r="13644" spans="16:21" x14ac:dyDescent="0.35">
      <c r="P13644" s="226"/>
      <c r="Q13644" s="226"/>
      <c r="R13644" s="226"/>
      <c r="S13644" s="226"/>
      <c r="T13644" s="226"/>
      <c r="U13644" s="226"/>
    </row>
    <row r="13645" spans="16:21" x14ac:dyDescent="0.35">
      <c r="P13645" s="226"/>
      <c r="Q13645" s="226"/>
      <c r="R13645" s="226"/>
      <c r="S13645" s="226"/>
      <c r="T13645" s="226"/>
      <c r="U13645" s="226"/>
    </row>
    <row r="13646" spans="16:21" x14ac:dyDescent="0.35">
      <c r="P13646" s="226"/>
      <c r="Q13646" s="226"/>
      <c r="R13646" s="226"/>
      <c r="S13646" s="226"/>
      <c r="T13646" s="226"/>
      <c r="U13646" s="226"/>
    </row>
    <row r="13647" spans="16:21" x14ac:dyDescent="0.35">
      <c r="P13647" s="226"/>
      <c r="Q13647" s="226"/>
      <c r="R13647" s="226"/>
      <c r="S13647" s="226"/>
      <c r="T13647" s="226"/>
      <c r="U13647" s="226"/>
    </row>
    <row r="13648" spans="16:21" x14ac:dyDescent="0.35">
      <c r="P13648" s="226"/>
      <c r="Q13648" s="226"/>
      <c r="R13648" s="226"/>
      <c r="S13648" s="226"/>
      <c r="T13648" s="226"/>
      <c r="U13648" s="226"/>
    </row>
    <row r="13649" spans="16:21" x14ac:dyDescent="0.35">
      <c r="P13649" s="226"/>
      <c r="Q13649" s="226"/>
      <c r="R13649" s="226"/>
      <c r="S13649" s="226"/>
      <c r="T13649" s="226"/>
      <c r="U13649" s="226"/>
    </row>
    <row r="13650" spans="16:21" x14ac:dyDescent="0.35">
      <c r="P13650" s="226"/>
      <c r="Q13650" s="226"/>
      <c r="R13650" s="226"/>
      <c r="S13650" s="226"/>
      <c r="T13650" s="226"/>
      <c r="U13650" s="226"/>
    </row>
    <row r="13651" spans="16:21" x14ac:dyDescent="0.35">
      <c r="P13651" s="226"/>
      <c r="Q13651" s="226"/>
      <c r="R13651" s="226"/>
      <c r="S13651" s="226"/>
      <c r="T13651" s="226"/>
      <c r="U13651" s="226"/>
    </row>
    <row r="13652" spans="16:21" x14ac:dyDescent="0.35">
      <c r="P13652" s="226"/>
      <c r="Q13652" s="226"/>
      <c r="R13652" s="226"/>
      <c r="S13652" s="226"/>
      <c r="T13652" s="226"/>
      <c r="U13652" s="226"/>
    </row>
    <row r="13653" spans="16:21" x14ac:dyDescent="0.35">
      <c r="P13653" s="226"/>
      <c r="Q13653" s="226"/>
      <c r="R13653" s="226"/>
      <c r="S13653" s="226"/>
      <c r="T13653" s="226"/>
      <c r="U13653" s="226"/>
    </row>
    <row r="13654" spans="16:21" x14ac:dyDescent="0.35">
      <c r="P13654" s="226"/>
      <c r="Q13654" s="226"/>
      <c r="R13654" s="226"/>
      <c r="S13654" s="226"/>
      <c r="T13654" s="226"/>
      <c r="U13654" s="226"/>
    </row>
    <row r="13655" spans="16:21" x14ac:dyDescent="0.35">
      <c r="P13655" s="226"/>
      <c r="Q13655" s="226"/>
      <c r="R13655" s="226"/>
      <c r="S13655" s="226"/>
      <c r="T13655" s="226"/>
      <c r="U13655" s="226"/>
    </row>
    <row r="13656" spans="16:21" x14ac:dyDescent="0.35">
      <c r="P13656" s="226"/>
      <c r="Q13656" s="226"/>
      <c r="R13656" s="226"/>
      <c r="S13656" s="226"/>
      <c r="T13656" s="226"/>
      <c r="U13656" s="226"/>
    </row>
    <row r="13657" spans="16:21" x14ac:dyDescent="0.35">
      <c r="P13657" s="226"/>
      <c r="Q13657" s="226"/>
      <c r="R13657" s="226"/>
      <c r="S13657" s="226"/>
      <c r="T13657" s="226"/>
      <c r="U13657" s="226"/>
    </row>
    <row r="13658" spans="16:21" x14ac:dyDescent="0.35">
      <c r="P13658" s="226"/>
      <c r="Q13658" s="226"/>
      <c r="R13658" s="226"/>
      <c r="S13658" s="226"/>
      <c r="T13658" s="226"/>
      <c r="U13658" s="226"/>
    </row>
    <row r="13659" spans="16:21" x14ac:dyDescent="0.35">
      <c r="P13659" s="226"/>
      <c r="Q13659" s="226"/>
      <c r="R13659" s="226"/>
      <c r="S13659" s="226"/>
      <c r="T13659" s="226"/>
      <c r="U13659" s="226"/>
    </row>
    <row r="13660" spans="16:21" x14ac:dyDescent="0.35">
      <c r="P13660" s="226"/>
      <c r="Q13660" s="226"/>
      <c r="R13660" s="226"/>
      <c r="S13660" s="226"/>
      <c r="T13660" s="226"/>
      <c r="U13660" s="226"/>
    </row>
    <row r="13661" spans="16:21" x14ac:dyDescent="0.35">
      <c r="P13661" s="226"/>
      <c r="Q13661" s="226"/>
      <c r="R13661" s="226"/>
      <c r="S13661" s="226"/>
      <c r="T13661" s="226"/>
      <c r="U13661" s="226"/>
    </row>
    <row r="13662" spans="16:21" x14ac:dyDescent="0.35">
      <c r="P13662" s="226"/>
      <c r="Q13662" s="226"/>
      <c r="R13662" s="226"/>
      <c r="S13662" s="226"/>
      <c r="T13662" s="226"/>
      <c r="U13662" s="226"/>
    </row>
    <row r="13663" spans="16:21" x14ac:dyDescent="0.35">
      <c r="P13663" s="226"/>
      <c r="Q13663" s="226"/>
      <c r="R13663" s="226"/>
      <c r="S13663" s="226"/>
      <c r="T13663" s="226"/>
      <c r="U13663" s="226"/>
    </row>
    <row r="13664" spans="16:21" x14ac:dyDescent="0.35">
      <c r="P13664" s="226"/>
      <c r="Q13664" s="226"/>
      <c r="R13664" s="226"/>
      <c r="S13664" s="226"/>
      <c r="T13664" s="226"/>
      <c r="U13664" s="226"/>
    </row>
    <row r="13665" spans="16:21" x14ac:dyDescent="0.35">
      <c r="P13665" s="226"/>
      <c r="Q13665" s="226"/>
      <c r="R13665" s="226"/>
      <c r="S13665" s="226"/>
      <c r="T13665" s="226"/>
      <c r="U13665" s="226"/>
    </row>
    <row r="13666" spans="16:21" x14ac:dyDescent="0.35">
      <c r="P13666" s="226"/>
      <c r="Q13666" s="226"/>
      <c r="R13666" s="226"/>
      <c r="S13666" s="226"/>
      <c r="T13666" s="226"/>
      <c r="U13666" s="226"/>
    </row>
    <row r="13667" spans="16:21" x14ac:dyDescent="0.35">
      <c r="P13667" s="226"/>
      <c r="Q13667" s="226"/>
      <c r="R13667" s="226"/>
      <c r="S13667" s="226"/>
      <c r="T13667" s="226"/>
      <c r="U13667" s="226"/>
    </row>
    <row r="13668" spans="16:21" x14ac:dyDescent="0.35">
      <c r="P13668" s="226"/>
      <c r="Q13668" s="226"/>
      <c r="R13668" s="226"/>
      <c r="S13668" s="226"/>
      <c r="T13668" s="226"/>
      <c r="U13668" s="226"/>
    </row>
    <row r="13669" spans="16:21" x14ac:dyDescent="0.35">
      <c r="P13669" s="226"/>
      <c r="Q13669" s="226"/>
      <c r="R13669" s="226"/>
      <c r="S13669" s="226"/>
      <c r="T13669" s="226"/>
      <c r="U13669" s="226"/>
    </row>
    <row r="13670" spans="16:21" x14ac:dyDescent="0.35">
      <c r="P13670" s="226"/>
      <c r="Q13670" s="226"/>
      <c r="R13670" s="226"/>
      <c r="S13670" s="226"/>
      <c r="T13670" s="226"/>
      <c r="U13670" s="226"/>
    </row>
    <row r="13671" spans="16:21" x14ac:dyDescent="0.35">
      <c r="P13671" s="226"/>
      <c r="Q13671" s="226"/>
      <c r="R13671" s="226"/>
      <c r="S13671" s="226"/>
      <c r="T13671" s="226"/>
      <c r="U13671" s="226"/>
    </row>
    <row r="13672" spans="16:21" x14ac:dyDescent="0.35">
      <c r="P13672" s="226"/>
      <c r="Q13672" s="226"/>
      <c r="R13672" s="226"/>
      <c r="S13672" s="226"/>
      <c r="T13672" s="226"/>
      <c r="U13672" s="226"/>
    </row>
    <row r="13673" spans="16:21" x14ac:dyDescent="0.35">
      <c r="P13673" s="226"/>
      <c r="Q13673" s="226"/>
      <c r="R13673" s="226"/>
      <c r="S13673" s="226"/>
      <c r="T13673" s="226"/>
      <c r="U13673" s="226"/>
    </row>
    <row r="13674" spans="16:21" x14ac:dyDescent="0.35">
      <c r="P13674" s="226"/>
      <c r="Q13674" s="226"/>
      <c r="R13674" s="226"/>
      <c r="S13674" s="226"/>
      <c r="T13674" s="226"/>
      <c r="U13674" s="226"/>
    </row>
    <row r="13675" spans="16:21" x14ac:dyDescent="0.35">
      <c r="P13675" s="226"/>
      <c r="Q13675" s="226"/>
      <c r="R13675" s="226"/>
      <c r="S13675" s="226"/>
      <c r="T13675" s="226"/>
      <c r="U13675" s="226"/>
    </row>
    <row r="13676" spans="16:21" x14ac:dyDescent="0.35">
      <c r="P13676" s="226"/>
      <c r="Q13676" s="226"/>
      <c r="R13676" s="226"/>
      <c r="S13676" s="226"/>
      <c r="T13676" s="226"/>
      <c r="U13676" s="226"/>
    </row>
    <row r="13677" spans="16:21" x14ac:dyDescent="0.35">
      <c r="P13677" s="226"/>
      <c r="Q13677" s="226"/>
      <c r="R13677" s="226"/>
      <c r="S13677" s="226"/>
      <c r="T13677" s="226"/>
      <c r="U13677" s="226"/>
    </row>
    <row r="13678" spans="16:21" x14ac:dyDescent="0.35">
      <c r="P13678" s="226"/>
      <c r="Q13678" s="226"/>
      <c r="R13678" s="226"/>
      <c r="S13678" s="226"/>
      <c r="T13678" s="226"/>
      <c r="U13678" s="226"/>
    </row>
    <row r="13679" spans="16:21" x14ac:dyDescent="0.35">
      <c r="P13679" s="226"/>
      <c r="Q13679" s="226"/>
      <c r="R13679" s="226"/>
      <c r="S13679" s="226"/>
      <c r="T13679" s="226"/>
      <c r="U13679" s="226"/>
    </row>
    <row r="13680" spans="16:21" x14ac:dyDescent="0.35">
      <c r="P13680" s="226"/>
      <c r="Q13680" s="226"/>
      <c r="R13680" s="226"/>
      <c r="S13680" s="226"/>
      <c r="T13680" s="226"/>
      <c r="U13680" s="226"/>
    </row>
    <row r="13681" spans="16:21" x14ac:dyDescent="0.35">
      <c r="P13681" s="226"/>
      <c r="Q13681" s="226"/>
      <c r="R13681" s="226"/>
      <c r="S13681" s="226"/>
      <c r="T13681" s="226"/>
      <c r="U13681" s="226"/>
    </row>
    <row r="13682" spans="16:21" x14ac:dyDescent="0.35">
      <c r="P13682" s="226"/>
      <c r="Q13682" s="226"/>
      <c r="R13682" s="226"/>
      <c r="S13682" s="226"/>
      <c r="T13682" s="226"/>
      <c r="U13682" s="226"/>
    </row>
    <row r="13683" spans="16:21" x14ac:dyDescent="0.35">
      <c r="P13683" s="226"/>
      <c r="Q13683" s="226"/>
      <c r="R13683" s="226"/>
      <c r="S13683" s="226"/>
      <c r="T13683" s="226"/>
      <c r="U13683" s="226"/>
    </row>
    <row r="13684" spans="16:21" x14ac:dyDescent="0.35">
      <c r="P13684" s="226"/>
      <c r="Q13684" s="226"/>
      <c r="R13684" s="226"/>
      <c r="S13684" s="226"/>
      <c r="T13684" s="226"/>
      <c r="U13684" s="226"/>
    </row>
    <row r="13685" spans="16:21" x14ac:dyDescent="0.35">
      <c r="P13685" s="226"/>
      <c r="Q13685" s="226"/>
      <c r="R13685" s="226"/>
      <c r="S13685" s="226"/>
      <c r="T13685" s="226"/>
      <c r="U13685" s="226"/>
    </row>
    <row r="13686" spans="16:21" x14ac:dyDescent="0.35">
      <c r="P13686" s="226"/>
      <c r="Q13686" s="226"/>
      <c r="R13686" s="226"/>
      <c r="S13686" s="226"/>
      <c r="T13686" s="226"/>
      <c r="U13686" s="226"/>
    </row>
    <row r="13687" spans="16:21" x14ac:dyDescent="0.35">
      <c r="P13687" s="226"/>
      <c r="Q13687" s="226"/>
      <c r="R13687" s="226"/>
      <c r="S13687" s="226"/>
      <c r="T13687" s="226"/>
      <c r="U13687" s="226"/>
    </row>
    <row r="13688" spans="16:21" x14ac:dyDescent="0.35">
      <c r="P13688" s="226"/>
      <c r="Q13688" s="226"/>
      <c r="R13688" s="226"/>
      <c r="S13688" s="226"/>
      <c r="T13688" s="226"/>
      <c r="U13688" s="226"/>
    </row>
    <row r="13689" spans="16:21" x14ac:dyDescent="0.35">
      <c r="P13689" s="226"/>
      <c r="Q13689" s="226"/>
      <c r="R13689" s="226"/>
      <c r="S13689" s="226"/>
      <c r="T13689" s="226"/>
      <c r="U13689" s="226"/>
    </row>
    <row r="13690" spans="16:21" x14ac:dyDescent="0.35">
      <c r="P13690" s="226"/>
      <c r="Q13690" s="226"/>
      <c r="R13690" s="226"/>
      <c r="S13690" s="226"/>
      <c r="T13690" s="226"/>
      <c r="U13690" s="226"/>
    </row>
    <row r="13691" spans="16:21" x14ac:dyDescent="0.35">
      <c r="P13691" s="226"/>
      <c r="Q13691" s="226"/>
      <c r="R13691" s="226"/>
      <c r="S13691" s="226"/>
      <c r="T13691" s="226"/>
      <c r="U13691" s="226"/>
    </row>
    <row r="13692" spans="16:21" x14ac:dyDescent="0.35">
      <c r="P13692" s="226"/>
      <c r="Q13692" s="226"/>
      <c r="R13692" s="226"/>
      <c r="S13692" s="226"/>
      <c r="T13692" s="226"/>
      <c r="U13692" s="226"/>
    </row>
    <row r="13693" spans="16:21" x14ac:dyDescent="0.35">
      <c r="P13693" s="226"/>
      <c r="Q13693" s="226"/>
      <c r="R13693" s="226"/>
      <c r="S13693" s="226"/>
      <c r="T13693" s="226"/>
      <c r="U13693" s="226"/>
    </row>
    <row r="13694" spans="16:21" x14ac:dyDescent="0.35">
      <c r="P13694" s="226"/>
      <c r="Q13694" s="226"/>
      <c r="R13694" s="226"/>
      <c r="S13694" s="226"/>
      <c r="T13694" s="226"/>
      <c r="U13694" s="226"/>
    </row>
    <row r="13695" spans="16:21" x14ac:dyDescent="0.35">
      <c r="P13695" s="226"/>
      <c r="Q13695" s="226"/>
      <c r="R13695" s="226"/>
      <c r="S13695" s="226"/>
      <c r="T13695" s="226"/>
      <c r="U13695" s="226"/>
    </row>
    <row r="13696" spans="16:21" x14ac:dyDescent="0.35">
      <c r="P13696" s="226"/>
      <c r="Q13696" s="226"/>
      <c r="R13696" s="226"/>
      <c r="S13696" s="226"/>
      <c r="T13696" s="226"/>
      <c r="U13696" s="226"/>
    </row>
    <row r="13697" spans="16:21" x14ac:dyDescent="0.35">
      <c r="P13697" s="226"/>
      <c r="Q13697" s="226"/>
      <c r="R13697" s="226"/>
      <c r="S13697" s="226"/>
      <c r="T13697" s="226"/>
      <c r="U13697" s="226"/>
    </row>
    <row r="13698" spans="16:21" x14ac:dyDescent="0.35">
      <c r="P13698" s="226"/>
      <c r="Q13698" s="226"/>
      <c r="R13698" s="226"/>
      <c r="S13698" s="226"/>
      <c r="T13698" s="226"/>
      <c r="U13698" s="226"/>
    </row>
    <row r="13699" spans="16:21" x14ac:dyDescent="0.35">
      <c r="P13699" s="226"/>
      <c r="Q13699" s="226"/>
      <c r="R13699" s="226"/>
      <c r="S13699" s="226"/>
      <c r="T13699" s="226"/>
      <c r="U13699" s="226"/>
    </row>
    <row r="13700" spans="16:21" x14ac:dyDescent="0.35">
      <c r="P13700" s="226"/>
      <c r="Q13700" s="226"/>
      <c r="R13700" s="226"/>
      <c r="S13700" s="226"/>
      <c r="T13700" s="226"/>
      <c r="U13700" s="226"/>
    </row>
    <row r="13701" spans="16:21" x14ac:dyDescent="0.35">
      <c r="P13701" s="226"/>
      <c r="Q13701" s="226"/>
      <c r="R13701" s="226"/>
      <c r="S13701" s="226"/>
      <c r="T13701" s="226"/>
      <c r="U13701" s="226"/>
    </row>
    <row r="13702" spans="16:21" x14ac:dyDescent="0.35">
      <c r="P13702" s="226"/>
      <c r="Q13702" s="226"/>
      <c r="R13702" s="226"/>
      <c r="S13702" s="226"/>
      <c r="T13702" s="226"/>
      <c r="U13702" s="226"/>
    </row>
    <row r="13703" spans="16:21" x14ac:dyDescent="0.35">
      <c r="P13703" s="226"/>
      <c r="Q13703" s="226"/>
      <c r="R13703" s="226"/>
      <c r="S13703" s="226"/>
      <c r="T13703" s="226"/>
      <c r="U13703" s="226"/>
    </row>
    <row r="13704" spans="16:21" x14ac:dyDescent="0.35">
      <c r="P13704" s="226"/>
      <c r="Q13704" s="226"/>
      <c r="R13704" s="226"/>
      <c r="S13704" s="226"/>
      <c r="T13704" s="226"/>
      <c r="U13704" s="226"/>
    </row>
    <row r="13705" spans="16:21" x14ac:dyDescent="0.35">
      <c r="P13705" s="226"/>
      <c r="Q13705" s="226"/>
      <c r="R13705" s="226"/>
      <c r="S13705" s="226"/>
      <c r="T13705" s="226"/>
      <c r="U13705" s="226"/>
    </row>
    <row r="13706" spans="16:21" x14ac:dyDescent="0.35">
      <c r="P13706" s="226"/>
      <c r="Q13706" s="226"/>
      <c r="R13706" s="226"/>
      <c r="S13706" s="226"/>
      <c r="T13706" s="226"/>
      <c r="U13706" s="226"/>
    </row>
    <row r="13707" spans="16:21" x14ac:dyDescent="0.35">
      <c r="P13707" s="226"/>
      <c r="Q13707" s="226"/>
      <c r="R13707" s="226"/>
      <c r="S13707" s="226"/>
      <c r="T13707" s="226"/>
      <c r="U13707" s="226"/>
    </row>
    <row r="13708" spans="16:21" x14ac:dyDescent="0.35">
      <c r="P13708" s="226"/>
      <c r="Q13708" s="226"/>
      <c r="R13708" s="226"/>
      <c r="S13708" s="226"/>
      <c r="T13708" s="226"/>
      <c r="U13708" s="226"/>
    </row>
    <row r="13709" spans="16:21" x14ac:dyDescent="0.35">
      <c r="P13709" s="226"/>
      <c r="Q13709" s="226"/>
      <c r="R13709" s="226"/>
      <c r="S13709" s="226"/>
      <c r="T13709" s="226"/>
      <c r="U13709" s="226"/>
    </row>
    <row r="13710" spans="16:21" x14ac:dyDescent="0.35">
      <c r="P13710" s="226"/>
      <c r="Q13710" s="226"/>
      <c r="R13710" s="226"/>
      <c r="S13710" s="226"/>
      <c r="T13710" s="226"/>
      <c r="U13710" s="226"/>
    </row>
    <row r="13711" spans="16:21" x14ac:dyDescent="0.35">
      <c r="P13711" s="226"/>
      <c r="Q13711" s="226"/>
      <c r="R13711" s="226"/>
      <c r="S13711" s="226"/>
      <c r="T13711" s="226"/>
      <c r="U13711" s="226"/>
    </row>
    <row r="13712" spans="16:21" x14ac:dyDescent="0.35">
      <c r="P13712" s="226"/>
      <c r="Q13712" s="226"/>
      <c r="R13712" s="226"/>
      <c r="S13712" s="226"/>
      <c r="T13712" s="226"/>
      <c r="U13712" s="226"/>
    </row>
    <row r="13713" spans="16:21" x14ac:dyDescent="0.35">
      <c r="P13713" s="226"/>
      <c r="Q13713" s="226"/>
      <c r="R13713" s="226"/>
      <c r="S13713" s="226"/>
      <c r="T13713" s="226"/>
      <c r="U13713" s="226"/>
    </row>
    <row r="13714" spans="16:21" x14ac:dyDescent="0.35">
      <c r="P13714" s="226"/>
      <c r="Q13714" s="226"/>
      <c r="R13714" s="226"/>
      <c r="S13714" s="226"/>
      <c r="T13714" s="226"/>
      <c r="U13714" s="226"/>
    </row>
    <row r="13715" spans="16:21" x14ac:dyDescent="0.35">
      <c r="P13715" s="226"/>
      <c r="Q13715" s="226"/>
      <c r="R13715" s="226"/>
      <c r="S13715" s="226"/>
      <c r="T13715" s="226"/>
      <c r="U13715" s="226"/>
    </row>
    <row r="13716" spans="16:21" x14ac:dyDescent="0.35">
      <c r="P13716" s="226"/>
      <c r="Q13716" s="226"/>
      <c r="R13716" s="226"/>
      <c r="S13716" s="226"/>
      <c r="T13716" s="226"/>
      <c r="U13716" s="226"/>
    </row>
    <row r="13717" spans="16:21" x14ac:dyDescent="0.35">
      <c r="P13717" s="226"/>
      <c r="Q13717" s="226"/>
      <c r="R13717" s="226"/>
      <c r="S13717" s="226"/>
      <c r="T13717" s="226"/>
      <c r="U13717" s="226"/>
    </row>
    <row r="13718" spans="16:21" x14ac:dyDescent="0.35">
      <c r="P13718" s="226"/>
      <c r="Q13718" s="226"/>
      <c r="R13718" s="226"/>
      <c r="S13718" s="226"/>
      <c r="T13718" s="226"/>
      <c r="U13718" s="226"/>
    </row>
    <row r="13719" spans="16:21" x14ac:dyDescent="0.35">
      <c r="P13719" s="226"/>
      <c r="Q13719" s="226"/>
      <c r="R13719" s="226"/>
      <c r="S13719" s="226"/>
      <c r="T13719" s="226"/>
      <c r="U13719" s="226"/>
    </row>
    <row r="13720" spans="16:21" x14ac:dyDescent="0.35">
      <c r="P13720" s="226"/>
      <c r="Q13720" s="226"/>
      <c r="R13720" s="226"/>
      <c r="S13720" s="226"/>
      <c r="T13720" s="226"/>
      <c r="U13720" s="226"/>
    </row>
    <row r="13721" spans="16:21" x14ac:dyDescent="0.35">
      <c r="P13721" s="226"/>
      <c r="Q13721" s="226"/>
      <c r="R13721" s="226"/>
      <c r="S13721" s="226"/>
      <c r="T13721" s="226"/>
      <c r="U13721" s="226"/>
    </row>
    <row r="13722" spans="16:21" x14ac:dyDescent="0.35">
      <c r="P13722" s="226"/>
      <c r="Q13722" s="226"/>
      <c r="R13722" s="226"/>
      <c r="S13722" s="226"/>
      <c r="T13722" s="226"/>
      <c r="U13722" s="226"/>
    </row>
    <row r="13723" spans="16:21" x14ac:dyDescent="0.35">
      <c r="P13723" s="226"/>
      <c r="Q13723" s="226"/>
      <c r="R13723" s="226"/>
      <c r="S13723" s="226"/>
      <c r="T13723" s="226"/>
      <c r="U13723" s="226"/>
    </row>
    <row r="13724" spans="16:21" x14ac:dyDescent="0.35">
      <c r="P13724" s="226"/>
      <c r="Q13724" s="226"/>
      <c r="R13724" s="226"/>
      <c r="S13724" s="226"/>
      <c r="T13724" s="226"/>
      <c r="U13724" s="226"/>
    </row>
    <row r="13725" spans="16:21" x14ac:dyDescent="0.35">
      <c r="P13725" s="226"/>
      <c r="Q13725" s="226"/>
      <c r="R13725" s="226"/>
      <c r="S13725" s="226"/>
      <c r="T13725" s="226"/>
      <c r="U13725" s="226"/>
    </row>
    <row r="13726" spans="16:21" x14ac:dyDescent="0.35">
      <c r="P13726" s="226"/>
      <c r="Q13726" s="226"/>
      <c r="R13726" s="226"/>
      <c r="S13726" s="226"/>
      <c r="T13726" s="226"/>
      <c r="U13726" s="226"/>
    </row>
    <row r="13727" spans="16:21" x14ac:dyDescent="0.35">
      <c r="P13727" s="226"/>
      <c r="Q13727" s="226"/>
      <c r="R13727" s="226"/>
      <c r="S13727" s="226"/>
      <c r="T13727" s="226"/>
      <c r="U13727" s="226"/>
    </row>
    <row r="13728" spans="16:21" x14ac:dyDescent="0.35">
      <c r="P13728" s="226"/>
      <c r="Q13728" s="226"/>
      <c r="R13728" s="226"/>
      <c r="S13728" s="226"/>
      <c r="T13728" s="226"/>
      <c r="U13728" s="226"/>
    </row>
    <row r="13729" spans="16:21" x14ac:dyDescent="0.35">
      <c r="P13729" s="226"/>
      <c r="Q13729" s="226"/>
      <c r="R13729" s="226"/>
      <c r="S13729" s="226"/>
      <c r="T13729" s="226"/>
      <c r="U13729" s="226"/>
    </row>
    <row r="13730" spans="16:21" x14ac:dyDescent="0.35">
      <c r="P13730" s="226"/>
      <c r="Q13730" s="226"/>
      <c r="R13730" s="226"/>
      <c r="S13730" s="226"/>
      <c r="T13730" s="226"/>
      <c r="U13730" s="226"/>
    </row>
    <row r="13731" spans="16:21" x14ac:dyDescent="0.35">
      <c r="P13731" s="226"/>
      <c r="Q13731" s="226"/>
      <c r="R13731" s="226"/>
      <c r="S13731" s="226"/>
      <c r="T13731" s="226"/>
      <c r="U13731" s="226"/>
    </row>
    <row r="13732" spans="16:21" x14ac:dyDescent="0.35">
      <c r="P13732" s="226"/>
      <c r="Q13732" s="226"/>
      <c r="R13732" s="226"/>
      <c r="S13732" s="226"/>
      <c r="T13732" s="226"/>
      <c r="U13732" s="226"/>
    </row>
    <row r="13733" spans="16:21" x14ac:dyDescent="0.35">
      <c r="P13733" s="226"/>
      <c r="Q13733" s="226"/>
      <c r="R13733" s="226"/>
      <c r="S13733" s="226"/>
      <c r="T13733" s="226"/>
      <c r="U13733" s="226"/>
    </row>
    <row r="13734" spans="16:21" x14ac:dyDescent="0.35">
      <c r="P13734" s="226"/>
      <c r="Q13734" s="226"/>
      <c r="R13734" s="226"/>
      <c r="S13734" s="226"/>
      <c r="T13734" s="226"/>
      <c r="U13734" s="226"/>
    </row>
    <row r="13735" spans="16:21" x14ac:dyDescent="0.35">
      <c r="P13735" s="226"/>
      <c r="Q13735" s="226"/>
      <c r="R13735" s="226"/>
      <c r="S13735" s="226"/>
      <c r="T13735" s="226"/>
      <c r="U13735" s="226"/>
    </row>
    <row r="13736" spans="16:21" x14ac:dyDescent="0.35">
      <c r="P13736" s="226"/>
      <c r="Q13736" s="226"/>
      <c r="R13736" s="226"/>
      <c r="S13736" s="226"/>
      <c r="T13736" s="226"/>
      <c r="U13736" s="226"/>
    </row>
    <row r="13737" spans="16:21" x14ac:dyDescent="0.35">
      <c r="P13737" s="226"/>
      <c r="Q13737" s="226"/>
      <c r="R13737" s="226"/>
      <c r="S13737" s="226"/>
      <c r="T13737" s="226"/>
      <c r="U13737" s="226"/>
    </row>
    <row r="13738" spans="16:21" x14ac:dyDescent="0.35">
      <c r="P13738" s="226"/>
      <c r="Q13738" s="226"/>
      <c r="R13738" s="226"/>
      <c r="S13738" s="226"/>
      <c r="T13738" s="226"/>
      <c r="U13738" s="226"/>
    </row>
    <row r="13739" spans="16:21" x14ac:dyDescent="0.35">
      <c r="P13739" s="226"/>
      <c r="Q13739" s="226"/>
      <c r="R13739" s="226"/>
      <c r="S13739" s="226"/>
      <c r="T13739" s="226"/>
      <c r="U13739" s="226"/>
    </row>
    <row r="13740" spans="16:21" x14ac:dyDescent="0.35">
      <c r="P13740" s="226"/>
      <c r="Q13740" s="226"/>
      <c r="R13740" s="226"/>
      <c r="S13740" s="226"/>
      <c r="T13740" s="226"/>
      <c r="U13740" s="226"/>
    </row>
    <row r="13741" spans="16:21" x14ac:dyDescent="0.35">
      <c r="P13741" s="226"/>
      <c r="Q13741" s="226"/>
      <c r="R13741" s="226"/>
      <c r="S13741" s="226"/>
      <c r="T13741" s="226"/>
      <c r="U13741" s="226"/>
    </row>
    <row r="13742" spans="16:21" x14ac:dyDescent="0.35">
      <c r="P13742" s="226"/>
      <c r="Q13742" s="226"/>
      <c r="R13742" s="226"/>
      <c r="S13742" s="226"/>
      <c r="T13742" s="226"/>
      <c r="U13742" s="226"/>
    </row>
    <row r="13743" spans="16:21" x14ac:dyDescent="0.35">
      <c r="P13743" s="226"/>
      <c r="Q13743" s="226"/>
      <c r="R13743" s="226"/>
      <c r="S13743" s="226"/>
      <c r="T13743" s="226"/>
      <c r="U13743" s="226"/>
    </row>
    <row r="13744" spans="16:21" x14ac:dyDescent="0.35">
      <c r="P13744" s="226"/>
      <c r="Q13744" s="226"/>
      <c r="R13744" s="226"/>
      <c r="S13744" s="226"/>
      <c r="T13744" s="226"/>
      <c r="U13744" s="226"/>
    </row>
    <row r="13745" spans="16:21" x14ac:dyDescent="0.35">
      <c r="P13745" s="226"/>
      <c r="Q13745" s="226"/>
      <c r="R13745" s="226"/>
      <c r="S13745" s="226"/>
      <c r="T13745" s="226"/>
      <c r="U13745" s="226"/>
    </row>
    <row r="13746" spans="16:21" x14ac:dyDescent="0.35">
      <c r="P13746" s="226"/>
      <c r="Q13746" s="226"/>
      <c r="R13746" s="226"/>
      <c r="S13746" s="226"/>
      <c r="T13746" s="226"/>
      <c r="U13746" s="226"/>
    </row>
    <row r="13747" spans="16:21" x14ac:dyDescent="0.35">
      <c r="P13747" s="226"/>
      <c r="Q13747" s="226"/>
      <c r="R13747" s="226"/>
      <c r="S13747" s="226"/>
      <c r="T13747" s="226"/>
      <c r="U13747" s="226"/>
    </row>
    <row r="13748" spans="16:21" x14ac:dyDescent="0.35">
      <c r="P13748" s="226"/>
      <c r="Q13748" s="226"/>
      <c r="R13748" s="226"/>
      <c r="S13748" s="226"/>
      <c r="T13748" s="226"/>
      <c r="U13748" s="226"/>
    </row>
    <row r="13749" spans="16:21" x14ac:dyDescent="0.35">
      <c r="P13749" s="226"/>
      <c r="Q13749" s="226"/>
      <c r="R13749" s="226"/>
      <c r="S13749" s="226"/>
      <c r="T13749" s="226"/>
      <c r="U13749" s="226"/>
    </row>
    <row r="13750" spans="16:21" x14ac:dyDescent="0.35">
      <c r="P13750" s="226"/>
      <c r="Q13750" s="226"/>
      <c r="R13750" s="226"/>
      <c r="S13750" s="226"/>
      <c r="T13750" s="226"/>
      <c r="U13750" s="226"/>
    </row>
    <row r="13751" spans="16:21" x14ac:dyDescent="0.35">
      <c r="P13751" s="226"/>
      <c r="Q13751" s="226"/>
      <c r="R13751" s="226"/>
      <c r="S13751" s="226"/>
      <c r="T13751" s="226"/>
      <c r="U13751" s="226"/>
    </row>
    <row r="13752" spans="16:21" x14ac:dyDescent="0.35">
      <c r="P13752" s="226"/>
      <c r="Q13752" s="226"/>
      <c r="R13752" s="226"/>
      <c r="S13752" s="226"/>
      <c r="T13752" s="226"/>
      <c r="U13752" s="226"/>
    </row>
    <row r="13753" spans="16:21" x14ac:dyDescent="0.35">
      <c r="P13753" s="226"/>
      <c r="Q13753" s="226"/>
      <c r="R13753" s="226"/>
      <c r="S13753" s="226"/>
      <c r="T13753" s="226"/>
      <c r="U13753" s="226"/>
    </row>
    <row r="13754" spans="16:21" x14ac:dyDescent="0.35">
      <c r="P13754" s="226"/>
      <c r="Q13754" s="226"/>
      <c r="R13754" s="226"/>
      <c r="S13754" s="226"/>
      <c r="T13754" s="226"/>
      <c r="U13754" s="226"/>
    </row>
    <row r="13755" spans="16:21" x14ac:dyDescent="0.35">
      <c r="P13755" s="226"/>
      <c r="Q13755" s="226"/>
      <c r="R13755" s="226"/>
      <c r="S13755" s="226"/>
      <c r="T13755" s="226"/>
      <c r="U13755" s="226"/>
    </row>
    <row r="13756" spans="16:21" x14ac:dyDescent="0.35">
      <c r="P13756" s="226"/>
      <c r="Q13756" s="226"/>
      <c r="R13756" s="226"/>
      <c r="S13756" s="226"/>
      <c r="T13756" s="226"/>
      <c r="U13756" s="226"/>
    </row>
    <row r="13757" spans="16:21" x14ac:dyDescent="0.35">
      <c r="P13757" s="226"/>
      <c r="Q13757" s="226"/>
      <c r="R13757" s="226"/>
      <c r="S13757" s="226"/>
      <c r="T13757" s="226"/>
      <c r="U13757" s="226"/>
    </row>
    <row r="13758" spans="16:21" x14ac:dyDescent="0.35">
      <c r="P13758" s="226"/>
      <c r="Q13758" s="226"/>
      <c r="R13758" s="226"/>
      <c r="S13758" s="226"/>
      <c r="T13758" s="226"/>
      <c r="U13758" s="226"/>
    </row>
    <row r="13759" spans="16:21" x14ac:dyDescent="0.35">
      <c r="P13759" s="226"/>
      <c r="Q13759" s="226"/>
      <c r="R13759" s="226"/>
      <c r="S13759" s="226"/>
      <c r="T13759" s="226"/>
      <c r="U13759" s="226"/>
    </row>
    <row r="13760" spans="16:21" x14ac:dyDescent="0.35">
      <c r="P13760" s="226"/>
      <c r="Q13760" s="226"/>
      <c r="R13760" s="226"/>
      <c r="S13760" s="226"/>
      <c r="T13760" s="226"/>
      <c r="U13760" s="226"/>
    </row>
    <row r="13761" spans="16:21" x14ac:dyDescent="0.35">
      <c r="P13761" s="226"/>
      <c r="Q13761" s="226"/>
      <c r="R13761" s="226"/>
      <c r="S13761" s="226"/>
      <c r="T13761" s="226"/>
      <c r="U13761" s="226"/>
    </row>
    <row r="13762" spans="16:21" x14ac:dyDescent="0.35">
      <c r="P13762" s="226"/>
      <c r="Q13762" s="226"/>
      <c r="R13762" s="226"/>
      <c r="S13762" s="226"/>
      <c r="T13762" s="226"/>
      <c r="U13762" s="226"/>
    </row>
    <row r="13763" spans="16:21" x14ac:dyDescent="0.35">
      <c r="P13763" s="226"/>
      <c r="Q13763" s="226"/>
      <c r="R13763" s="226"/>
      <c r="S13763" s="226"/>
      <c r="T13763" s="226"/>
      <c r="U13763" s="226"/>
    </row>
    <row r="13764" spans="16:21" x14ac:dyDescent="0.35">
      <c r="P13764" s="226"/>
      <c r="Q13764" s="226"/>
      <c r="R13764" s="226"/>
      <c r="S13764" s="226"/>
      <c r="T13764" s="226"/>
      <c r="U13764" s="226"/>
    </row>
    <row r="13765" spans="16:21" x14ac:dyDescent="0.35">
      <c r="P13765" s="226"/>
      <c r="Q13765" s="226"/>
      <c r="R13765" s="226"/>
      <c r="S13765" s="226"/>
      <c r="T13765" s="226"/>
      <c r="U13765" s="226"/>
    </row>
    <row r="13766" spans="16:21" x14ac:dyDescent="0.35">
      <c r="P13766" s="226"/>
      <c r="Q13766" s="226"/>
      <c r="R13766" s="226"/>
      <c r="S13766" s="226"/>
      <c r="T13766" s="226"/>
      <c r="U13766" s="226"/>
    </row>
    <row r="13767" spans="16:21" x14ac:dyDescent="0.35">
      <c r="P13767" s="226"/>
      <c r="Q13767" s="226"/>
      <c r="R13767" s="226"/>
      <c r="S13767" s="226"/>
      <c r="T13767" s="226"/>
      <c r="U13767" s="226"/>
    </row>
    <row r="13768" spans="16:21" x14ac:dyDescent="0.35">
      <c r="P13768" s="226"/>
      <c r="Q13768" s="226"/>
      <c r="R13768" s="226"/>
      <c r="S13768" s="226"/>
      <c r="T13768" s="226"/>
      <c r="U13768" s="226"/>
    </row>
    <row r="13769" spans="16:21" x14ac:dyDescent="0.35">
      <c r="P13769" s="226"/>
      <c r="Q13769" s="226"/>
      <c r="R13769" s="226"/>
      <c r="S13769" s="226"/>
      <c r="T13769" s="226"/>
      <c r="U13769" s="226"/>
    </row>
    <row r="13770" spans="16:21" x14ac:dyDescent="0.35">
      <c r="P13770" s="226"/>
      <c r="Q13770" s="226"/>
      <c r="R13770" s="226"/>
      <c r="S13770" s="226"/>
      <c r="T13770" s="226"/>
      <c r="U13770" s="226"/>
    </row>
    <row r="13771" spans="16:21" x14ac:dyDescent="0.35">
      <c r="P13771" s="226"/>
      <c r="Q13771" s="226"/>
      <c r="R13771" s="226"/>
      <c r="S13771" s="226"/>
      <c r="T13771" s="226"/>
      <c r="U13771" s="226"/>
    </row>
    <row r="13772" spans="16:21" x14ac:dyDescent="0.35">
      <c r="P13772" s="226"/>
      <c r="Q13772" s="226"/>
      <c r="R13772" s="226"/>
      <c r="S13772" s="226"/>
      <c r="T13772" s="226"/>
      <c r="U13772" s="226"/>
    </row>
    <row r="13773" spans="16:21" x14ac:dyDescent="0.35">
      <c r="P13773" s="226"/>
      <c r="Q13773" s="226"/>
      <c r="R13773" s="226"/>
      <c r="S13773" s="226"/>
      <c r="T13773" s="226"/>
      <c r="U13773" s="226"/>
    </row>
    <row r="13774" spans="16:21" x14ac:dyDescent="0.35">
      <c r="P13774" s="226"/>
      <c r="Q13774" s="226"/>
      <c r="R13774" s="226"/>
      <c r="S13774" s="226"/>
      <c r="T13774" s="226"/>
      <c r="U13774" s="226"/>
    </row>
    <row r="13775" spans="16:21" x14ac:dyDescent="0.35">
      <c r="P13775" s="226"/>
      <c r="Q13775" s="226"/>
      <c r="R13775" s="226"/>
      <c r="S13775" s="226"/>
      <c r="T13775" s="226"/>
      <c r="U13775" s="226"/>
    </row>
    <row r="13776" spans="16:21" x14ac:dyDescent="0.35">
      <c r="P13776" s="226"/>
      <c r="Q13776" s="226"/>
      <c r="R13776" s="226"/>
      <c r="S13776" s="226"/>
      <c r="T13776" s="226"/>
      <c r="U13776" s="226"/>
    </row>
    <row r="13777" spans="16:21" x14ac:dyDescent="0.35">
      <c r="P13777" s="226"/>
      <c r="Q13777" s="226"/>
      <c r="R13777" s="226"/>
      <c r="S13777" s="226"/>
      <c r="T13777" s="226"/>
      <c r="U13777" s="226"/>
    </row>
    <row r="13778" spans="16:21" x14ac:dyDescent="0.35">
      <c r="P13778" s="226"/>
      <c r="Q13778" s="226"/>
      <c r="R13778" s="226"/>
      <c r="S13778" s="226"/>
      <c r="T13778" s="226"/>
      <c r="U13778" s="226"/>
    </row>
    <row r="13779" spans="16:21" x14ac:dyDescent="0.35">
      <c r="P13779" s="226"/>
      <c r="Q13779" s="226"/>
      <c r="R13779" s="226"/>
      <c r="S13779" s="226"/>
      <c r="T13779" s="226"/>
      <c r="U13779" s="226"/>
    </row>
    <row r="13780" spans="16:21" x14ac:dyDescent="0.35">
      <c r="P13780" s="226"/>
      <c r="Q13780" s="226"/>
      <c r="R13780" s="226"/>
      <c r="S13780" s="226"/>
      <c r="T13780" s="226"/>
      <c r="U13780" s="226"/>
    </row>
    <row r="13781" spans="16:21" x14ac:dyDescent="0.35">
      <c r="P13781" s="226"/>
      <c r="Q13781" s="226"/>
      <c r="R13781" s="226"/>
      <c r="S13781" s="226"/>
      <c r="T13781" s="226"/>
      <c r="U13781" s="226"/>
    </row>
    <row r="13782" spans="16:21" x14ac:dyDescent="0.35">
      <c r="P13782" s="226"/>
      <c r="Q13782" s="226"/>
      <c r="R13782" s="226"/>
      <c r="S13782" s="226"/>
      <c r="T13782" s="226"/>
      <c r="U13782" s="226"/>
    </row>
    <row r="13783" spans="16:21" x14ac:dyDescent="0.35">
      <c r="P13783" s="226"/>
      <c r="Q13783" s="226"/>
      <c r="R13783" s="226"/>
      <c r="S13783" s="226"/>
      <c r="T13783" s="226"/>
      <c r="U13783" s="226"/>
    </row>
    <row r="13784" spans="16:21" x14ac:dyDescent="0.35">
      <c r="P13784" s="226"/>
      <c r="Q13784" s="226"/>
      <c r="R13784" s="226"/>
      <c r="S13784" s="226"/>
      <c r="T13784" s="226"/>
      <c r="U13784" s="226"/>
    </row>
    <row r="13785" spans="16:21" x14ac:dyDescent="0.35">
      <c r="P13785" s="226"/>
      <c r="Q13785" s="226"/>
      <c r="R13785" s="226"/>
      <c r="S13785" s="226"/>
      <c r="T13785" s="226"/>
      <c r="U13785" s="226"/>
    </row>
    <row r="13786" spans="16:21" x14ac:dyDescent="0.35">
      <c r="P13786" s="226"/>
      <c r="Q13786" s="226"/>
      <c r="R13786" s="226"/>
      <c r="S13786" s="226"/>
      <c r="T13786" s="226"/>
      <c r="U13786" s="226"/>
    </row>
    <row r="13787" spans="16:21" x14ac:dyDescent="0.35">
      <c r="P13787" s="226"/>
      <c r="Q13787" s="226"/>
      <c r="R13787" s="226"/>
      <c r="S13787" s="226"/>
      <c r="T13787" s="226"/>
      <c r="U13787" s="226"/>
    </row>
    <row r="13788" spans="16:21" x14ac:dyDescent="0.35">
      <c r="P13788" s="226"/>
      <c r="Q13788" s="226"/>
      <c r="R13788" s="226"/>
      <c r="S13788" s="226"/>
      <c r="T13788" s="226"/>
      <c r="U13788" s="226"/>
    </row>
    <row r="13789" spans="16:21" x14ac:dyDescent="0.35">
      <c r="P13789" s="226"/>
      <c r="Q13789" s="226"/>
      <c r="R13789" s="226"/>
      <c r="S13789" s="226"/>
      <c r="T13789" s="226"/>
      <c r="U13789" s="226"/>
    </row>
    <row r="13790" spans="16:21" x14ac:dyDescent="0.35">
      <c r="P13790" s="226"/>
      <c r="Q13790" s="226"/>
      <c r="R13790" s="226"/>
      <c r="S13790" s="226"/>
      <c r="T13790" s="226"/>
      <c r="U13790" s="226"/>
    </row>
    <row r="13791" spans="16:21" x14ac:dyDescent="0.35">
      <c r="P13791" s="226"/>
      <c r="Q13791" s="226"/>
      <c r="R13791" s="226"/>
      <c r="S13791" s="226"/>
      <c r="T13791" s="226"/>
      <c r="U13791" s="226"/>
    </row>
    <row r="13792" spans="16:21" x14ac:dyDescent="0.35">
      <c r="P13792" s="226"/>
      <c r="Q13792" s="226"/>
      <c r="R13792" s="226"/>
      <c r="S13792" s="226"/>
      <c r="T13792" s="226"/>
      <c r="U13792" s="226"/>
    </row>
    <row r="13793" spans="16:21" x14ac:dyDescent="0.35">
      <c r="P13793" s="226"/>
      <c r="Q13793" s="226"/>
      <c r="R13793" s="226"/>
      <c r="S13793" s="226"/>
      <c r="T13793" s="226"/>
      <c r="U13793" s="226"/>
    </row>
    <row r="13794" spans="16:21" x14ac:dyDescent="0.35">
      <c r="P13794" s="226"/>
      <c r="Q13794" s="226"/>
      <c r="R13794" s="226"/>
      <c r="S13794" s="226"/>
      <c r="T13794" s="226"/>
      <c r="U13794" s="226"/>
    </row>
    <row r="13795" spans="16:21" x14ac:dyDescent="0.35">
      <c r="P13795" s="226"/>
      <c r="Q13795" s="226"/>
      <c r="R13795" s="226"/>
      <c r="S13795" s="226"/>
      <c r="T13795" s="226"/>
      <c r="U13795" s="226"/>
    </row>
    <row r="13796" spans="16:21" x14ac:dyDescent="0.35">
      <c r="P13796" s="226"/>
      <c r="Q13796" s="226"/>
      <c r="R13796" s="226"/>
      <c r="S13796" s="226"/>
      <c r="T13796" s="226"/>
      <c r="U13796" s="226"/>
    </row>
    <row r="13797" spans="16:21" x14ac:dyDescent="0.35">
      <c r="P13797" s="226"/>
      <c r="Q13797" s="226"/>
      <c r="R13797" s="226"/>
      <c r="S13797" s="226"/>
      <c r="T13797" s="226"/>
      <c r="U13797" s="226"/>
    </row>
    <row r="13798" spans="16:21" x14ac:dyDescent="0.35">
      <c r="P13798" s="226"/>
      <c r="Q13798" s="226"/>
      <c r="R13798" s="226"/>
      <c r="S13798" s="226"/>
      <c r="T13798" s="226"/>
      <c r="U13798" s="226"/>
    </row>
    <row r="13799" spans="16:21" x14ac:dyDescent="0.35">
      <c r="P13799" s="226"/>
      <c r="Q13799" s="226"/>
      <c r="R13799" s="226"/>
      <c r="S13799" s="226"/>
      <c r="T13799" s="226"/>
      <c r="U13799" s="226"/>
    </row>
    <row r="13800" spans="16:21" x14ac:dyDescent="0.35">
      <c r="P13800" s="226"/>
      <c r="Q13800" s="226"/>
      <c r="R13800" s="226"/>
      <c r="S13800" s="226"/>
      <c r="T13800" s="226"/>
      <c r="U13800" s="226"/>
    </row>
    <row r="13801" spans="16:21" x14ac:dyDescent="0.35">
      <c r="P13801" s="226"/>
      <c r="Q13801" s="226"/>
      <c r="R13801" s="226"/>
      <c r="S13801" s="226"/>
      <c r="T13801" s="226"/>
      <c r="U13801" s="226"/>
    </row>
    <row r="13802" spans="16:21" x14ac:dyDescent="0.35">
      <c r="P13802" s="226"/>
      <c r="Q13802" s="226"/>
      <c r="R13802" s="226"/>
      <c r="S13802" s="226"/>
      <c r="T13802" s="226"/>
      <c r="U13802" s="226"/>
    </row>
    <row r="13803" spans="16:21" x14ac:dyDescent="0.35">
      <c r="P13803" s="226"/>
      <c r="Q13803" s="226"/>
      <c r="R13803" s="226"/>
      <c r="S13803" s="226"/>
      <c r="T13803" s="226"/>
      <c r="U13803" s="226"/>
    </row>
    <row r="13804" spans="16:21" x14ac:dyDescent="0.35">
      <c r="P13804" s="226"/>
      <c r="Q13804" s="226"/>
      <c r="R13804" s="226"/>
      <c r="S13804" s="226"/>
      <c r="T13804" s="226"/>
      <c r="U13804" s="226"/>
    </row>
    <row r="13805" spans="16:21" x14ac:dyDescent="0.35">
      <c r="P13805" s="226"/>
      <c r="Q13805" s="226"/>
      <c r="R13805" s="226"/>
      <c r="S13805" s="226"/>
      <c r="T13805" s="226"/>
      <c r="U13805" s="226"/>
    </row>
    <row r="13806" spans="16:21" x14ac:dyDescent="0.35">
      <c r="P13806" s="226"/>
      <c r="Q13806" s="226"/>
      <c r="R13806" s="226"/>
      <c r="S13806" s="226"/>
      <c r="T13806" s="226"/>
      <c r="U13806" s="226"/>
    </row>
    <row r="13807" spans="16:21" x14ac:dyDescent="0.35">
      <c r="P13807" s="226"/>
      <c r="Q13807" s="226"/>
      <c r="R13807" s="226"/>
      <c r="S13807" s="226"/>
      <c r="T13807" s="226"/>
      <c r="U13807" s="226"/>
    </row>
    <row r="13808" spans="16:21" x14ac:dyDescent="0.35">
      <c r="P13808" s="226"/>
      <c r="Q13808" s="226"/>
      <c r="R13808" s="226"/>
      <c r="S13808" s="226"/>
      <c r="T13808" s="226"/>
      <c r="U13808" s="226"/>
    </row>
    <row r="13809" spans="16:21" x14ac:dyDescent="0.35">
      <c r="P13809" s="226"/>
      <c r="Q13809" s="226"/>
      <c r="R13809" s="226"/>
      <c r="S13809" s="226"/>
      <c r="T13809" s="226"/>
      <c r="U13809" s="226"/>
    </row>
    <row r="13810" spans="16:21" x14ac:dyDescent="0.35">
      <c r="P13810" s="226"/>
      <c r="Q13810" s="226"/>
      <c r="R13810" s="226"/>
      <c r="S13810" s="226"/>
      <c r="T13810" s="226"/>
      <c r="U13810" s="226"/>
    </row>
    <row r="13811" spans="16:21" x14ac:dyDescent="0.35">
      <c r="P13811" s="226"/>
      <c r="Q13811" s="226"/>
      <c r="R13811" s="226"/>
      <c r="S13811" s="226"/>
      <c r="T13811" s="226"/>
      <c r="U13811" s="226"/>
    </row>
    <row r="13812" spans="16:21" x14ac:dyDescent="0.35">
      <c r="P13812" s="226"/>
      <c r="Q13812" s="226"/>
      <c r="R13812" s="226"/>
      <c r="S13812" s="226"/>
      <c r="T13812" s="226"/>
      <c r="U13812" s="226"/>
    </row>
    <row r="13813" spans="16:21" x14ac:dyDescent="0.35">
      <c r="P13813" s="226"/>
      <c r="Q13813" s="226"/>
      <c r="R13813" s="226"/>
      <c r="S13813" s="226"/>
      <c r="T13813" s="226"/>
      <c r="U13813" s="226"/>
    </row>
    <row r="13814" spans="16:21" x14ac:dyDescent="0.35">
      <c r="P13814" s="226"/>
      <c r="Q13814" s="226"/>
      <c r="R13814" s="226"/>
      <c r="S13814" s="226"/>
      <c r="T13814" s="226"/>
      <c r="U13814" s="226"/>
    </row>
    <row r="13815" spans="16:21" x14ac:dyDescent="0.35">
      <c r="P13815" s="226"/>
      <c r="Q13815" s="226"/>
      <c r="R13815" s="226"/>
      <c r="S13815" s="226"/>
      <c r="T13815" s="226"/>
      <c r="U13815" s="226"/>
    </row>
    <row r="13816" spans="16:21" x14ac:dyDescent="0.35">
      <c r="P13816" s="226"/>
      <c r="Q13816" s="226"/>
      <c r="R13816" s="226"/>
      <c r="S13816" s="226"/>
      <c r="T13816" s="226"/>
      <c r="U13816" s="226"/>
    </row>
    <row r="13817" spans="16:21" x14ac:dyDescent="0.35">
      <c r="P13817" s="226"/>
      <c r="Q13817" s="226"/>
      <c r="R13817" s="226"/>
      <c r="S13817" s="226"/>
      <c r="T13817" s="226"/>
      <c r="U13817" s="226"/>
    </row>
    <row r="13818" spans="16:21" x14ac:dyDescent="0.35">
      <c r="P13818" s="226"/>
      <c r="Q13818" s="226"/>
      <c r="R13818" s="226"/>
      <c r="S13818" s="226"/>
      <c r="T13818" s="226"/>
      <c r="U13818" s="226"/>
    </row>
    <row r="13819" spans="16:21" x14ac:dyDescent="0.35">
      <c r="P13819" s="226"/>
      <c r="Q13819" s="226"/>
      <c r="R13819" s="226"/>
      <c r="S13819" s="226"/>
      <c r="T13819" s="226"/>
      <c r="U13819" s="226"/>
    </row>
    <row r="13820" spans="16:21" x14ac:dyDescent="0.35">
      <c r="P13820" s="226"/>
      <c r="Q13820" s="226"/>
      <c r="R13820" s="226"/>
      <c r="S13820" s="226"/>
      <c r="T13820" s="226"/>
      <c r="U13820" s="226"/>
    </row>
    <row r="13821" spans="16:21" x14ac:dyDescent="0.35">
      <c r="P13821" s="226"/>
      <c r="Q13821" s="226"/>
      <c r="R13821" s="226"/>
      <c r="S13821" s="226"/>
      <c r="T13821" s="226"/>
      <c r="U13821" s="226"/>
    </row>
    <row r="13822" spans="16:21" x14ac:dyDescent="0.35">
      <c r="P13822" s="226"/>
      <c r="Q13822" s="226"/>
      <c r="R13822" s="226"/>
      <c r="S13822" s="226"/>
      <c r="T13822" s="226"/>
      <c r="U13822" s="226"/>
    </row>
    <row r="13823" spans="16:21" x14ac:dyDescent="0.35">
      <c r="P13823" s="226"/>
      <c r="Q13823" s="226"/>
      <c r="R13823" s="226"/>
      <c r="S13823" s="226"/>
      <c r="T13823" s="226"/>
      <c r="U13823" s="226"/>
    </row>
    <row r="13824" spans="16:21" x14ac:dyDescent="0.35">
      <c r="P13824" s="226"/>
      <c r="Q13824" s="226"/>
      <c r="R13824" s="226"/>
      <c r="S13824" s="226"/>
      <c r="T13824" s="226"/>
      <c r="U13824" s="226"/>
    </row>
    <row r="13825" spans="16:21" x14ac:dyDescent="0.35">
      <c r="P13825" s="226"/>
      <c r="Q13825" s="226"/>
      <c r="R13825" s="226"/>
      <c r="S13825" s="226"/>
      <c r="T13825" s="226"/>
      <c r="U13825" s="226"/>
    </row>
    <row r="13826" spans="16:21" x14ac:dyDescent="0.35">
      <c r="P13826" s="226"/>
      <c r="Q13826" s="226"/>
      <c r="R13826" s="226"/>
      <c r="S13826" s="226"/>
      <c r="T13826" s="226"/>
      <c r="U13826" s="226"/>
    </row>
    <row r="13827" spans="16:21" x14ac:dyDescent="0.35">
      <c r="P13827" s="226"/>
      <c r="Q13827" s="226"/>
      <c r="R13827" s="226"/>
      <c r="S13827" s="226"/>
      <c r="T13827" s="226"/>
      <c r="U13827" s="226"/>
    </row>
    <row r="13828" spans="16:21" x14ac:dyDescent="0.35">
      <c r="P13828" s="226"/>
      <c r="Q13828" s="226"/>
      <c r="R13828" s="226"/>
      <c r="S13828" s="226"/>
      <c r="T13828" s="226"/>
      <c r="U13828" s="226"/>
    </row>
    <row r="13829" spans="16:21" x14ac:dyDescent="0.35">
      <c r="P13829" s="226"/>
      <c r="Q13829" s="226"/>
      <c r="R13829" s="226"/>
      <c r="S13829" s="226"/>
      <c r="T13829" s="226"/>
      <c r="U13829" s="226"/>
    </row>
    <row r="13830" spans="16:21" x14ac:dyDescent="0.35">
      <c r="P13830" s="226"/>
      <c r="Q13830" s="226"/>
      <c r="R13830" s="226"/>
      <c r="S13830" s="226"/>
      <c r="T13830" s="226"/>
      <c r="U13830" s="226"/>
    </row>
    <row r="13831" spans="16:21" x14ac:dyDescent="0.35">
      <c r="P13831" s="226"/>
      <c r="Q13831" s="226"/>
      <c r="R13831" s="226"/>
      <c r="S13831" s="226"/>
      <c r="T13831" s="226"/>
      <c r="U13831" s="226"/>
    </row>
    <row r="13832" spans="16:21" x14ac:dyDescent="0.35">
      <c r="P13832" s="226"/>
      <c r="Q13832" s="226"/>
      <c r="R13832" s="226"/>
      <c r="S13832" s="226"/>
      <c r="T13832" s="226"/>
      <c r="U13832" s="226"/>
    </row>
    <row r="13833" spans="16:21" x14ac:dyDescent="0.35">
      <c r="P13833" s="226"/>
      <c r="Q13833" s="226"/>
      <c r="R13833" s="226"/>
      <c r="S13833" s="226"/>
      <c r="T13833" s="226"/>
      <c r="U13833" s="226"/>
    </row>
    <row r="13834" spans="16:21" x14ac:dyDescent="0.35">
      <c r="P13834" s="226"/>
      <c r="Q13834" s="226"/>
      <c r="R13834" s="226"/>
      <c r="S13834" s="226"/>
      <c r="T13834" s="226"/>
      <c r="U13834" s="226"/>
    </row>
    <row r="13835" spans="16:21" x14ac:dyDescent="0.35">
      <c r="P13835" s="226"/>
      <c r="Q13835" s="226"/>
      <c r="R13835" s="226"/>
      <c r="S13835" s="226"/>
      <c r="T13835" s="226"/>
      <c r="U13835" s="226"/>
    </row>
    <row r="13836" spans="16:21" x14ac:dyDescent="0.35">
      <c r="P13836" s="226"/>
      <c r="Q13836" s="226"/>
      <c r="R13836" s="226"/>
      <c r="S13836" s="226"/>
      <c r="T13836" s="226"/>
      <c r="U13836" s="226"/>
    </row>
    <row r="13837" spans="16:21" x14ac:dyDescent="0.35">
      <c r="P13837" s="226"/>
      <c r="Q13837" s="226"/>
      <c r="R13837" s="226"/>
      <c r="S13837" s="226"/>
      <c r="T13837" s="226"/>
      <c r="U13837" s="226"/>
    </row>
    <row r="13838" spans="16:21" x14ac:dyDescent="0.35">
      <c r="P13838" s="226"/>
      <c r="Q13838" s="226"/>
      <c r="R13838" s="226"/>
      <c r="S13838" s="226"/>
      <c r="T13838" s="226"/>
      <c r="U13838" s="226"/>
    </row>
    <row r="13839" spans="16:21" x14ac:dyDescent="0.35">
      <c r="P13839" s="226"/>
      <c r="Q13839" s="226"/>
      <c r="R13839" s="226"/>
      <c r="S13839" s="226"/>
      <c r="T13839" s="226"/>
      <c r="U13839" s="226"/>
    </row>
    <row r="13840" spans="16:21" x14ac:dyDescent="0.35">
      <c r="P13840" s="226"/>
      <c r="Q13840" s="226"/>
      <c r="R13840" s="226"/>
      <c r="S13840" s="226"/>
      <c r="T13840" s="226"/>
      <c r="U13840" s="226"/>
    </row>
    <row r="13841" spans="16:21" x14ac:dyDescent="0.35">
      <c r="P13841" s="226"/>
      <c r="Q13841" s="226"/>
      <c r="R13841" s="226"/>
      <c r="S13841" s="226"/>
      <c r="T13841" s="226"/>
      <c r="U13841" s="226"/>
    </row>
    <row r="13842" spans="16:21" x14ac:dyDescent="0.35">
      <c r="P13842" s="226"/>
      <c r="Q13842" s="226"/>
      <c r="R13842" s="226"/>
      <c r="S13842" s="226"/>
      <c r="T13842" s="226"/>
      <c r="U13842" s="226"/>
    </row>
    <row r="13843" spans="16:21" x14ac:dyDescent="0.35">
      <c r="P13843" s="226"/>
      <c r="Q13843" s="226"/>
      <c r="R13843" s="226"/>
      <c r="S13843" s="226"/>
      <c r="T13843" s="226"/>
      <c r="U13843" s="226"/>
    </row>
    <row r="13844" spans="16:21" x14ac:dyDescent="0.35">
      <c r="P13844" s="226"/>
      <c r="Q13844" s="226"/>
      <c r="R13844" s="226"/>
      <c r="S13844" s="226"/>
      <c r="T13844" s="226"/>
      <c r="U13844" s="226"/>
    </row>
    <row r="13845" spans="16:21" x14ac:dyDescent="0.35">
      <c r="P13845" s="226"/>
      <c r="Q13845" s="226"/>
      <c r="R13845" s="226"/>
      <c r="S13845" s="226"/>
      <c r="T13845" s="226"/>
      <c r="U13845" s="226"/>
    </row>
    <row r="13846" spans="16:21" x14ac:dyDescent="0.35">
      <c r="P13846" s="226"/>
      <c r="Q13846" s="226"/>
      <c r="R13846" s="226"/>
      <c r="S13846" s="226"/>
      <c r="T13846" s="226"/>
      <c r="U13846" s="226"/>
    </row>
    <row r="13847" spans="16:21" x14ac:dyDescent="0.35">
      <c r="P13847" s="226"/>
      <c r="Q13847" s="226"/>
      <c r="R13847" s="226"/>
      <c r="S13847" s="226"/>
      <c r="T13847" s="226"/>
      <c r="U13847" s="226"/>
    </row>
    <row r="13848" spans="16:21" x14ac:dyDescent="0.35">
      <c r="P13848" s="226"/>
      <c r="Q13848" s="226"/>
      <c r="R13848" s="226"/>
      <c r="S13848" s="226"/>
      <c r="T13848" s="226"/>
      <c r="U13848" s="226"/>
    </row>
    <row r="13849" spans="16:21" x14ac:dyDescent="0.35">
      <c r="P13849" s="226"/>
      <c r="Q13849" s="226"/>
      <c r="R13849" s="226"/>
      <c r="S13849" s="226"/>
      <c r="T13849" s="226"/>
      <c r="U13849" s="226"/>
    </row>
    <row r="13850" spans="16:21" x14ac:dyDescent="0.35">
      <c r="P13850" s="226"/>
      <c r="Q13850" s="226"/>
      <c r="R13850" s="226"/>
      <c r="S13850" s="226"/>
      <c r="T13850" s="226"/>
      <c r="U13850" s="226"/>
    </row>
    <row r="13851" spans="16:21" x14ac:dyDescent="0.35">
      <c r="P13851" s="226"/>
      <c r="Q13851" s="226"/>
      <c r="R13851" s="226"/>
      <c r="S13851" s="226"/>
      <c r="T13851" s="226"/>
      <c r="U13851" s="226"/>
    </row>
    <row r="13852" spans="16:21" x14ac:dyDescent="0.35">
      <c r="P13852" s="226"/>
      <c r="Q13852" s="226"/>
      <c r="R13852" s="226"/>
      <c r="S13852" s="226"/>
      <c r="T13852" s="226"/>
      <c r="U13852" s="226"/>
    </row>
    <row r="13853" spans="16:21" x14ac:dyDescent="0.35">
      <c r="P13853" s="226"/>
      <c r="Q13853" s="226"/>
      <c r="R13853" s="226"/>
      <c r="S13853" s="226"/>
      <c r="T13853" s="226"/>
      <c r="U13853" s="226"/>
    </row>
    <row r="13854" spans="16:21" x14ac:dyDescent="0.35">
      <c r="P13854" s="226"/>
      <c r="Q13854" s="226"/>
      <c r="R13854" s="226"/>
      <c r="S13854" s="226"/>
      <c r="T13854" s="226"/>
      <c r="U13854" s="226"/>
    </row>
    <row r="13855" spans="16:21" x14ac:dyDescent="0.35">
      <c r="P13855" s="226"/>
      <c r="Q13855" s="226"/>
      <c r="R13855" s="226"/>
      <c r="S13855" s="226"/>
      <c r="T13855" s="226"/>
      <c r="U13855" s="226"/>
    </row>
    <row r="13856" spans="16:21" x14ac:dyDescent="0.35">
      <c r="P13856" s="226"/>
      <c r="Q13856" s="226"/>
      <c r="R13856" s="226"/>
      <c r="S13856" s="226"/>
      <c r="T13856" s="226"/>
      <c r="U13856" s="226"/>
    </row>
    <row r="13857" spans="16:21" x14ac:dyDescent="0.35">
      <c r="P13857" s="226"/>
      <c r="Q13857" s="226"/>
      <c r="R13857" s="226"/>
      <c r="S13857" s="226"/>
      <c r="T13857" s="226"/>
      <c r="U13857" s="226"/>
    </row>
    <row r="13858" spans="16:21" x14ac:dyDescent="0.35">
      <c r="P13858" s="226"/>
      <c r="Q13858" s="226"/>
      <c r="R13858" s="226"/>
      <c r="S13858" s="226"/>
      <c r="T13858" s="226"/>
      <c r="U13858" s="226"/>
    </row>
    <row r="13859" spans="16:21" x14ac:dyDescent="0.35">
      <c r="P13859" s="226"/>
      <c r="Q13859" s="226"/>
      <c r="R13859" s="226"/>
      <c r="S13859" s="226"/>
      <c r="T13859" s="226"/>
      <c r="U13859" s="226"/>
    </row>
    <row r="13860" spans="16:21" x14ac:dyDescent="0.35">
      <c r="P13860" s="226"/>
      <c r="Q13860" s="226"/>
      <c r="R13860" s="226"/>
      <c r="S13860" s="226"/>
      <c r="T13860" s="226"/>
      <c r="U13860" s="226"/>
    </row>
    <row r="13861" spans="16:21" x14ac:dyDescent="0.35">
      <c r="P13861" s="226"/>
      <c r="Q13861" s="226"/>
      <c r="R13861" s="226"/>
      <c r="S13861" s="226"/>
      <c r="T13861" s="226"/>
      <c r="U13861" s="226"/>
    </row>
    <row r="13862" spans="16:21" x14ac:dyDescent="0.35">
      <c r="P13862" s="226"/>
      <c r="Q13862" s="226"/>
      <c r="R13862" s="226"/>
      <c r="S13862" s="226"/>
      <c r="T13862" s="226"/>
      <c r="U13862" s="226"/>
    </row>
    <row r="13863" spans="16:21" x14ac:dyDescent="0.35">
      <c r="P13863" s="226"/>
      <c r="Q13863" s="226"/>
      <c r="R13863" s="226"/>
      <c r="S13863" s="226"/>
      <c r="T13863" s="226"/>
      <c r="U13863" s="226"/>
    </row>
    <row r="13864" spans="16:21" x14ac:dyDescent="0.35">
      <c r="P13864" s="226"/>
      <c r="Q13864" s="226"/>
      <c r="R13864" s="226"/>
      <c r="S13864" s="226"/>
      <c r="T13864" s="226"/>
      <c r="U13864" s="226"/>
    </row>
    <row r="13865" spans="16:21" x14ac:dyDescent="0.35">
      <c r="P13865" s="226"/>
      <c r="Q13865" s="226"/>
      <c r="R13865" s="226"/>
      <c r="S13865" s="226"/>
      <c r="T13865" s="226"/>
      <c r="U13865" s="226"/>
    </row>
    <row r="13866" spans="16:21" x14ac:dyDescent="0.35">
      <c r="P13866" s="226"/>
      <c r="Q13866" s="226"/>
      <c r="R13866" s="226"/>
      <c r="S13866" s="226"/>
      <c r="T13866" s="226"/>
      <c r="U13866" s="226"/>
    </row>
    <row r="13867" spans="16:21" x14ac:dyDescent="0.35">
      <c r="P13867" s="226"/>
      <c r="Q13867" s="226"/>
      <c r="R13867" s="226"/>
      <c r="S13867" s="226"/>
      <c r="T13867" s="226"/>
      <c r="U13867" s="226"/>
    </row>
    <row r="13868" spans="16:21" x14ac:dyDescent="0.35">
      <c r="P13868" s="226"/>
      <c r="Q13868" s="226"/>
      <c r="R13868" s="226"/>
      <c r="S13868" s="226"/>
      <c r="T13868" s="226"/>
      <c r="U13868" s="226"/>
    </row>
    <row r="13869" spans="16:21" x14ac:dyDescent="0.35">
      <c r="P13869" s="226"/>
      <c r="Q13869" s="226"/>
      <c r="R13869" s="226"/>
      <c r="S13869" s="226"/>
      <c r="T13869" s="226"/>
      <c r="U13869" s="226"/>
    </row>
    <row r="13870" spans="16:21" x14ac:dyDescent="0.35">
      <c r="P13870" s="226"/>
      <c r="Q13870" s="226"/>
      <c r="R13870" s="226"/>
      <c r="S13870" s="226"/>
      <c r="T13870" s="226"/>
      <c r="U13870" s="226"/>
    </row>
    <row r="13871" spans="16:21" x14ac:dyDescent="0.35">
      <c r="P13871" s="226"/>
      <c r="Q13871" s="226"/>
      <c r="R13871" s="226"/>
      <c r="S13871" s="226"/>
      <c r="T13871" s="226"/>
      <c r="U13871" s="226"/>
    </row>
    <row r="13872" spans="16:21" x14ac:dyDescent="0.35">
      <c r="P13872" s="226"/>
      <c r="Q13872" s="226"/>
      <c r="R13872" s="226"/>
      <c r="S13872" s="226"/>
      <c r="T13872" s="226"/>
      <c r="U13872" s="226"/>
    </row>
    <row r="13873" spans="16:21" x14ac:dyDescent="0.35">
      <c r="P13873" s="226"/>
      <c r="Q13873" s="226"/>
      <c r="R13873" s="226"/>
      <c r="S13873" s="226"/>
      <c r="T13873" s="226"/>
      <c r="U13873" s="226"/>
    </row>
    <row r="13874" spans="16:21" x14ac:dyDescent="0.35">
      <c r="P13874" s="226"/>
      <c r="Q13874" s="226"/>
      <c r="R13874" s="226"/>
      <c r="S13874" s="226"/>
      <c r="T13874" s="226"/>
      <c r="U13874" s="226"/>
    </row>
    <row r="13875" spans="16:21" x14ac:dyDescent="0.35">
      <c r="P13875" s="226"/>
      <c r="Q13875" s="226"/>
      <c r="R13875" s="226"/>
      <c r="S13875" s="226"/>
      <c r="T13875" s="226"/>
      <c r="U13875" s="226"/>
    </row>
    <row r="13876" spans="16:21" x14ac:dyDescent="0.35">
      <c r="P13876" s="226"/>
      <c r="Q13876" s="226"/>
      <c r="R13876" s="226"/>
      <c r="S13876" s="226"/>
      <c r="T13876" s="226"/>
      <c r="U13876" s="226"/>
    </row>
    <row r="13877" spans="16:21" x14ac:dyDescent="0.35">
      <c r="P13877" s="226"/>
      <c r="Q13877" s="226"/>
      <c r="R13877" s="226"/>
      <c r="S13877" s="226"/>
      <c r="T13877" s="226"/>
      <c r="U13877" s="226"/>
    </row>
    <row r="13878" spans="16:21" x14ac:dyDescent="0.35">
      <c r="P13878" s="226"/>
      <c r="Q13878" s="226"/>
      <c r="R13878" s="226"/>
      <c r="S13878" s="226"/>
      <c r="T13878" s="226"/>
      <c r="U13878" s="226"/>
    </row>
    <row r="13879" spans="16:21" x14ac:dyDescent="0.35">
      <c r="P13879" s="226"/>
      <c r="Q13879" s="226"/>
      <c r="R13879" s="226"/>
      <c r="S13879" s="226"/>
      <c r="T13879" s="226"/>
      <c r="U13879" s="226"/>
    </row>
    <row r="13880" spans="16:21" x14ac:dyDescent="0.35">
      <c r="P13880" s="226"/>
      <c r="Q13880" s="226"/>
      <c r="R13880" s="226"/>
      <c r="S13880" s="226"/>
      <c r="T13880" s="226"/>
      <c r="U13880" s="226"/>
    </row>
    <row r="13881" spans="16:21" x14ac:dyDescent="0.35">
      <c r="P13881" s="226"/>
      <c r="Q13881" s="226"/>
      <c r="R13881" s="226"/>
      <c r="S13881" s="226"/>
      <c r="T13881" s="226"/>
      <c r="U13881" s="226"/>
    </row>
    <row r="13882" spans="16:21" x14ac:dyDescent="0.35">
      <c r="P13882" s="226"/>
      <c r="Q13882" s="226"/>
      <c r="R13882" s="226"/>
      <c r="S13882" s="226"/>
      <c r="T13882" s="226"/>
      <c r="U13882" s="226"/>
    </row>
    <row r="13883" spans="16:21" x14ac:dyDescent="0.35">
      <c r="P13883" s="226"/>
      <c r="Q13883" s="226"/>
      <c r="R13883" s="226"/>
      <c r="S13883" s="226"/>
      <c r="T13883" s="226"/>
      <c r="U13883" s="226"/>
    </row>
    <row r="13884" spans="16:21" x14ac:dyDescent="0.35">
      <c r="P13884" s="226"/>
      <c r="Q13884" s="226"/>
      <c r="R13884" s="226"/>
      <c r="S13884" s="226"/>
      <c r="T13884" s="226"/>
      <c r="U13884" s="226"/>
    </row>
    <row r="13885" spans="16:21" x14ac:dyDescent="0.35">
      <c r="P13885" s="226"/>
      <c r="Q13885" s="226"/>
      <c r="R13885" s="226"/>
      <c r="S13885" s="226"/>
      <c r="T13885" s="226"/>
      <c r="U13885" s="226"/>
    </row>
    <row r="13886" spans="16:21" x14ac:dyDescent="0.35">
      <c r="P13886" s="226"/>
      <c r="Q13886" s="226"/>
      <c r="R13886" s="226"/>
      <c r="S13886" s="226"/>
      <c r="T13886" s="226"/>
      <c r="U13886" s="226"/>
    </row>
    <row r="13887" spans="16:21" x14ac:dyDescent="0.35">
      <c r="P13887" s="226"/>
      <c r="Q13887" s="226"/>
      <c r="R13887" s="226"/>
      <c r="S13887" s="226"/>
      <c r="T13887" s="226"/>
      <c r="U13887" s="226"/>
    </row>
    <row r="13888" spans="16:21" x14ac:dyDescent="0.35">
      <c r="P13888" s="226"/>
      <c r="Q13888" s="226"/>
      <c r="R13888" s="226"/>
      <c r="S13888" s="226"/>
      <c r="T13888" s="226"/>
      <c r="U13888" s="226"/>
    </row>
    <row r="13889" spans="16:21" x14ac:dyDescent="0.35">
      <c r="P13889" s="226"/>
      <c r="Q13889" s="226"/>
      <c r="R13889" s="226"/>
      <c r="S13889" s="226"/>
      <c r="T13889" s="226"/>
      <c r="U13889" s="226"/>
    </row>
    <row r="13890" spans="16:21" x14ac:dyDescent="0.35">
      <c r="P13890" s="226"/>
      <c r="Q13890" s="226"/>
      <c r="R13890" s="226"/>
      <c r="S13890" s="226"/>
      <c r="T13890" s="226"/>
      <c r="U13890" s="226"/>
    </row>
    <row r="13891" spans="16:21" x14ac:dyDescent="0.35">
      <c r="P13891" s="226"/>
      <c r="Q13891" s="226"/>
      <c r="R13891" s="226"/>
      <c r="S13891" s="226"/>
      <c r="T13891" s="226"/>
      <c r="U13891" s="226"/>
    </row>
    <row r="13892" spans="16:21" x14ac:dyDescent="0.35">
      <c r="P13892" s="226"/>
      <c r="Q13892" s="226"/>
      <c r="R13892" s="226"/>
      <c r="S13892" s="226"/>
      <c r="T13892" s="226"/>
      <c r="U13892" s="226"/>
    </row>
    <row r="13893" spans="16:21" x14ac:dyDescent="0.35">
      <c r="P13893" s="226"/>
      <c r="Q13893" s="226"/>
      <c r="R13893" s="226"/>
      <c r="S13893" s="226"/>
      <c r="T13893" s="226"/>
      <c r="U13893" s="226"/>
    </row>
    <row r="13894" spans="16:21" x14ac:dyDescent="0.35">
      <c r="P13894" s="226"/>
      <c r="Q13894" s="226"/>
      <c r="R13894" s="226"/>
      <c r="S13894" s="226"/>
      <c r="T13894" s="226"/>
      <c r="U13894" s="226"/>
    </row>
    <row r="13895" spans="16:21" x14ac:dyDescent="0.35">
      <c r="P13895" s="226"/>
      <c r="Q13895" s="226"/>
      <c r="R13895" s="226"/>
      <c r="S13895" s="226"/>
      <c r="T13895" s="226"/>
      <c r="U13895" s="226"/>
    </row>
    <row r="13896" spans="16:21" x14ac:dyDescent="0.35">
      <c r="P13896" s="226"/>
      <c r="Q13896" s="226"/>
      <c r="R13896" s="226"/>
      <c r="S13896" s="226"/>
      <c r="T13896" s="226"/>
      <c r="U13896" s="226"/>
    </row>
    <row r="13897" spans="16:21" x14ac:dyDescent="0.35">
      <c r="P13897" s="226"/>
      <c r="Q13897" s="226"/>
      <c r="R13897" s="226"/>
      <c r="S13897" s="226"/>
      <c r="T13897" s="226"/>
      <c r="U13897" s="226"/>
    </row>
    <row r="13898" spans="16:21" x14ac:dyDescent="0.35">
      <c r="P13898" s="226"/>
      <c r="Q13898" s="226"/>
      <c r="R13898" s="226"/>
      <c r="S13898" s="226"/>
      <c r="T13898" s="226"/>
      <c r="U13898" s="226"/>
    </row>
    <row r="13899" spans="16:21" x14ac:dyDescent="0.35">
      <c r="P13899" s="226"/>
      <c r="Q13899" s="226"/>
      <c r="R13899" s="226"/>
      <c r="S13899" s="226"/>
      <c r="T13899" s="226"/>
      <c r="U13899" s="226"/>
    </row>
    <row r="13900" spans="16:21" x14ac:dyDescent="0.35">
      <c r="P13900" s="226"/>
      <c r="Q13900" s="226"/>
      <c r="R13900" s="226"/>
      <c r="S13900" s="226"/>
      <c r="T13900" s="226"/>
      <c r="U13900" s="226"/>
    </row>
    <row r="13901" spans="16:21" x14ac:dyDescent="0.35">
      <c r="P13901" s="226"/>
      <c r="Q13901" s="226"/>
      <c r="R13901" s="226"/>
      <c r="S13901" s="226"/>
      <c r="T13901" s="226"/>
      <c r="U13901" s="226"/>
    </row>
    <row r="13902" spans="16:21" x14ac:dyDescent="0.35">
      <c r="P13902" s="226"/>
      <c r="Q13902" s="226"/>
      <c r="R13902" s="226"/>
      <c r="S13902" s="226"/>
      <c r="T13902" s="226"/>
      <c r="U13902" s="226"/>
    </row>
    <row r="13903" spans="16:21" x14ac:dyDescent="0.35">
      <c r="P13903" s="226"/>
      <c r="Q13903" s="226"/>
      <c r="R13903" s="226"/>
      <c r="S13903" s="226"/>
      <c r="T13903" s="226"/>
      <c r="U13903" s="226"/>
    </row>
    <row r="13904" spans="16:21" x14ac:dyDescent="0.35">
      <c r="P13904" s="226"/>
      <c r="Q13904" s="226"/>
      <c r="R13904" s="226"/>
      <c r="S13904" s="226"/>
      <c r="T13904" s="226"/>
      <c r="U13904" s="226"/>
    </row>
    <row r="13905" spans="16:21" x14ac:dyDescent="0.35">
      <c r="P13905" s="226"/>
      <c r="Q13905" s="226"/>
      <c r="R13905" s="226"/>
      <c r="S13905" s="226"/>
      <c r="T13905" s="226"/>
      <c r="U13905" s="226"/>
    </row>
    <row r="13906" spans="16:21" x14ac:dyDescent="0.35">
      <c r="P13906" s="226"/>
      <c r="Q13906" s="226"/>
      <c r="R13906" s="226"/>
      <c r="S13906" s="226"/>
      <c r="T13906" s="226"/>
      <c r="U13906" s="226"/>
    </row>
    <row r="13907" spans="16:21" x14ac:dyDescent="0.35">
      <c r="P13907" s="226"/>
      <c r="Q13907" s="226"/>
      <c r="R13907" s="226"/>
      <c r="S13907" s="226"/>
      <c r="T13907" s="226"/>
      <c r="U13907" s="226"/>
    </row>
    <row r="13908" spans="16:21" x14ac:dyDescent="0.35">
      <c r="P13908" s="226"/>
      <c r="Q13908" s="226"/>
      <c r="R13908" s="226"/>
      <c r="S13908" s="226"/>
      <c r="T13908" s="226"/>
      <c r="U13908" s="226"/>
    </row>
    <row r="13909" spans="16:21" x14ac:dyDescent="0.35">
      <c r="P13909" s="226"/>
      <c r="Q13909" s="226"/>
      <c r="R13909" s="226"/>
      <c r="S13909" s="226"/>
      <c r="T13909" s="226"/>
      <c r="U13909" s="226"/>
    </row>
    <row r="13910" spans="16:21" x14ac:dyDescent="0.35">
      <c r="P13910" s="226"/>
      <c r="Q13910" s="226"/>
      <c r="R13910" s="226"/>
      <c r="S13910" s="226"/>
      <c r="T13910" s="226"/>
      <c r="U13910" s="226"/>
    </row>
    <row r="13911" spans="16:21" x14ac:dyDescent="0.35">
      <c r="P13911" s="226"/>
      <c r="Q13911" s="226"/>
      <c r="R13911" s="226"/>
      <c r="S13911" s="226"/>
      <c r="T13911" s="226"/>
      <c r="U13911" s="226"/>
    </row>
    <row r="13912" spans="16:21" x14ac:dyDescent="0.35">
      <c r="P13912" s="226"/>
      <c r="Q13912" s="226"/>
      <c r="R13912" s="226"/>
      <c r="S13912" s="226"/>
      <c r="T13912" s="226"/>
      <c r="U13912" s="226"/>
    </row>
    <row r="13913" spans="16:21" x14ac:dyDescent="0.35">
      <c r="P13913" s="226"/>
      <c r="Q13913" s="226"/>
      <c r="R13913" s="226"/>
      <c r="S13913" s="226"/>
      <c r="T13913" s="226"/>
      <c r="U13913" s="226"/>
    </row>
    <row r="13914" spans="16:21" x14ac:dyDescent="0.35">
      <c r="P13914" s="226"/>
      <c r="Q13914" s="226"/>
      <c r="R13914" s="226"/>
      <c r="S13914" s="226"/>
      <c r="T13914" s="226"/>
      <c r="U13914" s="226"/>
    </row>
    <row r="13915" spans="16:21" x14ac:dyDescent="0.35">
      <c r="P13915" s="226"/>
      <c r="Q13915" s="226"/>
      <c r="R13915" s="226"/>
      <c r="S13915" s="226"/>
      <c r="T13915" s="226"/>
      <c r="U13915" s="226"/>
    </row>
    <row r="13916" spans="16:21" x14ac:dyDescent="0.35">
      <c r="P13916" s="226"/>
      <c r="Q13916" s="226"/>
      <c r="R13916" s="226"/>
      <c r="S13916" s="226"/>
      <c r="T13916" s="226"/>
      <c r="U13916" s="226"/>
    </row>
    <row r="13917" spans="16:21" x14ac:dyDescent="0.35">
      <c r="P13917" s="226"/>
      <c r="Q13917" s="226"/>
      <c r="R13917" s="226"/>
      <c r="S13917" s="226"/>
      <c r="T13917" s="226"/>
      <c r="U13917" s="226"/>
    </row>
    <row r="13918" spans="16:21" x14ac:dyDescent="0.35">
      <c r="P13918" s="226"/>
      <c r="Q13918" s="226"/>
      <c r="R13918" s="226"/>
      <c r="S13918" s="226"/>
      <c r="T13918" s="226"/>
      <c r="U13918" s="226"/>
    </row>
    <row r="13919" spans="16:21" x14ac:dyDescent="0.35">
      <c r="P13919" s="226"/>
      <c r="Q13919" s="226"/>
      <c r="R13919" s="226"/>
      <c r="S13919" s="226"/>
      <c r="T13919" s="226"/>
      <c r="U13919" s="226"/>
    </row>
    <row r="13920" spans="16:21" x14ac:dyDescent="0.35">
      <c r="P13920" s="226"/>
      <c r="Q13920" s="226"/>
      <c r="R13920" s="226"/>
      <c r="S13920" s="226"/>
      <c r="T13920" s="226"/>
      <c r="U13920" s="226"/>
    </row>
    <row r="13921" spans="16:21" x14ac:dyDescent="0.35">
      <c r="P13921" s="226"/>
      <c r="Q13921" s="226"/>
      <c r="R13921" s="226"/>
      <c r="S13921" s="226"/>
      <c r="T13921" s="226"/>
      <c r="U13921" s="226"/>
    </row>
    <row r="13922" spans="16:21" x14ac:dyDescent="0.35">
      <c r="P13922" s="226"/>
      <c r="Q13922" s="226"/>
      <c r="R13922" s="226"/>
      <c r="S13922" s="226"/>
      <c r="T13922" s="226"/>
      <c r="U13922" s="226"/>
    </row>
    <row r="13923" spans="16:21" x14ac:dyDescent="0.35">
      <c r="P13923" s="226"/>
      <c r="Q13923" s="226"/>
      <c r="R13923" s="226"/>
      <c r="S13923" s="226"/>
      <c r="T13923" s="226"/>
      <c r="U13923" s="226"/>
    </row>
    <row r="13924" spans="16:21" x14ac:dyDescent="0.35">
      <c r="P13924" s="226"/>
      <c r="Q13924" s="226"/>
      <c r="R13924" s="226"/>
      <c r="S13924" s="226"/>
      <c r="T13924" s="226"/>
      <c r="U13924" s="226"/>
    </row>
    <row r="13925" spans="16:21" x14ac:dyDescent="0.35">
      <c r="P13925" s="226"/>
      <c r="Q13925" s="226"/>
      <c r="R13925" s="226"/>
      <c r="S13925" s="226"/>
      <c r="T13925" s="226"/>
      <c r="U13925" s="226"/>
    </row>
    <row r="13926" spans="16:21" x14ac:dyDescent="0.35">
      <c r="P13926" s="226"/>
      <c r="Q13926" s="226"/>
      <c r="R13926" s="226"/>
      <c r="S13926" s="226"/>
      <c r="T13926" s="226"/>
      <c r="U13926" s="226"/>
    </row>
    <row r="13927" spans="16:21" x14ac:dyDescent="0.35">
      <c r="P13927" s="226"/>
      <c r="Q13927" s="226"/>
      <c r="R13927" s="226"/>
      <c r="S13927" s="226"/>
      <c r="T13927" s="226"/>
      <c r="U13927" s="226"/>
    </row>
    <row r="13928" spans="16:21" x14ac:dyDescent="0.35">
      <c r="P13928" s="226"/>
      <c r="Q13928" s="226"/>
      <c r="R13928" s="226"/>
      <c r="S13928" s="226"/>
      <c r="T13928" s="226"/>
      <c r="U13928" s="226"/>
    </row>
    <row r="13929" spans="16:21" x14ac:dyDescent="0.35">
      <c r="P13929" s="226"/>
      <c r="Q13929" s="226"/>
      <c r="R13929" s="226"/>
      <c r="S13929" s="226"/>
      <c r="T13929" s="226"/>
      <c r="U13929" s="226"/>
    </row>
    <row r="13930" spans="16:21" x14ac:dyDescent="0.35">
      <c r="P13930" s="226"/>
      <c r="Q13930" s="226"/>
      <c r="R13930" s="226"/>
      <c r="S13930" s="226"/>
      <c r="T13930" s="226"/>
      <c r="U13930" s="226"/>
    </row>
    <row r="13931" spans="16:21" x14ac:dyDescent="0.35">
      <c r="P13931" s="226"/>
      <c r="Q13931" s="226"/>
      <c r="R13931" s="226"/>
      <c r="S13931" s="226"/>
      <c r="T13931" s="226"/>
      <c r="U13931" s="226"/>
    </row>
    <row r="13932" spans="16:21" x14ac:dyDescent="0.35">
      <c r="P13932" s="226"/>
      <c r="Q13932" s="226"/>
      <c r="R13932" s="226"/>
      <c r="S13932" s="226"/>
      <c r="T13932" s="226"/>
      <c r="U13932" s="226"/>
    </row>
    <row r="13933" spans="16:21" x14ac:dyDescent="0.35">
      <c r="P13933" s="226"/>
      <c r="Q13933" s="226"/>
      <c r="R13933" s="226"/>
      <c r="S13933" s="226"/>
      <c r="T13933" s="226"/>
      <c r="U13933" s="226"/>
    </row>
    <row r="13934" spans="16:21" x14ac:dyDescent="0.35">
      <c r="P13934" s="226"/>
      <c r="Q13934" s="226"/>
      <c r="R13934" s="226"/>
      <c r="S13934" s="226"/>
      <c r="T13934" s="226"/>
      <c r="U13934" s="226"/>
    </row>
    <row r="13935" spans="16:21" x14ac:dyDescent="0.35">
      <c r="P13935" s="226"/>
      <c r="Q13935" s="226"/>
      <c r="R13935" s="226"/>
      <c r="S13935" s="226"/>
      <c r="T13935" s="226"/>
      <c r="U13935" s="226"/>
    </row>
    <row r="13936" spans="16:21" x14ac:dyDescent="0.35">
      <c r="P13936" s="226"/>
      <c r="Q13936" s="226"/>
      <c r="R13936" s="226"/>
      <c r="S13936" s="226"/>
      <c r="T13936" s="226"/>
      <c r="U13936" s="226"/>
    </row>
    <row r="13937" spans="16:21" x14ac:dyDescent="0.35">
      <c r="P13937" s="226"/>
      <c r="Q13937" s="226"/>
      <c r="R13937" s="226"/>
      <c r="S13937" s="226"/>
      <c r="T13937" s="226"/>
      <c r="U13937" s="226"/>
    </row>
    <row r="13938" spans="16:21" x14ac:dyDescent="0.35">
      <c r="P13938" s="226"/>
      <c r="Q13938" s="226"/>
      <c r="R13938" s="226"/>
      <c r="S13938" s="226"/>
      <c r="T13938" s="226"/>
      <c r="U13938" s="226"/>
    </row>
    <row r="13939" spans="16:21" x14ac:dyDescent="0.35">
      <c r="P13939" s="226"/>
      <c r="Q13939" s="226"/>
      <c r="R13939" s="226"/>
      <c r="S13939" s="226"/>
      <c r="T13939" s="226"/>
      <c r="U13939" s="226"/>
    </row>
    <row r="13940" spans="16:21" x14ac:dyDescent="0.35">
      <c r="P13940" s="226"/>
      <c r="Q13940" s="226"/>
      <c r="R13940" s="226"/>
      <c r="S13940" s="226"/>
      <c r="T13940" s="226"/>
      <c r="U13940" s="226"/>
    </row>
    <row r="13941" spans="16:21" x14ac:dyDescent="0.35">
      <c r="P13941" s="226"/>
      <c r="Q13941" s="226"/>
      <c r="R13941" s="226"/>
      <c r="S13941" s="226"/>
      <c r="T13941" s="226"/>
      <c r="U13941" s="226"/>
    </row>
    <row r="13942" spans="16:21" x14ac:dyDescent="0.35">
      <c r="P13942" s="226"/>
      <c r="Q13942" s="226"/>
      <c r="R13942" s="226"/>
      <c r="S13942" s="226"/>
      <c r="T13942" s="226"/>
      <c r="U13942" s="226"/>
    </row>
    <row r="13943" spans="16:21" x14ac:dyDescent="0.35">
      <c r="P13943" s="226"/>
      <c r="Q13943" s="226"/>
      <c r="R13943" s="226"/>
      <c r="S13943" s="226"/>
      <c r="T13943" s="226"/>
      <c r="U13943" s="226"/>
    </row>
    <row r="13944" spans="16:21" x14ac:dyDescent="0.35">
      <c r="P13944" s="226"/>
      <c r="Q13944" s="226"/>
      <c r="R13944" s="226"/>
      <c r="S13944" s="226"/>
      <c r="T13944" s="226"/>
      <c r="U13944" s="226"/>
    </row>
    <row r="13945" spans="16:21" x14ac:dyDescent="0.35">
      <c r="P13945" s="226"/>
      <c r="Q13945" s="226"/>
      <c r="R13945" s="226"/>
      <c r="S13945" s="226"/>
      <c r="T13945" s="226"/>
      <c r="U13945" s="226"/>
    </row>
    <row r="13946" spans="16:21" x14ac:dyDescent="0.35">
      <c r="P13946" s="226"/>
      <c r="Q13946" s="226"/>
      <c r="R13946" s="226"/>
      <c r="S13946" s="226"/>
      <c r="T13946" s="226"/>
      <c r="U13946" s="226"/>
    </row>
    <row r="13947" spans="16:21" x14ac:dyDescent="0.35">
      <c r="P13947" s="226"/>
      <c r="Q13947" s="226"/>
      <c r="R13947" s="226"/>
      <c r="S13947" s="226"/>
      <c r="T13947" s="226"/>
      <c r="U13947" s="226"/>
    </row>
    <row r="13948" spans="16:21" x14ac:dyDescent="0.35">
      <c r="P13948" s="226"/>
      <c r="Q13948" s="226"/>
      <c r="R13948" s="226"/>
      <c r="S13948" s="226"/>
      <c r="T13948" s="226"/>
      <c r="U13948" s="226"/>
    </row>
    <row r="13949" spans="16:21" x14ac:dyDescent="0.35">
      <c r="P13949" s="226"/>
      <c r="Q13949" s="226"/>
      <c r="R13949" s="226"/>
      <c r="S13949" s="226"/>
      <c r="T13949" s="226"/>
      <c r="U13949" s="226"/>
    </row>
    <row r="13950" spans="16:21" x14ac:dyDescent="0.35">
      <c r="P13950" s="226"/>
      <c r="Q13950" s="226"/>
      <c r="R13950" s="226"/>
      <c r="S13950" s="226"/>
      <c r="T13950" s="226"/>
      <c r="U13950" s="226"/>
    </row>
    <row r="13951" spans="16:21" x14ac:dyDescent="0.35">
      <c r="P13951" s="226"/>
      <c r="Q13951" s="226"/>
      <c r="R13951" s="226"/>
      <c r="S13951" s="226"/>
      <c r="T13951" s="226"/>
      <c r="U13951" s="226"/>
    </row>
    <row r="13952" spans="16:21" x14ac:dyDescent="0.35">
      <c r="P13952" s="226"/>
      <c r="Q13952" s="226"/>
      <c r="R13952" s="226"/>
      <c r="S13952" s="226"/>
      <c r="T13952" s="226"/>
      <c r="U13952" s="226"/>
    </row>
    <row r="13953" spans="16:21" x14ac:dyDescent="0.35">
      <c r="P13953" s="226"/>
      <c r="Q13953" s="226"/>
      <c r="R13953" s="226"/>
      <c r="S13953" s="226"/>
      <c r="T13953" s="226"/>
      <c r="U13953" s="226"/>
    </row>
    <row r="13954" spans="16:21" x14ac:dyDescent="0.35">
      <c r="P13954" s="226"/>
      <c r="Q13954" s="226"/>
      <c r="R13954" s="226"/>
      <c r="S13954" s="226"/>
      <c r="T13954" s="226"/>
      <c r="U13954" s="226"/>
    </row>
    <row r="13955" spans="16:21" x14ac:dyDescent="0.35">
      <c r="P13955" s="226"/>
      <c r="Q13955" s="226"/>
      <c r="R13955" s="226"/>
      <c r="S13955" s="226"/>
      <c r="T13955" s="226"/>
      <c r="U13955" s="226"/>
    </row>
    <row r="13956" spans="16:21" x14ac:dyDescent="0.35">
      <c r="P13956" s="226"/>
      <c r="Q13956" s="226"/>
      <c r="R13956" s="226"/>
      <c r="S13956" s="226"/>
      <c r="T13956" s="226"/>
      <c r="U13956" s="226"/>
    </row>
    <row r="13957" spans="16:21" x14ac:dyDescent="0.35">
      <c r="P13957" s="226"/>
      <c r="Q13957" s="226"/>
      <c r="R13957" s="226"/>
      <c r="S13957" s="226"/>
      <c r="T13957" s="226"/>
      <c r="U13957" s="226"/>
    </row>
    <row r="13958" spans="16:21" x14ac:dyDescent="0.35">
      <c r="P13958" s="226"/>
      <c r="Q13958" s="226"/>
      <c r="R13958" s="226"/>
      <c r="S13958" s="226"/>
      <c r="T13958" s="226"/>
      <c r="U13958" s="226"/>
    </row>
    <row r="13959" spans="16:21" x14ac:dyDescent="0.35">
      <c r="P13959" s="226"/>
      <c r="Q13959" s="226"/>
      <c r="R13959" s="226"/>
      <c r="S13959" s="226"/>
      <c r="T13959" s="226"/>
      <c r="U13959" s="226"/>
    </row>
    <row r="13960" spans="16:21" x14ac:dyDescent="0.35">
      <c r="P13960" s="226"/>
      <c r="Q13960" s="226"/>
      <c r="R13960" s="226"/>
      <c r="S13960" s="226"/>
      <c r="T13960" s="226"/>
      <c r="U13960" s="226"/>
    </row>
    <row r="13961" spans="16:21" x14ac:dyDescent="0.35">
      <c r="P13961" s="226"/>
      <c r="Q13961" s="226"/>
      <c r="R13961" s="226"/>
      <c r="S13961" s="226"/>
      <c r="T13961" s="226"/>
      <c r="U13961" s="226"/>
    </row>
    <row r="13962" spans="16:21" x14ac:dyDescent="0.35">
      <c r="P13962" s="226"/>
      <c r="Q13962" s="226"/>
      <c r="R13962" s="226"/>
      <c r="S13962" s="226"/>
      <c r="T13962" s="226"/>
      <c r="U13962" s="226"/>
    </row>
    <row r="13963" spans="16:21" x14ac:dyDescent="0.35">
      <c r="P13963" s="226"/>
      <c r="Q13963" s="226"/>
      <c r="R13963" s="226"/>
      <c r="S13963" s="226"/>
      <c r="T13963" s="226"/>
      <c r="U13963" s="226"/>
    </row>
    <row r="13964" spans="16:21" x14ac:dyDescent="0.35">
      <c r="P13964" s="226"/>
      <c r="Q13964" s="226"/>
      <c r="R13964" s="226"/>
      <c r="S13964" s="226"/>
      <c r="T13964" s="226"/>
      <c r="U13964" s="226"/>
    </row>
    <row r="13965" spans="16:21" x14ac:dyDescent="0.35">
      <c r="P13965" s="226"/>
      <c r="Q13965" s="226"/>
      <c r="R13965" s="226"/>
      <c r="S13965" s="226"/>
      <c r="T13965" s="226"/>
      <c r="U13965" s="226"/>
    </row>
    <row r="13966" spans="16:21" x14ac:dyDescent="0.35">
      <c r="P13966" s="226"/>
      <c r="Q13966" s="226"/>
      <c r="R13966" s="226"/>
      <c r="S13966" s="226"/>
      <c r="T13966" s="226"/>
      <c r="U13966" s="226"/>
    </row>
    <row r="13967" spans="16:21" x14ac:dyDescent="0.35">
      <c r="P13967" s="226"/>
      <c r="Q13967" s="226"/>
      <c r="R13967" s="226"/>
      <c r="S13967" s="226"/>
      <c r="T13967" s="226"/>
      <c r="U13967" s="226"/>
    </row>
    <row r="13968" spans="16:21" x14ac:dyDescent="0.35">
      <c r="P13968" s="226"/>
      <c r="Q13968" s="226"/>
      <c r="R13968" s="226"/>
      <c r="S13968" s="226"/>
      <c r="T13968" s="226"/>
      <c r="U13968" s="226"/>
    </row>
    <row r="13969" spans="16:21" x14ac:dyDescent="0.35">
      <c r="P13969" s="226"/>
      <c r="Q13969" s="226"/>
      <c r="R13969" s="226"/>
      <c r="S13969" s="226"/>
      <c r="T13969" s="226"/>
      <c r="U13969" s="226"/>
    </row>
    <row r="13970" spans="16:21" x14ac:dyDescent="0.35">
      <c r="P13970" s="226"/>
      <c r="Q13970" s="226"/>
      <c r="R13970" s="226"/>
      <c r="S13970" s="226"/>
      <c r="T13970" s="226"/>
      <c r="U13970" s="226"/>
    </row>
    <row r="13971" spans="16:21" x14ac:dyDescent="0.35">
      <c r="P13971" s="226"/>
      <c r="Q13971" s="226"/>
      <c r="R13971" s="226"/>
      <c r="S13971" s="226"/>
      <c r="T13971" s="226"/>
      <c r="U13971" s="226"/>
    </row>
    <row r="13972" spans="16:21" x14ac:dyDescent="0.35">
      <c r="P13972" s="226"/>
      <c r="Q13972" s="226"/>
      <c r="R13972" s="226"/>
      <c r="S13972" s="226"/>
      <c r="T13972" s="226"/>
      <c r="U13972" s="226"/>
    </row>
    <row r="13973" spans="16:21" x14ac:dyDescent="0.35">
      <c r="P13973" s="226"/>
      <c r="Q13973" s="226"/>
      <c r="R13973" s="226"/>
      <c r="S13973" s="226"/>
      <c r="T13973" s="226"/>
      <c r="U13973" s="226"/>
    </row>
    <row r="13974" spans="16:21" x14ac:dyDescent="0.35">
      <c r="P13974" s="226"/>
      <c r="Q13974" s="226"/>
      <c r="R13974" s="226"/>
      <c r="S13974" s="226"/>
      <c r="T13974" s="226"/>
      <c r="U13974" s="226"/>
    </row>
    <row r="13975" spans="16:21" x14ac:dyDescent="0.35">
      <c r="P13975" s="226"/>
      <c r="Q13975" s="226"/>
      <c r="R13975" s="226"/>
      <c r="S13975" s="226"/>
      <c r="T13975" s="226"/>
      <c r="U13975" s="226"/>
    </row>
    <row r="13976" spans="16:21" x14ac:dyDescent="0.35">
      <c r="P13976" s="226"/>
      <c r="Q13976" s="226"/>
      <c r="R13976" s="226"/>
      <c r="S13976" s="226"/>
      <c r="T13976" s="226"/>
      <c r="U13976" s="226"/>
    </row>
    <row r="13977" spans="16:21" x14ac:dyDescent="0.35">
      <c r="P13977" s="226"/>
      <c r="Q13977" s="226"/>
      <c r="R13977" s="226"/>
      <c r="S13977" s="226"/>
      <c r="T13977" s="226"/>
      <c r="U13977" s="226"/>
    </row>
    <row r="13978" spans="16:21" x14ac:dyDescent="0.35">
      <c r="P13978" s="226"/>
      <c r="Q13978" s="226"/>
      <c r="R13978" s="226"/>
      <c r="S13978" s="226"/>
      <c r="T13978" s="226"/>
      <c r="U13978" s="226"/>
    </row>
    <row r="13979" spans="16:21" x14ac:dyDescent="0.35">
      <c r="P13979" s="226"/>
      <c r="Q13979" s="226"/>
      <c r="R13979" s="226"/>
      <c r="S13979" s="226"/>
      <c r="T13979" s="226"/>
      <c r="U13979" s="226"/>
    </row>
    <row r="13980" spans="16:21" x14ac:dyDescent="0.35">
      <c r="P13980" s="226"/>
      <c r="Q13980" s="226"/>
      <c r="R13980" s="226"/>
      <c r="S13980" s="226"/>
      <c r="T13980" s="226"/>
      <c r="U13980" s="226"/>
    </row>
    <row r="13981" spans="16:21" x14ac:dyDescent="0.35">
      <c r="P13981" s="226"/>
      <c r="Q13981" s="226"/>
      <c r="R13981" s="226"/>
      <c r="S13981" s="226"/>
      <c r="T13981" s="226"/>
      <c r="U13981" s="226"/>
    </row>
    <row r="13982" spans="16:21" x14ac:dyDescent="0.35">
      <c r="P13982" s="226"/>
      <c r="Q13982" s="226"/>
      <c r="R13982" s="226"/>
      <c r="S13982" s="226"/>
      <c r="T13982" s="226"/>
      <c r="U13982" s="226"/>
    </row>
    <row r="13983" spans="16:21" x14ac:dyDescent="0.35">
      <c r="P13983" s="226"/>
      <c r="Q13983" s="226"/>
      <c r="R13983" s="226"/>
      <c r="S13983" s="226"/>
      <c r="T13983" s="226"/>
      <c r="U13983" s="226"/>
    </row>
    <row r="13984" spans="16:21" x14ac:dyDescent="0.35">
      <c r="P13984" s="226"/>
      <c r="Q13984" s="226"/>
      <c r="R13984" s="226"/>
      <c r="S13984" s="226"/>
      <c r="T13984" s="226"/>
      <c r="U13984" s="226"/>
    </row>
    <row r="13985" spans="16:21" x14ac:dyDescent="0.35">
      <c r="P13985" s="226"/>
      <c r="Q13985" s="226"/>
      <c r="R13985" s="226"/>
      <c r="S13985" s="226"/>
      <c r="T13985" s="226"/>
      <c r="U13985" s="226"/>
    </row>
    <row r="13986" spans="16:21" x14ac:dyDescent="0.35">
      <c r="P13986" s="226"/>
      <c r="Q13986" s="226"/>
      <c r="R13986" s="226"/>
      <c r="S13986" s="226"/>
      <c r="T13986" s="226"/>
      <c r="U13986" s="226"/>
    </row>
    <row r="13987" spans="16:21" x14ac:dyDescent="0.35">
      <c r="P13987" s="226"/>
      <c r="Q13987" s="226"/>
      <c r="R13987" s="226"/>
      <c r="S13987" s="226"/>
      <c r="T13987" s="226"/>
      <c r="U13987" s="226"/>
    </row>
    <row r="13988" spans="16:21" x14ac:dyDescent="0.35">
      <c r="P13988" s="226"/>
      <c r="Q13988" s="226"/>
      <c r="R13988" s="226"/>
      <c r="S13988" s="226"/>
      <c r="T13988" s="226"/>
      <c r="U13988" s="226"/>
    </row>
    <row r="13989" spans="16:21" x14ac:dyDescent="0.35">
      <c r="P13989" s="226"/>
      <c r="Q13989" s="226"/>
      <c r="R13989" s="226"/>
      <c r="S13989" s="226"/>
      <c r="T13989" s="226"/>
      <c r="U13989" s="226"/>
    </row>
    <row r="13990" spans="16:21" x14ac:dyDescent="0.35">
      <c r="P13990" s="226"/>
      <c r="Q13990" s="226"/>
      <c r="R13990" s="226"/>
      <c r="S13990" s="226"/>
      <c r="T13990" s="226"/>
      <c r="U13990" s="226"/>
    </row>
    <row r="13991" spans="16:21" x14ac:dyDescent="0.35">
      <c r="P13991" s="226"/>
      <c r="Q13991" s="226"/>
      <c r="R13991" s="226"/>
      <c r="S13991" s="226"/>
      <c r="T13991" s="226"/>
      <c r="U13991" s="226"/>
    </row>
    <row r="13992" spans="16:21" x14ac:dyDescent="0.35">
      <c r="P13992" s="226"/>
      <c r="Q13992" s="226"/>
      <c r="R13992" s="226"/>
      <c r="S13992" s="226"/>
      <c r="T13992" s="226"/>
      <c r="U13992" s="226"/>
    </row>
    <row r="13993" spans="16:21" x14ac:dyDescent="0.35">
      <c r="P13993" s="226"/>
      <c r="Q13993" s="226"/>
      <c r="R13993" s="226"/>
      <c r="S13993" s="226"/>
      <c r="T13993" s="226"/>
      <c r="U13993" s="226"/>
    </row>
    <row r="13994" spans="16:21" x14ac:dyDescent="0.35">
      <c r="P13994" s="226"/>
      <c r="Q13994" s="226"/>
      <c r="R13994" s="226"/>
      <c r="S13994" s="226"/>
      <c r="T13994" s="226"/>
      <c r="U13994" s="226"/>
    </row>
    <row r="13995" spans="16:21" x14ac:dyDescent="0.35">
      <c r="P13995" s="226"/>
      <c r="Q13995" s="226"/>
      <c r="R13995" s="226"/>
      <c r="S13995" s="226"/>
      <c r="T13995" s="226"/>
      <c r="U13995" s="226"/>
    </row>
    <row r="13996" spans="16:21" x14ac:dyDescent="0.35">
      <c r="P13996" s="226"/>
      <c r="Q13996" s="226"/>
      <c r="R13996" s="226"/>
      <c r="S13996" s="226"/>
      <c r="T13996" s="226"/>
      <c r="U13996" s="226"/>
    </row>
    <row r="13997" spans="16:21" x14ac:dyDescent="0.35">
      <c r="P13997" s="226"/>
      <c r="Q13997" s="226"/>
      <c r="R13997" s="226"/>
      <c r="S13997" s="226"/>
      <c r="T13997" s="226"/>
      <c r="U13997" s="226"/>
    </row>
    <row r="13998" spans="16:21" x14ac:dyDescent="0.35">
      <c r="P13998" s="226"/>
      <c r="Q13998" s="226"/>
      <c r="R13998" s="226"/>
      <c r="S13998" s="226"/>
      <c r="T13998" s="226"/>
      <c r="U13998" s="226"/>
    </row>
    <row r="13999" spans="16:21" x14ac:dyDescent="0.35">
      <c r="P13999" s="226"/>
      <c r="Q13999" s="226"/>
      <c r="R13999" s="226"/>
      <c r="S13999" s="226"/>
      <c r="T13999" s="226"/>
      <c r="U13999" s="226"/>
    </row>
    <row r="14000" spans="16:21" x14ac:dyDescent="0.35">
      <c r="P14000" s="226"/>
      <c r="Q14000" s="226"/>
      <c r="R14000" s="226"/>
      <c r="S14000" s="226"/>
      <c r="T14000" s="226"/>
      <c r="U14000" s="226"/>
    </row>
    <row r="14001" spans="16:21" x14ac:dyDescent="0.35">
      <c r="P14001" s="226"/>
      <c r="Q14001" s="226"/>
      <c r="R14001" s="226"/>
      <c r="S14001" s="226"/>
      <c r="T14001" s="226"/>
      <c r="U14001" s="226"/>
    </row>
    <row r="14002" spans="16:21" x14ac:dyDescent="0.35">
      <c r="P14002" s="226"/>
      <c r="Q14002" s="226"/>
      <c r="R14002" s="226"/>
      <c r="S14002" s="226"/>
      <c r="T14002" s="226"/>
      <c r="U14002" s="226"/>
    </row>
    <row r="14003" spans="16:21" x14ac:dyDescent="0.35">
      <c r="P14003" s="226"/>
      <c r="Q14003" s="226"/>
      <c r="R14003" s="226"/>
      <c r="S14003" s="226"/>
      <c r="T14003" s="226"/>
      <c r="U14003" s="226"/>
    </row>
    <row r="14004" spans="16:21" x14ac:dyDescent="0.35">
      <c r="P14004" s="226"/>
      <c r="Q14004" s="226"/>
      <c r="R14004" s="226"/>
      <c r="S14004" s="226"/>
      <c r="T14004" s="226"/>
      <c r="U14004" s="226"/>
    </row>
    <row r="14005" spans="16:21" x14ac:dyDescent="0.35">
      <c r="P14005" s="226"/>
      <c r="Q14005" s="226"/>
      <c r="R14005" s="226"/>
      <c r="S14005" s="226"/>
      <c r="T14005" s="226"/>
      <c r="U14005" s="226"/>
    </row>
    <row r="14006" spans="16:21" x14ac:dyDescent="0.35">
      <c r="P14006" s="226"/>
      <c r="Q14006" s="226"/>
      <c r="R14006" s="226"/>
      <c r="S14006" s="226"/>
      <c r="T14006" s="226"/>
      <c r="U14006" s="226"/>
    </row>
    <row r="14007" spans="16:21" x14ac:dyDescent="0.35">
      <c r="P14007" s="226"/>
      <c r="Q14007" s="226"/>
      <c r="R14007" s="226"/>
      <c r="S14007" s="226"/>
      <c r="T14007" s="226"/>
      <c r="U14007" s="226"/>
    </row>
    <row r="14008" spans="16:21" x14ac:dyDescent="0.35">
      <c r="P14008" s="226"/>
      <c r="Q14008" s="226"/>
      <c r="R14008" s="226"/>
      <c r="S14008" s="226"/>
      <c r="T14008" s="226"/>
      <c r="U14008" s="226"/>
    </row>
    <row r="14009" spans="16:21" x14ac:dyDescent="0.35">
      <c r="P14009" s="226"/>
      <c r="Q14009" s="226"/>
      <c r="R14009" s="226"/>
      <c r="S14009" s="226"/>
      <c r="T14009" s="226"/>
      <c r="U14009" s="226"/>
    </row>
    <row r="14010" spans="16:21" x14ac:dyDescent="0.35">
      <c r="P14010" s="226"/>
      <c r="Q14010" s="226"/>
      <c r="R14010" s="226"/>
      <c r="S14010" s="226"/>
      <c r="T14010" s="226"/>
      <c r="U14010" s="226"/>
    </row>
    <row r="14011" spans="16:21" x14ac:dyDescent="0.35">
      <c r="P14011" s="226"/>
      <c r="Q14011" s="226"/>
      <c r="R14011" s="226"/>
      <c r="S14011" s="226"/>
      <c r="T14011" s="226"/>
      <c r="U14011" s="226"/>
    </row>
    <row r="14012" spans="16:21" x14ac:dyDescent="0.35">
      <c r="P14012" s="226"/>
      <c r="Q14012" s="226"/>
      <c r="R14012" s="226"/>
      <c r="S14012" s="226"/>
      <c r="T14012" s="226"/>
      <c r="U14012" s="226"/>
    </row>
    <row r="14013" spans="16:21" x14ac:dyDescent="0.35">
      <c r="P14013" s="226"/>
      <c r="Q14013" s="226"/>
      <c r="R14013" s="226"/>
      <c r="S14013" s="226"/>
      <c r="T14013" s="226"/>
      <c r="U14013" s="226"/>
    </row>
    <row r="14014" spans="16:21" x14ac:dyDescent="0.35">
      <c r="P14014" s="226"/>
      <c r="Q14014" s="226"/>
      <c r="R14014" s="226"/>
      <c r="S14014" s="226"/>
      <c r="T14014" s="226"/>
      <c r="U14014" s="226"/>
    </row>
    <row r="14015" spans="16:21" x14ac:dyDescent="0.35">
      <c r="P14015" s="226"/>
      <c r="Q14015" s="226"/>
      <c r="R14015" s="226"/>
      <c r="S14015" s="226"/>
      <c r="T14015" s="226"/>
      <c r="U14015" s="226"/>
    </row>
    <row r="14016" spans="16:21" x14ac:dyDescent="0.35">
      <c r="P14016" s="226"/>
      <c r="Q14016" s="226"/>
      <c r="R14016" s="226"/>
      <c r="S14016" s="226"/>
      <c r="T14016" s="226"/>
      <c r="U14016" s="226"/>
    </row>
    <row r="14017" spans="16:21" x14ac:dyDescent="0.35">
      <c r="P14017" s="226"/>
      <c r="Q14017" s="226"/>
      <c r="R14017" s="226"/>
      <c r="S14017" s="226"/>
      <c r="T14017" s="226"/>
      <c r="U14017" s="226"/>
    </row>
    <row r="14018" spans="16:21" x14ac:dyDescent="0.35">
      <c r="P14018" s="226"/>
      <c r="Q14018" s="226"/>
      <c r="R14018" s="226"/>
      <c r="S14018" s="226"/>
      <c r="T14018" s="226"/>
      <c r="U14018" s="226"/>
    </row>
    <row r="14019" spans="16:21" x14ac:dyDescent="0.35">
      <c r="P14019" s="226"/>
      <c r="Q14019" s="226"/>
      <c r="R14019" s="226"/>
      <c r="S14019" s="226"/>
      <c r="T14019" s="226"/>
      <c r="U14019" s="226"/>
    </row>
    <row r="14020" spans="16:21" x14ac:dyDescent="0.35">
      <c r="P14020" s="226"/>
      <c r="Q14020" s="226"/>
      <c r="R14020" s="226"/>
      <c r="S14020" s="226"/>
      <c r="T14020" s="226"/>
      <c r="U14020" s="226"/>
    </row>
    <row r="14021" spans="16:21" x14ac:dyDescent="0.35">
      <c r="P14021" s="226"/>
      <c r="Q14021" s="226"/>
      <c r="R14021" s="226"/>
      <c r="S14021" s="226"/>
      <c r="T14021" s="226"/>
      <c r="U14021" s="226"/>
    </row>
    <row r="14022" spans="16:21" x14ac:dyDescent="0.35">
      <c r="P14022" s="226"/>
      <c r="Q14022" s="226"/>
      <c r="R14022" s="226"/>
      <c r="S14022" s="226"/>
      <c r="T14022" s="226"/>
      <c r="U14022" s="226"/>
    </row>
    <row r="14023" spans="16:21" x14ac:dyDescent="0.35">
      <c r="P14023" s="226"/>
      <c r="Q14023" s="226"/>
      <c r="R14023" s="226"/>
      <c r="S14023" s="226"/>
      <c r="T14023" s="226"/>
      <c r="U14023" s="226"/>
    </row>
    <row r="14024" spans="16:21" x14ac:dyDescent="0.35">
      <c r="P14024" s="226"/>
      <c r="Q14024" s="226"/>
      <c r="R14024" s="226"/>
      <c r="S14024" s="226"/>
      <c r="T14024" s="226"/>
      <c r="U14024" s="226"/>
    </row>
    <row r="14025" spans="16:21" x14ac:dyDescent="0.35">
      <c r="P14025" s="226"/>
      <c r="Q14025" s="226"/>
      <c r="R14025" s="226"/>
      <c r="S14025" s="226"/>
      <c r="T14025" s="226"/>
      <c r="U14025" s="226"/>
    </row>
    <row r="14026" spans="16:21" x14ac:dyDescent="0.35">
      <c r="P14026" s="226"/>
      <c r="Q14026" s="226"/>
      <c r="R14026" s="226"/>
      <c r="S14026" s="226"/>
      <c r="T14026" s="226"/>
      <c r="U14026" s="226"/>
    </row>
    <row r="14027" spans="16:21" x14ac:dyDescent="0.35">
      <c r="P14027" s="226"/>
      <c r="Q14027" s="226"/>
      <c r="R14027" s="226"/>
      <c r="S14027" s="226"/>
      <c r="T14027" s="226"/>
      <c r="U14027" s="226"/>
    </row>
    <row r="14028" spans="16:21" x14ac:dyDescent="0.35">
      <c r="P14028" s="226"/>
      <c r="Q14028" s="226"/>
      <c r="R14028" s="226"/>
      <c r="S14028" s="226"/>
      <c r="T14028" s="226"/>
      <c r="U14028" s="226"/>
    </row>
    <row r="14029" spans="16:21" x14ac:dyDescent="0.35">
      <c r="P14029" s="226"/>
      <c r="Q14029" s="226"/>
      <c r="R14029" s="226"/>
      <c r="S14029" s="226"/>
      <c r="T14029" s="226"/>
      <c r="U14029" s="226"/>
    </row>
    <row r="14030" spans="16:21" x14ac:dyDescent="0.35">
      <c r="P14030" s="226"/>
      <c r="Q14030" s="226"/>
      <c r="R14030" s="226"/>
      <c r="S14030" s="226"/>
      <c r="T14030" s="226"/>
      <c r="U14030" s="226"/>
    </row>
    <row r="14031" spans="16:21" x14ac:dyDescent="0.35">
      <c r="P14031" s="226"/>
      <c r="Q14031" s="226"/>
      <c r="R14031" s="226"/>
      <c r="S14031" s="226"/>
      <c r="T14031" s="226"/>
      <c r="U14031" s="226"/>
    </row>
    <row r="14032" spans="16:21" x14ac:dyDescent="0.35">
      <c r="P14032" s="226"/>
      <c r="Q14032" s="226"/>
      <c r="R14032" s="226"/>
      <c r="S14032" s="226"/>
      <c r="T14032" s="226"/>
      <c r="U14032" s="226"/>
    </row>
    <row r="14033" spans="16:21" x14ac:dyDescent="0.35">
      <c r="P14033" s="226"/>
      <c r="Q14033" s="226"/>
      <c r="R14033" s="226"/>
      <c r="S14033" s="226"/>
      <c r="T14033" s="226"/>
      <c r="U14033" s="226"/>
    </row>
    <row r="14034" spans="16:21" x14ac:dyDescent="0.35">
      <c r="P14034" s="226"/>
      <c r="Q14034" s="226"/>
      <c r="R14034" s="226"/>
      <c r="S14034" s="226"/>
      <c r="T14034" s="226"/>
      <c r="U14034" s="226"/>
    </row>
    <row r="14035" spans="16:21" x14ac:dyDescent="0.35">
      <c r="P14035" s="226"/>
      <c r="Q14035" s="226"/>
      <c r="R14035" s="226"/>
      <c r="S14035" s="226"/>
      <c r="T14035" s="226"/>
      <c r="U14035" s="226"/>
    </row>
    <row r="14036" spans="16:21" x14ac:dyDescent="0.35">
      <c r="P14036" s="226"/>
      <c r="Q14036" s="226"/>
      <c r="R14036" s="226"/>
      <c r="S14036" s="226"/>
      <c r="T14036" s="226"/>
      <c r="U14036" s="226"/>
    </row>
    <row r="14037" spans="16:21" x14ac:dyDescent="0.35">
      <c r="P14037" s="226"/>
      <c r="Q14037" s="226"/>
      <c r="R14037" s="226"/>
      <c r="S14037" s="226"/>
      <c r="T14037" s="226"/>
      <c r="U14037" s="226"/>
    </row>
    <row r="14038" spans="16:21" x14ac:dyDescent="0.35">
      <c r="P14038" s="226"/>
      <c r="Q14038" s="226"/>
      <c r="R14038" s="226"/>
      <c r="S14038" s="226"/>
      <c r="T14038" s="226"/>
      <c r="U14038" s="226"/>
    </row>
    <row r="14039" spans="16:21" x14ac:dyDescent="0.35">
      <c r="P14039" s="226"/>
      <c r="Q14039" s="226"/>
      <c r="R14039" s="226"/>
      <c r="S14039" s="226"/>
      <c r="T14039" s="226"/>
      <c r="U14039" s="226"/>
    </row>
    <row r="14040" spans="16:21" x14ac:dyDescent="0.35">
      <c r="P14040" s="226"/>
      <c r="Q14040" s="226"/>
      <c r="R14040" s="226"/>
      <c r="S14040" s="226"/>
      <c r="T14040" s="226"/>
      <c r="U14040" s="226"/>
    </row>
    <row r="14041" spans="16:21" x14ac:dyDescent="0.35">
      <c r="P14041" s="226"/>
      <c r="Q14041" s="226"/>
      <c r="R14041" s="226"/>
      <c r="S14041" s="226"/>
      <c r="T14041" s="226"/>
      <c r="U14041" s="226"/>
    </row>
    <row r="14042" spans="16:21" x14ac:dyDescent="0.35">
      <c r="P14042" s="226"/>
      <c r="Q14042" s="226"/>
      <c r="R14042" s="226"/>
      <c r="S14042" s="226"/>
      <c r="T14042" s="226"/>
      <c r="U14042" s="226"/>
    </row>
    <row r="14043" spans="16:21" x14ac:dyDescent="0.35">
      <c r="P14043" s="226"/>
      <c r="Q14043" s="226"/>
      <c r="R14043" s="226"/>
      <c r="S14043" s="226"/>
      <c r="T14043" s="226"/>
      <c r="U14043" s="226"/>
    </row>
    <row r="14044" spans="16:21" x14ac:dyDescent="0.35">
      <c r="P14044" s="226"/>
      <c r="Q14044" s="226"/>
      <c r="R14044" s="226"/>
      <c r="S14044" s="226"/>
      <c r="T14044" s="226"/>
      <c r="U14044" s="226"/>
    </row>
    <row r="14045" spans="16:21" x14ac:dyDescent="0.35">
      <c r="P14045" s="226"/>
      <c r="Q14045" s="226"/>
      <c r="R14045" s="226"/>
      <c r="S14045" s="226"/>
      <c r="T14045" s="226"/>
      <c r="U14045" s="226"/>
    </row>
    <row r="14046" spans="16:21" x14ac:dyDescent="0.35">
      <c r="P14046" s="226"/>
      <c r="Q14046" s="226"/>
      <c r="R14046" s="226"/>
      <c r="S14046" s="226"/>
      <c r="T14046" s="226"/>
      <c r="U14046" s="226"/>
    </row>
    <row r="14047" spans="16:21" x14ac:dyDescent="0.35">
      <c r="P14047" s="226"/>
      <c r="Q14047" s="226"/>
      <c r="R14047" s="226"/>
      <c r="S14047" s="226"/>
      <c r="T14047" s="226"/>
      <c r="U14047" s="226"/>
    </row>
    <row r="14048" spans="16:21" x14ac:dyDescent="0.35">
      <c r="P14048" s="226"/>
      <c r="Q14048" s="226"/>
      <c r="R14048" s="226"/>
      <c r="S14048" s="226"/>
      <c r="T14048" s="226"/>
      <c r="U14048" s="226"/>
    </row>
    <row r="14049" spans="16:21" x14ac:dyDescent="0.35">
      <c r="P14049" s="226"/>
      <c r="Q14049" s="226"/>
      <c r="R14049" s="226"/>
      <c r="S14049" s="226"/>
      <c r="T14049" s="226"/>
      <c r="U14049" s="226"/>
    </row>
    <row r="14050" spans="16:21" x14ac:dyDescent="0.35">
      <c r="P14050" s="226"/>
      <c r="Q14050" s="226"/>
      <c r="R14050" s="226"/>
      <c r="S14050" s="226"/>
      <c r="T14050" s="226"/>
      <c r="U14050" s="226"/>
    </row>
    <row r="14051" spans="16:21" x14ac:dyDescent="0.35">
      <c r="P14051" s="226"/>
      <c r="Q14051" s="226"/>
      <c r="R14051" s="226"/>
      <c r="S14051" s="226"/>
      <c r="T14051" s="226"/>
      <c r="U14051" s="226"/>
    </row>
    <row r="14052" spans="16:21" x14ac:dyDescent="0.35">
      <c r="P14052" s="226"/>
      <c r="Q14052" s="226"/>
      <c r="R14052" s="226"/>
      <c r="S14052" s="226"/>
      <c r="T14052" s="226"/>
      <c r="U14052" s="226"/>
    </row>
    <row r="14053" spans="16:21" x14ac:dyDescent="0.35">
      <c r="P14053" s="226"/>
      <c r="Q14053" s="226"/>
      <c r="R14053" s="226"/>
      <c r="S14053" s="226"/>
      <c r="T14053" s="226"/>
      <c r="U14053" s="226"/>
    </row>
    <row r="14054" spans="16:21" x14ac:dyDescent="0.35">
      <c r="P14054" s="226"/>
      <c r="Q14054" s="226"/>
      <c r="R14054" s="226"/>
      <c r="S14054" s="226"/>
      <c r="T14054" s="226"/>
      <c r="U14054" s="226"/>
    </row>
    <row r="14055" spans="16:21" x14ac:dyDescent="0.35">
      <c r="P14055" s="226"/>
      <c r="Q14055" s="226"/>
      <c r="R14055" s="226"/>
      <c r="S14055" s="226"/>
      <c r="T14055" s="226"/>
      <c r="U14055" s="226"/>
    </row>
    <row r="14056" spans="16:21" x14ac:dyDescent="0.35">
      <c r="P14056" s="226"/>
      <c r="Q14056" s="226"/>
      <c r="R14056" s="226"/>
      <c r="S14056" s="226"/>
      <c r="T14056" s="226"/>
      <c r="U14056" s="226"/>
    </row>
    <row r="14057" spans="16:21" x14ac:dyDescent="0.35">
      <c r="P14057" s="226"/>
      <c r="Q14057" s="226"/>
      <c r="R14057" s="226"/>
      <c r="S14057" s="226"/>
      <c r="T14057" s="226"/>
      <c r="U14057" s="226"/>
    </row>
    <row r="14058" spans="16:21" x14ac:dyDescent="0.35">
      <c r="P14058" s="226"/>
      <c r="Q14058" s="226"/>
      <c r="R14058" s="226"/>
      <c r="S14058" s="226"/>
      <c r="T14058" s="226"/>
      <c r="U14058" s="226"/>
    </row>
    <row r="14059" spans="16:21" x14ac:dyDescent="0.35">
      <c r="P14059" s="226"/>
      <c r="Q14059" s="226"/>
      <c r="R14059" s="226"/>
      <c r="S14059" s="226"/>
      <c r="T14059" s="226"/>
      <c r="U14059" s="226"/>
    </row>
    <row r="14060" spans="16:21" x14ac:dyDescent="0.35">
      <c r="P14060" s="226"/>
      <c r="Q14060" s="226"/>
      <c r="R14060" s="226"/>
      <c r="S14060" s="226"/>
      <c r="T14060" s="226"/>
      <c r="U14060" s="226"/>
    </row>
    <row r="14061" spans="16:21" x14ac:dyDescent="0.35">
      <c r="P14061" s="226"/>
      <c r="Q14061" s="226"/>
      <c r="R14061" s="226"/>
      <c r="S14061" s="226"/>
      <c r="T14061" s="226"/>
      <c r="U14061" s="226"/>
    </row>
    <row r="14062" spans="16:21" x14ac:dyDescent="0.35">
      <c r="P14062" s="226"/>
      <c r="Q14062" s="226"/>
      <c r="R14062" s="226"/>
      <c r="S14062" s="226"/>
      <c r="T14062" s="226"/>
      <c r="U14062" s="226"/>
    </row>
    <row r="14063" spans="16:21" x14ac:dyDescent="0.35">
      <c r="P14063" s="226"/>
      <c r="Q14063" s="226"/>
      <c r="R14063" s="226"/>
      <c r="S14063" s="226"/>
      <c r="T14063" s="226"/>
      <c r="U14063" s="226"/>
    </row>
    <row r="14064" spans="16:21" x14ac:dyDescent="0.35">
      <c r="P14064" s="226"/>
      <c r="Q14064" s="226"/>
      <c r="R14064" s="226"/>
      <c r="S14064" s="226"/>
      <c r="T14064" s="226"/>
      <c r="U14064" s="226"/>
    </row>
    <row r="14065" spans="16:21" x14ac:dyDescent="0.35">
      <c r="P14065" s="226"/>
      <c r="Q14065" s="226"/>
      <c r="R14065" s="226"/>
      <c r="S14065" s="226"/>
      <c r="T14065" s="226"/>
      <c r="U14065" s="226"/>
    </row>
    <row r="14066" spans="16:21" x14ac:dyDescent="0.35">
      <c r="P14066" s="226"/>
      <c r="Q14066" s="226"/>
      <c r="R14066" s="226"/>
      <c r="S14066" s="226"/>
      <c r="T14066" s="226"/>
      <c r="U14066" s="226"/>
    </row>
    <row r="14067" spans="16:21" x14ac:dyDescent="0.35">
      <c r="P14067" s="226"/>
      <c r="Q14067" s="226"/>
      <c r="R14067" s="226"/>
      <c r="S14067" s="226"/>
      <c r="T14067" s="226"/>
      <c r="U14067" s="226"/>
    </row>
    <row r="14068" spans="16:21" x14ac:dyDescent="0.35">
      <c r="P14068" s="226"/>
      <c r="Q14068" s="226"/>
      <c r="R14068" s="226"/>
      <c r="S14068" s="226"/>
      <c r="T14068" s="226"/>
      <c r="U14068" s="226"/>
    </row>
    <row r="14069" spans="16:21" x14ac:dyDescent="0.35">
      <c r="P14069" s="226"/>
      <c r="Q14069" s="226"/>
      <c r="R14069" s="226"/>
      <c r="S14069" s="226"/>
      <c r="T14069" s="226"/>
      <c r="U14069" s="226"/>
    </row>
    <row r="14070" spans="16:21" x14ac:dyDescent="0.35">
      <c r="P14070" s="226"/>
      <c r="Q14070" s="226"/>
      <c r="R14070" s="226"/>
      <c r="S14070" s="226"/>
      <c r="T14070" s="226"/>
      <c r="U14070" s="226"/>
    </row>
    <row r="14071" spans="16:21" x14ac:dyDescent="0.35">
      <c r="P14071" s="226"/>
      <c r="Q14071" s="226"/>
      <c r="R14071" s="226"/>
      <c r="S14071" s="226"/>
      <c r="T14071" s="226"/>
      <c r="U14071" s="226"/>
    </row>
    <row r="14072" spans="16:21" x14ac:dyDescent="0.35">
      <c r="P14072" s="226"/>
      <c r="Q14072" s="226"/>
      <c r="R14072" s="226"/>
      <c r="S14072" s="226"/>
      <c r="T14072" s="226"/>
      <c r="U14072" s="226"/>
    </row>
    <row r="14073" spans="16:21" x14ac:dyDescent="0.35">
      <c r="P14073" s="226"/>
      <c r="Q14073" s="226"/>
      <c r="R14073" s="226"/>
      <c r="S14073" s="226"/>
      <c r="T14073" s="226"/>
      <c r="U14073" s="226"/>
    </row>
    <row r="14074" spans="16:21" x14ac:dyDescent="0.35">
      <c r="P14074" s="226"/>
      <c r="Q14074" s="226"/>
      <c r="R14074" s="226"/>
      <c r="S14074" s="226"/>
      <c r="T14074" s="226"/>
      <c r="U14074" s="226"/>
    </row>
    <row r="14075" spans="16:21" x14ac:dyDescent="0.35">
      <c r="P14075" s="226"/>
      <c r="Q14075" s="226"/>
      <c r="R14075" s="226"/>
      <c r="S14075" s="226"/>
      <c r="T14075" s="226"/>
      <c r="U14075" s="226"/>
    </row>
    <row r="14076" spans="16:21" x14ac:dyDescent="0.35">
      <c r="P14076" s="226"/>
      <c r="Q14076" s="226"/>
      <c r="R14076" s="226"/>
      <c r="S14076" s="226"/>
      <c r="T14076" s="226"/>
      <c r="U14076" s="226"/>
    </row>
    <row r="14077" spans="16:21" x14ac:dyDescent="0.35">
      <c r="P14077" s="226"/>
      <c r="Q14077" s="226"/>
      <c r="R14077" s="226"/>
      <c r="S14077" s="226"/>
      <c r="T14077" s="226"/>
      <c r="U14077" s="226"/>
    </row>
    <row r="14078" spans="16:21" x14ac:dyDescent="0.35">
      <c r="P14078" s="226"/>
      <c r="Q14078" s="226"/>
      <c r="R14078" s="226"/>
      <c r="S14078" s="226"/>
      <c r="T14078" s="226"/>
      <c r="U14078" s="226"/>
    </row>
    <row r="14079" spans="16:21" x14ac:dyDescent="0.35">
      <c r="P14079" s="226"/>
      <c r="Q14079" s="226"/>
      <c r="R14079" s="226"/>
      <c r="S14079" s="226"/>
      <c r="T14079" s="226"/>
      <c r="U14079" s="226"/>
    </row>
    <row r="14080" spans="16:21" x14ac:dyDescent="0.35">
      <c r="P14080" s="226"/>
      <c r="Q14080" s="226"/>
      <c r="R14080" s="226"/>
      <c r="S14080" s="226"/>
      <c r="T14080" s="226"/>
      <c r="U14080" s="226"/>
    </row>
    <row r="14081" spans="16:21" x14ac:dyDescent="0.35">
      <c r="P14081" s="226"/>
      <c r="Q14081" s="226"/>
      <c r="R14081" s="226"/>
      <c r="S14081" s="226"/>
      <c r="T14081" s="226"/>
      <c r="U14081" s="226"/>
    </row>
    <row r="14082" spans="16:21" x14ac:dyDescent="0.35">
      <c r="P14082" s="226"/>
      <c r="Q14082" s="226"/>
      <c r="R14082" s="226"/>
      <c r="S14082" s="226"/>
      <c r="T14082" s="226"/>
      <c r="U14082" s="226"/>
    </row>
    <row r="14083" spans="16:21" x14ac:dyDescent="0.35">
      <c r="P14083" s="226"/>
      <c r="Q14083" s="226"/>
      <c r="R14083" s="226"/>
      <c r="S14083" s="226"/>
      <c r="T14083" s="226"/>
      <c r="U14083" s="226"/>
    </row>
    <row r="14084" spans="16:21" x14ac:dyDescent="0.35">
      <c r="P14084" s="226"/>
      <c r="Q14084" s="226"/>
      <c r="R14084" s="226"/>
      <c r="S14084" s="226"/>
      <c r="T14084" s="226"/>
      <c r="U14084" s="226"/>
    </row>
    <row r="14085" spans="16:21" x14ac:dyDescent="0.35">
      <c r="P14085" s="226"/>
      <c r="Q14085" s="226"/>
      <c r="R14085" s="226"/>
      <c r="S14085" s="226"/>
      <c r="T14085" s="226"/>
      <c r="U14085" s="226"/>
    </row>
    <row r="14086" spans="16:21" x14ac:dyDescent="0.35">
      <c r="P14086" s="226"/>
      <c r="Q14086" s="226"/>
      <c r="R14086" s="226"/>
      <c r="S14086" s="226"/>
      <c r="T14086" s="226"/>
      <c r="U14086" s="226"/>
    </row>
    <row r="14087" spans="16:21" x14ac:dyDescent="0.35">
      <c r="P14087" s="226"/>
      <c r="Q14087" s="226"/>
      <c r="R14087" s="226"/>
      <c r="S14087" s="226"/>
      <c r="T14087" s="226"/>
      <c r="U14087" s="226"/>
    </row>
    <row r="14088" spans="16:21" x14ac:dyDescent="0.35">
      <c r="P14088" s="226"/>
      <c r="Q14088" s="226"/>
      <c r="R14088" s="226"/>
      <c r="S14088" s="226"/>
      <c r="T14088" s="226"/>
      <c r="U14088" s="226"/>
    </row>
    <row r="14089" spans="16:21" x14ac:dyDescent="0.35">
      <c r="P14089" s="226"/>
      <c r="Q14089" s="226"/>
      <c r="R14089" s="226"/>
      <c r="S14089" s="226"/>
      <c r="T14089" s="226"/>
      <c r="U14089" s="226"/>
    </row>
    <row r="14090" spans="16:21" x14ac:dyDescent="0.35">
      <c r="P14090" s="226"/>
      <c r="Q14090" s="226"/>
      <c r="R14090" s="226"/>
      <c r="S14090" s="226"/>
      <c r="T14090" s="226"/>
      <c r="U14090" s="226"/>
    </row>
    <row r="14091" spans="16:21" x14ac:dyDescent="0.35">
      <c r="P14091" s="226"/>
      <c r="Q14091" s="226"/>
      <c r="R14091" s="226"/>
      <c r="S14091" s="226"/>
      <c r="T14091" s="226"/>
      <c r="U14091" s="226"/>
    </row>
    <row r="14092" spans="16:21" x14ac:dyDescent="0.35">
      <c r="P14092" s="226"/>
      <c r="Q14092" s="226"/>
      <c r="R14092" s="226"/>
      <c r="S14092" s="226"/>
      <c r="T14092" s="226"/>
      <c r="U14092" s="226"/>
    </row>
    <row r="14093" spans="16:21" x14ac:dyDescent="0.35">
      <c r="P14093" s="226"/>
      <c r="Q14093" s="226"/>
      <c r="R14093" s="226"/>
      <c r="S14093" s="226"/>
      <c r="T14093" s="226"/>
      <c r="U14093" s="226"/>
    </row>
    <row r="14094" spans="16:21" x14ac:dyDescent="0.35">
      <c r="P14094" s="226"/>
      <c r="Q14094" s="226"/>
      <c r="R14094" s="226"/>
      <c r="S14094" s="226"/>
      <c r="T14094" s="226"/>
      <c r="U14094" s="226"/>
    </row>
    <row r="14095" spans="16:21" x14ac:dyDescent="0.35">
      <c r="P14095" s="226"/>
      <c r="Q14095" s="226"/>
      <c r="R14095" s="226"/>
      <c r="S14095" s="226"/>
      <c r="T14095" s="226"/>
      <c r="U14095" s="226"/>
    </row>
    <row r="14096" spans="16:21" x14ac:dyDescent="0.35">
      <c r="P14096" s="226"/>
      <c r="Q14096" s="226"/>
      <c r="R14096" s="226"/>
      <c r="S14096" s="226"/>
      <c r="T14096" s="226"/>
      <c r="U14096" s="226"/>
    </row>
    <row r="14097" spans="16:21" x14ac:dyDescent="0.35">
      <c r="P14097" s="226"/>
      <c r="Q14097" s="226"/>
      <c r="R14097" s="226"/>
      <c r="S14097" s="226"/>
      <c r="T14097" s="226"/>
      <c r="U14097" s="226"/>
    </row>
    <row r="14098" spans="16:21" x14ac:dyDescent="0.35">
      <c r="P14098" s="226"/>
      <c r="Q14098" s="226"/>
      <c r="R14098" s="226"/>
      <c r="S14098" s="226"/>
      <c r="T14098" s="226"/>
      <c r="U14098" s="226"/>
    </row>
    <row r="14099" spans="16:21" x14ac:dyDescent="0.35">
      <c r="P14099" s="226"/>
      <c r="Q14099" s="226"/>
      <c r="R14099" s="226"/>
      <c r="S14099" s="226"/>
      <c r="T14099" s="226"/>
      <c r="U14099" s="226"/>
    </row>
    <row r="14100" spans="16:21" x14ac:dyDescent="0.35">
      <c r="P14100" s="226"/>
      <c r="Q14100" s="226"/>
      <c r="R14100" s="226"/>
      <c r="S14100" s="226"/>
      <c r="T14100" s="226"/>
      <c r="U14100" s="226"/>
    </row>
    <row r="14101" spans="16:21" x14ac:dyDescent="0.35">
      <c r="P14101" s="226"/>
      <c r="Q14101" s="226"/>
      <c r="R14101" s="226"/>
      <c r="S14101" s="226"/>
      <c r="T14101" s="226"/>
      <c r="U14101" s="226"/>
    </row>
    <row r="14102" spans="16:21" x14ac:dyDescent="0.35">
      <c r="P14102" s="226"/>
      <c r="Q14102" s="226"/>
      <c r="R14102" s="226"/>
      <c r="S14102" s="226"/>
      <c r="T14102" s="226"/>
      <c r="U14102" s="226"/>
    </row>
    <row r="14103" spans="16:21" x14ac:dyDescent="0.35">
      <c r="P14103" s="226"/>
      <c r="Q14103" s="226"/>
      <c r="R14103" s="226"/>
      <c r="S14103" s="226"/>
      <c r="T14103" s="226"/>
      <c r="U14103" s="226"/>
    </row>
    <row r="14104" spans="16:21" x14ac:dyDescent="0.35">
      <c r="P14104" s="226"/>
      <c r="Q14104" s="226"/>
      <c r="R14104" s="226"/>
      <c r="S14104" s="226"/>
      <c r="T14104" s="226"/>
      <c r="U14104" s="226"/>
    </row>
    <row r="14105" spans="16:21" x14ac:dyDescent="0.35">
      <c r="P14105" s="226"/>
      <c r="Q14105" s="226"/>
      <c r="R14105" s="226"/>
      <c r="S14105" s="226"/>
      <c r="T14105" s="226"/>
      <c r="U14105" s="226"/>
    </row>
    <row r="14106" spans="16:21" x14ac:dyDescent="0.35">
      <c r="P14106" s="226"/>
      <c r="Q14106" s="226"/>
      <c r="R14106" s="226"/>
      <c r="S14106" s="226"/>
      <c r="T14106" s="226"/>
      <c r="U14106" s="226"/>
    </row>
    <row r="14107" spans="16:21" x14ac:dyDescent="0.35">
      <c r="P14107" s="226"/>
      <c r="Q14107" s="226"/>
      <c r="R14107" s="226"/>
      <c r="S14107" s="226"/>
      <c r="T14107" s="226"/>
      <c r="U14107" s="226"/>
    </row>
    <row r="14108" spans="16:21" x14ac:dyDescent="0.35">
      <c r="P14108" s="226"/>
      <c r="Q14108" s="226"/>
      <c r="R14108" s="226"/>
      <c r="S14108" s="226"/>
      <c r="T14108" s="226"/>
      <c r="U14108" s="226"/>
    </row>
    <row r="14109" spans="16:21" x14ac:dyDescent="0.35">
      <c r="P14109" s="226"/>
      <c r="Q14109" s="226"/>
      <c r="R14109" s="226"/>
      <c r="S14109" s="226"/>
      <c r="T14109" s="226"/>
      <c r="U14109" s="226"/>
    </row>
    <row r="14110" spans="16:21" x14ac:dyDescent="0.35">
      <c r="P14110" s="226"/>
      <c r="Q14110" s="226"/>
      <c r="R14110" s="226"/>
      <c r="S14110" s="226"/>
      <c r="T14110" s="226"/>
      <c r="U14110" s="226"/>
    </row>
    <row r="14111" spans="16:21" x14ac:dyDescent="0.35">
      <c r="P14111" s="226"/>
      <c r="Q14111" s="226"/>
      <c r="R14111" s="226"/>
      <c r="S14111" s="226"/>
      <c r="T14111" s="226"/>
      <c r="U14111" s="226"/>
    </row>
    <row r="14112" spans="16:21" x14ac:dyDescent="0.35">
      <c r="P14112" s="226"/>
      <c r="Q14112" s="226"/>
      <c r="R14112" s="226"/>
      <c r="S14112" s="226"/>
      <c r="T14112" s="226"/>
      <c r="U14112" s="226"/>
    </row>
    <row r="14113" spans="16:21" x14ac:dyDescent="0.35">
      <c r="P14113" s="226"/>
      <c r="Q14113" s="226"/>
      <c r="R14113" s="226"/>
      <c r="S14113" s="226"/>
      <c r="T14113" s="226"/>
      <c r="U14113" s="226"/>
    </row>
    <row r="14114" spans="16:21" x14ac:dyDescent="0.35">
      <c r="P14114" s="226"/>
      <c r="Q14114" s="226"/>
      <c r="R14114" s="226"/>
      <c r="S14114" s="226"/>
      <c r="T14114" s="226"/>
      <c r="U14114" s="226"/>
    </row>
    <row r="14115" spans="16:21" x14ac:dyDescent="0.35">
      <c r="P14115" s="226"/>
      <c r="Q14115" s="226"/>
      <c r="R14115" s="226"/>
      <c r="S14115" s="226"/>
      <c r="T14115" s="226"/>
      <c r="U14115" s="226"/>
    </row>
    <row r="14116" spans="16:21" x14ac:dyDescent="0.35">
      <c r="P14116" s="226"/>
      <c r="Q14116" s="226"/>
      <c r="R14116" s="226"/>
      <c r="S14116" s="226"/>
      <c r="T14116" s="226"/>
      <c r="U14116" s="226"/>
    </row>
    <row r="14117" spans="16:21" x14ac:dyDescent="0.35">
      <c r="P14117" s="226"/>
      <c r="Q14117" s="226"/>
      <c r="R14117" s="226"/>
      <c r="S14117" s="226"/>
      <c r="T14117" s="226"/>
      <c r="U14117" s="226"/>
    </row>
    <row r="14118" spans="16:21" x14ac:dyDescent="0.35">
      <c r="P14118" s="226"/>
      <c r="Q14118" s="226"/>
      <c r="R14118" s="226"/>
      <c r="S14118" s="226"/>
      <c r="T14118" s="226"/>
      <c r="U14118" s="226"/>
    </row>
    <row r="14119" spans="16:21" x14ac:dyDescent="0.35">
      <c r="P14119" s="226"/>
      <c r="Q14119" s="226"/>
      <c r="R14119" s="226"/>
      <c r="S14119" s="226"/>
      <c r="T14119" s="226"/>
      <c r="U14119" s="226"/>
    </row>
    <row r="14120" spans="16:21" x14ac:dyDescent="0.35">
      <c r="P14120" s="226"/>
      <c r="Q14120" s="226"/>
      <c r="R14120" s="226"/>
      <c r="S14120" s="226"/>
      <c r="T14120" s="226"/>
      <c r="U14120" s="226"/>
    </row>
    <row r="14121" spans="16:21" x14ac:dyDescent="0.35">
      <c r="P14121" s="226"/>
      <c r="Q14121" s="226"/>
      <c r="R14121" s="226"/>
      <c r="S14121" s="226"/>
      <c r="T14121" s="226"/>
      <c r="U14121" s="226"/>
    </row>
    <row r="14122" spans="16:21" x14ac:dyDescent="0.35">
      <c r="P14122" s="226"/>
      <c r="Q14122" s="226"/>
      <c r="R14122" s="226"/>
      <c r="S14122" s="226"/>
      <c r="T14122" s="226"/>
      <c r="U14122" s="226"/>
    </row>
    <row r="14123" spans="16:21" x14ac:dyDescent="0.35">
      <c r="P14123" s="226"/>
      <c r="Q14123" s="226"/>
      <c r="R14123" s="226"/>
      <c r="S14123" s="226"/>
      <c r="T14123" s="226"/>
      <c r="U14123" s="226"/>
    </row>
    <row r="14124" spans="16:21" x14ac:dyDescent="0.35">
      <c r="P14124" s="226"/>
      <c r="Q14124" s="226"/>
      <c r="R14124" s="226"/>
      <c r="S14124" s="226"/>
      <c r="T14124" s="226"/>
      <c r="U14124" s="226"/>
    </row>
    <row r="14125" spans="16:21" x14ac:dyDescent="0.35">
      <c r="P14125" s="226"/>
      <c r="Q14125" s="226"/>
      <c r="R14125" s="226"/>
      <c r="S14125" s="226"/>
      <c r="T14125" s="226"/>
      <c r="U14125" s="226"/>
    </row>
    <row r="14126" spans="16:21" x14ac:dyDescent="0.35">
      <c r="P14126" s="226"/>
      <c r="Q14126" s="226"/>
      <c r="R14126" s="226"/>
      <c r="S14126" s="226"/>
      <c r="T14126" s="226"/>
      <c r="U14126" s="226"/>
    </row>
    <row r="14127" spans="16:21" x14ac:dyDescent="0.35">
      <c r="P14127" s="226"/>
      <c r="Q14127" s="226"/>
      <c r="R14127" s="226"/>
      <c r="S14127" s="226"/>
      <c r="T14127" s="226"/>
      <c r="U14127" s="226"/>
    </row>
    <row r="14128" spans="16:21" x14ac:dyDescent="0.35">
      <c r="P14128" s="226"/>
      <c r="Q14128" s="226"/>
      <c r="R14128" s="226"/>
      <c r="S14128" s="226"/>
      <c r="T14128" s="226"/>
      <c r="U14128" s="226"/>
    </row>
    <row r="14129" spans="16:21" x14ac:dyDescent="0.35">
      <c r="P14129" s="226"/>
      <c r="Q14129" s="226"/>
      <c r="R14129" s="226"/>
      <c r="S14129" s="226"/>
      <c r="T14129" s="226"/>
      <c r="U14129" s="226"/>
    </row>
    <row r="14130" spans="16:21" x14ac:dyDescent="0.35">
      <c r="P14130" s="226"/>
      <c r="Q14130" s="226"/>
      <c r="R14130" s="226"/>
      <c r="S14130" s="226"/>
      <c r="T14130" s="226"/>
      <c r="U14130" s="226"/>
    </row>
    <row r="14131" spans="16:21" x14ac:dyDescent="0.35">
      <c r="P14131" s="226"/>
      <c r="Q14131" s="226"/>
      <c r="R14131" s="226"/>
      <c r="S14131" s="226"/>
      <c r="T14131" s="226"/>
      <c r="U14131" s="226"/>
    </row>
    <row r="14132" spans="16:21" x14ac:dyDescent="0.35">
      <c r="P14132" s="226"/>
      <c r="Q14132" s="226"/>
      <c r="R14132" s="226"/>
      <c r="S14132" s="226"/>
      <c r="T14132" s="226"/>
      <c r="U14132" s="226"/>
    </row>
    <row r="14133" spans="16:21" x14ac:dyDescent="0.35">
      <c r="P14133" s="226"/>
      <c r="Q14133" s="226"/>
      <c r="R14133" s="226"/>
      <c r="S14133" s="226"/>
      <c r="T14133" s="226"/>
      <c r="U14133" s="226"/>
    </row>
    <row r="14134" spans="16:21" x14ac:dyDescent="0.35">
      <c r="P14134" s="226"/>
      <c r="Q14134" s="226"/>
      <c r="R14134" s="226"/>
      <c r="S14134" s="226"/>
      <c r="T14134" s="226"/>
      <c r="U14134" s="226"/>
    </row>
    <row r="14135" spans="16:21" x14ac:dyDescent="0.35">
      <c r="P14135" s="226"/>
      <c r="Q14135" s="226"/>
      <c r="R14135" s="226"/>
      <c r="S14135" s="226"/>
      <c r="T14135" s="226"/>
      <c r="U14135" s="226"/>
    </row>
    <row r="14136" spans="16:21" x14ac:dyDescent="0.35">
      <c r="P14136" s="226"/>
      <c r="Q14136" s="226"/>
      <c r="R14136" s="226"/>
      <c r="S14136" s="226"/>
      <c r="T14136" s="226"/>
      <c r="U14136" s="226"/>
    </row>
    <row r="14137" spans="16:21" x14ac:dyDescent="0.35">
      <c r="P14137" s="226"/>
      <c r="Q14137" s="226"/>
      <c r="R14137" s="226"/>
      <c r="S14137" s="226"/>
      <c r="T14137" s="226"/>
      <c r="U14137" s="226"/>
    </row>
    <row r="14138" spans="16:21" x14ac:dyDescent="0.35">
      <c r="P14138" s="226"/>
      <c r="Q14138" s="226"/>
      <c r="R14138" s="226"/>
      <c r="S14138" s="226"/>
      <c r="T14138" s="226"/>
      <c r="U14138" s="226"/>
    </row>
    <row r="14139" spans="16:21" x14ac:dyDescent="0.35">
      <c r="P14139" s="226"/>
      <c r="Q14139" s="226"/>
      <c r="R14139" s="226"/>
      <c r="S14139" s="226"/>
      <c r="T14139" s="226"/>
      <c r="U14139" s="226"/>
    </row>
    <row r="14140" spans="16:21" x14ac:dyDescent="0.35">
      <c r="P14140" s="226"/>
      <c r="Q14140" s="226"/>
      <c r="R14140" s="226"/>
      <c r="S14140" s="226"/>
      <c r="T14140" s="226"/>
      <c r="U14140" s="226"/>
    </row>
    <row r="14141" spans="16:21" x14ac:dyDescent="0.35">
      <c r="P14141" s="226"/>
      <c r="Q14141" s="226"/>
      <c r="R14141" s="226"/>
      <c r="S14141" s="226"/>
      <c r="T14141" s="226"/>
      <c r="U14141" s="226"/>
    </row>
    <row r="14142" spans="16:21" x14ac:dyDescent="0.35">
      <c r="P14142" s="226"/>
      <c r="Q14142" s="226"/>
      <c r="R14142" s="226"/>
      <c r="S14142" s="226"/>
      <c r="T14142" s="226"/>
      <c r="U14142" s="226"/>
    </row>
    <row r="14143" spans="16:21" x14ac:dyDescent="0.35">
      <c r="P14143" s="226"/>
      <c r="Q14143" s="226"/>
      <c r="R14143" s="226"/>
      <c r="S14143" s="226"/>
      <c r="T14143" s="226"/>
      <c r="U14143" s="226"/>
    </row>
    <row r="14144" spans="16:21" x14ac:dyDescent="0.35">
      <c r="P14144" s="226"/>
      <c r="Q14144" s="226"/>
      <c r="R14144" s="226"/>
      <c r="S14144" s="226"/>
      <c r="T14144" s="226"/>
      <c r="U14144" s="226"/>
    </row>
    <row r="14145" spans="16:21" x14ac:dyDescent="0.35">
      <c r="P14145" s="226"/>
      <c r="Q14145" s="226"/>
      <c r="R14145" s="226"/>
      <c r="S14145" s="226"/>
      <c r="T14145" s="226"/>
      <c r="U14145" s="226"/>
    </row>
    <row r="14146" spans="16:21" x14ac:dyDescent="0.35">
      <c r="P14146" s="226"/>
      <c r="Q14146" s="226"/>
      <c r="R14146" s="226"/>
      <c r="S14146" s="226"/>
      <c r="T14146" s="226"/>
      <c r="U14146" s="226"/>
    </row>
    <row r="14147" spans="16:21" x14ac:dyDescent="0.35">
      <c r="P14147" s="226"/>
      <c r="Q14147" s="226"/>
      <c r="R14147" s="226"/>
      <c r="S14147" s="226"/>
      <c r="T14147" s="226"/>
      <c r="U14147" s="226"/>
    </row>
    <row r="14148" spans="16:21" x14ac:dyDescent="0.35">
      <c r="P14148" s="226"/>
      <c r="Q14148" s="226"/>
      <c r="R14148" s="226"/>
      <c r="S14148" s="226"/>
      <c r="T14148" s="226"/>
      <c r="U14148" s="226"/>
    </row>
    <row r="14149" spans="16:21" x14ac:dyDescent="0.35">
      <c r="P14149" s="226"/>
      <c r="Q14149" s="226"/>
      <c r="R14149" s="226"/>
      <c r="S14149" s="226"/>
      <c r="T14149" s="226"/>
      <c r="U14149" s="226"/>
    </row>
    <row r="14150" spans="16:21" x14ac:dyDescent="0.35">
      <c r="P14150" s="226"/>
      <c r="Q14150" s="226"/>
      <c r="R14150" s="226"/>
      <c r="S14150" s="226"/>
      <c r="T14150" s="226"/>
      <c r="U14150" s="226"/>
    </row>
    <row r="14151" spans="16:21" x14ac:dyDescent="0.35">
      <c r="P14151" s="226"/>
      <c r="Q14151" s="226"/>
      <c r="R14151" s="226"/>
      <c r="S14151" s="226"/>
      <c r="T14151" s="226"/>
      <c r="U14151" s="226"/>
    </row>
    <row r="14152" spans="16:21" x14ac:dyDescent="0.35">
      <c r="P14152" s="226"/>
      <c r="Q14152" s="226"/>
      <c r="R14152" s="226"/>
      <c r="S14152" s="226"/>
      <c r="T14152" s="226"/>
      <c r="U14152" s="226"/>
    </row>
    <row r="14153" spans="16:21" x14ac:dyDescent="0.35">
      <c r="P14153" s="226"/>
      <c r="Q14153" s="226"/>
      <c r="R14153" s="226"/>
      <c r="S14153" s="226"/>
      <c r="T14153" s="226"/>
      <c r="U14153" s="226"/>
    </row>
    <row r="14154" spans="16:21" x14ac:dyDescent="0.35">
      <c r="P14154" s="226"/>
      <c r="Q14154" s="226"/>
      <c r="R14154" s="226"/>
      <c r="S14154" s="226"/>
      <c r="T14154" s="226"/>
      <c r="U14154" s="226"/>
    </row>
    <row r="14155" spans="16:21" x14ac:dyDescent="0.35">
      <c r="P14155" s="226"/>
      <c r="Q14155" s="226"/>
      <c r="R14155" s="226"/>
      <c r="S14155" s="226"/>
      <c r="T14155" s="226"/>
      <c r="U14155" s="226"/>
    </row>
    <row r="14156" spans="16:21" x14ac:dyDescent="0.35">
      <c r="P14156" s="226"/>
      <c r="Q14156" s="226"/>
      <c r="R14156" s="226"/>
      <c r="S14156" s="226"/>
      <c r="T14156" s="226"/>
      <c r="U14156" s="226"/>
    </row>
    <row r="14157" spans="16:21" x14ac:dyDescent="0.35">
      <c r="P14157" s="226"/>
      <c r="Q14157" s="226"/>
      <c r="R14157" s="226"/>
      <c r="S14157" s="226"/>
      <c r="T14157" s="226"/>
      <c r="U14157" s="226"/>
    </row>
    <row r="14158" spans="16:21" x14ac:dyDescent="0.35">
      <c r="P14158" s="226"/>
      <c r="Q14158" s="226"/>
      <c r="R14158" s="226"/>
      <c r="S14158" s="226"/>
      <c r="T14158" s="226"/>
      <c r="U14158" s="226"/>
    </row>
    <row r="14159" spans="16:21" x14ac:dyDescent="0.35">
      <c r="P14159" s="226"/>
      <c r="Q14159" s="226"/>
      <c r="R14159" s="226"/>
      <c r="S14159" s="226"/>
      <c r="T14159" s="226"/>
      <c r="U14159" s="226"/>
    </row>
    <row r="14160" spans="16:21" x14ac:dyDescent="0.35">
      <c r="P14160" s="226"/>
      <c r="Q14160" s="226"/>
      <c r="R14160" s="226"/>
      <c r="S14160" s="226"/>
      <c r="T14160" s="226"/>
      <c r="U14160" s="226"/>
    </row>
    <row r="14161" spans="16:21" x14ac:dyDescent="0.35">
      <c r="P14161" s="226"/>
      <c r="Q14161" s="226"/>
      <c r="R14161" s="226"/>
      <c r="S14161" s="226"/>
      <c r="T14161" s="226"/>
      <c r="U14161" s="226"/>
    </row>
    <row r="14162" spans="16:21" x14ac:dyDescent="0.35">
      <c r="P14162" s="226"/>
      <c r="Q14162" s="226"/>
      <c r="R14162" s="226"/>
      <c r="S14162" s="226"/>
      <c r="T14162" s="226"/>
      <c r="U14162" s="226"/>
    </row>
    <row r="14163" spans="16:21" x14ac:dyDescent="0.35">
      <c r="P14163" s="226"/>
      <c r="Q14163" s="226"/>
      <c r="R14163" s="226"/>
      <c r="S14163" s="226"/>
      <c r="T14163" s="226"/>
      <c r="U14163" s="226"/>
    </row>
    <row r="14164" spans="16:21" x14ac:dyDescent="0.35">
      <c r="P14164" s="226"/>
      <c r="Q14164" s="226"/>
      <c r="R14164" s="226"/>
      <c r="S14164" s="226"/>
      <c r="T14164" s="226"/>
      <c r="U14164" s="226"/>
    </row>
    <row r="14165" spans="16:21" x14ac:dyDescent="0.35">
      <c r="P14165" s="226"/>
      <c r="Q14165" s="226"/>
      <c r="R14165" s="226"/>
      <c r="S14165" s="226"/>
      <c r="T14165" s="226"/>
      <c r="U14165" s="226"/>
    </row>
    <row r="14166" spans="16:21" x14ac:dyDescent="0.35">
      <c r="P14166" s="226"/>
      <c r="Q14166" s="226"/>
      <c r="R14166" s="226"/>
      <c r="S14166" s="226"/>
      <c r="T14166" s="226"/>
      <c r="U14166" s="226"/>
    </row>
    <row r="14167" spans="16:21" x14ac:dyDescent="0.35">
      <c r="P14167" s="226"/>
      <c r="Q14167" s="226"/>
      <c r="R14167" s="226"/>
      <c r="S14167" s="226"/>
      <c r="T14167" s="226"/>
      <c r="U14167" s="226"/>
    </row>
    <row r="14168" spans="16:21" x14ac:dyDescent="0.35">
      <c r="P14168" s="226"/>
      <c r="Q14168" s="226"/>
      <c r="R14168" s="226"/>
      <c r="S14168" s="226"/>
      <c r="T14168" s="226"/>
      <c r="U14168" s="226"/>
    </row>
    <row r="14169" spans="16:21" x14ac:dyDescent="0.35">
      <c r="P14169" s="226"/>
      <c r="Q14169" s="226"/>
      <c r="R14169" s="226"/>
      <c r="S14169" s="226"/>
      <c r="T14169" s="226"/>
      <c r="U14169" s="226"/>
    </row>
    <row r="14170" spans="16:21" x14ac:dyDescent="0.35">
      <c r="P14170" s="226"/>
      <c r="Q14170" s="226"/>
      <c r="R14170" s="226"/>
      <c r="S14170" s="226"/>
      <c r="T14170" s="226"/>
      <c r="U14170" s="226"/>
    </row>
    <row r="14171" spans="16:21" x14ac:dyDescent="0.35">
      <c r="P14171" s="226"/>
      <c r="Q14171" s="226"/>
      <c r="R14171" s="226"/>
      <c r="S14171" s="226"/>
      <c r="T14171" s="226"/>
      <c r="U14171" s="226"/>
    </row>
    <row r="14172" spans="16:21" x14ac:dyDescent="0.35">
      <c r="P14172" s="226"/>
      <c r="Q14172" s="226"/>
      <c r="R14172" s="226"/>
      <c r="S14172" s="226"/>
      <c r="T14172" s="226"/>
      <c r="U14172" s="226"/>
    </row>
    <row r="14173" spans="16:21" x14ac:dyDescent="0.35">
      <c r="P14173" s="226"/>
      <c r="Q14173" s="226"/>
      <c r="R14173" s="226"/>
      <c r="S14173" s="226"/>
      <c r="T14173" s="226"/>
      <c r="U14173" s="226"/>
    </row>
    <row r="14174" spans="16:21" x14ac:dyDescent="0.35">
      <c r="P14174" s="226"/>
      <c r="Q14174" s="226"/>
      <c r="R14174" s="226"/>
      <c r="S14174" s="226"/>
      <c r="T14174" s="226"/>
      <c r="U14174" s="226"/>
    </row>
    <row r="14175" spans="16:21" x14ac:dyDescent="0.35">
      <c r="P14175" s="226"/>
      <c r="Q14175" s="226"/>
      <c r="R14175" s="226"/>
      <c r="S14175" s="226"/>
      <c r="T14175" s="226"/>
      <c r="U14175" s="226"/>
    </row>
    <row r="14176" spans="16:21" x14ac:dyDescent="0.35">
      <c r="P14176" s="226"/>
      <c r="Q14176" s="226"/>
      <c r="R14176" s="226"/>
      <c r="S14176" s="226"/>
      <c r="T14176" s="226"/>
      <c r="U14176" s="226"/>
    </row>
    <row r="14177" spans="16:21" x14ac:dyDescent="0.35">
      <c r="P14177" s="226"/>
      <c r="Q14177" s="226"/>
      <c r="R14177" s="226"/>
      <c r="S14177" s="226"/>
      <c r="T14177" s="226"/>
      <c r="U14177" s="226"/>
    </row>
    <row r="14178" spans="16:21" x14ac:dyDescent="0.35">
      <c r="P14178" s="226"/>
      <c r="Q14178" s="226"/>
      <c r="R14178" s="226"/>
      <c r="S14178" s="226"/>
      <c r="T14178" s="226"/>
      <c r="U14178" s="226"/>
    </row>
    <row r="14179" spans="16:21" x14ac:dyDescent="0.35">
      <c r="P14179" s="226"/>
      <c r="Q14179" s="226"/>
      <c r="R14179" s="226"/>
      <c r="S14179" s="226"/>
      <c r="T14179" s="226"/>
      <c r="U14179" s="226"/>
    </row>
    <row r="14180" spans="16:21" x14ac:dyDescent="0.35">
      <c r="P14180" s="226"/>
      <c r="Q14180" s="226"/>
      <c r="R14180" s="226"/>
      <c r="S14180" s="226"/>
      <c r="T14180" s="226"/>
      <c r="U14180" s="226"/>
    </row>
    <row r="14181" spans="16:21" x14ac:dyDescent="0.35">
      <c r="P14181" s="226"/>
      <c r="Q14181" s="226"/>
      <c r="R14181" s="226"/>
      <c r="S14181" s="226"/>
      <c r="T14181" s="226"/>
      <c r="U14181" s="226"/>
    </row>
    <row r="14182" spans="16:21" x14ac:dyDescent="0.35">
      <c r="P14182" s="226"/>
      <c r="Q14182" s="226"/>
      <c r="R14182" s="226"/>
      <c r="S14182" s="226"/>
      <c r="T14182" s="226"/>
      <c r="U14182" s="226"/>
    </row>
    <row r="14183" spans="16:21" x14ac:dyDescent="0.35">
      <c r="P14183" s="226"/>
      <c r="Q14183" s="226"/>
      <c r="R14183" s="226"/>
      <c r="S14183" s="226"/>
      <c r="T14183" s="226"/>
      <c r="U14183" s="226"/>
    </row>
    <row r="14184" spans="16:21" x14ac:dyDescent="0.35">
      <c r="P14184" s="226"/>
      <c r="Q14184" s="226"/>
      <c r="R14184" s="226"/>
      <c r="S14184" s="226"/>
      <c r="T14184" s="226"/>
      <c r="U14184" s="226"/>
    </row>
    <row r="14185" spans="16:21" x14ac:dyDescent="0.35">
      <c r="P14185" s="226"/>
      <c r="Q14185" s="226"/>
      <c r="R14185" s="226"/>
      <c r="S14185" s="226"/>
      <c r="T14185" s="226"/>
      <c r="U14185" s="226"/>
    </row>
    <row r="14186" spans="16:21" x14ac:dyDescent="0.35">
      <c r="P14186" s="226"/>
      <c r="Q14186" s="226"/>
      <c r="R14186" s="226"/>
      <c r="S14186" s="226"/>
      <c r="T14186" s="226"/>
      <c r="U14186" s="226"/>
    </row>
    <row r="14187" spans="16:21" x14ac:dyDescent="0.35">
      <c r="P14187" s="226"/>
      <c r="Q14187" s="226"/>
      <c r="R14187" s="226"/>
      <c r="S14187" s="226"/>
      <c r="T14187" s="226"/>
      <c r="U14187" s="226"/>
    </row>
    <row r="14188" spans="16:21" x14ac:dyDescent="0.35">
      <c r="P14188" s="226"/>
      <c r="Q14188" s="226"/>
      <c r="R14188" s="226"/>
      <c r="S14188" s="226"/>
      <c r="T14188" s="226"/>
      <c r="U14188" s="226"/>
    </row>
    <row r="14189" spans="16:21" x14ac:dyDescent="0.35">
      <c r="P14189" s="226"/>
      <c r="Q14189" s="226"/>
      <c r="R14189" s="226"/>
      <c r="S14189" s="226"/>
      <c r="T14189" s="226"/>
      <c r="U14189" s="226"/>
    </row>
    <row r="14190" spans="16:21" x14ac:dyDescent="0.35">
      <c r="P14190" s="226"/>
      <c r="Q14190" s="226"/>
      <c r="R14190" s="226"/>
      <c r="S14190" s="226"/>
      <c r="T14190" s="226"/>
      <c r="U14190" s="226"/>
    </row>
    <row r="14191" spans="16:21" x14ac:dyDescent="0.35">
      <c r="P14191" s="226"/>
      <c r="Q14191" s="226"/>
      <c r="R14191" s="226"/>
      <c r="S14191" s="226"/>
      <c r="T14191" s="226"/>
      <c r="U14191" s="226"/>
    </row>
    <row r="14192" spans="16:21" x14ac:dyDescent="0.35">
      <c r="P14192" s="226"/>
      <c r="Q14192" s="226"/>
      <c r="R14192" s="226"/>
      <c r="S14192" s="226"/>
      <c r="T14192" s="226"/>
      <c r="U14192" s="226"/>
    </row>
    <row r="14193" spans="16:21" x14ac:dyDescent="0.35">
      <c r="P14193" s="226"/>
      <c r="Q14193" s="226"/>
      <c r="R14193" s="226"/>
      <c r="S14193" s="226"/>
      <c r="T14193" s="226"/>
      <c r="U14193" s="226"/>
    </row>
    <row r="14194" spans="16:21" x14ac:dyDescent="0.35">
      <c r="P14194" s="226"/>
      <c r="Q14194" s="226"/>
      <c r="R14194" s="226"/>
      <c r="S14194" s="226"/>
      <c r="T14194" s="226"/>
      <c r="U14194" s="226"/>
    </row>
    <row r="14195" spans="16:21" x14ac:dyDescent="0.35">
      <c r="P14195" s="226"/>
      <c r="Q14195" s="226"/>
      <c r="R14195" s="226"/>
      <c r="S14195" s="226"/>
      <c r="T14195" s="226"/>
      <c r="U14195" s="226"/>
    </row>
    <row r="14196" spans="16:21" x14ac:dyDescent="0.35">
      <c r="P14196" s="226"/>
      <c r="Q14196" s="226"/>
      <c r="R14196" s="226"/>
      <c r="S14196" s="226"/>
      <c r="T14196" s="226"/>
      <c r="U14196" s="226"/>
    </row>
    <row r="14197" spans="16:21" x14ac:dyDescent="0.35">
      <c r="P14197" s="226"/>
      <c r="Q14197" s="226"/>
      <c r="R14197" s="226"/>
      <c r="S14197" s="226"/>
      <c r="T14197" s="226"/>
      <c r="U14197" s="226"/>
    </row>
    <row r="14198" spans="16:21" x14ac:dyDescent="0.35">
      <c r="P14198" s="226"/>
      <c r="Q14198" s="226"/>
      <c r="R14198" s="226"/>
      <c r="S14198" s="226"/>
      <c r="T14198" s="226"/>
      <c r="U14198" s="226"/>
    </row>
    <row r="14199" spans="16:21" x14ac:dyDescent="0.35">
      <c r="P14199" s="226"/>
      <c r="Q14199" s="226"/>
      <c r="R14199" s="226"/>
      <c r="S14199" s="226"/>
      <c r="T14199" s="226"/>
      <c r="U14199" s="226"/>
    </row>
    <row r="14200" spans="16:21" x14ac:dyDescent="0.35">
      <c r="P14200" s="226"/>
      <c r="Q14200" s="226"/>
      <c r="R14200" s="226"/>
      <c r="S14200" s="226"/>
      <c r="T14200" s="226"/>
      <c r="U14200" s="226"/>
    </row>
    <row r="14201" spans="16:21" x14ac:dyDescent="0.35">
      <c r="P14201" s="226"/>
      <c r="Q14201" s="226"/>
      <c r="R14201" s="226"/>
      <c r="S14201" s="226"/>
      <c r="T14201" s="226"/>
      <c r="U14201" s="226"/>
    </row>
    <row r="14202" spans="16:21" x14ac:dyDescent="0.35">
      <c r="P14202" s="226"/>
      <c r="Q14202" s="226"/>
      <c r="R14202" s="226"/>
      <c r="S14202" s="226"/>
      <c r="T14202" s="226"/>
      <c r="U14202" s="226"/>
    </row>
    <row r="14203" spans="16:21" x14ac:dyDescent="0.35">
      <c r="P14203" s="226"/>
      <c r="Q14203" s="226"/>
      <c r="R14203" s="226"/>
      <c r="S14203" s="226"/>
      <c r="T14203" s="226"/>
      <c r="U14203" s="226"/>
    </row>
    <row r="14204" spans="16:21" x14ac:dyDescent="0.35">
      <c r="P14204" s="226"/>
      <c r="Q14204" s="226"/>
      <c r="R14204" s="226"/>
      <c r="S14204" s="226"/>
      <c r="T14204" s="226"/>
      <c r="U14204" s="226"/>
    </row>
    <row r="14205" spans="16:21" x14ac:dyDescent="0.35">
      <c r="P14205" s="226"/>
      <c r="Q14205" s="226"/>
      <c r="R14205" s="226"/>
      <c r="S14205" s="226"/>
      <c r="T14205" s="226"/>
      <c r="U14205" s="226"/>
    </row>
    <row r="14206" spans="16:21" x14ac:dyDescent="0.35">
      <c r="P14206" s="226"/>
      <c r="Q14206" s="226"/>
      <c r="R14206" s="226"/>
      <c r="S14206" s="226"/>
      <c r="T14206" s="226"/>
      <c r="U14206" s="226"/>
    </row>
    <row r="14207" spans="16:21" x14ac:dyDescent="0.35">
      <c r="P14207" s="226"/>
      <c r="Q14207" s="226"/>
      <c r="R14207" s="226"/>
      <c r="S14207" s="226"/>
      <c r="T14207" s="226"/>
      <c r="U14207" s="226"/>
    </row>
    <row r="14208" spans="16:21" x14ac:dyDescent="0.35">
      <c r="P14208" s="226"/>
      <c r="Q14208" s="226"/>
      <c r="R14208" s="226"/>
      <c r="S14208" s="226"/>
      <c r="T14208" s="226"/>
      <c r="U14208" s="226"/>
    </row>
    <row r="14209" spans="16:21" x14ac:dyDescent="0.35">
      <c r="P14209" s="226"/>
      <c r="Q14209" s="226"/>
      <c r="R14209" s="226"/>
      <c r="S14209" s="226"/>
      <c r="T14209" s="226"/>
      <c r="U14209" s="226"/>
    </row>
    <row r="14210" spans="16:21" x14ac:dyDescent="0.35">
      <c r="P14210" s="226"/>
      <c r="Q14210" s="226"/>
      <c r="R14210" s="226"/>
      <c r="S14210" s="226"/>
      <c r="T14210" s="226"/>
      <c r="U14210" s="226"/>
    </row>
    <row r="14211" spans="16:21" x14ac:dyDescent="0.35">
      <c r="P14211" s="226"/>
      <c r="Q14211" s="226"/>
      <c r="R14211" s="226"/>
      <c r="S14211" s="226"/>
      <c r="T14211" s="226"/>
      <c r="U14211" s="226"/>
    </row>
    <row r="14212" spans="16:21" x14ac:dyDescent="0.35">
      <c r="P14212" s="226"/>
      <c r="Q14212" s="226"/>
      <c r="R14212" s="226"/>
      <c r="S14212" s="226"/>
      <c r="T14212" s="226"/>
      <c r="U14212" s="226"/>
    </row>
    <row r="14213" spans="16:21" x14ac:dyDescent="0.35">
      <c r="P14213" s="226"/>
      <c r="Q14213" s="226"/>
      <c r="R14213" s="226"/>
      <c r="S14213" s="226"/>
      <c r="T14213" s="226"/>
      <c r="U14213" s="226"/>
    </row>
    <row r="14214" spans="16:21" x14ac:dyDescent="0.35">
      <c r="P14214" s="226"/>
      <c r="Q14214" s="226"/>
      <c r="R14214" s="226"/>
      <c r="S14214" s="226"/>
      <c r="T14214" s="226"/>
      <c r="U14214" s="226"/>
    </row>
    <row r="14215" spans="16:21" x14ac:dyDescent="0.35">
      <c r="P14215" s="226"/>
      <c r="Q14215" s="226"/>
      <c r="R14215" s="226"/>
      <c r="S14215" s="226"/>
      <c r="T14215" s="226"/>
      <c r="U14215" s="226"/>
    </row>
    <row r="14216" spans="16:21" x14ac:dyDescent="0.35">
      <c r="P14216" s="226"/>
      <c r="Q14216" s="226"/>
      <c r="R14216" s="226"/>
      <c r="S14216" s="226"/>
      <c r="T14216" s="226"/>
      <c r="U14216" s="226"/>
    </row>
    <row r="14217" spans="16:21" x14ac:dyDescent="0.35">
      <c r="P14217" s="226"/>
      <c r="Q14217" s="226"/>
      <c r="R14217" s="226"/>
      <c r="S14217" s="226"/>
      <c r="T14217" s="226"/>
      <c r="U14217" s="226"/>
    </row>
    <row r="14218" spans="16:21" x14ac:dyDescent="0.35">
      <c r="P14218" s="226"/>
      <c r="Q14218" s="226"/>
      <c r="R14218" s="226"/>
      <c r="S14218" s="226"/>
      <c r="T14218" s="226"/>
      <c r="U14218" s="226"/>
    </row>
    <row r="14219" spans="16:21" x14ac:dyDescent="0.35">
      <c r="P14219" s="226"/>
      <c r="Q14219" s="226"/>
      <c r="R14219" s="226"/>
      <c r="S14219" s="226"/>
      <c r="T14219" s="226"/>
      <c r="U14219" s="226"/>
    </row>
    <row r="14220" spans="16:21" x14ac:dyDescent="0.35">
      <c r="P14220" s="226"/>
      <c r="Q14220" s="226"/>
      <c r="R14220" s="226"/>
      <c r="S14220" s="226"/>
      <c r="T14220" s="226"/>
      <c r="U14220" s="226"/>
    </row>
    <row r="14221" spans="16:21" x14ac:dyDescent="0.35">
      <c r="P14221" s="226"/>
      <c r="Q14221" s="226"/>
      <c r="R14221" s="226"/>
      <c r="S14221" s="226"/>
      <c r="T14221" s="226"/>
      <c r="U14221" s="226"/>
    </row>
    <row r="14222" spans="16:21" x14ac:dyDescent="0.35">
      <c r="P14222" s="226"/>
      <c r="Q14222" s="226"/>
      <c r="R14222" s="226"/>
      <c r="S14222" s="226"/>
      <c r="T14222" s="226"/>
      <c r="U14222" s="226"/>
    </row>
    <row r="14223" spans="16:21" x14ac:dyDescent="0.35">
      <c r="P14223" s="226"/>
      <c r="Q14223" s="226"/>
      <c r="R14223" s="226"/>
      <c r="S14223" s="226"/>
      <c r="T14223" s="226"/>
      <c r="U14223" s="226"/>
    </row>
    <row r="14224" spans="16:21" x14ac:dyDescent="0.35">
      <c r="P14224" s="226"/>
      <c r="Q14224" s="226"/>
      <c r="R14224" s="226"/>
      <c r="S14224" s="226"/>
      <c r="T14224" s="226"/>
      <c r="U14224" s="226"/>
    </row>
    <row r="14225" spans="16:21" x14ac:dyDescent="0.35">
      <c r="P14225" s="226"/>
      <c r="Q14225" s="226"/>
      <c r="R14225" s="226"/>
      <c r="S14225" s="226"/>
      <c r="T14225" s="226"/>
      <c r="U14225" s="226"/>
    </row>
    <row r="14226" spans="16:21" x14ac:dyDescent="0.35">
      <c r="P14226" s="226"/>
      <c r="Q14226" s="226"/>
      <c r="R14226" s="226"/>
      <c r="S14226" s="226"/>
      <c r="T14226" s="226"/>
      <c r="U14226" s="226"/>
    </row>
    <row r="14227" spans="16:21" x14ac:dyDescent="0.35">
      <c r="P14227" s="226"/>
      <c r="Q14227" s="226"/>
      <c r="R14227" s="226"/>
      <c r="S14227" s="226"/>
      <c r="T14227" s="226"/>
      <c r="U14227" s="226"/>
    </row>
    <row r="14228" spans="16:21" x14ac:dyDescent="0.35">
      <c r="P14228" s="226"/>
      <c r="Q14228" s="226"/>
      <c r="R14228" s="226"/>
      <c r="S14228" s="226"/>
      <c r="T14228" s="226"/>
      <c r="U14228" s="226"/>
    </row>
    <row r="14229" spans="16:21" x14ac:dyDescent="0.35">
      <c r="P14229" s="226"/>
      <c r="Q14229" s="226"/>
      <c r="R14229" s="226"/>
      <c r="S14229" s="226"/>
      <c r="T14229" s="226"/>
      <c r="U14229" s="226"/>
    </row>
    <row r="14230" spans="16:21" x14ac:dyDescent="0.35">
      <c r="P14230" s="226"/>
      <c r="Q14230" s="226"/>
      <c r="R14230" s="226"/>
      <c r="S14230" s="226"/>
      <c r="T14230" s="226"/>
      <c r="U14230" s="226"/>
    </row>
    <row r="14231" spans="16:21" x14ac:dyDescent="0.35">
      <c r="P14231" s="226"/>
      <c r="Q14231" s="226"/>
      <c r="R14231" s="226"/>
      <c r="S14231" s="226"/>
      <c r="T14231" s="226"/>
      <c r="U14231" s="226"/>
    </row>
    <row r="14232" spans="16:21" x14ac:dyDescent="0.35">
      <c r="P14232" s="226"/>
      <c r="Q14232" s="226"/>
      <c r="R14232" s="226"/>
      <c r="S14232" s="226"/>
      <c r="T14232" s="226"/>
      <c r="U14232" s="226"/>
    </row>
    <row r="14233" spans="16:21" x14ac:dyDescent="0.35">
      <c r="P14233" s="226"/>
      <c r="Q14233" s="226"/>
      <c r="R14233" s="226"/>
      <c r="S14233" s="226"/>
      <c r="T14233" s="226"/>
      <c r="U14233" s="226"/>
    </row>
    <row r="14234" spans="16:21" x14ac:dyDescent="0.35">
      <c r="P14234" s="226"/>
      <c r="Q14234" s="226"/>
      <c r="R14234" s="226"/>
      <c r="S14234" s="226"/>
      <c r="T14234" s="226"/>
      <c r="U14234" s="226"/>
    </row>
    <row r="14235" spans="16:21" x14ac:dyDescent="0.35">
      <c r="P14235" s="226"/>
      <c r="Q14235" s="226"/>
      <c r="R14235" s="226"/>
      <c r="S14235" s="226"/>
      <c r="T14235" s="226"/>
      <c r="U14235" s="226"/>
    </row>
    <row r="14236" spans="16:21" x14ac:dyDescent="0.35">
      <c r="P14236" s="226"/>
      <c r="Q14236" s="226"/>
      <c r="R14236" s="226"/>
      <c r="S14236" s="226"/>
      <c r="T14236" s="226"/>
      <c r="U14236" s="226"/>
    </row>
    <row r="14237" spans="16:21" x14ac:dyDescent="0.35">
      <c r="P14237" s="226"/>
      <c r="Q14237" s="226"/>
      <c r="R14237" s="226"/>
      <c r="S14237" s="226"/>
      <c r="T14237" s="226"/>
      <c r="U14237" s="226"/>
    </row>
    <row r="14238" spans="16:21" x14ac:dyDescent="0.35">
      <c r="P14238" s="226"/>
      <c r="Q14238" s="226"/>
      <c r="R14238" s="226"/>
      <c r="S14238" s="226"/>
      <c r="T14238" s="226"/>
      <c r="U14238" s="226"/>
    </row>
    <row r="14239" spans="16:21" x14ac:dyDescent="0.35">
      <c r="P14239" s="226"/>
      <c r="Q14239" s="226"/>
      <c r="R14239" s="226"/>
      <c r="S14239" s="226"/>
      <c r="T14239" s="226"/>
      <c r="U14239" s="226"/>
    </row>
    <row r="14240" spans="16:21" x14ac:dyDescent="0.35">
      <c r="P14240" s="226"/>
      <c r="Q14240" s="226"/>
      <c r="R14240" s="226"/>
      <c r="S14240" s="226"/>
      <c r="T14240" s="226"/>
      <c r="U14240" s="226"/>
    </row>
    <row r="14241" spans="16:21" x14ac:dyDescent="0.35">
      <c r="P14241" s="226"/>
      <c r="Q14241" s="226"/>
      <c r="R14241" s="226"/>
      <c r="S14241" s="226"/>
      <c r="T14241" s="226"/>
      <c r="U14241" s="226"/>
    </row>
    <row r="14242" spans="16:21" x14ac:dyDescent="0.35">
      <c r="P14242" s="226"/>
      <c r="Q14242" s="226"/>
      <c r="R14242" s="226"/>
      <c r="S14242" s="226"/>
      <c r="T14242" s="226"/>
      <c r="U14242" s="226"/>
    </row>
    <row r="14243" spans="16:21" x14ac:dyDescent="0.35">
      <c r="P14243" s="226"/>
      <c r="Q14243" s="226"/>
      <c r="R14243" s="226"/>
      <c r="S14243" s="226"/>
      <c r="T14243" s="226"/>
      <c r="U14243" s="226"/>
    </row>
    <row r="14244" spans="16:21" x14ac:dyDescent="0.35">
      <c r="P14244" s="226"/>
      <c r="Q14244" s="226"/>
      <c r="R14244" s="226"/>
      <c r="S14244" s="226"/>
      <c r="T14244" s="226"/>
      <c r="U14244" s="226"/>
    </row>
    <row r="14245" spans="16:21" x14ac:dyDescent="0.35">
      <c r="P14245" s="226"/>
      <c r="Q14245" s="226"/>
      <c r="R14245" s="226"/>
      <c r="S14245" s="226"/>
      <c r="T14245" s="226"/>
      <c r="U14245" s="226"/>
    </row>
    <row r="14246" spans="16:21" x14ac:dyDescent="0.35">
      <c r="P14246" s="226"/>
      <c r="Q14246" s="226"/>
      <c r="R14246" s="226"/>
      <c r="S14246" s="226"/>
      <c r="T14246" s="226"/>
      <c r="U14246" s="226"/>
    </row>
    <row r="14247" spans="16:21" x14ac:dyDescent="0.35">
      <c r="P14247" s="226"/>
      <c r="Q14247" s="226"/>
      <c r="R14247" s="226"/>
      <c r="S14247" s="226"/>
      <c r="T14247" s="226"/>
      <c r="U14247" s="226"/>
    </row>
    <row r="14248" spans="16:21" x14ac:dyDescent="0.35">
      <c r="P14248" s="226"/>
      <c r="Q14248" s="226"/>
      <c r="R14248" s="226"/>
      <c r="S14248" s="226"/>
      <c r="T14248" s="226"/>
      <c r="U14248" s="226"/>
    </row>
    <row r="14249" spans="16:21" x14ac:dyDescent="0.35">
      <c r="P14249" s="226"/>
      <c r="Q14249" s="226"/>
      <c r="R14249" s="226"/>
      <c r="S14249" s="226"/>
      <c r="T14249" s="226"/>
      <c r="U14249" s="226"/>
    </row>
    <row r="14250" spans="16:21" x14ac:dyDescent="0.35">
      <c r="P14250" s="226"/>
      <c r="Q14250" s="226"/>
      <c r="R14250" s="226"/>
      <c r="S14250" s="226"/>
      <c r="T14250" s="226"/>
      <c r="U14250" s="226"/>
    </row>
    <row r="14251" spans="16:21" x14ac:dyDescent="0.35">
      <c r="P14251" s="226"/>
      <c r="Q14251" s="226"/>
      <c r="R14251" s="226"/>
      <c r="S14251" s="226"/>
      <c r="T14251" s="226"/>
      <c r="U14251" s="226"/>
    </row>
    <row r="14252" spans="16:21" x14ac:dyDescent="0.35">
      <c r="P14252" s="226"/>
      <c r="Q14252" s="226"/>
      <c r="R14252" s="226"/>
      <c r="S14252" s="226"/>
      <c r="T14252" s="226"/>
      <c r="U14252" s="226"/>
    </row>
    <row r="14253" spans="16:21" x14ac:dyDescent="0.35">
      <c r="P14253" s="226"/>
      <c r="Q14253" s="226"/>
      <c r="R14253" s="226"/>
      <c r="S14253" s="226"/>
      <c r="T14253" s="226"/>
      <c r="U14253" s="226"/>
    </row>
    <row r="14254" spans="16:21" x14ac:dyDescent="0.35">
      <c r="P14254" s="226"/>
      <c r="Q14254" s="226"/>
      <c r="R14254" s="226"/>
      <c r="S14254" s="226"/>
      <c r="T14254" s="226"/>
      <c r="U14254" s="226"/>
    </row>
    <row r="14255" spans="16:21" x14ac:dyDescent="0.35">
      <c r="P14255" s="226"/>
      <c r="Q14255" s="226"/>
      <c r="R14255" s="226"/>
      <c r="S14255" s="226"/>
      <c r="T14255" s="226"/>
      <c r="U14255" s="226"/>
    </row>
    <row r="14256" spans="16:21" x14ac:dyDescent="0.35">
      <c r="P14256" s="226"/>
      <c r="Q14256" s="226"/>
      <c r="R14256" s="226"/>
      <c r="S14256" s="226"/>
      <c r="T14256" s="226"/>
      <c r="U14256" s="226"/>
    </row>
    <row r="14257" spans="16:21" x14ac:dyDescent="0.35">
      <c r="P14257" s="226"/>
      <c r="Q14257" s="226"/>
      <c r="R14257" s="226"/>
      <c r="S14257" s="226"/>
      <c r="T14257" s="226"/>
      <c r="U14257" s="226"/>
    </row>
    <row r="14258" spans="16:21" x14ac:dyDescent="0.35">
      <c r="P14258" s="226"/>
      <c r="Q14258" s="226"/>
      <c r="R14258" s="226"/>
      <c r="S14258" s="226"/>
      <c r="T14258" s="226"/>
      <c r="U14258" s="226"/>
    </row>
    <row r="14259" spans="16:21" x14ac:dyDescent="0.35">
      <c r="P14259" s="226"/>
      <c r="Q14259" s="226"/>
      <c r="R14259" s="226"/>
      <c r="S14259" s="226"/>
      <c r="T14259" s="226"/>
      <c r="U14259" s="226"/>
    </row>
    <row r="14260" spans="16:21" x14ac:dyDescent="0.35">
      <c r="P14260" s="226"/>
      <c r="Q14260" s="226"/>
      <c r="R14260" s="226"/>
      <c r="S14260" s="226"/>
      <c r="T14260" s="226"/>
      <c r="U14260" s="226"/>
    </row>
    <row r="14261" spans="16:21" x14ac:dyDescent="0.35">
      <c r="P14261" s="226"/>
      <c r="Q14261" s="226"/>
      <c r="R14261" s="226"/>
      <c r="S14261" s="226"/>
      <c r="T14261" s="226"/>
      <c r="U14261" s="226"/>
    </row>
    <row r="14262" spans="16:21" x14ac:dyDescent="0.35">
      <c r="P14262" s="226"/>
      <c r="Q14262" s="226"/>
      <c r="R14262" s="226"/>
      <c r="S14262" s="226"/>
      <c r="T14262" s="226"/>
      <c r="U14262" s="226"/>
    </row>
    <row r="14263" spans="16:21" x14ac:dyDescent="0.35">
      <c r="P14263" s="226"/>
      <c r="Q14263" s="226"/>
      <c r="R14263" s="226"/>
      <c r="S14263" s="226"/>
      <c r="T14263" s="226"/>
      <c r="U14263" s="226"/>
    </row>
    <row r="14264" spans="16:21" x14ac:dyDescent="0.35">
      <c r="P14264" s="226"/>
      <c r="Q14264" s="226"/>
      <c r="R14264" s="226"/>
      <c r="S14264" s="226"/>
      <c r="T14264" s="226"/>
      <c r="U14264" s="226"/>
    </row>
    <row r="14265" spans="16:21" x14ac:dyDescent="0.35">
      <c r="P14265" s="226"/>
      <c r="Q14265" s="226"/>
      <c r="R14265" s="226"/>
      <c r="S14265" s="226"/>
      <c r="T14265" s="226"/>
      <c r="U14265" s="226"/>
    </row>
    <row r="14266" spans="16:21" x14ac:dyDescent="0.35">
      <c r="P14266" s="226"/>
      <c r="Q14266" s="226"/>
      <c r="R14266" s="226"/>
      <c r="S14266" s="226"/>
      <c r="T14266" s="226"/>
      <c r="U14266" s="226"/>
    </row>
    <row r="14267" spans="16:21" x14ac:dyDescent="0.35">
      <c r="P14267" s="226"/>
      <c r="Q14267" s="226"/>
      <c r="R14267" s="226"/>
      <c r="S14267" s="226"/>
      <c r="T14267" s="226"/>
      <c r="U14267" s="226"/>
    </row>
    <row r="14268" spans="16:21" x14ac:dyDescent="0.35">
      <c r="P14268" s="226"/>
      <c r="Q14268" s="226"/>
      <c r="R14268" s="226"/>
      <c r="S14268" s="226"/>
      <c r="T14268" s="226"/>
      <c r="U14268" s="226"/>
    </row>
    <row r="14269" spans="16:21" x14ac:dyDescent="0.35">
      <c r="P14269" s="226"/>
      <c r="Q14269" s="226"/>
      <c r="R14269" s="226"/>
      <c r="S14269" s="226"/>
      <c r="T14269" s="226"/>
      <c r="U14269" s="226"/>
    </row>
    <row r="14270" spans="16:21" x14ac:dyDescent="0.35">
      <c r="P14270" s="226"/>
      <c r="Q14270" s="226"/>
      <c r="R14270" s="226"/>
      <c r="S14270" s="226"/>
      <c r="T14270" s="226"/>
      <c r="U14270" s="226"/>
    </row>
    <row r="14271" spans="16:21" x14ac:dyDescent="0.35">
      <c r="P14271" s="226"/>
      <c r="Q14271" s="226"/>
      <c r="R14271" s="226"/>
      <c r="S14271" s="226"/>
      <c r="T14271" s="226"/>
      <c r="U14271" s="226"/>
    </row>
    <row r="14272" spans="16:21" x14ac:dyDescent="0.35">
      <c r="P14272" s="226"/>
      <c r="Q14272" s="226"/>
      <c r="R14272" s="226"/>
      <c r="S14272" s="226"/>
      <c r="T14272" s="226"/>
      <c r="U14272" s="226"/>
    </row>
    <row r="14273" spans="16:21" x14ac:dyDescent="0.35">
      <c r="P14273" s="226"/>
      <c r="Q14273" s="226"/>
      <c r="R14273" s="226"/>
      <c r="S14273" s="226"/>
      <c r="T14273" s="226"/>
      <c r="U14273" s="226"/>
    </row>
    <row r="14274" spans="16:21" x14ac:dyDescent="0.35">
      <c r="P14274" s="226"/>
      <c r="Q14274" s="226"/>
      <c r="R14274" s="226"/>
      <c r="S14274" s="226"/>
      <c r="T14274" s="226"/>
      <c r="U14274" s="226"/>
    </row>
    <row r="14275" spans="16:21" x14ac:dyDescent="0.35">
      <c r="P14275" s="226"/>
      <c r="Q14275" s="226"/>
      <c r="R14275" s="226"/>
      <c r="S14275" s="226"/>
      <c r="T14275" s="226"/>
      <c r="U14275" s="226"/>
    </row>
    <row r="14276" spans="16:21" x14ac:dyDescent="0.35">
      <c r="P14276" s="226"/>
      <c r="Q14276" s="226"/>
      <c r="R14276" s="226"/>
      <c r="S14276" s="226"/>
      <c r="T14276" s="226"/>
      <c r="U14276" s="226"/>
    </row>
    <row r="14277" spans="16:21" x14ac:dyDescent="0.35">
      <c r="P14277" s="226"/>
      <c r="Q14277" s="226"/>
      <c r="R14277" s="226"/>
      <c r="S14277" s="226"/>
      <c r="T14277" s="226"/>
      <c r="U14277" s="226"/>
    </row>
    <row r="14278" spans="16:21" x14ac:dyDescent="0.35">
      <c r="P14278" s="226"/>
      <c r="Q14278" s="226"/>
      <c r="R14278" s="226"/>
      <c r="S14278" s="226"/>
      <c r="T14278" s="226"/>
      <c r="U14278" s="226"/>
    </row>
    <row r="14279" spans="16:21" x14ac:dyDescent="0.35">
      <c r="P14279" s="226"/>
      <c r="Q14279" s="226"/>
      <c r="R14279" s="226"/>
      <c r="S14279" s="226"/>
      <c r="T14279" s="226"/>
      <c r="U14279" s="226"/>
    </row>
    <row r="14280" spans="16:21" x14ac:dyDescent="0.35">
      <c r="P14280" s="226"/>
      <c r="Q14280" s="226"/>
      <c r="R14280" s="226"/>
      <c r="S14280" s="226"/>
      <c r="T14280" s="226"/>
      <c r="U14280" s="226"/>
    </row>
    <row r="14281" spans="16:21" x14ac:dyDescent="0.35">
      <c r="P14281" s="226"/>
      <c r="Q14281" s="226"/>
      <c r="R14281" s="226"/>
      <c r="S14281" s="226"/>
      <c r="T14281" s="226"/>
      <c r="U14281" s="226"/>
    </row>
    <row r="14282" spans="16:21" x14ac:dyDescent="0.35">
      <c r="P14282" s="226"/>
      <c r="Q14282" s="226"/>
      <c r="R14282" s="226"/>
      <c r="S14282" s="226"/>
      <c r="T14282" s="226"/>
      <c r="U14282" s="226"/>
    </row>
    <row r="14283" spans="16:21" x14ac:dyDescent="0.35">
      <c r="P14283" s="226"/>
      <c r="Q14283" s="226"/>
      <c r="R14283" s="226"/>
      <c r="S14283" s="226"/>
      <c r="T14283" s="226"/>
      <c r="U14283" s="226"/>
    </row>
    <row r="14284" spans="16:21" x14ac:dyDescent="0.35">
      <c r="P14284" s="226"/>
      <c r="Q14284" s="226"/>
      <c r="R14284" s="226"/>
      <c r="S14284" s="226"/>
      <c r="T14284" s="226"/>
      <c r="U14284" s="226"/>
    </row>
    <row r="14285" spans="16:21" x14ac:dyDescent="0.35">
      <c r="P14285" s="226"/>
      <c r="Q14285" s="226"/>
      <c r="R14285" s="226"/>
      <c r="S14285" s="226"/>
      <c r="T14285" s="226"/>
      <c r="U14285" s="226"/>
    </row>
    <row r="14286" spans="16:21" x14ac:dyDescent="0.35">
      <c r="P14286" s="226"/>
      <c r="Q14286" s="226"/>
      <c r="R14286" s="226"/>
      <c r="S14286" s="226"/>
      <c r="T14286" s="226"/>
      <c r="U14286" s="226"/>
    </row>
    <row r="14287" spans="16:21" x14ac:dyDescent="0.35">
      <c r="P14287" s="226"/>
      <c r="Q14287" s="226"/>
      <c r="R14287" s="226"/>
      <c r="S14287" s="226"/>
      <c r="T14287" s="226"/>
      <c r="U14287" s="226"/>
    </row>
    <row r="14288" spans="16:21" x14ac:dyDescent="0.35">
      <c r="P14288" s="226"/>
      <c r="Q14288" s="226"/>
      <c r="R14288" s="226"/>
      <c r="S14288" s="226"/>
      <c r="T14288" s="226"/>
      <c r="U14288" s="226"/>
    </row>
    <row r="14289" spans="16:21" x14ac:dyDescent="0.35">
      <c r="P14289" s="226"/>
      <c r="Q14289" s="226"/>
      <c r="R14289" s="226"/>
      <c r="S14289" s="226"/>
      <c r="T14289" s="226"/>
      <c r="U14289" s="226"/>
    </row>
    <row r="14290" spans="16:21" x14ac:dyDescent="0.35">
      <c r="P14290" s="226"/>
      <c r="Q14290" s="226"/>
      <c r="R14290" s="226"/>
      <c r="S14290" s="226"/>
      <c r="T14290" s="226"/>
      <c r="U14290" s="226"/>
    </row>
    <row r="14291" spans="16:21" x14ac:dyDescent="0.35">
      <c r="P14291" s="226"/>
      <c r="Q14291" s="226"/>
      <c r="R14291" s="226"/>
      <c r="S14291" s="226"/>
      <c r="T14291" s="226"/>
      <c r="U14291" s="226"/>
    </row>
    <row r="14292" spans="16:21" x14ac:dyDescent="0.35">
      <c r="P14292" s="226"/>
      <c r="Q14292" s="226"/>
      <c r="R14292" s="226"/>
      <c r="S14292" s="226"/>
      <c r="T14292" s="226"/>
      <c r="U14292" s="226"/>
    </row>
    <row r="14293" spans="16:21" x14ac:dyDescent="0.35">
      <c r="P14293" s="226"/>
      <c r="Q14293" s="226"/>
      <c r="R14293" s="226"/>
      <c r="S14293" s="226"/>
      <c r="T14293" s="226"/>
      <c r="U14293" s="226"/>
    </row>
    <row r="14294" spans="16:21" x14ac:dyDescent="0.35">
      <c r="P14294" s="226"/>
      <c r="Q14294" s="226"/>
      <c r="R14294" s="226"/>
      <c r="S14294" s="226"/>
      <c r="T14294" s="226"/>
      <c r="U14294" s="226"/>
    </row>
    <row r="14295" spans="16:21" x14ac:dyDescent="0.35">
      <c r="P14295" s="226"/>
      <c r="Q14295" s="226"/>
      <c r="R14295" s="226"/>
      <c r="S14295" s="226"/>
      <c r="T14295" s="226"/>
      <c r="U14295" s="226"/>
    </row>
    <row r="14296" spans="16:21" x14ac:dyDescent="0.35">
      <c r="P14296" s="226"/>
      <c r="Q14296" s="226"/>
      <c r="R14296" s="226"/>
      <c r="S14296" s="226"/>
      <c r="T14296" s="226"/>
      <c r="U14296" s="226"/>
    </row>
    <row r="14297" spans="16:21" x14ac:dyDescent="0.35">
      <c r="P14297" s="226"/>
      <c r="Q14297" s="226"/>
      <c r="R14297" s="226"/>
      <c r="S14297" s="226"/>
      <c r="T14297" s="226"/>
      <c r="U14297" s="226"/>
    </row>
    <row r="14298" spans="16:21" x14ac:dyDescent="0.35">
      <c r="P14298" s="226"/>
      <c r="Q14298" s="226"/>
      <c r="R14298" s="226"/>
      <c r="S14298" s="226"/>
      <c r="T14298" s="226"/>
      <c r="U14298" s="226"/>
    </row>
    <row r="14299" spans="16:21" x14ac:dyDescent="0.35">
      <c r="P14299" s="226"/>
      <c r="Q14299" s="226"/>
      <c r="R14299" s="226"/>
      <c r="S14299" s="226"/>
      <c r="T14299" s="226"/>
      <c r="U14299" s="226"/>
    </row>
    <row r="14300" spans="16:21" x14ac:dyDescent="0.35">
      <c r="P14300" s="226"/>
      <c r="Q14300" s="226"/>
      <c r="R14300" s="226"/>
      <c r="S14300" s="226"/>
      <c r="T14300" s="226"/>
      <c r="U14300" s="226"/>
    </row>
    <row r="14301" spans="16:21" x14ac:dyDescent="0.35">
      <c r="P14301" s="226"/>
      <c r="Q14301" s="226"/>
      <c r="R14301" s="226"/>
      <c r="S14301" s="226"/>
      <c r="T14301" s="226"/>
      <c r="U14301" s="226"/>
    </row>
    <row r="14302" spans="16:21" x14ac:dyDescent="0.35">
      <c r="P14302" s="226"/>
      <c r="Q14302" s="226"/>
      <c r="R14302" s="226"/>
      <c r="S14302" s="226"/>
      <c r="T14302" s="226"/>
      <c r="U14302" s="226"/>
    </row>
    <row r="14303" spans="16:21" x14ac:dyDescent="0.35">
      <c r="P14303" s="226"/>
      <c r="Q14303" s="226"/>
      <c r="R14303" s="226"/>
      <c r="S14303" s="226"/>
      <c r="T14303" s="226"/>
      <c r="U14303" s="226"/>
    </row>
    <row r="14304" spans="16:21" x14ac:dyDescent="0.35">
      <c r="P14304" s="226"/>
      <c r="Q14304" s="226"/>
      <c r="R14304" s="226"/>
      <c r="S14304" s="226"/>
      <c r="T14304" s="226"/>
      <c r="U14304" s="226"/>
    </row>
    <row r="14305" spans="16:21" x14ac:dyDescent="0.35">
      <c r="P14305" s="226"/>
      <c r="Q14305" s="226"/>
      <c r="R14305" s="226"/>
      <c r="S14305" s="226"/>
      <c r="T14305" s="226"/>
      <c r="U14305" s="226"/>
    </row>
    <row r="14306" spans="16:21" x14ac:dyDescent="0.35">
      <c r="P14306" s="226"/>
      <c r="Q14306" s="226"/>
      <c r="R14306" s="226"/>
      <c r="S14306" s="226"/>
      <c r="T14306" s="226"/>
      <c r="U14306" s="226"/>
    </row>
    <row r="14307" spans="16:21" x14ac:dyDescent="0.35">
      <c r="P14307" s="226"/>
      <c r="Q14307" s="226"/>
      <c r="R14307" s="226"/>
      <c r="S14307" s="226"/>
      <c r="T14307" s="226"/>
      <c r="U14307" s="226"/>
    </row>
    <row r="14308" spans="16:21" x14ac:dyDescent="0.35">
      <c r="P14308" s="226"/>
      <c r="Q14308" s="226"/>
      <c r="R14308" s="226"/>
      <c r="S14308" s="226"/>
      <c r="T14308" s="226"/>
      <c r="U14308" s="226"/>
    </row>
    <row r="14309" spans="16:21" x14ac:dyDescent="0.35">
      <c r="P14309" s="226"/>
      <c r="Q14309" s="226"/>
      <c r="R14309" s="226"/>
      <c r="S14309" s="226"/>
      <c r="T14309" s="226"/>
      <c r="U14309" s="226"/>
    </row>
    <row r="14310" spans="16:21" x14ac:dyDescent="0.35">
      <c r="P14310" s="226"/>
      <c r="Q14310" s="226"/>
      <c r="R14310" s="226"/>
      <c r="S14310" s="226"/>
      <c r="T14310" s="226"/>
      <c r="U14310" s="226"/>
    </row>
    <row r="14311" spans="16:21" x14ac:dyDescent="0.35">
      <c r="P14311" s="226"/>
      <c r="Q14311" s="226"/>
      <c r="R14311" s="226"/>
      <c r="S14311" s="226"/>
      <c r="T14311" s="226"/>
      <c r="U14311" s="226"/>
    </row>
    <row r="14312" spans="16:21" x14ac:dyDescent="0.35">
      <c r="P14312" s="226"/>
      <c r="Q14312" s="226"/>
      <c r="R14312" s="226"/>
      <c r="S14312" s="226"/>
      <c r="T14312" s="226"/>
      <c r="U14312" s="226"/>
    </row>
    <row r="14313" spans="16:21" x14ac:dyDescent="0.35">
      <c r="P14313" s="226"/>
      <c r="Q14313" s="226"/>
      <c r="R14313" s="226"/>
      <c r="S14313" s="226"/>
      <c r="T14313" s="226"/>
      <c r="U14313" s="226"/>
    </row>
    <row r="14314" spans="16:21" x14ac:dyDescent="0.35">
      <c r="P14314" s="226"/>
      <c r="Q14314" s="226"/>
      <c r="R14314" s="226"/>
      <c r="S14314" s="226"/>
      <c r="T14314" s="226"/>
      <c r="U14314" s="226"/>
    </row>
    <row r="14315" spans="16:21" x14ac:dyDescent="0.35">
      <c r="P14315" s="226"/>
      <c r="Q14315" s="226"/>
      <c r="R14315" s="226"/>
      <c r="S14315" s="226"/>
      <c r="T14315" s="226"/>
      <c r="U14315" s="226"/>
    </row>
    <row r="14316" spans="16:21" x14ac:dyDescent="0.35">
      <c r="P14316" s="226"/>
      <c r="Q14316" s="226"/>
      <c r="R14316" s="226"/>
      <c r="S14316" s="226"/>
      <c r="T14316" s="226"/>
      <c r="U14316" s="226"/>
    </row>
    <row r="14317" spans="16:21" x14ac:dyDescent="0.35">
      <c r="P14317" s="226"/>
      <c r="Q14317" s="226"/>
      <c r="R14317" s="226"/>
      <c r="S14317" s="226"/>
      <c r="T14317" s="226"/>
      <c r="U14317" s="226"/>
    </row>
    <row r="14318" spans="16:21" x14ac:dyDescent="0.35">
      <c r="P14318" s="226"/>
      <c r="Q14318" s="226"/>
      <c r="R14318" s="226"/>
      <c r="S14318" s="226"/>
      <c r="T14318" s="226"/>
      <c r="U14318" s="226"/>
    </row>
    <row r="14319" spans="16:21" x14ac:dyDescent="0.35">
      <c r="P14319" s="226"/>
      <c r="Q14319" s="226"/>
      <c r="R14319" s="226"/>
      <c r="S14319" s="226"/>
      <c r="T14319" s="226"/>
      <c r="U14319" s="226"/>
    </row>
    <row r="14320" spans="16:21" x14ac:dyDescent="0.35">
      <c r="P14320" s="226"/>
      <c r="Q14320" s="226"/>
      <c r="R14320" s="226"/>
      <c r="S14320" s="226"/>
      <c r="T14320" s="226"/>
      <c r="U14320" s="226"/>
    </row>
    <row r="14321" spans="16:21" x14ac:dyDescent="0.35">
      <c r="P14321" s="226"/>
      <c r="Q14321" s="226"/>
      <c r="R14321" s="226"/>
      <c r="S14321" s="226"/>
      <c r="T14321" s="226"/>
      <c r="U14321" s="226"/>
    </row>
    <row r="14322" spans="16:21" x14ac:dyDescent="0.35">
      <c r="P14322" s="226"/>
      <c r="Q14322" s="226"/>
      <c r="R14322" s="226"/>
      <c r="S14322" s="226"/>
      <c r="T14322" s="226"/>
      <c r="U14322" s="226"/>
    </row>
    <row r="14323" spans="16:21" x14ac:dyDescent="0.35">
      <c r="P14323" s="226"/>
      <c r="Q14323" s="226"/>
      <c r="R14323" s="226"/>
      <c r="S14323" s="226"/>
      <c r="T14323" s="226"/>
      <c r="U14323" s="226"/>
    </row>
    <row r="14324" spans="16:21" x14ac:dyDescent="0.35">
      <c r="P14324" s="226"/>
      <c r="Q14324" s="226"/>
      <c r="R14324" s="226"/>
      <c r="S14324" s="226"/>
      <c r="T14324" s="226"/>
      <c r="U14324" s="226"/>
    </row>
    <row r="14325" spans="16:21" x14ac:dyDescent="0.35">
      <c r="P14325" s="226"/>
      <c r="Q14325" s="226"/>
      <c r="R14325" s="226"/>
      <c r="S14325" s="226"/>
      <c r="T14325" s="226"/>
      <c r="U14325" s="226"/>
    </row>
    <row r="14326" spans="16:21" x14ac:dyDescent="0.35">
      <c r="P14326" s="226"/>
      <c r="Q14326" s="226"/>
      <c r="R14326" s="226"/>
      <c r="S14326" s="226"/>
      <c r="T14326" s="226"/>
      <c r="U14326" s="226"/>
    </row>
    <row r="14327" spans="16:21" x14ac:dyDescent="0.35">
      <c r="P14327" s="226"/>
      <c r="Q14327" s="226"/>
      <c r="R14327" s="226"/>
      <c r="S14327" s="226"/>
      <c r="T14327" s="226"/>
      <c r="U14327" s="226"/>
    </row>
    <row r="14328" spans="16:21" x14ac:dyDescent="0.35">
      <c r="P14328" s="226"/>
      <c r="Q14328" s="226"/>
      <c r="R14328" s="226"/>
      <c r="S14328" s="226"/>
      <c r="T14328" s="226"/>
      <c r="U14328" s="226"/>
    </row>
    <row r="14329" spans="16:21" x14ac:dyDescent="0.35">
      <c r="P14329" s="226"/>
      <c r="Q14329" s="226"/>
      <c r="R14329" s="226"/>
      <c r="S14329" s="226"/>
      <c r="T14329" s="226"/>
      <c r="U14329" s="226"/>
    </row>
    <row r="14330" spans="16:21" x14ac:dyDescent="0.35">
      <c r="P14330" s="226"/>
      <c r="Q14330" s="226"/>
      <c r="R14330" s="226"/>
      <c r="S14330" s="226"/>
      <c r="T14330" s="226"/>
      <c r="U14330" s="226"/>
    </row>
    <row r="14331" spans="16:21" x14ac:dyDescent="0.35">
      <c r="P14331" s="226"/>
      <c r="Q14331" s="226"/>
      <c r="R14331" s="226"/>
      <c r="S14331" s="226"/>
      <c r="T14331" s="226"/>
      <c r="U14331" s="226"/>
    </row>
    <row r="14332" spans="16:21" x14ac:dyDescent="0.35">
      <c r="P14332" s="226"/>
      <c r="Q14332" s="226"/>
      <c r="R14332" s="226"/>
      <c r="S14332" s="226"/>
      <c r="T14332" s="226"/>
      <c r="U14332" s="226"/>
    </row>
    <row r="14333" spans="16:21" x14ac:dyDescent="0.35">
      <c r="P14333" s="226"/>
      <c r="Q14333" s="226"/>
      <c r="R14333" s="226"/>
      <c r="S14333" s="226"/>
      <c r="T14333" s="226"/>
      <c r="U14333" s="226"/>
    </row>
    <row r="14334" spans="16:21" x14ac:dyDescent="0.35">
      <c r="P14334" s="226"/>
      <c r="Q14334" s="226"/>
      <c r="R14334" s="226"/>
      <c r="S14334" s="226"/>
      <c r="T14334" s="226"/>
      <c r="U14334" s="226"/>
    </row>
    <row r="14335" spans="16:21" x14ac:dyDescent="0.35">
      <c r="P14335" s="226"/>
      <c r="Q14335" s="226"/>
      <c r="R14335" s="226"/>
      <c r="S14335" s="226"/>
      <c r="T14335" s="226"/>
      <c r="U14335" s="226"/>
    </row>
    <row r="14336" spans="16:21" x14ac:dyDescent="0.35">
      <c r="P14336" s="226"/>
      <c r="Q14336" s="226"/>
      <c r="R14336" s="226"/>
      <c r="S14336" s="226"/>
      <c r="T14336" s="226"/>
      <c r="U14336" s="226"/>
    </row>
    <row r="14337" spans="16:21" x14ac:dyDescent="0.35">
      <c r="P14337" s="226"/>
      <c r="Q14337" s="226"/>
      <c r="R14337" s="226"/>
      <c r="S14337" s="226"/>
      <c r="T14337" s="226"/>
      <c r="U14337" s="226"/>
    </row>
    <row r="14338" spans="16:21" x14ac:dyDescent="0.35">
      <c r="P14338" s="226"/>
      <c r="Q14338" s="226"/>
      <c r="R14338" s="226"/>
      <c r="S14338" s="226"/>
      <c r="T14338" s="226"/>
      <c r="U14338" s="226"/>
    </row>
    <row r="14339" spans="16:21" x14ac:dyDescent="0.35">
      <c r="P14339" s="226"/>
      <c r="Q14339" s="226"/>
      <c r="R14339" s="226"/>
      <c r="S14339" s="226"/>
      <c r="T14339" s="226"/>
      <c r="U14339" s="226"/>
    </row>
    <row r="14340" spans="16:21" x14ac:dyDescent="0.35">
      <c r="P14340" s="226"/>
      <c r="Q14340" s="226"/>
      <c r="R14340" s="226"/>
      <c r="S14340" s="226"/>
      <c r="T14340" s="226"/>
      <c r="U14340" s="226"/>
    </row>
    <row r="14341" spans="16:21" x14ac:dyDescent="0.35">
      <c r="P14341" s="226"/>
      <c r="Q14341" s="226"/>
      <c r="R14341" s="226"/>
      <c r="S14341" s="226"/>
      <c r="T14341" s="226"/>
      <c r="U14341" s="226"/>
    </row>
    <row r="14342" spans="16:21" x14ac:dyDescent="0.35">
      <c r="P14342" s="226"/>
      <c r="Q14342" s="226"/>
      <c r="R14342" s="226"/>
      <c r="S14342" s="226"/>
      <c r="T14342" s="226"/>
      <c r="U14342" s="226"/>
    </row>
    <row r="14343" spans="16:21" x14ac:dyDescent="0.35">
      <c r="P14343" s="226"/>
      <c r="Q14343" s="226"/>
      <c r="R14343" s="226"/>
      <c r="S14343" s="226"/>
      <c r="T14343" s="226"/>
      <c r="U14343" s="226"/>
    </row>
    <row r="14344" spans="16:21" x14ac:dyDescent="0.35">
      <c r="P14344" s="226"/>
      <c r="Q14344" s="226"/>
      <c r="R14344" s="226"/>
      <c r="S14344" s="226"/>
      <c r="T14344" s="226"/>
      <c r="U14344" s="226"/>
    </row>
    <row r="14345" spans="16:21" x14ac:dyDescent="0.35">
      <c r="P14345" s="226"/>
      <c r="Q14345" s="226"/>
      <c r="R14345" s="226"/>
      <c r="S14345" s="226"/>
      <c r="T14345" s="226"/>
      <c r="U14345" s="226"/>
    </row>
    <row r="14346" spans="16:21" x14ac:dyDescent="0.35">
      <c r="P14346" s="226"/>
      <c r="Q14346" s="226"/>
      <c r="R14346" s="226"/>
      <c r="S14346" s="226"/>
      <c r="T14346" s="226"/>
      <c r="U14346" s="226"/>
    </row>
    <row r="14347" spans="16:21" x14ac:dyDescent="0.35">
      <c r="P14347" s="226"/>
      <c r="Q14347" s="226"/>
      <c r="R14347" s="226"/>
      <c r="S14347" s="226"/>
      <c r="T14347" s="226"/>
      <c r="U14347" s="226"/>
    </row>
    <row r="14348" spans="16:21" x14ac:dyDescent="0.35">
      <c r="P14348" s="226"/>
      <c r="Q14348" s="226"/>
      <c r="R14348" s="226"/>
      <c r="S14348" s="226"/>
      <c r="T14348" s="226"/>
      <c r="U14348" s="226"/>
    </row>
    <row r="14349" spans="16:21" x14ac:dyDescent="0.35">
      <c r="P14349" s="226"/>
      <c r="Q14349" s="226"/>
      <c r="R14349" s="226"/>
      <c r="S14349" s="226"/>
      <c r="T14349" s="226"/>
      <c r="U14349" s="226"/>
    </row>
    <row r="14350" spans="16:21" x14ac:dyDescent="0.35">
      <c r="P14350" s="226"/>
      <c r="Q14350" s="226"/>
      <c r="R14350" s="226"/>
      <c r="S14350" s="226"/>
      <c r="T14350" s="226"/>
      <c r="U14350" s="226"/>
    </row>
    <row r="14351" spans="16:21" x14ac:dyDescent="0.35">
      <c r="P14351" s="226"/>
      <c r="Q14351" s="226"/>
      <c r="R14351" s="226"/>
      <c r="S14351" s="226"/>
      <c r="T14351" s="226"/>
      <c r="U14351" s="226"/>
    </row>
    <row r="14352" spans="16:21" x14ac:dyDescent="0.35">
      <c r="P14352" s="226"/>
      <c r="Q14352" s="226"/>
      <c r="R14352" s="226"/>
      <c r="S14352" s="226"/>
      <c r="T14352" s="226"/>
      <c r="U14352" s="226"/>
    </row>
    <row r="14353" spans="16:21" x14ac:dyDescent="0.35">
      <c r="P14353" s="226"/>
      <c r="Q14353" s="226"/>
      <c r="R14353" s="226"/>
      <c r="S14353" s="226"/>
      <c r="T14353" s="226"/>
      <c r="U14353" s="226"/>
    </row>
    <row r="14354" spans="16:21" x14ac:dyDescent="0.35">
      <c r="P14354" s="226"/>
      <c r="Q14354" s="226"/>
      <c r="R14354" s="226"/>
      <c r="S14354" s="226"/>
      <c r="T14354" s="226"/>
      <c r="U14354" s="226"/>
    </row>
    <row r="14355" spans="16:21" x14ac:dyDescent="0.35">
      <c r="P14355" s="226"/>
      <c r="Q14355" s="226"/>
      <c r="R14355" s="226"/>
      <c r="S14355" s="226"/>
      <c r="T14355" s="226"/>
      <c r="U14355" s="226"/>
    </row>
    <row r="14356" spans="16:21" x14ac:dyDescent="0.35">
      <c r="P14356" s="226"/>
      <c r="Q14356" s="226"/>
      <c r="R14356" s="226"/>
      <c r="S14356" s="226"/>
      <c r="T14356" s="226"/>
      <c r="U14356" s="226"/>
    </row>
    <row r="14357" spans="16:21" x14ac:dyDescent="0.35">
      <c r="P14357" s="226"/>
      <c r="Q14357" s="226"/>
      <c r="R14357" s="226"/>
      <c r="S14357" s="226"/>
      <c r="T14357" s="226"/>
      <c r="U14357" s="226"/>
    </row>
    <row r="14358" spans="16:21" x14ac:dyDescent="0.35">
      <c r="P14358" s="226"/>
      <c r="Q14358" s="226"/>
      <c r="R14358" s="226"/>
      <c r="S14358" s="226"/>
      <c r="T14358" s="226"/>
      <c r="U14358" s="226"/>
    </row>
    <row r="14359" spans="16:21" x14ac:dyDescent="0.35">
      <c r="P14359" s="226"/>
      <c r="Q14359" s="226"/>
      <c r="R14359" s="226"/>
      <c r="S14359" s="226"/>
      <c r="T14359" s="226"/>
      <c r="U14359" s="226"/>
    </row>
    <row r="14360" spans="16:21" x14ac:dyDescent="0.35">
      <c r="P14360" s="226"/>
      <c r="Q14360" s="226"/>
      <c r="R14360" s="226"/>
      <c r="S14360" s="226"/>
      <c r="T14360" s="226"/>
      <c r="U14360" s="226"/>
    </row>
    <row r="14361" spans="16:21" x14ac:dyDescent="0.35">
      <c r="P14361" s="226"/>
      <c r="Q14361" s="226"/>
      <c r="R14361" s="226"/>
      <c r="S14361" s="226"/>
      <c r="T14361" s="226"/>
      <c r="U14361" s="226"/>
    </row>
    <row r="14362" spans="16:21" x14ac:dyDescent="0.35">
      <c r="P14362" s="226"/>
      <c r="Q14362" s="226"/>
      <c r="R14362" s="226"/>
      <c r="S14362" s="226"/>
      <c r="T14362" s="226"/>
      <c r="U14362" s="226"/>
    </row>
    <row r="14363" spans="16:21" x14ac:dyDescent="0.35">
      <c r="P14363" s="226"/>
      <c r="Q14363" s="226"/>
      <c r="R14363" s="226"/>
      <c r="S14363" s="226"/>
      <c r="T14363" s="226"/>
      <c r="U14363" s="226"/>
    </row>
    <row r="14364" spans="16:21" x14ac:dyDescent="0.35">
      <c r="P14364" s="226"/>
      <c r="Q14364" s="226"/>
      <c r="R14364" s="226"/>
      <c r="S14364" s="226"/>
      <c r="T14364" s="226"/>
      <c r="U14364" s="226"/>
    </row>
    <row r="14365" spans="16:21" x14ac:dyDescent="0.35">
      <c r="P14365" s="226"/>
      <c r="Q14365" s="226"/>
      <c r="R14365" s="226"/>
      <c r="S14365" s="226"/>
      <c r="T14365" s="226"/>
      <c r="U14365" s="226"/>
    </row>
    <row r="14366" spans="16:21" x14ac:dyDescent="0.35">
      <c r="P14366" s="226"/>
      <c r="Q14366" s="226"/>
      <c r="R14366" s="226"/>
      <c r="S14366" s="226"/>
      <c r="T14366" s="226"/>
      <c r="U14366" s="226"/>
    </row>
    <row r="14367" spans="16:21" x14ac:dyDescent="0.35">
      <c r="P14367" s="226"/>
      <c r="Q14367" s="226"/>
      <c r="R14367" s="226"/>
      <c r="S14367" s="226"/>
      <c r="T14367" s="226"/>
      <c r="U14367" s="226"/>
    </row>
    <row r="14368" spans="16:21" x14ac:dyDescent="0.35">
      <c r="P14368" s="226"/>
      <c r="Q14368" s="226"/>
      <c r="R14368" s="226"/>
      <c r="S14368" s="226"/>
      <c r="T14368" s="226"/>
      <c r="U14368" s="226"/>
    </row>
    <row r="14369" spans="16:21" x14ac:dyDescent="0.35">
      <c r="P14369" s="226"/>
      <c r="Q14369" s="226"/>
      <c r="R14369" s="226"/>
      <c r="S14369" s="226"/>
      <c r="T14369" s="226"/>
      <c r="U14369" s="226"/>
    </row>
    <row r="14370" spans="16:21" x14ac:dyDescent="0.35">
      <c r="P14370" s="226"/>
      <c r="Q14370" s="226"/>
      <c r="R14370" s="226"/>
      <c r="S14370" s="226"/>
      <c r="T14370" s="226"/>
      <c r="U14370" s="226"/>
    </row>
    <row r="14371" spans="16:21" x14ac:dyDescent="0.35">
      <c r="P14371" s="226"/>
      <c r="Q14371" s="226"/>
      <c r="R14371" s="226"/>
      <c r="S14371" s="226"/>
      <c r="T14371" s="226"/>
      <c r="U14371" s="226"/>
    </row>
    <row r="14372" spans="16:21" x14ac:dyDescent="0.35">
      <c r="P14372" s="226"/>
      <c r="Q14372" s="226"/>
      <c r="R14372" s="226"/>
      <c r="S14372" s="226"/>
      <c r="T14372" s="226"/>
      <c r="U14372" s="226"/>
    </row>
    <row r="14373" spans="16:21" x14ac:dyDescent="0.35">
      <c r="P14373" s="226"/>
      <c r="Q14373" s="226"/>
      <c r="R14373" s="226"/>
      <c r="S14373" s="226"/>
      <c r="T14373" s="226"/>
      <c r="U14373" s="226"/>
    </row>
    <row r="14374" spans="16:21" x14ac:dyDescent="0.35">
      <c r="P14374" s="226"/>
      <c r="Q14374" s="226"/>
      <c r="R14374" s="226"/>
      <c r="S14374" s="226"/>
      <c r="T14374" s="226"/>
      <c r="U14374" s="226"/>
    </row>
    <row r="14375" spans="16:21" x14ac:dyDescent="0.35">
      <c r="P14375" s="226"/>
      <c r="Q14375" s="226"/>
      <c r="R14375" s="226"/>
      <c r="S14375" s="226"/>
      <c r="T14375" s="226"/>
      <c r="U14375" s="226"/>
    </row>
    <row r="14376" spans="16:21" x14ac:dyDescent="0.35">
      <c r="P14376" s="226"/>
      <c r="Q14376" s="226"/>
      <c r="R14376" s="226"/>
      <c r="S14376" s="226"/>
      <c r="T14376" s="226"/>
      <c r="U14376" s="226"/>
    </row>
    <row r="14377" spans="16:21" x14ac:dyDescent="0.35">
      <c r="P14377" s="226"/>
      <c r="Q14377" s="226"/>
      <c r="R14377" s="226"/>
      <c r="S14377" s="226"/>
      <c r="T14377" s="226"/>
      <c r="U14377" s="226"/>
    </row>
    <row r="14378" spans="16:21" x14ac:dyDescent="0.35">
      <c r="P14378" s="226"/>
      <c r="Q14378" s="226"/>
      <c r="R14378" s="226"/>
      <c r="S14378" s="226"/>
      <c r="T14378" s="226"/>
      <c r="U14378" s="226"/>
    </row>
    <row r="14379" spans="16:21" x14ac:dyDescent="0.35">
      <c r="P14379" s="226"/>
      <c r="Q14379" s="226"/>
      <c r="R14379" s="226"/>
      <c r="S14379" s="226"/>
      <c r="T14379" s="226"/>
      <c r="U14379" s="226"/>
    </row>
    <row r="14380" spans="16:21" x14ac:dyDescent="0.35">
      <c r="P14380" s="226"/>
      <c r="Q14380" s="226"/>
      <c r="R14380" s="226"/>
      <c r="S14380" s="226"/>
      <c r="T14380" s="226"/>
      <c r="U14380" s="226"/>
    </row>
    <row r="14381" spans="16:21" x14ac:dyDescent="0.35">
      <c r="P14381" s="226"/>
      <c r="Q14381" s="226"/>
      <c r="R14381" s="226"/>
      <c r="S14381" s="226"/>
      <c r="T14381" s="226"/>
      <c r="U14381" s="226"/>
    </row>
    <row r="14382" spans="16:21" x14ac:dyDescent="0.35">
      <c r="P14382" s="226"/>
      <c r="Q14382" s="226"/>
      <c r="R14382" s="226"/>
      <c r="S14382" s="226"/>
      <c r="T14382" s="226"/>
      <c r="U14382" s="226"/>
    </row>
    <row r="14383" spans="16:21" x14ac:dyDescent="0.35">
      <c r="P14383" s="226"/>
      <c r="Q14383" s="226"/>
      <c r="R14383" s="226"/>
      <c r="S14383" s="226"/>
      <c r="T14383" s="226"/>
      <c r="U14383" s="226"/>
    </row>
    <row r="14384" spans="16:21" x14ac:dyDescent="0.35">
      <c r="P14384" s="226"/>
      <c r="Q14384" s="226"/>
      <c r="R14384" s="226"/>
      <c r="S14384" s="226"/>
      <c r="T14384" s="226"/>
      <c r="U14384" s="226"/>
    </row>
    <row r="14385" spans="16:21" x14ac:dyDescent="0.35">
      <c r="P14385" s="226"/>
      <c r="Q14385" s="226"/>
      <c r="R14385" s="226"/>
      <c r="S14385" s="226"/>
      <c r="T14385" s="226"/>
      <c r="U14385" s="226"/>
    </row>
    <row r="14386" spans="16:21" x14ac:dyDescent="0.35">
      <c r="P14386" s="226"/>
      <c r="Q14386" s="226"/>
      <c r="R14386" s="226"/>
      <c r="S14386" s="226"/>
      <c r="T14386" s="226"/>
      <c r="U14386" s="226"/>
    </row>
    <row r="14387" spans="16:21" x14ac:dyDescent="0.35">
      <c r="P14387" s="226"/>
      <c r="Q14387" s="226"/>
      <c r="R14387" s="226"/>
      <c r="S14387" s="226"/>
      <c r="T14387" s="226"/>
      <c r="U14387" s="226"/>
    </row>
    <row r="14388" spans="16:21" x14ac:dyDescent="0.35">
      <c r="P14388" s="226"/>
      <c r="Q14388" s="226"/>
      <c r="R14388" s="226"/>
      <c r="S14388" s="226"/>
      <c r="T14388" s="226"/>
      <c r="U14388" s="226"/>
    </row>
    <row r="14389" spans="16:21" x14ac:dyDescent="0.35">
      <c r="P14389" s="226"/>
      <c r="Q14389" s="226"/>
      <c r="R14389" s="226"/>
      <c r="S14389" s="226"/>
      <c r="T14389" s="226"/>
      <c r="U14389" s="226"/>
    </row>
    <row r="14390" spans="16:21" x14ac:dyDescent="0.35">
      <c r="P14390" s="226"/>
      <c r="Q14390" s="226"/>
      <c r="R14390" s="226"/>
      <c r="S14390" s="226"/>
      <c r="T14390" s="226"/>
      <c r="U14390" s="226"/>
    </row>
    <row r="14391" spans="16:21" x14ac:dyDescent="0.35">
      <c r="P14391" s="226"/>
      <c r="Q14391" s="226"/>
      <c r="R14391" s="226"/>
      <c r="S14391" s="226"/>
      <c r="T14391" s="226"/>
      <c r="U14391" s="226"/>
    </row>
    <row r="14392" spans="16:21" x14ac:dyDescent="0.35">
      <c r="P14392" s="226"/>
      <c r="Q14392" s="226"/>
      <c r="R14392" s="226"/>
      <c r="S14392" s="226"/>
      <c r="T14392" s="226"/>
      <c r="U14392" s="226"/>
    </row>
    <row r="14393" spans="16:21" x14ac:dyDescent="0.35">
      <c r="P14393" s="226"/>
      <c r="Q14393" s="226"/>
      <c r="R14393" s="226"/>
      <c r="S14393" s="226"/>
      <c r="T14393" s="226"/>
      <c r="U14393" s="226"/>
    </row>
    <row r="14394" spans="16:21" x14ac:dyDescent="0.35">
      <c r="P14394" s="226"/>
      <c r="Q14394" s="226"/>
      <c r="R14394" s="226"/>
      <c r="S14394" s="226"/>
      <c r="T14394" s="226"/>
      <c r="U14394" s="226"/>
    </row>
    <row r="14395" spans="16:21" x14ac:dyDescent="0.35">
      <c r="P14395" s="226"/>
      <c r="Q14395" s="226"/>
      <c r="R14395" s="226"/>
      <c r="S14395" s="226"/>
      <c r="T14395" s="226"/>
      <c r="U14395" s="226"/>
    </row>
    <row r="14396" spans="16:21" x14ac:dyDescent="0.35">
      <c r="P14396" s="226"/>
      <c r="Q14396" s="226"/>
      <c r="R14396" s="226"/>
      <c r="S14396" s="226"/>
      <c r="T14396" s="226"/>
      <c r="U14396" s="226"/>
    </row>
    <row r="14397" spans="16:21" x14ac:dyDescent="0.35">
      <c r="P14397" s="226"/>
      <c r="Q14397" s="226"/>
      <c r="R14397" s="226"/>
      <c r="S14397" s="226"/>
      <c r="T14397" s="226"/>
      <c r="U14397" s="226"/>
    </row>
    <row r="14398" spans="16:21" x14ac:dyDescent="0.35">
      <c r="P14398" s="226"/>
      <c r="Q14398" s="226"/>
      <c r="R14398" s="226"/>
      <c r="S14398" s="226"/>
      <c r="T14398" s="226"/>
      <c r="U14398" s="226"/>
    </row>
    <row r="14399" spans="16:21" x14ac:dyDescent="0.35">
      <c r="P14399" s="226"/>
      <c r="Q14399" s="226"/>
      <c r="R14399" s="226"/>
      <c r="S14399" s="226"/>
      <c r="T14399" s="226"/>
      <c r="U14399" s="226"/>
    </row>
    <row r="14400" spans="16:21" x14ac:dyDescent="0.35">
      <c r="P14400" s="226"/>
      <c r="Q14400" s="226"/>
      <c r="R14400" s="226"/>
      <c r="S14400" s="226"/>
      <c r="T14400" s="226"/>
      <c r="U14400" s="226"/>
    </row>
    <row r="14401" spans="16:21" x14ac:dyDescent="0.35">
      <c r="P14401" s="226"/>
      <c r="Q14401" s="226"/>
      <c r="R14401" s="226"/>
      <c r="S14401" s="226"/>
      <c r="T14401" s="226"/>
      <c r="U14401" s="226"/>
    </row>
    <row r="14402" spans="16:21" x14ac:dyDescent="0.35">
      <c r="P14402" s="226"/>
      <c r="Q14402" s="226"/>
      <c r="R14402" s="226"/>
      <c r="S14402" s="226"/>
      <c r="T14402" s="226"/>
      <c r="U14402" s="226"/>
    </row>
    <row r="14403" spans="16:21" x14ac:dyDescent="0.35">
      <c r="P14403" s="226"/>
      <c r="Q14403" s="226"/>
      <c r="R14403" s="226"/>
      <c r="S14403" s="226"/>
      <c r="T14403" s="226"/>
      <c r="U14403" s="226"/>
    </row>
    <row r="14404" spans="16:21" x14ac:dyDescent="0.35">
      <c r="P14404" s="226"/>
      <c r="Q14404" s="226"/>
      <c r="R14404" s="226"/>
      <c r="S14404" s="226"/>
      <c r="T14404" s="226"/>
      <c r="U14404" s="226"/>
    </row>
    <row r="14405" spans="16:21" x14ac:dyDescent="0.35">
      <c r="P14405" s="226"/>
      <c r="Q14405" s="226"/>
      <c r="R14405" s="226"/>
      <c r="S14405" s="226"/>
      <c r="T14405" s="226"/>
      <c r="U14405" s="226"/>
    </row>
    <row r="14406" spans="16:21" x14ac:dyDescent="0.35">
      <c r="P14406" s="226"/>
      <c r="Q14406" s="226"/>
      <c r="R14406" s="226"/>
      <c r="S14406" s="226"/>
      <c r="T14406" s="226"/>
      <c r="U14406" s="226"/>
    </row>
    <row r="14407" spans="16:21" x14ac:dyDescent="0.35">
      <c r="P14407" s="226"/>
      <c r="Q14407" s="226"/>
      <c r="R14407" s="226"/>
      <c r="S14407" s="226"/>
      <c r="T14407" s="226"/>
      <c r="U14407" s="226"/>
    </row>
    <row r="14408" spans="16:21" x14ac:dyDescent="0.35">
      <c r="P14408" s="226"/>
      <c r="Q14408" s="226"/>
      <c r="R14408" s="226"/>
      <c r="S14408" s="226"/>
      <c r="T14408" s="226"/>
      <c r="U14408" s="226"/>
    </row>
    <row r="14409" spans="16:21" x14ac:dyDescent="0.35">
      <c r="P14409" s="226"/>
      <c r="Q14409" s="226"/>
      <c r="R14409" s="226"/>
      <c r="S14409" s="226"/>
      <c r="T14409" s="226"/>
      <c r="U14409" s="226"/>
    </row>
    <row r="14410" spans="16:21" x14ac:dyDescent="0.35">
      <c r="P14410" s="226"/>
      <c r="Q14410" s="226"/>
      <c r="R14410" s="226"/>
      <c r="S14410" s="226"/>
      <c r="T14410" s="226"/>
      <c r="U14410" s="226"/>
    </row>
    <row r="14411" spans="16:21" x14ac:dyDescent="0.35">
      <c r="P14411" s="226"/>
      <c r="Q14411" s="226"/>
      <c r="R14411" s="226"/>
      <c r="S14411" s="226"/>
      <c r="T14411" s="226"/>
      <c r="U14411" s="226"/>
    </row>
    <row r="14412" spans="16:21" x14ac:dyDescent="0.35">
      <c r="P14412" s="226"/>
      <c r="Q14412" s="226"/>
      <c r="R14412" s="226"/>
      <c r="S14412" s="226"/>
      <c r="T14412" s="226"/>
      <c r="U14412" s="226"/>
    </row>
    <row r="14413" spans="16:21" x14ac:dyDescent="0.35">
      <c r="P14413" s="226"/>
      <c r="Q14413" s="226"/>
      <c r="R14413" s="226"/>
      <c r="S14413" s="226"/>
      <c r="T14413" s="226"/>
      <c r="U14413" s="226"/>
    </row>
    <row r="14414" spans="16:21" x14ac:dyDescent="0.35">
      <c r="P14414" s="226"/>
      <c r="Q14414" s="226"/>
      <c r="R14414" s="226"/>
      <c r="S14414" s="226"/>
      <c r="T14414" s="226"/>
      <c r="U14414" s="226"/>
    </row>
    <row r="14415" spans="16:21" x14ac:dyDescent="0.35">
      <c r="P14415" s="226"/>
      <c r="Q14415" s="226"/>
      <c r="R14415" s="226"/>
      <c r="S14415" s="226"/>
      <c r="T14415" s="226"/>
      <c r="U14415" s="226"/>
    </row>
    <row r="14416" spans="16:21" x14ac:dyDescent="0.35">
      <c r="P14416" s="226"/>
      <c r="Q14416" s="226"/>
      <c r="R14416" s="226"/>
      <c r="S14416" s="226"/>
      <c r="T14416" s="226"/>
      <c r="U14416" s="226"/>
    </row>
    <row r="14417" spans="16:21" x14ac:dyDescent="0.35">
      <c r="P14417" s="226"/>
      <c r="Q14417" s="226"/>
      <c r="R14417" s="226"/>
      <c r="S14417" s="226"/>
      <c r="T14417" s="226"/>
      <c r="U14417" s="226"/>
    </row>
    <row r="14418" spans="16:21" x14ac:dyDescent="0.35">
      <c r="P14418" s="226"/>
      <c r="Q14418" s="226"/>
      <c r="R14418" s="226"/>
      <c r="S14418" s="226"/>
      <c r="T14418" s="226"/>
      <c r="U14418" s="226"/>
    </row>
    <row r="14419" spans="16:21" x14ac:dyDescent="0.35">
      <c r="P14419" s="226"/>
      <c r="Q14419" s="226"/>
      <c r="R14419" s="226"/>
      <c r="S14419" s="226"/>
      <c r="T14419" s="226"/>
      <c r="U14419" s="226"/>
    </row>
    <row r="14420" spans="16:21" x14ac:dyDescent="0.35">
      <c r="P14420" s="226"/>
      <c r="Q14420" s="226"/>
      <c r="R14420" s="226"/>
      <c r="S14420" s="226"/>
      <c r="T14420" s="226"/>
      <c r="U14420" s="226"/>
    </row>
    <row r="14421" spans="16:21" x14ac:dyDescent="0.35">
      <c r="P14421" s="226"/>
      <c r="Q14421" s="226"/>
      <c r="R14421" s="226"/>
      <c r="S14421" s="226"/>
      <c r="T14421" s="226"/>
      <c r="U14421" s="226"/>
    </row>
    <row r="14422" spans="16:21" x14ac:dyDescent="0.35">
      <c r="P14422" s="226"/>
      <c r="Q14422" s="226"/>
      <c r="R14422" s="226"/>
      <c r="S14422" s="226"/>
      <c r="T14422" s="226"/>
      <c r="U14422" s="226"/>
    </row>
    <row r="14423" spans="16:21" x14ac:dyDescent="0.35">
      <c r="P14423" s="226"/>
      <c r="Q14423" s="226"/>
      <c r="R14423" s="226"/>
      <c r="S14423" s="226"/>
      <c r="T14423" s="226"/>
      <c r="U14423" s="226"/>
    </row>
    <row r="14424" spans="16:21" x14ac:dyDescent="0.35">
      <c r="P14424" s="226"/>
      <c r="Q14424" s="226"/>
      <c r="R14424" s="226"/>
      <c r="S14424" s="226"/>
      <c r="T14424" s="226"/>
      <c r="U14424" s="226"/>
    </row>
    <row r="14425" spans="16:21" x14ac:dyDescent="0.35">
      <c r="P14425" s="226"/>
      <c r="Q14425" s="226"/>
      <c r="R14425" s="226"/>
      <c r="S14425" s="226"/>
      <c r="T14425" s="226"/>
      <c r="U14425" s="226"/>
    </row>
    <row r="14426" spans="16:21" x14ac:dyDescent="0.35">
      <c r="P14426" s="226"/>
      <c r="Q14426" s="226"/>
      <c r="R14426" s="226"/>
      <c r="S14426" s="226"/>
      <c r="T14426" s="226"/>
      <c r="U14426" s="226"/>
    </row>
    <row r="14427" spans="16:21" x14ac:dyDescent="0.35">
      <c r="P14427" s="226"/>
      <c r="Q14427" s="226"/>
      <c r="R14427" s="226"/>
      <c r="S14427" s="226"/>
      <c r="T14427" s="226"/>
      <c r="U14427" s="226"/>
    </row>
    <row r="14428" spans="16:21" x14ac:dyDescent="0.35">
      <c r="P14428" s="226"/>
      <c r="Q14428" s="226"/>
      <c r="R14428" s="226"/>
      <c r="S14428" s="226"/>
      <c r="T14428" s="226"/>
      <c r="U14428" s="226"/>
    </row>
    <row r="14429" spans="16:21" x14ac:dyDescent="0.35">
      <c r="P14429" s="226"/>
      <c r="Q14429" s="226"/>
      <c r="R14429" s="226"/>
      <c r="S14429" s="226"/>
      <c r="T14429" s="226"/>
      <c r="U14429" s="226"/>
    </row>
    <row r="14430" spans="16:21" x14ac:dyDescent="0.35">
      <c r="P14430" s="226"/>
      <c r="Q14430" s="226"/>
      <c r="R14430" s="226"/>
      <c r="S14430" s="226"/>
      <c r="T14430" s="226"/>
      <c r="U14430" s="226"/>
    </row>
    <row r="14431" spans="16:21" x14ac:dyDescent="0.35">
      <c r="P14431" s="226"/>
      <c r="Q14431" s="226"/>
      <c r="R14431" s="226"/>
      <c r="S14431" s="226"/>
      <c r="T14431" s="226"/>
      <c r="U14431" s="226"/>
    </row>
    <row r="14432" spans="16:21" x14ac:dyDescent="0.35">
      <c r="P14432" s="226"/>
      <c r="Q14432" s="226"/>
      <c r="R14432" s="226"/>
      <c r="S14432" s="226"/>
      <c r="T14432" s="226"/>
      <c r="U14432" s="226"/>
    </row>
    <row r="14433" spans="16:21" x14ac:dyDescent="0.35">
      <c r="P14433" s="226"/>
      <c r="Q14433" s="226"/>
      <c r="R14433" s="226"/>
      <c r="S14433" s="226"/>
      <c r="T14433" s="226"/>
      <c r="U14433" s="226"/>
    </row>
    <row r="14434" spans="16:21" x14ac:dyDescent="0.35">
      <c r="P14434" s="226"/>
      <c r="Q14434" s="226"/>
      <c r="R14434" s="226"/>
      <c r="S14434" s="226"/>
      <c r="T14434" s="226"/>
      <c r="U14434" s="226"/>
    </row>
    <row r="14435" spans="16:21" x14ac:dyDescent="0.35">
      <c r="P14435" s="226"/>
      <c r="Q14435" s="226"/>
      <c r="R14435" s="226"/>
      <c r="S14435" s="226"/>
      <c r="T14435" s="226"/>
      <c r="U14435" s="226"/>
    </row>
    <row r="14436" spans="16:21" x14ac:dyDescent="0.35">
      <c r="P14436" s="226"/>
      <c r="Q14436" s="226"/>
      <c r="R14436" s="226"/>
      <c r="S14436" s="226"/>
      <c r="T14436" s="226"/>
      <c r="U14436" s="226"/>
    </row>
    <row r="14437" spans="16:21" x14ac:dyDescent="0.35">
      <c r="P14437" s="226"/>
      <c r="Q14437" s="226"/>
      <c r="R14437" s="226"/>
      <c r="S14437" s="226"/>
      <c r="T14437" s="226"/>
      <c r="U14437" s="226"/>
    </row>
    <row r="14438" spans="16:21" x14ac:dyDescent="0.35">
      <c r="P14438" s="226"/>
      <c r="Q14438" s="226"/>
      <c r="R14438" s="226"/>
      <c r="S14438" s="226"/>
      <c r="T14438" s="226"/>
      <c r="U14438" s="226"/>
    </row>
    <row r="14439" spans="16:21" x14ac:dyDescent="0.35">
      <c r="P14439" s="226"/>
      <c r="Q14439" s="226"/>
      <c r="R14439" s="226"/>
      <c r="S14439" s="226"/>
      <c r="T14439" s="226"/>
      <c r="U14439" s="226"/>
    </row>
    <row r="14440" spans="16:21" x14ac:dyDescent="0.35">
      <c r="P14440" s="226"/>
      <c r="Q14440" s="226"/>
      <c r="R14440" s="226"/>
      <c r="S14440" s="226"/>
      <c r="T14440" s="226"/>
      <c r="U14440" s="226"/>
    </row>
    <row r="14441" spans="16:21" x14ac:dyDescent="0.35">
      <c r="P14441" s="226"/>
      <c r="Q14441" s="226"/>
      <c r="R14441" s="226"/>
      <c r="S14441" s="226"/>
      <c r="T14441" s="226"/>
      <c r="U14441" s="226"/>
    </row>
    <row r="14442" spans="16:21" x14ac:dyDescent="0.35">
      <c r="P14442" s="226"/>
      <c r="Q14442" s="226"/>
      <c r="R14442" s="226"/>
      <c r="S14442" s="226"/>
      <c r="T14442" s="226"/>
      <c r="U14442" s="226"/>
    </row>
    <row r="14443" spans="16:21" x14ac:dyDescent="0.35">
      <c r="P14443" s="226"/>
      <c r="Q14443" s="226"/>
      <c r="R14443" s="226"/>
      <c r="S14443" s="226"/>
      <c r="T14443" s="226"/>
      <c r="U14443" s="226"/>
    </row>
    <row r="14444" spans="16:21" x14ac:dyDescent="0.35">
      <c r="P14444" s="226"/>
      <c r="Q14444" s="226"/>
      <c r="R14444" s="226"/>
      <c r="S14444" s="226"/>
      <c r="T14444" s="226"/>
      <c r="U14444" s="226"/>
    </row>
    <row r="14445" spans="16:21" x14ac:dyDescent="0.35">
      <c r="P14445" s="226"/>
      <c r="Q14445" s="226"/>
      <c r="R14445" s="226"/>
      <c r="S14445" s="226"/>
      <c r="T14445" s="226"/>
      <c r="U14445" s="226"/>
    </row>
    <row r="14446" spans="16:21" x14ac:dyDescent="0.35">
      <c r="P14446" s="226"/>
      <c r="Q14446" s="226"/>
      <c r="R14446" s="226"/>
      <c r="S14446" s="226"/>
      <c r="T14446" s="226"/>
      <c r="U14446" s="226"/>
    </row>
    <row r="14447" spans="16:21" x14ac:dyDescent="0.35">
      <c r="P14447" s="226"/>
      <c r="Q14447" s="226"/>
      <c r="R14447" s="226"/>
      <c r="S14447" s="226"/>
      <c r="T14447" s="226"/>
      <c r="U14447" s="226"/>
    </row>
    <row r="14448" spans="16:21" x14ac:dyDescent="0.35">
      <c r="P14448" s="226"/>
      <c r="Q14448" s="226"/>
      <c r="R14448" s="226"/>
      <c r="S14448" s="226"/>
      <c r="T14448" s="226"/>
      <c r="U14448" s="226"/>
    </row>
    <row r="14449" spans="16:21" x14ac:dyDescent="0.35">
      <c r="P14449" s="226"/>
      <c r="Q14449" s="226"/>
      <c r="R14449" s="226"/>
      <c r="S14449" s="226"/>
      <c r="T14449" s="226"/>
      <c r="U14449" s="226"/>
    </row>
    <row r="14450" spans="16:21" x14ac:dyDescent="0.35">
      <c r="P14450" s="226"/>
      <c r="Q14450" s="226"/>
      <c r="R14450" s="226"/>
      <c r="S14450" s="226"/>
      <c r="T14450" s="226"/>
      <c r="U14450" s="226"/>
    </row>
    <row r="14451" spans="16:21" x14ac:dyDescent="0.35">
      <c r="P14451" s="226"/>
      <c r="Q14451" s="226"/>
      <c r="R14451" s="226"/>
      <c r="S14451" s="226"/>
      <c r="T14451" s="226"/>
      <c r="U14451" s="226"/>
    </row>
    <row r="14452" spans="16:21" x14ac:dyDescent="0.35">
      <c r="P14452" s="226"/>
      <c r="Q14452" s="226"/>
      <c r="R14452" s="226"/>
      <c r="S14452" s="226"/>
      <c r="T14452" s="226"/>
      <c r="U14452" s="226"/>
    </row>
    <row r="14453" spans="16:21" x14ac:dyDescent="0.35">
      <c r="P14453" s="226"/>
      <c r="Q14453" s="226"/>
      <c r="R14453" s="226"/>
      <c r="S14453" s="226"/>
      <c r="T14453" s="226"/>
      <c r="U14453" s="226"/>
    </row>
    <row r="14454" spans="16:21" x14ac:dyDescent="0.35">
      <c r="P14454" s="226"/>
      <c r="Q14454" s="226"/>
      <c r="R14454" s="226"/>
      <c r="S14454" s="226"/>
      <c r="T14454" s="226"/>
      <c r="U14454" s="226"/>
    </row>
    <row r="14455" spans="16:21" x14ac:dyDescent="0.35">
      <c r="P14455" s="226"/>
      <c r="Q14455" s="226"/>
      <c r="R14455" s="226"/>
      <c r="S14455" s="226"/>
      <c r="T14455" s="226"/>
      <c r="U14455" s="226"/>
    </row>
    <row r="14456" spans="16:21" x14ac:dyDescent="0.35">
      <c r="P14456" s="226"/>
      <c r="Q14456" s="226"/>
      <c r="R14456" s="226"/>
      <c r="S14456" s="226"/>
      <c r="T14456" s="226"/>
      <c r="U14456" s="226"/>
    </row>
    <row r="14457" spans="16:21" x14ac:dyDescent="0.35">
      <c r="P14457" s="226"/>
      <c r="Q14457" s="226"/>
      <c r="R14457" s="226"/>
      <c r="S14457" s="226"/>
      <c r="T14457" s="226"/>
      <c r="U14457" s="226"/>
    </row>
    <row r="14458" spans="16:21" x14ac:dyDescent="0.35">
      <c r="P14458" s="226"/>
      <c r="Q14458" s="226"/>
      <c r="R14458" s="226"/>
      <c r="S14458" s="226"/>
      <c r="T14458" s="226"/>
      <c r="U14458" s="226"/>
    </row>
    <row r="14459" spans="16:21" x14ac:dyDescent="0.35">
      <c r="P14459" s="226"/>
      <c r="Q14459" s="226"/>
      <c r="R14459" s="226"/>
      <c r="S14459" s="226"/>
      <c r="T14459" s="226"/>
      <c r="U14459" s="226"/>
    </row>
    <row r="14460" spans="16:21" x14ac:dyDescent="0.35">
      <c r="P14460" s="226"/>
      <c r="Q14460" s="226"/>
      <c r="R14460" s="226"/>
      <c r="S14460" s="226"/>
      <c r="T14460" s="226"/>
      <c r="U14460" s="226"/>
    </row>
    <row r="14461" spans="16:21" x14ac:dyDescent="0.35">
      <c r="P14461" s="226"/>
      <c r="Q14461" s="226"/>
      <c r="R14461" s="226"/>
      <c r="S14461" s="226"/>
      <c r="T14461" s="226"/>
      <c r="U14461" s="226"/>
    </row>
    <row r="14462" spans="16:21" x14ac:dyDescent="0.35">
      <c r="P14462" s="226"/>
      <c r="Q14462" s="226"/>
      <c r="R14462" s="226"/>
      <c r="S14462" s="226"/>
      <c r="T14462" s="226"/>
      <c r="U14462" s="226"/>
    </row>
    <row r="14463" spans="16:21" x14ac:dyDescent="0.35">
      <c r="P14463" s="226"/>
      <c r="Q14463" s="226"/>
      <c r="R14463" s="226"/>
      <c r="S14463" s="226"/>
      <c r="T14463" s="226"/>
      <c r="U14463" s="226"/>
    </row>
    <row r="14464" spans="16:21" x14ac:dyDescent="0.35">
      <c r="P14464" s="226"/>
      <c r="Q14464" s="226"/>
      <c r="R14464" s="226"/>
      <c r="S14464" s="226"/>
      <c r="T14464" s="226"/>
      <c r="U14464" s="226"/>
    </row>
    <row r="14465" spans="16:21" x14ac:dyDescent="0.35">
      <c r="P14465" s="226"/>
      <c r="Q14465" s="226"/>
      <c r="R14465" s="226"/>
      <c r="S14465" s="226"/>
      <c r="T14465" s="226"/>
      <c r="U14465" s="226"/>
    </row>
    <row r="14466" spans="16:21" x14ac:dyDescent="0.35">
      <c r="P14466" s="226"/>
      <c r="Q14466" s="226"/>
      <c r="R14466" s="226"/>
      <c r="S14466" s="226"/>
      <c r="T14466" s="226"/>
      <c r="U14466" s="226"/>
    </row>
    <row r="14467" spans="16:21" x14ac:dyDescent="0.35">
      <c r="P14467" s="226"/>
      <c r="Q14467" s="226"/>
      <c r="R14467" s="226"/>
      <c r="S14467" s="226"/>
      <c r="T14467" s="226"/>
      <c r="U14467" s="226"/>
    </row>
    <row r="14468" spans="16:21" x14ac:dyDescent="0.35">
      <c r="P14468" s="226"/>
      <c r="Q14468" s="226"/>
      <c r="R14468" s="226"/>
      <c r="S14468" s="226"/>
      <c r="T14468" s="226"/>
      <c r="U14468" s="226"/>
    </row>
    <row r="14469" spans="16:21" x14ac:dyDescent="0.35">
      <c r="P14469" s="226"/>
      <c r="Q14469" s="226"/>
      <c r="R14469" s="226"/>
      <c r="S14469" s="226"/>
      <c r="T14469" s="226"/>
      <c r="U14469" s="226"/>
    </row>
    <row r="14470" spans="16:21" x14ac:dyDescent="0.35">
      <c r="P14470" s="226"/>
      <c r="Q14470" s="226"/>
      <c r="R14470" s="226"/>
      <c r="S14470" s="226"/>
      <c r="T14470" s="226"/>
      <c r="U14470" s="226"/>
    </row>
    <row r="14471" spans="16:21" x14ac:dyDescent="0.35">
      <c r="P14471" s="226"/>
      <c r="Q14471" s="226"/>
      <c r="R14471" s="226"/>
      <c r="S14471" s="226"/>
      <c r="T14471" s="226"/>
      <c r="U14471" s="226"/>
    </row>
    <row r="14472" spans="16:21" x14ac:dyDescent="0.35">
      <c r="P14472" s="226"/>
      <c r="Q14472" s="226"/>
      <c r="R14472" s="226"/>
      <c r="S14472" s="226"/>
      <c r="T14472" s="226"/>
      <c r="U14472" s="226"/>
    </row>
    <row r="14473" spans="16:21" x14ac:dyDescent="0.35">
      <c r="P14473" s="226"/>
      <c r="Q14473" s="226"/>
      <c r="R14473" s="226"/>
      <c r="S14473" s="226"/>
      <c r="T14473" s="226"/>
      <c r="U14473" s="226"/>
    </row>
    <row r="14474" spans="16:21" x14ac:dyDescent="0.35">
      <c r="P14474" s="226"/>
      <c r="Q14474" s="226"/>
      <c r="R14474" s="226"/>
      <c r="S14474" s="226"/>
      <c r="T14474" s="226"/>
      <c r="U14474" s="226"/>
    </row>
    <row r="14475" spans="16:21" x14ac:dyDescent="0.35">
      <c r="P14475" s="226"/>
      <c r="Q14475" s="226"/>
      <c r="R14475" s="226"/>
      <c r="S14475" s="226"/>
      <c r="T14475" s="226"/>
      <c r="U14475" s="226"/>
    </row>
    <row r="14476" spans="16:21" x14ac:dyDescent="0.35">
      <c r="P14476" s="226"/>
      <c r="Q14476" s="226"/>
      <c r="R14476" s="226"/>
      <c r="S14476" s="226"/>
      <c r="T14476" s="226"/>
      <c r="U14476" s="226"/>
    </row>
    <row r="14477" spans="16:21" x14ac:dyDescent="0.35">
      <c r="P14477" s="226"/>
      <c r="Q14477" s="226"/>
      <c r="R14477" s="226"/>
      <c r="S14477" s="226"/>
      <c r="T14477" s="226"/>
      <c r="U14477" s="226"/>
    </row>
    <row r="14478" spans="16:21" x14ac:dyDescent="0.35">
      <c r="P14478" s="226"/>
      <c r="Q14478" s="226"/>
      <c r="R14478" s="226"/>
      <c r="S14478" s="226"/>
      <c r="T14478" s="226"/>
      <c r="U14478" s="226"/>
    </row>
    <row r="14479" spans="16:21" x14ac:dyDescent="0.35">
      <c r="P14479" s="226"/>
      <c r="Q14479" s="226"/>
      <c r="R14479" s="226"/>
      <c r="S14479" s="226"/>
      <c r="T14479" s="226"/>
      <c r="U14479" s="226"/>
    </row>
    <row r="14480" spans="16:21" x14ac:dyDescent="0.35">
      <c r="P14480" s="226"/>
      <c r="Q14480" s="226"/>
      <c r="R14480" s="226"/>
      <c r="S14480" s="226"/>
      <c r="T14480" s="226"/>
      <c r="U14480" s="226"/>
    </row>
    <row r="14481" spans="16:21" x14ac:dyDescent="0.35">
      <c r="P14481" s="226"/>
      <c r="Q14481" s="226"/>
      <c r="R14481" s="226"/>
      <c r="S14481" s="226"/>
      <c r="T14481" s="226"/>
      <c r="U14481" s="226"/>
    </row>
    <row r="14482" spans="16:21" x14ac:dyDescent="0.35">
      <c r="P14482" s="226"/>
      <c r="Q14482" s="226"/>
      <c r="R14482" s="226"/>
      <c r="S14482" s="226"/>
      <c r="T14482" s="226"/>
      <c r="U14482" s="226"/>
    </row>
    <row r="14483" spans="16:21" x14ac:dyDescent="0.35">
      <c r="P14483" s="226"/>
      <c r="Q14483" s="226"/>
      <c r="R14483" s="226"/>
      <c r="S14483" s="226"/>
      <c r="T14483" s="226"/>
      <c r="U14483" s="226"/>
    </row>
    <row r="14484" spans="16:21" x14ac:dyDescent="0.35">
      <c r="P14484" s="226"/>
      <c r="Q14484" s="226"/>
      <c r="R14484" s="226"/>
      <c r="S14484" s="226"/>
      <c r="T14484" s="226"/>
      <c r="U14484" s="226"/>
    </row>
    <row r="14485" spans="16:21" x14ac:dyDescent="0.35">
      <c r="P14485" s="226"/>
      <c r="Q14485" s="226"/>
      <c r="R14485" s="226"/>
      <c r="S14485" s="226"/>
      <c r="T14485" s="226"/>
      <c r="U14485" s="226"/>
    </row>
    <row r="14486" spans="16:21" x14ac:dyDescent="0.35">
      <c r="P14486" s="226"/>
      <c r="Q14486" s="226"/>
      <c r="R14486" s="226"/>
      <c r="S14486" s="226"/>
      <c r="T14486" s="226"/>
      <c r="U14486" s="226"/>
    </row>
    <row r="14487" spans="16:21" x14ac:dyDescent="0.35">
      <c r="P14487" s="226"/>
      <c r="Q14487" s="226"/>
      <c r="R14487" s="226"/>
      <c r="S14487" s="226"/>
      <c r="T14487" s="226"/>
      <c r="U14487" s="226"/>
    </row>
    <row r="14488" spans="16:21" x14ac:dyDescent="0.35">
      <c r="P14488" s="226"/>
      <c r="Q14488" s="226"/>
      <c r="R14488" s="226"/>
      <c r="S14488" s="226"/>
      <c r="T14488" s="226"/>
      <c r="U14488" s="226"/>
    </row>
    <row r="14489" spans="16:21" x14ac:dyDescent="0.35">
      <c r="P14489" s="226"/>
      <c r="Q14489" s="226"/>
      <c r="R14489" s="226"/>
      <c r="S14489" s="226"/>
      <c r="T14489" s="226"/>
      <c r="U14489" s="226"/>
    </row>
    <row r="14490" spans="16:21" x14ac:dyDescent="0.35">
      <c r="P14490" s="226"/>
      <c r="Q14490" s="226"/>
      <c r="R14490" s="226"/>
      <c r="S14490" s="226"/>
      <c r="T14490" s="226"/>
      <c r="U14490" s="226"/>
    </row>
    <row r="14491" spans="16:21" x14ac:dyDescent="0.35">
      <c r="P14491" s="226"/>
      <c r="Q14491" s="226"/>
      <c r="R14491" s="226"/>
      <c r="S14491" s="226"/>
      <c r="T14491" s="226"/>
      <c r="U14491" s="226"/>
    </row>
    <row r="14492" spans="16:21" x14ac:dyDescent="0.35">
      <c r="P14492" s="226"/>
      <c r="Q14492" s="226"/>
      <c r="R14492" s="226"/>
      <c r="S14492" s="226"/>
      <c r="T14492" s="226"/>
      <c r="U14492" s="226"/>
    </row>
    <row r="14493" spans="16:21" x14ac:dyDescent="0.35">
      <c r="P14493" s="226"/>
      <c r="Q14493" s="226"/>
      <c r="R14493" s="226"/>
      <c r="S14493" s="226"/>
      <c r="T14493" s="226"/>
      <c r="U14493" s="226"/>
    </row>
    <row r="14494" spans="16:21" x14ac:dyDescent="0.35">
      <c r="P14494" s="226"/>
      <c r="Q14494" s="226"/>
      <c r="R14494" s="226"/>
      <c r="S14494" s="226"/>
      <c r="T14494" s="226"/>
      <c r="U14494" s="226"/>
    </row>
    <row r="14495" spans="16:21" x14ac:dyDescent="0.35">
      <c r="P14495" s="226"/>
      <c r="Q14495" s="226"/>
      <c r="R14495" s="226"/>
      <c r="S14495" s="226"/>
      <c r="T14495" s="226"/>
      <c r="U14495" s="226"/>
    </row>
    <row r="14496" spans="16:21" x14ac:dyDescent="0.35">
      <c r="P14496" s="226"/>
      <c r="Q14496" s="226"/>
      <c r="R14496" s="226"/>
      <c r="S14496" s="226"/>
      <c r="T14496" s="226"/>
      <c r="U14496" s="226"/>
    </row>
    <row r="14497" spans="16:21" x14ac:dyDescent="0.35">
      <c r="P14497" s="226"/>
      <c r="Q14497" s="226"/>
      <c r="R14497" s="226"/>
      <c r="S14497" s="226"/>
      <c r="T14497" s="226"/>
      <c r="U14497" s="226"/>
    </row>
    <row r="14498" spans="16:21" x14ac:dyDescent="0.35">
      <c r="P14498" s="226"/>
      <c r="Q14498" s="226"/>
      <c r="R14498" s="226"/>
      <c r="S14498" s="226"/>
      <c r="T14498" s="226"/>
      <c r="U14498" s="226"/>
    </row>
    <row r="14499" spans="16:21" x14ac:dyDescent="0.35">
      <c r="P14499" s="226"/>
      <c r="Q14499" s="226"/>
      <c r="R14499" s="226"/>
      <c r="S14499" s="226"/>
      <c r="T14499" s="226"/>
      <c r="U14499" s="226"/>
    </row>
    <row r="14500" spans="16:21" x14ac:dyDescent="0.35">
      <c r="P14500" s="226"/>
      <c r="Q14500" s="226"/>
      <c r="R14500" s="226"/>
      <c r="S14500" s="226"/>
      <c r="T14500" s="226"/>
      <c r="U14500" s="226"/>
    </row>
    <row r="14501" spans="16:21" x14ac:dyDescent="0.35">
      <c r="P14501" s="226"/>
      <c r="Q14501" s="226"/>
      <c r="R14501" s="226"/>
      <c r="S14501" s="226"/>
      <c r="T14501" s="226"/>
      <c r="U14501" s="226"/>
    </row>
    <row r="14502" spans="16:21" x14ac:dyDescent="0.35">
      <c r="P14502" s="226"/>
      <c r="Q14502" s="226"/>
      <c r="R14502" s="226"/>
      <c r="S14502" s="226"/>
      <c r="T14502" s="226"/>
      <c r="U14502" s="226"/>
    </row>
    <row r="14503" spans="16:21" x14ac:dyDescent="0.35">
      <c r="P14503" s="226"/>
      <c r="Q14503" s="226"/>
      <c r="R14503" s="226"/>
      <c r="S14503" s="226"/>
      <c r="T14503" s="226"/>
      <c r="U14503" s="226"/>
    </row>
    <row r="14504" spans="16:21" x14ac:dyDescent="0.35">
      <c r="P14504" s="226"/>
      <c r="Q14504" s="226"/>
      <c r="R14504" s="226"/>
      <c r="S14504" s="226"/>
      <c r="T14504" s="226"/>
      <c r="U14504" s="226"/>
    </row>
    <row r="14505" spans="16:21" x14ac:dyDescent="0.35">
      <c r="P14505" s="226"/>
      <c r="Q14505" s="226"/>
      <c r="R14505" s="226"/>
      <c r="S14505" s="226"/>
      <c r="T14505" s="226"/>
      <c r="U14505" s="226"/>
    </row>
    <row r="14506" spans="16:21" x14ac:dyDescent="0.35">
      <c r="P14506" s="226"/>
      <c r="Q14506" s="226"/>
      <c r="R14506" s="226"/>
      <c r="S14506" s="226"/>
      <c r="T14506" s="226"/>
      <c r="U14506" s="226"/>
    </row>
    <row r="14507" spans="16:21" x14ac:dyDescent="0.35">
      <c r="P14507" s="226"/>
      <c r="Q14507" s="226"/>
      <c r="R14507" s="226"/>
      <c r="S14507" s="226"/>
      <c r="T14507" s="226"/>
      <c r="U14507" s="226"/>
    </row>
    <row r="14508" spans="16:21" x14ac:dyDescent="0.35">
      <c r="P14508" s="226"/>
      <c r="Q14508" s="226"/>
      <c r="R14508" s="226"/>
      <c r="S14508" s="226"/>
      <c r="T14508" s="226"/>
      <c r="U14508" s="226"/>
    </row>
    <row r="14509" spans="16:21" x14ac:dyDescent="0.35">
      <c r="P14509" s="226"/>
      <c r="Q14509" s="226"/>
      <c r="R14509" s="226"/>
      <c r="S14509" s="226"/>
      <c r="T14509" s="226"/>
      <c r="U14509" s="226"/>
    </row>
    <row r="14510" spans="16:21" x14ac:dyDescent="0.35">
      <c r="P14510" s="226"/>
      <c r="Q14510" s="226"/>
      <c r="R14510" s="226"/>
      <c r="S14510" s="226"/>
      <c r="T14510" s="226"/>
      <c r="U14510" s="226"/>
    </row>
    <row r="14511" spans="16:21" x14ac:dyDescent="0.35">
      <c r="P14511" s="226"/>
      <c r="Q14511" s="226"/>
      <c r="R14511" s="226"/>
      <c r="S14511" s="226"/>
      <c r="T14511" s="226"/>
      <c r="U14511" s="226"/>
    </row>
    <row r="14512" spans="16:21" x14ac:dyDescent="0.35">
      <c r="P14512" s="226"/>
      <c r="Q14512" s="226"/>
      <c r="R14512" s="226"/>
      <c r="S14512" s="226"/>
      <c r="T14512" s="226"/>
      <c r="U14512" s="226"/>
    </row>
    <row r="14513" spans="16:21" x14ac:dyDescent="0.35">
      <c r="P14513" s="226"/>
      <c r="Q14513" s="226"/>
      <c r="R14513" s="226"/>
      <c r="S14513" s="226"/>
      <c r="T14513" s="226"/>
      <c r="U14513" s="226"/>
    </row>
    <row r="14514" spans="16:21" x14ac:dyDescent="0.35">
      <c r="P14514" s="226"/>
      <c r="Q14514" s="226"/>
      <c r="R14514" s="226"/>
      <c r="S14514" s="226"/>
      <c r="T14514" s="226"/>
      <c r="U14514" s="226"/>
    </row>
    <row r="14515" spans="16:21" x14ac:dyDescent="0.35">
      <c r="P14515" s="226"/>
      <c r="Q14515" s="226"/>
      <c r="R14515" s="226"/>
      <c r="S14515" s="226"/>
      <c r="T14515" s="226"/>
      <c r="U14515" s="226"/>
    </row>
    <row r="14516" spans="16:21" x14ac:dyDescent="0.35">
      <c r="P14516" s="226"/>
      <c r="Q14516" s="226"/>
      <c r="R14516" s="226"/>
      <c r="S14516" s="226"/>
      <c r="T14516" s="226"/>
      <c r="U14516" s="226"/>
    </row>
    <row r="14517" spans="16:21" x14ac:dyDescent="0.35">
      <c r="P14517" s="226"/>
      <c r="Q14517" s="226"/>
      <c r="R14517" s="226"/>
      <c r="S14517" s="226"/>
      <c r="T14517" s="226"/>
      <c r="U14517" s="226"/>
    </row>
    <row r="14518" spans="16:21" x14ac:dyDescent="0.35">
      <c r="P14518" s="226"/>
      <c r="Q14518" s="226"/>
      <c r="R14518" s="226"/>
      <c r="S14518" s="226"/>
      <c r="T14518" s="226"/>
      <c r="U14518" s="226"/>
    </row>
    <row r="14519" spans="16:21" x14ac:dyDescent="0.35">
      <c r="P14519" s="226"/>
      <c r="Q14519" s="226"/>
      <c r="R14519" s="226"/>
      <c r="S14519" s="226"/>
      <c r="T14519" s="226"/>
      <c r="U14519" s="226"/>
    </row>
    <row r="14520" spans="16:21" x14ac:dyDescent="0.35">
      <c r="P14520" s="226"/>
      <c r="Q14520" s="226"/>
      <c r="R14520" s="226"/>
      <c r="S14520" s="226"/>
      <c r="T14520" s="226"/>
      <c r="U14520" s="226"/>
    </row>
    <row r="14521" spans="16:21" x14ac:dyDescent="0.35">
      <c r="P14521" s="226"/>
      <c r="Q14521" s="226"/>
      <c r="R14521" s="226"/>
      <c r="S14521" s="226"/>
      <c r="T14521" s="226"/>
      <c r="U14521" s="226"/>
    </row>
    <row r="14522" spans="16:21" x14ac:dyDescent="0.35">
      <c r="P14522" s="226"/>
      <c r="Q14522" s="226"/>
      <c r="R14522" s="226"/>
      <c r="S14522" s="226"/>
      <c r="T14522" s="226"/>
      <c r="U14522" s="226"/>
    </row>
    <row r="14523" spans="16:21" x14ac:dyDescent="0.35">
      <c r="P14523" s="226"/>
      <c r="Q14523" s="226"/>
      <c r="R14523" s="226"/>
      <c r="S14523" s="226"/>
      <c r="T14523" s="226"/>
      <c r="U14523" s="226"/>
    </row>
    <row r="14524" spans="16:21" x14ac:dyDescent="0.35">
      <c r="P14524" s="226"/>
      <c r="Q14524" s="226"/>
      <c r="R14524" s="226"/>
      <c r="S14524" s="226"/>
      <c r="T14524" s="226"/>
      <c r="U14524" s="226"/>
    </row>
    <row r="14525" spans="16:21" x14ac:dyDescent="0.35">
      <c r="P14525" s="226"/>
      <c r="Q14525" s="226"/>
      <c r="R14525" s="226"/>
      <c r="S14525" s="226"/>
      <c r="T14525" s="226"/>
      <c r="U14525" s="226"/>
    </row>
    <row r="14526" spans="16:21" x14ac:dyDescent="0.35">
      <c r="P14526" s="226"/>
      <c r="Q14526" s="226"/>
      <c r="R14526" s="226"/>
      <c r="S14526" s="226"/>
      <c r="T14526" s="226"/>
      <c r="U14526" s="226"/>
    </row>
    <row r="14527" spans="16:21" x14ac:dyDescent="0.35">
      <c r="P14527" s="226"/>
      <c r="Q14527" s="226"/>
      <c r="R14527" s="226"/>
      <c r="S14527" s="226"/>
      <c r="T14527" s="226"/>
      <c r="U14527" s="226"/>
    </row>
    <row r="14528" spans="16:21" x14ac:dyDescent="0.35">
      <c r="P14528" s="226"/>
      <c r="Q14528" s="226"/>
      <c r="R14528" s="226"/>
      <c r="S14528" s="226"/>
      <c r="T14528" s="226"/>
      <c r="U14528" s="226"/>
    </row>
    <row r="14529" spans="16:21" x14ac:dyDescent="0.35">
      <c r="P14529" s="226"/>
      <c r="Q14529" s="226"/>
      <c r="R14529" s="226"/>
      <c r="S14529" s="226"/>
      <c r="T14529" s="226"/>
      <c r="U14529" s="226"/>
    </row>
    <row r="14530" spans="16:21" x14ac:dyDescent="0.35">
      <c r="P14530" s="226"/>
      <c r="Q14530" s="226"/>
      <c r="R14530" s="226"/>
      <c r="S14530" s="226"/>
      <c r="T14530" s="226"/>
      <c r="U14530" s="226"/>
    </row>
    <row r="14531" spans="16:21" x14ac:dyDescent="0.35">
      <c r="P14531" s="226"/>
      <c r="Q14531" s="226"/>
      <c r="R14531" s="226"/>
      <c r="S14531" s="226"/>
      <c r="T14531" s="226"/>
      <c r="U14531" s="226"/>
    </row>
    <row r="14532" spans="16:21" x14ac:dyDescent="0.35">
      <c r="P14532" s="226"/>
      <c r="Q14532" s="226"/>
      <c r="R14532" s="226"/>
      <c r="S14532" s="226"/>
      <c r="T14532" s="226"/>
      <c r="U14532" s="226"/>
    </row>
    <row r="14533" spans="16:21" x14ac:dyDescent="0.35">
      <c r="P14533" s="226"/>
      <c r="Q14533" s="226"/>
      <c r="R14533" s="226"/>
      <c r="S14533" s="226"/>
      <c r="T14533" s="226"/>
      <c r="U14533" s="226"/>
    </row>
    <row r="14534" spans="16:21" x14ac:dyDescent="0.35">
      <c r="P14534" s="226"/>
      <c r="Q14534" s="226"/>
      <c r="R14534" s="226"/>
      <c r="S14534" s="226"/>
      <c r="T14534" s="226"/>
      <c r="U14534" s="226"/>
    </row>
    <row r="14535" spans="16:21" x14ac:dyDescent="0.35">
      <c r="P14535" s="226"/>
      <c r="Q14535" s="226"/>
      <c r="R14535" s="226"/>
      <c r="S14535" s="226"/>
      <c r="T14535" s="226"/>
      <c r="U14535" s="226"/>
    </row>
    <row r="14536" spans="16:21" x14ac:dyDescent="0.35">
      <c r="P14536" s="226"/>
      <c r="Q14536" s="226"/>
      <c r="R14536" s="226"/>
      <c r="S14536" s="226"/>
      <c r="T14536" s="226"/>
      <c r="U14536" s="226"/>
    </row>
    <row r="14537" spans="16:21" x14ac:dyDescent="0.35">
      <c r="P14537" s="226"/>
      <c r="Q14537" s="226"/>
      <c r="R14537" s="226"/>
      <c r="S14537" s="226"/>
      <c r="T14537" s="226"/>
      <c r="U14537" s="226"/>
    </row>
    <row r="14538" spans="16:21" x14ac:dyDescent="0.35">
      <c r="P14538" s="226"/>
      <c r="Q14538" s="226"/>
      <c r="R14538" s="226"/>
      <c r="S14538" s="226"/>
      <c r="T14538" s="226"/>
      <c r="U14538" s="226"/>
    </row>
    <row r="14539" spans="16:21" x14ac:dyDescent="0.35">
      <c r="P14539" s="226"/>
      <c r="Q14539" s="226"/>
      <c r="R14539" s="226"/>
      <c r="S14539" s="226"/>
      <c r="T14539" s="226"/>
      <c r="U14539" s="226"/>
    </row>
    <row r="14540" spans="16:21" x14ac:dyDescent="0.35">
      <c r="P14540" s="226"/>
      <c r="Q14540" s="226"/>
      <c r="R14540" s="226"/>
      <c r="S14540" s="226"/>
      <c r="T14540" s="226"/>
      <c r="U14540" s="226"/>
    </row>
    <row r="14541" spans="16:21" x14ac:dyDescent="0.35">
      <c r="P14541" s="226"/>
      <c r="Q14541" s="226"/>
      <c r="R14541" s="226"/>
      <c r="S14541" s="226"/>
      <c r="T14541" s="226"/>
      <c r="U14541" s="226"/>
    </row>
    <row r="14542" spans="16:21" x14ac:dyDescent="0.35">
      <c r="P14542" s="226"/>
      <c r="Q14542" s="226"/>
      <c r="R14542" s="226"/>
      <c r="S14542" s="226"/>
      <c r="T14542" s="226"/>
      <c r="U14542" s="226"/>
    </row>
    <row r="14543" spans="16:21" x14ac:dyDescent="0.35">
      <c r="P14543" s="226"/>
      <c r="Q14543" s="226"/>
      <c r="R14543" s="226"/>
      <c r="S14543" s="226"/>
      <c r="T14543" s="226"/>
      <c r="U14543" s="226"/>
    </row>
    <row r="14544" spans="16:21" x14ac:dyDescent="0.35">
      <c r="P14544" s="226"/>
      <c r="Q14544" s="226"/>
      <c r="R14544" s="226"/>
      <c r="S14544" s="226"/>
      <c r="T14544" s="226"/>
      <c r="U14544" s="226"/>
    </row>
    <row r="14545" spans="16:21" x14ac:dyDescent="0.35">
      <c r="P14545" s="226"/>
      <c r="Q14545" s="226"/>
      <c r="R14545" s="226"/>
      <c r="S14545" s="226"/>
      <c r="T14545" s="226"/>
      <c r="U14545" s="226"/>
    </row>
    <row r="14546" spans="16:21" x14ac:dyDescent="0.35">
      <c r="P14546" s="226"/>
      <c r="Q14546" s="226"/>
      <c r="R14546" s="226"/>
      <c r="S14546" s="226"/>
      <c r="T14546" s="226"/>
      <c r="U14546" s="226"/>
    </row>
    <row r="14547" spans="16:21" x14ac:dyDescent="0.35">
      <c r="P14547" s="226"/>
      <c r="Q14547" s="226"/>
      <c r="R14547" s="226"/>
      <c r="S14547" s="226"/>
      <c r="T14547" s="226"/>
      <c r="U14547" s="226"/>
    </row>
    <row r="14548" spans="16:21" x14ac:dyDescent="0.35">
      <c r="P14548" s="226"/>
      <c r="Q14548" s="226"/>
      <c r="R14548" s="226"/>
      <c r="S14548" s="226"/>
      <c r="T14548" s="226"/>
      <c r="U14548" s="226"/>
    </row>
    <row r="14549" spans="16:21" x14ac:dyDescent="0.35">
      <c r="P14549" s="226"/>
      <c r="Q14549" s="226"/>
      <c r="R14549" s="226"/>
      <c r="S14549" s="226"/>
      <c r="T14549" s="226"/>
      <c r="U14549" s="226"/>
    </row>
    <row r="14550" spans="16:21" x14ac:dyDescent="0.35">
      <c r="P14550" s="226"/>
      <c r="Q14550" s="226"/>
      <c r="R14550" s="226"/>
      <c r="S14550" s="226"/>
      <c r="T14550" s="226"/>
      <c r="U14550" s="226"/>
    </row>
    <row r="14551" spans="16:21" x14ac:dyDescent="0.35">
      <c r="P14551" s="226"/>
      <c r="Q14551" s="226"/>
      <c r="R14551" s="226"/>
      <c r="S14551" s="226"/>
      <c r="T14551" s="226"/>
      <c r="U14551" s="226"/>
    </row>
    <row r="14552" spans="16:21" x14ac:dyDescent="0.35">
      <c r="P14552" s="226"/>
      <c r="Q14552" s="226"/>
      <c r="R14552" s="226"/>
      <c r="S14552" s="226"/>
      <c r="T14552" s="226"/>
      <c r="U14552" s="226"/>
    </row>
    <row r="14553" spans="16:21" x14ac:dyDescent="0.35">
      <c r="P14553" s="226"/>
      <c r="Q14553" s="226"/>
      <c r="R14553" s="226"/>
      <c r="S14553" s="226"/>
      <c r="T14553" s="226"/>
      <c r="U14553" s="226"/>
    </row>
    <row r="14554" spans="16:21" x14ac:dyDescent="0.35">
      <c r="P14554" s="226"/>
      <c r="Q14554" s="226"/>
      <c r="R14554" s="226"/>
      <c r="S14554" s="226"/>
      <c r="T14554" s="226"/>
      <c r="U14554" s="226"/>
    </row>
    <row r="14555" spans="16:21" x14ac:dyDescent="0.35">
      <c r="P14555" s="226"/>
      <c r="Q14555" s="226"/>
      <c r="R14555" s="226"/>
      <c r="S14555" s="226"/>
      <c r="T14555" s="226"/>
      <c r="U14555" s="226"/>
    </row>
    <row r="14556" spans="16:21" x14ac:dyDescent="0.35">
      <c r="P14556" s="226"/>
      <c r="Q14556" s="226"/>
      <c r="R14556" s="226"/>
      <c r="S14556" s="226"/>
      <c r="T14556" s="226"/>
      <c r="U14556" s="226"/>
    </row>
    <row r="14557" spans="16:21" x14ac:dyDescent="0.35">
      <c r="P14557" s="226"/>
      <c r="Q14557" s="226"/>
      <c r="R14557" s="226"/>
      <c r="S14557" s="226"/>
      <c r="T14557" s="226"/>
      <c r="U14557" s="226"/>
    </row>
    <row r="14558" spans="16:21" x14ac:dyDescent="0.35">
      <c r="P14558" s="226"/>
      <c r="Q14558" s="226"/>
      <c r="R14558" s="226"/>
      <c r="S14558" s="226"/>
      <c r="T14558" s="226"/>
      <c r="U14558" s="226"/>
    </row>
    <row r="14559" spans="16:21" x14ac:dyDescent="0.35">
      <c r="P14559" s="226"/>
      <c r="Q14559" s="226"/>
      <c r="R14559" s="226"/>
      <c r="S14559" s="226"/>
      <c r="T14559" s="226"/>
      <c r="U14559" s="226"/>
    </row>
    <row r="14560" spans="16:21" x14ac:dyDescent="0.35">
      <c r="P14560" s="226"/>
      <c r="Q14560" s="226"/>
      <c r="R14560" s="226"/>
      <c r="S14560" s="226"/>
      <c r="T14560" s="226"/>
      <c r="U14560" s="226"/>
    </row>
    <row r="14561" spans="16:21" x14ac:dyDescent="0.35">
      <c r="P14561" s="226"/>
      <c r="Q14561" s="226"/>
      <c r="R14561" s="226"/>
      <c r="S14561" s="226"/>
      <c r="T14561" s="226"/>
      <c r="U14561" s="226"/>
    </row>
    <row r="14562" spans="16:21" x14ac:dyDescent="0.35">
      <c r="P14562" s="226"/>
      <c r="Q14562" s="226"/>
      <c r="R14562" s="226"/>
      <c r="S14562" s="226"/>
      <c r="T14562" s="226"/>
      <c r="U14562" s="226"/>
    </row>
    <row r="14563" spans="16:21" x14ac:dyDescent="0.35">
      <c r="P14563" s="226"/>
      <c r="Q14563" s="226"/>
      <c r="R14563" s="226"/>
      <c r="S14563" s="226"/>
      <c r="T14563" s="226"/>
      <c r="U14563" s="226"/>
    </row>
    <row r="14564" spans="16:21" x14ac:dyDescent="0.35">
      <c r="P14564" s="226"/>
      <c r="Q14564" s="226"/>
      <c r="R14564" s="226"/>
      <c r="S14564" s="226"/>
      <c r="T14564" s="226"/>
      <c r="U14564" s="226"/>
    </row>
    <row r="14565" spans="16:21" x14ac:dyDescent="0.35">
      <c r="P14565" s="226"/>
      <c r="Q14565" s="226"/>
      <c r="R14565" s="226"/>
      <c r="S14565" s="226"/>
      <c r="T14565" s="226"/>
      <c r="U14565" s="226"/>
    </row>
    <row r="14566" spans="16:21" x14ac:dyDescent="0.35">
      <c r="P14566" s="226"/>
      <c r="Q14566" s="226"/>
      <c r="R14566" s="226"/>
      <c r="S14566" s="226"/>
      <c r="T14566" s="226"/>
      <c r="U14566" s="226"/>
    </row>
    <row r="14567" spans="16:21" x14ac:dyDescent="0.35">
      <c r="P14567" s="226"/>
      <c r="Q14567" s="226"/>
      <c r="R14567" s="226"/>
      <c r="S14567" s="226"/>
      <c r="T14567" s="226"/>
      <c r="U14567" s="226"/>
    </row>
    <row r="14568" spans="16:21" x14ac:dyDescent="0.35">
      <c r="P14568" s="226"/>
      <c r="Q14568" s="226"/>
      <c r="R14568" s="226"/>
      <c r="S14568" s="226"/>
      <c r="T14568" s="226"/>
      <c r="U14568" s="226"/>
    </row>
    <row r="14569" spans="16:21" x14ac:dyDescent="0.35">
      <c r="P14569" s="226"/>
      <c r="Q14569" s="226"/>
      <c r="R14569" s="226"/>
      <c r="S14569" s="226"/>
      <c r="T14569" s="226"/>
      <c r="U14569" s="226"/>
    </row>
    <row r="14570" spans="16:21" x14ac:dyDescent="0.35">
      <c r="P14570" s="226"/>
      <c r="Q14570" s="226"/>
      <c r="R14570" s="226"/>
      <c r="S14570" s="226"/>
      <c r="T14570" s="226"/>
      <c r="U14570" s="226"/>
    </row>
    <row r="14571" spans="16:21" x14ac:dyDescent="0.35">
      <c r="P14571" s="226"/>
      <c r="Q14571" s="226"/>
      <c r="R14571" s="226"/>
      <c r="S14571" s="226"/>
      <c r="T14571" s="226"/>
      <c r="U14571" s="226"/>
    </row>
    <row r="14572" spans="16:21" x14ac:dyDescent="0.35">
      <c r="P14572" s="226"/>
      <c r="Q14572" s="226"/>
      <c r="R14572" s="226"/>
      <c r="S14572" s="226"/>
      <c r="T14572" s="226"/>
      <c r="U14572" s="226"/>
    </row>
    <row r="14573" spans="16:21" x14ac:dyDescent="0.35">
      <c r="P14573" s="226"/>
      <c r="Q14573" s="226"/>
      <c r="R14573" s="226"/>
      <c r="S14573" s="226"/>
      <c r="T14573" s="226"/>
      <c r="U14573" s="226"/>
    </row>
    <row r="14574" spans="16:21" x14ac:dyDescent="0.35">
      <c r="P14574" s="226"/>
      <c r="Q14574" s="226"/>
      <c r="R14574" s="226"/>
      <c r="S14574" s="226"/>
      <c r="T14574" s="226"/>
      <c r="U14574" s="226"/>
    </row>
    <row r="14575" spans="16:21" x14ac:dyDescent="0.35">
      <c r="P14575" s="226"/>
      <c r="Q14575" s="226"/>
      <c r="R14575" s="226"/>
      <c r="S14575" s="226"/>
      <c r="T14575" s="226"/>
      <c r="U14575" s="226"/>
    </row>
    <row r="14576" spans="16:21" x14ac:dyDescent="0.35">
      <c r="P14576" s="226"/>
      <c r="Q14576" s="226"/>
      <c r="R14576" s="226"/>
      <c r="S14576" s="226"/>
      <c r="T14576" s="226"/>
      <c r="U14576" s="226"/>
    </row>
    <row r="14577" spans="16:21" x14ac:dyDescent="0.35">
      <c r="P14577" s="226"/>
      <c r="Q14577" s="226"/>
      <c r="R14577" s="226"/>
      <c r="S14577" s="226"/>
      <c r="T14577" s="226"/>
      <c r="U14577" s="226"/>
    </row>
    <row r="14578" spans="16:21" x14ac:dyDescent="0.35">
      <c r="P14578" s="226"/>
      <c r="Q14578" s="226"/>
      <c r="R14578" s="226"/>
      <c r="S14578" s="226"/>
      <c r="T14578" s="226"/>
      <c r="U14578" s="226"/>
    </row>
    <row r="14579" spans="16:21" x14ac:dyDescent="0.35">
      <c r="P14579" s="226"/>
      <c r="Q14579" s="226"/>
      <c r="R14579" s="226"/>
      <c r="S14579" s="226"/>
      <c r="T14579" s="226"/>
      <c r="U14579" s="226"/>
    </row>
    <row r="14580" spans="16:21" x14ac:dyDescent="0.35">
      <c r="P14580" s="226"/>
      <c r="Q14580" s="226"/>
      <c r="R14580" s="226"/>
      <c r="S14580" s="226"/>
      <c r="T14580" s="226"/>
      <c r="U14580" s="226"/>
    </row>
    <row r="14581" spans="16:21" x14ac:dyDescent="0.35">
      <c r="P14581" s="226"/>
      <c r="Q14581" s="226"/>
      <c r="R14581" s="226"/>
      <c r="S14581" s="226"/>
      <c r="T14581" s="226"/>
      <c r="U14581" s="226"/>
    </row>
    <row r="14582" spans="16:21" x14ac:dyDescent="0.35">
      <c r="P14582" s="226"/>
      <c r="Q14582" s="226"/>
      <c r="R14582" s="226"/>
      <c r="S14582" s="226"/>
      <c r="T14582" s="226"/>
      <c r="U14582" s="226"/>
    </row>
    <row r="14583" spans="16:21" x14ac:dyDescent="0.35">
      <c r="P14583" s="226"/>
      <c r="Q14583" s="226"/>
      <c r="R14583" s="226"/>
      <c r="S14583" s="226"/>
      <c r="T14583" s="226"/>
      <c r="U14583" s="226"/>
    </row>
    <row r="14584" spans="16:21" x14ac:dyDescent="0.35">
      <c r="P14584" s="226"/>
      <c r="Q14584" s="226"/>
      <c r="R14584" s="226"/>
      <c r="S14584" s="226"/>
      <c r="T14584" s="226"/>
      <c r="U14584" s="226"/>
    </row>
    <row r="14585" spans="16:21" x14ac:dyDescent="0.35">
      <c r="P14585" s="226"/>
      <c r="Q14585" s="226"/>
      <c r="R14585" s="226"/>
      <c r="S14585" s="226"/>
      <c r="T14585" s="226"/>
      <c r="U14585" s="226"/>
    </row>
    <row r="14586" spans="16:21" x14ac:dyDescent="0.35">
      <c r="P14586" s="226"/>
      <c r="Q14586" s="226"/>
      <c r="R14586" s="226"/>
      <c r="S14586" s="226"/>
      <c r="T14586" s="226"/>
      <c r="U14586" s="226"/>
    </row>
    <row r="14587" spans="16:21" x14ac:dyDescent="0.35">
      <c r="P14587" s="226"/>
      <c r="Q14587" s="226"/>
      <c r="R14587" s="226"/>
      <c r="S14587" s="226"/>
      <c r="T14587" s="226"/>
      <c r="U14587" s="226"/>
    </row>
    <row r="14588" spans="16:21" x14ac:dyDescent="0.35">
      <c r="P14588" s="226"/>
      <c r="Q14588" s="226"/>
      <c r="R14588" s="226"/>
      <c r="S14588" s="226"/>
      <c r="T14588" s="226"/>
      <c r="U14588" s="226"/>
    </row>
    <row r="14589" spans="16:21" x14ac:dyDescent="0.35">
      <c r="P14589" s="226"/>
      <c r="Q14589" s="226"/>
      <c r="R14589" s="226"/>
      <c r="S14589" s="226"/>
      <c r="T14589" s="226"/>
      <c r="U14589" s="226"/>
    </row>
    <row r="14590" spans="16:21" x14ac:dyDescent="0.35">
      <c r="P14590" s="226"/>
      <c r="Q14590" s="226"/>
      <c r="R14590" s="226"/>
      <c r="S14590" s="226"/>
      <c r="T14590" s="226"/>
      <c r="U14590" s="226"/>
    </row>
    <row r="14591" spans="16:21" x14ac:dyDescent="0.35">
      <c r="P14591" s="226"/>
      <c r="Q14591" s="226"/>
      <c r="R14591" s="226"/>
      <c r="S14591" s="226"/>
      <c r="T14591" s="226"/>
      <c r="U14591" s="226"/>
    </row>
    <row r="14592" spans="16:21" x14ac:dyDescent="0.35">
      <c r="P14592" s="226"/>
      <c r="Q14592" s="226"/>
      <c r="R14592" s="226"/>
      <c r="S14592" s="226"/>
      <c r="T14592" s="226"/>
      <c r="U14592" s="226"/>
    </row>
    <row r="14593" spans="16:21" x14ac:dyDescent="0.35">
      <c r="P14593" s="226"/>
      <c r="Q14593" s="226"/>
      <c r="R14593" s="226"/>
      <c r="S14593" s="226"/>
      <c r="T14593" s="226"/>
      <c r="U14593" s="226"/>
    </row>
    <row r="14594" spans="16:21" x14ac:dyDescent="0.35">
      <c r="P14594" s="226"/>
      <c r="Q14594" s="226"/>
      <c r="R14594" s="226"/>
      <c r="S14594" s="226"/>
      <c r="T14594" s="226"/>
      <c r="U14594" s="226"/>
    </row>
    <row r="14595" spans="16:21" x14ac:dyDescent="0.35">
      <c r="P14595" s="226"/>
      <c r="Q14595" s="226"/>
      <c r="R14595" s="226"/>
      <c r="S14595" s="226"/>
      <c r="T14595" s="226"/>
      <c r="U14595" s="226"/>
    </row>
    <row r="14596" spans="16:21" x14ac:dyDescent="0.35">
      <c r="P14596" s="226"/>
      <c r="Q14596" s="226"/>
      <c r="R14596" s="226"/>
      <c r="S14596" s="226"/>
      <c r="T14596" s="226"/>
      <c r="U14596" s="226"/>
    </row>
    <row r="14597" spans="16:21" x14ac:dyDescent="0.35">
      <c r="P14597" s="226"/>
      <c r="Q14597" s="226"/>
      <c r="R14597" s="226"/>
      <c r="S14597" s="226"/>
      <c r="T14597" s="226"/>
      <c r="U14597" s="226"/>
    </row>
    <row r="14598" spans="16:21" x14ac:dyDescent="0.35">
      <c r="P14598" s="226"/>
      <c r="Q14598" s="226"/>
      <c r="R14598" s="226"/>
      <c r="S14598" s="226"/>
      <c r="T14598" s="226"/>
      <c r="U14598" s="226"/>
    </row>
    <row r="14599" spans="16:21" x14ac:dyDescent="0.35">
      <c r="P14599" s="226"/>
      <c r="Q14599" s="226"/>
      <c r="R14599" s="226"/>
      <c r="S14599" s="226"/>
      <c r="T14599" s="226"/>
      <c r="U14599" s="226"/>
    </row>
    <row r="14600" spans="16:21" x14ac:dyDescent="0.35">
      <c r="P14600" s="226"/>
      <c r="Q14600" s="226"/>
      <c r="R14600" s="226"/>
      <c r="S14600" s="226"/>
      <c r="T14600" s="226"/>
      <c r="U14600" s="226"/>
    </row>
    <row r="14601" spans="16:21" x14ac:dyDescent="0.35">
      <c r="P14601" s="226"/>
      <c r="Q14601" s="226"/>
      <c r="R14601" s="226"/>
      <c r="S14601" s="226"/>
      <c r="T14601" s="226"/>
      <c r="U14601" s="226"/>
    </row>
    <row r="14602" spans="16:21" x14ac:dyDescent="0.35">
      <c r="P14602" s="226"/>
      <c r="Q14602" s="226"/>
      <c r="R14602" s="226"/>
      <c r="S14602" s="226"/>
      <c r="T14602" s="226"/>
      <c r="U14602" s="226"/>
    </row>
    <row r="14603" spans="16:21" x14ac:dyDescent="0.35">
      <c r="P14603" s="226"/>
      <c r="Q14603" s="226"/>
      <c r="R14603" s="226"/>
      <c r="S14603" s="226"/>
      <c r="T14603" s="226"/>
      <c r="U14603" s="226"/>
    </row>
    <row r="14604" spans="16:21" x14ac:dyDescent="0.35">
      <c r="P14604" s="226"/>
      <c r="Q14604" s="226"/>
      <c r="R14604" s="226"/>
      <c r="S14604" s="226"/>
      <c r="T14604" s="226"/>
      <c r="U14604" s="226"/>
    </row>
    <row r="14605" spans="16:21" x14ac:dyDescent="0.35">
      <c r="P14605" s="226"/>
      <c r="Q14605" s="226"/>
      <c r="R14605" s="226"/>
      <c r="S14605" s="226"/>
      <c r="T14605" s="226"/>
      <c r="U14605" s="226"/>
    </row>
    <row r="14606" spans="16:21" x14ac:dyDescent="0.35">
      <c r="P14606" s="226"/>
      <c r="Q14606" s="226"/>
      <c r="R14606" s="226"/>
      <c r="S14606" s="226"/>
      <c r="T14606" s="226"/>
      <c r="U14606" s="226"/>
    </row>
    <row r="14607" spans="16:21" x14ac:dyDescent="0.35">
      <c r="P14607" s="226"/>
      <c r="Q14607" s="226"/>
      <c r="R14607" s="226"/>
      <c r="S14607" s="226"/>
      <c r="T14607" s="226"/>
      <c r="U14607" s="226"/>
    </row>
    <row r="14608" spans="16:21" x14ac:dyDescent="0.35">
      <c r="P14608" s="226"/>
      <c r="Q14608" s="226"/>
      <c r="R14608" s="226"/>
      <c r="S14608" s="226"/>
      <c r="T14608" s="226"/>
      <c r="U14608" s="226"/>
    </row>
    <row r="14609" spans="16:21" x14ac:dyDescent="0.35">
      <c r="P14609" s="226"/>
      <c r="Q14609" s="226"/>
      <c r="R14609" s="226"/>
      <c r="S14609" s="226"/>
      <c r="T14609" s="226"/>
      <c r="U14609" s="226"/>
    </row>
    <row r="14610" spans="16:21" x14ac:dyDescent="0.35">
      <c r="P14610" s="226"/>
      <c r="Q14610" s="226"/>
      <c r="R14610" s="226"/>
      <c r="S14610" s="226"/>
      <c r="T14610" s="226"/>
      <c r="U14610" s="226"/>
    </row>
    <row r="14611" spans="16:21" x14ac:dyDescent="0.35">
      <c r="P14611" s="226"/>
      <c r="Q14611" s="226"/>
      <c r="R14611" s="226"/>
      <c r="S14611" s="226"/>
      <c r="T14611" s="226"/>
      <c r="U14611" s="226"/>
    </row>
    <row r="14612" spans="16:21" x14ac:dyDescent="0.35">
      <c r="P14612" s="226"/>
      <c r="Q14612" s="226"/>
      <c r="R14612" s="226"/>
      <c r="S14612" s="226"/>
      <c r="T14612" s="226"/>
      <c r="U14612" s="226"/>
    </row>
    <row r="14613" spans="16:21" x14ac:dyDescent="0.35">
      <c r="P14613" s="226"/>
      <c r="Q14613" s="226"/>
      <c r="R14613" s="226"/>
      <c r="S14613" s="226"/>
      <c r="T14613" s="226"/>
      <c r="U14613" s="226"/>
    </row>
    <row r="14614" spans="16:21" x14ac:dyDescent="0.35">
      <c r="P14614" s="226"/>
      <c r="Q14614" s="226"/>
      <c r="R14614" s="226"/>
      <c r="S14614" s="226"/>
      <c r="T14614" s="226"/>
      <c r="U14614" s="226"/>
    </row>
    <row r="14615" spans="16:21" x14ac:dyDescent="0.35">
      <c r="P14615" s="226"/>
      <c r="Q14615" s="226"/>
      <c r="R14615" s="226"/>
      <c r="S14615" s="226"/>
      <c r="T14615" s="226"/>
      <c r="U14615" s="226"/>
    </row>
    <row r="14616" spans="16:21" x14ac:dyDescent="0.35">
      <c r="P14616" s="226"/>
      <c r="Q14616" s="226"/>
      <c r="R14616" s="226"/>
      <c r="S14616" s="226"/>
      <c r="T14616" s="226"/>
      <c r="U14616" s="226"/>
    </row>
    <row r="14617" spans="16:21" x14ac:dyDescent="0.35">
      <c r="P14617" s="226"/>
      <c r="Q14617" s="226"/>
      <c r="R14617" s="226"/>
      <c r="S14617" s="226"/>
      <c r="T14617" s="226"/>
      <c r="U14617" s="226"/>
    </row>
    <row r="14618" spans="16:21" x14ac:dyDescent="0.35">
      <c r="P14618" s="226"/>
      <c r="Q14618" s="226"/>
      <c r="R14618" s="226"/>
      <c r="S14618" s="226"/>
      <c r="T14618" s="226"/>
      <c r="U14618" s="226"/>
    </row>
    <row r="14619" spans="16:21" x14ac:dyDescent="0.35">
      <c r="P14619" s="226"/>
      <c r="Q14619" s="226"/>
      <c r="R14619" s="226"/>
      <c r="S14619" s="226"/>
      <c r="T14619" s="226"/>
      <c r="U14619" s="226"/>
    </row>
    <row r="14620" spans="16:21" x14ac:dyDescent="0.35">
      <c r="P14620" s="226"/>
      <c r="Q14620" s="226"/>
      <c r="R14620" s="226"/>
      <c r="S14620" s="226"/>
      <c r="T14620" s="226"/>
      <c r="U14620" s="226"/>
    </row>
    <row r="14621" spans="16:21" x14ac:dyDescent="0.35">
      <c r="P14621" s="226"/>
      <c r="Q14621" s="226"/>
      <c r="R14621" s="226"/>
      <c r="S14621" s="226"/>
      <c r="T14621" s="226"/>
      <c r="U14621" s="226"/>
    </row>
    <row r="14622" spans="16:21" x14ac:dyDescent="0.35">
      <c r="P14622" s="226"/>
      <c r="Q14622" s="226"/>
      <c r="R14622" s="226"/>
      <c r="S14622" s="226"/>
      <c r="T14622" s="226"/>
      <c r="U14622" s="226"/>
    </row>
    <row r="14623" spans="16:21" x14ac:dyDescent="0.35">
      <c r="P14623" s="226"/>
      <c r="Q14623" s="226"/>
      <c r="R14623" s="226"/>
      <c r="S14623" s="226"/>
      <c r="T14623" s="226"/>
      <c r="U14623" s="226"/>
    </row>
    <row r="14624" spans="16:21" x14ac:dyDescent="0.35">
      <c r="P14624" s="226"/>
      <c r="Q14624" s="226"/>
      <c r="R14624" s="226"/>
      <c r="S14624" s="226"/>
      <c r="T14624" s="226"/>
      <c r="U14624" s="226"/>
    </row>
    <row r="14625" spans="16:21" x14ac:dyDescent="0.35">
      <c r="P14625" s="226"/>
      <c r="Q14625" s="226"/>
      <c r="R14625" s="226"/>
      <c r="S14625" s="226"/>
      <c r="T14625" s="226"/>
      <c r="U14625" s="226"/>
    </row>
    <row r="14626" spans="16:21" x14ac:dyDescent="0.35">
      <c r="P14626" s="226"/>
      <c r="Q14626" s="226"/>
      <c r="R14626" s="226"/>
      <c r="S14626" s="226"/>
      <c r="T14626" s="226"/>
      <c r="U14626" s="226"/>
    </row>
    <row r="14627" spans="16:21" x14ac:dyDescent="0.35">
      <c r="P14627" s="226"/>
      <c r="Q14627" s="226"/>
      <c r="R14627" s="226"/>
      <c r="S14627" s="226"/>
      <c r="T14627" s="226"/>
      <c r="U14627" s="226"/>
    </row>
    <row r="14628" spans="16:21" x14ac:dyDescent="0.35">
      <c r="P14628" s="226"/>
      <c r="Q14628" s="226"/>
      <c r="R14628" s="226"/>
      <c r="S14628" s="226"/>
      <c r="T14628" s="226"/>
      <c r="U14628" s="226"/>
    </row>
    <row r="14629" spans="16:21" x14ac:dyDescent="0.35">
      <c r="P14629" s="226"/>
      <c r="Q14629" s="226"/>
      <c r="R14629" s="226"/>
      <c r="S14629" s="226"/>
      <c r="T14629" s="226"/>
      <c r="U14629" s="226"/>
    </row>
    <row r="14630" spans="16:21" x14ac:dyDescent="0.35">
      <c r="P14630" s="226"/>
      <c r="Q14630" s="226"/>
      <c r="R14630" s="226"/>
      <c r="S14630" s="226"/>
      <c r="T14630" s="226"/>
      <c r="U14630" s="226"/>
    </row>
    <row r="14631" spans="16:21" x14ac:dyDescent="0.35">
      <c r="P14631" s="226"/>
      <c r="Q14631" s="226"/>
      <c r="R14631" s="226"/>
      <c r="S14631" s="226"/>
      <c r="T14631" s="226"/>
      <c r="U14631" s="226"/>
    </row>
    <row r="14632" spans="16:21" x14ac:dyDescent="0.35">
      <c r="P14632" s="226"/>
      <c r="Q14632" s="226"/>
      <c r="R14632" s="226"/>
      <c r="S14632" s="226"/>
      <c r="T14632" s="226"/>
      <c r="U14632" s="226"/>
    </row>
    <row r="14633" spans="16:21" x14ac:dyDescent="0.35">
      <c r="P14633" s="226"/>
      <c r="Q14633" s="226"/>
      <c r="R14633" s="226"/>
      <c r="S14633" s="226"/>
      <c r="T14633" s="226"/>
      <c r="U14633" s="226"/>
    </row>
    <row r="14634" spans="16:21" x14ac:dyDescent="0.35">
      <c r="P14634" s="226"/>
      <c r="Q14634" s="226"/>
      <c r="R14634" s="226"/>
      <c r="S14634" s="226"/>
      <c r="T14634" s="226"/>
      <c r="U14634" s="226"/>
    </row>
    <row r="14635" spans="16:21" x14ac:dyDescent="0.35">
      <c r="P14635" s="226"/>
      <c r="Q14635" s="226"/>
      <c r="R14635" s="226"/>
      <c r="S14635" s="226"/>
      <c r="T14635" s="226"/>
      <c r="U14635" s="226"/>
    </row>
    <row r="14636" spans="16:21" x14ac:dyDescent="0.35">
      <c r="P14636" s="226"/>
      <c r="Q14636" s="226"/>
      <c r="R14636" s="226"/>
      <c r="S14636" s="226"/>
      <c r="T14636" s="226"/>
      <c r="U14636" s="226"/>
    </row>
    <row r="14637" spans="16:21" x14ac:dyDescent="0.35">
      <c r="P14637" s="226"/>
      <c r="Q14637" s="226"/>
      <c r="R14637" s="226"/>
      <c r="S14637" s="226"/>
      <c r="T14637" s="226"/>
      <c r="U14637" s="226"/>
    </row>
    <row r="14638" spans="16:21" x14ac:dyDescent="0.35">
      <c r="P14638" s="226"/>
      <c r="Q14638" s="226"/>
      <c r="R14638" s="226"/>
      <c r="S14638" s="226"/>
      <c r="T14638" s="226"/>
      <c r="U14638" s="226"/>
    </row>
    <row r="14639" spans="16:21" x14ac:dyDescent="0.35">
      <c r="P14639" s="226"/>
      <c r="Q14639" s="226"/>
      <c r="R14639" s="226"/>
      <c r="S14639" s="226"/>
      <c r="T14639" s="226"/>
      <c r="U14639" s="226"/>
    </row>
    <row r="14640" spans="16:21" x14ac:dyDescent="0.35">
      <c r="P14640" s="226"/>
      <c r="Q14640" s="226"/>
      <c r="R14640" s="226"/>
      <c r="S14640" s="226"/>
      <c r="T14640" s="226"/>
      <c r="U14640" s="226"/>
    </row>
    <row r="14641" spans="16:21" x14ac:dyDescent="0.35">
      <c r="P14641" s="226"/>
      <c r="Q14641" s="226"/>
      <c r="R14641" s="226"/>
      <c r="S14641" s="226"/>
      <c r="T14641" s="226"/>
      <c r="U14641" s="226"/>
    </row>
    <row r="14642" spans="16:21" x14ac:dyDescent="0.35">
      <c r="P14642" s="226"/>
      <c r="Q14642" s="226"/>
      <c r="R14642" s="226"/>
      <c r="S14642" s="226"/>
      <c r="T14642" s="226"/>
      <c r="U14642" s="226"/>
    </row>
    <row r="14643" spans="16:21" x14ac:dyDescent="0.35">
      <c r="P14643" s="226"/>
      <c r="Q14643" s="226"/>
      <c r="R14643" s="226"/>
      <c r="S14643" s="226"/>
      <c r="T14643" s="226"/>
      <c r="U14643" s="226"/>
    </row>
    <row r="14644" spans="16:21" x14ac:dyDescent="0.35">
      <c r="P14644" s="226"/>
      <c r="Q14644" s="226"/>
      <c r="R14644" s="226"/>
      <c r="S14644" s="226"/>
      <c r="T14644" s="226"/>
      <c r="U14644" s="226"/>
    </row>
    <row r="14645" spans="16:21" x14ac:dyDescent="0.35">
      <c r="P14645" s="226"/>
      <c r="Q14645" s="226"/>
      <c r="R14645" s="226"/>
      <c r="S14645" s="226"/>
      <c r="T14645" s="226"/>
      <c r="U14645" s="226"/>
    </row>
    <row r="14646" spans="16:21" x14ac:dyDescent="0.35">
      <c r="P14646" s="226"/>
      <c r="Q14646" s="226"/>
      <c r="R14646" s="226"/>
      <c r="S14646" s="226"/>
      <c r="T14646" s="226"/>
      <c r="U14646" s="226"/>
    </row>
    <row r="14647" spans="16:21" x14ac:dyDescent="0.35">
      <c r="P14647" s="226"/>
      <c r="Q14647" s="226"/>
      <c r="R14647" s="226"/>
      <c r="S14647" s="226"/>
      <c r="T14647" s="226"/>
      <c r="U14647" s="226"/>
    </row>
    <row r="14648" spans="16:21" x14ac:dyDescent="0.35">
      <c r="P14648" s="226"/>
      <c r="Q14648" s="226"/>
      <c r="R14648" s="226"/>
      <c r="S14648" s="226"/>
      <c r="T14648" s="226"/>
      <c r="U14648" s="226"/>
    </row>
    <row r="14649" spans="16:21" x14ac:dyDescent="0.35">
      <c r="P14649" s="226"/>
      <c r="Q14649" s="226"/>
      <c r="R14649" s="226"/>
      <c r="S14649" s="226"/>
      <c r="T14649" s="226"/>
      <c r="U14649" s="226"/>
    </row>
    <row r="14650" spans="16:21" x14ac:dyDescent="0.35">
      <c r="P14650" s="226"/>
      <c r="Q14650" s="226"/>
      <c r="R14650" s="226"/>
      <c r="S14650" s="226"/>
      <c r="T14650" s="226"/>
      <c r="U14650" s="226"/>
    </row>
    <row r="14651" spans="16:21" x14ac:dyDescent="0.35">
      <c r="P14651" s="226"/>
      <c r="Q14651" s="226"/>
      <c r="R14651" s="226"/>
      <c r="S14651" s="226"/>
      <c r="T14651" s="226"/>
      <c r="U14651" s="226"/>
    </row>
    <row r="14652" spans="16:21" x14ac:dyDescent="0.35">
      <c r="P14652" s="226"/>
      <c r="Q14652" s="226"/>
      <c r="R14652" s="226"/>
      <c r="S14652" s="226"/>
      <c r="T14652" s="226"/>
      <c r="U14652" s="226"/>
    </row>
    <row r="14653" spans="16:21" x14ac:dyDescent="0.35">
      <c r="P14653" s="226"/>
      <c r="Q14653" s="226"/>
      <c r="R14653" s="226"/>
      <c r="S14653" s="226"/>
      <c r="T14653" s="226"/>
      <c r="U14653" s="226"/>
    </row>
    <row r="14654" spans="16:21" x14ac:dyDescent="0.35">
      <c r="P14654" s="226"/>
      <c r="Q14654" s="226"/>
      <c r="R14654" s="226"/>
      <c r="S14654" s="226"/>
      <c r="T14654" s="226"/>
      <c r="U14654" s="226"/>
    </row>
    <row r="14655" spans="16:21" x14ac:dyDescent="0.35">
      <c r="P14655" s="226"/>
      <c r="Q14655" s="226"/>
      <c r="R14655" s="226"/>
      <c r="S14655" s="226"/>
      <c r="T14655" s="226"/>
      <c r="U14655" s="226"/>
    </row>
    <row r="14656" spans="16:21" x14ac:dyDescent="0.35">
      <c r="P14656" s="226"/>
      <c r="Q14656" s="226"/>
      <c r="R14656" s="226"/>
      <c r="S14656" s="226"/>
      <c r="T14656" s="226"/>
      <c r="U14656" s="226"/>
    </row>
    <row r="14657" spans="16:21" x14ac:dyDescent="0.35">
      <c r="P14657" s="226"/>
      <c r="Q14657" s="226"/>
      <c r="R14657" s="226"/>
      <c r="S14657" s="226"/>
      <c r="T14657" s="226"/>
      <c r="U14657" s="226"/>
    </row>
    <row r="14658" spans="16:21" x14ac:dyDescent="0.35">
      <c r="P14658" s="226"/>
      <c r="Q14658" s="226"/>
      <c r="R14658" s="226"/>
      <c r="S14658" s="226"/>
      <c r="T14658" s="226"/>
      <c r="U14658" s="226"/>
    </row>
    <row r="14659" spans="16:21" x14ac:dyDescent="0.35">
      <c r="P14659" s="226"/>
      <c r="Q14659" s="226"/>
      <c r="R14659" s="226"/>
      <c r="S14659" s="226"/>
      <c r="T14659" s="226"/>
      <c r="U14659" s="226"/>
    </row>
    <row r="14660" spans="16:21" x14ac:dyDescent="0.35">
      <c r="P14660" s="226"/>
      <c r="Q14660" s="226"/>
      <c r="R14660" s="226"/>
      <c r="S14660" s="226"/>
      <c r="T14660" s="226"/>
      <c r="U14660" s="226"/>
    </row>
    <row r="14661" spans="16:21" x14ac:dyDescent="0.35">
      <c r="P14661" s="226"/>
      <c r="Q14661" s="226"/>
      <c r="R14661" s="226"/>
      <c r="S14661" s="226"/>
      <c r="T14661" s="226"/>
      <c r="U14661" s="226"/>
    </row>
    <row r="14662" spans="16:21" x14ac:dyDescent="0.35">
      <c r="P14662" s="226"/>
      <c r="Q14662" s="226"/>
      <c r="R14662" s="226"/>
      <c r="S14662" s="226"/>
      <c r="T14662" s="226"/>
      <c r="U14662" s="226"/>
    </row>
    <row r="14663" spans="16:21" x14ac:dyDescent="0.35">
      <c r="P14663" s="226"/>
      <c r="Q14663" s="226"/>
      <c r="R14663" s="226"/>
      <c r="S14663" s="226"/>
      <c r="T14663" s="226"/>
      <c r="U14663" s="226"/>
    </row>
    <row r="14664" spans="16:21" x14ac:dyDescent="0.35">
      <c r="P14664" s="226"/>
      <c r="Q14664" s="226"/>
      <c r="R14664" s="226"/>
      <c r="S14664" s="226"/>
      <c r="T14664" s="226"/>
      <c r="U14664" s="226"/>
    </row>
    <row r="14665" spans="16:21" x14ac:dyDescent="0.35">
      <c r="P14665" s="226"/>
      <c r="Q14665" s="226"/>
      <c r="R14665" s="226"/>
      <c r="S14665" s="226"/>
      <c r="T14665" s="226"/>
      <c r="U14665" s="226"/>
    </row>
    <row r="14666" spans="16:21" x14ac:dyDescent="0.35">
      <c r="P14666" s="226"/>
      <c r="Q14666" s="226"/>
      <c r="R14666" s="226"/>
      <c r="S14666" s="226"/>
      <c r="T14666" s="226"/>
      <c r="U14666" s="226"/>
    </row>
    <row r="14667" spans="16:21" x14ac:dyDescent="0.35">
      <c r="P14667" s="226"/>
      <c r="Q14667" s="226"/>
      <c r="R14667" s="226"/>
      <c r="S14667" s="226"/>
      <c r="T14667" s="226"/>
      <c r="U14667" s="226"/>
    </row>
    <row r="14668" spans="16:21" x14ac:dyDescent="0.35">
      <c r="P14668" s="226"/>
      <c r="Q14668" s="226"/>
      <c r="R14668" s="226"/>
      <c r="S14668" s="226"/>
      <c r="T14668" s="226"/>
      <c r="U14668" s="226"/>
    </row>
    <row r="14669" spans="16:21" x14ac:dyDescent="0.35">
      <c r="P14669" s="226"/>
      <c r="Q14669" s="226"/>
      <c r="R14669" s="226"/>
      <c r="S14669" s="226"/>
      <c r="T14669" s="226"/>
      <c r="U14669" s="226"/>
    </row>
    <row r="14670" spans="16:21" x14ac:dyDescent="0.35">
      <c r="P14670" s="226"/>
      <c r="Q14670" s="226"/>
      <c r="R14670" s="226"/>
      <c r="S14670" s="226"/>
      <c r="T14670" s="226"/>
      <c r="U14670" s="226"/>
    </row>
    <row r="14671" spans="16:21" x14ac:dyDescent="0.35">
      <c r="P14671" s="226"/>
      <c r="Q14671" s="226"/>
      <c r="R14671" s="226"/>
      <c r="S14671" s="226"/>
      <c r="T14671" s="226"/>
      <c r="U14671" s="226"/>
    </row>
    <row r="14672" spans="16:21" x14ac:dyDescent="0.35">
      <c r="P14672" s="226"/>
      <c r="Q14672" s="226"/>
      <c r="R14672" s="226"/>
      <c r="S14672" s="226"/>
      <c r="T14672" s="226"/>
      <c r="U14672" s="226"/>
    </row>
    <row r="14673" spans="16:21" x14ac:dyDescent="0.35">
      <c r="P14673" s="226"/>
      <c r="Q14673" s="226"/>
      <c r="R14673" s="226"/>
      <c r="S14673" s="226"/>
      <c r="T14673" s="226"/>
      <c r="U14673" s="226"/>
    </row>
    <row r="14674" spans="16:21" x14ac:dyDescent="0.35">
      <c r="P14674" s="226"/>
      <c r="Q14674" s="226"/>
      <c r="R14674" s="226"/>
      <c r="S14674" s="226"/>
      <c r="T14674" s="226"/>
      <c r="U14674" s="226"/>
    </row>
    <row r="14675" spans="16:21" x14ac:dyDescent="0.35">
      <c r="P14675" s="226"/>
      <c r="Q14675" s="226"/>
      <c r="R14675" s="226"/>
      <c r="S14675" s="226"/>
      <c r="T14675" s="226"/>
      <c r="U14675" s="226"/>
    </row>
    <row r="14676" spans="16:21" x14ac:dyDescent="0.35">
      <c r="P14676" s="226"/>
      <c r="Q14676" s="226"/>
      <c r="R14676" s="226"/>
      <c r="S14676" s="226"/>
      <c r="T14676" s="226"/>
      <c r="U14676" s="226"/>
    </row>
    <row r="14677" spans="16:21" x14ac:dyDescent="0.35">
      <c r="P14677" s="226"/>
      <c r="Q14677" s="226"/>
      <c r="R14677" s="226"/>
      <c r="S14677" s="226"/>
      <c r="T14677" s="226"/>
      <c r="U14677" s="226"/>
    </row>
    <row r="14678" spans="16:21" x14ac:dyDescent="0.35">
      <c r="P14678" s="226"/>
      <c r="Q14678" s="226"/>
      <c r="R14678" s="226"/>
      <c r="S14678" s="226"/>
      <c r="T14678" s="226"/>
      <c r="U14678" s="226"/>
    </row>
    <row r="14679" spans="16:21" x14ac:dyDescent="0.35">
      <c r="P14679" s="226"/>
      <c r="Q14679" s="226"/>
      <c r="R14679" s="226"/>
      <c r="S14679" s="226"/>
      <c r="T14679" s="226"/>
      <c r="U14679" s="226"/>
    </row>
    <row r="14680" spans="16:21" x14ac:dyDescent="0.35">
      <c r="P14680" s="226"/>
      <c r="Q14680" s="226"/>
      <c r="R14680" s="226"/>
      <c r="S14680" s="226"/>
      <c r="T14680" s="226"/>
      <c r="U14680" s="226"/>
    </row>
    <row r="14681" spans="16:21" x14ac:dyDescent="0.35">
      <c r="P14681" s="226"/>
      <c r="Q14681" s="226"/>
      <c r="R14681" s="226"/>
      <c r="S14681" s="226"/>
      <c r="T14681" s="226"/>
      <c r="U14681" s="226"/>
    </row>
    <row r="14682" spans="16:21" x14ac:dyDescent="0.35">
      <c r="P14682" s="226"/>
      <c r="Q14682" s="226"/>
      <c r="R14682" s="226"/>
      <c r="S14682" s="226"/>
      <c r="T14682" s="226"/>
      <c r="U14682" s="226"/>
    </row>
    <row r="14683" spans="16:21" x14ac:dyDescent="0.35">
      <c r="P14683" s="226"/>
      <c r="Q14683" s="226"/>
      <c r="R14683" s="226"/>
      <c r="S14683" s="226"/>
      <c r="T14683" s="226"/>
      <c r="U14683" s="226"/>
    </row>
    <row r="14684" spans="16:21" x14ac:dyDescent="0.35">
      <c r="P14684" s="226"/>
      <c r="Q14684" s="226"/>
      <c r="R14684" s="226"/>
      <c r="S14684" s="226"/>
      <c r="T14684" s="226"/>
      <c r="U14684" s="226"/>
    </row>
    <row r="14685" spans="16:21" x14ac:dyDescent="0.35">
      <c r="P14685" s="226"/>
      <c r="Q14685" s="226"/>
      <c r="R14685" s="226"/>
      <c r="S14685" s="226"/>
      <c r="T14685" s="226"/>
      <c r="U14685" s="226"/>
    </row>
    <row r="14686" spans="16:21" x14ac:dyDescent="0.35">
      <c r="P14686" s="226"/>
      <c r="Q14686" s="226"/>
      <c r="R14686" s="226"/>
      <c r="S14686" s="226"/>
      <c r="T14686" s="226"/>
      <c r="U14686" s="226"/>
    </row>
    <row r="14687" spans="16:21" x14ac:dyDescent="0.35">
      <c r="P14687" s="226"/>
      <c r="Q14687" s="226"/>
      <c r="R14687" s="226"/>
      <c r="S14687" s="226"/>
      <c r="T14687" s="226"/>
      <c r="U14687" s="226"/>
    </row>
    <row r="14688" spans="16:21" x14ac:dyDescent="0.35">
      <c r="P14688" s="226"/>
      <c r="Q14688" s="226"/>
      <c r="R14688" s="226"/>
      <c r="S14688" s="226"/>
      <c r="T14688" s="226"/>
      <c r="U14688" s="226"/>
    </row>
    <row r="14689" spans="16:21" x14ac:dyDescent="0.35">
      <c r="P14689" s="226"/>
      <c r="Q14689" s="226"/>
      <c r="R14689" s="226"/>
      <c r="S14689" s="226"/>
      <c r="T14689" s="226"/>
      <c r="U14689" s="226"/>
    </row>
    <row r="14690" spans="16:21" x14ac:dyDescent="0.35">
      <c r="P14690" s="226"/>
      <c r="Q14690" s="226"/>
      <c r="R14690" s="226"/>
      <c r="S14690" s="226"/>
      <c r="T14690" s="226"/>
      <c r="U14690" s="226"/>
    </row>
    <row r="14691" spans="16:21" x14ac:dyDescent="0.35">
      <c r="P14691" s="226"/>
      <c r="Q14691" s="226"/>
      <c r="R14691" s="226"/>
      <c r="S14691" s="226"/>
      <c r="T14691" s="226"/>
      <c r="U14691" s="226"/>
    </row>
    <row r="14692" spans="16:21" x14ac:dyDescent="0.35">
      <c r="P14692" s="226"/>
      <c r="Q14692" s="226"/>
      <c r="R14692" s="226"/>
      <c r="S14692" s="226"/>
      <c r="T14692" s="226"/>
      <c r="U14692" s="226"/>
    </row>
    <row r="14693" spans="16:21" x14ac:dyDescent="0.35">
      <c r="P14693" s="226"/>
      <c r="Q14693" s="226"/>
      <c r="R14693" s="226"/>
      <c r="S14693" s="226"/>
      <c r="T14693" s="226"/>
      <c r="U14693" s="226"/>
    </row>
    <row r="14694" spans="16:21" x14ac:dyDescent="0.35">
      <c r="P14694" s="226"/>
      <c r="Q14694" s="226"/>
      <c r="R14694" s="226"/>
      <c r="S14694" s="226"/>
      <c r="T14694" s="226"/>
      <c r="U14694" s="226"/>
    </row>
    <row r="14695" spans="16:21" x14ac:dyDescent="0.35">
      <c r="P14695" s="226"/>
      <c r="Q14695" s="226"/>
      <c r="R14695" s="226"/>
      <c r="S14695" s="226"/>
      <c r="T14695" s="226"/>
      <c r="U14695" s="226"/>
    </row>
    <row r="14696" spans="16:21" x14ac:dyDescent="0.35">
      <c r="P14696" s="226"/>
      <c r="Q14696" s="226"/>
      <c r="R14696" s="226"/>
      <c r="S14696" s="226"/>
      <c r="T14696" s="226"/>
      <c r="U14696" s="226"/>
    </row>
    <row r="14697" spans="16:21" x14ac:dyDescent="0.35">
      <c r="P14697" s="226"/>
      <c r="Q14697" s="226"/>
      <c r="R14697" s="226"/>
      <c r="S14697" s="226"/>
      <c r="T14697" s="226"/>
      <c r="U14697" s="226"/>
    </row>
    <row r="14698" spans="16:21" x14ac:dyDescent="0.35">
      <c r="P14698" s="226"/>
      <c r="Q14698" s="226"/>
      <c r="R14698" s="226"/>
      <c r="S14698" s="226"/>
      <c r="T14698" s="226"/>
      <c r="U14698" s="226"/>
    </row>
    <row r="14699" spans="16:21" x14ac:dyDescent="0.35">
      <c r="P14699" s="226"/>
      <c r="Q14699" s="226"/>
      <c r="R14699" s="226"/>
      <c r="S14699" s="226"/>
      <c r="T14699" s="226"/>
      <c r="U14699" s="226"/>
    </row>
    <row r="14700" spans="16:21" x14ac:dyDescent="0.35">
      <c r="P14700" s="226"/>
      <c r="Q14700" s="226"/>
      <c r="R14700" s="226"/>
      <c r="S14700" s="226"/>
      <c r="T14700" s="226"/>
      <c r="U14700" s="226"/>
    </row>
    <row r="14701" spans="16:21" x14ac:dyDescent="0.35">
      <c r="P14701" s="226"/>
      <c r="Q14701" s="226"/>
      <c r="R14701" s="226"/>
      <c r="S14701" s="226"/>
      <c r="T14701" s="226"/>
      <c r="U14701" s="226"/>
    </row>
    <row r="14702" spans="16:21" x14ac:dyDescent="0.35">
      <c r="P14702" s="226"/>
      <c r="Q14702" s="226"/>
      <c r="R14702" s="226"/>
      <c r="S14702" s="226"/>
      <c r="T14702" s="226"/>
      <c r="U14702" s="226"/>
    </row>
    <row r="14703" spans="16:21" x14ac:dyDescent="0.35">
      <c r="P14703" s="226"/>
      <c r="Q14703" s="226"/>
      <c r="R14703" s="226"/>
      <c r="S14703" s="226"/>
      <c r="T14703" s="226"/>
      <c r="U14703" s="226"/>
    </row>
    <row r="14704" spans="16:21" x14ac:dyDescent="0.35">
      <c r="P14704" s="226"/>
      <c r="Q14704" s="226"/>
      <c r="R14704" s="226"/>
      <c r="S14704" s="226"/>
      <c r="T14704" s="226"/>
      <c r="U14704" s="226"/>
    </row>
    <row r="14705" spans="16:21" x14ac:dyDescent="0.35">
      <c r="P14705" s="226"/>
      <c r="Q14705" s="226"/>
      <c r="R14705" s="226"/>
      <c r="S14705" s="226"/>
      <c r="T14705" s="226"/>
      <c r="U14705" s="226"/>
    </row>
    <row r="14706" spans="16:21" x14ac:dyDescent="0.35">
      <c r="P14706" s="226"/>
      <c r="Q14706" s="226"/>
      <c r="R14706" s="226"/>
      <c r="S14706" s="226"/>
      <c r="T14706" s="226"/>
      <c r="U14706" s="226"/>
    </row>
    <row r="14707" spans="16:21" x14ac:dyDescent="0.35">
      <c r="P14707" s="226"/>
      <c r="Q14707" s="226"/>
      <c r="R14707" s="226"/>
      <c r="S14707" s="226"/>
      <c r="T14707" s="226"/>
      <c r="U14707" s="226"/>
    </row>
    <row r="14708" spans="16:21" x14ac:dyDescent="0.35">
      <c r="P14708" s="226"/>
      <c r="Q14708" s="226"/>
      <c r="R14708" s="226"/>
      <c r="S14708" s="226"/>
      <c r="T14708" s="226"/>
      <c r="U14708" s="226"/>
    </row>
    <row r="14709" spans="16:21" x14ac:dyDescent="0.35">
      <c r="P14709" s="226"/>
      <c r="Q14709" s="226"/>
      <c r="R14709" s="226"/>
      <c r="S14709" s="226"/>
      <c r="T14709" s="226"/>
      <c r="U14709" s="226"/>
    </row>
    <row r="14710" spans="16:21" x14ac:dyDescent="0.35">
      <c r="P14710" s="226"/>
      <c r="Q14710" s="226"/>
      <c r="R14710" s="226"/>
      <c r="S14710" s="226"/>
      <c r="T14710" s="226"/>
      <c r="U14710" s="226"/>
    </row>
    <row r="14711" spans="16:21" x14ac:dyDescent="0.35">
      <c r="P14711" s="226"/>
      <c r="Q14711" s="226"/>
      <c r="R14711" s="226"/>
      <c r="S14711" s="226"/>
      <c r="T14711" s="226"/>
      <c r="U14711" s="226"/>
    </row>
    <row r="14712" spans="16:21" x14ac:dyDescent="0.35">
      <c r="P14712" s="226"/>
      <c r="Q14712" s="226"/>
      <c r="R14712" s="226"/>
      <c r="S14712" s="226"/>
      <c r="T14712" s="226"/>
      <c r="U14712" s="226"/>
    </row>
    <row r="14713" spans="16:21" x14ac:dyDescent="0.35">
      <c r="P14713" s="226"/>
      <c r="Q14713" s="226"/>
      <c r="R14713" s="226"/>
      <c r="S14713" s="226"/>
      <c r="T14713" s="226"/>
      <c r="U14713" s="226"/>
    </row>
    <row r="14714" spans="16:21" x14ac:dyDescent="0.35">
      <c r="P14714" s="226"/>
      <c r="Q14714" s="226"/>
      <c r="R14714" s="226"/>
      <c r="S14714" s="226"/>
      <c r="T14714" s="226"/>
      <c r="U14714" s="226"/>
    </row>
    <row r="14715" spans="16:21" x14ac:dyDescent="0.35">
      <c r="P14715" s="226"/>
      <c r="Q14715" s="226"/>
      <c r="R14715" s="226"/>
      <c r="S14715" s="226"/>
      <c r="T14715" s="226"/>
      <c r="U14715" s="226"/>
    </row>
    <row r="14716" spans="16:21" x14ac:dyDescent="0.35">
      <c r="P14716" s="226"/>
      <c r="Q14716" s="226"/>
      <c r="R14716" s="226"/>
      <c r="S14716" s="226"/>
      <c r="T14716" s="226"/>
      <c r="U14716" s="226"/>
    </row>
    <row r="14717" spans="16:21" x14ac:dyDescent="0.35">
      <c r="P14717" s="226"/>
      <c r="Q14717" s="226"/>
      <c r="R14717" s="226"/>
      <c r="S14717" s="226"/>
      <c r="T14717" s="226"/>
      <c r="U14717" s="226"/>
    </row>
    <row r="14718" spans="16:21" x14ac:dyDescent="0.35">
      <c r="P14718" s="226"/>
      <c r="Q14718" s="226"/>
      <c r="R14718" s="226"/>
      <c r="S14718" s="226"/>
      <c r="T14718" s="226"/>
      <c r="U14718" s="226"/>
    </row>
    <row r="14719" spans="16:21" x14ac:dyDescent="0.35">
      <c r="P14719" s="226"/>
      <c r="Q14719" s="226"/>
      <c r="R14719" s="226"/>
      <c r="S14719" s="226"/>
      <c r="T14719" s="226"/>
      <c r="U14719" s="226"/>
    </row>
    <row r="14720" spans="16:21" x14ac:dyDescent="0.35">
      <c r="P14720" s="226"/>
      <c r="Q14720" s="226"/>
      <c r="R14720" s="226"/>
      <c r="S14720" s="226"/>
      <c r="T14720" s="226"/>
      <c r="U14720" s="226"/>
    </row>
    <row r="14721" spans="16:21" x14ac:dyDescent="0.35">
      <c r="P14721" s="226"/>
      <c r="Q14721" s="226"/>
      <c r="R14721" s="226"/>
      <c r="S14721" s="226"/>
      <c r="T14721" s="226"/>
      <c r="U14721" s="226"/>
    </row>
    <row r="14722" spans="16:21" x14ac:dyDescent="0.35">
      <c r="P14722" s="226"/>
      <c r="Q14722" s="226"/>
      <c r="R14722" s="226"/>
      <c r="S14722" s="226"/>
      <c r="T14722" s="226"/>
      <c r="U14722" s="226"/>
    </row>
    <row r="14723" spans="16:21" x14ac:dyDescent="0.35">
      <c r="P14723" s="226"/>
      <c r="Q14723" s="226"/>
      <c r="R14723" s="226"/>
      <c r="S14723" s="226"/>
      <c r="T14723" s="226"/>
      <c r="U14723" s="226"/>
    </row>
    <row r="14724" spans="16:21" x14ac:dyDescent="0.35">
      <c r="P14724" s="226"/>
      <c r="Q14724" s="226"/>
      <c r="R14724" s="226"/>
      <c r="S14724" s="226"/>
      <c r="T14724" s="226"/>
      <c r="U14724" s="226"/>
    </row>
    <row r="14725" spans="16:21" x14ac:dyDescent="0.35">
      <c r="P14725" s="226"/>
      <c r="Q14725" s="226"/>
      <c r="R14725" s="226"/>
      <c r="S14725" s="226"/>
      <c r="T14725" s="226"/>
      <c r="U14725" s="226"/>
    </row>
    <row r="14726" spans="16:21" x14ac:dyDescent="0.35">
      <c r="P14726" s="226"/>
      <c r="Q14726" s="226"/>
      <c r="R14726" s="226"/>
      <c r="S14726" s="226"/>
      <c r="T14726" s="226"/>
      <c r="U14726" s="226"/>
    </row>
    <row r="14727" spans="16:21" x14ac:dyDescent="0.35">
      <c r="P14727" s="226"/>
      <c r="Q14727" s="226"/>
      <c r="R14727" s="226"/>
      <c r="S14727" s="226"/>
      <c r="T14727" s="226"/>
      <c r="U14727" s="226"/>
    </row>
    <row r="14728" spans="16:21" x14ac:dyDescent="0.35">
      <c r="P14728" s="226"/>
      <c r="Q14728" s="226"/>
      <c r="R14728" s="226"/>
      <c r="S14728" s="226"/>
      <c r="T14728" s="226"/>
      <c r="U14728" s="226"/>
    </row>
    <row r="14729" spans="16:21" x14ac:dyDescent="0.35">
      <c r="P14729" s="226"/>
      <c r="Q14729" s="226"/>
      <c r="R14729" s="226"/>
      <c r="S14729" s="226"/>
      <c r="T14729" s="226"/>
      <c r="U14729" s="226"/>
    </row>
    <row r="14730" spans="16:21" x14ac:dyDescent="0.35">
      <c r="P14730" s="226"/>
      <c r="Q14730" s="226"/>
      <c r="R14730" s="226"/>
      <c r="S14730" s="226"/>
      <c r="T14730" s="226"/>
      <c r="U14730" s="226"/>
    </row>
    <row r="14731" spans="16:21" x14ac:dyDescent="0.35">
      <c r="P14731" s="226"/>
      <c r="Q14731" s="226"/>
      <c r="R14731" s="226"/>
      <c r="S14731" s="226"/>
      <c r="T14731" s="226"/>
      <c r="U14731" s="226"/>
    </row>
    <row r="14732" spans="16:21" x14ac:dyDescent="0.35">
      <c r="P14732" s="226"/>
      <c r="Q14732" s="226"/>
      <c r="R14732" s="226"/>
      <c r="S14732" s="226"/>
      <c r="T14732" s="226"/>
      <c r="U14732" s="226"/>
    </row>
    <row r="14733" spans="16:21" x14ac:dyDescent="0.35">
      <c r="P14733" s="226"/>
      <c r="Q14733" s="226"/>
      <c r="R14733" s="226"/>
      <c r="S14733" s="226"/>
      <c r="T14733" s="226"/>
      <c r="U14733" s="226"/>
    </row>
    <row r="14734" spans="16:21" x14ac:dyDescent="0.35">
      <c r="P14734" s="226"/>
      <c r="Q14734" s="226"/>
      <c r="R14734" s="226"/>
      <c r="S14734" s="226"/>
      <c r="T14734" s="226"/>
      <c r="U14734" s="226"/>
    </row>
    <row r="14735" spans="16:21" x14ac:dyDescent="0.35">
      <c r="P14735" s="226"/>
      <c r="Q14735" s="226"/>
      <c r="R14735" s="226"/>
      <c r="S14735" s="226"/>
      <c r="T14735" s="226"/>
      <c r="U14735" s="226"/>
    </row>
    <row r="14736" spans="16:21" x14ac:dyDescent="0.35">
      <c r="P14736" s="226"/>
      <c r="Q14736" s="226"/>
      <c r="R14736" s="226"/>
      <c r="S14736" s="226"/>
      <c r="T14736" s="226"/>
      <c r="U14736" s="226"/>
    </row>
    <row r="14737" spans="16:21" x14ac:dyDescent="0.35">
      <c r="P14737" s="226"/>
      <c r="Q14737" s="226"/>
      <c r="R14737" s="226"/>
      <c r="S14737" s="226"/>
      <c r="T14737" s="226"/>
      <c r="U14737" s="226"/>
    </row>
    <row r="14738" spans="16:21" x14ac:dyDescent="0.35">
      <c r="P14738" s="226"/>
      <c r="Q14738" s="226"/>
      <c r="R14738" s="226"/>
      <c r="S14738" s="226"/>
      <c r="T14738" s="226"/>
      <c r="U14738" s="226"/>
    </row>
    <row r="14739" spans="16:21" x14ac:dyDescent="0.35">
      <c r="P14739" s="226"/>
      <c r="Q14739" s="226"/>
      <c r="R14739" s="226"/>
      <c r="S14739" s="226"/>
      <c r="T14739" s="226"/>
      <c r="U14739" s="226"/>
    </row>
    <row r="14740" spans="16:21" x14ac:dyDescent="0.35">
      <c r="P14740" s="226"/>
      <c r="Q14740" s="226"/>
      <c r="R14740" s="226"/>
      <c r="S14740" s="226"/>
      <c r="T14740" s="226"/>
      <c r="U14740" s="226"/>
    </row>
    <row r="14741" spans="16:21" x14ac:dyDescent="0.35">
      <c r="P14741" s="226"/>
      <c r="Q14741" s="226"/>
      <c r="R14741" s="226"/>
      <c r="S14741" s="226"/>
      <c r="T14741" s="226"/>
      <c r="U14741" s="226"/>
    </row>
    <row r="14742" spans="16:21" x14ac:dyDescent="0.35">
      <c r="P14742" s="226"/>
      <c r="Q14742" s="226"/>
      <c r="R14742" s="226"/>
      <c r="S14742" s="226"/>
      <c r="T14742" s="226"/>
      <c r="U14742" s="226"/>
    </row>
    <row r="14743" spans="16:21" x14ac:dyDescent="0.35">
      <c r="P14743" s="226"/>
      <c r="Q14743" s="226"/>
      <c r="R14743" s="226"/>
      <c r="S14743" s="226"/>
      <c r="T14743" s="226"/>
      <c r="U14743" s="226"/>
    </row>
    <row r="14744" spans="16:21" x14ac:dyDescent="0.35">
      <c r="P14744" s="226"/>
      <c r="Q14744" s="226"/>
      <c r="R14744" s="226"/>
      <c r="S14744" s="226"/>
      <c r="T14744" s="226"/>
      <c r="U14744" s="226"/>
    </row>
    <row r="14745" spans="16:21" x14ac:dyDescent="0.35">
      <c r="P14745" s="226"/>
      <c r="Q14745" s="226"/>
      <c r="R14745" s="226"/>
      <c r="S14745" s="226"/>
      <c r="T14745" s="226"/>
      <c r="U14745" s="226"/>
    </row>
    <row r="14746" spans="16:21" x14ac:dyDescent="0.35">
      <c r="P14746" s="226"/>
      <c r="Q14746" s="226"/>
      <c r="R14746" s="226"/>
      <c r="S14746" s="226"/>
      <c r="T14746" s="226"/>
      <c r="U14746" s="226"/>
    </row>
    <row r="14747" spans="16:21" x14ac:dyDescent="0.35">
      <c r="P14747" s="226"/>
      <c r="Q14747" s="226"/>
      <c r="R14747" s="226"/>
      <c r="S14747" s="226"/>
      <c r="T14747" s="226"/>
      <c r="U14747" s="226"/>
    </row>
    <row r="14748" spans="16:21" x14ac:dyDescent="0.35">
      <c r="P14748" s="226"/>
      <c r="Q14748" s="226"/>
      <c r="R14748" s="226"/>
      <c r="S14748" s="226"/>
      <c r="T14748" s="226"/>
      <c r="U14748" s="226"/>
    </row>
    <row r="14749" spans="16:21" x14ac:dyDescent="0.35">
      <c r="P14749" s="226"/>
      <c r="Q14749" s="226"/>
      <c r="R14749" s="226"/>
      <c r="S14749" s="226"/>
      <c r="T14749" s="226"/>
      <c r="U14749" s="226"/>
    </row>
    <row r="14750" spans="16:21" x14ac:dyDescent="0.35">
      <c r="P14750" s="226"/>
      <c r="Q14750" s="226"/>
      <c r="R14750" s="226"/>
      <c r="S14750" s="226"/>
      <c r="T14750" s="226"/>
      <c r="U14750" s="226"/>
    </row>
    <row r="14751" spans="16:21" x14ac:dyDescent="0.35">
      <c r="P14751" s="226"/>
      <c r="Q14751" s="226"/>
      <c r="R14751" s="226"/>
      <c r="S14751" s="226"/>
      <c r="T14751" s="226"/>
      <c r="U14751" s="226"/>
    </row>
    <row r="14752" spans="16:21" x14ac:dyDescent="0.35">
      <c r="P14752" s="226"/>
      <c r="Q14752" s="226"/>
      <c r="R14752" s="226"/>
      <c r="S14752" s="226"/>
      <c r="T14752" s="226"/>
      <c r="U14752" s="226"/>
    </row>
    <row r="14753" spans="16:21" x14ac:dyDescent="0.35">
      <c r="P14753" s="226"/>
      <c r="Q14753" s="226"/>
      <c r="R14753" s="226"/>
      <c r="S14753" s="226"/>
      <c r="T14753" s="226"/>
      <c r="U14753" s="226"/>
    </row>
    <row r="14754" spans="16:21" x14ac:dyDescent="0.35">
      <c r="P14754" s="226"/>
      <c r="Q14754" s="226"/>
      <c r="R14754" s="226"/>
      <c r="S14754" s="226"/>
      <c r="T14754" s="226"/>
      <c r="U14754" s="226"/>
    </row>
    <row r="14755" spans="16:21" x14ac:dyDescent="0.35">
      <c r="P14755" s="226"/>
      <c r="Q14755" s="226"/>
      <c r="R14755" s="226"/>
      <c r="S14755" s="226"/>
      <c r="T14755" s="226"/>
      <c r="U14755" s="226"/>
    </row>
    <row r="14756" spans="16:21" x14ac:dyDescent="0.35">
      <c r="P14756" s="226"/>
      <c r="Q14756" s="226"/>
      <c r="R14756" s="226"/>
      <c r="S14756" s="226"/>
      <c r="T14756" s="226"/>
      <c r="U14756" s="226"/>
    </row>
    <row r="14757" spans="16:21" x14ac:dyDescent="0.35">
      <c r="P14757" s="226"/>
      <c r="Q14757" s="226"/>
      <c r="R14757" s="226"/>
      <c r="S14757" s="226"/>
      <c r="T14757" s="226"/>
      <c r="U14757" s="226"/>
    </row>
    <row r="14758" spans="16:21" x14ac:dyDescent="0.35">
      <c r="P14758" s="226"/>
      <c r="Q14758" s="226"/>
      <c r="R14758" s="226"/>
      <c r="S14758" s="226"/>
      <c r="T14758" s="226"/>
      <c r="U14758" s="226"/>
    </row>
    <row r="14759" spans="16:21" x14ac:dyDescent="0.35">
      <c r="P14759" s="226"/>
      <c r="Q14759" s="226"/>
      <c r="R14759" s="226"/>
      <c r="S14759" s="226"/>
      <c r="T14759" s="226"/>
      <c r="U14759" s="226"/>
    </row>
    <row r="14760" spans="16:21" x14ac:dyDescent="0.35">
      <c r="P14760" s="226"/>
      <c r="Q14760" s="226"/>
      <c r="R14760" s="226"/>
      <c r="S14760" s="226"/>
      <c r="T14760" s="226"/>
      <c r="U14760" s="226"/>
    </row>
    <row r="14761" spans="16:21" x14ac:dyDescent="0.35">
      <c r="P14761" s="226"/>
      <c r="Q14761" s="226"/>
      <c r="R14761" s="226"/>
      <c r="S14761" s="226"/>
      <c r="T14761" s="226"/>
      <c r="U14761" s="226"/>
    </row>
    <row r="14762" spans="16:21" x14ac:dyDescent="0.35">
      <c r="P14762" s="226"/>
      <c r="Q14762" s="226"/>
      <c r="R14762" s="226"/>
      <c r="S14762" s="226"/>
      <c r="T14762" s="226"/>
      <c r="U14762" s="226"/>
    </row>
    <row r="14763" spans="16:21" x14ac:dyDescent="0.35">
      <c r="P14763" s="226"/>
      <c r="Q14763" s="226"/>
      <c r="R14763" s="226"/>
      <c r="S14763" s="226"/>
      <c r="T14763" s="226"/>
      <c r="U14763" s="226"/>
    </row>
    <row r="14764" spans="16:21" x14ac:dyDescent="0.35">
      <c r="P14764" s="226"/>
      <c r="Q14764" s="226"/>
      <c r="R14764" s="226"/>
      <c r="S14764" s="226"/>
      <c r="T14764" s="226"/>
      <c r="U14764" s="226"/>
    </row>
    <row r="14765" spans="16:21" x14ac:dyDescent="0.35">
      <c r="P14765" s="226"/>
      <c r="Q14765" s="226"/>
      <c r="R14765" s="226"/>
      <c r="S14765" s="226"/>
      <c r="T14765" s="226"/>
      <c r="U14765" s="226"/>
    </row>
    <row r="14766" spans="16:21" x14ac:dyDescent="0.35">
      <c r="P14766" s="226"/>
      <c r="Q14766" s="226"/>
      <c r="R14766" s="226"/>
      <c r="S14766" s="226"/>
      <c r="T14766" s="226"/>
      <c r="U14766" s="226"/>
    </row>
    <row r="14767" spans="16:21" x14ac:dyDescent="0.35">
      <c r="P14767" s="226"/>
      <c r="Q14767" s="226"/>
      <c r="R14767" s="226"/>
      <c r="S14767" s="226"/>
      <c r="T14767" s="226"/>
      <c r="U14767" s="226"/>
    </row>
    <row r="14768" spans="16:21" x14ac:dyDescent="0.35">
      <c r="P14768" s="226"/>
      <c r="Q14768" s="226"/>
      <c r="R14768" s="226"/>
      <c r="S14768" s="226"/>
      <c r="T14768" s="226"/>
      <c r="U14768" s="226"/>
    </row>
    <row r="14769" spans="16:21" x14ac:dyDescent="0.35">
      <c r="P14769" s="226"/>
      <c r="Q14769" s="226"/>
      <c r="R14769" s="226"/>
      <c r="S14769" s="226"/>
      <c r="T14769" s="226"/>
      <c r="U14769" s="226"/>
    </row>
    <row r="14770" spans="16:21" x14ac:dyDescent="0.35">
      <c r="P14770" s="226"/>
      <c r="Q14770" s="226"/>
      <c r="R14770" s="226"/>
      <c r="S14770" s="226"/>
      <c r="T14770" s="226"/>
      <c r="U14770" s="226"/>
    </row>
    <row r="14771" spans="16:21" x14ac:dyDescent="0.35">
      <c r="P14771" s="226"/>
      <c r="Q14771" s="226"/>
      <c r="R14771" s="226"/>
      <c r="S14771" s="226"/>
      <c r="T14771" s="226"/>
      <c r="U14771" s="226"/>
    </row>
    <row r="14772" spans="16:21" x14ac:dyDescent="0.35">
      <c r="P14772" s="226"/>
      <c r="Q14772" s="226"/>
      <c r="R14772" s="226"/>
      <c r="S14772" s="226"/>
      <c r="T14772" s="226"/>
      <c r="U14772" s="226"/>
    </row>
    <row r="14773" spans="16:21" x14ac:dyDescent="0.35">
      <c r="P14773" s="226"/>
      <c r="Q14773" s="226"/>
      <c r="R14773" s="226"/>
      <c r="S14773" s="226"/>
      <c r="T14773" s="226"/>
      <c r="U14773" s="226"/>
    </row>
    <row r="14774" spans="16:21" x14ac:dyDescent="0.35">
      <c r="P14774" s="226"/>
      <c r="Q14774" s="226"/>
      <c r="R14774" s="226"/>
      <c r="S14774" s="226"/>
      <c r="T14774" s="226"/>
      <c r="U14774" s="226"/>
    </row>
    <row r="14775" spans="16:21" x14ac:dyDescent="0.35">
      <c r="P14775" s="226"/>
      <c r="Q14775" s="226"/>
      <c r="R14775" s="226"/>
      <c r="S14775" s="226"/>
      <c r="T14775" s="226"/>
      <c r="U14775" s="226"/>
    </row>
    <row r="14776" spans="16:21" x14ac:dyDescent="0.35">
      <c r="P14776" s="226"/>
      <c r="Q14776" s="226"/>
      <c r="R14776" s="226"/>
      <c r="S14776" s="226"/>
      <c r="T14776" s="226"/>
      <c r="U14776" s="226"/>
    </row>
    <row r="14777" spans="16:21" x14ac:dyDescent="0.35">
      <c r="P14777" s="226"/>
      <c r="Q14777" s="226"/>
      <c r="R14777" s="226"/>
      <c r="S14777" s="226"/>
      <c r="T14777" s="226"/>
      <c r="U14777" s="226"/>
    </row>
    <row r="14778" spans="16:21" x14ac:dyDescent="0.35">
      <c r="P14778" s="226"/>
      <c r="Q14778" s="226"/>
      <c r="R14778" s="226"/>
      <c r="S14778" s="226"/>
      <c r="T14778" s="226"/>
      <c r="U14778" s="226"/>
    </row>
    <row r="14779" spans="16:21" x14ac:dyDescent="0.35">
      <c r="P14779" s="226"/>
      <c r="Q14779" s="226"/>
      <c r="R14779" s="226"/>
      <c r="S14779" s="226"/>
      <c r="T14779" s="226"/>
      <c r="U14779" s="226"/>
    </row>
    <row r="14780" spans="16:21" x14ac:dyDescent="0.35">
      <c r="P14780" s="226"/>
      <c r="Q14780" s="226"/>
      <c r="R14780" s="226"/>
      <c r="S14780" s="226"/>
      <c r="T14780" s="226"/>
      <c r="U14780" s="226"/>
    </row>
    <row r="14781" spans="16:21" x14ac:dyDescent="0.35">
      <c r="P14781" s="226"/>
      <c r="Q14781" s="226"/>
      <c r="R14781" s="226"/>
      <c r="S14781" s="226"/>
      <c r="T14781" s="226"/>
      <c r="U14781" s="226"/>
    </row>
    <row r="14782" spans="16:21" x14ac:dyDescent="0.35">
      <c r="P14782" s="226"/>
      <c r="Q14782" s="226"/>
      <c r="R14782" s="226"/>
      <c r="S14782" s="226"/>
      <c r="T14782" s="226"/>
      <c r="U14782" s="226"/>
    </row>
    <row r="14783" spans="16:21" x14ac:dyDescent="0.35">
      <c r="P14783" s="226"/>
      <c r="Q14783" s="226"/>
      <c r="R14783" s="226"/>
      <c r="S14783" s="226"/>
      <c r="T14783" s="226"/>
      <c r="U14783" s="226"/>
    </row>
    <row r="14784" spans="16:21" x14ac:dyDescent="0.35">
      <c r="P14784" s="226"/>
      <c r="Q14784" s="226"/>
      <c r="R14784" s="226"/>
      <c r="S14784" s="226"/>
      <c r="T14784" s="226"/>
      <c r="U14784" s="226"/>
    </row>
    <row r="14785" spans="16:21" x14ac:dyDescent="0.35">
      <c r="P14785" s="226"/>
      <c r="Q14785" s="226"/>
      <c r="R14785" s="226"/>
      <c r="S14785" s="226"/>
      <c r="T14785" s="226"/>
      <c r="U14785" s="226"/>
    </row>
    <row r="14786" spans="16:21" x14ac:dyDescent="0.35">
      <c r="P14786" s="226"/>
      <c r="Q14786" s="226"/>
      <c r="R14786" s="226"/>
      <c r="S14786" s="226"/>
      <c r="T14786" s="226"/>
      <c r="U14786" s="226"/>
    </row>
    <row r="14787" spans="16:21" x14ac:dyDescent="0.35">
      <c r="P14787" s="226"/>
      <c r="Q14787" s="226"/>
      <c r="R14787" s="226"/>
      <c r="S14787" s="226"/>
      <c r="T14787" s="226"/>
      <c r="U14787" s="226"/>
    </row>
    <row r="14788" spans="16:21" x14ac:dyDescent="0.35">
      <c r="P14788" s="226"/>
      <c r="Q14788" s="226"/>
      <c r="R14788" s="226"/>
      <c r="S14788" s="226"/>
      <c r="T14788" s="226"/>
      <c r="U14788" s="226"/>
    </row>
    <row r="14789" spans="16:21" x14ac:dyDescent="0.35">
      <c r="P14789" s="226"/>
      <c r="Q14789" s="226"/>
      <c r="R14789" s="226"/>
      <c r="S14789" s="226"/>
      <c r="T14789" s="226"/>
      <c r="U14789" s="226"/>
    </row>
    <row r="14790" spans="16:21" x14ac:dyDescent="0.35">
      <c r="P14790" s="226"/>
      <c r="Q14790" s="226"/>
      <c r="R14790" s="226"/>
      <c r="S14790" s="226"/>
      <c r="T14790" s="226"/>
      <c r="U14790" s="226"/>
    </row>
    <row r="14791" spans="16:21" x14ac:dyDescent="0.35">
      <c r="P14791" s="226"/>
      <c r="Q14791" s="226"/>
      <c r="R14791" s="226"/>
      <c r="S14791" s="226"/>
      <c r="T14791" s="226"/>
      <c r="U14791" s="226"/>
    </row>
    <row r="14792" spans="16:21" x14ac:dyDescent="0.35">
      <c r="P14792" s="226"/>
      <c r="Q14792" s="226"/>
      <c r="R14792" s="226"/>
      <c r="S14792" s="226"/>
      <c r="T14792" s="226"/>
      <c r="U14792" s="226"/>
    </row>
    <row r="14793" spans="16:21" x14ac:dyDescent="0.35">
      <c r="P14793" s="226"/>
      <c r="Q14793" s="226"/>
      <c r="R14793" s="226"/>
      <c r="S14793" s="226"/>
      <c r="T14793" s="226"/>
      <c r="U14793" s="226"/>
    </row>
    <row r="14794" spans="16:21" x14ac:dyDescent="0.35">
      <c r="P14794" s="226"/>
      <c r="Q14794" s="226"/>
      <c r="R14794" s="226"/>
      <c r="S14794" s="226"/>
      <c r="T14794" s="226"/>
      <c r="U14794" s="226"/>
    </row>
    <row r="14795" spans="16:21" x14ac:dyDescent="0.35">
      <c r="P14795" s="226"/>
      <c r="Q14795" s="226"/>
      <c r="R14795" s="226"/>
      <c r="S14795" s="226"/>
      <c r="T14795" s="226"/>
      <c r="U14795" s="226"/>
    </row>
    <row r="14796" spans="16:21" x14ac:dyDescent="0.35">
      <c r="P14796" s="226"/>
      <c r="Q14796" s="226"/>
      <c r="R14796" s="226"/>
      <c r="S14796" s="226"/>
      <c r="T14796" s="226"/>
      <c r="U14796" s="226"/>
    </row>
    <row r="14797" spans="16:21" x14ac:dyDescent="0.35">
      <c r="P14797" s="226"/>
      <c r="Q14797" s="226"/>
      <c r="R14797" s="226"/>
      <c r="S14797" s="226"/>
      <c r="T14797" s="226"/>
      <c r="U14797" s="226"/>
    </row>
    <row r="14798" spans="16:21" x14ac:dyDescent="0.35">
      <c r="P14798" s="226"/>
      <c r="Q14798" s="226"/>
      <c r="R14798" s="226"/>
      <c r="S14798" s="226"/>
      <c r="T14798" s="226"/>
      <c r="U14798" s="226"/>
    </row>
    <row r="14799" spans="16:21" x14ac:dyDescent="0.35">
      <c r="P14799" s="226"/>
      <c r="Q14799" s="226"/>
      <c r="R14799" s="226"/>
      <c r="S14799" s="226"/>
      <c r="T14799" s="226"/>
      <c r="U14799" s="226"/>
    </row>
    <row r="14800" spans="16:21" x14ac:dyDescent="0.35">
      <c r="P14800" s="226"/>
      <c r="Q14800" s="226"/>
      <c r="R14800" s="226"/>
      <c r="S14800" s="226"/>
      <c r="T14800" s="226"/>
      <c r="U14800" s="226"/>
    </row>
    <row r="14801" spans="16:21" x14ac:dyDescent="0.35">
      <c r="P14801" s="226"/>
      <c r="Q14801" s="226"/>
      <c r="R14801" s="226"/>
      <c r="S14801" s="226"/>
      <c r="T14801" s="226"/>
      <c r="U14801" s="226"/>
    </row>
    <row r="14802" spans="16:21" x14ac:dyDescent="0.35">
      <c r="P14802" s="226"/>
      <c r="Q14802" s="226"/>
      <c r="R14802" s="226"/>
      <c r="S14802" s="226"/>
      <c r="T14802" s="226"/>
      <c r="U14802" s="226"/>
    </row>
    <row r="14803" spans="16:21" x14ac:dyDescent="0.35">
      <c r="P14803" s="226"/>
      <c r="Q14803" s="226"/>
      <c r="R14803" s="226"/>
      <c r="S14803" s="226"/>
      <c r="T14803" s="226"/>
      <c r="U14803" s="226"/>
    </row>
    <row r="14804" spans="16:21" x14ac:dyDescent="0.35">
      <c r="P14804" s="226"/>
      <c r="Q14804" s="226"/>
      <c r="R14804" s="226"/>
      <c r="S14804" s="226"/>
      <c r="T14804" s="226"/>
      <c r="U14804" s="226"/>
    </row>
    <row r="14805" spans="16:21" x14ac:dyDescent="0.35">
      <c r="P14805" s="226"/>
      <c r="Q14805" s="226"/>
      <c r="R14805" s="226"/>
      <c r="S14805" s="226"/>
      <c r="T14805" s="226"/>
      <c r="U14805" s="226"/>
    </row>
    <row r="14806" spans="16:21" x14ac:dyDescent="0.35">
      <c r="P14806" s="226"/>
      <c r="Q14806" s="226"/>
      <c r="R14806" s="226"/>
      <c r="S14806" s="226"/>
      <c r="T14806" s="226"/>
      <c r="U14806" s="226"/>
    </row>
    <row r="14807" spans="16:21" x14ac:dyDescent="0.35">
      <c r="P14807" s="226"/>
      <c r="Q14807" s="226"/>
      <c r="R14807" s="226"/>
      <c r="S14807" s="226"/>
      <c r="T14807" s="226"/>
      <c r="U14807" s="226"/>
    </row>
    <row r="14808" spans="16:21" x14ac:dyDescent="0.35">
      <c r="P14808" s="226"/>
      <c r="Q14808" s="226"/>
      <c r="R14808" s="226"/>
      <c r="S14808" s="226"/>
      <c r="T14808" s="226"/>
      <c r="U14808" s="226"/>
    </row>
    <row r="14809" spans="16:21" x14ac:dyDescent="0.35">
      <c r="P14809" s="226"/>
      <c r="Q14809" s="226"/>
      <c r="R14809" s="226"/>
      <c r="S14809" s="226"/>
      <c r="T14809" s="226"/>
      <c r="U14809" s="226"/>
    </row>
    <row r="14810" spans="16:21" x14ac:dyDescent="0.35">
      <c r="P14810" s="226"/>
      <c r="Q14810" s="226"/>
      <c r="R14810" s="226"/>
      <c r="S14810" s="226"/>
      <c r="T14810" s="226"/>
      <c r="U14810" s="226"/>
    </row>
    <row r="14811" spans="16:21" x14ac:dyDescent="0.35">
      <c r="P14811" s="226"/>
      <c r="Q14811" s="226"/>
      <c r="R14811" s="226"/>
      <c r="S14811" s="226"/>
      <c r="T14811" s="226"/>
      <c r="U14811" s="226"/>
    </row>
    <row r="14812" spans="16:21" x14ac:dyDescent="0.35">
      <c r="P14812" s="226"/>
      <c r="Q14812" s="226"/>
      <c r="R14812" s="226"/>
      <c r="S14812" s="226"/>
      <c r="T14812" s="226"/>
      <c r="U14812" s="226"/>
    </row>
    <row r="14813" spans="16:21" x14ac:dyDescent="0.35">
      <c r="P14813" s="226"/>
      <c r="Q14813" s="226"/>
      <c r="R14813" s="226"/>
      <c r="S14813" s="226"/>
      <c r="T14813" s="226"/>
      <c r="U14813" s="226"/>
    </row>
    <row r="14814" spans="16:21" x14ac:dyDescent="0.35">
      <c r="P14814" s="226"/>
      <c r="Q14814" s="226"/>
      <c r="R14814" s="226"/>
      <c r="S14814" s="226"/>
      <c r="T14814" s="226"/>
      <c r="U14814" s="226"/>
    </row>
    <row r="14815" spans="16:21" x14ac:dyDescent="0.35">
      <c r="P14815" s="226"/>
      <c r="Q14815" s="226"/>
      <c r="R14815" s="226"/>
      <c r="S14815" s="226"/>
      <c r="T14815" s="226"/>
      <c r="U14815" s="226"/>
    </row>
    <row r="14816" spans="16:21" x14ac:dyDescent="0.35">
      <c r="P14816" s="226"/>
      <c r="Q14816" s="226"/>
      <c r="R14816" s="226"/>
      <c r="S14816" s="226"/>
      <c r="T14816" s="226"/>
      <c r="U14816" s="226"/>
    </row>
    <row r="14817" spans="16:21" x14ac:dyDescent="0.35">
      <c r="P14817" s="226"/>
      <c r="Q14817" s="226"/>
      <c r="R14817" s="226"/>
      <c r="S14817" s="226"/>
      <c r="T14817" s="226"/>
      <c r="U14817" s="226"/>
    </row>
    <row r="14818" spans="16:21" x14ac:dyDescent="0.35">
      <c r="P14818" s="226"/>
      <c r="Q14818" s="226"/>
      <c r="R14818" s="226"/>
      <c r="S14818" s="226"/>
      <c r="T14818" s="226"/>
      <c r="U14818" s="226"/>
    </row>
    <row r="14819" spans="16:21" x14ac:dyDescent="0.35">
      <c r="P14819" s="226"/>
      <c r="Q14819" s="226"/>
      <c r="R14819" s="226"/>
      <c r="S14819" s="226"/>
      <c r="T14819" s="226"/>
      <c r="U14819" s="226"/>
    </row>
    <row r="14820" spans="16:21" x14ac:dyDescent="0.35">
      <c r="P14820" s="226"/>
      <c r="Q14820" s="226"/>
      <c r="R14820" s="226"/>
      <c r="S14820" s="226"/>
      <c r="T14820" s="226"/>
      <c r="U14820" s="226"/>
    </row>
    <row r="14821" spans="16:21" x14ac:dyDescent="0.35">
      <c r="P14821" s="226"/>
      <c r="Q14821" s="226"/>
      <c r="R14821" s="226"/>
      <c r="S14821" s="226"/>
      <c r="T14821" s="226"/>
      <c r="U14821" s="226"/>
    </row>
    <row r="14822" spans="16:21" x14ac:dyDescent="0.35">
      <c r="P14822" s="226"/>
      <c r="Q14822" s="226"/>
      <c r="R14822" s="226"/>
      <c r="S14822" s="226"/>
      <c r="T14822" s="226"/>
      <c r="U14822" s="226"/>
    </row>
    <row r="14823" spans="16:21" x14ac:dyDescent="0.35">
      <c r="P14823" s="226"/>
      <c r="Q14823" s="226"/>
      <c r="R14823" s="226"/>
      <c r="S14823" s="226"/>
      <c r="T14823" s="226"/>
      <c r="U14823" s="226"/>
    </row>
    <row r="14824" spans="16:21" x14ac:dyDescent="0.35">
      <c r="P14824" s="226"/>
      <c r="Q14824" s="226"/>
      <c r="R14824" s="226"/>
      <c r="S14824" s="226"/>
      <c r="T14824" s="226"/>
      <c r="U14824" s="226"/>
    </row>
    <row r="14825" spans="16:21" x14ac:dyDescent="0.35">
      <c r="P14825" s="226"/>
      <c r="Q14825" s="226"/>
      <c r="R14825" s="226"/>
      <c r="S14825" s="226"/>
      <c r="T14825" s="226"/>
      <c r="U14825" s="226"/>
    </row>
    <row r="14826" spans="16:21" x14ac:dyDescent="0.35">
      <c r="P14826" s="226"/>
      <c r="Q14826" s="226"/>
      <c r="R14826" s="226"/>
      <c r="S14826" s="226"/>
      <c r="T14826" s="226"/>
      <c r="U14826" s="226"/>
    </row>
    <row r="14827" spans="16:21" x14ac:dyDescent="0.35">
      <c r="P14827" s="226"/>
      <c r="Q14827" s="226"/>
      <c r="R14827" s="226"/>
      <c r="S14827" s="226"/>
      <c r="T14827" s="226"/>
      <c r="U14827" s="226"/>
    </row>
    <row r="14828" spans="16:21" x14ac:dyDescent="0.35">
      <c r="P14828" s="226"/>
      <c r="Q14828" s="226"/>
      <c r="R14828" s="226"/>
      <c r="S14828" s="226"/>
      <c r="T14828" s="226"/>
      <c r="U14828" s="226"/>
    </row>
    <row r="14829" spans="16:21" x14ac:dyDescent="0.35">
      <c r="P14829" s="226"/>
      <c r="Q14829" s="226"/>
      <c r="R14829" s="226"/>
      <c r="S14829" s="226"/>
      <c r="T14829" s="226"/>
      <c r="U14829" s="226"/>
    </row>
    <row r="14830" spans="16:21" x14ac:dyDescent="0.35">
      <c r="P14830" s="226"/>
      <c r="Q14830" s="226"/>
      <c r="R14830" s="226"/>
      <c r="S14830" s="226"/>
      <c r="T14830" s="226"/>
      <c r="U14830" s="226"/>
    </row>
    <row r="14831" spans="16:21" x14ac:dyDescent="0.35">
      <c r="P14831" s="226"/>
      <c r="Q14831" s="226"/>
      <c r="R14831" s="226"/>
      <c r="S14831" s="226"/>
      <c r="T14831" s="226"/>
      <c r="U14831" s="226"/>
    </row>
    <row r="14832" spans="16:21" x14ac:dyDescent="0.35">
      <c r="P14832" s="226"/>
      <c r="Q14832" s="226"/>
      <c r="R14832" s="226"/>
      <c r="S14832" s="226"/>
      <c r="T14832" s="226"/>
      <c r="U14832" s="226"/>
    </row>
    <row r="14833" spans="16:21" x14ac:dyDescent="0.35">
      <c r="P14833" s="226"/>
      <c r="Q14833" s="226"/>
      <c r="R14833" s="226"/>
      <c r="S14833" s="226"/>
      <c r="T14833" s="226"/>
      <c r="U14833" s="226"/>
    </row>
    <row r="14834" spans="16:21" x14ac:dyDescent="0.35">
      <c r="P14834" s="226"/>
      <c r="Q14834" s="226"/>
      <c r="R14834" s="226"/>
      <c r="S14834" s="226"/>
      <c r="T14834" s="226"/>
      <c r="U14834" s="226"/>
    </row>
    <row r="14835" spans="16:21" x14ac:dyDescent="0.35">
      <c r="P14835" s="226"/>
      <c r="Q14835" s="226"/>
      <c r="R14835" s="226"/>
      <c r="S14835" s="226"/>
      <c r="T14835" s="226"/>
      <c r="U14835" s="226"/>
    </row>
    <row r="14836" spans="16:21" x14ac:dyDescent="0.35">
      <c r="P14836" s="226"/>
      <c r="Q14836" s="226"/>
      <c r="R14836" s="226"/>
      <c r="S14836" s="226"/>
      <c r="T14836" s="226"/>
      <c r="U14836" s="226"/>
    </row>
    <row r="14837" spans="16:21" x14ac:dyDescent="0.35">
      <c r="P14837" s="226"/>
      <c r="Q14837" s="226"/>
      <c r="R14837" s="226"/>
      <c r="S14837" s="226"/>
      <c r="T14837" s="226"/>
      <c r="U14837" s="226"/>
    </row>
    <row r="14838" spans="16:21" x14ac:dyDescent="0.35">
      <c r="P14838" s="226"/>
      <c r="Q14838" s="226"/>
      <c r="R14838" s="226"/>
      <c r="S14838" s="226"/>
      <c r="T14838" s="226"/>
      <c r="U14838" s="226"/>
    </row>
    <row r="14839" spans="16:21" x14ac:dyDescent="0.35">
      <c r="P14839" s="226"/>
      <c r="Q14839" s="226"/>
      <c r="R14839" s="226"/>
      <c r="S14839" s="226"/>
      <c r="T14839" s="226"/>
      <c r="U14839" s="226"/>
    </row>
    <row r="14840" spans="16:21" x14ac:dyDescent="0.35">
      <c r="P14840" s="226"/>
      <c r="Q14840" s="226"/>
      <c r="R14840" s="226"/>
      <c r="S14840" s="226"/>
      <c r="T14840" s="226"/>
      <c r="U14840" s="226"/>
    </row>
    <row r="14841" spans="16:21" x14ac:dyDescent="0.35">
      <c r="P14841" s="226"/>
      <c r="Q14841" s="226"/>
      <c r="R14841" s="226"/>
      <c r="S14841" s="226"/>
      <c r="T14841" s="226"/>
      <c r="U14841" s="226"/>
    </row>
    <row r="14842" spans="16:21" x14ac:dyDescent="0.35">
      <c r="P14842" s="226"/>
      <c r="Q14842" s="226"/>
      <c r="R14842" s="226"/>
      <c r="S14842" s="226"/>
      <c r="T14842" s="226"/>
      <c r="U14842" s="226"/>
    </row>
    <row r="14843" spans="16:21" x14ac:dyDescent="0.35">
      <c r="P14843" s="226"/>
      <c r="Q14843" s="226"/>
      <c r="R14843" s="226"/>
      <c r="S14843" s="226"/>
      <c r="T14843" s="226"/>
      <c r="U14843" s="226"/>
    </row>
    <row r="14844" spans="16:21" x14ac:dyDescent="0.35">
      <c r="P14844" s="226"/>
      <c r="Q14844" s="226"/>
      <c r="R14844" s="226"/>
      <c r="S14844" s="226"/>
      <c r="T14844" s="226"/>
      <c r="U14844" s="226"/>
    </row>
    <row r="14845" spans="16:21" x14ac:dyDescent="0.35">
      <c r="P14845" s="226"/>
      <c r="Q14845" s="226"/>
      <c r="R14845" s="226"/>
      <c r="S14845" s="226"/>
      <c r="T14845" s="226"/>
      <c r="U14845" s="226"/>
    </row>
    <row r="14846" spans="16:21" x14ac:dyDescent="0.35">
      <c r="P14846" s="226"/>
      <c r="Q14846" s="226"/>
      <c r="R14846" s="226"/>
      <c r="S14846" s="226"/>
      <c r="T14846" s="226"/>
      <c r="U14846" s="226"/>
    </row>
    <row r="14847" spans="16:21" x14ac:dyDescent="0.35">
      <c r="P14847" s="226"/>
      <c r="Q14847" s="226"/>
      <c r="R14847" s="226"/>
      <c r="S14847" s="226"/>
      <c r="T14847" s="226"/>
      <c r="U14847" s="226"/>
    </row>
    <row r="14848" spans="16:21" x14ac:dyDescent="0.35">
      <c r="P14848" s="226"/>
      <c r="Q14848" s="226"/>
      <c r="R14848" s="226"/>
      <c r="S14848" s="226"/>
      <c r="T14848" s="226"/>
      <c r="U14848" s="226"/>
    </row>
    <row r="14849" spans="16:21" x14ac:dyDescent="0.35">
      <c r="P14849" s="226"/>
      <c r="Q14849" s="226"/>
      <c r="R14849" s="226"/>
      <c r="S14849" s="226"/>
      <c r="T14849" s="226"/>
      <c r="U14849" s="226"/>
    </row>
    <row r="14850" spans="16:21" x14ac:dyDescent="0.35">
      <c r="P14850" s="226"/>
      <c r="Q14850" s="226"/>
      <c r="R14850" s="226"/>
      <c r="S14850" s="226"/>
      <c r="T14850" s="226"/>
      <c r="U14850" s="226"/>
    </row>
    <row r="14851" spans="16:21" x14ac:dyDescent="0.35">
      <c r="P14851" s="226"/>
      <c r="Q14851" s="226"/>
      <c r="R14851" s="226"/>
      <c r="S14851" s="226"/>
      <c r="T14851" s="226"/>
      <c r="U14851" s="226"/>
    </row>
    <row r="14852" spans="16:21" x14ac:dyDescent="0.35">
      <c r="P14852" s="226"/>
      <c r="Q14852" s="226"/>
      <c r="R14852" s="226"/>
      <c r="S14852" s="226"/>
      <c r="T14852" s="226"/>
      <c r="U14852" s="226"/>
    </row>
    <row r="14853" spans="16:21" x14ac:dyDescent="0.35">
      <c r="P14853" s="226"/>
      <c r="Q14853" s="226"/>
      <c r="R14853" s="226"/>
      <c r="S14853" s="226"/>
      <c r="T14853" s="226"/>
      <c r="U14853" s="226"/>
    </row>
    <row r="14854" spans="16:21" x14ac:dyDescent="0.35">
      <c r="P14854" s="226"/>
      <c r="Q14854" s="226"/>
      <c r="R14854" s="226"/>
      <c r="S14854" s="226"/>
      <c r="T14854" s="226"/>
      <c r="U14854" s="226"/>
    </row>
    <row r="14855" spans="16:21" x14ac:dyDescent="0.35">
      <c r="P14855" s="226"/>
      <c r="Q14855" s="226"/>
      <c r="R14855" s="226"/>
      <c r="S14855" s="226"/>
      <c r="T14855" s="226"/>
      <c r="U14855" s="226"/>
    </row>
    <row r="14856" spans="16:21" x14ac:dyDescent="0.35">
      <c r="P14856" s="226"/>
      <c r="Q14856" s="226"/>
      <c r="R14856" s="226"/>
      <c r="S14856" s="226"/>
      <c r="T14856" s="226"/>
      <c r="U14856" s="226"/>
    </row>
    <row r="14857" spans="16:21" x14ac:dyDescent="0.35">
      <c r="P14857" s="226"/>
      <c r="Q14857" s="226"/>
      <c r="R14857" s="226"/>
      <c r="S14857" s="226"/>
      <c r="T14857" s="226"/>
      <c r="U14857" s="226"/>
    </row>
    <row r="14858" spans="16:21" x14ac:dyDescent="0.35">
      <c r="P14858" s="226"/>
      <c r="Q14858" s="226"/>
      <c r="R14858" s="226"/>
      <c r="S14858" s="226"/>
      <c r="T14858" s="226"/>
      <c r="U14858" s="226"/>
    </row>
    <row r="14859" spans="16:21" x14ac:dyDescent="0.35">
      <c r="P14859" s="226"/>
      <c r="Q14859" s="226"/>
      <c r="R14859" s="226"/>
      <c r="S14859" s="226"/>
      <c r="T14859" s="226"/>
      <c r="U14859" s="226"/>
    </row>
    <row r="14860" spans="16:21" x14ac:dyDescent="0.35">
      <c r="P14860" s="226"/>
      <c r="Q14860" s="226"/>
      <c r="R14860" s="226"/>
      <c r="S14860" s="226"/>
      <c r="T14860" s="226"/>
      <c r="U14860" s="226"/>
    </row>
    <row r="14861" spans="16:21" x14ac:dyDescent="0.35">
      <c r="P14861" s="226"/>
      <c r="Q14861" s="226"/>
      <c r="R14861" s="226"/>
      <c r="S14861" s="226"/>
      <c r="T14861" s="226"/>
      <c r="U14861" s="226"/>
    </row>
    <row r="14862" spans="16:21" x14ac:dyDescent="0.35">
      <c r="P14862" s="226"/>
      <c r="Q14862" s="226"/>
      <c r="R14862" s="226"/>
      <c r="S14862" s="226"/>
      <c r="T14862" s="226"/>
      <c r="U14862" s="226"/>
    </row>
    <row r="14863" spans="16:21" x14ac:dyDescent="0.35">
      <c r="P14863" s="226"/>
      <c r="Q14863" s="226"/>
      <c r="R14863" s="226"/>
      <c r="S14863" s="226"/>
      <c r="T14863" s="226"/>
      <c r="U14863" s="226"/>
    </row>
    <row r="14864" spans="16:21" x14ac:dyDescent="0.35">
      <c r="P14864" s="226"/>
      <c r="Q14864" s="226"/>
      <c r="R14864" s="226"/>
      <c r="S14864" s="226"/>
      <c r="T14864" s="226"/>
      <c r="U14864" s="226"/>
    </row>
    <row r="14865" spans="16:21" x14ac:dyDescent="0.35">
      <c r="P14865" s="226"/>
      <c r="Q14865" s="226"/>
      <c r="R14865" s="226"/>
      <c r="S14865" s="226"/>
      <c r="T14865" s="226"/>
      <c r="U14865" s="226"/>
    </row>
    <row r="14866" spans="16:21" x14ac:dyDescent="0.35">
      <c r="P14866" s="226"/>
      <c r="Q14866" s="226"/>
      <c r="R14866" s="226"/>
      <c r="S14866" s="226"/>
      <c r="T14866" s="226"/>
      <c r="U14866" s="226"/>
    </row>
    <row r="14867" spans="16:21" x14ac:dyDescent="0.35">
      <c r="P14867" s="226"/>
      <c r="Q14867" s="226"/>
      <c r="R14867" s="226"/>
      <c r="S14867" s="226"/>
      <c r="T14867" s="226"/>
      <c r="U14867" s="226"/>
    </row>
    <row r="14868" spans="16:21" x14ac:dyDescent="0.35">
      <c r="P14868" s="226"/>
      <c r="Q14868" s="226"/>
      <c r="R14868" s="226"/>
      <c r="S14868" s="226"/>
      <c r="T14868" s="226"/>
      <c r="U14868" s="226"/>
    </row>
    <row r="14869" spans="16:21" x14ac:dyDescent="0.35">
      <c r="P14869" s="226"/>
      <c r="Q14869" s="226"/>
      <c r="R14869" s="226"/>
      <c r="S14869" s="226"/>
      <c r="T14869" s="226"/>
      <c r="U14869" s="226"/>
    </row>
    <row r="14870" spans="16:21" x14ac:dyDescent="0.35">
      <c r="P14870" s="226"/>
      <c r="Q14870" s="226"/>
      <c r="R14870" s="226"/>
      <c r="S14870" s="226"/>
      <c r="T14870" s="226"/>
      <c r="U14870" s="226"/>
    </row>
    <row r="14871" spans="16:21" x14ac:dyDescent="0.35">
      <c r="P14871" s="226"/>
      <c r="Q14871" s="226"/>
      <c r="R14871" s="226"/>
      <c r="S14871" s="226"/>
      <c r="T14871" s="226"/>
      <c r="U14871" s="226"/>
    </row>
    <row r="14872" spans="16:21" x14ac:dyDescent="0.35">
      <c r="P14872" s="226"/>
      <c r="Q14872" s="226"/>
      <c r="R14872" s="226"/>
      <c r="S14872" s="226"/>
      <c r="T14872" s="226"/>
      <c r="U14872" s="226"/>
    </row>
    <row r="14873" spans="16:21" x14ac:dyDescent="0.35">
      <c r="P14873" s="226"/>
      <c r="Q14873" s="226"/>
      <c r="R14873" s="226"/>
      <c r="S14873" s="226"/>
      <c r="T14873" s="226"/>
      <c r="U14873" s="226"/>
    </row>
    <row r="14874" spans="16:21" x14ac:dyDescent="0.35">
      <c r="P14874" s="226"/>
      <c r="Q14874" s="226"/>
      <c r="R14874" s="226"/>
      <c r="S14874" s="226"/>
      <c r="T14874" s="226"/>
      <c r="U14874" s="226"/>
    </row>
    <row r="14875" spans="16:21" x14ac:dyDescent="0.35">
      <c r="P14875" s="226"/>
      <c r="Q14875" s="226"/>
      <c r="R14875" s="226"/>
      <c r="S14875" s="226"/>
      <c r="T14875" s="226"/>
      <c r="U14875" s="226"/>
    </row>
    <row r="14876" spans="16:21" x14ac:dyDescent="0.35">
      <c r="P14876" s="226"/>
      <c r="Q14876" s="226"/>
      <c r="R14876" s="226"/>
      <c r="S14876" s="226"/>
      <c r="T14876" s="226"/>
      <c r="U14876" s="226"/>
    </row>
    <row r="14877" spans="16:21" x14ac:dyDescent="0.35">
      <c r="P14877" s="226"/>
      <c r="Q14877" s="226"/>
      <c r="R14877" s="226"/>
      <c r="S14877" s="226"/>
      <c r="T14877" s="226"/>
      <c r="U14877" s="226"/>
    </row>
    <row r="14878" spans="16:21" x14ac:dyDescent="0.35">
      <c r="P14878" s="226"/>
      <c r="Q14878" s="226"/>
      <c r="R14878" s="226"/>
      <c r="S14878" s="226"/>
      <c r="T14878" s="226"/>
      <c r="U14878" s="226"/>
    </row>
    <row r="14879" spans="16:21" x14ac:dyDescent="0.35">
      <c r="P14879" s="226"/>
      <c r="Q14879" s="226"/>
      <c r="R14879" s="226"/>
      <c r="S14879" s="226"/>
      <c r="T14879" s="226"/>
      <c r="U14879" s="226"/>
    </row>
    <row r="14880" spans="16:21" x14ac:dyDescent="0.35">
      <c r="P14880" s="226"/>
      <c r="Q14880" s="226"/>
      <c r="R14880" s="226"/>
      <c r="S14880" s="226"/>
      <c r="T14880" s="226"/>
      <c r="U14880" s="226"/>
    </row>
    <row r="14881" spans="16:21" x14ac:dyDescent="0.35">
      <c r="P14881" s="226"/>
      <c r="Q14881" s="226"/>
      <c r="R14881" s="226"/>
      <c r="S14881" s="226"/>
      <c r="T14881" s="226"/>
      <c r="U14881" s="226"/>
    </row>
    <row r="14882" spans="16:21" x14ac:dyDescent="0.35">
      <c r="P14882" s="226"/>
      <c r="Q14882" s="226"/>
      <c r="R14882" s="226"/>
      <c r="S14882" s="226"/>
      <c r="T14882" s="226"/>
      <c r="U14882" s="226"/>
    </row>
    <row r="14883" spans="16:21" x14ac:dyDescent="0.35">
      <c r="P14883" s="226"/>
      <c r="Q14883" s="226"/>
      <c r="R14883" s="226"/>
      <c r="S14883" s="226"/>
      <c r="T14883" s="226"/>
      <c r="U14883" s="226"/>
    </row>
    <row r="14884" spans="16:21" x14ac:dyDescent="0.35">
      <c r="P14884" s="226"/>
      <c r="Q14884" s="226"/>
      <c r="R14884" s="226"/>
      <c r="S14884" s="226"/>
      <c r="T14884" s="226"/>
      <c r="U14884" s="226"/>
    </row>
    <row r="14885" spans="16:21" x14ac:dyDescent="0.35">
      <c r="P14885" s="226"/>
      <c r="Q14885" s="226"/>
      <c r="R14885" s="226"/>
      <c r="S14885" s="226"/>
      <c r="T14885" s="226"/>
      <c r="U14885" s="226"/>
    </row>
    <row r="14886" spans="16:21" x14ac:dyDescent="0.35">
      <c r="P14886" s="226"/>
      <c r="Q14886" s="226"/>
      <c r="R14886" s="226"/>
      <c r="S14886" s="226"/>
      <c r="T14886" s="226"/>
      <c r="U14886" s="226"/>
    </row>
    <row r="14887" spans="16:21" x14ac:dyDescent="0.35">
      <c r="P14887" s="226"/>
      <c r="Q14887" s="226"/>
      <c r="R14887" s="226"/>
      <c r="S14887" s="226"/>
      <c r="T14887" s="226"/>
      <c r="U14887" s="226"/>
    </row>
    <row r="14888" spans="16:21" x14ac:dyDescent="0.35">
      <c r="P14888" s="226"/>
      <c r="Q14888" s="226"/>
      <c r="R14888" s="226"/>
      <c r="S14888" s="226"/>
      <c r="T14888" s="226"/>
      <c r="U14888" s="226"/>
    </row>
    <row r="14889" spans="16:21" x14ac:dyDescent="0.35">
      <c r="P14889" s="226"/>
      <c r="Q14889" s="226"/>
      <c r="R14889" s="226"/>
      <c r="S14889" s="226"/>
      <c r="T14889" s="226"/>
      <c r="U14889" s="226"/>
    </row>
    <row r="14890" spans="16:21" x14ac:dyDescent="0.35">
      <c r="P14890" s="226"/>
      <c r="Q14890" s="226"/>
      <c r="R14890" s="226"/>
      <c r="S14890" s="226"/>
      <c r="T14890" s="226"/>
      <c r="U14890" s="226"/>
    </row>
    <row r="14891" spans="16:21" x14ac:dyDescent="0.35">
      <c r="P14891" s="226"/>
      <c r="Q14891" s="226"/>
      <c r="R14891" s="226"/>
      <c r="S14891" s="226"/>
      <c r="T14891" s="226"/>
      <c r="U14891" s="226"/>
    </row>
    <row r="14892" spans="16:21" x14ac:dyDescent="0.35">
      <c r="P14892" s="226"/>
      <c r="Q14892" s="226"/>
      <c r="R14892" s="226"/>
      <c r="S14892" s="226"/>
      <c r="T14892" s="226"/>
      <c r="U14892" s="226"/>
    </row>
    <row r="14893" spans="16:21" x14ac:dyDescent="0.35">
      <c r="P14893" s="226"/>
      <c r="Q14893" s="226"/>
      <c r="R14893" s="226"/>
      <c r="S14893" s="226"/>
      <c r="T14893" s="226"/>
      <c r="U14893" s="226"/>
    </row>
    <row r="14894" spans="16:21" x14ac:dyDescent="0.35">
      <c r="P14894" s="226"/>
      <c r="Q14894" s="226"/>
      <c r="R14894" s="226"/>
      <c r="S14894" s="226"/>
      <c r="T14894" s="226"/>
      <c r="U14894" s="226"/>
    </row>
    <row r="14895" spans="16:21" x14ac:dyDescent="0.35">
      <c r="P14895" s="226"/>
      <c r="Q14895" s="226"/>
      <c r="R14895" s="226"/>
      <c r="S14895" s="226"/>
      <c r="T14895" s="226"/>
      <c r="U14895" s="226"/>
    </row>
    <row r="14896" spans="16:21" x14ac:dyDescent="0.35">
      <c r="P14896" s="226"/>
      <c r="Q14896" s="226"/>
      <c r="R14896" s="226"/>
      <c r="S14896" s="226"/>
      <c r="T14896" s="226"/>
      <c r="U14896" s="226"/>
    </row>
    <row r="14897" spans="16:21" x14ac:dyDescent="0.35">
      <c r="P14897" s="226"/>
      <c r="Q14897" s="226"/>
      <c r="R14897" s="226"/>
      <c r="S14897" s="226"/>
      <c r="T14897" s="226"/>
      <c r="U14897" s="226"/>
    </row>
    <row r="14898" spans="16:21" x14ac:dyDescent="0.35">
      <c r="P14898" s="226"/>
      <c r="Q14898" s="226"/>
      <c r="R14898" s="226"/>
      <c r="S14898" s="226"/>
      <c r="T14898" s="226"/>
      <c r="U14898" s="226"/>
    </row>
    <row r="14899" spans="16:21" x14ac:dyDescent="0.35">
      <c r="P14899" s="226"/>
      <c r="Q14899" s="226"/>
      <c r="R14899" s="226"/>
      <c r="S14899" s="226"/>
      <c r="T14899" s="226"/>
      <c r="U14899" s="226"/>
    </row>
    <row r="14900" spans="16:21" x14ac:dyDescent="0.35">
      <c r="P14900" s="226"/>
      <c r="Q14900" s="226"/>
      <c r="R14900" s="226"/>
      <c r="S14900" s="226"/>
      <c r="T14900" s="226"/>
      <c r="U14900" s="226"/>
    </row>
    <row r="14901" spans="16:21" x14ac:dyDescent="0.35">
      <c r="P14901" s="226"/>
      <c r="Q14901" s="226"/>
      <c r="R14901" s="226"/>
      <c r="S14901" s="226"/>
      <c r="T14901" s="226"/>
      <c r="U14901" s="226"/>
    </row>
    <row r="14902" spans="16:21" x14ac:dyDescent="0.35">
      <c r="P14902" s="226"/>
      <c r="Q14902" s="226"/>
      <c r="R14902" s="226"/>
      <c r="S14902" s="226"/>
      <c r="T14902" s="226"/>
      <c r="U14902" s="226"/>
    </row>
    <row r="14903" spans="16:21" x14ac:dyDescent="0.35">
      <c r="P14903" s="226"/>
      <c r="Q14903" s="226"/>
      <c r="R14903" s="226"/>
      <c r="S14903" s="226"/>
      <c r="T14903" s="226"/>
      <c r="U14903" s="226"/>
    </row>
    <row r="14904" spans="16:21" x14ac:dyDescent="0.35">
      <c r="P14904" s="226"/>
      <c r="Q14904" s="226"/>
      <c r="R14904" s="226"/>
      <c r="S14904" s="226"/>
      <c r="T14904" s="226"/>
      <c r="U14904" s="226"/>
    </row>
    <row r="14905" spans="16:21" x14ac:dyDescent="0.35">
      <c r="P14905" s="226"/>
      <c r="Q14905" s="226"/>
      <c r="R14905" s="226"/>
      <c r="S14905" s="226"/>
      <c r="T14905" s="226"/>
      <c r="U14905" s="226"/>
    </row>
    <row r="14906" spans="16:21" x14ac:dyDescent="0.35">
      <c r="P14906" s="226"/>
      <c r="Q14906" s="226"/>
      <c r="R14906" s="226"/>
      <c r="S14906" s="226"/>
      <c r="T14906" s="226"/>
      <c r="U14906" s="226"/>
    </row>
    <row r="14907" spans="16:21" x14ac:dyDescent="0.35">
      <c r="P14907" s="226"/>
      <c r="Q14907" s="226"/>
      <c r="R14907" s="226"/>
      <c r="S14907" s="226"/>
      <c r="T14907" s="226"/>
      <c r="U14907" s="226"/>
    </row>
    <row r="14908" spans="16:21" x14ac:dyDescent="0.35">
      <c r="P14908" s="226"/>
      <c r="Q14908" s="226"/>
      <c r="R14908" s="226"/>
      <c r="S14908" s="226"/>
      <c r="T14908" s="226"/>
      <c r="U14908" s="226"/>
    </row>
    <row r="14909" spans="16:21" x14ac:dyDescent="0.35">
      <c r="P14909" s="226"/>
      <c r="Q14909" s="226"/>
      <c r="R14909" s="226"/>
      <c r="S14909" s="226"/>
      <c r="T14909" s="226"/>
      <c r="U14909" s="226"/>
    </row>
    <row r="14910" spans="16:21" x14ac:dyDescent="0.35">
      <c r="P14910" s="226"/>
      <c r="Q14910" s="226"/>
      <c r="R14910" s="226"/>
      <c r="S14910" s="226"/>
      <c r="T14910" s="226"/>
      <c r="U14910" s="226"/>
    </row>
    <row r="14911" spans="16:21" x14ac:dyDescent="0.35">
      <c r="P14911" s="226"/>
      <c r="Q14911" s="226"/>
      <c r="R14911" s="226"/>
      <c r="S14911" s="226"/>
      <c r="T14911" s="226"/>
      <c r="U14911" s="226"/>
    </row>
    <row r="14912" spans="16:21" x14ac:dyDescent="0.35">
      <c r="P14912" s="226"/>
      <c r="Q14912" s="226"/>
      <c r="R14912" s="226"/>
      <c r="S14912" s="226"/>
      <c r="T14912" s="226"/>
      <c r="U14912" s="226"/>
    </row>
    <row r="14913" spans="16:21" x14ac:dyDescent="0.35">
      <c r="P14913" s="226"/>
      <c r="Q14913" s="226"/>
      <c r="R14913" s="226"/>
      <c r="S14913" s="226"/>
      <c r="T14913" s="226"/>
      <c r="U14913" s="226"/>
    </row>
    <row r="14914" spans="16:21" x14ac:dyDescent="0.35">
      <c r="P14914" s="226"/>
      <c r="Q14914" s="226"/>
      <c r="R14914" s="226"/>
      <c r="S14914" s="226"/>
      <c r="T14914" s="226"/>
      <c r="U14914" s="226"/>
    </row>
    <row r="14915" spans="16:21" x14ac:dyDescent="0.35">
      <c r="P14915" s="226"/>
      <c r="Q14915" s="226"/>
      <c r="R14915" s="226"/>
      <c r="S14915" s="226"/>
      <c r="T14915" s="226"/>
      <c r="U14915" s="226"/>
    </row>
    <row r="14916" spans="16:21" x14ac:dyDescent="0.35">
      <c r="P14916" s="226"/>
      <c r="Q14916" s="226"/>
      <c r="R14916" s="226"/>
      <c r="S14916" s="226"/>
      <c r="T14916" s="226"/>
      <c r="U14916" s="226"/>
    </row>
    <row r="14917" spans="16:21" x14ac:dyDescent="0.35">
      <c r="P14917" s="226"/>
      <c r="Q14917" s="226"/>
      <c r="R14917" s="226"/>
      <c r="S14917" s="226"/>
      <c r="T14917" s="226"/>
      <c r="U14917" s="226"/>
    </row>
    <row r="14918" spans="16:21" x14ac:dyDescent="0.35">
      <c r="P14918" s="226"/>
      <c r="Q14918" s="226"/>
      <c r="R14918" s="226"/>
      <c r="S14918" s="226"/>
      <c r="T14918" s="226"/>
      <c r="U14918" s="226"/>
    </row>
    <row r="14919" spans="16:21" x14ac:dyDescent="0.35">
      <c r="P14919" s="226"/>
      <c r="Q14919" s="226"/>
      <c r="R14919" s="226"/>
      <c r="S14919" s="226"/>
      <c r="T14919" s="226"/>
      <c r="U14919" s="226"/>
    </row>
    <row r="14920" spans="16:21" x14ac:dyDescent="0.35">
      <c r="P14920" s="226"/>
      <c r="Q14920" s="226"/>
      <c r="R14920" s="226"/>
      <c r="S14920" s="226"/>
      <c r="T14920" s="226"/>
      <c r="U14920" s="226"/>
    </row>
    <row r="14921" spans="16:21" x14ac:dyDescent="0.35">
      <c r="P14921" s="226"/>
      <c r="Q14921" s="226"/>
      <c r="R14921" s="226"/>
      <c r="S14921" s="226"/>
      <c r="T14921" s="226"/>
      <c r="U14921" s="226"/>
    </row>
    <row r="14922" spans="16:21" x14ac:dyDescent="0.35">
      <c r="P14922" s="226"/>
      <c r="Q14922" s="226"/>
      <c r="R14922" s="226"/>
      <c r="S14922" s="226"/>
      <c r="T14922" s="226"/>
      <c r="U14922" s="226"/>
    </row>
    <row r="14923" spans="16:21" x14ac:dyDescent="0.35">
      <c r="P14923" s="226"/>
      <c r="Q14923" s="226"/>
      <c r="R14923" s="226"/>
      <c r="S14923" s="226"/>
      <c r="T14923" s="226"/>
      <c r="U14923" s="226"/>
    </row>
    <row r="14924" spans="16:21" x14ac:dyDescent="0.35">
      <c r="P14924" s="226"/>
      <c r="Q14924" s="226"/>
      <c r="R14924" s="226"/>
      <c r="S14924" s="226"/>
      <c r="T14924" s="226"/>
      <c r="U14924" s="226"/>
    </row>
    <row r="14925" spans="16:21" x14ac:dyDescent="0.35">
      <c r="P14925" s="226"/>
      <c r="Q14925" s="226"/>
      <c r="R14925" s="226"/>
      <c r="S14925" s="226"/>
      <c r="T14925" s="226"/>
      <c r="U14925" s="226"/>
    </row>
    <row r="14926" spans="16:21" x14ac:dyDescent="0.35">
      <c r="P14926" s="226"/>
      <c r="Q14926" s="226"/>
      <c r="R14926" s="226"/>
      <c r="S14926" s="226"/>
      <c r="T14926" s="226"/>
      <c r="U14926" s="226"/>
    </row>
    <row r="14927" spans="16:21" x14ac:dyDescent="0.35">
      <c r="P14927" s="226"/>
      <c r="Q14927" s="226"/>
      <c r="R14927" s="226"/>
      <c r="S14927" s="226"/>
      <c r="T14927" s="226"/>
      <c r="U14927" s="226"/>
    </row>
    <row r="14928" spans="16:21" x14ac:dyDescent="0.35">
      <c r="P14928" s="226"/>
      <c r="Q14928" s="226"/>
      <c r="R14928" s="226"/>
      <c r="S14928" s="226"/>
      <c r="T14928" s="226"/>
      <c r="U14928" s="226"/>
    </row>
    <row r="14929" spans="16:21" x14ac:dyDescent="0.35">
      <c r="P14929" s="226"/>
      <c r="Q14929" s="226"/>
      <c r="R14929" s="226"/>
      <c r="S14929" s="226"/>
      <c r="T14929" s="226"/>
      <c r="U14929" s="226"/>
    </row>
    <row r="14930" spans="16:21" x14ac:dyDescent="0.35">
      <c r="P14930" s="226"/>
      <c r="Q14930" s="226"/>
      <c r="R14930" s="226"/>
      <c r="S14930" s="226"/>
      <c r="T14930" s="226"/>
      <c r="U14930" s="226"/>
    </row>
    <row r="14931" spans="16:21" x14ac:dyDescent="0.35">
      <c r="P14931" s="226"/>
      <c r="Q14931" s="226"/>
      <c r="R14931" s="226"/>
      <c r="S14931" s="226"/>
      <c r="T14931" s="226"/>
      <c r="U14931" s="226"/>
    </row>
    <row r="14932" spans="16:21" x14ac:dyDescent="0.35">
      <c r="P14932" s="226"/>
      <c r="Q14932" s="226"/>
      <c r="R14932" s="226"/>
      <c r="S14932" s="226"/>
      <c r="T14932" s="226"/>
      <c r="U14932" s="226"/>
    </row>
    <row r="14933" spans="16:21" x14ac:dyDescent="0.35">
      <c r="P14933" s="226"/>
      <c r="Q14933" s="226"/>
      <c r="R14933" s="226"/>
      <c r="S14933" s="226"/>
      <c r="T14933" s="226"/>
      <c r="U14933" s="226"/>
    </row>
    <row r="14934" spans="16:21" x14ac:dyDescent="0.35">
      <c r="P14934" s="226"/>
      <c r="Q14934" s="226"/>
      <c r="R14934" s="226"/>
      <c r="S14934" s="226"/>
      <c r="T14934" s="226"/>
      <c r="U14934" s="226"/>
    </row>
    <row r="14935" spans="16:21" x14ac:dyDescent="0.35">
      <c r="P14935" s="226"/>
      <c r="Q14935" s="226"/>
      <c r="R14935" s="226"/>
      <c r="S14935" s="226"/>
      <c r="T14935" s="226"/>
      <c r="U14935" s="226"/>
    </row>
    <row r="14936" spans="16:21" x14ac:dyDescent="0.35">
      <c r="P14936" s="226"/>
      <c r="Q14936" s="226"/>
      <c r="R14936" s="226"/>
      <c r="S14936" s="226"/>
      <c r="T14936" s="226"/>
      <c r="U14936" s="226"/>
    </row>
    <row r="14937" spans="16:21" x14ac:dyDescent="0.35">
      <c r="P14937" s="226"/>
      <c r="Q14937" s="226"/>
      <c r="R14937" s="226"/>
      <c r="S14937" s="226"/>
      <c r="T14937" s="226"/>
      <c r="U14937" s="226"/>
    </row>
    <row r="14938" spans="16:21" x14ac:dyDescent="0.35">
      <c r="P14938" s="226"/>
      <c r="Q14938" s="226"/>
      <c r="R14938" s="226"/>
      <c r="S14938" s="226"/>
      <c r="T14938" s="226"/>
      <c r="U14938" s="226"/>
    </row>
    <row r="14939" spans="16:21" x14ac:dyDescent="0.35">
      <c r="P14939" s="226"/>
      <c r="Q14939" s="226"/>
      <c r="R14939" s="226"/>
      <c r="S14939" s="226"/>
      <c r="T14939" s="226"/>
      <c r="U14939" s="226"/>
    </row>
    <row r="14940" spans="16:21" x14ac:dyDescent="0.35">
      <c r="P14940" s="226"/>
      <c r="Q14940" s="226"/>
      <c r="R14940" s="226"/>
      <c r="S14940" s="226"/>
      <c r="T14940" s="226"/>
      <c r="U14940" s="226"/>
    </row>
    <row r="14941" spans="16:21" x14ac:dyDescent="0.35">
      <c r="P14941" s="226"/>
      <c r="Q14941" s="226"/>
      <c r="R14941" s="226"/>
      <c r="S14941" s="226"/>
      <c r="T14941" s="226"/>
      <c r="U14941" s="226"/>
    </row>
    <row r="14942" spans="16:21" x14ac:dyDescent="0.35">
      <c r="P14942" s="226"/>
      <c r="Q14942" s="226"/>
      <c r="R14942" s="226"/>
      <c r="S14942" s="226"/>
      <c r="T14942" s="226"/>
      <c r="U14942" s="226"/>
    </row>
    <row r="14943" spans="16:21" x14ac:dyDescent="0.35">
      <c r="P14943" s="226"/>
      <c r="Q14943" s="226"/>
      <c r="R14943" s="226"/>
      <c r="S14943" s="226"/>
      <c r="T14943" s="226"/>
      <c r="U14943" s="226"/>
    </row>
    <row r="14944" spans="16:21" x14ac:dyDescent="0.35">
      <c r="P14944" s="226"/>
      <c r="Q14944" s="226"/>
      <c r="R14944" s="226"/>
      <c r="S14944" s="226"/>
      <c r="T14944" s="226"/>
      <c r="U14944" s="226"/>
    </row>
    <row r="14945" spans="16:21" x14ac:dyDescent="0.35">
      <c r="P14945" s="226"/>
      <c r="Q14945" s="226"/>
      <c r="R14945" s="226"/>
      <c r="S14945" s="226"/>
      <c r="T14945" s="226"/>
      <c r="U14945" s="226"/>
    </row>
    <row r="14946" spans="16:21" x14ac:dyDescent="0.35">
      <c r="P14946" s="226"/>
      <c r="Q14946" s="226"/>
      <c r="R14946" s="226"/>
      <c r="S14946" s="226"/>
      <c r="T14946" s="226"/>
      <c r="U14946" s="226"/>
    </row>
    <row r="14947" spans="16:21" x14ac:dyDescent="0.35">
      <c r="P14947" s="226"/>
      <c r="Q14947" s="226"/>
      <c r="R14947" s="226"/>
      <c r="S14947" s="226"/>
      <c r="T14947" s="226"/>
      <c r="U14947" s="226"/>
    </row>
    <row r="14948" spans="16:21" x14ac:dyDescent="0.35">
      <c r="P14948" s="226"/>
      <c r="Q14948" s="226"/>
      <c r="R14948" s="226"/>
      <c r="S14948" s="226"/>
      <c r="T14948" s="226"/>
      <c r="U14948" s="226"/>
    </row>
    <row r="14949" spans="16:21" x14ac:dyDescent="0.35">
      <c r="P14949" s="226"/>
      <c r="Q14949" s="226"/>
      <c r="R14949" s="226"/>
      <c r="S14949" s="226"/>
      <c r="T14949" s="226"/>
      <c r="U14949" s="226"/>
    </row>
    <row r="14950" spans="16:21" x14ac:dyDescent="0.35">
      <c r="P14950" s="226"/>
      <c r="Q14950" s="226"/>
      <c r="R14950" s="226"/>
      <c r="S14950" s="226"/>
      <c r="T14950" s="226"/>
      <c r="U14950" s="226"/>
    </row>
    <row r="14951" spans="16:21" x14ac:dyDescent="0.35">
      <c r="P14951" s="226"/>
      <c r="Q14951" s="226"/>
      <c r="R14951" s="226"/>
      <c r="S14951" s="226"/>
      <c r="T14951" s="226"/>
      <c r="U14951" s="226"/>
    </row>
    <row r="14952" spans="16:21" x14ac:dyDescent="0.35">
      <c r="P14952" s="226"/>
      <c r="Q14952" s="226"/>
      <c r="R14952" s="226"/>
      <c r="S14952" s="226"/>
      <c r="T14952" s="226"/>
      <c r="U14952" s="226"/>
    </row>
    <row r="14953" spans="16:21" x14ac:dyDescent="0.35">
      <c r="P14953" s="226"/>
      <c r="Q14953" s="226"/>
      <c r="R14953" s="226"/>
      <c r="S14953" s="226"/>
      <c r="T14953" s="226"/>
      <c r="U14953" s="226"/>
    </row>
    <row r="14954" spans="16:21" x14ac:dyDescent="0.35">
      <c r="P14954" s="226"/>
      <c r="Q14954" s="226"/>
      <c r="R14954" s="226"/>
      <c r="S14954" s="226"/>
      <c r="T14954" s="226"/>
      <c r="U14954" s="226"/>
    </row>
    <row r="14955" spans="16:21" x14ac:dyDescent="0.35">
      <c r="P14955" s="226"/>
      <c r="Q14955" s="226"/>
      <c r="R14955" s="226"/>
      <c r="S14955" s="226"/>
      <c r="T14955" s="226"/>
      <c r="U14955" s="226"/>
    </row>
    <row r="14956" spans="16:21" x14ac:dyDescent="0.35">
      <c r="P14956" s="226"/>
      <c r="Q14956" s="226"/>
      <c r="R14956" s="226"/>
      <c r="S14956" s="226"/>
      <c r="T14956" s="226"/>
      <c r="U14956" s="226"/>
    </row>
    <row r="14957" spans="16:21" x14ac:dyDescent="0.35">
      <c r="P14957" s="226"/>
      <c r="Q14957" s="226"/>
      <c r="R14957" s="226"/>
      <c r="S14957" s="226"/>
      <c r="T14957" s="226"/>
      <c r="U14957" s="226"/>
    </row>
    <row r="14958" spans="16:21" x14ac:dyDescent="0.35">
      <c r="P14958" s="226"/>
      <c r="Q14958" s="226"/>
      <c r="R14958" s="226"/>
      <c r="S14958" s="226"/>
      <c r="T14958" s="226"/>
      <c r="U14958" s="226"/>
    </row>
    <row r="14959" spans="16:21" x14ac:dyDescent="0.35">
      <c r="P14959" s="226"/>
      <c r="Q14959" s="226"/>
      <c r="R14959" s="226"/>
      <c r="S14959" s="226"/>
      <c r="T14959" s="226"/>
      <c r="U14959" s="226"/>
    </row>
    <row r="14960" spans="16:21" x14ac:dyDescent="0.35">
      <c r="P14960" s="226"/>
      <c r="Q14960" s="226"/>
      <c r="R14960" s="226"/>
      <c r="S14960" s="226"/>
      <c r="T14960" s="226"/>
      <c r="U14960" s="226"/>
    </row>
    <row r="14961" spans="16:21" x14ac:dyDescent="0.35">
      <c r="P14961" s="226"/>
      <c r="Q14961" s="226"/>
      <c r="R14961" s="226"/>
      <c r="S14961" s="226"/>
      <c r="T14961" s="226"/>
      <c r="U14961" s="226"/>
    </row>
    <row r="14962" spans="16:21" x14ac:dyDescent="0.35">
      <c r="P14962" s="226"/>
      <c r="Q14962" s="226"/>
      <c r="R14962" s="226"/>
      <c r="S14962" s="226"/>
      <c r="T14962" s="226"/>
      <c r="U14962" s="226"/>
    </row>
    <row r="14963" spans="16:21" x14ac:dyDescent="0.35">
      <c r="P14963" s="226"/>
      <c r="Q14963" s="226"/>
      <c r="R14963" s="226"/>
      <c r="S14963" s="226"/>
      <c r="T14963" s="226"/>
      <c r="U14963" s="226"/>
    </row>
    <row r="14964" spans="16:21" x14ac:dyDescent="0.35">
      <c r="P14964" s="226"/>
      <c r="Q14964" s="226"/>
      <c r="R14964" s="226"/>
      <c r="S14964" s="226"/>
      <c r="T14964" s="226"/>
      <c r="U14964" s="226"/>
    </row>
    <row r="14965" spans="16:21" x14ac:dyDescent="0.35">
      <c r="P14965" s="226"/>
      <c r="Q14965" s="226"/>
      <c r="R14965" s="226"/>
      <c r="S14965" s="226"/>
      <c r="T14965" s="226"/>
      <c r="U14965" s="226"/>
    </row>
    <row r="14966" spans="16:21" x14ac:dyDescent="0.35">
      <c r="P14966" s="226"/>
      <c r="Q14966" s="226"/>
      <c r="R14966" s="226"/>
      <c r="S14966" s="226"/>
      <c r="T14966" s="226"/>
      <c r="U14966" s="226"/>
    </row>
    <row r="14967" spans="16:21" x14ac:dyDescent="0.35">
      <c r="P14967" s="226"/>
      <c r="Q14967" s="226"/>
      <c r="R14967" s="226"/>
      <c r="S14967" s="226"/>
      <c r="T14967" s="226"/>
      <c r="U14967" s="226"/>
    </row>
    <row r="14968" spans="16:21" x14ac:dyDescent="0.35">
      <c r="P14968" s="226"/>
      <c r="Q14968" s="226"/>
      <c r="R14968" s="226"/>
      <c r="S14968" s="226"/>
      <c r="T14968" s="226"/>
      <c r="U14968" s="226"/>
    </row>
    <row r="14969" spans="16:21" x14ac:dyDescent="0.35">
      <c r="P14969" s="226"/>
      <c r="Q14969" s="226"/>
      <c r="R14969" s="226"/>
      <c r="S14969" s="226"/>
      <c r="T14969" s="226"/>
      <c r="U14969" s="226"/>
    </row>
    <row r="14970" spans="16:21" x14ac:dyDescent="0.35">
      <c r="P14970" s="226"/>
      <c r="Q14970" s="226"/>
      <c r="R14970" s="226"/>
      <c r="S14970" s="226"/>
      <c r="T14970" s="226"/>
      <c r="U14970" s="226"/>
    </row>
    <row r="14971" spans="16:21" x14ac:dyDescent="0.35">
      <c r="P14971" s="226"/>
      <c r="Q14971" s="226"/>
      <c r="R14971" s="226"/>
      <c r="S14971" s="226"/>
      <c r="T14971" s="226"/>
      <c r="U14971" s="226"/>
    </row>
    <row r="14972" spans="16:21" x14ac:dyDescent="0.35">
      <c r="P14972" s="226"/>
      <c r="Q14972" s="226"/>
      <c r="R14972" s="226"/>
      <c r="S14972" s="226"/>
      <c r="T14972" s="226"/>
      <c r="U14972" s="226"/>
    </row>
    <row r="14973" spans="16:21" x14ac:dyDescent="0.35">
      <c r="P14973" s="226"/>
      <c r="Q14973" s="226"/>
      <c r="R14973" s="226"/>
      <c r="S14973" s="226"/>
      <c r="T14973" s="226"/>
      <c r="U14973" s="226"/>
    </row>
    <row r="14974" spans="16:21" x14ac:dyDescent="0.35">
      <c r="P14974" s="226"/>
      <c r="Q14974" s="226"/>
      <c r="R14974" s="226"/>
      <c r="S14974" s="226"/>
      <c r="T14974" s="226"/>
      <c r="U14974" s="226"/>
    </row>
    <row r="14975" spans="16:21" x14ac:dyDescent="0.35">
      <c r="P14975" s="226"/>
      <c r="Q14975" s="226"/>
      <c r="R14975" s="226"/>
      <c r="S14975" s="226"/>
      <c r="T14975" s="226"/>
      <c r="U14975" s="226"/>
    </row>
    <row r="14976" spans="16:21" x14ac:dyDescent="0.35">
      <c r="P14976" s="226"/>
      <c r="Q14976" s="226"/>
      <c r="R14976" s="226"/>
      <c r="S14976" s="226"/>
      <c r="T14976" s="226"/>
      <c r="U14976" s="226"/>
    </row>
    <row r="14977" spans="16:21" x14ac:dyDescent="0.35">
      <c r="P14977" s="226"/>
      <c r="Q14977" s="226"/>
      <c r="R14977" s="226"/>
      <c r="S14977" s="226"/>
      <c r="T14977" s="226"/>
      <c r="U14977" s="226"/>
    </row>
    <row r="14978" spans="16:21" x14ac:dyDescent="0.35">
      <c r="P14978" s="226"/>
      <c r="Q14978" s="226"/>
      <c r="R14978" s="226"/>
      <c r="S14978" s="226"/>
      <c r="T14978" s="226"/>
      <c r="U14978" s="226"/>
    </row>
    <row r="14979" spans="16:21" x14ac:dyDescent="0.35">
      <c r="P14979" s="226"/>
      <c r="Q14979" s="226"/>
      <c r="R14979" s="226"/>
      <c r="S14979" s="226"/>
      <c r="T14979" s="226"/>
      <c r="U14979" s="226"/>
    </row>
    <row r="14980" spans="16:21" x14ac:dyDescent="0.35">
      <c r="P14980" s="226"/>
      <c r="Q14980" s="226"/>
      <c r="R14980" s="226"/>
      <c r="S14980" s="226"/>
      <c r="T14980" s="226"/>
      <c r="U14980" s="226"/>
    </row>
    <row r="14981" spans="16:21" x14ac:dyDescent="0.35">
      <c r="P14981" s="226"/>
      <c r="Q14981" s="226"/>
      <c r="R14981" s="226"/>
      <c r="S14981" s="226"/>
      <c r="T14981" s="226"/>
      <c r="U14981" s="226"/>
    </row>
    <row r="14982" spans="16:21" x14ac:dyDescent="0.35">
      <c r="P14982" s="226"/>
      <c r="Q14982" s="226"/>
      <c r="R14982" s="226"/>
      <c r="S14982" s="226"/>
      <c r="T14982" s="226"/>
      <c r="U14982" s="226"/>
    </row>
    <row r="14983" spans="16:21" x14ac:dyDescent="0.35">
      <c r="P14983" s="226"/>
      <c r="Q14983" s="226"/>
      <c r="R14983" s="226"/>
      <c r="S14983" s="226"/>
      <c r="T14983" s="226"/>
      <c r="U14983" s="226"/>
    </row>
    <row r="14984" spans="16:21" x14ac:dyDescent="0.35">
      <c r="P14984" s="226"/>
      <c r="Q14984" s="226"/>
      <c r="R14984" s="226"/>
      <c r="S14984" s="226"/>
      <c r="T14984" s="226"/>
      <c r="U14984" s="226"/>
    </row>
    <row r="14985" spans="16:21" x14ac:dyDescent="0.35">
      <c r="P14985" s="226"/>
      <c r="Q14985" s="226"/>
      <c r="R14985" s="226"/>
      <c r="S14985" s="226"/>
      <c r="T14985" s="226"/>
      <c r="U14985" s="226"/>
    </row>
    <row r="14986" spans="16:21" x14ac:dyDescent="0.35">
      <c r="P14986" s="226"/>
      <c r="Q14986" s="226"/>
      <c r="R14986" s="226"/>
      <c r="S14986" s="226"/>
      <c r="T14986" s="226"/>
      <c r="U14986" s="226"/>
    </row>
    <row r="14987" spans="16:21" x14ac:dyDescent="0.35">
      <c r="P14987" s="226"/>
      <c r="Q14987" s="226"/>
      <c r="R14987" s="226"/>
      <c r="S14987" s="226"/>
      <c r="T14987" s="226"/>
      <c r="U14987" s="226"/>
    </row>
    <row r="14988" spans="16:21" x14ac:dyDescent="0.35">
      <c r="P14988" s="226"/>
      <c r="Q14988" s="226"/>
      <c r="R14988" s="226"/>
      <c r="S14988" s="226"/>
      <c r="T14988" s="226"/>
      <c r="U14988" s="226"/>
    </row>
    <row r="14989" spans="16:21" x14ac:dyDescent="0.35">
      <c r="P14989" s="226"/>
      <c r="Q14989" s="226"/>
      <c r="R14989" s="226"/>
      <c r="S14989" s="226"/>
      <c r="T14989" s="226"/>
      <c r="U14989" s="226"/>
    </row>
    <row r="14990" spans="16:21" x14ac:dyDescent="0.35">
      <c r="P14990" s="226"/>
      <c r="Q14990" s="226"/>
      <c r="R14990" s="226"/>
      <c r="S14990" s="226"/>
      <c r="T14990" s="226"/>
      <c r="U14990" s="226"/>
    </row>
    <row r="14991" spans="16:21" x14ac:dyDescent="0.35">
      <c r="P14991" s="226"/>
      <c r="Q14991" s="226"/>
      <c r="R14991" s="226"/>
      <c r="S14991" s="226"/>
      <c r="T14991" s="226"/>
      <c r="U14991" s="226"/>
    </row>
    <row r="14992" spans="16:21" x14ac:dyDescent="0.35">
      <c r="P14992" s="226"/>
      <c r="Q14992" s="226"/>
      <c r="R14992" s="226"/>
      <c r="S14992" s="226"/>
      <c r="T14992" s="226"/>
      <c r="U14992" s="226"/>
    </row>
    <row r="14993" spans="16:21" x14ac:dyDescent="0.35">
      <c r="P14993" s="226"/>
      <c r="Q14993" s="226"/>
      <c r="R14993" s="226"/>
      <c r="S14993" s="226"/>
      <c r="T14993" s="226"/>
      <c r="U14993" s="226"/>
    </row>
    <row r="14994" spans="16:21" x14ac:dyDescent="0.35">
      <c r="P14994" s="226"/>
      <c r="Q14994" s="226"/>
      <c r="R14994" s="226"/>
      <c r="S14994" s="226"/>
      <c r="T14994" s="226"/>
      <c r="U14994" s="226"/>
    </row>
    <row r="14995" spans="16:21" x14ac:dyDescent="0.35">
      <c r="P14995" s="226"/>
      <c r="Q14995" s="226"/>
      <c r="R14995" s="226"/>
      <c r="S14995" s="226"/>
      <c r="T14995" s="226"/>
      <c r="U14995" s="226"/>
    </row>
    <row r="14996" spans="16:21" x14ac:dyDescent="0.35">
      <c r="P14996" s="226"/>
      <c r="Q14996" s="226"/>
      <c r="R14996" s="226"/>
      <c r="S14996" s="226"/>
      <c r="T14996" s="226"/>
      <c r="U14996" s="226"/>
    </row>
    <row r="14997" spans="16:21" x14ac:dyDescent="0.35">
      <c r="P14997" s="226"/>
      <c r="Q14997" s="226"/>
      <c r="R14997" s="226"/>
      <c r="S14997" s="226"/>
      <c r="T14997" s="226"/>
      <c r="U14997" s="226"/>
    </row>
    <row r="14998" spans="16:21" x14ac:dyDescent="0.35">
      <c r="P14998" s="226"/>
      <c r="Q14998" s="226"/>
      <c r="R14998" s="226"/>
      <c r="S14998" s="226"/>
      <c r="T14998" s="226"/>
      <c r="U14998" s="226"/>
    </row>
    <row r="14999" spans="16:21" x14ac:dyDescent="0.35">
      <c r="P14999" s="226"/>
      <c r="Q14999" s="226"/>
      <c r="R14999" s="226"/>
      <c r="S14999" s="226"/>
      <c r="T14999" s="226"/>
      <c r="U14999" s="226"/>
    </row>
    <row r="15000" spans="16:21" x14ac:dyDescent="0.35">
      <c r="P15000" s="226"/>
      <c r="Q15000" s="226"/>
      <c r="R15000" s="226"/>
      <c r="S15000" s="226"/>
      <c r="T15000" s="226"/>
      <c r="U15000" s="226"/>
    </row>
    <row r="15001" spans="16:21" x14ac:dyDescent="0.35">
      <c r="P15001" s="226"/>
      <c r="Q15001" s="226"/>
      <c r="R15001" s="226"/>
      <c r="S15001" s="226"/>
      <c r="T15001" s="226"/>
      <c r="U15001" s="226"/>
    </row>
    <row r="15002" spans="16:21" x14ac:dyDescent="0.35">
      <c r="P15002" s="226"/>
      <c r="Q15002" s="226"/>
      <c r="R15002" s="226"/>
      <c r="S15002" s="226"/>
      <c r="T15002" s="226"/>
      <c r="U15002" s="226"/>
    </row>
    <row r="15003" spans="16:21" x14ac:dyDescent="0.35">
      <c r="P15003" s="226"/>
      <c r="Q15003" s="226"/>
      <c r="R15003" s="226"/>
      <c r="S15003" s="226"/>
      <c r="T15003" s="226"/>
      <c r="U15003" s="226"/>
    </row>
    <row r="15004" spans="16:21" x14ac:dyDescent="0.35">
      <c r="P15004" s="226"/>
      <c r="Q15004" s="226"/>
      <c r="R15004" s="226"/>
      <c r="S15004" s="226"/>
      <c r="T15004" s="226"/>
      <c r="U15004" s="226"/>
    </row>
    <row r="15005" spans="16:21" x14ac:dyDescent="0.35">
      <c r="P15005" s="226"/>
      <c r="Q15005" s="226"/>
      <c r="R15005" s="226"/>
      <c r="S15005" s="226"/>
      <c r="T15005" s="226"/>
      <c r="U15005" s="226"/>
    </row>
    <row r="15006" spans="16:21" x14ac:dyDescent="0.35">
      <c r="P15006" s="226"/>
      <c r="Q15006" s="226"/>
      <c r="R15006" s="226"/>
      <c r="S15006" s="226"/>
      <c r="T15006" s="226"/>
      <c r="U15006" s="226"/>
    </row>
    <row r="15007" spans="16:21" x14ac:dyDescent="0.35">
      <c r="P15007" s="226"/>
      <c r="Q15007" s="226"/>
      <c r="R15007" s="226"/>
      <c r="S15007" s="226"/>
      <c r="T15007" s="226"/>
      <c r="U15007" s="226"/>
    </row>
    <row r="15008" spans="16:21" x14ac:dyDescent="0.35">
      <c r="P15008" s="226"/>
      <c r="Q15008" s="226"/>
      <c r="R15008" s="226"/>
      <c r="S15008" s="226"/>
      <c r="T15008" s="226"/>
      <c r="U15008" s="226"/>
    </row>
    <row r="15009" spans="16:21" x14ac:dyDescent="0.35">
      <c r="P15009" s="226"/>
      <c r="Q15009" s="226"/>
      <c r="R15009" s="226"/>
      <c r="S15009" s="226"/>
      <c r="T15009" s="226"/>
      <c r="U15009" s="226"/>
    </row>
    <row r="15010" spans="16:21" x14ac:dyDescent="0.35">
      <c r="P15010" s="226"/>
      <c r="Q15010" s="226"/>
      <c r="R15010" s="226"/>
      <c r="S15010" s="226"/>
      <c r="T15010" s="226"/>
      <c r="U15010" s="226"/>
    </row>
    <row r="15011" spans="16:21" x14ac:dyDescent="0.35">
      <c r="P15011" s="226"/>
      <c r="Q15011" s="226"/>
      <c r="R15011" s="226"/>
      <c r="S15011" s="226"/>
      <c r="T15011" s="226"/>
      <c r="U15011" s="226"/>
    </row>
    <row r="15012" spans="16:21" x14ac:dyDescent="0.35">
      <c r="P15012" s="226"/>
      <c r="Q15012" s="226"/>
      <c r="R15012" s="226"/>
      <c r="S15012" s="226"/>
      <c r="T15012" s="226"/>
      <c r="U15012" s="226"/>
    </row>
    <row r="15013" spans="16:21" x14ac:dyDescent="0.35">
      <c r="P15013" s="226"/>
      <c r="Q15013" s="226"/>
      <c r="R15013" s="226"/>
      <c r="S15013" s="226"/>
      <c r="T15013" s="226"/>
      <c r="U15013" s="226"/>
    </row>
    <row r="15014" spans="16:21" x14ac:dyDescent="0.35">
      <c r="P15014" s="226"/>
      <c r="Q15014" s="226"/>
      <c r="R15014" s="226"/>
      <c r="S15014" s="226"/>
      <c r="T15014" s="226"/>
      <c r="U15014" s="226"/>
    </row>
    <row r="15015" spans="16:21" x14ac:dyDescent="0.35">
      <c r="P15015" s="226"/>
      <c r="Q15015" s="226"/>
      <c r="R15015" s="226"/>
      <c r="S15015" s="226"/>
      <c r="T15015" s="226"/>
      <c r="U15015" s="226"/>
    </row>
    <row r="15016" spans="16:21" x14ac:dyDescent="0.35">
      <c r="P15016" s="226"/>
      <c r="Q15016" s="226"/>
      <c r="R15016" s="226"/>
      <c r="S15016" s="226"/>
      <c r="T15016" s="226"/>
      <c r="U15016" s="226"/>
    </row>
    <row r="15017" spans="16:21" x14ac:dyDescent="0.35">
      <c r="P15017" s="226"/>
      <c r="Q15017" s="226"/>
      <c r="R15017" s="226"/>
      <c r="S15017" s="226"/>
      <c r="T15017" s="226"/>
      <c r="U15017" s="226"/>
    </row>
    <row r="15018" spans="16:21" x14ac:dyDescent="0.35">
      <c r="P15018" s="226"/>
      <c r="Q15018" s="226"/>
      <c r="R15018" s="226"/>
      <c r="S15018" s="226"/>
      <c r="T15018" s="226"/>
      <c r="U15018" s="226"/>
    </row>
    <row r="15019" spans="16:21" x14ac:dyDescent="0.35">
      <c r="P15019" s="226"/>
      <c r="Q15019" s="226"/>
      <c r="R15019" s="226"/>
      <c r="S15019" s="226"/>
      <c r="T15019" s="226"/>
      <c r="U15019" s="226"/>
    </row>
    <row r="15020" spans="16:21" x14ac:dyDescent="0.35">
      <c r="P15020" s="226"/>
      <c r="Q15020" s="226"/>
      <c r="R15020" s="226"/>
      <c r="S15020" s="226"/>
      <c r="T15020" s="226"/>
      <c r="U15020" s="226"/>
    </row>
    <row r="15021" spans="16:21" x14ac:dyDescent="0.35">
      <c r="P15021" s="226"/>
      <c r="Q15021" s="226"/>
      <c r="R15021" s="226"/>
      <c r="S15021" s="226"/>
      <c r="T15021" s="226"/>
      <c r="U15021" s="226"/>
    </row>
    <row r="15022" spans="16:21" x14ac:dyDescent="0.35">
      <c r="P15022" s="226"/>
      <c r="Q15022" s="226"/>
      <c r="R15022" s="226"/>
      <c r="S15022" s="226"/>
      <c r="T15022" s="226"/>
      <c r="U15022" s="226"/>
    </row>
    <row r="15023" spans="16:21" x14ac:dyDescent="0.35">
      <c r="P15023" s="226"/>
      <c r="Q15023" s="226"/>
      <c r="R15023" s="226"/>
      <c r="S15023" s="226"/>
      <c r="T15023" s="226"/>
      <c r="U15023" s="226"/>
    </row>
    <row r="15024" spans="16:21" x14ac:dyDescent="0.35">
      <c r="P15024" s="226"/>
      <c r="Q15024" s="226"/>
      <c r="R15024" s="226"/>
      <c r="S15024" s="226"/>
      <c r="T15024" s="226"/>
      <c r="U15024" s="226"/>
    </row>
    <row r="15025" spans="16:21" x14ac:dyDescent="0.35">
      <c r="P15025" s="226"/>
      <c r="Q15025" s="226"/>
      <c r="R15025" s="226"/>
      <c r="S15025" s="226"/>
      <c r="T15025" s="226"/>
      <c r="U15025" s="226"/>
    </row>
    <row r="15026" spans="16:21" x14ac:dyDescent="0.35">
      <c r="P15026" s="226"/>
      <c r="Q15026" s="226"/>
      <c r="R15026" s="226"/>
      <c r="S15026" s="226"/>
      <c r="T15026" s="226"/>
      <c r="U15026" s="226"/>
    </row>
    <row r="15027" spans="16:21" x14ac:dyDescent="0.35">
      <c r="P15027" s="226"/>
      <c r="Q15027" s="226"/>
      <c r="R15027" s="226"/>
      <c r="S15027" s="226"/>
      <c r="T15027" s="226"/>
      <c r="U15027" s="226"/>
    </row>
    <row r="15028" spans="16:21" x14ac:dyDescent="0.35">
      <c r="P15028" s="226"/>
      <c r="Q15028" s="226"/>
      <c r="R15028" s="226"/>
      <c r="S15028" s="226"/>
      <c r="T15028" s="226"/>
      <c r="U15028" s="226"/>
    </row>
    <row r="15029" spans="16:21" x14ac:dyDescent="0.35">
      <c r="P15029" s="226"/>
      <c r="Q15029" s="226"/>
      <c r="R15029" s="226"/>
      <c r="S15029" s="226"/>
      <c r="T15029" s="226"/>
      <c r="U15029" s="226"/>
    </row>
    <row r="15030" spans="16:21" x14ac:dyDescent="0.35">
      <c r="P15030" s="226"/>
      <c r="Q15030" s="226"/>
      <c r="R15030" s="226"/>
      <c r="S15030" s="226"/>
      <c r="T15030" s="226"/>
      <c r="U15030" s="226"/>
    </row>
    <row r="15031" spans="16:21" x14ac:dyDescent="0.35">
      <c r="P15031" s="226"/>
      <c r="Q15031" s="226"/>
      <c r="R15031" s="226"/>
      <c r="S15031" s="226"/>
      <c r="T15031" s="226"/>
      <c r="U15031" s="226"/>
    </row>
    <row r="15032" spans="16:21" x14ac:dyDescent="0.35">
      <c r="P15032" s="226"/>
      <c r="Q15032" s="226"/>
      <c r="R15032" s="226"/>
      <c r="S15032" s="226"/>
      <c r="T15032" s="226"/>
      <c r="U15032" s="226"/>
    </row>
    <row r="15033" spans="16:21" x14ac:dyDescent="0.35">
      <c r="P15033" s="226"/>
      <c r="Q15033" s="226"/>
      <c r="R15033" s="226"/>
      <c r="S15033" s="226"/>
      <c r="T15033" s="226"/>
      <c r="U15033" s="226"/>
    </row>
    <row r="15034" spans="16:21" x14ac:dyDescent="0.35">
      <c r="P15034" s="226"/>
      <c r="Q15034" s="226"/>
      <c r="R15034" s="226"/>
      <c r="S15034" s="226"/>
      <c r="T15034" s="226"/>
      <c r="U15034" s="226"/>
    </row>
    <row r="15035" spans="16:21" x14ac:dyDescent="0.35">
      <c r="P15035" s="226"/>
      <c r="Q15035" s="226"/>
      <c r="R15035" s="226"/>
      <c r="S15035" s="226"/>
      <c r="T15035" s="226"/>
      <c r="U15035" s="226"/>
    </row>
    <row r="15036" spans="16:21" x14ac:dyDescent="0.35">
      <c r="P15036" s="226"/>
      <c r="Q15036" s="226"/>
      <c r="R15036" s="226"/>
      <c r="S15036" s="226"/>
      <c r="T15036" s="226"/>
      <c r="U15036" s="226"/>
    </row>
    <row r="15037" spans="16:21" x14ac:dyDescent="0.35">
      <c r="P15037" s="226"/>
      <c r="Q15037" s="226"/>
      <c r="R15037" s="226"/>
      <c r="S15037" s="226"/>
      <c r="T15037" s="226"/>
      <c r="U15037" s="226"/>
    </row>
    <row r="15038" spans="16:21" x14ac:dyDescent="0.35">
      <c r="P15038" s="226"/>
      <c r="Q15038" s="226"/>
      <c r="R15038" s="226"/>
      <c r="S15038" s="226"/>
      <c r="T15038" s="226"/>
      <c r="U15038" s="226"/>
    </row>
    <row r="15039" spans="16:21" x14ac:dyDescent="0.35">
      <c r="P15039" s="226"/>
      <c r="Q15039" s="226"/>
      <c r="R15039" s="226"/>
      <c r="S15039" s="226"/>
      <c r="T15039" s="226"/>
      <c r="U15039" s="226"/>
    </row>
    <row r="15040" spans="16:21" x14ac:dyDescent="0.35">
      <c r="P15040" s="226"/>
      <c r="Q15040" s="226"/>
      <c r="R15040" s="226"/>
      <c r="S15040" s="226"/>
      <c r="T15040" s="226"/>
      <c r="U15040" s="226"/>
    </row>
    <row r="15041" spans="16:21" x14ac:dyDescent="0.35">
      <c r="P15041" s="226"/>
      <c r="Q15041" s="226"/>
      <c r="R15041" s="226"/>
      <c r="S15041" s="226"/>
      <c r="T15041" s="226"/>
      <c r="U15041" s="226"/>
    </row>
    <row r="15042" spans="16:21" x14ac:dyDescent="0.35">
      <c r="P15042" s="226"/>
      <c r="Q15042" s="226"/>
      <c r="R15042" s="226"/>
      <c r="S15042" s="226"/>
      <c r="T15042" s="226"/>
      <c r="U15042" s="226"/>
    </row>
    <row r="15043" spans="16:21" x14ac:dyDescent="0.35">
      <c r="P15043" s="226"/>
      <c r="Q15043" s="226"/>
      <c r="R15043" s="226"/>
      <c r="S15043" s="226"/>
      <c r="T15043" s="226"/>
      <c r="U15043" s="226"/>
    </row>
    <row r="15044" spans="16:21" x14ac:dyDescent="0.35">
      <c r="P15044" s="226"/>
      <c r="Q15044" s="226"/>
      <c r="R15044" s="226"/>
      <c r="S15044" s="226"/>
      <c r="T15044" s="226"/>
      <c r="U15044" s="226"/>
    </row>
    <row r="15045" spans="16:21" x14ac:dyDescent="0.35">
      <c r="P15045" s="226"/>
      <c r="Q15045" s="226"/>
      <c r="R15045" s="226"/>
      <c r="S15045" s="226"/>
      <c r="T15045" s="226"/>
      <c r="U15045" s="226"/>
    </row>
    <row r="15046" spans="16:21" x14ac:dyDescent="0.35">
      <c r="P15046" s="226"/>
      <c r="Q15046" s="226"/>
      <c r="R15046" s="226"/>
      <c r="S15046" s="226"/>
      <c r="T15046" s="226"/>
      <c r="U15046" s="226"/>
    </row>
    <row r="15047" spans="16:21" x14ac:dyDescent="0.35">
      <c r="P15047" s="226"/>
      <c r="Q15047" s="226"/>
      <c r="R15047" s="226"/>
      <c r="S15047" s="226"/>
      <c r="T15047" s="226"/>
      <c r="U15047" s="226"/>
    </row>
    <row r="15048" spans="16:21" x14ac:dyDescent="0.35">
      <c r="P15048" s="226"/>
      <c r="Q15048" s="226"/>
      <c r="R15048" s="226"/>
      <c r="S15048" s="226"/>
      <c r="T15048" s="226"/>
      <c r="U15048" s="226"/>
    </row>
    <row r="15049" spans="16:21" x14ac:dyDescent="0.35">
      <c r="P15049" s="226"/>
      <c r="Q15049" s="226"/>
      <c r="R15049" s="226"/>
      <c r="S15049" s="226"/>
      <c r="T15049" s="226"/>
      <c r="U15049" s="226"/>
    </row>
    <row r="15050" spans="16:21" x14ac:dyDescent="0.35">
      <c r="P15050" s="226"/>
      <c r="Q15050" s="226"/>
      <c r="R15050" s="226"/>
      <c r="S15050" s="226"/>
      <c r="T15050" s="226"/>
      <c r="U15050" s="226"/>
    </row>
    <row r="15051" spans="16:21" x14ac:dyDescent="0.35">
      <c r="P15051" s="226"/>
      <c r="Q15051" s="226"/>
      <c r="R15051" s="226"/>
      <c r="S15051" s="226"/>
      <c r="T15051" s="226"/>
      <c r="U15051" s="226"/>
    </row>
    <row r="15052" spans="16:21" x14ac:dyDescent="0.35">
      <c r="P15052" s="226"/>
      <c r="Q15052" s="226"/>
      <c r="R15052" s="226"/>
      <c r="S15052" s="226"/>
      <c r="T15052" s="226"/>
      <c r="U15052" s="226"/>
    </row>
    <row r="15053" spans="16:21" x14ac:dyDescent="0.35">
      <c r="P15053" s="226"/>
      <c r="Q15053" s="226"/>
      <c r="R15053" s="226"/>
      <c r="S15053" s="226"/>
      <c r="T15053" s="226"/>
      <c r="U15053" s="226"/>
    </row>
    <row r="15054" spans="16:21" x14ac:dyDescent="0.35">
      <c r="P15054" s="226"/>
      <c r="Q15054" s="226"/>
      <c r="R15054" s="226"/>
      <c r="S15054" s="226"/>
      <c r="T15054" s="226"/>
      <c r="U15054" s="226"/>
    </row>
    <row r="15055" spans="16:21" x14ac:dyDescent="0.35">
      <c r="P15055" s="226"/>
      <c r="Q15055" s="226"/>
      <c r="R15055" s="226"/>
      <c r="S15055" s="226"/>
      <c r="T15055" s="226"/>
      <c r="U15055" s="226"/>
    </row>
    <row r="15056" spans="16:21" x14ac:dyDescent="0.35">
      <c r="P15056" s="226"/>
      <c r="Q15056" s="226"/>
      <c r="R15056" s="226"/>
      <c r="S15056" s="226"/>
      <c r="T15056" s="226"/>
      <c r="U15056" s="226"/>
    </row>
    <row r="15057" spans="16:21" x14ac:dyDescent="0.35">
      <c r="P15057" s="226"/>
      <c r="Q15057" s="226"/>
      <c r="R15057" s="226"/>
      <c r="S15057" s="226"/>
      <c r="T15057" s="226"/>
      <c r="U15057" s="226"/>
    </row>
    <row r="15058" spans="16:21" x14ac:dyDescent="0.35">
      <c r="P15058" s="226"/>
      <c r="Q15058" s="226"/>
      <c r="R15058" s="226"/>
      <c r="S15058" s="226"/>
      <c r="T15058" s="226"/>
      <c r="U15058" s="226"/>
    </row>
    <row r="15059" spans="16:21" x14ac:dyDescent="0.35">
      <c r="P15059" s="226"/>
      <c r="Q15059" s="226"/>
      <c r="R15059" s="226"/>
      <c r="S15059" s="226"/>
      <c r="T15059" s="226"/>
      <c r="U15059" s="226"/>
    </row>
    <row r="15060" spans="16:21" x14ac:dyDescent="0.35">
      <c r="P15060" s="226"/>
      <c r="Q15060" s="226"/>
      <c r="R15060" s="226"/>
      <c r="S15060" s="226"/>
      <c r="T15060" s="226"/>
      <c r="U15060" s="226"/>
    </row>
    <row r="15061" spans="16:21" x14ac:dyDescent="0.35">
      <c r="P15061" s="226"/>
      <c r="Q15061" s="226"/>
      <c r="R15061" s="226"/>
      <c r="S15061" s="226"/>
      <c r="T15061" s="226"/>
      <c r="U15061" s="226"/>
    </row>
    <row r="15062" spans="16:21" x14ac:dyDescent="0.35">
      <c r="P15062" s="226"/>
      <c r="Q15062" s="226"/>
      <c r="R15062" s="226"/>
      <c r="S15062" s="226"/>
      <c r="T15062" s="226"/>
      <c r="U15062" s="226"/>
    </row>
    <row r="15063" spans="16:21" x14ac:dyDescent="0.35">
      <c r="P15063" s="226"/>
      <c r="Q15063" s="226"/>
      <c r="R15063" s="226"/>
      <c r="S15063" s="226"/>
      <c r="T15063" s="226"/>
      <c r="U15063" s="226"/>
    </row>
    <row r="15064" spans="16:21" x14ac:dyDescent="0.35">
      <c r="P15064" s="226"/>
      <c r="Q15064" s="226"/>
      <c r="R15064" s="226"/>
      <c r="S15064" s="226"/>
      <c r="T15064" s="226"/>
      <c r="U15064" s="226"/>
    </row>
    <row r="15065" spans="16:21" x14ac:dyDescent="0.35">
      <c r="P15065" s="226"/>
      <c r="Q15065" s="226"/>
      <c r="R15065" s="226"/>
      <c r="S15065" s="226"/>
      <c r="T15065" s="226"/>
      <c r="U15065" s="226"/>
    </row>
    <row r="15066" spans="16:21" x14ac:dyDescent="0.35">
      <c r="P15066" s="226"/>
      <c r="Q15066" s="226"/>
      <c r="R15066" s="226"/>
      <c r="S15066" s="226"/>
      <c r="T15066" s="226"/>
      <c r="U15066" s="226"/>
    </row>
    <row r="15067" spans="16:21" x14ac:dyDescent="0.35">
      <c r="P15067" s="226"/>
      <c r="Q15067" s="226"/>
      <c r="R15067" s="226"/>
      <c r="S15067" s="226"/>
      <c r="T15067" s="226"/>
      <c r="U15067" s="226"/>
    </row>
    <row r="15068" spans="16:21" x14ac:dyDescent="0.35">
      <c r="P15068" s="226"/>
      <c r="Q15068" s="226"/>
      <c r="R15068" s="226"/>
      <c r="S15068" s="226"/>
      <c r="T15068" s="226"/>
      <c r="U15068" s="226"/>
    </row>
    <row r="15069" spans="16:21" x14ac:dyDescent="0.35">
      <c r="P15069" s="226"/>
      <c r="Q15069" s="226"/>
      <c r="R15069" s="226"/>
      <c r="S15069" s="226"/>
      <c r="T15069" s="226"/>
      <c r="U15069" s="226"/>
    </row>
    <row r="15070" spans="16:21" x14ac:dyDescent="0.35">
      <c r="P15070" s="226"/>
      <c r="Q15070" s="226"/>
      <c r="R15070" s="226"/>
      <c r="S15070" s="226"/>
      <c r="T15070" s="226"/>
      <c r="U15070" s="226"/>
    </row>
    <row r="15071" spans="16:21" x14ac:dyDescent="0.35">
      <c r="P15071" s="226"/>
      <c r="Q15071" s="226"/>
      <c r="R15071" s="226"/>
      <c r="S15071" s="226"/>
      <c r="T15071" s="226"/>
      <c r="U15071" s="226"/>
    </row>
    <row r="15072" spans="16:21" x14ac:dyDescent="0.35">
      <c r="P15072" s="226"/>
      <c r="Q15072" s="226"/>
      <c r="R15072" s="226"/>
      <c r="S15072" s="226"/>
      <c r="T15072" s="226"/>
      <c r="U15072" s="226"/>
    </row>
    <row r="15073" spans="16:21" x14ac:dyDescent="0.35">
      <c r="P15073" s="226"/>
      <c r="Q15073" s="226"/>
      <c r="R15073" s="226"/>
      <c r="S15073" s="226"/>
      <c r="T15073" s="226"/>
      <c r="U15073" s="226"/>
    </row>
    <row r="15074" spans="16:21" x14ac:dyDescent="0.35">
      <c r="P15074" s="226"/>
      <c r="Q15074" s="226"/>
      <c r="R15074" s="226"/>
      <c r="S15074" s="226"/>
      <c r="T15074" s="226"/>
      <c r="U15074" s="226"/>
    </row>
    <row r="15075" spans="16:21" x14ac:dyDescent="0.35">
      <c r="P15075" s="226"/>
      <c r="Q15075" s="226"/>
      <c r="R15075" s="226"/>
      <c r="S15075" s="226"/>
      <c r="T15075" s="226"/>
      <c r="U15075" s="226"/>
    </row>
    <row r="15076" spans="16:21" x14ac:dyDescent="0.35">
      <c r="P15076" s="226"/>
      <c r="Q15076" s="226"/>
      <c r="R15076" s="226"/>
      <c r="S15076" s="226"/>
      <c r="T15076" s="226"/>
      <c r="U15076" s="226"/>
    </row>
    <row r="15077" spans="16:21" x14ac:dyDescent="0.35">
      <c r="P15077" s="226"/>
      <c r="Q15077" s="226"/>
      <c r="R15077" s="226"/>
      <c r="S15077" s="226"/>
      <c r="T15077" s="226"/>
      <c r="U15077" s="226"/>
    </row>
    <row r="15078" spans="16:21" x14ac:dyDescent="0.35">
      <c r="P15078" s="226"/>
      <c r="Q15078" s="226"/>
      <c r="R15078" s="226"/>
      <c r="S15078" s="226"/>
      <c r="T15078" s="226"/>
      <c r="U15078" s="226"/>
    </row>
    <row r="15079" spans="16:21" x14ac:dyDescent="0.35">
      <c r="P15079" s="226"/>
      <c r="Q15079" s="226"/>
      <c r="R15079" s="226"/>
      <c r="S15079" s="226"/>
      <c r="T15079" s="226"/>
      <c r="U15079" s="226"/>
    </row>
    <row r="15080" spans="16:21" x14ac:dyDescent="0.35">
      <c r="P15080" s="226"/>
      <c r="Q15080" s="226"/>
      <c r="R15080" s="226"/>
      <c r="S15080" s="226"/>
      <c r="T15080" s="226"/>
      <c r="U15080" s="226"/>
    </row>
    <row r="15081" spans="16:21" x14ac:dyDescent="0.35">
      <c r="P15081" s="226"/>
      <c r="Q15081" s="226"/>
      <c r="R15081" s="226"/>
      <c r="S15081" s="226"/>
      <c r="T15081" s="226"/>
      <c r="U15081" s="226"/>
    </row>
    <row r="15082" spans="16:21" x14ac:dyDescent="0.35">
      <c r="P15082" s="226"/>
      <c r="Q15082" s="226"/>
      <c r="R15082" s="226"/>
      <c r="S15082" s="226"/>
      <c r="T15082" s="226"/>
      <c r="U15082" s="226"/>
    </row>
    <row r="15083" spans="16:21" x14ac:dyDescent="0.35">
      <c r="P15083" s="226"/>
      <c r="Q15083" s="226"/>
      <c r="R15083" s="226"/>
      <c r="S15083" s="226"/>
      <c r="T15083" s="226"/>
      <c r="U15083" s="226"/>
    </row>
    <row r="15084" spans="16:21" x14ac:dyDescent="0.35">
      <c r="P15084" s="226"/>
      <c r="Q15084" s="226"/>
      <c r="R15084" s="226"/>
      <c r="S15084" s="226"/>
      <c r="T15084" s="226"/>
      <c r="U15084" s="226"/>
    </row>
    <row r="15085" spans="16:21" x14ac:dyDescent="0.35">
      <c r="P15085" s="226"/>
      <c r="Q15085" s="226"/>
      <c r="R15085" s="226"/>
      <c r="S15085" s="226"/>
      <c r="T15085" s="226"/>
      <c r="U15085" s="226"/>
    </row>
    <row r="15086" spans="16:21" x14ac:dyDescent="0.35">
      <c r="P15086" s="226"/>
      <c r="Q15086" s="226"/>
      <c r="R15086" s="226"/>
      <c r="S15086" s="226"/>
      <c r="T15086" s="226"/>
      <c r="U15086" s="226"/>
    </row>
    <row r="15087" spans="16:21" x14ac:dyDescent="0.35">
      <c r="P15087" s="226"/>
      <c r="Q15087" s="226"/>
      <c r="R15087" s="226"/>
      <c r="S15087" s="226"/>
      <c r="T15087" s="226"/>
      <c r="U15087" s="226"/>
    </row>
    <row r="15088" spans="16:21" x14ac:dyDescent="0.35">
      <c r="P15088" s="226"/>
      <c r="Q15088" s="226"/>
      <c r="R15088" s="226"/>
      <c r="S15088" s="226"/>
      <c r="T15088" s="226"/>
      <c r="U15088" s="226"/>
    </row>
    <row r="15089" spans="16:21" x14ac:dyDescent="0.35">
      <c r="P15089" s="226"/>
      <c r="Q15089" s="226"/>
      <c r="R15089" s="226"/>
      <c r="S15089" s="226"/>
      <c r="T15089" s="226"/>
      <c r="U15089" s="226"/>
    </row>
    <row r="15090" spans="16:21" x14ac:dyDescent="0.35">
      <c r="P15090" s="226"/>
      <c r="Q15090" s="226"/>
      <c r="R15090" s="226"/>
      <c r="S15090" s="226"/>
      <c r="T15090" s="226"/>
      <c r="U15090" s="226"/>
    </row>
    <row r="15091" spans="16:21" x14ac:dyDescent="0.35">
      <c r="P15091" s="226"/>
      <c r="Q15091" s="226"/>
      <c r="R15091" s="226"/>
      <c r="S15091" s="226"/>
      <c r="T15091" s="226"/>
      <c r="U15091" s="226"/>
    </row>
    <row r="15092" spans="16:21" x14ac:dyDescent="0.35">
      <c r="P15092" s="226"/>
      <c r="Q15092" s="226"/>
      <c r="R15092" s="226"/>
      <c r="S15092" s="226"/>
      <c r="T15092" s="226"/>
      <c r="U15092" s="226"/>
    </row>
    <row r="15093" spans="16:21" x14ac:dyDescent="0.35">
      <c r="P15093" s="226"/>
      <c r="Q15093" s="226"/>
      <c r="R15093" s="226"/>
      <c r="S15093" s="226"/>
      <c r="T15093" s="226"/>
      <c r="U15093" s="226"/>
    </row>
    <row r="15094" spans="16:21" x14ac:dyDescent="0.35">
      <c r="P15094" s="226"/>
      <c r="Q15094" s="226"/>
      <c r="R15094" s="226"/>
      <c r="S15094" s="226"/>
      <c r="T15094" s="226"/>
      <c r="U15094" s="226"/>
    </row>
    <row r="15095" spans="16:21" x14ac:dyDescent="0.35">
      <c r="P15095" s="226"/>
      <c r="Q15095" s="226"/>
      <c r="R15095" s="226"/>
      <c r="S15095" s="226"/>
      <c r="T15095" s="226"/>
      <c r="U15095" s="226"/>
    </row>
    <row r="15096" spans="16:21" x14ac:dyDescent="0.35">
      <c r="P15096" s="226"/>
      <c r="Q15096" s="226"/>
      <c r="R15096" s="226"/>
      <c r="S15096" s="226"/>
      <c r="T15096" s="226"/>
      <c r="U15096" s="226"/>
    </row>
    <row r="15097" spans="16:21" x14ac:dyDescent="0.35">
      <c r="P15097" s="226"/>
      <c r="Q15097" s="226"/>
      <c r="R15097" s="226"/>
      <c r="S15097" s="226"/>
      <c r="T15097" s="226"/>
      <c r="U15097" s="226"/>
    </row>
    <row r="15098" spans="16:21" x14ac:dyDescent="0.35">
      <c r="P15098" s="226"/>
      <c r="Q15098" s="226"/>
      <c r="R15098" s="226"/>
      <c r="S15098" s="226"/>
      <c r="T15098" s="226"/>
      <c r="U15098" s="226"/>
    </row>
    <row r="15099" spans="16:21" x14ac:dyDescent="0.35">
      <c r="P15099" s="226"/>
      <c r="Q15099" s="226"/>
      <c r="R15099" s="226"/>
      <c r="S15099" s="226"/>
      <c r="T15099" s="226"/>
      <c r="U15099" s="226"/>
    </row>
    <row r="15100" spans="16:21" x14ac:dyDescent="0.35">
      <c r="P15100" s="226"/>
      <c r="Q15100" s="226"/>
      <c r="R15100" s="226"/>
      <c r="S15100" s="226"/>
      <c r="T15100" s="226"/>
      <c r="U15100" s="226"/>
    </row>
    <row r="15101" spans="16:21" x14ac:dyDescent="0.35">
      <c r="P15101" s="226"/>
      <c r="Q15101" s="226"/>
      <c r="R15101" s="226"/>
      <c r="S15101" s="226"/>
      <c r="T15101" s="226"/>
      <c r="U15101" s="226"/>
    </row>
    <row r="15102" spans="16:21" x14ac:dyDescent="0.35">
      <c r="P15102" s="226"/>
      <c r="Q15102" s="226"/>
      <c r="R15102" s="226"/>
      <c r="S15102" s="226"/>
      <c r="T15102" s="226"/>
      <c r="U15102" s="226"/>
    </row>
    <row r="15103" spans="16:21" x14ac:dyDescent="0.35">
      <c r="P15103" s="226"/>
      <c r="Q15103" s="226"/>
      <c r="R15103" s="226"/>
      <c r="S15103" s="226"/>
      <c r="T15103" s="226"/>
      <c r="U15103" s="226"/>
    </row>
    <row r="15104" spans="16:21" x14ac:dyDescent="0.35">
      <c r="P15104" s="226"/>
      <c r="Q15104" s="226"/>
      <c r="R15104" s="226"/>
      <c r="S15104" s="226"/>
      <c r="T15104" s="226"/>
      <c r="U15104" s="226"/>
    </row>
    <row r="15105" spans="16:21" x14ac:dyDescent="0.35">
      <c r="P15105" s="226"/>
      <c r="Q15105" s="226"/>
      <c r="R15105" s="226"/>
      <c r="S15105" s="226"/>
      <c r="T15105" s="226"/>
      <c r="U15105" s="226"/>
    </row>
    <row r="15106" spans="16:21" x14ac:dyDescent="0.35">
      <c r="P15106" s="226"/>
      <c r="Q15106" s="226"/>
      <c r="R15106" s="226"/>
      <c r="S15106" s="226"/>
      <c r="T15106" s="226"/>
      <c r="U15106" s="226"/>
    </row>
    <row r="15107" spans="16:21" x14ac:dyDescent="0.35">
      <c r="P15107" s="226"/>
      <c r="Q15107" s="226"/>
      <c r="R15107" s="226"/>
      <c r="S15107" s="226"/>
      <c r="T15107" s="226"/>
      <c r="U15107" s="226"/>
    </row>
    <row r="15108" spans="16:21" x14ac:dyDescent="0.35">
      <c r="P15108" s="226"/>
      <c r="Q15108" s="226"/>
      <c r="R15108" s="226"/>
      <c r="S15108" s="226"/>
      <c r="T15108" s="226"/>
      <c r="U15108" s="226"/>
    </row>
    <row r="15109" spans="16:21" x14ac:dyDescent="0.35">
      <c r="P15109" s="226"/>
      <c r="Q15109" s="226"/>
      <c r="R15109" s="226"/>
      <c r="S15109" s="226"/>
      <c r="T15109" s="226"/>
      <c r="U15109" s="226"/>
    </row>
    <row r="15110" spans="16:21" x14ac:dyDescent="0.35">
      <c r="P15110" s="226"/>
      <c r="Q15110" s="226"/>
      <c r="R15110" s="226"/>
      <c r="S15110" s="226"/>
      <c r="T15110" s="226"/>
      <c r="U15110" s="226"/>
    </row>
    <row r="15111" spans="16:21" x14ac:dyDescent="0.35">
      <c r="P15111" s="226"/>
      <c r="Q15111" s="226"/>
      <c r="R15111" s="226"/>
      <c r="S15111" s="226"/>
      <c r="T15111" s="226"/>
      <c r="U15111" s="226"/>
    </row>
    <row r="15112" spans="16:21" x14ac:dyDescent="0.35">
      <c r="P15112" s="226"/>
      <c r="Q15112" s="226"/>
      <c r="R15112" s="226"/>
      <c r="S15112" s="226"/>
      <c r="T15112" s="226"/>
      <c r="U15112" s="226"/>
    </row>
    <row r="15113" spans="16:21" x14ac:dyDescent="0.35">
      <c r="P15113" s="226"/>
      <c r="Q15113" s="226"/>
      <c r="R15113" s="226"/>
      <c r="S15113" s="226"/>
      <c r="T15113" s="226"/>
      <c r="U15113" s="226"/>
    </row>
    <row r="15114" spans="16:21" x14ac:dyDescent="0.35">
      <c r="P15114" s="226"/>
      <c r="Q15114" s="226"/>
      <c r="R15114" s="226"/>
      <c r="S15114" s="226"/>
      <c r="T15114" s="226"/>
      <c r="U15114" s="226"/>
    </row>
    <row r="15115" spans="16:21" x14ac:dyDescent="0.35">
      <c r="P15115" s="226"/>
      <c r="Q15115" s="226"/>
      <c r="R15115" s="226"/>
      <c r="S15115" s="226"/>
      <c r="T15115" s="226"/>
      <c r="U15115" s="226"/>
    </row>
    <row r="15116" spans="16:21" x14ac:dyDescent="0.35">
      <c r="P15116" s="226"/>
      <c r="Q15116" s="226"/>
      <c r="R15116" s="226"/>
      <c r="S15116" s="226"/>
      <c r="T15116" s="226"/>
      <c r="U15116" s="226"/>
    </row>
    <row r="15117" spans="16:21" x14ac:dyDescent="0.35">
      <c r="P15117" s="226"/>
      <c r="Q15117" s="226"/>
      <c r="R15117" s="226"/>
      <c r="S15117" s="226"/>
      <c r="T15117" s="226"/>
      <c r="U15117" s="226"/>
    </row>
    <row r="15118" spans="16:21" x14ac:dyDescent="0.35">
      <c r="P15118" s="226"/>
      <c r="Q15118" s="226"/>
      <c r="R15118" s="226"/>
      <c r="S15118" s="226"/>
      <c r="T15118" s="226"/>
      <c r="U15118" s="226"/>
    </row>
    <row r="15119" spans="16:21" x14ac:dyDescent="0.35">
      <c r="P15119" s="226"/>
      <c r="Q15119" s="226"/>
      <c r="R15119" s="226"/>
      <c r="S15119" s="226"/>
      <c r="T15119" s="226"/>
      <c r="U15119" s="226"/>
    </row>
    <row r="15120" spans="16:21" x14ac:dyDescent="0.35">
      <c r="P15120" s="226"/>
      <c r="Q15120" s="226"/>
      <c r="R15120" s="226"/>
      <c r="S15120" s="226"/>
      <c r="T15120" s="226"/>
      <c r="U15120" s="226"/>
    </row>
    <row r="15121" spans="16:21" x14ac:dyDescent="0.35">
      <c r="P15121" s="226"/>
      <c r="Q15121" s="226"/>
      <c r="R15121" s="226"/>
      <c r="S15121" s="226"/>
      <c r="T15121" s="226"/>
      <c r="U15121" s="226"/>
    </row>
    <row r="15122" spans="16:21" x14ac:dyDescent="0.35">
      <c r="P15122" s="226"/>
      <c r="Q15122" s="226"/>
      <c r="R15122" s="226"/>
      <c r="S15122" s="226"/>
      <c r="T15122" s="226"/>
      <c r="U15122" s="226"/>
    </row>
    <row r="15123" spans="16:21" x14ac:dyDescent="0.35">
      <c r="P15123" s="226"/>
      <c r="Q15123" s="226"/>
      <c r="R15123" s="226"/>
      <c r="S15123" s="226"/>
      <c r="T15123" s="226"/>
      <c r="U15123" s="226"/>
    </row>
    <row r="15124" spans="16:21" x14ac:dyDescent="0.35">
      <c r="P15124" s="226"/>
      <c r="Q15124" s="226"/>
      <c r="R15124" s="226"/>
      <c r="S15124" s="226"/>
      <c r="T15124" s="226"/>
      <c r="U15124" s="226"/>
    </row>
    <row r="15125" spans="16:21" x14ac:dyDescent="0.35">
      <c r="P15125" s="226"/>
      <c r="Q15125" s="226"/>
      <c r="R15125" s="226"/>
      <c r="S15125" s="226"/>
      <c r="T15125" s="226"/>
      <c r="U15125" s="226"/>
    </row>
    <row r="15126" spans="16:21" x14ac:dyDescent="0.35">
      <c r="P15126" s="226"/>
      <c r="Q15126" s="226"/>
      <c r="R15126" s="226"/>
      <c r="S15126" s="226"/>
      <c r="T15126" s="226"/>
      <c r="U15126" s="226"/>
    </row>
    <row r="15127" spans="16:21" x14ac:dyDescent="0.35">
      <c r="P15127" s="226"/>
      <c r="Q15127" s="226"/>
      <c r="R15127" s="226"/>
      <c r="S15127" s="226"/>
      <c r="T15127" s="226"/>
      <c r="U15127" s="226"/>
    </row>
    <row r="15128" spans="16:21" x14ac:dyDescent="0.35">
      <c r="P15128" s="226"/>
      <c r="Q15128" s="226"/>
      <c r="R15128" s="226"/>
      <c r="S15128" s="226"/>
      <c r="T15128" s="226"/>
      <c r="U15128" s="226"/>
    </row>
    <row r="15129" spans="16:21" x14ac:dyDescent="0.35">
      <c r="P15129" s="226"/>
      <c r="Q15129" s="226"/>
      <c r="R15129" s="226"/>
      <c r="S15129" s="226"/>
      <c r="T15129" s="226"/>
      <c r="U15129" s="226"/>
    </row>
    <row r="15130" spans="16:21" x14ac:dyDescent="0.35">
      <c r="P15130" s="226"/>
      <c r="Q15130" s="226"/>
      <c r="R15130" s="226"/>
      <c r="S15130" s="226"/>
      <c r="T15130" s="226"/>
      <c r="U15130" s="226"/>
    </row>
    <row r="15131" spans="16:21" x14ac:dyDescent="0.35">
      <c r="P15131" s="226"/>
      <c r="Q15131" s="226"/>
      <c r="R15131" s="226"/>
      <c r="S15131" s="226"/>
      <c r="T15131" s="226"/>
      <c r="U15131" s="226"/>
    </row>
    <row r="15132" spans="16:21" x14ac:dyDescent="0.35">
      <c r="P15132" s="226"/>
      <c r="Q15132" s="226"/>
      <c r="R15132" s="226"/>
      <c r="S15132" s="226"/>
      <c r="T15132" s="226"/>
      <c r="U15132" s="226"/>
    </row>
    <row r="15133" spans="16:21" x14ac:dyDescent="0.35">
      <c r="P15133" s="226"/>
      <c r="Q15133" s="226"/>
      <c r="R15133" s="226"/>
      <c r="S15133" s="226"/>
      <c r="T15133" s="226"/>
      <c r="U15133" s="226"/>
    </row>
    <row r="15134" spans="16:21" x14ac:dyDescent="0.35">
      <c r="P15134" s="226"/>
      <c r="Q15134" s="226"/>
      <c r="R15134" s="226"/>
      <c r="S15134" s="226"/>
      <c r="T15134" s="226"/>
      <c r="U15134" s="226"/>
    </row>
    <row r="15135" spans="16:21" x14ac:dyDescent="0.35">
      <c r="P15135" s="226"/>
      <c r="Q15135" s="226"/>
      <c r="R15135" s="226"/>
      <c r="S15135" s="226"/>
      <c r="T15135" s="226"/>
      <c r="U15135" s="226"/>
    </row>
    <row r="15136" spans="16:21" x14ac:dyDescent="0.35">
      <c r="P15136" s="226"/>
      <c r="Q15136" s="226"/>
      <c r="R15136" s="226"/>
      <c r="S15136" s="226"/>
      <c r="T15136" s="226"/>
      <c r="U15136" s="226"/>
    </row>
    <row r="15137" spans="16:21" x14ac:dyDescent="0.35">
      <c r="P15137" s="226"/>
      <c r="Q15137" s="226"/>
      <c r="R15137" s="226"/>
      <c r="S15137" s="226"/>
      <c r="T15137" s="226"/>
      <c r="U15137" s="226"/>
    </row>
    <row r="15138" spans="16:21" x14ac:dyDescent="0.35">
      <c r="P15138" s="226"/>
      <c r="Q15138" s="226"/>
      <c r="R15138" s="226"/>
      <c r="S15138" s="226"/>
      <c r="T15138" s="226"/>
      <c r="U15138" s="226"/>
    </row>
    <row r="15139" spans="16:21" x14ac:dyDescent="0.35">
      <c r="P15139" s="226"/>
      <c r="Q15139" s="226"/>
      <c r="R15139" s="226"/>
      <c r="S15139" s="226"/>
      <c r="T15139" s="226"/>
      <c r="U15139" s="226"/>
    </row>
    <row r="15140" spans="16:21" x14ac:dyDescent="0.35">
      <c r="P15140" s="226"/>
      <c r="Q15140" s="226"/>
      <c r="R15140" s="226"/>
      <c r="S15140" s="226"/>
      <c r="T15140" s="226"/>
      <c r="U15140" s="226"/>
    </row>
    <row r="15141" spans="16:21" x14ac:dyDescent="0.35">
      <c r="P15141" s="226"/>
      <c r="Q15141" s="226"/>
      <c r="R15141" s="226"/>
      <c r="S15141" s="226"/>
      <c r="T15141" s="226"/>
      <c r="U15141" s="226"/>
    </row>
    <row r="15142" spans="16:21" x14ac:dyDescent="0.35">
      <c r="P15142" s="226"/>
      <c r="Q15142" s="226"/>
      <c r="R15142" s="226"/>
      <c r="S15142" s="226"/>
      <c r="T15142" s="226"/>
      <c r="U15142" s="226"/>
    </row>
    <row r="15143" spans="16:21" x14ac:dyDescent="0.35">
      <c r="P15143" s="226"/>
      <c r="Q15143" s="226"/>
      <c r="R15143" s="226"/>
      <c r="S15143" s="226"/>
      <c r="T15143" s="226"/>
      <c r="U15143" s="226"/>
    </row>
    <row r="15144" spans="16:21" x14ac:dyDescent="0.35">
      <c r="P15144" s="226"/>
      <c r="Q15144" s="226"/>
      <c r="R15144" s="226"/>
      <c r="S15144" s="226"/>
      <c r="T15144" s="226"/>
      <c r="U15144" s="226"/>
    </row>
    <row r="15145" spans="16:21" x14ac:dyDescent="0.35">
      <c r="P15145" s="226"/>
      <c r="Q15145" s="226"/>
      <c r="R15145" s="226"/>
      <c r="S15145" s="226"/>
      <c r="T15145" s="226"/>
      <c r="U15145" s="226"/>
    </row>
    <row r="15146" spans="16:21" x14ac:dyDescent="0.35">
      <c r="P15146" s="226"/>
      <c r="Q15146" s="226"/>
      <c r="R15146" s="226"/>
      <c r="S15146" s="226"/>
      <c r="T15146" s="226"/>
      <c r="U15146" s="226"/>
    </row>
    <row r="15147" spans="16:21" x14ac:dyDescent="0.35">
      <c r="P15147" s="226"/>
      <c r="Q15147" s="226"/>
      <c r="R15147" s="226"/>
      <c r="S15147" s="226"/>
      <c r="T15147" s="226"/>
      <c r="U15147" s="226"/>
    </row>
    <row r="15148" spans="16:21" x14ac:dyDescent="0.35">
      <c r="P15148" s="226"/>
      <c r="Q15148" s="226"/>
      <c r="R15148" s="226"/>
      <c r="S15148" s="226"/>
      <c r="T15148" s="226"/>
      <c r="U15148" s="226"/>
    </row>
    <row r="15149" spans="16:21" x14ac:dyDescent="0.35">
      <c r="P15149" s="226"/>
      <c r="Q15149" s="226"/>
      <c r="R15149" s="226"/>
      <c r="S15149" s="226"/>
      <c r="T15149" s="226"/>
      <c r="U15149" s="226"/>
    </row>
    <row r="15150" spans="16:21" x14ac:dyDescent="0.35">
      <c r="P15150" s="226"/>
      <c r="Q15150" s="226"/>
      <c r="R15150" s="226"/>
      <c r="S15150" s="226"/>
      <c r="T15150" s="226"/>
      <c r="U15150" s="226"/>
    </row>
    <row r="15151" spans="16:21" x14ac:dyDescent="0.35">
      <c r="P15151" s="226"/>
      <c r="Q15151" s="226"/>
      <c r="R15151" s="226"/>
      <c r="S15151" s="226"/>
      <c r="T15151" s="226"/>
      <c r="U15151" s="226"/>
    </row>
    <row r="15152" spans="16:21" x14ac:dyDescent="0.35">
      <c r="P15152" s="226"/>
      <c r="Q15152" s="226"/>
      <c r="R15152" s="226"/>
      <c r="S15152" s="226"/>
      <c r="T15152" s="226"/>
      <c r="U15152" s="226"/>
    </row>
    <row r="15153" spans="16:21" x14ac:dyDescent="0.35">
      <c r="P15153" s="226"/>
      <c r="Q15153" s="226"/>
      <c r="R15153" s="226"/>
      <c r="S15153" s="226"/>
      <c r="T15153" s="226"/>
      <c r="U15153" s="226"/>
    </row>
    <row r="15154" spans="16:21" x14ac:dyDescent="0.35">
      <c r="P15154" s="226"/>
      <c r="Q15154" s="226"/>
      <c r="R15154" s="226"/>
      <c r="S15154" s="226"/>
      <c r="T15154" s="226"/>
      <c r="U15154" s="226"/>
    </row>
    <row r="15155" spans="16:21" x14ac:dyDescent="0.35">
      <c r="P15155" s="226"/>
      <c r="Q15155" s="226"/>
      <c r="R15155" s="226"/>
      <c r="S15155" s="226"/>
      <c r="T15155" s="226"/>
      <c r="U15155" s="226"/>
    </row>
    <row r="15156" spans="16:21" x14ac:dyDescent="0.35">
      <c r="P15156" s="226"/>
      <c r="Q15156" s="226"/>
      <c r="R15156" s="226"/>
      <c r="S15156" s="226"/>
      <c r="T15156" s="226"/>
      <c r="U15156" s="226"/>
    </row>
    <row r="15157" spans="16:21" x14ac:dyDescent="0.35">
      <c r="P15157" s="226"/>
      <c r="Q15157" s="226"/>
      <c r="R15157" s="226"/>
      <c r="S15157" s="226"/>
      <c r="T15157" s="226"/>
      <c r="U15157" s="226"/>
    </row>
    <row r="15158" spans="16:21" x14ac:dyDescent="0.35">
      <c r="P15158" s="226"/>
      <c r="Q15158" s="226"/>
      <c r="R15158" s="226"/>
      <c r="S15158" s="226"/>
      <c r="T15158" s="226"/>
      <c r="U15158" s="226"/>
    </row>
    <row r="15159" spans="16:21" x14ac:dyDescent="0.35">
      <c r="P15159" s="226"/>
      <c r="Q15159" s="226"/>
      <c r="R15159" s="226"/>
      <c r="S15159" s="226"/>
      <c r="T15159" s="226"/>
      <c r="U15159" s="226"/>
    </row>
    <row r="15160" spans="16:21" x14ac:dyDescent="0.35">
      <c r="P15160" s="226"/>
      <c r="Q15160" s="226"/>
      <c r="R15160" s="226"/>
      <c r="S15160" s="226"/>
      <c r="T15160" s="226"/>
      <c r="U15160" s="226"/>
    </row>
    <row r="15161" spans="16:21" x14ac:dyDescent="0.35">
      <c r="P15161" s="226"/>
      <c r="Q15161" s="226"/>
      <c r="R15161" s="226"/>
      <c r="S15161" s="226"/>
      <c r="T15161" s="226"/>
      <c r="U15161" s="226"/>
    </row>
    <row r="15162" spans="16:21" x14ac:dyDescent="0.35">
      <c r="P15162" s="226"/>
      <c r="Q15162" s="226"/>
      <c r="R15162" s="226"/>
      <c r="S15162" s="226"/>
      <c r="T15162" s="226"/>
      <c r="U15162" s="226"/>
    </row>
    <row r="15163" spans="16:21" x14ac:dyDescent="0.35">
      <c r="P15163" s="226"/>
      <c r="Q15163" s="226"/>
      <c r="R15163" s="226"/>
      <c r="S15163" s="226"/>
      <c r="T15163" s="226"/>
      <c r="U15163" s="226"/>
    </row>
    <row r="15164" spans="16:21" x14ac:dyDescent="0.35">
      <c r="P15164" s="226"/>
      <c r="Q15164" s="226"/>
      <c r="R15164" s="226"/>
      <c r="S15164" s="226"/>
      <c r="T15164" s="226"/>
      <c r="U15164" s="226"/>
    </row>
    <row r="15165" spans="16:21" x14ac:dyDescent="0.35">
      <c r="P15165" s="226"/>
      <c r="Q15165" s="226"/>
      <c r="R15165" s="226"/>
      <c r="S15165" s="226"/>
      <c r="T15165" s="226"/>
      <c r="U15165" s="226"/>
    </row>
    <row r="15166" spans="16:21" x14ac:dyDescent="0.35">
      <c r="P15166" s="226"/>
      <c r="Q15166" s="226"/>
      <c r="R15166" s="226"/>
      <c r="S15166" s="226"/>
      <c r="T15166" s="226"/>
      <c r="U15166" s="226"/>
    </row>
    <row r="15167" spans="16:21" x14ac:dyDescent="0.35">
      <c r="P15167" s="226"/>
      <c r="Q15167" s="226"/>
      <c r="R15167" s="226"/>
      <c r="S15167" s="226"/>
      <c r="T15167" s="226"/>
      <c r="U15167" s="226"/>
    </row>
    <row r="15168" spans="16:21" x14ac:dyDescent="0.35">
      <c r="P15168" s="226"/>
      <c r="Q15168" s="226"/>
      <c r="R15168" s="226"/>
      <c r="S15168" s="226"/>
      <c r="T15168" s="226"/>
      <c r="U15168" s="226"/>
    </row>
    <row r="15169" spans="16:21" x14ac:dyDescent="0.35">
      <c r="P15169" s="226"/>
      <c r="Q15169" s="226"/>
      <c r="R15169" s="226"/>
      <c r="S15169" s="226"/>
      <c r="T15169" s="226"/>
      <c r="U15169" s="226"/>
    </row>
    <row r="15170" spans="16:21" x14ac:dyDescent="0.35">
      <c r="P15170" s="226"/>
      <c r="Q15170" s="226"/>
      <c r="R15170" s="226"/>
      <c r="S15170" s="226"/>
      <c r="T15170" s="226"/>
      <c r="U15170" s="226"/>
    </row>
    <row r="15171" spans="16:21" x14ac:dyDescent="0.35">
      <c r="P15171" s="226"/>
      <c r="Q15171" s="226"/>
      <c r="R15171" s="226"/>
      <c r="S15171" s="226"/>
      <c r="T15171" s="226"/>
      <c r="U15171" s="226"/>
    </row>
    <row r="15172" spans="16:21" x14ac:dyDescent="0.35">
      <c r="P15172" s="226"/>
      <c r="Q15172" s="226"/>
      <c r="R15172" s="226"/>
      <c r="S15172" s="226"/>
      <c r="T15172" s="226"/>
      <c r="U15172" s="226"/>
    </row>
    <row r="15173" spans="16:21" x14ac:dyDescent="0.35">
      <c r="P15173" s="226"/>
      <c r="Q15173" s="226"/>
      <c r="R15173" s="226"/>
      <c r="S15173" s="226"/>
      <c r="T15173" s="226"/>
      <c r="U15173" s="226"/>
    </row>
    <row r="15174" spans="16:21" x14ac:dyDescent="0.35">
      <c r="P15174" s="226"/>
      <c r="Q15174" s="226"/>
      <c r="R15174" s="226"/>
      <c r="S15174" s="226"/>
      <c r="T15174" s="226"/>
      <c r="U15174" s="226"/>
    </row>
    <row r="15175" spans="16:21" x14ac:dyDescent="0.35">
      <c r="P15175" s="226"/>
      <c r="Q15175" s="226"/>
      <c r="R15175" s="226"/>
      <c r="S15175" s="226"/>
      <c r="T15175" s="226"/>
      <c r="U15175" s="226"/>
    </row>
    <row r="15176" spans="16:21" x14ac:dyDescent="0.35">
      <c r="P15176" s="226"/>
      <c r="Q15176" s="226"/>
      <c r="R15176" s="226"/>
      <c r="S15176" s="226"/>
      <c r="T15176" s="226"/>
      <c r="U15176" s="226"/>
    </row>
    <row r="15177" spans="16:21" x14ac:dyDescent="0.35">
      <c r="P15177" s="226"/>
      <c r="Q15177" s="226"/>
      <c r="R15177" s="226"/>
      <c r="S15177" s="226"/>
      <c r="T15177" s="226"/>
      <c r="U15177" s="226"/>
    </row>
    <row r="15178" spans="16:21" x14ac:dyDescent="0.35">
      <c r="P15178" s="226"/>
      <c r="Q15178" s="226"/>
      <c r="R15178" s="226"/>
      <c r="S15178" s="226"/>
      <c r="T15178" s="226"/>
      <c r="U15178" s="226"/>
    </row>
    <row r="15179" spans="16:21" x14ac:dyDescent="0.35">
      <c r="P15179" s="226"/>
      <c r="Q15179" s="226"/>
      <c r="R15179" s="226"/>
      <c r="S15179" s="226"/>
      <c r="T15179" s="226"/>
      <c r="U15179" s="226"/>
    </row>
    <row r="15180" spans="16:21" x14ac:dyDescent="0.35">
      <c r="P15180" s="226"/>
      <c r="Q15180" s="226"/>
      <c r="R15180" s="226"/>
      <c r="S15180" s="226"/>
      <c r="T15180" s="226"/>
      <c r="U15180" s="226"/>
    </row>
    <row r="15181" spans="16:21" x14ac:dyDescent="0.35">
      <c r="P15181" s="226"/>
      <c r="Q15181" s="226"/>
      <c r="R15181" s="226"/>
      <c r="S15181" s="226"/>
      <c r="T15181" s="226"/>
      <c r="U15181" s="226"/>
    </row>
    <row r="15182" spans="16:21" x14ac:dyDescent="0.35">
      <c r="P15182" s="226"/>
      <c r="Q15182" s="226"/>
      <c r="R15182" s="226"/>
      <c r="S15182" s="226"/>
      <c r="T15182" s="226"/>
      <c r="U15182" s="226"/>
    </row>
    <row r="15183" spans="16:21" x14ac:dyDescent="0.35">
      <c r="P15183" s="226"/>
      <c r="Q15183" s="226"/>
      <c r="R15183" s="226"/>
      <c r="S15183" s="226"/>
      <c r="T15183" s="226"/>
      <c r="U15183" s="226"/>
    </row>
    <row r="15184" spans="16:21" x14ac:dyDescent="0.35">
      <c r="P15184" s="226"/>
      <c r="Q15184" s="226"/>
      <c r="R15184" s="226"/>
      <c r="S15184" s="226"/>
      <c r="T15184" s="226"/>
      <c r="U15184" s="226"/>
    </row>
    <row r="15185" spans="16:21" x14ac:dyDescent="0.35">
      <c r="P15185" s="226"/>
      <c r="Q15185" s="226"/>
      <c r="R15185" s="226"/>
      <c r="S15185" s="226"/>
      <c r="T15185" s="226"/>
      <c r="U15185" s="226"/>
    </row>
    <row r="15186" spans="16:21" x14ac:dyDescent="0.35">
      <c r="P15186" s="226"/>
      <c r="Q15186" s="226"/>
      <c r="R15186" s="226"/>
      <c r="S15186" s="226"/>
      <c r="T15186" s="226"/>
      <c r="U15186" s="226"/>
    </row>
    <row r="15187" spans="16:21" x14ac:dyDescent="0.35">
      <c r="P15187" s="226"/>
      <c r="Q15187" s="226"/>
      <c r="R15187" s="226"/>
      <c r="S15187" s="226"/>
      <c r="T15187" s="226"/>
      <c r="U15187" s="226"/>
    </row>
    <row r="15188" spans="16:21" x14ac:dyDescent="0.35">
      <c r="P15188" s="226"/>
      <c r="Q15188" s="226"/>
      <c r="R15188" s="226"/>
      <c r="S15188" s="226"/>
      <c r="T15188" s="226"/>
      <c r="U15188" s="226"/>
    </row>
    <row r="15189" spans="16:21" x14ac:dyDescent="0.35">
      <c r="P15189" s="226"/>
      <c r="Q15189" s="226"/>
      <c r="R15189" s="226"/>
      <c r="S15189" s="226"/>
      <c r="T15189" s="226"/>
      <c r="U15189" s="226"/>
    </row>
    <row r="15190" spans="16:21" x14ac:dyDescent="0.35">
      <c r="P15190" s="226"/>
      <c r="Q15190" s="226"/>
      <c r="R15190" s="226"/>
      <c r="S15190" s="226"/>
      <c r="T15190" s="226"/>
      <c r="U15190" s="226"/>
    </row>
    <row r="15191" spans="16:21" x14ac:dyDescent="0.35">
      <c r="P15191" s="226"/>
      <c r="Q15191" s="226"/>
      <c r="R15191" s="226"/>
      <c r="S15191" s="226"/>
      <c r="T15191" s="226"/>
      <c r="U15191" s="226"/>
    </row>
    <row r="15192" spans="16:21" x14ac:dyDescent="0.35">
      <c r="P15192" s="226"/>
      <c r="Q15192" s="226"/>
      <c r="R15192" s="226"/>
      <c r="S15192" s="226"/>
      <c r="T15192" s="226"/>
      <c r="U15192" s="226"/>
    </row>
    <row r="15193" spans="16:21" x14ac:dyDescent="0.35">
      <c r="P15193" s="226"/>
      <c r="Q15193" s="226"/>
      <c r="R15193" s="226"/>
      <c r="S15193" s="226"/>
      <c r="T15193" s="226"/>
      <c r="U15193" s="226"/>
    </row>
    <row r="15194" spans="16:21" x14ac:dyDescent="0.35">
      <c r="P15194" s="226"/>
      <c r="Q15194" s="226"/>
      <c r="R15194" s="226"/>
      <c r="S15194" s="226"/>
      <c r="T15194" s="226"/>
      <c r="U15194" s="226"/>
    </row>
    <row r="15195" spans="16:21" x14ac:dyDescent="0.35">
      <c r="P15195" s="226"/>
      <c r="Q15195" s="226"/>
      <c r="R15195" s="226"/>
      <c r="S15195" s="226"/>
      <c r="T15195" s="226"/>
      <c r="U15195" s="226"/>
    </row>
    <row r="15196" spans="16:21" x14ac:dyDescent="0.35">
      <c r="P15196" s="226"/>
      <c r="Q15196" s="226"/>
      <c r="R15196" s="226"/>
      <c r="S15196" s="226"/>
      <c r="T15196" s="226"/>
      <c r="U15196" s="226"/>
    </row>
    <row r="15197" spans="16:21" x14ac:dyDescent="0.35">
      <c r="P15197" s="226"/>
      <c r="Q15197" s="226"/>
      <c r="R15197" s="226"/>
      <c r="S15197" s="226"/>
      <c r="T15197" s="226"/>
      <c r="U15197" s="226"/>
    </row>
    <row r="15198" spans="16:21" x14ac:dyDescent="0.35">
      <c r="P15198" s="226"/>
      <c r="Q15198" s="226"/>
      <c r="R15198" s="226"/>
      <c r="S15198" s="226"/>
      <c r="T15198" s="226"/>
      <c r="U15198" s="226"/>
    </row>
    <row r="15199" spans="16:21" x14ac:dyDescent="0.35">
      <c r="P15199" s="226"/>
      <c r="Q15199" s="226"/>
      <c r="R15199" s="226"/>
      <c r="S15199" s="226"/>
      <c r="T15199" s="226"/>
      <c r="U15199" s="226"/>
    </row>
    <row r="15200" spans="16:21" x14ac:dyDescent="0.35">
      <c r="P15200" s="226"/>
      <c r="Q15200" s="226"/>
      <c r="R15200" s="226"/>
      <c r="S15200" s="226"/>
      <c r="T15200" s="226"/>
      <c r="U15200" s="226"/>
    </row>
    <row r="15201" spans="16:21" x14ac:dyDescent="0.35">
      <c r="P15201" s="226"/>
      <c r="Q15201" s="226"/>
      <c r="R15201" s="226"/>
      <c r="S15201" s="226"/>
      <c r="T15201" s="226"/>
      <c r="U15201" s="226"/>
    </row>
    <row r="15202" spans="16:21" x14ac:dyDescent="0.35">
      <c r="P15202" s="226"/>
      <c r="Q15202" s="226"/>
      <c r="R15202" s="226"/>
      <c r="S15202" s="226"/>
      <c r="T15202" s="226"/>
      <c r="U15202" s="226"/>
    </row>
    <row r="15203" spans="16:21" x14ac:dyDescent="0.35">
      <c r="P15203" s="226"/>
      <c r="Q15203" s="226"/>
      <c r="R15203" s="226"/>
      <c r="S15203" s="226"/>
      <c r="T15203" s="226"/>
      <c r="U15203" s="226"/>
    </row>
    <row r="15204" spans="16:21" x14ac:dyDescent="0.35">
      <c r="P15204" s="226"/>
      <c r="Q15204" s="226"/>
      <c r="R15204" s="226"/>
      <c r="S15204" s="226"/>
      <c r="T15204" s="226"/>
      <c r="U15204" s="226"/>
    </row>
    <row r="15205" spans="16:21" x14ac:dyDescent="0.35">
      <c r="P15205" s="226"/>
      <c r="Q15205" s="226"/>
      <c r="R15205" s="226"/>
      <c r="S15205" s="226"/>
      <c r="T15205" s="226"/>
      <c r="U15205" s="226"/>
    </row>
    <row r="15206" spans="16:21" x14ac:dyDescent="0.35">
      <c r="P15206" s="226"/>
      <c r="Q15206" s="226"/>
      <c r="R15206" s="226"/>
      <c r="S15206" s="226"/>
      <c r="T15206" s="226"/>
      <c r="U15206" s="226"/>
    </row>
    <row r="15207" spans="16:21" x14ac:dyDescent="0.35">
      <c r="P15207" s="226"/>
      <c r="Q15207" s="226"/>
      <c r="R15207" s="226"/>
      <c r="S15207" s="226"/>
      <c r="T15207" s="226"/>
      <c r="U15207" s="226"/>
    </row>
    <row r="15208" spans="16:21" x14ac:dyDescent="0.35">
      <c r="P15208" s="226"/>
      <c r="Q15208" s="226"/>
      <c r="R15208" s="226"/>
      <c r="S15208" s="226"/>
      <c r="T15208" s="226"/>
      <c r="U15208" s="226"/>
    </row>
    <row r="15209" spans="16:21" x14ac:dyDescent="0.35">
      <c r="P15209" s="226"/>
      <c r="Q15209" s="226"/>
      <c r="R15209" s="226"/>
      <c r="S15209" s="226"/>
      <c r="T15209" s="226"/>
      <c r="U15209" s="226"/>
    </row>
    <row r="15210" spans="16:21" x14ac:dyDescent="0.35">
      <c r="P15210" s="226"/>
      <c r="Q15210" s="226"/>
      <c r="R15210" s="226"/>
      <c r="S15210" s="226"/>
      <c r="T15210" s="226"/>
      <c r="U15210" s="226"/>
    </row>
    <row r="15211" spans="16:21" x14ac:dyDescent="0.35">
      <c r="P15211" s="226"/>
      <c r="Q15211" s="226"/>
      <c r="R15211" s="226"/>
      <c r="S15211" s="226"/>
      <c r="T15211" s="226"/>
      <c r="U15211" s="226"/>
    </row>
    <row r="15212" spans="16:21" x14ac:dyDescent="0.35">
      <c r="P15212" s="226"/>
      <c r="Q15212" s="226"/>
      <c r="R15212" s="226"/>
      <c r="S15212" s="226"/>
      <c r="T15212" s="226"/>
      <c r="U15212" s="226"/>
    </row>
    <row r="15213" spans="16:21" x14ac:dyDescent="0.35">
      <c r="P15213" s="226"/>
      <c r="Q15213" s="226"/>
      <c r="R15213" s="226"/>
      <c r="S15213" s="226"/>
      <c r="T15213" s="226"/>
      <c r="U15213" s="226"/>
    </row>
    <row r="15214" spans="16:21" x14ac:dyDescent="0.35">
      <c r="P15214" s="226"/>
      <c r="Q15214" s="226"/>
      <c r="R15214" s="226"/>
      <c r="S15214" s="226"/>
      <c r="T15214" s="226"/>
      <c r="U15214" s="226"/>
    </row>
    <row r="15215" spans="16:21" x14ac:dyDescent="0.35">
      <c r="P15215" s="226"/>
      <c r="Q15215" s="226"/>
      <c r="R15215" s="226"/>
      <c r="S15215" s="226"/>
      <c r="T15215" s="226"/>
      <c r="U15215" s="226"/>
    </row>
    <row r="15216" spans="16:21" x14ac:dyDescent="0.35">
      <c r="P15216" s="226"/>
      <c r="Q15216" s="226"/>
      <c r="R15216" s="226"/>
      <c r="S15216" s="226"/>
      <c r="T15216" s="226"/>
      <c r="U15216" s="226"/>
    </row>
    <row r="15217" spans="16:21" x14ac:dyDescent="0.35">
      <c r="P15217" s="226"/>
      <c r="Q15217" s="226"/>
      <c r="R15217" s="226"/>
      <c r="S15217" s="226"/>
      <c r="T15217" s="226"/>
      <c r="U15217" s="226"/>
    </row>
    <row r="15218" spans="16:21" x14ac:dyDescent="0.35">
      <c r="P15218" s="226"/>
      <c r="Q15218" s="226"/>
      <c r="R15218" s="226"/>
      <c r="S15218" s="226"/>
      <c r="T15218" s="226"/>
      <c r="U15218" s="226"/>
    </row>
    <row r="15219" spans="16:21" x14ac:dyDescent="0.35">
      <c r="P15219" s="226"/>
      <c r="Q15219" s="226"/>
      <c r="R15219" s="226"/>
      <c r="S15219" s="226"/>
      <c r="T15219" s="226"/>
      <c r="U15219" s="226"/>
    </row>
    <row r="15220" spans="16:21" x14ac:dyDescent="0.35">
      <c r="P15220" s="226"/>
      <c r="Q15220" s="226"/>
      <c r="R15220" s="226"/>
      <c r="S15220" s="226"/>
      <c r="T15220" s="226"/>
      <c r="U15220" s="226"/>
    </row>
    <row r="15221" spans="16:21" x14ac:dyDescent="0.35">
      <c r="P15221" s="226"/>
      <c r="Q15221" s="226"/>
      <c r="R15221" s="226"/>
      <c r="S15221" s="226"/>
      <c r="T15221" s="226"/>
      <c r="U15221" s="226"/>
    </row>
    <row r="15222" spans="16:21" x14ac:dyDescent="0.35">
      <c r="P15222" s="226"/>
      <c r="Q15222" s="226"/>
      <c r="R15222" s="226"/>
      <c r="S15222" s="226"/>
      <c r="T15222" s="226"/>
      <c r="U15222" s="226"/>
    </row>
    <row r="15223" spans="16:21" x14ac:dyDescent="0.35">
      <c r="P15223" s="226"/>
      <c r="Q15223" s="226"/>
      <c r="R15223" s="226"/>
      <c r="S15223" s="226"/>
      <c r="T15223" s="226"/>
      <c r="U15223" s="226"/>
    </row>
    <row r="15224" spans="16:21" x14ac:dyDescent="0.35">
      <c r="P15224" s="226"/>
      <c r="Q15224" s="226"/>
      <c r="R15224" s="226"/>
      <c r="S15224" s="226"/>
      <c r="T15224" s="226"/>
      <c r="U15224" s="226"/>
    </row>
    <row r="15225" spans="16:21" x14ac:dyDescent="0.35">
      <c r="P15225" s="226"/>
      <c r="Q15225" s="226"/>
      <c r="R15225" s="226"/>
      <c r="S15225" s="226"/>
      <c r="T15225" s="226"/>
      <c r="U15225" s="226"/>
    </row>
    <row r="15226" spans="16:21" x14ac:dyDescent="0.35">
      <c r="P15226" s="226"/>
      <c r="Q15226" s="226"/>
      <c r="R15226" s="226"/>
      <c r="S15226" s="226"/>
      <c r="T15226" s="226"/>
      <c r="U15226" s="226"/>
    </row>
    <row r="15227" spans="16:21" x14ac:dyDescent="0.35">
      <c r="P15227" s="226"/>
      <c r="Q15227" s="226"/>
      <c r="R15227" s="226"/>
      <c r="S15227" s="226"/>
      <c r="T15227" s="226"/>
      <c r="U15227" s="226"/>
    </row>
    <row r="15228" spans="16:21" x14ac:dyDescent="0.35">
      <c r="P15228" s="226"/>
      <c r="Q15228" s="226"/>
      <c r="R15228" s="226"/>
      <c r="S15228" s="226"/>
      <c r="T15228" s="226"/>
      <c r="U15228" s="226"/>
    </row>
    <row r="15229" spans="16:21" x14ac:dyDescent="0.35">
      <c r="P15229" s="226"/>
      <c r="Q15229" s="226"/>
      <c r="R15229" s="226"/>
      <c r="S15229" s="226"/>
      <c r="T15229" s="226"/>
      <c r="U15229" s="226"/>
    </row>
    <row r="15230" spans="16:21" x14ac:dyDescent="0.35">
      <c r="P15230" s="226"/>
      <c r="Q15230" s="226"/>
      <c r="R15230" s="226"/>
      <c r="S15230" s="226"/>
      <c r="T15230" s="226"/>
      <c r="U15230" s="226"/>
    </row>
    <row r="15231" spans="16:21" x14ac:dyDescent="0.35">
      <c r="P15231" s="226"/>
      <c r="Q15231" s="226"/>
      <c r="R15231" s="226"/>
      <c r="S15231" s="226"/>
      <c r="T15231" s="226"/>
      <c r="U15231" s="226"/>
    </row>
    <row r="15232" spans="16:21" x14ac:dyDescent="0.35">
      <c r="P15232" s="226"/>
      <c r="Q15232" s="226"/>
      <c r="R15232" s="226"/>
      <c r="S15232" s="226"/>
      <c r="T15232" s="226"/>
      <c r="U15232" s="226"/>
    </row>
    <row r="15233" spans="16:21" x14ac:dyDescent="0.35">
      <c r="P15233" s="226"/>
      <c r="Q15233" s="226"/>
      <c r="R15233" s="226"/>
      <c r="S15233" s="226"/>
      <c r="T15233" s="226"/>
      <c r="U15233" s="226"/>
    </row>
    <row r="15234" spans="16:21" x14ac:dyDescent="0.35">
      <c r="P15234" s="226"/>
      <c r="Q15234" s="226"/>
      <c r="R15234" s="226"/>
      <c r="S15234" s="226"/>
      <c r="T15234" s="226"/>
      <c r="U15234" s="226"/>
    </row>
    <row r="15235" spans="16:21" x14ac:dyDescent="0.35">
      <c r="P15235" s="226"/>
      <c r="Q15235" s="226"/>
      <c r="R15235" s="226"/>
      <c r="S15235" s="226"/>
      <c r="T15235" s="226"/>
      <c r="U15235" s="226"/>
    </row>
    <row r="15236" spans="16:21" x14ac:dyDescent="0.35">
      <c r="P15236" s="226"/>
      <c r="Q15236" s="226"/>
      <c r="R15236" s="226"/>
      <c r="S15236" s="226"/>
      <c r="T15236" s="226"/>
      <c r="U15236" s="226"/>
    </row>
    <row r="15237" spans="16:21" x14ac:dyDescent="0.35">
      <c r="P15237" s="226"/>
      <c r="Q15237" s="226"/>
      <c r="R15237" s="226"/>
      <c r="S15237" s="226"/>
      <c r="T15237" s="226"/>
      <c r="U15237" s="226"/>
    </row>
    <row r="15238" spans="16:21" x14ac:dyDescent="0.35">
      <c r="P15238" s="226"/>
      <c r="Q15238" s="226"/>
      <c r="R15238" s="226"/>
      <c r="S15238" s="226"/>
      <c r="T15238" s="226"/>
      <c r="U15238" s="226"/>
    </row>
    <row r="15239" spans="16:21" x14ac:dyDescent="0.35">
      <c r="P15239" s="226"/>
      <c r="Q15239" s="226"/>
      <c r="R15239" s="226"/>
      <c r="S15239" s="226"/>
      <c r="T15239" s="226"/>
      <c r="U15239" s="226"/>
    </row>
    <row r="15240" spans="16:21" x14ac:dyDescent="0.35">
      <c r="P15240" s="226"/>
      <c r="Q15240" s="226"/>
      <c r="R15240" s="226"/>
      <c r="S15240" s="226"/>
      <c r="T15240" s="226"/>
      <c r="U15240" s="226"/>
    </row>
    <row r="15241" spans="16:21" x14ac:dyDescent="0.35">
      <c r="P15241" s="226"/>
      <c r="Q15241" s="226"/>
      <c r="R15241" s="226"/>
      <c r="S15241" s="226"/>
      <c r="T15241" s="226"/>
      <c r="U15241" s="226"/>
    </row>
    <row r="15242" spans="16:21" x14ac:dyDescent="0.35">
      <c r="P15242" s="226"/>
      <c r="Q15242" s="226"/>
      <c r="R15242" s="226"/>
      <c r="S15242" s="226"/>
      <c r="T15242" s="226"/>
      <c r="U15242" s="226"/>
    </row>
    <row r="15243" spans="16:21" x14ac:dyDescent="0.35">
      <c r="P15243" s="226"/>
      <c r="Q15243" s="226"/>
      <c r="R15243" s="226"/>
      <c r="S15243" s="226"/>
      <c r="T15243" s="226"/>
      <c r="U15243" s="226"/>
    </row>
    <row r="15244" spans="16:21" x14ac:dyDescent="0.35">
      <c r="P15244" s="226"/>
      <c r="Q15244" s="226"/>
      <c r="R15244" s="226"/>
      <c r="S15244" s="226"/>
      <c r="T15244" s="226"/>
      <c r="U15244" s="226"/>
    </row>
    <row r="15245" spans="16:21" x14ac:dyDescent="0.35">
      <c r="P15245" s="226"/>
      <c r="Q15245" s="226"/>
      <c r="R15245" s="226"/>
      <c r="S15245" s="226"/>
      <c r="T15245" s="226"/>
      <c r="U15245" s="226"/>
    </row>
    <row r="15246" spans="16:21" x14ac:dyDescent="0.35">
      <c r="P15246" s="226"/>
      <c r="Q15246" s="226"/>
      <c r="R15246" s="226"/>
      <c r="S15246" s="226"/>
      <c r="T15246" s="226"/>
      <c r="U15246" s="226"/>
    </row>
    <row r="15247" spans="16:21" x14ac:dyDescent="0.35">
      <c r="P15247" s="226"/>
      <c r="Q15247" s="226"/>
      <c r="R15247" s="226"/>
      <c r="S15247" s="226"/>
      <c r="T15247" s="226"/>
      <c r="U15247" s="226"/>
    </row>
    <row r="15248" spans="16:21" x14ac:dyDescent="0.35">
      <c r="P15248" s="226"/>
      <c r="Q15248" s="226"/>
      <c r="R15248" s="226"/>
      <c r="S15248" s="226"/>
      <c r="T15248" s="226"/>
      <c r="U15248" s="226"/>
    </row>
    <row r="15249" spans="16:21" x14ac:dyDescent="0.35">
      <c r="P15249" s="226"/>
      <c r="Q15249" s="226"/>
      <c r="R15249" s="226"/>
      <c r="S15249" s="226"/>
      <c r="T15249" s="226"/>
      <c r="U15249" s="226"/>
    </row>
    <row r="15250" spans="16:21" x14ac:dyDescent="0.35">
      <c r="P15250" s="226"/>
      <c r="Q15250" s="226"/>
      <c r="R15250" s="226"/>
      <c r="S15250" s="226"/>
      <c r="T15250" s="226"/>
      <c r="U15250" s="226"/>
    </row>
    <row r="15251" spans="16:21" x14ac:dyDescent="0.35">
      <c r="P15251" s="226"/>
      <c r="Q15251" s="226"/>
      <c r="R15251" s="226"/>
      <c r="S15251" s="226"/>
      <c r="T15251" s="226"/>
      <c r="U15251" s="226"/>
    </row>
    <row r="15252" spans="16:21" x14ac:dyDescent="0.35">
      <c r="P15252" s="226"/>
      <c r="Q15252" s="226"/>
      <c r="R15252" s="226"/>
      <c r="S15252" s="226"/>
      <c r="T15252" s="226"/>
      <c r="U15252" s="226"/>
    </row>
    <row r="15253" spans="16:21" x14ac:dyDescent="0.35">
      <c r="P15253" s="226"/>
      <c r="Q15253" s="226"/>
      <c r="R15253" s="226"/>
      <c r="S15253" s="226"/>
      <c r="T15253" s="226"/>
      <c r="U15253" s="226"/>
    </row>
    <row r="15254" spans="16:21" x14ac:dyDescent="0.35">
      <c r="P15254" s="226"/>
      <c r="Q15254" s="226"/>
      <c r="R15254" s="226"/>
      <c r="S15254" s="226"/>
      <c r="T15254" s="226"/>
      <c r="U15254" s="226"/>
    </row>
    <row r="15255" spans="16:21" x14ac:dyDescent="0.35">
      <c r="P15255" s="226"/>
      <c r="Q15255" s="226"/>
      <c r="R15255" s="226"/>
      <c r="S15255" s="226"/>
      <c r="T15255" s="226"/>
      <c r="U15255" s="226"/>
    </row>
    <row r="15256" spans="16:21" x14ac:dyDescent="0.35">
      <c r="P15256" s="226"/>
      <c r="Q15256" s="226"/>
      <c r="R15256" s="226"/>
      <c r="S15256" s="226"/>
      <c r="T15256" s="226"/>
      <c r="U15256" s="226"/>
    </row>
    <row r="15257" spans="16:21" x14ac:dyDescent="0.35">
      <c r="P15257" s="226"/>
      <c r="Q15257" s="226"/>
      <c r="R15257" s="226"/>
      <c r="S15257" s="226"/>
      <c r="T15257" s="226"/>
      <c r="U15257" s="226"/>
    </row>
    <row r="15258" spans="16:21" x14ac:dyDescent="0.35">
      <c r="P15258" s="226"/>
      <c r="Q15258" s="226"/>
      <c r="R15258" s="226"/>
      <c r="S15258" s="226"/>
      <c r="T15258" s="226"/>
      <c r="U15258" s="226"/>
    </row>
    <row r="15259" spans="16:21" x14ac:dyDescent="0.35">
      <c r="P15259" s="226"/>
      <c r="Q15259" s="226"/>
      <c r="R15259" s="226"/>
      <c r="S15259" s="226"/>
      <c r="T15259" s="226"/>
      <c r="U15259" s="226"/>
    </row>
    <row r="15260" spans="16:21" x14ac:dyDescent="0.35">
      <c r="P15260" s="226"/>
      <c r="Q15260" s="226"/>
      <c r="R15260" s="226"/>
      <c r="S15260" s="226"/>
      <c r="T15260" s="226"/>
      <c r="U15260" s="226"/>
    </row>
    <row r="15261" spans="16:21" x14ac:dyDescent="0.35">
      <c r="P15261" s="226"/>
      <c r="Q15261" s="226"/>
      <c r="R15261" s="226"/>
      <c r="S15261" s="226"/>
      <c r="T15261" s="226"/>
      <c r="U15261" s="226"/>
    </row>
    <row r="15262" spans="16:21" x14ac:dyDescent="0.35">
      <c r="P15262" s="226"/>
      <c r="Q15262" s="226"/>
      <c r="R15262" s="226"/>
      <c r="S15262" s="226"/>
      <c r="T15262" s="226"/>
      <c r="U15262" s="226"/>
    </row>
    <row r="15263" spans="16:21" x14ac:dyDescent="0.35">
      <c r="P15263" s="226"/>
      <c r="Q15263" s="226"/>
      <c r="R15263" s="226"/>
      <c r="S15263" s="226"/>
      <c r="T15263" s="226"/>
      <c r="U15263" s="226"/>
    </row>
    <row r="15264" spans="16:21" x14ac:dyDescent="0.35">
      <c r="P15264" s="226"/>
      <c r="Q15264" s="226"/>
      <c r="R15264" s="226"/>
      <c r="S15264" s="226"/>
      <c r="T15264" s="226"/>
      <c r="U15264" s="226"/>
    </row>
    <row r="15265" spans="16:21" x14ac:dyDescent="0.35">
      <c r="P15265" s="226"/>
      <c r="Q15265" s="226"/>
      <c r="R15265" s="226"/>
      <c r="S15265" s="226"/>
      <c r="T15265" s="226"/>
      <c r="U15265" s="226"/>
    </row>
    <row r="15266" spans="16:21" x14ac:dyDescent="0.35">
      <c r="P15266" s="226"/>
      <c r="Q15266" s="226"/>
      <c r="R15266" s="226"/>
      <c r="S15266" s="226"/>
      <c r="T15266" s="226"/>
      <c r="U15266" s="226"/>
    </row>
    <row r="15267" spans="16:21" x14ac:dyDescent="0.35">
      <c r="P15267" s="226"/>
      <c r="Q15267" s="226"/>
      <c r="R15267" s="226"/>
      <c r="S15267" s="226"/>
      <c r="T15267" s="226"/>
      <c r="U15267" s="226"/>
    </row>
    <row r="15268" spans="16:21" x14ac:dyDescent="0.35">
      <c r="P15268" s="226"/>
      <c r="Q15268" s="226"/>
      <c r="R15268" s="226"/>
      <c r="S15268" s="226"/>
      <c r="T15268" s="226"/>
      <c r="U15268" s="226"/>
    </row>
    <row r="15269" spans="16:21" x14ac:dyDescent="0.35">
      <c r="P15269" s="226"/>
      <c r="Q15269" s="226"/>
      <c r="R15269" s="226"/>
      <c r="S15269" s="226"/>
      <c r="T15269" s="226"/>
      <c r="U15269" s="226"/>
    </row>
    <row r="15270" spans="16:21" x14ac:dyDescent="0.35">
      <c r="P15270" s="226"/>
      <c r="Q15270" s="226"/>
      <c r="R15270" s="226"/>
      <c r="S15270" s="226"/>
      <c r="T15270" s="226"/>
      <c r="U15270" s="226"/>
    </row>
    <row r="15271" spans="16:21" x14ac:dyDescent="0.35">
      <c r="P15271" s="226"/>
      <c r="Q15271" s="226"/>
      <c r="R15271" s="226"/>
      <c r="S15271" s="226"/>
      <c r="T15271" s="226"/>
      <c r="U15271" s="226"/>
    </row>
    <row r="15272" spans="16:21" x14ac:dyDescent="0.35">
      <c r="P15272" s="226"/>
      <c r="Q15272" s="226"/>
      <c r="R15272" s="226"/>
      <c r="S15272" s="226"/>
      <c r="T15272" s="226"/>
      <c r="U15272" s="226"/>
    </row>
    <row r="15273" spans="16:21" x14ac:dyDescent="0.35">
      <c r="P15273" s="226"/>
      <c r="Q15273" s="226"/>
      <c r="R15273" s="226"/>
      <c r="S15273" s="226"/>
      <c r="T15273" s="226"/>
      <c r="U15273" s="226"/>
    </row>
    <row r="15274" spans="16:21" x14ac:dyDescent="0.35">
      <c r="P15274" s="226"/>
      <c r="Q15274" s="226"/>
      <c r="R15274" s="226"/>
      <c r="S15274" s="226"/>
      <c r="T15274" s="226"/>
      <c r="U15274" s="226"/>
    </row>
    <row r="15275" spans="16:21" x14ac:dyDescent="0.35">
      <c r="P15275" s="226"/>
      <c r="Q15275" s="226"/>
      <c r="R15275" s="226"/>
      <c r="S15275" s="226"/>
      <c r="T15275" s="226"/>
      <c r="U15275" s="226"/>
    </row>
    <row r="15276" spans="16:21" x14ac:dyDescent="0.35">
      <c r="P15276" s="226"/>
      <c r="Q15276" s="226"/>
      <c r="R15276" s="226"/>
      <c r="S15276" s="226"/>
      <c r="T15276" s="226"/>
      <c r="U15276" s="226"/>
    </row>
    <row r="15277" spans="16:21" x14ac:dyDescent="0.35">
      <c r="P15277" s="226"/>
      <c r="Q15277" s="226"/>
      <c r="R15277" s="226"/>
      <c r="S15277" s="226"/>
      <c r="T15277" s="226"/>
      <c r="U15277" s="226"/>
    </row>
    <row r="15278" spans="16:21" x14ac:dyDescent="0.35">
      <c r="P15278" s="226"/>
      <c r="Q15278" s="226"/>
      <c r="R15278" s="226"/>
      <c r="S15278" s="226"/>
      <c r="T15278" s="226"/>
      <c r="U15278" s="226"/>
    </row>
    <row r="15279" spans="16:21" x14ac:dyDescent="0.35">
      <c r="P15279" s="226"/>
      <c r="Q15279" s="226"/>
      <c r="R15279" s="226"/>
      <c r="S15279" s="226"/>
      <c r="T15279" s="226"/>
      <c r="U15279" s="226"/>
    </row>
    <row r="15280" spans="16:21" x14ac:dyDescent="0.35">
      <c r="P15280" s="226"/>
      <c r="Q15280" s="226"/>
      <c r="R15280" s="226"/>
      <c r="S15280" s="226"/>
      <c r="T15280" s="226"/>
      <c r="U15280" s="226"/>
    </row>
    <row r="15281" spans="16:21" x14ac:dyDescent="0.35">
      <c r="P15281" s="226"/>
      <c r="Q15281" s="226"/>
      <c r="R15281" s="226"/>
      <c r="S15281" s="226"/>
      <c r="T15281" s="226"/>
      <c r="U15281" s="226"/>
    </row>
    <row r="15282" spans="16:21" x14ac:dyDescent="0.35">
      <c r="P15282" s="226"/>
      <c r="Q15282" s="226"/>
      <c r="R15282" s="226"/>
      <c r="S15282" s="226"/>
      <c r="T15282" s="226"/>
      <c r="U15282" s="226"/>
    </row>
    <row r="15283" spans="16:21" x14ac:dyDescent="0.35">
      <c r="P15283" s="226"/>
      <c r="Q15283" s="226"/>
      <c r="R15283" s="226"/>
      <c r="S15283" s="226"/>
      <c r="T15283" s="226"/>
      <c r="U15283" s="226"/>
    </row>
    <row r="15284" spans="16:21" x14ac:dyDescent="0.35">
      <c r="P15284" s="226"/>
      <c r="Q15284" s="226"/>
      <c r="R15284" s="226"/>
      <c r="S15284" s="226"/>
      <c r="T15284" s="226"/>
      <c r="U15284" s="226"/>
    </row>
    <row r="15285" spans="16:21" x14ac:dyDescent="0.35">
      <c r="P15285" s="226"/>
      <c r="Q15285" s="226"/>
      <c r="R15285" s="226"/>
      <c r="S15285" s="226"/>
      <c r="T15285" s="226"/>
      <c r="U15285" s="226"/>
    </row>
    <row r="15286" spans="16:21" x14ac:dyDescent="0.35">
      <c r="P15286" s="226"/>
      <c r="Q15286" s="226"/>
      <c r="R15286" s="226"/>
      <c r="S15286" s="226"/>
      <c r="T15286" s="226"/>
      <c r="U15286" s="226"/>
    </row>
    <row r="15287" spans="16:21" x14ac:dyDescent="0.35">
      <c r="P15287" s="226"/>
      <c r="Q15287" s="226"/>
      <c r="R15287" s="226"/>
      <c r="S15287" s="226"/>
      <c r="T15287" s="226"/>
      <c r="U15287" s="226"/>
    </row>
    <row r="15288" spans="16:21" x14ac:dyDescent="0.35">
      <c r="P15288" s="226"/>
      <c r="Q15288" s="226"/>
      <c r="R15288" s="226"/>
      <c r="S15288" s="226"/>
      <c r="T15288" s="226"/>
      <c r="U15288" s="226"/>
    </row>
    <row r="15289" spans="16:21" x14ac:dyDescent="0.35">
      <c r="P15289" s="226"/>
      <c r="Q15289" s="226"/>
      <c r="R15289" s="226"/>
      <c r="S15289" s="226"/>
      <c r="T15289" s="226"/>
      <c r="U15289" s="226"/>
    </row>
    <row r="15290" spans="16:21" x14ac:dyDescent="0.35">
      <c r="P15290" s="226"/>
      <c r="Q15290" s="226"/>
      <c r="R15290" s="226"/>
      <c r="S15290" s="226"/>
      <c r="T15290" s="226"/>
      <c r="U15290" s="226"/>
    </row>
    <row r="15291" spans="16:21" x14ac:dyDescent="0.35">
      <c r="P15291" s="226"/>
      <c r="Q15291" s="226"/>
      <c r="R15291" s="226"/>
      <c r="S15291" s="226"/>
      <c r="T15291" s="226"/>
      <c r="U15291" s="226"/>
    </row>
    <row r="15292" spans="16:21" x14ac:dyDescent="0.35">
      <c r="P15292" s="226"/>
      <c r="Q15292" s="226"/>
      <c r="R15292" s="226"/>
      <c r="S15292" s="226"/>
      <c r="T15292" s="226"/>
      <c r="U15292" s="226"/>
    </row>
    <row r="15293" spans="16:21" x14ac:dyDescent="0.35">
      <c r="P15293" s="226"/>
      <c r="Q15293" s="226"/>
      <c r="R15293" s="226"/>
      <c r="S15293" s="226"/>
      <c r="T15293" s="226"/>
      <c r="U15293" s="226"/>
    </row>
    <row r="15294" spans="16:21" x14ac:dyDescent="0.35">
      <c r="P15294" s="226"/>
      <c r="Q15294" s="226"/>
      <c r="R15294" s="226"/>
      <c r="S15294" s="226"/>
      <c r="T15294" s="226"/>
      <c r="U15294" s="226"/>
    </row>
    <row r="15295" spans="16:21" x14ac:dyDescent="0.35">
      <c r="P15295" s="226"/>
      <c r="Q15295" s="226"/>
      <c r="R15295" s="226"/>
      <c r="S15295" s="226"/>
      <c r="T15295" s="226"/>
      <c r="U15295" s="226"/>
    </row>
    <row r="15296" spans="16:21" x14ac:dyDescent="0.35">
      <c r="P15296" s="226"/>
      <c r="Q15296" s="226"/>
      <c r="R15296" s="226"/>
      <c r="S15296" s="226"/>
      <c r="T15296" s="226"/>
      <c r="U15296" s="226"/>
    </row>
    <row r="15297" spans="16:21" x14ac:dyDescent="0.35">
      <c r="P15297" s="226"/>
      <c r="Q15297" s="226"/>
      <c r="R15297" s="226"/>
      <c r="S15297" s="226"/>
      <c r="T15297" s="226"/>
      <c r="U15297" s="226"/>
    </row>
    <row r="15298" spans="16:21" x14ac:dyDescent="0.35">
      <c r="P15298" s="226"/>
      <c r="Q15298" s="226"/>
      <c r="R15298" s="226"/>
      <c r="S15298" s="226"/>
      <c r="T15298" s="226"/>
      <c r="U15298" s="226"/>
    </row>
    <row r="15299" spans="16:21" x14ac:dyDescent="0.35">
      <c r="P15299" s="226"/>
      <c r="Q15299" s="226"/>
      <c r="R15299" s="226"/>
      <c r="S15299" s="226"/>
      <c r="T15299" s="226"/>
      <c r="U15299" s="226"/>
    </row>
    <row r="15300" spans="16:21" x14ac:dyDescent="0.35">
      <c r="P15300" s="226"/>
      <c r="Q15300" s="226"/>
      <c r="R15300" s="226"/>
      <c r="S15300" s="226"/>
      <c r="T15300" s="226"/>
      <c r="U15300" s="226"/>
    </row>
    <row r="15301" spans="16:21" x14ac:dyDescent="0.35">
      <c r="P15301" s="226"/>
      <c r="Q15301" s="226"/>
      <c r="R15301" s="226"/>
      <c r="S15301" s="226"/>
      <c r="T15301" s="226"/>
      <c r="U15301" s="226"/>
    </row>
    <row r="15302" spans="16:21" x14ac:dyDescent="0.35">
      <c r="P15302" s="226"/>
      <c r="Q15302" s="226"/>
      <c r="R15302" s="226"/>
      <c r="S15302" s="226"/>
      <c r="T15302" s="226"/>
      <c r="U15302" s="226"/>
    </row>
    <row r="15303" spans="16:21" x14ac:dyDescent="0.35">
      <c r="P15303" s="226"/>
      <c r="Q15303" s="226"/>
      <c r="R15303" s="226"/>
      <c r="S15303" s="226"/>
      <c r="T15303" s="226"/>
      <c r="U15303" s="226"/>
    </row>
    <row r="15304" spans="16:21" x14ac:dyDescent="0.35">
      <c r="P15304" s="226"/>
      <c r="Q15304" s="226"/>
      <c r="R15304" s="226"/>
      <c r="S15304" s="226"/>
      <c r="T15304" s="226"/>
      <c r="U15304" s="226"/>
    </row>
    <row r="15305" spans="16:21" x14ac:dyDescent="0.35">
      <c r="P15305" s="226"/>
      <c r="Q15305" s="226"/>
      <c r="R15305" s="226"/>
      <c r="S15305" s="226"/>
      <c r="T15305" s="226"/>
      <c r="U15305" s="226"/>
    </row>
    <row r="15306" spans="16:21" x14ac:dyDescent="0.35">
      <c r="P15306" s="226"/>
      <c r="Q15306" s="226"/>
      <c r="R15306" s="226"/>
      <c r="S15306" s="226"/>
      <c r="T15306" s="226"/>
      <c r="U15306" s="226"/>
    </row>
    <row r="15307" spans="16:21" x14ac:dyDescent="0.35">
      <c r="P15307" s="226"/>
      <c r="Q15307" s="226"/>
      <c r="R15307" s="226"/>
      <c r="S15307" s="226"/>
      <c r="T15307" s="226"/>
      <c r="U15307" s="226"/>
    </row>
    <row r="15308" spans="16:21" x14ac:dyDescent="0.35">
      <c r="P15308" s="226"/>
      <c r="Q15308" s="226"/>
      <c r="R15308" s="226"/>
      <c r="S15308" s="226"/>
      <c r="T15308" s="226"/>
      <c r="U15308" s="226"/>
    </row>
    <row r="15309" spans="16:21" x14ac:dyDescent="0.35">
      <c r="P15309" s="226"/>
      <c r="Q15309" s="226"/>
      <c r="R15309" s="226"/>
      <c r="S15309" s="226"/>
      <c r="T15309" s="226"/>
      <c r="U15309" s="226"/>
    </row>
    <row r="15310" spans="16:21" x14ac:dyDescent="0.35">
      <c r="P15310" s="226"/>
      <c r="Q15310" s="226"/>
      <c r="R15310" s="226"/>
      <c r="S15310" s="226"/>
      <c r="T15310" s="226"/>
      <c r="U15310" s="226"/>
    </row>
    <row r="15311" spans="16:21" x14ac:dyDescent="0.35">
      <c r="P15311" s="226"/>
      <c r="Q15311" s="226"/>
      <c r="R15311" s="226"/>
      <c r="S15311" s="226"/>
      <c r="T15311" s="226"/>
      <c r="U15311" s="226"/>
    </row>
    <row r="15312" spans="16:21" x14ac:dyDescent="0.35">
      <c r="P15312" s="226"/>
      <c r="Q15312" s="226"/>
      <c r="R15312" s="226"/>
      <c r="S15312" s="226"/>
      <c r="T15312" s="226"/>
      <c r="U15312" s="226"/>
    </row>
    <row r="15313" spans="16:21" x14ac:dyDescent="0.35">
      <c r="P15313" s="226"/>
      <c r="Q15313" s="226"/>
      <c r="R15313" s="226"/>
      <c r="S15313" s="226"/>
      <c r="T15313" s="226"/>
      <c r="U15313" s="226"/>
    </row>
    <row r="15314" spans="16:21" x14ac:dyDescent="0.35">
      <c r="P15314" s="226"/>
      <c r="Q15314" s="226"/>
      <c r="R15314" s="226"/>
      <c r="S15314" s="226"/>
      <c r="T15314" s="226"/>
      <c r="U15314" s="226"/>
    </row>
    <row r="15315" spans="16:21" x14ac:dyDescent="0.35">
      <c r="P15315" s="226"/>
      <c r="Q15315" s="226"/>
      <c r="R15315" s="226"/>
      <c r="S15315" s="226"/>
      <c r="T15315" s="226"/>
      <c r="U15315" s="226"/>
    </row>
    <row r="15316" spans="16:21" x14ac:dyDescent="0.35">
      <c r="P15316" s="226"/>
      <c r="Q15316" s="226"/>
      <c r="R15316" s="226"/>
      <c r="S15316" s="226"/>
      <c r="T15316" s="226"/>
      <c r="U15316" s="226"/>
    </row>
    <row r="15317" spans="16:21" x14ac:dyDescent="0.35">
      <c r="P15317" s="226"/>
      <c r="Q15317" s="226"/>
      <c r="R15317" s="226"/>
      <c r="S15317" s="226"/>
      <c r="T15317" s="226"/>
      <c r="U15317" s="226"/>
    </row>
    <row r="15318" spans="16:21" x14ac:dyDescent="0.35">
      <c r="P15318" s="226"/>
      <c r="Q15318" s="226"/>
      <c r="R15318" s="226"/>
      <c r="S15318" s="226"/>
      <c r="T15318" s="226"/>
      <c r="U15318" s="226"/>
    </row>
    <row r="15319" spans="16:21" x14ac:dyDescent="0.35">
      <c r="P15319" s="226"/>
      <c r="Q15319" s="226"/>
      <c r="R15319" s="226"/>
      <c r="S15319" s="226"/>
      <c r="T15319" s="226"/>
      <c r="U15319" s="226"/>
    </row>
    <row r="15320" spans="16:21" x14ac:dyDescent="0.35">
      <c r="P15320" s="226"/>
      <c r="Q15320" s="226"/>
      <c r="R15320" s="226"/>
      <c r="S15320" s="226"/>
      <c r="T15320" s="226"/>
      <c r="U15320" s="226"/>
    </row>
    <row r="15321" spans="16:21" x14ac:dyDescent="0.35">
      <c r="P15321" s="226"/>
      <c r="Q15321" s="226"/>
      <c r="R15321" s="226"/>
      <c r="S15321" s="226"/>
      <c r="T15321" s="226"/>
      <c r="U15321" s="226"/>
    </row>
    <row r="15322" spans="16:21" x14ac:dyDescent="0.35">
      <c r="P15322" s="226"/>
      <c r="Q15322" s="226"/>
      <c r="R15322" s="226"/>
      <c r="S15322" s="226"/>
      <c r="T15322" s="226"/>
      <c r="U15322" s="226"/>
    </row>
    <row r="15323" spans="16:21" x14ac:dyDescent="0.35">
      <c r="P15323" s="226"/>
      <c r="Q15323" s="226"/>
      <c r="R15323" s="226"/>
      <c r="S15323" s="226"/>
      <c r="T15323" s="226"/>
      <c r="U15323" s="226"/>
    </row>
    <row r="15324" spans="16:21" x14ac:dyDescent="0.35">
      <c r="P15324" s="226"/>
      <c r="Q15324" s="226"/>
      <c r="R15324" s="226"/>
      <c r="S15324" s="226"/>
      <c r="T15324" s="226"/>
      <c r="U15324" s="226"/>
    </row>
    <row r="15325" spans="16:21" x14ac:dyDescent="0.35">
      <c r="P15325" s="226"/>
      <c r="Q15325" s="226"/>
      <c r="R15325" s="226"/>
      <c r="S15325" s="226"/>
      <c r="T15325" s="226"/>
      <c r="U15325" s="226"/>
    </row>
    <row r="15326" spans="16:21" x14ac:dyDescent="0.35">
      <c r="P15326" s="226"/>
      <c r="Q15326" s="226"/>
      <c r="R15326" s="226"/>
      <c r="S15326" s="226"/>
      <c r="T15326" s="226"/>
      <c r="U15326" s="226"/>
    </row>
    <row r="15327" spans="16:21" x14ac:dyDescent="0.35">
      <c r="P15327" s="226"/>
      <c r="Q15327" s="226"/>
      <c r="R15327" s="226"/>
      <c r="S15327" s="226"/>
      <c r="T15327" s="226"/>
      <c r="U15327" s="226"/>
    </row>
    <row r="15328" spans="16:21" x14ac:dyDescent="0.35">
      <c r="P15328" s="226"/>
      <c r="Q15328" s="226"/>
      <c r="R15328" s="226"/>
      <c r="S15328" s="226"/>
      <c r="T15328" s="226"/>
      <c r="U15328" s="226"/>
    </row>
    <row r="15329" spans="16:21" x14ac:dyDescent="0.35">
      <c r="P15329" s="226"/>
      <c r="Q15329" s="226"/>
      <c r="R15329" s="226"/>
      <c r="S15329" s="226"/>
      <c r="T15329" s="226"/>
      <c r="U15329" s="226"/>
    </row>
    <row r="15330" spans="16:21" x14ac:dyDescent="0.35">
      <c r="P15330" s="226"/>
      <c r="Q15330" s="226"/>
      <c r="R15330" s="226"/>
      <c r="S15330" s="226"/>
      <c r="T15330" s="226"/>
      <c r="U15330" s="226"/>
    </row>
    <row r="15331" spans="16:21" x14ac:dyDescent="0.35">
      <c r="P15331" s="226"/>
      <c r="Q15331" s="226"/>
      <c r="R15331" s="226"/>
      <c r="S15331" s="226"/>
      <c r="T15331" s="226"/>
      <c r="U15331" s="226"/>
    </row>
    <row r="15332" spans="16:21" x14ac:dyDescent="0.35">
      <c r="P15332" s="226"/>
      <c r="Q15332" s="226"/>
      <c r="R15332" s="226"/>
      <c r="S15332" s="226"/>
      <c r="T15332" s="226"/>
      <c r="U15332" s="226"/>
    </row>
    <row r="15333" spans="16:21" x14ac:dyDescent="0.35">
      <c r="P15333" s="226"/>
      <c r="Q15333" s="226"/>
      <c r="R15333" s="226"/>
      <c r="S15333" s="226"/>
      <c r="T15333" s="226"/>
      <c r="U15333" s="226"/>
    </row>
    <row r="15334" spans="16:21" x14ac:dyDescent="0.35">
      <c r="P15334" s="226"/>
      <c r="Q15334" s="226"/>
      <c r="R15334" s="226"/>
      <c r="S15334" s="226"/>
      <c r="T15334" s="226"/>
      <c r="U15334" s="226"/>
    </row>
    <row r="15335" spans="16:21" x14ac:dyDescent="0.35">
      <c r="P15335" s="226"/>
      <c r="Q15335" s="226"/>
      <c r="R15335" s="226"/>
      <c r="S15335" s="226"/>
      <c r="T15335" s="226"/>
      <c r="U15335" s="226"/>
    </row>
    <row r="15336" spans="16:21" x14ac:dyDescent="0.35">
      <c r="P15336" s="226"/>
      <c r="Q15336" s="226"/>
      <c r="R15336" s="226"/>
      <c r="S15336" s="226"/>
      <c r="T15336" s="226"/>
      <c r="U15336" s="226"/>
    </row>
    <row r="15337" spans="16:21" x14ac:dyDescent="0.35">
      <c r="P15337" s="226"/>
      <c r="Q15337" s="226"/>
      <c r="R15337" s="226"/>
      <c r="S15337" s="226"/>
      <c r="T15337" s="226"/>
      <c r="U15337" s="226"/>
    </row>
    <row r="15338" spans="16:21" x14ac:dyDescent="0.35">
      <c r="P15338" s="226"/>
      <c r="Q15338" s="226"/>
      <c r="R15338" s="226"/>
      <c r="S15338" s="226"/>
      <c r="T15338" s="226"/>
      <c r="U15338" s="226"/>
    </row>
    <row r="15339" spans="16:21" x14ac:dyDescent="0.35">
      <c r="P15339" s="226"/>
      <c r="Q15339" s="226"/>
      <c r="R15339" s="226"/>
      <c r="S15339" s="226"/>
      <c r="T15339" s="226"/>
      <c r="U15339" s="226"/>
    </row>
    <row r="15340" spans="16:21" x14ac:dyDescent="0.35">
      <c r="P15340" s="226"/>
      <c r="Q15340" s="226"/>
      <c r="R15340" s="226"/>
      <c r="S15340" s="226"/>
      <c r="T15340" s="226"/>
      <c r="U15340" s="226"/>
    </row>
    <row r="15341" spans="16:21" x14ac:dyDescent="0.35">
      <c r="P15341" s="226"/>
      <c r="Q15341" s="226"/>
      <c r="R15341" s="226"/>
      <c r="S15341" s="226"/>
      <c r="T15341" s="226"/>
      <c r="U15341" s="226"/>
    </row>
    <row r="15342" spans="16:21" x14ac:dyDescent="0.35">
      <c r="P15342" s="226"/>
      <c r="Q15342" s="226"/>
      <c r="R15342" s="226"/>
      <c r="S15342" s="226"/>
      <c r="T15342" s="226"/>
      <c r="U15342" s="226"/>
    </row>
    <row r="15343" spans="16:21" x14ac:dyDescent="0.35">
      <c r="P15343" s="226"/>
      <c r="Q15343" s="226"/>
      <c r="R15343" s="226"/>
      <c r="S15343" s="226"/>
      <c r="T15343" s="226"/>
      <c r="U15343" s="226"/>
    </row>
    <row r="15344" spans="16:21" x14ac:dyDescent="0.35">
      <c r="P15344" s="226"/>
      <c r="Q15344" s="226"/>
      <c r="R15344" s="226"/>
      <c r="S15344" s="226"/>
      <c r="T15344" s="226"/>
      <c r="U15344" s="226"/>
    </row>
    <row r="15345" spans="16:21" x14ac:dyDescent="0.35">
      <c r="P15345" s="226"/>
      <c r="Q15345" s="226"/>
      <c r="R15345" s="226"/>
      <c r="S15345" s="226"/>
      <c r="T15345" s="226"/>
      <c r="U15345" s="226"/>
    </row>
    <row r="15346" spans="16:21" x14ac:dyDescent="0.35">
      <c r="P15346" s="226"/>
      <c r="Q15346" s="226"/>
      <c r="R15346" s="226"/>
      <c r="S15346" s="226"/>
      <c r="T15346" s="226"/>
      <c r="U15346" s="226"/>
    </row>
    <row r="15347" spans="16:21" x14ac:dyDescent="0.35">
      <c r="P15347" s="226"/>
      <c r="Q15347" s="226"/>
      <c r="R15347" s="226"/>
      <c r="S15347" s="226"/>
      <c r="T15347" s="226"/>
      <c r="U15347" s="226"/>
    </row>
    <row r="15348" spans="16:21" x14ac:dyDescent="0.35">
      <c r="P15348" s="226"/>
      <c r="Q15348" s="226"/>
      <c r="R15348" s="226"/>
      <c r="S15348" s="226"/>
      <c r="T15348" s="226"/>
      <c r="U15348" s="226"/>
    </row>
    <row r="15349" spans="16:21" x14ac:dyDescent="0.35">
      <c r="P15349" s="226"/>
      <c r="Q15349" s="226"/>
      <c r="R15349" s="226"/>
      <c r="S15349" s="226"/>
      <c r="T15349" s="226"/>
      <c r="U15349" s="226"/>
    </row>
    <row r="15350" spans="16:21" x14ac:dyDescent="0.35">
      <c r="P15350" s="226"/>
      <c r="Q15350" s="226"/>
      <c r="R15350" s="226"/>
      <c r="S15350" s="226"/>
      <c r="T15350" s="226"/>
      <c r="U15350" s="226"/>
    </row>
    <row r="15351" spans="16:21" x14ac:dyDescent="0.35">
      <c r="P15351" s="226"/>
      <c r="Q15351" s="226"/>
      <c r="R15351" s="226"/>
      <c r="S15351" s="226"/>
      <c r="T15351" s="226"/>
      <c r="U15351" s="226"/>
    </row>
    <row r="15352" spans="16:21" x14ac:dyDescent="0.35">
      <c r="P15352" s="226"/>
      <c r="Q15352" s="226"/>
      <c r="R15352" s="226"/>
      <c r="S15352" s="226"/>
      <c r="T15352" s="226"/>
      <c r="U15352" s="226"/>
    </row>
    <row r="15353" spans="16:21" x14ac:dyDescent="0.35">
      <c r="P15353" s="226"/>
      <c r="Q15353" s="226"/>
      <c r="R15353" s="226"/>
      <c r="S15353" s="226"/>
      <c r="T15353" s="226"/>
      <c r="U15353" s="226"/>
    </row>
    <row r="15354" spans="16:21" x14ac:dyDescent="0.35">
      <c r="P15354" s="226"/>
      <c r="Q15354" s="226"/>
      <c r="R15354" s="226"/>
      <c r="S15354" s="226"/>
      <c r="T15354" s="226"/>
      <c r="U15354" s="226"/>
    </row>
    <row r="15355" spans="16:21" x14ac:dyDescent="0.35">
      <c r="P15355" s="226"/>
      <c r="Q15355" s="226"/>
      <c r="R15355" s="226"/>
      <c r="S15355" s="226"/>
      <c r="T15355" s="226"/>
      <c r="U15355" s="226"/>
    </row>
    <row r="15356" spans="16:21" x14ac:dyDescent="0.35">
      <c r="P15356" s="226"/>
      <c r="Q15356" s="226"/>
      <c r="R15356" s="226"/>
      <c r="S15356" s="226"/>
      <c r="T15356" s="226"/>
      <c r="U15356" s="226"/>
    </row>
    <row r="15357" spans="16:21" x14ac:dyDescent="0.35">
      <c r="P15357" s="226"/>
      <c r="Q15357" s="226"/>
      <c r="R15357" s="226"/>
      <c r="S15357" s="226"/>
      <c r="T15357" s="226"/>
      <c r="U15357" s="226"/>
    </row>
    <row r="15358" spans="16:21" x14ac:dyDescent="0.35">
      <c r="P15358" s="226"/>
      <c r="Q15358" s="226"/>
      <c r="R15358" s="226"/>
      <c r="S15358" s="226"/>
      <c r="T15358" s="226"/>
      <c r="U15358" s="226"/>
    </row>
    <row r="15359" spans="16:21" x14ac:dyDescent="0.35">
      <c r="P15359" s="226"/>
      <c r="Q15359" s="226"/>
      <c r="R15359" s="226"/>
      <c r="S15359" s="226"/>
      <c r="T15359" s="226"/>
      <c r="U15359" s="226"/>
    </row>
    <row r="15360" spans="16:21" x14ac:dyDescent="0.35">
      <c r="P15360" s="226"/>
      <c r="Q15360" s="226"/>
      <c r="R15360" s="226"/>
      <c r="S15360" s="226"/>
      <c r="T15360" s="226"/>
      <c r="U15360" s="226"/>
    </row>
    <row r="15361" spans="16:21" x14ac:dyDescent="0.35">
      <c r="P15361" s="226"/>
      <c r="Q15361" s="226"/>
      <c r="R15361" s="226"/>
      <c r="S15361" s="226"/>
      <c r="T15361" s="226"/>
      <c r="U15361" s="226"/>
    </row>
    <row r="15362" spans="16:21" x14ac:dyDescent="0.35">
      <c r="P15362" s="226"/>
      <c r="Q15362" s="226"/>
      <c r="R15362" s="226"/>
      <c r="S15362" s="226"/>
      <c r="T15362" s="226"/>
      <c r="U15362" s="226"/>
    </row>
    <row r="15363" spans="16:21" x14ac:dyDescent="0.35">
      <c r="P15363" s="226"/>
      <c r="Q15363" s="226"/>
      <c r="R15363" s="226"/>
      <c r="S15363" s="226"/>
      <c r="T15363" s="226"/>
      <c r="U15363" s="226"/>
    </row>
    <row r="15364" spans="16:21" x14ac:dyDescent="0.35">
      <c r="P15364" s="226"/>
      <c r="Q15364" s="226"/>
      <c r="R15364" s="226"/>
      <c r="S15364" s="226"/>
      <c r="T15364" s="226"/>
      <c r="U15364" s="226"/>
    </row>
    <row r="15365" spans="16:21" x14ac:dyDescent="0.35">
      <c r="P15365" s="226"/>
      <c r="Q15365" s="226"/>
      <c r="R15365" s="226"/>
      <c r="S15365" s="226"/>
      <c r="T15365" s="226"/>
      <c r="U15365" s="226"/>
    </row>
    <row r="15366" spans="16:21" x14ac:dyDescent="0.35">
      <c r="P15366" s="226"/>
      <c r="Q15366" s="226"/>
      <c r="R15366" s="226"/>
      <c r="S15366" s="226"/>
      <c r="T15366" s="226"/>
      <c r="U15366" s="226"/>
    </row>
    <row r="15367" spans="16:21" x14ac:dyDescent="0.35">
      <c r="P15367" s="226"/>
      <c r="Q15367" s="226"/>
      <c r="R15367" s="226"/>
      <c r="S15367" s="226"/>
      <c r="T15367" s="226"/>
      <c r="U15367" s="226"/>
    </row>
    <row r="15368" spans="16:21" x14ac:dyDescent="0.35">
      <c r="P15368" s="226"/>
      <c r="Q15368" s="226"/>
      <c r="R15368" s="226"/>
      <c r="S15368" s="226"/>
      <c r="T15368" s="226"/>
      <c r="U15368" s="226"/>
    </row>
    <row r="15369" spans="16:21" x14ac:dyDescent="0.35">
      <c r="P15369" s="226"/>
      <c r="Q15369" s="226"/>
      <c r="R15369" s="226"/>
      <c r="S15369" s="226"/>
      <c r="T15369" s="226"/>
      <c r="U15369" s="226"/>
    </row>
    <row r="15370" spans="16:21" x14ac:dyDescent="0.35">
      <c r="P15370" s="226"/>
      <c r="Q15370" s="226"/>
      <c r="R15370" s="226"/>
      <c r="S15370" s="226"/>
      <c r="T15370" s="226"/>
      <c r="U15370" s="226"/>
    </row>
    <row r="15371" spans="16:21" x14ac:dyDescent="0.35">
      <c r="P15371" s="226"/>
      <c r="Q15371" s="226"/>
      <c r="R15371" s="226"/>
      <c r="S15371" s="226"/>
      <c r="T15371" s="226"/>
      <c r="U15371" s="226"/>
    </row>
    <row r="15372" spans="16:21" x14ac:dyDescent="0.35">
      <c r="P15372" s="226"/>
      <c r="Q15372" s="226"/>
      <c r="R15372" s="226"/>
      <c r="S15372" s="226"/>
      <c r="T15372" s="226"/>
      <c r="U15372" s="226"/>
    </row>
    <row r="15373" spans="16:21" x14ac:dyDescent="0.35">
      <c r="P15373" s="226"/>
      <c r="Q15373" s="226"/>
      <c r="R15373" s="226"/>
      <c r="S15373" s="226"/>
      <c r="T15373" s="226"/>
      <c r="U15373" s="226"/>
    </row>
    <row r="15374" spans="16:21" x14ac:dyDescent="0.35">
      <c r="P15374" s="226"/>
      <c r="Q15374" s="226"/>
      <c r="R15374" s="226"/>
      <c r="S15374" s="226"/>
      <c r="T15374" s="226"/>
      <c r="U15374" s="226"/>
    </row>
    <row r="15375" spans="16:21" x14ac:dyDescent="0.35">
      <c r="P15375" s="226"/>
      <c r="Q15375" s="226"/>
      <c r="R15375" s="226"/>
      <c r="S15375" s="226"/>
      <c r="T15375" s="226"/>
      <c r="U15375" s="226"/>
    </row>
    <row r="15376" spans="16:21" x14ac:dyDescent="0.35">
      <c r="P15376" s="226"/>
      <c r="Q15376" s="226"/>
      <c r="R15376" s="226"/>
      <c r="S15376" s="226"/>
      <c r="T15376" s="226"/>
      <c r="U15376" s="226"/>
    </row>
    <row r="15377" spans="16:21" x14ac:dyDescent="0.35">
      <c r="P15377" s="226"/>
      <c r="Q15377" s="226"/>
      <c r="R15377" s="226"/>
      <c r="S15377" s="226"/>
      <c r="T15377" s="226"/>
      <c r="U15377" s="226"/>
    </row>
    <row r="15378" spans="16:21" x14ac:dyDescent="0.35">
      <c r="P15378" s="226"/>
      <c r="Q15378" s="226"/>
      <c r="R15378" s="226"/>
      <c r="S15378" s="226"/>
      <c r="T15378" s="226"/>
      <c r="U15378" s="226"/>
    </row>
    <row r="15379" spans="16:21" x14ac:dyDescent="0.35">
      <c r="P15379" s="226"/>
      <c r="Q15379" s="226"/>
      <c r="R15379" s="226"/>
      <c r="S15379" s="226"/>
      <c r="T15379" s="226"/>
      <c r="U15379" s="226"/>
    </row>
    <row r="15380" spans="16:21" x14ac:dyDescent="0.35">
      <c r="P15380" s="226"/>
      <c r="Q15380" s="226"/>
      <c r="R15380" s="226"/>
      <c r="S15380" s="226"/>
      <c r="T15380" s="226"/>
      <c r="U15380" s="226"/>
    </row>
    <row r="15381" spans="16:21" x14ac:dyDescent="0.35">
      <c r="P15381" s="226"/>
      <c r="Q15381" s="226"/>
      <c r="R15381" s="226"/>
      <c r="S15381" s="226"/>
      <c r="T15381" s="226"/>
      <c r="U15381" s="226"/>
    </row>
    <row r="15382" spans="16:21" x14ac:dyDescent="0.35">
      <c r="P15382" s="226"/>
      <c r="Q15382" s="226"/>
      <c r="R15382" s="226"/>
      <c r="S15382" s="226"/>
      <c r="T15382" s="226"/>
      <c r="U15382" s="226"/>
    </row>
    <row r="15383" spans="16:21" x14ac:dyDescent="0.35">
      <c r="P15383" s="226"/>
      <c r="Q15383" s="226"/>
      <c r="R15383" s="226"/>
      <c r="S15383" s="226"/>
      <c r="T15383" s="226"/>
      <c r="U15383" s="226"/>
    </row>
    <row r="15384" spans="16:21" x14ac:dyDescent="0.35">
      <c r="P15384" s="226"/>
      <c r="Q15384" s="226"/>
      <c r="R15384" s="226"/>
      <c r="S15384" s="226"/>
      <c r="T15384" s="226"/>
      <c r="U15384" s="226"/>
    </row>
    <row r="15385" spans="16:21" x14ac:dyDescent="0.35">
      <c r="P15385" s="226"/>
      <c r="Q15385" s="226"/>
      <c r="R15385" s="226"/>
      <c r="S15385" s="226"/>
      <c r="T15385" s="226"/>
      <c r="U15385" s="226"/>
    </row>
    <row r="15386" spans="16:21" x14ac:dyDescent="0.35">
      <c r="P15386" s="226"/>
      <c r="Q15386" s="226"/>
      <c r="R15386" s="226"/>
      <c r="S15386" s="226"/>
      <c r="T15386" s="226"/>
      <c r="U15386" s="226"/>
    </row>
    <row r="15387" spans="16:21" x14ac:dyDescent="0.35">
      <c r="P15387" s="226"/>
      <c r="Q15387" s="226"/>
      <c r="R15387" s="226"/>
      <c r="S15387" s="226"/>
      <c r="T15387" s="226"/>
      <c r="U15387" s="226"/>
    </row>
    <row r="15388" spans="16:21" x14ac:dyDescent="0.35">
      <c r="P15388" s="226"/>
      <c r="Q15388" s="226"/>
      <c r="R15388" s="226"/>
      <c r="S15388" s="226"/>
      <c r="T15388" s="226"/>
      <c r="U15388" s="226"/>
    </row>
    <row r="15389" spans="16:21" x14ac:dyDescent="0.35">
      <c r="P15389" s="226"/>
      <c r="Q15389" s="226"/>
      <c r="R15389" s="226"/>
      <c r="S15389" s="226"/>
      <c r="T15389" s="226"/>
      <c r="U15389" s="226"/>
    </row>
    <row r="15390" spans="16:21" x14ac:dyDescent="0.35">
      <c r="P15390" s="226"/>
      <c r="Q15390" s="226"/>
      <c r="R15390" s="226"/>
      <c r="S15390" s="226"/>
      <c r="T15390" s="226"/>
      <c r="U15390" s="226"/>
    </row>
    <row r="15391" spans="16:21" x14ac:dyDescent="0.35">
      <c r="P15391" s="226"/>
      <c r="Q15391" s="226"/>
      <c r="R15391" s="226"/>
      <c r="S15391" s="226"/>
      <c r="T15391" s="226"/>
      <c r="U15391" s="226"/>
    </row>
    <row r="15392" spans="16:21" x14ac:dyDescent="0.35">
      <c r="P15392" s="226"/>
      <c r="Q15392" s="226"/>
      <c r="R15392" s="226"/>
      <c r="S15392" s="226"/>
      <c r="T15392" s="226"/>
      <c r="U15392" s="226"/>
    </row>
    <row r="15393" spans="16:21" x14ac:dyDescent="0.35">
      <c r="P15393" s="226"/>
      <c r="Q15393" s="226"/>
      <c r="R15393" s="226"/>
      <c r="S15393" s="226"/>
      <c r="T15393" s="226"/>
      <c r="U15393" s="226"/>
    </row>
    <row r="15394" spans="16:21" x14ac:dyDescent="0.35">
      <c r="P15394" s="226"/>
      <c r="Q15394" s="226"/>
      <c r="R15394" s="226"/>
      <c r="S15394" s="226"/>
      <c r="T15394" s="226"/>
      <c r="U15394" s="226"/>
    </row>
    <row r="15395" spans="16:21" x14ac:dyDescent="0.35">
      <c r="P15395" s="226"/>
      <c r="Q15395" s="226"/>
      <c r="R15395" s="226"/>
      <c r="S15395" s="226"/>
      <c r="T15395" s="226"/>
      <c r="U15395" s="226"/>
    </row>
    <row r="15396" spans="16:21" x14ac:dyDescent="0.35">
      <c r="P15396" s="226"/>
      <c r="Q15396" s="226"/>
      <c r="R15396" s="226"/>
      <c r="S15396" s="226"/>
      <c r="T15396" s="226"/>
      <c r="U15396" s="226"/>
    </row>
    <row r="15397" spans="16:21" x14ac:dyDescent="0.35">
      <c r="P15397" s="226"/>
      <c r="Q15397" s="226"/>
      <c r="R15397" s="226"/>
      <c r="S15397" s="226"/>
      <c r="T15397" s="226"/>
      <c r="U15397" s="226"/>
    </row>
    <row r="15398" spans="16:21" x14ac:dyDescent="0.35">
      <c r="P15398" s="226"/>
      <c r="Q15398" s="226"/>
      <c r="R15398" s="226"/>
      <c r="S15398" s="226"/>
      <c r="T15398" s="226"/>
      <c r="U15398" s="226"/>
    </row>
    <row r="15399" spans="16:21" x14ac:dyDescent="0.35">
      <c r="P15399" s="226"/>
      <c r="Q15399" s="226"/>
      <c r="R15399" s="226"/>
      <c r="S15399" s="226"/>
      <c r="T15399" s="226"/>
      <c r="U15399" s="226"/>
    </row>
    <row r="15400" spans="16:21" x14ac:dyDescent="0.35">
      <c r="P15400" s="226"/>
      <c r="Q15400" s="226"/>
      <c r="R15400" s="226"/>
      <c r="S15400" s="226"/>
      <c r="T15400" s="226"/>
      <c r="U15400" s="226"/>
    </row>
    <row r="15401" spans="16:21" x14ac:dyDescent="0.35">
      <c r="P15401" s="226"/>
      <c r="Q15401" s="226"/>
      <c r="R15401" s="226"/>
      <c r="S15401" s="226"/>
      <c r="T15401" s="226"/>
      <c r="U15401" s="226"/>
    </row>
    <row r="15402" spans="16:21" x14ac:dyDescent="0.35">
      <c r="P15402" s="226"/>
      <c r="Q15402" s="226"/>
      <c r="R15402" s="226"/>
      <c r="S15402" s="226"/>
      <c r="T15402" s="226"/>
      <c r="U15402" s="226"/>
    </row>
    <row r="15403" spans="16:21" x14ac:dyDescent="0.35">
      <c r="P15403" s="226"/>
      <c r="Q15403" s="226"/>
      <c r="R15403" s="226"/>
      <c r="S15403" s="226"/>
      <c r="T15403" s="226"/>
      <c r="U15403" s="226"/>
    </row>
    <row r="15404" spans="16:21" x14ac:dyDescent="0.35">
      <c r="P15404" s="226"/>
      <c r="Q15404" s="226"/>
      <c r="R15404" s="226"/>
      <c r="S15404" s="226"/>
      <c r="T15404" s="226"/>
      <c r="U15404" s="226"/>
    </row>
    <row r="15405" spans="16:21" x14ac:dyDescent="0.35">
      <c r="P15405" s="226"/>
      <c r="Q15405" s="226"/>
      <c r="R15405" s="226"/>
      <c r="S15405" s="226"/>
      <c r="T15405" s="226"/>
      <c r="U15405" s="226"/>
    </row>
    <row r="15406" spans="16:21" x14ac:dyDescent="0.35">
      <c r="P15406" s="226"/>
      <c r="Q15406" s="226"/>
      <c r="R15406" s="226"/>
      <c r="S15406" s="226"/>
      <c r="T15406" s="226"/>
      <c r="U15406" s="226"/>
    </row>
    <row r="15407" spans="16:21" x14ac:dyDescent="0.35">
      <c r="P15407" s="226"/>
      <c r="Q15407" s="226"/>
      <c r="R15407" s="226"/>
      <c r="S15407" s="226"/>
      <c r="T15407" s="226"/>
      <c r="U15407" s="226"/>
    </row>
    <row r="15408" spans="16:21" x14ac:dyDescent="0.35">
      <c r="P15408" s="226"/>
      <c r="Q15408" s="226"/>
      <c r="R15408" s="226"/>
      <c r="S15408" s="226"/>
      <c r="T15408" s="226"/>
      <c r="U15408" s="226"/>
    </row>
    <row r="15409" spans="16:21" x14ac:dyDescent="0.35">
      <c r="P15409" s="226"/>
      <c r="Q15409" s="226"/>
      <c r="R15409" s="226"/>
      <c r="S15409" s="226"/>
      <c r="T15409" s="226"/>
      <c r="U15409" s="226"/>
    </row>
    <row r="15410" spans="16:21" x14ac:dyDescent="0.35">
      <c r="P15410" s="226"/>
      <c r="Q15410" s="226"/>
      <c r="R15410" s="226"/>
      <c r="S15410" s="226"/>
      <c r="T15410" s="226"/>
      <c r="U15410" s="226"/>
    </row>
    <row r="15411" spans="16:21" x14ac:dyDescent="0.35">
      <c r="P15411" s="226"/>
      <c r="Q15411" s="226"/>
      <c r="R15411" s="226"/>
      <c r="S15411" s="226"/>
      <c r="T15411" s="226"/>
      <c r="U15411" s="226"/>
    </row>
    <row r="15412" spans="16:21" x14ac:dyDescent="0.35">
      <c r="P15412" s="226"/>
      <c r="Q15412" s="226"/>
      <c r="R15412" s="226"/>
      <c r="S15412" s="226"/>
      <c r="T15412" s="226"/>
      <c r="U15412" s="226"/>
    </row>
    <row r="15413" spans="16:21" x14ac:dyDescent="0.35">
      <c r="P15413" s="226"/>
      <c r="Q15413" s="226"/>
      <c r="R15413" s="226"/>
      <c r="S15413" s="226"/>
      <c r="T15413" s="226"/>
      <c r="U15413" s="226"/>
    </row>
    <row r="15414" spans="16:21" x14ac:dyDescent="0.35">
      <c r="P15414" s="226"/>
      <c r="Q15414" s="226"/>
      <c r="R15414" s="226"/>
      <c r="S15414" s="226"/>
      <c r="T15414" s="226"/>
      <c r="U15414" s="226"/>
    </row>
    <row r="15415" spans="16:21" x14ac:dyDescent="0.35">
      <c r="P15415" s="226"/>
      <c r="Q15415" s="226"/>
      <c r="R15415" s="226"/>
      <c r="S15415" s="226"/>
      <c r="T15415" s="226"/>
      <c r="U15415" s="226"/>
    </row>
    <row r="15416" spans="16:21" x14ac:dyDescent="0.35">
      <c r="P15416" s="226"/>
      <c r="Q15416" s="226"/>
      <c r="R15416" s="226"/>
      <c r="S15416" s="226"/>
      <c r="T15416" s="226"/>
      <c r="U15416" s="226"/>
    </row>
    <row r="15417" spans="16:21" x14ac:dyDescent="0.35">
      <c r="P15417" s="226"/>
      <c r="Q15417" s="226"/>
      <c r="R15417" s="226"/>
      <c r="S15417" s="226"/>
      <c r="T15417" s="226"/>
      <c r="U15417" s="226"/>
    </row>
    <row r="15418" spans="16:21" x14ac:dyDescent="0.35">
      <c r="P15418" s="226"/>
      <c r="Q15418" s="226"/>
      <c r="R15418" s="226"/>
      <c r="S15418" s="226"/>
      <c r="T15418" s="226"/>
      <c r="U15418" s="226"/>
    </row>
    <row r="15419" spans="16:21" x14ac:dyDescent="0.35">
      <c r="P15419" s="226"/>
      <c r="Q15419" s="226"/>
      <c r="R15419" s="226"/>
      <c r="S15419" s="226"/>
      <c r="T15419" s="226"/>
      <c r="U15419" s="226"/>
    </row>
    <row r="15420" spans="16:21" x14ac:dyDescent="0.35">
      <c r="P15420" s="226"/>
      <c r="Q15420" s="226"/>
      <c r="R15420" s="226"/>
      <c r="S15420" s="226"/>
      <c r="T15420" s="226"/>
      <c r="U15420" s="226"/>
    </row>
    <row r="15421" spans="16:21" x14ac:dyDescent="0.35">
      <c r="P15421" s="226"/>
      <c r="Q15421" s="226"/>
      <c r="R15421" s="226"/>
      <c r="S15421" s="226"/>
      <c r="T15421" s="226"/>
      <c r="U15421" s="226"/>
    </row>
    <row r="15422" spans="16:21" x14ac:dyDescent="0.35">
      <c r="P15422" s="226"/>
      <c r="Q15422" s="226"/>
      <c r="R15422" s="226"/>
      <c r="S15422" s="226"/>
      <c r="T15422" s="226"/>
      <c r="U15422" s="226"/>
    </row>
    <row r="15423" spans="16:21" x14ac:dyDescent="0.35">
      <c r="P15423" s="226"/>
      <c r="Q15423" s="226"/>
      <c r="R15423" s="226"/>
      <c r="S15423" s="226"/>
      <c r="T15423" s="226"/>
      <c r="U15423" s="226"/>
    </row>
    <row r="15424" spans="16:21" x14ac:dyDescent="0.35">
      <c r="P15424" s="226"/>
      <c r="Q15424" s="226"/>
      <c r="R15424" s="226"/>
      <c r="S15424" s="226"/>
      <c r="T15424" s="226"/>
      <c r="U15424" s="226"/>
    </row>
    <row r="15425" spans="16:21" x14ac:dyDescent="0.35">
      <c r="P15425" s="226"/>
      <c r="Q15425" s="226"/>
      <c r="R15425" s="226"/>
      <c r="S15425" s="226"/>
      <c r="T15425" s="226"/>
      <c r="U15425" s="226"/>
    </row>
    <row r="15426" spans="16:21" x14ac:dyDescent="0.35">
      <c r="P15426" s="226"/>
      <c r="Q15426" s="226"/>
      <c r="R15426" s="226"/>
      <c r="S15426" s="226"/>
      <c r="T15426" s="226"/>
      <c r="U15426" s="226"/>
    </row>
    <row r="15427" spans="16:21" x14ac:dyDescent="0.35">
      <c r="P15427" s="226"/>
      <c r="Q15427" s="226"/>
      <c r="R15427" s="226"/>
      <c r="S15427" s="226"/>
      <c r="T15427" s="226"/>
      <c r="U15427" s="226"/>
    </row>
    <row r="15428" spans="16:21" x14ac:dyDescent="0.35">
      <c r="P15428" s="226"/>
      <c r="Q15428" s="226"/>
      <c r="R15428" s="226"/>
      <c r="S15428" s="226"/>
      <c r="T15428" s="226"/>
      <c r="U15428" s="226"/>
    </row>
    <row r="15429" spans="16:21" x14ac:dyDescent="0.35">
      <c r="P15429" s="226"/>
      <c r="Q15429" s="226"/>
      <c r="R15429" s="226"/>
      <c r="S15429" s="226"/>
      <c r="T15429" s="226"/>
      <c r="U15429" s="226"/>
    </row>
    <row r="15430" spans="16:21" x14ac:dyDescent="0.35">
      <c r="P15430" s="226"/>
      <c r="Q15430" s="226"/>
      <c r="R15430" s="226"/>
      <c r="S15430" s="226"/>
      <c r="T15430" s="226"/>
      <c r="U15430" s="226"/>
    </row>
    <row r="15431" spans="16:21" x14ac:dyDescent="0.35">
      <c r="P15431" s="226"/>
      <c r="Q15431" s="226"/>
      <c r="R15431" s="226"/>
      <c r="S15431" s="226"/>
      <c r="T15431" s="226"/>
      <c r="U15431" s="226"/>
    </row>
    <row r="15432" spans="16:21" x14ac:dyDescent="0.35">
      <c r="P15432" s="226"/>
      <c r="Q15432" s="226"/>
      <c r="R15432" s="226"/>
      <c r="S15432" s="226"/>
      <c r="T15432" s="226"/>
      <c r="U15432" s="226"/>
    </row>
    <row r="15433" spans="16:21" x14ac:dyDescent="0.35">
      <c r="P15433" s="226"/>
      <c r="Q15433" s="226"/>
      <c r="R15433" s="226"/>
      <c r="S15433" s="226"/>
      <c r="T15433" s="226"/>
      <c r="U15433" s="226"/>
    </row>
    <row r="15434" spans="16:21" x14ac:dyDescent="0.35">
      <c r="P15434" s="226"/>
      <c r="Q15434" s="226"/>
      <c r="R15434" s="226"/>
      <c r="S15434" s="226"/>
      <c r="T15434" s="226"/>
      <c r="U15434" s="226"/>
    </row>
    <row r="15435" spans="16:21" x14ac:dyDescent="0.35">
      <c r="P15435" s="226"/>
      <c r="Q15435" s="226"/>
      <c r="R15435" s="226"/>
      <c r="S15435" s="226"/>
      <c r="T15435" s="226"/>
      <c r="U15435" s="226"/>
    </row>
    <row r="15436" spans="16:21" x14ac:dyDescent="0.35">
      <c r="P15436" s="226"/>
      <c r="Q15436" s="226"/>
      <c r="R15436" s="226"/>
      <c r="S15436" s="226"/>
      <c r="T15436" s="226"/>
      <c r="U15436" s="226"/>
    </row>
    <row r="15437" spans="16:21" x14ac:dyDescent="0.35">
      <c r="P15437" s="226"/>
      <c r="Q15437" s="226"/>
      <c r="R15437" s="226"/>
      <c r="S15437" s="226"/>
      <c r="T15437" s="226"/>
      <c r="U15437" s="226"/>
    </row>
    <row r="15438" spans="16:21" x14ac:dyDescent="0.35">
      <c r="P15438" s="226"/>
      <c r="Q15438" s="226"/>
      <c r="R15438" s="226"/>
      <c r="S15438" s="226"/>
      <c r="T15438" s="226"/>
      <c r="U15438" s="226"/>
    </row>
    <row r="15439" spans="16:21" x14ac:dyDescent="0.35">
      <c r="P15439" s="226"/>
      <c r="Q15439" s="226"/>
      <c r="R15439" s="226"/>
      <c r="S15439" s="226"/>
      <c r="T15439" s="226"/>
      <c r="U15439" s="226"/>
    </row>
    <row r="15440" spans="16:21" x14ac:dyDescent="0.35">
      <c r="P15440" s="226"/>
      <c r="Q15440" s="226"/>
      <c r="R15440" s="226"/>
      <c r="S15440" s="226"/>
      <c r="T15440" s="226"/>
      <c r="U15440" s="226"/>
    </row>
    <row r="15441" spans="16:21" x14ac:dyDescent="0.35">
      <c r="P15441" s="226"/>
      <c r="Q15441" s="226"/>
      <c r="R15441" s="226"/>
      <c r="S15441" s="226"/>
      <c r="T15441" s="226"/>
      <c r="U15441" s="226"/>
    </row>
    <row r="15442" spans="16:21" x14ac:dyDescent="0.35">
      <c r="P15442" s="226"/>
      <c r="Q15442" s="226"/>
      <c r="R15442" s="226"/>
      <c r="S15442" s="226"/>
      <c r="T15442" s="226"/>
      <c r="U15442" s="226"/>
    </row>
    <row r="15443" spans="16:21" x14ac:dyDescent="0.35">
      <c r="P15443" s="226"/>
      <c r="Q15443" s="226"/>
      <c r="R15443" s="226"/>
      <c r="S15443" s="226"/>
      <c r="T15443" s="226"/>
      <c r="U15443" s="226"/>
    </row>
    <row r="15444" spans="16:21" x14ac:dyDescent="0.35">
      <c r="P15444" s="226"/>
      <c r="Q15444" s="226"/>
      <c r="R15444" s="226"/>
      <c r="S15444" s="226"/>
      <c r="T15444" s="226"/>
      <c r="U15444" s="226"/>
    </row>
    <row r="15445" spans="16:21" x14ac:dyDescent="0.35">
      <c r="P15445" s="226"/>
      <c r="Q15445" s="226"/>
      <c r="R15445" s="226"/>
      <c r="S15445" s="226"/>
      <c r="T15445" s="226"/>
      <c r="U15445" s="226"/>
    </row>
    <row r="15446" spans="16:21" x14ac:dyDescent="0.35">
      <c r="P15446" s="226"/>
      <c r="Q15446" s="226"/>
      <c r="R15446" s="226"/>
      <c r="S15446" s="226"/>
      <c r="T15446" s="226"/>
      <c r="U15446" s="226"/>
    </row>
    <row r="15447" spans="16:21" x14ac:dyDescent="0.35">
      <c r="P15447" s="226"/>
      <c r="Q15447" s="226"/>
      <c r="R15447" s="226"/>
      <c r="S15447" s="226"/>
      <c r="T15447" s="226"/>
      <c r="U15447" s="226"/>
    </row>
    <row r="15448" spans="16:21" x14ac:dyDescent="0.35">
      <c r="P15448" s="226"/>
      <c r="Q15448" s="226"/>
      <c r="R15448" s="226"/>
      <c r="S15448" s="226"/>
      <c r="T15448" s="226"/>
      <c r="U15448" s="226"/>
    </row>
    <row r="15449" spans="16:21" x14ac:dyDescent="0.35">
      <c r="P15449" s="226"/>
      <c r="Q15449" s="226"/>
      <c r="R15449" s="226"/>
      <c r="S15449" s="226"/>
      <c r="T15449" s="226"/>
      <c r="U15449" s="226"/>
    </row>
    <row r="15450" spans="16:21" x14ac:dyDescent="0.35">
      <c r="P15450" s="226"/>
      <c r="Q15450" s="226"/>
      <c r="R15450" s="226"/>
      <c r="S15450" s="226"/>
      <c r="T15450" s="226"/>
      <c r="U15450" s="226"/>
    </row>
    <row r="15451" spans="16:21" x14ac:dyDescent="0.35">
      <c r="P15451" s="226"/>
      <c r="Q15451" s="226"/>
      <c r="R15451" s="226"/>
      <c r="S15451" s="226"/>
      <c r="T15451" s="226"/>
      <c r="U15451" s="226"/>
    </row>
    <row r="15452" spans="16:21" x14ac:dyDescent="0.35">
      <c r="P15452" s="226"/>
      <c r="Q15452" s="226"/>
      <c r="R15452" s="226"/>
      <c r="S15452" s="226"/>
      <c r="T15452" s="226"/>
      <c r="U15452" s="226"/>
    </row>
    <row r="15453" spans="16:21" x14ac:dyDescent="0.35">
      <c r="P15453" s="226"/>
      <c r="Q15453" s="226"/>
      <c r="R15453" s="226"/>
      <c r="S15453" s="226"/>
      <c r="T15453" s="226"/>
      <c r="U15453" s="226"/>
    </row>
    <row r="15454" spans="16:21" x14ac:dyDescent="0.35">
      <c r="P15454" s="226"/>
      <c r="Q15454" s="226"/>
      <c r="R15454" s="226"/>
      <c r="S15454" s="226"/>
      <c r="T15454" s="226"/>
      <c r="U15454" s="226"/>
    </row>
    <row r="15455" spans="16:21" x14ac:dyDescent="0.35">
      <c r="P15455" s="226"/>
      <c r="Q15455" s="226"/>
      <c r="R15455" s="226"/>
      <c r="S15455" s="226"/>
      <c r="T15455" s="226"/>
      <c r="U15455" s="226"/>
    </row>
    <row r="15456" spans="16:21" x14ac:dyDescent="0.35">
      <c r="P15456" s="226"/>
      <c r="Q15456" s="226"/>
      <c r="R15456" s="226"/>
      <c r="S15456" s="226"/>
      <c r="T15456" s="226"/>
      <c r="U15456" s="226"/>
    </row>
    <row r="15457" spans="16:21" x14ac:dyDescent="0.35">
      <c r="P15457" s="226"/>
      <c r="Q15457" s="226"/>
      <c r="R15457" s="226"/>
      <c r="S15457" s="226"/>
      <c r="T15457" s="226"/>
      <c r="U15457" s="226"/>
    </row>
    <row r="15458" spans="16:21" x14ac:dyDescent="0.35">
      <c r="P15458" s="226"/>
      <c r="Q15458" s="226"/>
      <c r="R15458" s="226"/>
      <c r="S15458" s="226"/>
      <c r="T15458" s="226"/>
      <c r="U15458" s="226"/>
    </row>
    <row r="15459" spans="16:21" x14ac:dyDescent="0.35">
      <c r="P15459" s="226"/>
      <c r="Q15459" s="226"/>
      <c r="R15459" s="226"/>
      <c r="S15459" s="226"/>
      <c r="T15459" s="226"/>
      <c r="U15459" s="226"/>
    </row>
    <row r="15460" spans="16:21" x14ac:dyDescent="0.35">
      <c r="P15460" s="226"/>
      <c r="Q15460" s="226"/>
      <c r="R15460" s="226"/>
      <c r="S15460" s="226"/>
      <c r="T15460" s="226"/>
      <c r="U15460" s="226"/>
    </row>
    <row r="15461" spans="16:21" x14ac:dyDescent="0.35">
      <c r="P15461" s="226"/>
      <c r="Q15461" s="226"/>
      <c r="R15461" s="226"/>
      <c r="S15461" s="226"/>
      <c r="T15461" s="226"/>
      <c r="U15461" s="226"/>
    </row>
    <row r="15462" spans="16:21" x14ac:dyDescent="0.35">
      <c r="P15462" s="226"/>
      <c r="Q15462" s="226"/>
      <c r="R15462" s="226"/>
      <c r="S15462" s="226"/>
      <c r="T15462" s="226"/>
      <c r="U15462" s="226"/>
    </row>
    <row r="15463" spans="16:21" x14ac:dyDescent="0.35">
      <c r="P15463" s="226"/>
      <c r="Q15463" s="226"/>
      <c r="R15463" s="226"/>
      <c r="S15463" s="226"/>
      <c r="T15463" s="226"/>
      <c r="U15463" s="226"/>
    </row>
    <row r="15464" spans="16:21" x14ac:dyDescent="0.35">
      <c r="P15464" s="226"/>
      <c r="Q15464" s="226"/>
      <c r="R15464" s="226"/>
      <c r="S15464" s="226"/>
      <c r="T15464" s="226"/>
      <c r="U15464" s="226"/>
    </row>
    <row r="15465" spans="16:21" x14ac:dyDescent="0.35">
      <c r="P15465" s="226"/>
      <c r="Q15465" s="226"/>
      <c r="R15465" s="226"/>
      <c r="S15465" s="226"/>
      <c r="T15465" s="226"/>
      <c r="U15465" s="226"/>
    </row>
    <row r="15466" spans="16:21" x14ac:dyDescent="0.35">
      <c r="P15466" s="226"/>
      <c r="Q15466" s="226"/>
      <c r="R15466" s="226"/>
      <c r="S15466" s="226"/>
      <c r="T15466" s="226"/>
      <c r="U15466" s="226"/>
    </row>
    <row r="15467" spans="16:21" x14ac:dyDescent="0.35">
      <c r="P15467" s="226"/>
      <c r="Q15467" s="226"/>
      <c r="R15467" s="226"/>
      <c r="S15467" s="226"/>
      <c r="T15467" s="226"/>
      <c r="U15467" s="226"/>
    </row>
    <row r="15468" spans="16:21" x14ac:dyDescent="0.35">
      <c r="P15468" s="226"/>
      <c r="Q15468" s="226"/>
      <c r="R15468" s="226"/>
      <c r="S15468" s="226"/>
      <c r="T15468" s="226"/>
      <c r="U15468" s="226"/>
    </row>
    <row r="15469" spans="16:21" x14ac:dyDescent="0.35">
      <c r="P15469" s="226"/>
      <c r="Q15469" s="226"/>
      <c r="R15469" s="226"/>
      <c r="S15469" s="226"/>
      <c r="T15469" s="226"/>
      <c r="U15469" s="226"/>
    </row>
    <row r="15470" spans="16:21" x14ac:dyDescent="0.35">
      <c r="P15470" s="226"/>
      <c r="Q15470" s="226"/>
      <c r="R15470" s="226"/>
      <c r="S15470" s="226"/>
      <c r="T15470" s="226"/>
      <c r="U15470" s="226"/>
    </row>
    <row r="15471" spans="16:21" x14ac:dyDescent="0.35">
      <c r="P15471" s="226"/>
      <c r="Q15471" s="226"/>
      <c r="R15471" s="226"/>
      <c r="S15471" s="226"/>
      <c r="T15471" s="226"/>
      <c r="U15471" s="226"/>
    </row>
    <row r="15472" spans="16:21" x14ac:dyDescent="0.35">
      <c r="P15472" s="226"/>
      <c r="Q15472" s="226"/>
      <c r="R15472" s="226"/>
      <c r="S15472" s="226"/>
      <c r="T15472" s="226"/>
      <c r="U15472" s="226"/>
    </row>
    <row r="15473" spans="16:21" x14ac:dyDescent="0.35">
      <c r="P15473" s="226"/>
      <c r="Q15473" s="226"/>
      <c r="R15473" s="226"/>
      <c r="S15473" s="226"/>
      <c r="T15473" s="226"/>
      <c r="U15473" s="226"/>
    </row>
    <row r="15474" spans="16:21" x14ac:dyDescent="0.35">
      <c r="P15474" s="226"/>
      <c r="Q15474" s="226"/>
      <c r="R15474" s="226"/>
      <c r="S15474" s="226"/>
      <c r="T15474" s="226"/>
      <c r="U15474" s="226"/>
    </row>
    <row r="15475" spans="16:21" x14ac:dyDescent="0.35">
      <c r="P15475" s="226"/>
      <c r="Q15475" s="226"/>
      <c r="R15475" s="226"/>
      <c r="S15475" s="226"/>
      <c r="T15475" s="226"/>
      <c r="U15475" s="226"/>
    </row>
    <row r="15476" spans="16:21" x14ac:dyDescent="0.35">
      <c r="P15476" s="226"/>
      <c r="Q15476" s="226"/>
      <c r="R15476" s="226"/>
      <c r="S15476" s="226"/>
      <c r="T15476" s="226"/>
      <c r="U15476" s="226"/>
    </row>
    <row r="15477" spans="16:21" x14ac:dyDescent="0.35">
      <c r="P15477" s="226"/>
      <c r="Q15477" s="226"/>
      <c r="R15477" s="226"/>
      <c r="S15477" s="226"/>
      <c r="T15477" s="226"/>
      <c r="U15477" s="226"/>
    </row>
    <row r="15478" spans="16:21" x14ac:dyDescent="0.35">
      <c r="P15478" s="226"/>
      <c r="Q15478" s="226"/>
      <c r="R15478" s="226"/>
      <c r="S15478" s="226"/>
      <c r="T15478" s="226"/>
      <c r="U15478" s="226"/>
    </row>
    <row r="15479" spans="16:21" x14ac:dyDescent="0.35">
      <c r="P15479" s="226"/>
      <c r="Q15479" s="226"/>
      <c r="R15479" s="226"/>
      <c r="S15479" s="226"/>
      <c r="T15479" s="226"/>
      <c r="U15479" s="226"/>
    </row>
    <row r="15480" spans="16:21" x14ac:dyDescent="0.35">
      <c r="P15480" s="226"/>
      <c r="Q15480" s="226"/>
      <c r="R15480" s="226"/>
      <c r="S15480" s="226"/>
      <c r="T15480" s="226"/>
      <c r="U15480" s="226"/>
    </row>
    <row r="15481" spans="16:21" x14ac:dyDescent="0.35">
      <c r="P15481" s="226"/>
      <c r="Q15481" s="226"/>
      <c r="R15481" s="226"/>
      <c r="S15481" s="226"/>
      <c r="T15481" s="226"/>
      <c r="U15481" s="226"/>
    </row>
    <row r="15482" spans="16:21" x14ac:dyDescent="0.35">
      <c r="P15482" s="226"/>
      <c r="Q15482" s="226"/>
      <c r="R15482" s="226"/>
      <c r="S15482" s="226"/>
      <c r="T15482" s="226"/>
      <c r="U15482" s="226"/>
    </row>
    <row r="15483" spans="16:21" x14ac:dyDescent="0.35">
      <c r="P15483" s="226"/>
      <c r="Q15483" s="226"/>
      <c r="R15483" s="226"/>
      <c r="S15483" s="226"/>
      <c r="T15483" s="226"/>
      <c r="U15483" s="226"/>
    </row>
    <row r="15484" spans="16:21" x14ac:dyDescent="0.35">
      <c r="P15484" s="226"/>
      <c r="Q15484" s="226"/>
      <c r="R15484" s="226"/>
      <c r="S15484" s="226"/>
      <c r="T15484" s="226"/>
      <c r="U15484" s="226"/>
    </row>
    <row r="15485" spans="16:21" x14ac:dyDescent="0.35">
      <c r="P15485" s="226"/>
      <c r="Q15485" s="226"/>
      <c r="R15485" s="226"/>
      <c r="S15485" s="226"/>
      <c r="T15485" s="226"/>
      <c r="U15485" s="226"/>
    </row>
    <row r="15486" spans="16:21" x14ac:dyDescent="0.35">
      <c r="P15486" s="226"/>
      <c r="Q15486" s="226"/>
      <c r="R15486" s="226"/>
      <c r="S15486" s="226"/>
      <c r="T15486" s="226"/>
      <c r="U15486" s="226"/>
    </row>
    <row r="15487" spans="16:21" x14ac:dyDescent="0.35">
      <c r="P15487" s="226"/>
      <c r="Q15487" s="226"/>
      <c r="R15487" s="226"/>
      <c r="S15487" s="226"/>
      <c r="T15487" s="226"/>
      <c r="U15487" s="226"/>
    </row>
    <row r="15488" spans="16:21" x14ac:dyDescent="0.35">
      <c r="P15488" s="226"/>
      <c r="Q15488" s="226"/>
      <c r="R15488" s="226"/>
      <c r="S15488" s="226"/>
      <c r="T15488" s="226"/>
      <c r="U15488" s="226"/>
    </row>
    <row r="15489" spans="16:21" x14ac:dyDescent="0.35">
      <c r="P15489" s="226"/>
      <c r="Q15489" s="226"/>
      <c r="R15489" s="226"/>
      <c r="S15489" s="226"/>
      <c r="T15489" s="226"/>
      <c r="U15489" s="226"/>
    </row>
    <row r="15490" spans="16:21" x14ac:dyDescent="0.35">
      <c r="P15490" s="226"/>
      <c r="Q15490" s="226"/>
      <c r="R15490" s="226"/>
      <c r="S15490" s="226"/>
      <c r="T15490" s="226"/>
      <c r="U15490" s="226"/>
    </row>
    <row r="15491" spans="16:21" x14ac:dyDescent="0.35">
      <c r="P15491" s="226"/>
      <c r="Q15491" s="226"/>
      <c r="R15491" s="226"/>
      <c r="S15491" s="226"/>
      <c r="T15491" s="226"/>
      <c r="U15491" s="226"/>
    </row>
    <row r="15492" spans="16:21" x14ac:dyDescent="0.35">
      <c r="P15492" s="226"/>
      <c r="Q15492" s="226"/>
      <c r="R15492" s="226"/>
      <c r="S15492" s="226"/>
      <c r="T15492" s="226"/>
      <c r="U15492" s="226"/>
    </row>
    <row r="15493" spans="16:21" x14ac:dyDescent="0.35">
      <c r="P15493" s="226"/>
      <c r="Q15493" s="226"/>
      <c r="R15493" s="226"/>
      <c r="S15493" s="226"/>
      <c r="T15493" s="226"/>
      <c r="U15493" s="226"/>
    </row>
    <row r="15494" spans="16:21" x14ac:dyDescent="0.35">
      <c r="P15494" s="226"/>
      <c r="Q15494" s="226"/>
      <c r="R15494" s="226"/>
      <c r="S15494" s="226"/>
      <c r="T15494" s="226"/>
      <c r="U15494" s="226"/>
    </row>
    <row r="15495" spans="16:21" x14ac:dyDescent="0.35">
      <c r="P15495" s="226"/>
      <c r="Q15495" s="226"/>
      <c r="R15495" s="226"/>
      <c r="S15495" s="226"/>
      <c r="T15495" s="226"/>
      <c r="U15495" s="226"/>
    </row>
    <row r="15496" spans="16:21" x14ac:dyDescent="0.35">
      <c r="P15496" s="226"/>
      <c r="Q15496" s="226"/>
      <c r="R15496" s="226"/>
      <c r="S15496" s="226"/>
      <c r="T15496" s="226"/>
      <c r="U15496" s="226"/>
    </row>
    <row r="15497" spans="16:21" x14ac:dyDescent="0.35">
      <c r="P15497" s="226"/>
      <c r="Q15497" s="226"/>
      <c r="R15497" s="226"/>
      <c r="S15497" s="226"/>
      <c r="T15497" s="226"/>
      <c r="U15497" s="226"/>
    </row>
    <row r="15498" spans="16:21" x14ac:dyDescent="0.35">
      <c r="P15498" s="226"/>
      <c r="Q15498" s="226"/>
      <c r="R15498" s="226"/>
      <c r="S15498" s="226"/>
      <c r="T15498" s="226"/>
      <c r="U15498" s="226"/>
    </row>
    <row r="15499" spans="16:21" x14ac:dyDescent="0.35">
      <c r="P15499" s="226"/>
      <c r="Q15499" s="226"/>
      <c r="R15499" s="226"/>
      <c r="S15499" s="226"/>
      <c r="T15499" s="226"/>
      <c r="U15499" s="226"/>
    </row>
    <row r="15500" spans="16:21" x14ac:dyDescent="0.35">
      <c r="P15500" s="226"/>
      <c r="Q15500" s="226"/>
      <c r="R15500" s="226"/>
      <c r="S15500" s="226"/>
      <c r="T15500" s="226"/>
      <c r="U15500" s="226"/>
    </row>
    <row r="15501" spans="16:21" x14ac:dyDescent="0.35">
      <c r="P15501" s="226"/>
      <c r="Q15501" s="226"/>
      <c r="R15501" s="226"/>
      <c r="S15501" s="226"/>
      <c r="T15501" s="226"/>
      <c r="U15501" s="226"/>
    </row>
    <row r="15502" spans="16:21" x14ac:dyDescent="0.35">
      <c r="P15502" s="226"/>
      <c r="Q15502" s="226"/>
      <c r="R15502" s="226"/>
      <c r="S15502" s="226"/>
      <c r="T15502" s="226"/>
      <c r="U15502" s="226"/>
    </row>
    <row r="15503" spans="16:21" x14ac:dyDescent="0.35">
      <c r="P15503" s="226"/>
      <c r="Q15503" s="226"/>
      <c r="R15503" s="226"/>
      <c r="S15503" s="226"/>
      <c r="T15503" s="226"/>
      <c r="U15503" s="226"/>
    </row>
    <row r="15504" spans="16:21" x14ac:dyDescent="0.35">
      <c r="P15504" s="226"/>
      <c r="Q15504" s="226"/>
      <c r="R15504" s="226"/>
      <c r="S15504" s="226"/>
      <c r="T15504" s="226"/>
      <c r="U15504" s="226"/>
    </row>
    <row r="15505" spans="16:21" x14ac:dyDescent="0.35">
      <c r="P15505" s="226"/>
      <c r="Q15505" s="226"/>
      <c r="R15505" s="226"/>
      <c r="S15505" s="226"/>
      <c r="T15505" s="226"/>
      <c r="U15505" s="226"/>
    </row>
    <row r="15506" spans="16:21" x14ac:dyDescent="0.35">
      <c r="P15506" s="226"/>
      <c r="Q15506" s="226"/>
      <c r="R15506" s="226"/>
      <c r="S15506" s="226"/>
      <c r="T15506" s="226"/>
      <c r="U15506" s="226"/>
    </row>
    <row r="15507" spans="16:21" x14ac:dyDescent="0.35">
      <c r="P15507" s="226"/>
      <c r="Q15507" s="226"/>
      <c r="R15507" s="226"/>
      <c r="S15507" s="226"/>
      <c r="T15507" s="226"/>
      <c r="U15507" s="226"/>
    </row>
    <row r="15508" spans="16:21" x14ac:dyDescent="0.35">
      <c r="P15508" s="226"/>
      <c r="Q15508" s="226"/>
      <c r="R15508" s="226"/>
      <c r="S15508" s="226"/>
      <c r="T15508" s="226"/>
      <c r="U15508" s="226"/>
    </row>
    <row r="15509" spans="16:21" x14ac:dyDescent="0.35">
      <c r="P15509" s="226"/>
      <c r="Q15509" s="226"/>
      <c r="R15509" s="226"/>
      <c r="S15509" s="226"/>
      <c r="T15509" s="226"/>
      <c r="U15509" s="226"/>
    </row>
    <row r="15510" spans="16:21" x14ac:dyDescent="0.35">
      <c r="P15510" s="226"/>
      <c r="Q15510" s="226"/>
      <c r="R15510" s="226"/>
      <c r="S15510" s="226"/>
      <c r="T15510" s="226"/>
      <c r="U15510" s="226"/>
    </row>
    <row r="15511" spans="16:21" x14ac:dyDescent="0.35">
      <c r="P15511" s="226"/>
      <c r="Q15511" s="226"/>
      <c r="R15511" s="226"/>
      <c r="S15511" s="226"/>
      <c r="T15511" s="226"/>
      <c r="U15511" s="226"/>
    </row>
    <row r="15512" spans="16:21" x14ac:dyDescent="0.35">
      <c r="P15512" s="226"/>
      <c r="Q15512" s="226"/>
      <c r="R15512" s="226"/>
      <c r="S15512" s="226"/>
      <c r="T15512" s="226"/>
      <c r="U15512" s="226"/>
    </row>
    <row r="15513" spans="16:21" x14ac:dyDescent="0.35">
      <c r="P15513" s="226"/>
      <c r="Q15513" s="226"/>
      <c r="R15513" s="226"/>
      <c r="S15513" s="226"/>
      <c r="T15513" s="226"/>
      <c r="U15513" s="226"/>
    </row>
    <row r="15514" spans="16:21" x14ac:dyDescent="0.35">
      <c r="P15514" s="226"/>
      <c r="Q15514" s="226"/>
      <c r="R15514" s="226"/>
      <c r="S15514" s="226"/>
      <c r="T15514" s="226"/>
      <c r="U15514" s="226"/>
    </row>
    <row r="15515" spans="16:21" x14ac:dyDescent="0.35">
      <c r="P15515" s="226"/>
      <c r="Q15515" s="226"/>
      <c r="R15515" s="226"/>
      <c r="S15515" s="226"/>
      <c r="T15515" s="226"/>
      <c r="U15515" s="226"/>
    </row>
    <row r="15516" spans="16:21" x14ac:dyDescent="0.35">
      <c r="P15516" s="226"/>
      <c r="Q15516" s="226"/>
      <c r="R15516" s="226"/>
      <c r="S15516" s="226"/>
      <c r="T15516" s="226"/>
      <c r="U15516" s="226"/>
    </row>
    <row r="15517" spans="16:21" x14ac:dyDescent="0.35">
      <c r="P15517" s="226"/>
      <c r="Q15517" s="226"/>
      <c r="R15517" s="226"/>
      <c r="S15517" s="226"/>
      <c r="T15517" s="226"/>
      <c r="U15517" s="226"/>
    </row>
    <row r="15518" spans="16:21" x14ac:dyDescent="0.35">
      <c r="P15518" s="226"/>
      <c r="Q15518" s="226"/>
      <c r="R15518" s="226"/>
      <c r="S15518" s="226"/>
      <c r="T15518" s="226"/>
      <c r="U15518" s="226"/>
    </row>
    <row r="15519" spans="16:21" x14ac:dyDescent="0.35">
      <c r="P15519" s="226"/>
      <c r="Q15519" s="226"/>
      <c r="R15519" s="226"/>
      <c r="S15519" s="226"/>
      <c r="T15519" s="226"/>
      <c r="U15519" s="226"/>
    </row>
    <row r="15520" spans="16:21" x14ac:dyDescent="0.35">
      <c r="P15520" s="226"/>
      <c r="Q15520" s="226"/>
      <c r="R15520" s="226"/>
      <c r="S15520" s="226"/>
      <c r="T15520" s="226"/>
      <c r="U15520" s="226"/>
    </row>
    <row r="15521" spans="16:21" x14ac:dyDescent="0.35">
      <c r="P15521" s="226"/>
      <c r="Q15521" s="226"/>
      <c r="R15521" s="226"/>
      <c r="S15521" s="226"/>
      <c r="T15521" s="226"/>
      <c r="U15521" s="226"/>
    </row>
    <row r="15522" spans="16:21" x14ac:dyDescent="0.35">
      <c r="P15522" s="226"/>
      <c r="Q15522" s="226"/>
      <c r="R15522" s="226"/>
      <c r="S15522" s="226"/>
      <c r="T15522" s="226"/>
      <c r="U15522" s="226"/>
    </row>
    <row r="15523" spans="16:21" x14ac:dyDescent="0.35">
      <c r="P15523" s="226"/>
      <c r="Q15523" s="226"/>
      <c r="R15523" s="226"/>
      <c r="S15523" s="226"/>
      <c r="T15523" s="226"/>
      <c r="U15523" s="226"/>
    </row>
    <row r="15524" spans="16:21" x14ac:dyDescent="0.35">
      <c r="P15524" s="226"/>
      <c r="Q15524" s="226"/>
      <c r="R15524" s="226"/>
      <c r="S15524" s="226"/>
      <c r="T15524" s="226"/>
      <c r="U15524" s="226"/>
    </row>
    <row r="15525" spans="16:21" x14ac:dyDescent="0.35">
      <c r="P15525" s="226"/>
      <c r="Q15525" s="226"/>
      <c r="R15525" s="226"/>
      <c r="S15525" s="226"/>
      <c r="T15525" s="226"/>
      <c r="U15525" s="226"/>
    </row>
    <row r="15526" spans="16:21" x14ac:dyDescent="0.35">
      <c r="P15526" s="226"/>
      <c r="Q15526" s="226"/>
      <c r="R15526" s="226"/>
      <c r="S15526" s="226"/>
      <c r="T15526" s="226"/>
      <c r="U15526" s="226"/>
    </row>
    <row r="15527" spans="16:21" x14ac:dyDescent="0.35">
      <c r="P15527" s="226"/>
      <c r="Q15527" s="226"/>
      <c r="R15527" s="226"/>
      <c r="S15527" s="226"/>
      <c r="T15527" s="226"/>
      <c r="U15527" s="226"/>
    </row>
    <row r="15528" spans="16:21" x14ac:dyDescent="0.35">
      <c r="P15528" s="226"/>
      <c r="Q15528" s="226"/>
      <c r="R15528" s="226"/>
      <c r="S15528" s="226"/>
      <c r="T15528" s="226"/>
      <c r="U15528" s="226"/>
    </row>
    <row r="15529" spans="16:21" x14ac:dyDescent="0.35">
      <c r="P15529" s="226"/>
      <c r="Q15529" s="226"/>
      <c r="R15529" s="226"/>
      <c r="S15529" s="226"/>
      <c r="T15529" s="226"/>
      <c r="U15529" s="226"/>
    </row>
    <row r="15530" spans="16:21" x14ac:dyDescent="0.35">
      <c r="P15530" s="226"/>
      <c r="Q15530" s="226"/>
      <c r="R15530" s="226"/>
      <c r="S15530" s="226"/>
      <c r="T15530" s="226"/>
      <c r="U15530" s="226"/>
    </row>
    <row r="15531" spans="16:21" x14ac:dyDescent="0.35">
      <c r="P15531" s="226"/>
      <c r="Q15531" s="226"/>
      <c r="R15531" s="226"/>
      <c r="S15531" s="226"/>
      <c r="T15531" s="226"/>
      <c r="U15531" s="226"/>
    </row>
    <row r="15532" spans="16:21" x14ac:dyDescent="0.35">
      <c r="P15532" s="226"/>
      <c r="Q15532" s="226"/>
      <c r="R15532" s="226"/>
      <c r="S15532" s="226"/>
      <c r="T15532" s="226"/>
      <c r="U15532" s="226"/>
    </row>
    <row r="15533" spans="16:21" x14ac:dyDescent="0.35">
      <c r="P15533" s="226"/>
      <c r="Q15533" s="226"/>
      <c r="R15533" s="226"/>
      <c r="S15533" s="226"/>
      <c r="T15533" s="226"/>
      <c r="U15533" s="226"/>
    </row>
    <row r="15534" spans="16:21" x14ac:dyDescent="0.35">
      <c r="P15534" s="226"/>
      <c r="Q15534" s="226"/>
      <c r="R15534" s="226"/>
      <c r="S15534" s="226"/>
      <c r="T15534" s="226"/>
      <c r="U15534" s="226"/>
    </row>
    <row r="15535" spans="16:21" x14ac:dyDescent="0.35">
      <c r="P15535" s="226"/>
      <c r="Q15535" s="226"/>
      <c r="R15535" s="226"/>
      <c r="S15535" s="226"/>
      <c r="T15535" s="226"/>
      <c r="U15535" s="226"/>
    </row>
    <row r="15536" spans="16:21" x14ac:dyDescent="0.35">
      <c r="P15536" s="226"/>
      <c r="Q15536" s="226"/>
      <c r="R15536" s="226"/>
      <c r="S15536" s="226"/>
      <c r="T15536" s="226"/>
      <c r="U15536" s="226"/>
    </row>
    <row r="15537" spans="16:21" x14ac:dyDescent="0.35">
      <c r="P15537" s="226"/>
      <c r="Q15537" s="226"/>
      <c r="R15537" s="226"/>
      <c r="S15537" s="226"/>
      <c r="T15537" s="226"/>
      <c r="U15537" s="226"/>
    </row>
    <row r="15538" spans="16:21" x14ac:dyDescent="0.35">
      <c r="P15538" s="226"/>
      <c r="Q15538" s="226"/>
      <c r="R15538" s="226"/>
      <c r="S15538" s="226"/>
      <c r="T15538" s="226"/>
      <c r="U15538" s="226"/>
    </row>
    <row r="15539" spans="16:21" x14ac:dyDescent="0.35">
      <c r="P15539" s="226"/>
      <c r="Q15539" s="226"/>
      <c r="R15539" s="226"/>
      <c r="S15539" s="226"/>
      <c r="T15539" s="226"/>
      <c r="U15539" s="226"/>
    </row>
    <row r="15540" spans="16:21" x14ac:dyDescent="0.35">
      <c r="P15540" s="226"/>
      <c r="Q15540" s="226"/>
      <c r="R15540" s="226"/>
      <c r="S15540" s="226"/>
      <c r="T15540" s="226"/>
      <c r="U15540" s="226"/>
    </row>
    <row r="15541" spans="16:21" x14ac:dyDescent="0.35">
      <c r="P15541" s="226"/>
      <c r="Q15541" s="226"/>
      <c r="R15541" s="226"/>
      <c r="S15541" s="226"/>
      <c r="T15541" s="226"/>
      <c r="U15541" s="226"/>
    </row>
    <row r="15542" spans="16:21" x14ac:dyDescent="0.35">
      <c r="P15542" s="226"/>
      <c r="Q15542" s="226"/>
      <c r="R15542" s="226"/>
      <c r="S15542" s="226"/>
      <c r="T15542" s="226"/>
      <c r="U15542" s="226"/>
    </row>
    <row r="15543" spans="16:21" x14ac:dyDescent="0.35">
      <c r="P15543" s="226"/>
      <c r="Q15543" s="226"/>
      <c r="R15543" s="226"/>
      <c r="S15543" s="226"/>
      <c r="T15543" s="226"/>
      <c r="U15543" s="226"/>
    </row>
    <row r="15544" spans="16:21" x14ac:dyDescent="0.35">
      <c r="P15544" s="226"/>
      <c r="Q15544" s="226"/>
      <c r="R15544" s="226"/>
      <c r="S15544" s="226"/>
      <c r="T15544" s="226"/>
      <c r="U15544" s="226"/>
    </row>
    <row r="15545" spans="16:21" x14ac:dyDescent="0.35">
      <c r="P15545" s="226"/>
      <c r="Q15545" s="226"/>
      <c r="R15545" s="226"/>
      <c r="S15545" s="226"/>
      <c r="T15545" s="226"/>
      <c r="U15545" s="226"/>
    </row>
    <row r="15546" spans="16:21" x14ac:dyDescent="0.35">
      <c r="P15546" s="226"/>
      <c r="Q15546" s="226"/>
      <c r="R15546" s="226"/>
      <c r="S15546" s="226"/>
      <c r="T15546" s="226"/>
      <c r="U15546" s="226"/>
    </row>
    <row r="15547" spans="16:21" x14ac:dyDescent="0.35">
      <c r="P15547" s="226"/>
      <c r="Q15547" s="226"/>
      <c r="R15547" s="226"/>
      <c r="S15547" s="226"/>
      <c r="T15547" s="226"/>
      <c r="U15547" s="226"/>
    </row>
    <row r="15548" spans="16:21" x14ac:dyDescent="0.35">
      <c r="P15548" s="226"/>
      <c r="Q15548" s="226"/>
      <c r="R15548" s="226"/>
      <c r="S15548" s="226"/>
      <c r="T15548" s="226"/>
      <c r="U15548" s="226"/>
    </row>
    <row r="15549" spans="16:21" x14ac:dyDescent="0.35">
      <c r="P15549" s="226"/>
      <c r="Q15549" s="226"/>
      <c r="R15549" s="226"/>
      <c r="S15549" s="226"/>
      <c r="T15549" s="226"/>
      <c r="U15549" s="226"/>
    </row>
    <row r="15550" spans="16:21" x14ac:dyDescent="0.35">
      <c r="P15550" s="226"/>
      <c r="Q15550" s="226"/>
      <c r="R15550" s="226"/>
      <c r="S15550" s="226"/>
      <c r="T15550" s="226"/>
      <c r="U15550" s="226"/>
    </row>
    <row r="15551" spans="16:21" x14ac:dyDescent="0.35">
      <c r="P15551" s="226"/>
      <c r="Q15551" s="226"/>
      <c r="R15551" s="226"/>
      <c r="S15551" s="226"/>
      <c r="T15551" s="226"/>
      <c r="U15551" s="226"/>
    </row>
    <row r="15552" spans="16:21" x14ac:dyDescent="0.35">
      <c r="P15552" s="226"/>
      <c r="Q15552" s="226"/>
      <c r="R15552" s="226"/>
      <c r="S15552" s="226"/>
      <c r="T15552" s="226"/>
      <c r="U15552" s="226"/>
    </row>
    <row r="15553" spans="16:21" x14ac:dyDescent="0.35">
      <c r="P15553" s="226"/>
      <c r="Q15553" s="226"/>
      <c r="R15553" s="226"/>
      <c r="S15553" s="226"/>
      <c r="T15553" s="226"/>
      <c r="U15553" s="226"/>
    </row>
    <row r="15554" spans="16:21" x14ac:dyDescent="0.35">
      <c r="P15554" s="226"/>
      <c r="Q15554" s="226"/>
      <c r="R15554" s="226"/>
      <c r="S15554" s="226"/>
      <c r="T15554" s="226"/>
      <c r="U15554" s="226"/>
    </row>
    <row r="15555" spans="16:21" x14ac:dyDescent="0.35">
      <c r="P15555" s="226"/>
      <c r="Q15555" s="226"/>
      <c r="R15555" s="226"/>
      <c r="S15555" s="226"/>
      <c r="T15555" s="226"/>
      <c r="U15555" s="226"/>
    </row>
    <row r="15556" spans="16:21" x14ac:dyDescent="0.35">
      <c r="P15556" s="226"/>
      <c r="Q15556" s="226"/>
      <c r="R15556" s="226"/>
      <c r="S15556" s="226"/>
      <c r="T15556" s="226"/>
      <c r="U15556" s="226"/>
    </row>
    <row r="15557" spans="16:21" x14ac:dyDescent="0.35">
      <c r="P15557" s="226"/>
      <c r="Q15557" s="226"/>
      <c r="R15557" s="226"/>
      <c r="S15557" s="226"/>
      <c r="T15557" s="226"/>
      <c r="U15557" s="226"/>
    </row>
    <row r="15558" spans="16:21" x14ac:dyDescent="0.35">
      <c r="P15558" s="226"/>
      <c r="Q15558" s="226"/>
      <c r="R15558" s="226"/>
      <c r="S15558" s="226"/>
      <c r="T15558" s="226"/>
      <c r="U15558" s="226"/>
    </row>
    <row r="15559" spans="16:21" x14ac:dyDescent="0.35">
      <c r="P15559" s="226"/>
      <c r="Q15559" s="226"/>
      <c r="R15559" s="226"/>
      <c r="S15559" s="226"/>
      <c r="T15559" s="226"/>
      <c r="U15559" s="226"/>
    </row>
    <row r="15560" spans="16:21" x14ac:dyDescent="0.35">
      <c r="P15560" s="226"/>
      <c r="Q15560" s="226"/>
      <c r="R15560" s="226"/>
      <c r="S15560" s="226"/>
      <c r="T15560" s="226"/>
      <c r="U15560" s="226"/>
    </row>
    <row r="15561" spans="16:21" x14ac:dyDescent="0.35">
      <c r="P15561" s="226"/>
      <c r="Q15561" s="226"/>
      <c r="R15561" s="226"/>
      <c r="S15561" s="226"/>
      <c r="T15561" s="226"/>
      <c r="U15561" s="226"/>
    </row>
    <row r="15562" spans="16:21" x14ac:dyDescent="0.35">
      <c r="P15562" s="226"/>
      <c r="Q15562" s="226"/>
      <c r="R15562" s="226"/>
      <c r="S15562" s="226"/>
      <c r="T15562" s="226"/>
      <c r="U15562" s="226"/>
    </row>
    <row r="15563" spans="16:21" x14ac:dyDescent="0.35">
      <c r="P15563" s="226"/>
      <c r="Q15563" s="226"/>
      <c r="R15563" s="226"/>
      <c r="S15563" s="226"/>
      <c r="T15563" s="226"/>
      <c r="U15563" s="226"/>
    </row>
    <row r="15564" spans="16:21" x14ac:dyDescent="0.35">
      <c r="P15564" s="226"/>
      <c r="Q15564" s="226"/>
      <c r="R15564" s="226"/>
      <c r="S15564" s="226"/>
      <c r="T15564" s="226"/>
      <c r="U15564" s="226"/>
    </row>
    <row r="15565" spans="16:21" x14ac:dyDescent="0.35">
      <c r="P15565" s="226"/>
      <c r="Q15565" s="226"/>
      <c r="R15565" s="226"/>
      <c r="S15565" s="226"/>
      <c r="T15565" s="226"/>
      <c r="U15565" s="226"/>
    </row>
    <row r="15566" spans="16:21" x14ac:dyDescent="0.35">
      <c r="P15566" s="226"/>
      <c r="Q15566" s="226"/>
      <c r="R15566" s="226"/>
      <c r="S15566" s="226"/>
      <c r="T15566" s="226"/>
      <c r="U15566" s="226"/>
    </row>
    <row r="15567" spans="16:21" x14ac:dyDescent="0.35">
      <c r="P15567" s="226"/>
      <c r="Q15567" s="226"/>
      <c r="R15567" s="226"/>
      <c r="S15567" s="226"/>
      <c r="T15567" s="226"/>
      <c r="U15567" s="226"/>
    </row>
    <row r="15568" spans="16:21" x14ac:dyDescent="0.35">
      <c r="P15568" s="226"/>
      <c r="Q15568" s="226"/>
      <c r="R15568" s="226"/>
      <c r="S15568" s="226"/>
      <c r="T15568" s="226"/>
      <c r="U15568" s="226"/>
    </row>
    <row r="15569" spans="16:21" x14ac:dyDescent="0.35">
      <c r="P15569" s="226"/>
      <c r="Q15569" s="226"/>
      <c r="R15569" s="226"/>
      <c r="S15569" s="226"/>
      <c r="T15569" s="226"/>
      <c r="U15569" s="226"/>
    </row>
    <row r="15570" spans="16:21" x14ac:dyDescent="0.35">
      <c r="P15570" s="226"/>
      <c r="Q15570" s="226"/>
      <c r="R15570" s="226"/>
      <c r="S15570" s="226"/>
      <c r="T15570" s="226"/>
      <c r="U15570" s="226"/>
    </row>
    <row r="15571" spans="16:21" x14ac:dyDescent="0.35">
      <c r="P15571" s="226"/>
      <c r="Q15571" s="226"/>
      <c r="R15571" s="226"/>
      <c r="S15571" s="226"/>
      <c r="T15571" s="226"/>
      <c r="U15571" s="226"/>
    </row>
    <row r="15572" spans="16:21" x14ac:dyDescent="0.35">
      <c r="P15572" s="226"/>
      <c r="Q15572" s="226"/>
      <c r="R15572" s="226"/>
      <c r="S15572" s="226"/>
      <c r="T15572" s="226"/>
      <c r="U15572" s="226"/>
    </row>
    <row r="15573" spans="16:21" x14ac:dyDescent="0.35">
      <c r="P15573" s="226"/>
      <c r="Q15573" s="226"/>
      <c r="R15573" s="226"/>
      <c r="S15573" s="226"/>
      <c r="T15573" s="226"/>
      <c r="U15573" s="226"/>
    </row>
    <row r="15574" spans="16:21" x14ac:dyDescent="0.35">
      <c r="P15574" s="226"/>
      <c r="Q15574" s="226"/>
      <c r="R15574" s="226"/>
      <c r="S15574" s="226"/>
      <c r="T15574" s="226"/>
      <c r="U15574" s="226"/>
    </row>
    <row r="15575" spans="16:21" x14ac:dyDescent="0.35">
      <c r="P15575" s="226"/>
      <c r="Q15575" s="226"/>
      <c r="R15575" s="226"/>
      <c r="S15575" s="226"/>
      <c r="T15575" s="226"/>
      <c r="U15575" s="226"/>
    </row>
    <row r="15576" spans="16:21" x14ac:dyDescent="0.35">
      <c r="P15576" s="226"/>
      <c r="Q15576" s="226"/>
      <c r="R15576" s="226"/>
      <c r="S15576" s="226"/>
      <c r="T15576" s="226"/>
      <c r="U15576" s="226"/>
    </row>
    <row r="15577" spans="16:21" x14ac:dyDescent="0.35">
      <c r="P15577" s="226"/>
      <c r="Q15577" s="226"/>
      <c r="R15577" s="226"/>
      <c r="S15577" s="226"/>
      <c r="T15577" s="226"/>
      <c r="U15577" s="226"/>
    </row>
    <row r="15578" spans="16:21" x14ac:dyDescent="0.35">
      <c r="P15578" s="226"/>
      <c r="Q15578" s="226"/>
      <c r="R15578" s="226"/>
      <c r="S15578" s="226"/>
      <c r="T15578" s="226"/>
      <c r="U15578" s="226"/>
    </row>
    <row r="15579" spans="16:21" x14ac:dyDescent="0.35">
      <c r="P15579" s="226"/>
      <c r="Q15579" s="226"/>
      <c r="R15579" s="226"/>
      <c r="S15579" s="226"/>
      <c r="T15579" s="226"/>
      <c r="U15579" s="226"/>
    </row>
    <row r="15580" spans="16:21" x14ac:dyDescent="0.35">
      <c r="P15580" s="226"/>
      <c r="Q15580" s="226"/>
      <c r="R15580" s="226"/>
      <c r="S15580" s="226"/>
      <c r="T15580" s="226"/>
      <c r="U15580" s="226"/>
    </row>
    <row r="15581" spans="16:21" x14ac:dyDescent="0.35">
      <c r="P15581" s="226"/>
      <c r="Q15581" s="226"/>
      <c r="R15581" s="226"/>
      <c r="S15581" s="226"/>
      <c r="T15581" s="226"/>
      <c r="U15581" s="226"/>
    </row>
    <row r="15582" spans="16:21" x14ac:dyDescent="0.35">
      <c r="P15582" s="226"/>
      <c r="Q15582" s="226"/>
      <c r="R15582" s="226"/>
      <c r="S15582" s="226"/>
      <c r="T15582" s="226"/>
      <c r="U15582" s="226"/>
    </row>
    <row r="15583" spans="16:21" x14ac:dyDescent="0.35">
      <c r="P15583" s="226"/>
      <c r="Q15583" s="226"/>
      <c r="R15583" s="226"/>
      <c r="S15583" s="226"/>
      <c r="T15583" s="226"/>
      <c r="U15583" s="226"/>
    </row>
    <row r="15584" spans="16:21" x14ac:dyDescent="0.35">
      <c r="P15584" s="226"/>
      <c r="Q15584" s="226"/>
      <c r="R15584" s="226"/>
      <c r="S15584" s="226"/>
      <c r="T15584" s="226"/>
      <c r="U15584" s="226"/>
    </row>
    <row r="15585" spans="16:21" x14ac:dyDescent="0.35">
      <c r="P15585" s="226"/>
      <c r="Q15585" s="226"/>
      <c r="R15585" s="226"/>
      <c r="S15585" s="226"/>
      <c r="T15585" s="226"/>
      <c r="U15585" s="226"/>
    </row>
    <row r="15586" spans="16:21" x14ac:dyDescent="0.35">
      <c r="P15586" s="226"/>
      <c r="Q15586" s="226"/>
      <c r="R15586" s="226"/>
      <c r="S15586" s="226"/>
      <c r="T15586" s="226"/>
      <c r="U15586" s="226"/>
    </row>
    <row r="15587" spans="16:21" x14ac:dyDescent="0.35">
      <c r="P15587" s="226"/>
      <c r="Q15587" s="226"/>
      <c r="R15587" s="226"/>
      <c r="S15587" s="226"/>
      <c r="T15587" s="226"/>
      <c r="U15587" s="226"/>
    </row>
    <row r="15588" spans="16:21" x14ac:dyDescent="0.35">
      <c r="P15588" s="226"/>
      <c r="Q15588" s="226"/>
      <c r="R15588" s="226"/>
      <c r="S15588" s="226"/>
      <c r="T15588" s="226"/>
      <c r="U15588" s="226"/>
    </row>
    <row r="15589" spans="16:21" x14ac:dyDescent="0.35">
      <c r="P15589" s="226"/>
      <c r="Q15589" s="226"/>
      <c r="R15589" s="226"/>
      <c r="S15589" s="226"/>
      <c r="T15589" s="226"/>
      <c r="U15589" s="226"/>
    </row>
    <row r="15590" spans="16:21" x14ac:dyDescent="0.35">
      <c r="P15590" s="226"/>
      <c r="Q15590" s="226"/>
      <c r="R15590" s="226"/>
      <c r="S15590" s="226"/>
      <c r="T15590" s="226"/>
      <c r="U15590" s="226"/>
    </row>
    <row r="15591" spans="16:21" x14ac:dyDescent="0.35">
      <c r="P15591" s="226"/>
      <c r="Q15591" s="226"/>
      <c r="R15591" s="226"/>
      <c r="S15591" s="226"/>
      <c r="T15591" s="226"/>
      <c r="U15591" s="226"/>
    </row>
    <row r="15592" spans="16:21" x14ac:dyDescent="0.35">
      <c r="P15592" s="226"/>
      <c r="Q15592" s="226"/>
      <c r="R15592" s="226"/>
      <c r="S15592" s="226"/>
      <c r="T15592" s="226"/>
      <c r="U15592" s="226"/>
    </row>
    <row r="15593" spans="16:21" x14ac:dyDescent="0.35">
      <c r="P15593" s="226"/>
      <c r="Q15593" s="226"/>
      <c r="R15593" s="226"/>
      <c r="S15593" s="226"/>
      <c r="T15593" s="226"/>
      <c r="U15593" s="226"/>
    </row>
    <row r="15594" spans="16:21" x14ac:dyDescent="0.35">
      <c r="P15594" s="226"/>
      <c r="Q15594" s="226"/>
      <c r="R15594" s="226"/>
      <c r="S15594" s="226"/>
      <c r="T15594" s="226"/>
      <c r="U15594" s="226"/>
    </row>
    <row r="15595" spans="16:21" x14ac:dyDescent="0.35">
      <c r="P15595" s="226"/>
      <c r="Q15595" s="226"/>
      <c r="R15595" s="226"/>
      <c r="S15595" s="226"/>
      <c r="T15595" s="226"/>
      <c r="U15595" s="226"/>
    </row>
    <row r="15596" spans="16:21" x14ac:dyDescent="0.35">
      <c r="P15596" s="226"/>
      <c r="Q15596" s="226"/>
      <c r="R15596" s="226"/>
      <c r="S15596" s="226"/>
      <c r="T15596" s="226"/>
      <c r="U15596" s="226"/>
    </row>
    <row r="15597" spans="16:21" x14ac:dyDescent="0.35">
      <c r="P15597" s="226"/>
      <c r="Q15597" s="226"/>
      <c r="R15597" s="226"/>
      <c r="S15597" s="226"/>
      <c r="T15597" s="226"/>
      <c r="U15597" s="226"/>
    </row>
    <row r="15598" spans="16:21" x14ac:dyDescent="0.35">
      <c r="P15598" s="226"/>
      <c r="Q15598" s="226"/>
      <c r="R15598" s="226"/>
      <c r="S15598" s="226"/>
      <c r="T15598" s="226"/>
      <c r="U15598" s="226"/>
    </row>
    <row r="15599" spans="16:21" x14ac:dyDescent="0.35">
      <c r="P15599" s="226"/>
      <c r="Q15599" s="226"/>
      <c r="R15599" s="226"/>
      <c r="S15599" s="226"/>
      <c r="T15599" s="226"/>
      <c r="U15599" s="226"/>
    </row>
    <row r="15600" spans="16:21" x14ac:dyDescent="0.35">
      <c r="P15600" s="226"/>
      <c r="Q15600" s="226"/>
      <c r="R15600" s="226"/>
      <c r="S15600" s="226"/>
      <c r="T15600" s="226"/>
      <c r="U15600" s="226"/>
    </row>
    <row r="15601" spans="16:21" x14ac:dyDescent="0.35">
      <c r="P15601" s="226"/>
      <c r="Q15601" s="226"/>
      <c r="R15601" s="226"/>
      <c r="S15601" s="226"/>
      <c r="T15601" s="226"/>
      <c r="U15601" s="226"/>
    </row>
    <row r="15602" spans="16:21" x14ac:dyDescent="0.35">
      <c r="P15602" s="226"/>
      <c r="Q15602" s="226"/>
      <c r="R15602" s="226"/>
      <c r="S15602" s="226"/>
      <c r="T15602" s="226"/>
      <c r="U15602" s="226"/>
    </row>
    <row r="15603" spans="16:21" x14ac:dyDescent="0.35">
      <c r="P15603" s="226"/>
      <c r="Q15603" s="226"/>
      <c r="R15603" s="226"/>
      <c r="S15603" s="226"/>
      <c r="T15603" s="226"/>
      <c r="U15603" s="226"/>
    </row>
    <row r="15604" spans="16:21" x14ac:dyDescent="0.35">
      <c r="P15604" s="226"/>
      <c r="Q15604" s="226"/>
      <c r="R15604" s="226"/>
      <c r="S15604" s="226"/>
      <c r="T15604" s="226"/>
      <c r="U15604" s="226"/>
    </row>
    <row r="15605" spans="16:21" x14ac:dyDescent="0.35">
      <c r="P15605" s="226"/>
      <c r="Q15605" s="226"/>
      <c r="R15605" s="226"/>
      <c r="S15605" s="226"/>
      <c r="T15605" s="226"/>
      <c r="U15605" s="226"/>
    </row>
    <row r="15606" spans="16:21" x14ac:dyDescent="0.35">
      <c r="P15606" s="226"/>
      <c r="Q15606" s="226"/>
      <c r="R15606" s="226"/>
      <c r="S15606" s="226"/>
      <c r="T15606" s="226"/>
      <c r="U15606" s="226"/>
    </row>
    <row r="15607" spans="16:21" x14ac:dyDescent="0.35">
      <c r="P15607" s="226"/>
      <c r="Q15607" s="226"/>
      <c r="R15607" s="226"/>
      <c r="S15607" s="226"/>
      <c r="T15607" s="226"/>
      <c r="U15607" s="226"/>
    </row>
    <row r="15608" spans="16:21" x14ac:dyDescent="0.35">
      <c r="P15608" s="226"/>
      <c r="Q15608" s="226"/>
      <c r="R15608" s="226"/>
      <c r="S15608" s="226"/>
      <c r="T15608" s="226"/>
      <c r="U15608" s="226"/>
    </row>
    <row r="15609" spans="16:21" x14ac:dyDescent="0.35">
      <c r="P15609" s="226"/>
      <c r="Q15609" s="226"/>
      <c r="R15609" s="226"/>
      <c r="S15609" s="226"/>
      <c r="T15609" s="226"/>
      <c r="U15609" s="226"/>
    </row>
    <row r="15610" spans="16:21" x14ac:dyDescent="0.35">
      <c r="P15610" s="226"/>
      <c r="Q15610" s="226"/>
      <c r="R15610" s="226"/>
      <c r="S15610" s="226"/>
      <c r="T15610" s="226"/>
      <c r="U15610" s="226"/>
    </row>
    <row r="15611" spans="16:21" x14ac:dyDescent="0.35">
      <c r="P15611" s="226"/>
      <c r="Q15611" s="226"/>
      <c r="R15611" s="226"/>
      <c r="S15611" s="226"/>
      <c r="T15611" s="226"/>
      <c r="U15611" s="226"/>
    </row>
    <row r="15612" spans="16:21" x14ac:dyDescent="0.35">
      <c r="P15612" s="226"/>
      <c r="Q15612" s="226"/>
      <c r="R15612" s="226"/>
      <c r="S15612" s="226"/>
      <c r="T15612" s="226"/>
      <c r="U15612" s="226"/>
    </row>
    <row r="15613" spans="16:21" x14ac:dyDescent="0.35">
      <c r="P15613" s="226"/>
      <c r="Q15613" s="226"/>
      <c r="R15613" s="226"/>
      <c r="S15613" s="226"/>
      <c r="T15613" s="226"/>
      <c r="U15613" s="226"/>
    </row>
    <row r="15614" spans="16:21" x14ac:dyDescent="0.35">
      <c r="P15614" s="226"/>
      <c r="Q15614" s="226"/>
      <c r="R15614" s="226"/>
      <c r="S15614" s="226"/>
      <c r="T15614" s="226"/>
      <c r="U15614" s="226"/>
    </row>
    <row r="15615" spans="16:21" x14ac:dyDescent="0.35">
      <c r="P15615" s="226"/>
      <c r="Q15615" s="226"/>
      <c r="R15615" s="226"/>
      <c r="S15615" s="226"/>
      <c r="T15615" s="226"/>
      <c r="U15615" s="226"/>
    </row>
    <row r="15616" spans="16:21" x14ac:dyDescent="0.35">
      <c r="P15616" s="226"/>
      <c r="Q15616" s="226"/>
      <c r="R15616" s="226"/>
      <c r="S15616" s="226"/>
      <c r="T15616" s="226"/>
      <c r="U15616" s="226"/>
    </row>
    <row r="15617" spans="16:21" x14ac:dyDescent="0.35">
      <c r="P15617" s="226"/>
      <c r="Q15617" s="226"/>
      <c r="R15617" s="226"/>
      <c r="S15617" s="226"/>
      <c r="T15617" s="226"/>
      <c r="U15617" s="226"/>
    </row>
    <row r="15618" spans="16:21" x14ac:dyDescent="0.35">
      <c r="P15618" s="226"/>
      <c r="Q15618" s="226"/>
      <c r="R15618" s="226"/>
      <c r="S15618" s="226"/>
      <c r="T15618" s="226"/>
      <c r="U15618" s="226"/>
    </row>
    <row r="15619" spans="16:21" x14ac:dyDescent="0.35">
      <c r="P15619" s="226"/>
      <c r="Q15619" s="226"/>
      <c r="R15619" s="226"/>
      <c r="S15619" s="226"/>
      <c r="T15619" s="226"/>
      <c r="U15619" s="226"/>
    </row>
    <row r="15620" spans="16:21" x14ac:dyDescent="0.35">
      <c r="P15620" s="226"/>
      <c r="Q15620" s="226"/>
      <c r="R15620" s="226"/>
      <c r="S15620" s="226"/>
      <c r="T15620" s="226"/>
      <c r="U15620" s="226"/>
    </row>
    <row r="15621" spans="16:21" x14ac:dyDescent="0.35">
      <c r="P15621" s="226"/>
      <c r="Q15621" s="226"/>
      <c r="R15621" s="226"/>
      <c r="S15621" s="226"/>
      <c r="T15621" s="226"/>
      <c r="U15621" s="226"/>
    </row>
    <row r="15622" spans="16:21" x14ac:dyDescent="0.35">
      <c r="P15622" s="226"/>
      <c r="Q15622" s="226"/>
      <c r="R15622" s="226"/>
      <c r="S15622" s="226"/>
      <c r="T15622" s="226"/>
      <c r="U15622" s="226"/>
    </row>
    <row r="15623" spans="16:21" x14ac:dyDescent="0.35">
      <c r="P15623" s="226"/>
      <c r="Q15623" s="226"/>
      <c r="R15623" s="226"/>
      <c r="S15623" s="226"/>
      <c r="T15623" s="226"/>
      <c r="U15623" s="226"/>
    </row>
    <row r="15624" spans="16:21" x14ac:dyDescent="0.35">
      <c r="P15624" s="226"/>
      <c r="Q15624" s="226"/>
      <c r="R15624" s="226"/>
      <c r="S15624" s="226"/>
      <c r="T15624" s="226"/>
      <c r="U15624" s="226"/>
    </row>
    <row r="15625" spans="16:21" x14ac:dyDescent="0.35">
      <c r="P15625" s="226"/>
      <c r="Q15625" s="226"/>
      <c r="R15625" s="226"/>
      <c r="S15625" s="226"/>
      <c r="T15625" s="226"/>
      <c r="U15625" s="226"/>
    </row>
    <row r="15626" spans="16:21" x14ac:dyDescent="0.35">
      <c r="P15626" s="226"/>
      <c r="Q15626" s="226"/>
      <c r="R15626" s="226"/>
      <c r="S15626" s="226"/>
      <c r="T15626" s="226"/>
      <c r="U15626" s="226"/>
    </row>
    <row r="15627" spans="16:21" x14ac:dyDescent="0.35">
      <c r="P15627" s="226"/>
      <c r="Q15627" s="226"/>
      <c r="R15627" s="226"/>
      <c r="S15627" s="226"/>
      <c r="T15627" s="226"/>
      <c r="U15627" s="226"/>
    </row>
    <row r="15628" spans="16:21" x14ac:dyDescent="0.35">
      <c r="P15628" s="226"/>
      <c r="Q15628" s="226"/>
      <c r="R15628" s="226"/>
      <c r="S15628" s="226"/>
      <c r="T15628" s="226"/>
      <c r="U15628" s="226"/>
    </row>
    <row r="15629" spans="16:21" x14ac:dyDescent="0.35">
      <c r="P15629" s="226"/>
      <c r="Q15629" s="226"/>
      <c r="R15629" s="226"/>
      <c r="S15629" s="226"/>
      <c r="T15629" s="226"/>
      <c r="U15629" s="226"/>
    </row>
    <row r="15630" spans="16:21" x14ac:dyDescent="0.35">
      <c r="P15630" s="226"/>
      <c r="Q15630" s="226"/>
      <c r="R15630" s="226"/>
      <c r="S15630" s="226"/>
      <c r="T15630" s="226"/>
      <c r="U15630" s="226"/>
    </row>
    <row r="15631" spans="16:21" x14ac:dyDescent="0.35">
      <c r="P15631" s="226"/>
      <c r="Q15631" s="226"/>
      <c r="R15631" s="226"/>
      <c r="S15631" s="226"/>
      <c r="T15631" s="226"/>
      <c r="U15631" s="226"/>
    </row>
    <row r="15632" spans="16:21" x14ac:dyDescent="0.35">
      <c r="P15632" s="226"/>
      <c r="Q15632" s="226"/>
      <c r="R15632" s="226"/>
      <c r="S15632" s="226"/>
      <c r="T15632" s="226"/>
      <c r="U15632" s="226"/>
    </row>
    <row r="15633" spans="16:21" x14ac:dyDescent="0.35">
      <c r="P15633" s="226"/>
      <c r="Q15633" s="226"/>
      <c r="R15633" s="226"/>
      <c r="S15633" s="226"/>
      <c r="T15633" s="226"/>
      <c r="U15633" s="226"/>
    </row>
    <row r="15634" spans="16:21" x14ac:dyDescent="0.35">
      <c r="P15634" s="226"/>
      <c r="Q15634" s="226"/>
      <c r="R15634" s="226"/>
      <c r="S15634" s="226"/>
      <c r="T15634" s="226"/>
      <c r="U15634" s="226"/>
    </row>
    <row r="15635" spans="16:21" x14ac:dyDescent="0.35">
      <c r="P15635" s="226"/>
      <c r="Q15635" s="226"/>
      <c r="R15635" s="226"/>
      <c r="S15635" s="226"/>
      <c r="T15635" s="226"/>
      <c r="U15635" s="226"/>
    </row>
    <row r="15636" spans="16:21" x14ac:dyDescent="0.35">
      <c r="P15636" s="226"/>
      <c r="Q15636" s="226"/>
      <c r="R15636" s="226"/>
      <c r="S15636" s="226"/>
      <c r="T15636" s="226"/>
      <c r="U15636" s="226"/>
    </row>
    <row r="15637" spans="16:21" x14ac:dyDescent="0.35">
      <c r="P15637" s="226"/>
      <c r="Q15637" s="226"/>
      <c r="R15637" s="226"/>
      <c r="S15637" s="226"/>
      <c r="T15637" s="226"/>
      <c r="U15637" s="226"/>
    </row>
    <row r="15638" spans="16:21" x14ac:dyDescent="0.35">
      <c r="P15638" s="226"/>
      <c r="Q15638" s="226"/>
      <c r="R15638" s="226"/>
      <c r="S15638" s="226"/>
      <c r="T15638" s="226"/>
      <c r="U15638" s="226"/>
    </row>
    <row r="15639" spans="16:21" x14ac:dyDescent="0.35">
      <c r="P15639" s="226"/>
      <c r="Q15639" s="226"/>
      <c r="R15639" s="226"/>
      <c r="S15639" s="226"/>
      <c r="T15639" s="226"/>
      <c r="U15639" s="226"/>
    </row>
    <row r="15640" spans="16:21" x14ac:dyDescent="0.35">
      <c r="P15640" s="226"/>
      <c r="Q15640" s="226"/>
      <c r="R15640" s="226"/>
      <c r="S15640" s="226"/>
      <c r="T15640" s="226"/>
      <c r="U15640" s="226"/>
    </row>
    <row r="15641" spans="16:21" x14ac:dyDescent="0.35">
      <c r="P15641" s="226"/>
      <c r="Q15641" s="226"/>
      <c r="R15641" s="226"/>
      <c r="S15641" s="226"/>
      <c r="T15641" s="226"/>
      <c r="U15641" s="226"/>
    </row>
    <row r="15642" spans="16:21" x14ac:dyDescent="0.35">
      <c r="P15642" s="226"/>
      <c r="Q15642" s="226"/>
      <c r="R15642" s="226"/>
      <c r="S15642" s="226"/>
      <c r="T15642" s="226"/>
      <c r="U15642" s="226"/>
    </row>
    <row r="15643" spans="16:21" x14ac:dyDescent="0.35">
      <c r="P15643" s="226"/>
      <c r="Q15643" s="226"/>
      <c r="R15643" s="226"/>
      <c r="S15643" s="226"/>
      <c r="T15643" s="226"/>
      <c r="U15643" s="226"/>
    </row>
    <row r="15644" spans="16:21" x14ac:dyDescent="0.35">
      <c r="P15644" s="226"/>
      <c r="Q15644" s="226"/>
      <c r="R15644" s="226"/>
      <c r="S15644" s="226"/>
      <c r="T15644" s="226"/>
      <c r="U15644" s="226"/>
    </row>
    <row r="15645" spans="16:21" x14ac:dyDescent="0.35">
      <c r="P15645" s="226"/>
      <c r="Q15645" s="226"/>
      <c r="R15645" s="226"/>
      <c r="S15645" s="226"/>
      <c r="T15645" s="226"/>
      <c r="U15645" s="226"/>
    </row>
    <row r="15646" spans="16:21" x14ac:dyDescent="0.35">
      <c r="P15646" s="226"/>
      <c r="Q15646" s="226"/>
      <c r="R15646" s="226"/>
      <c r="S15646" s="226"/>
      <c r="T15646" s="226"/>
      <c r="U15646" s="226"/>
    </row>
    <row r="15647" spans="16:21" x14ac:dyDescent="0.35">
      <c r="P15647" s="226"/>
      <c r="Q15647" s="226"/>
      <c r="R15647" s="226"/>
      <c r="S15647" s="226"/>
      <c r="T15647" s="226"/>
      <c r="U15647" s="226"/>
    </row>
    <row r="15648" spans="16:21" x14ac:dyDescent="0.35">
      <c r="P15648" s="226"/>
      <c r="Q15648" s="226"/>
      <c r="R15648" s="226"/>
      <c r="S15648" s="226"/>
      <c r="T15648" s="226"/>
      <c r="U15648" s="226"/>
    </row>
    <row r="15649" spans="16:21" x14ac:dyDescent="0.35">
      <c r="P15649" s="226"/>
      <c r="Q15649" s="226"/>
      <c r="R15649" s="226"/>
      <c r="S15649" s="226"/>
      <c r="T15649" s="226"/>
      <c r="U15649" s="226"/>
    </row>
    <row r="15650" spans="16:21" x14ac:dyDescent="0.35">
      <c r="P15650" s="226"/>
      <c r="Q15650" s="226"/>
      <c r="R15650" s="226"/>
      <c r="S15650" s="226"/>
      <c r="T15650" s="226"/>
      <c r="U15650" s="226"/>
    </row>
    <row r="15651" spans="16:21" x14ac:dyDescent="0.35">
      <c r="P15651" s="226"/>
      <c r="Q15651" s="226"/>
      <c r="R15651" s="226"/>
      <c r="S15651" s="226"/>
      <c r="T15651" s="226"/>
      <c r="U15651" s="226"/>
    </row>
    <row r="15652" spans="16:21" x14ac:dyDescent="0.35">
      <c r="P15652" s="226"/>
      <c r="Q15652" s="226"/>
      <c r="R15652" s="226"/>
      <c r="S15652" s="226"/>
      <c r="T15652" s="226"/>
      <c r="U15652" s="226"/>
    </row>
    <row r="15653" spans="16:21" x14ac:dyDescent="0.35">
      <c r="P15653" s="226"/>
      <c r="Q15653" s="226"/>
      <c r="R15653" s="226"/>
      <c r="S15653" s="226"/>
      <c r="T15653" s="226"/>
      <c r="U15653" s="226"/>
    </row>
    <row r="15654" spans="16:21" x14ac:dyDescent="0.35">
      <c r="P15654" s="226"/>
      <c r="Q15654" s="226"/>
      <c r="R15654" s="226"/>
      <c r="S15654" s="226"/>
      <c r="T15654" s="226"/>
      <c r="U15654" s="226"/>
    </row>
    <row r="15655" spans="16:21" x14ac:dyDescent="0.35">
      <c r="P15655" s="226"/>
      <c r="Q15655" s="226"/>
      <c r="R15655" s="226"/>
      <c r="S15655" s="226"/>
      <c r="T15655" s="226"/>
      <c r="U15655" s="226"/>
    </row>
    <row r="15656" spans="16:21" x14ac:dyDescent="0.35">
      <c r="P15656" s="226"/>
      <c r="Q15656" s="226"/>
      <c r="R15656" s="226"/>
      <c r="S15656" s="226"/>
      <c r="T15656" s="226"/>
      <c r="U15656" s="226"/>
    </row>
    <row r="15657" spans="16:21" x14ac:dyDescent="0.35">
      <c r="P15657" s="226"/>
      <c r="Q15657" s="226"/>
      <c r="R15657" s="226"/>
      <c r="S15657" s="226"/>
      <c r="T15657" s="226"/>
      <c r="U15657" s="226"/>
    </row>
    <row r="15658" spans="16:21" x14ac:dyDescent="0.35">
      <c r="P15658" s="226"/>
      <c r="Q15658" s="226"/>
      <c r="R15658" s="226"/>
      <c r="S15658" s="226"/>
      <c r="T15658" s="226"/>
      <c r="U15658" s="226"/>
    </row>
    <row r="15659" spans="16:21" x14ac:dyDescent="0.35">
      <c r="P15659" s="226"/>
      <c r="Q15659" s="226"/>
      <c r="R15659" s="226"/>
      <c r="S15659" s="226"/>
      <c r="T15659" s="226"/>
      <c r="U15659" s="226"/>
    </row>
    <row r="15660" spans="16:21" x14ac:dyDescent="0.35">
      <c r="P15660" s="226"/>
      <c r="Q15660" s="226"/>
      <c r="R15660" s="226"/>
      <c r="S15660" s="226"/>
      <c r="T15660" s="226"/>
      <c r="U15660" s="226"/>
    </row>
    <row r="15661" spans="16:21" x14ac:dyDescent="0.35">
      <c r="P15661" s="226"/>
      <c r="Q15661" s="226"/>
      <c r="R15661" s="226"/>
      <c r="S15661" s="226"/>
      <c r="T15661" s="226"/>
      <c r="U15661" s="226"/>
    </row>
    <row r="15662" spans="16:21" x14ac:dyDescent="0.35">
      <c r="P15662" s="226"/>
      <c r="Q15662" s="226"/>
      <c r="R15662" s="226"/>
      <c r="S15662" s="226"/>
      <c r="T15662" s="226"/>
      <c r="U15662" s="226"/>
    </row>
    <row r="15663" spans="16:21" x14ac:dyDescent="0.35">
      <c r="P15663" s="226"/>
      <c r="Q15663" s="226"/>
      <c r="R15663" s="226"/>
      <c r="S15663" s="226"/>
      <c r="T15663" s="226"/>
      <c r="U15663" s="226"/>
    </row>
    <row r="15664" spans="16:21" x14ac:dyDescent="0.35">
      <c r="P15664" s="226"/>
      <c r="Q15664" s="226"/>
      <c r="R15664" s="226"/>
      <c r="S15664" s="226"/>
      <c r="T15664" s="226"/>
      <c r="U15664" s="226"/>
    </row>
    <row r="15665" spans="16:21" x14ac:dyDescent="0.35">
      <c r="P15665" s="226"/>
      <c r="Q15665" s="226"/>
      <c r="R15665" s="226"/>
      <c r="S15665" s="226"/>
      <c r="T15665" s="226"/>
      <c r="U15665" s="226"/>
    </row>
    <row r="15666" spans="16:21" x14ac:dyDescent="0.35">
      <c r="P15666" s="226"/>
      <c r="Q15666" s="226"/>
      <c r="R15666" s="226"/>
      <c r="S15666" s="226"/>
      <c r="T15666" s="226"/>
      <c r="U15666" s="226"/>
    </row>
    <row r="15667" spans="16:21" x14ac:dyDescent="0.35">
      <c r="P15667" s="226"/>
      <c r="Q15667" s="226"/>
      <c r="R15667" s="226"/>
      <c r="S15667" s="226"/>
      <c r="T15667" s="226"/>
      <c r="U15667" s="226"/>
    </row>
    <row r="15668" spans="16:21" x14ac:dyDescent="0.35">
      <c r="P15668" s="226"/>
      <c r="Q15668" s="226"/>
      <c r="R15668" s="226"/>
      <c r="S15668" s="226"/>
      <c r="T15668" s="226"/>
      <c r="U15668" s="226"/>
    </row>
    <row r="15669" spans="16:21" x14ac:dyDescent="0.35">
      <c r="P15669" s="226"/>
      <c r="Q15669" s="226"/>
      <c r="R15669" s="226"/>
      <c r="S15669" s="226"/>
      <c r="T15669" s="226"/>
      <c r="U15669" s="226"/>
    </row>
    <row r="15670" spans="16:21" x14ac:dyDescent="0.35">
      <c r="P15670" s="226"/>
      <c r="Q15670" s="226"/>
      <c r="R15670" s="226"/>
      <c r="S15670" s="226"/>
      <c r="T15670" s="226"/>
      <c r="U15670" s="226"/>
    </row>
    <row r="15671" spans="16:21" x14ac:dyDescent="0.35">
      <c r="P15671" s="226"/>
      <c r="Q15671" s="226"/>
      <c r="R15671" s="226"/>
      <c r="S15671" s="226"/>
      <c r="T15671" s="226"/>
      <c r="U15671" s="226"/>
    </row>
    <row r="15672" spans="16:21" x14ac:dyDescent="0.35">
      <c r="P15672" s="226"/>
      <c r="Q15672" s="226"/>
      <c r="R15672" s="226"/>
      <c r="S15672" s="226"/>
      <c r="T15672" s="226"/>
      <c r="U15672" s="226"/>
    </row>
    <row r="15673" spans="16:21" x14ac:dyDescent="0.35">
      <c r="P15673" s="226"/>
      <c r="Q15673" s="226"/>
      <c r="R15673" s="226"/>
      <c r="S15673" s="226"/>
      <c r="T15673" s="226"/>
      <c r="U15673" s="226"/>
    </row>
    <row r="15674" spans="16:21" x14ac:dyDescent="0.35">
      <c r="P15674" s="226"/>
      <c r="Q15674" s="226"/>
      <c r="R15674" s="226"/>
      <c r="S15674" s="226"/>
      <c r="T15674" s="226"/>
      <c r="U15674" s="226"/>
    </row>
    <row r="15675" spans="16:21" x14ac:dyDescent="0.35">
      <c r="P15675" s="226"/>
      <c r="Q15675" s="226"/>
      <c r="R15675" s="226"/>
      <c r="S15675" s="226"/>
      <c r="T15675" s="226"/>
      <c r="U15675" s="226"/>
    </row>
    <row r="15676" spans="16:21" x14ac:dyDescent="0.35">
      <c r="P15676" s="226"/>
      <c r="Q15676" s="226"/>
      <c r="R15676" s="226"/>
      <c r="S15676" s="226"/>
      <c r="T15676" s="226"/>
      <c r="U15676" s="226"/>
    </row>
    <row r="15677" spans="16:21" x14ac:dyDescent="0.35">
      <c r="P15677" s="226"/>
      <c r="Q15677" s="226"/>
      <c r="R15677" s="226"/>
      <c r="S15677" s="226"/>
      <c r="T15677" s="226"/>
      <c r="U15677" s="226"/>
    </row>
    <row r="15678" spans="16:21" x14ac:dyDescent="0.35">
      <c r="P15678" s="226"/>
      <c r="Q15678" s="226"/>
      <c r="R15678" s="226"/>
      <c r="S15678" s="226"/>
      <c r="T15678" s="226"/>
      <c r="U15678" s="226"/>
    </row>
    <row r="15679" spans="16:21" x14ac:dyDescent="0.35">
      <c r="P15679" s="226"/>
      <c r="Q15679" s="226"/>
      <c r="R15679" s="226"/>
      <c r="S15679" s="226"/>
      <c r="T15679" s="226"/>
      <c r="U15679" s="226"/>
    </row>
    <row r="15680" spans="16:21" x14ac:dyDescent="0.35">
      <c r="P15680" s="226"/>
      <c r="Q15680" s="226"/>
      <c r="R15680" s="226"/>
      <c r="S15680" s="226"/>
      <c r="T15680" s="226"/>
      <c r="U15680" s="226"/>
    </row>
    <row r="15681" spans="16:21" x14ac:dyDescent="0.35">
      <c r="P15681" s="226"/>
      <c r="Q15681" s="226"/>
      <c r="R15681" s="226"/>
      <c r="S15681" s="226"/>
      <c r="T15681" s="226"/>
      <c r="U15681" s="226"/>
    </row>
    <row r="15682" spans="16:21" x14ac:dyDescent="0.35">
      <c r="P15682" s="226"/>
      <c r="Q15682" s="226"/>
      <c r="R15682" s="226"/>
      <c r="S15682" s="226"/>
      <c r="T15682" s="226"/>
      <c r="U15682" s="226"/>
    </row>
    <row r="15683" spans="16:21" x14ac:dyDescent="0.35">
      <c r="P15683" s="226"/>
      <c r="Q15683" s="226"/>
      <c r="R15683" s="226"/>
      <c r="S15683" s="226"/>
      <c r="T15683" s="226"/>
      <c r="U15683" s="226"/>
    </row>
    <row r="15684" spans="16:21" x14ac:dyDescent="0.35">
      <c r="P15684" s="226"/>
      <c r="Q15684" s="226"/>
      <c r="R15684" s="226"/>
      <c r="S15684" s="226"/>
      <c r="T15684" s="226"/>
      <c r="U15684" s="226"/>
    </row>
    <row r="15685" spans="16:21" x14ac:dyDescent="0.35">
      <c r="P15685" s="226"/>
      <c r="Q15685" s="226"/>
      <c r="R15685" s="226"/>
      <c r="S15685" s="226"/>
      <c r="T15685" s="226"/>
      <c r="U15685" s="226"/>
    </row>
    <row r="15686" spans="16:21" x14ac:dyDescent="0.35">
      <c r="P15686" s="226"/>
      <c r="Q15686" s="226"/>
      <c r="R15686" s="226"/>
      <c r="S15686" s="226"/>
      <c r="T15686" s="226"/>
      <c r="U15686" s="226"/>
    </row>
    <row r="15687" spans="16:21" x14ac:dyDescent="0.35">
      <c r="P15687" s="226"/>
      <c r="Q15687" s="226"/>
      <c r="R15687" s="226"/>
      <c r="S15687" s="226"/>
      <c r="T15687" s="226"/>
      <c r="U15687" s="226"/>
    </row>
    <row r="15688" spans="16:21" x14ac:dyDescent="0.35">
      <c r="P15688" s="226"/>
      <c r="Q15688" s="226"/>
      <c r="R15688" s="226"/>
      <c r="S15688" s="226"/>
      <c r="T15688" s="226"/>
      <c r="U15688" s="226"/>
    </row>
    <row r="15689" spans="16:21" x14ac:dyDescent="0.35">
      <c r="P15689" s="226"/>
      <c r="Q15689" s="226"/>
      <c r="R15689" s="226"/>
      <c r="S15689" s="226"/>
      <c r="T15689" s="226"/>
      <c r="U15689" s="226"/>
    </row>
    <row r="15690" spans="16:21" x14ac:dyDescent="0.35">
      <c r="P15690" s="226"/>
      <c r="Q15690" s="226"/>
      <c r="R15690" s="226"/>
      <c r="S15690" s="226"/>
      <c r="T15690" s="226"/>
      <c r="U15690" s="226"/>
    </row>
    <row r="15691" spans="16:21" x14ac:dyDescent="0.35">
      <c r="P15691" s="226"/>
      <c r="Q15691" s="226"/>
      <c r="R15691" s="226"/>
      <c r="S15691" s="226"/>
      <c r="T15691" s="226"/>
      <c r="U15691" s="226"/>
    </row>
    <row r="15692" spans="16:21" x14ac:dyDescent="0.35">
      <c r="P15692" s="226"/>
      <c r="Q15692" s="226"/>
      <c r="R15692" s="226"/>
      <c r="S15692" s="226"/>
      <c r="T15692" s="226"/>
      <c r="U15692" s="226"/>
    </row>
    <row r="15693" spans="16:21" x14ac:dyDescent="0.35">
      <c r="P15693" s="226"/>
      <c r="Q15693" s="226"/>
      <c r="R15693" s="226"/>
      <c r="S15693" s="226"/>
      <c r="T15693" s="226"/>
      <c r="U15693" s="226"/>
    </row>
    <row r="15694" spans="16:21" x14ac:dyDescent="0.35">
      <c r="P15694" s="226"/>
      <c r="Q15694" s="226"/>
      <c r="R15694" s="226"/>
      <c r="S15694" s="226"/>
      <c r="T15694" s="226"/>
      <c r="U15694" s="226"/>
    </row>
    <row r="15695" spans="16:21" x14ac:dyDescent="0.35">
      <c r="P15695" s="226"/>
      <c r="Q15695" s="226"/>
      <c r="R15695" s="226"/>
      <c r="S15695" s="226"/>
      <c r="T15695" s="226"/>
      <c r="U15695" s="226"/>
    </row>
    <row r="15696" spans="16:21" x14ac:dyDescent="0.35">
      <c r="P15696" s="226"/>
      <c r="Q15696" s="226"/>
      <c r="R15696" s="226"/>
      <c r="S15696" s="226"/>
      <c r="T15696" s="226"/>
      <c r="U15696" s="226"/>
    </row>
    <row r="15697" spans="16:21" x14ac:dyDescent="0.35">
      <c r="P15697" s="226"/>
      <c r="Q15697" s="226"/>
      <c r="R15697" s="226"/>
      <c r="S15697" s="226"/>
      <c r="T15697" s="226"/>
      <c r="U15697" s="226"/>
    </row>
    <row r="15698" spans="16:21" x14ac:dyDescent="0.35">
      <c r="P15698" s="226"/>
      <c r="Q15698" s="226"/>
      <c r="R15698" s="226"/>
      <c r="S15698" s="226"/>
      <c r="T15698" s="226"/>
      <c r="U15698" s="226"/>
    </row>
    <row r="15699" spans="16:21" x14ac:dyDescent="0.35">
      <c r="P15699" s="226"/>
      <c r="Q15699" s="226"/>
      <c r="R15699" s="226"/>
      <c r="S15699" s="226"/>
      <c r="T15699" s="226"/>
      <c r="U15699" s="226"/>
    </row>
    <row r="15700" spans="16:21" x14ac:dyDescent="0.35">
      <c r="P15700" s="226"/>
      <c r="Q15700" s="226"/>
      <c r="R15700" s="226"/>
      <c r="S15700" s="226"/>
      <c r="T15700" s="226"/>
      <c r="U15700" s="226"/>
    </row>
    <row r="15701" spans="16:21" x14ac:dyDescent="0.35">
      <c r="P15701" s="226"/>
      <c r="Q15701" s="226"/>
      <c r="R15701" s="226"/>
      <c r="S15701" s="226"/>
      <c r="T15701" s="226"/>
      <c r="U15701" s="226"/>
    </row>
    <row r="15702" spans="16:21" x14ac:dyDescent="0.35">
      <c r="P15702" s="226"/>
      <c r="Q15702" s="226"/>
      <c r="R15702" s="226"/>
      <c r="S15702" s="226"/>
      <c r="T15702" s="226"/>
      <c r="U15702" s="226"/>
    </row>
    <row r="15703" spans="16:21" x14ac:dyDescent="0.35">
      <c r="P15703" s="226"/>
      <c r="Q15703" s="226"/>
      <c r="R15703" s="226"/>
      <c r="S15703" s="226"/>
      <c r="T15703" s="226"/>
      <c r="U15703" s="226"/>
    </row>
    <row r="15704" spans="16:21" x14ac:dyDescent="0.35">
      <c r="P15704" s="226"/>
      <c r="Q15704" s="226"/>
      <c r="R15704" s="226"/>
      <c r="S15704" s="226"/>
      <c r="T15704" s="226"/>
      <c r="U15704" s="226"/>
    </row>
    <row r="15705" spans="16:21" x14ac:dyDescent="0.35">
      <c r="P15705" s="226"/>
      <c r="Q15705" s="226"/>
      <c r="R15705" s="226"/>
      <c r="S15705" s="226"/>
      <c r="T15705" s="226"/>
      <c r="U15705" s="226"/>
    </row>
    <row r="15706" spans="16:21" x14ac:dyDescent="0.35">
      <c r="P15706" s="226"/>
      <c r="Q15706" s="226"/>
      <c r="R15706" s="226"/>
      <c r="S15706" s="226"/>
      <c r="T15706" s="226"/>
      <c r="U15706" s="226"/>
    </row>
    <row r="15707" spans="16:21" x14ac:dyDescent="0.35">
      <c r="P15707" s="226"/>
      <c r="Q15707" s="226"/>
      <c r="R15707" s="226"/>
      <c r="S15707" s="226"/>
      <c r="T15707" s="226"/>
      <c r="U15707" s="226"/>
    </row>
    <row r="15708" spans="16:21" x14ac:dyDescent="0.35">
      <c r="P15708" s="226"/>
      <c r="Q15708" s="226"/>
      <c r="R15708" s="226"/>
      <c r="S15708" s="226"/>
      <c r="T15708" s="226"/>
      <c r="U15708" s="226"/>
    </row>
    <row r="15709" spans="16:21" x14ac:dyDescent="0.35">
      <c r="P15709" s="226"/>
      <c r="Q15709" s="226"/>
      <c r="R15709" s="226"/>
      <c r="S15709" s="226"/>
      <c r="T15709" s="226"/>
      <c r="U15709" s="226"/>
    </row>
    <row r="15710" spans="16:21" x14ac:dyDescent="0.35">
      <c r="P15710" s="226"/>
      <c r="Q15710" s="226"/>
      <c r="R15710" s="226"/>
      <c r="S15710" s="226"/>
      <c r="T15710" s="226"/>
      <c r="U15710" s="226"/>
    </row>
    <row r="15711" spans="16:21" x14ac:dyDescent="0.35">
      <c r="P15711" s="226"/>
      <c r="Q15711" s="226"/>
      <c r="R15711" s="226"/>
      <c r="S15711" s="226"/>
      <c r="T15711" s="226"/>
      <c r="U15711" s="226"/>
    </row>
    <row r="15712" spans="16:21" x14ac:dyDescent="0.35">
      <c r="P15712" s="226"/>
      <c r="Q15712" s="226"/>
      <c r="R15712" s="226"/>
      <c r="S15712" s="226"/>
      <c r="T15712" s="226"/>
      <c r="U15712" s="226"/>
    </row>
    <row r="15713" spans="16:21" x14ac:dyDescent="0.35">
      <c r="P15713" s="226"/>
      <c r="Q15713" s="226"/>
      <c r="R15713" s="226"/>
      <c r="S15713" s="226"/>
      <c r="T15713" s="226"/>
      <c r="U15713" s="226"/>
    </row>
    <row r="15714" spans="16:21" x14ac:dyDescent="0.35">
      <c r="P15714" s="226"/>
      <c r="Q15714" s="226"/>
      <c r="R15714" s="226"/>
      <c r="S15714" s="226"/>
      <c r="T15714" s="226"/>
      <c r="U15714" s="226"/>
    </row>
    <row r="15715" spans="16:21" x14ac:dyDescent="0.35">
      <c r="P15715" s="226"/>
      <c r="Q15715" s="226"/>
      <c r="R15715" s="226"/>
      <c r="S15715" s="226"/>
      <c r="T15715" s="226"/>
      <c r="U15715" s="226"/>
    </row>
    <row r="15716" spans="16:21" x14ac:dyDescent="0.35">
      <c r="P15716" s="226"/>
      <c r="Q15716" s="226"/>
      <c r="R15716" s="226"/>
      <c r="S15716" s="226"/>
      <c r="T15716" s="226"/>
      <c r="U15716" s="226"/>
    </row>
    <row r="15717" spans="16:21" x14ac:dyDescent="0.35">
      <c r="P15717" s="226"/>
      <c r="Q15717" s="226"/>
      <c r="R15717" s="226"/>
      <c r="S15717" s="226"/>
      <c r="T15717" s="226"/>
      <c r="U15717" s="226"/>
    </row>
    <row r="15718" spans="16:21" x14ac:dyDescent="0.35">
      <c r="P15718" s="226"/>
      <c r="Q15718" s="226"/>
      <c r="R15718" s="226"/>
      <c r="S15718" s="226"/>
      <c r="T15718" s="226"/>
      <c r="U15718" s="226"/>
    </row>
    <row r="15719" spans="16:21" x14ac:dyDescent="0.35">
      <c r="P15719" s="226"/>
      <c r="Q15719" s="226"/>
      <c r="R15719" s="226"/>
      <c r="S15719" s="226"/>
      <c r="T15719" s="226"/>
      <c r="U15719" s="226"/>
    </row>
    <row r="15720" spans="16:21" x14ac:dyDescent="0.35">
      <c r="P15720" s="226"/>
      <c r="Q15720" s="226"/>
      <c r="R15720" s="226"/>
      <c r="S15720" s="226"/>
      <c r="T15720" s="226"/>
      <c r="U15720" s="226"/>
    </row>
    <row r="15721" spans="16:21" x14ac:dyDescent="0.35">
      <c r="P15721" s="226"/>
      <c r="Q15721" s="226"/>
      <c r="R15721" s="226"/>
      <c r="S15721" s="226"/>
      <c r="T15721" s="226"/>
      <c r="U15721" s="226"/>
    </row>
    <row r="15722" spans="16:21" x14ac:dyDescent="0.35">
      <c r="P15722" s="226"/>
      <c r="Q15722" s="226"/>
      <c r="R15722" s="226"/>
      <c r="S15722" s="226"/>
      <c r="T15722" s="226"/>
      <c r="U15722" s="226"/>
    </row>
    <row r="15723" spans="16:21" x14ac:dyDescent="0.35">
      <c r="P15723" s="226"/>
      <c r="Q15723" s="226"/>
      <c r="R15723" s="226"/>
      <c r="S15723" s="226"/>
      <c r="T15723" s="226"/>
      <c r="U15723" s="226"/>
    </row>
    <row r="15724" spans="16:21" x14ac:dyDescent="0.35">
      <c r="P15724" s="226"/>
      <c r="Q15724" s="226"/>
      <c r="R15724" s="226"/>
      <c r="S15724" s="226"/>
      <c r="T15724" s="226"/>
      <c r="U15724" s="226"/>
    </row>
    <row r="15725" spans="16:21" x14ac:dyDescent="0.35">
      <c r="P15725" s="226"/>
      <c r="Q15725" s="226"/>
      <c r="R15725" s="226"/>
      <c r="S15725" s="226"/>
      <c r="T15725" s="226"/>
      <c r="U15725" s="226"/>
    </row>
    <row r="15726" spans="16:21" x14ac:dyDescent="0.35">
      <c r="P15726" s="226"/>
      <c r="Q15726" s="226"/>
      <c r="R15726" s="226"/>
      <c r="S15726" s="226"/>
      <c r="T15726" s="226"/>
      <c r="U15726" s="226"/>
    </row>
    <row r="15727" spans="16:21" x14ac:dyDescent="0.35">
      <c r="P15727" s="226"/>
      <c r="Q15727" s="226"/>
      <c r="R15727" s="226"/>
      <c r="S15727" s="226"/>
      <c r="T15727" s="226"/>
      <c r="U15727" s="226"/>
    </row>
    <row r="15728" spans="16:21" x14ac:dyDescent="0.35">
      <c r="P15728" s="226"/>
      <c r="Q15728" s="226"/>
      <c r="R15728" s="226"/>
      <c r="S15728" s="226"/>
      <c r="T15728" s="226"/>
      <c r="U15728" s="226"/>
    </row>
    <row r="15729" spans="16:21" x14ac:dyDescent="0.35">
      <c r="P15729" s="226"/>
      <c r="Q15729" s="226"/>
      <c r="R15729" s="226"/>
      <c r="S15729" s="226"/>
      <c r="T15729" s="226"/>
      <c r="U15729" s="226"/>
    </row>
    <row r="15730" spans="16:21" x14ac:dyDescent="0.35">
      <c r="P15730" s="226"/>
      <c r="Q15730" s="226"/>
      <c r="R15730" s="226"/>
      <c r="S15730" s="226"/>
      <c r="T15730" s="226"/>
      <c r="U15730" s="226"/>
    </row>
    <row r="15731" spans="16:21" x14ac:dyDescent="0.35">
      <c r="P15731" s="226"/>
      <c r="Q15731" s="226"/>
      <c r="R15731" s="226"/>
      <c r="S15731" s="226"/>
      <c r="T15731" s="226"/>
      <c r="U15731" s="226"/>
    </row>
    <row r="15732" spans="16:21" x14ac:dyDescent="0.35">
      <c r="P15732" s="226"/>
      <c r="Q15732" s="226"/>
      <c r="R15732" s="226"/>
      <c r="S15732" s="226"/>
      <c r="T15732" s="226"/>
      <c r="U15732" s="226"/>
    </row>
    <row r="15733" spans="16:21" x14ac:dyDescent="0.35">
      <c r="P15733" s="226"/>
      <c r="Q15733" s="226"/>
      <c r="R15733" s="226"/>
      <c r="S15733" s="226"/>
      <c r="T15733" s="226"/>
      <c r="U15733" s="226"/>
    </row>
    <row r="15734" spans="16:21" x14ac:dyDescent="0.35">
      <c r="P15734" s="226"/>
      <c r="Q15734" s="226"/>
      <c r="R15734" s="226"/>
      <c r="S15734" s="226"/>
      <c r="T15734" s="226"/>
      <c r="U15734" s="226"/>
    </row>
    <row r="15735" spans="16:21" x14ac:dyDescent="0.35">
      <c r="P15735" s="226"/>
      <c r="Q15735" s="226"/>
      <c r="R15735" s="226"/>
      <c r="S15735" s="226"/>
      <c r="T15735" s="226"/>
      <c r="U15735" s="226"/>
    </row>
    <row r="15736" spans="16:21" x14ac:dyDescent="0.35">
      <c r="P15736" s="226"/>
      <c r="Q15736" s="226"/>
      <c r="R15736" s="226"/>
      <c r="S15736" s="226"/>
      <c r="T15736" s="226"/>
      <c r="U15736" s="226"/>
    </row>
    <row r="15737" spans="16:21" x14ac:dyDescent="0.35">
      <c r="P15737" s="226"/>
      <c r="Q15737" s="226"/>
      <c r="R15737" s="226"/>
      <c r="S15737" s="226"/>
      <c r="T15737" s="226"/>
      <c r="U15737" s="226"/>
    </row>
    <row r="15738" spans="16:21" x14ac:dyDescent="0.35">
      <c r="P15738" s="226"/>
      <c r="Q15738" s="226"/>
      <c r="R15738" s="226"/>
      <c r="S15738" s="226"/>
      <c r="T15738" s="226"/>
      <c r="U15738" s="226"/>
    </row>
    <row r="15739" spans="16:21" x14ac:dyDescent="0.35">
      <c r="P15739" s="226"/>
      <c r="Q15739" s="226"/>
      <c r="R15739" s="226"/>
      <c r="S15739" s="226"/>
      <c r="T15739" s="226"/>
      <c r="U15739" s="226"/>
    </row>
    <row r="15740" spans="16:21" x14ac:dyDescent="0.35">
      <c r="P15740" s="226"/>
      <c r="Q15740" s="226"/>
      <c r="R15740" s="226"/>
      <c r="S15740" s="226"/>
      <c r="T15740" s="226"/>
      <c r="U15740" s="226"/>
    </row>
    <row r="15741" spans="16:21" x14ac:dyDescent="0.35">
      <c r="P15741" s="226"/>
      <c r="Q15741" s="226"/>
      <c r="R15741" s="226"/>
      <c r="S15741" s="226"/>
      <c r="T15741" s="226"/>
      <c r="U15741" s="226"/>
    </row>
    <row r="15742" spans="16:21" x14ac:dyDescent="0.35">
      <c r="P15742" s="226"/>
      <c r="Q15742" s="226"/>
      <c r="R15742" s="226"/>
      <c r="S15742" s="226"/>
      <c r="T15742" s="226"/>
      <c r="U15742" s="226"/>
    </row>
    <row r="15743" spans="16:21" x14ac:dyDescent="0.35">
      <c r="P15743" s="226"/>
      <c r="Q15743" s="226"/>
      <c r="R15743" s="226"/>
      <c r="S15743" s="226"/>
      <c r="T15743" s="226"/>
      <c r="U15743" s="226"/>
    </row>
    <row r="15744" spans="16:21" x14ac:dyDescent="0.35">
      <c r="P15744" s="226"/>
      <c r="Q15744" s="226"/>
      <c r="R15744" s="226"/>
      <c r="S15744" s="226"/>
      <c r="T15744" s="226"/>
      <c r="U15744" s="226"/>
    </row>
    <row r="15745" spans="16:21" x14ac:dyDescent="0.35">
      <c r="P15745" s="226"/>
      <c r="Q15745" s="226"/>
      <c r="R15745" s="226"/>
      <c r="S15745" s="226"/>
      <c r="T15745" s="226"/>
      <c r="U15745" s="226"/>
    </row>
    <row r="15746" spans="16:21" x14ac:dyDescent="0.35">
      <c r="P15746" s="226"/>
      <c r="Q15746" s="226"/>
      <c r="R15746" s="226"/>
      <c r="S15746" s="226"/>
      <c r="T15746" s="226"/>
      <c r="U15746" s="226"/>
    </row>
    <row r="15747" spans="16:21" x14ac:dyDescent="0.35">
      <c r="P15747" s="226"/>
      <c r="Q15747" s="226"/>
      <c r="R15747" s="226"/>
      <c r="S15747" s="226"/>
      <c r="T15747" s="226"/>
      <c r="U15747" s="226"/>
    </row>
    <row r="15748" spans="16:21" x14ac:dyDescent="0.35">
      <c r="P15748" s="226"/>
      <c r="Q15748" s="226"/>
      <c r="R15748" s="226"/>
      <c r="S15748" s="226"/>
      <c r="T15748" s="226"/>
      <c r="U15748" s="226"/>
    </row>
    <row r="15749" spans="16:21" x14ac:dyDescent="0.35">
      <c r="P15749" s="226"/>
      <c r="Q15749" s="226"/>
      <c r="R15749" s="226"/>
      <c r="S15749" s="226"/>
      <c r="T15749" s="226"/>
      <c r="U15749" s="226"/>
    </row>
    <row r="15750" spans="16:21" x14ac:dyDescent="0.35">
      <c r="P15750" s="226"/>
      <c r="Q15750" s="226"/>
      <c r="R15750" s="226"/>
      <c r="S15750" s="226"/>
      <c r="T15750" s="226"/>
      <c r="U15750" s="226"/>
    </row>
    <row r="15751" spans="16:21" x14ac:dyDescent="0.35">
      <c r="P15751" s="226"/>
      <c r="Q15751" s="226"/>
      <c r="R15751" s="226"/>
      <c r="S15751" s="226"/>
      <c r="T15751" s="226"/>
      <c r="U15751" s="226"/>
    </row>
    <row r="15752" spans="16:21" x14ac:dyDescent="0.35">
      <c r="P15752" s="226"/>
      <c r="Q15752" s="226"/>
      <c r="R15752" s="226"/>
      <c r="S15752" s="226"/>
      <c r="T15752" s="226"/>
      <c r="U15752" s="226"/>
    </row>
    <row r="15753" spans="16:21" x14ac:dyDescent="0.35">
      <c r="P15753" s="226"/>
      <c r="Q15753" s="226"/>
      <c r="R15753" s="226"/>
      <c r="S15753" s="226"/>
      <c r="T15753" s="226"/>
      <c r="U15753" s="226"/>
    </row>
    <row r="15754" spans="16:21" x14ac:dyDescent="0.35">
      <c r="P15754" s="226"/>
      <c r="Q15754" s="226"/>
      <c r="R15754" s="226"/>
      <c r="S15754" s="226"/>
      <c r="T15754" s="226"/>
      <c r="U15754" s="226"/>
    </row>
    <row r="15755" spans="16:21" x14ac:dyDescent="0.35">
      <c r="P15755" s="226"/>
      <c r="Q15755" s="226"/>
      <c r="R15755" s="226"/>
      <c r="S15755" s="226"/>
      <c r="T15755" s="226"/>
      <c r="U15755" s="226"/>
    </row>
    <row r="15756" spans="16:21" x14ac:dyDescent="0.35">
      <c r="P15756" s="226"/>
      <c r="Q15756" s="226"/>
      <c r="R15756" s="226"/>
      <c r="S15756" s="226"/>
      <c r="T15756" s="226"/>
      <c r="U15756" s="226"/>
    </row>
    <row r="15757" spans="16:21" x14ac:dyDescent="0.35">
      <c r="P15757" s="226"/>
      <c r="Q15757" s="226"/>
      <c r="R15757" s="226"/>
      <c r="S15757" s="226"/>
      <c r="T15757" s="226"/>
      <c r="U15757" s="226"/>
    </row>
    <row r="15758" spans="16:21" x14ac:dyDescent="0.35">
      <c r="P15758" s="226"/>
      <c r="Q15758" s="226"/>
      <c r="R15758" s="226"/>
      <c r="S15758" s="226"/>
      <c r="T15758" s="226"/>
      <c r="U15758" s="226"/>
    </row>
    <row r="15759" spans="16:21" x14ac:dyDescent="0.35">
      <c r="P15759" s="226"/>
      <c r="Q15759" s="226"/>
      <c r="R15759" s="226"/>
      <c r="S15759" s="226"/>
      <c r="T15759" s="226"/>
      <c r="U15759" s="226"/>
    </row>
    <row r="15760" spans="16:21" x14ac:dyDescent="0.35">
      <c r="P15760" s="226"/>
      <c r="Q15760" s="226"/>
      <c r="R15760" s="226"/>
      <c r="S15760" s="226"/>
      <c r="T15760" s="226"/>
      <c r="U15760" s="226"/>
    </row>
    <row r="15761" spans="16:21" x14ac:dyDescent="0.35">
      <c r="P15761" s="226"/>
      <c r="Q15761" s="226"/>
      <c r="R15761" s="226"/>
      <c r="S15761" s="226"/>
      <c r="T15761" s="226"/>
      <c r="U15761" s="226"/>
    </row>
    <row r="15762" spans="16:21" x14ac:dyDescent="0.35">
      <c r="P15762" s="226"/>
      <c r="Q15762" s="226"/>
      <c r="R15762" s="226"/>
      <c r="S15762" s="226"/>
      <c r="T15762" s="226"/>
      <c r="U15762" s="226"/>
    </row>
    <row r="15763" spans="16:21" x14ac:dyDescent="0.35">
      <c r="P15763" s="226"/>
      <c r="Q15763" s="226"/>
      <c r="R15763" s="226"/>
      <c r="S15763" s="226"/>
      <c r="T15763" s="226"/>
      <c r="U15763" s="226"/>
    </row>
    <row r="15764" spans="16:21" x14ac:dyDescent="0.35">
      <c r="P15764" s="226"/>
      <c r="Q15764" s="226"/>
      <c r="R15764" s="226"/>
      <c r="S15764" s="226"/>
      <c r="T15764" s="226"/>
      <c r="U15764" s="226"/>
    </row>
    <row r="15765" spans="16:21" x14ac:dyDescent="0.35">
      <c r="P15765" s="226"/>
      <c r="Q15765" s="226"/>
      <c r="R15765" s="226"/>
      <c r="S15765" s="226"/>
      <c r="T15765" s="226"/>
      <c r="U15765" s="226"/>
    </row>
    <row r="15766" spans="16:21" x14ac:dyDescent="0.35">
      <c r="P15766" s="226"/>
      <c r="Q15766" s="226"/>
      <c r="R15766" s="226"/>
      <c r="S15766" s="226"/>
      <c r="T15766" s="226"/>
      <c r="U15766" s="226"/>
    </row>
    <row r="15767" spans="16:21" x14ac:dyDescent="0.35">
      <c r="P15767" s="226"/>
      <c r="Q15767" s="226"/>
      <c r="R15767" s="226"/>
      <c r="S15767" s="226"/>
      <c r="T15767" s="226"/>
      <c r="U15767" s="226"/>
    </row>
    <row r="15768" spans="16:21" x14ac:dyDescent="0.35">
      <c r="P15768" s="226"/>
      <c r="Q15768" s="226"/>
      <c r="R15768" s="226"/>
      <c r="S15768" s="226"/>
      <c r="T15768" s="226"/>
      <c r="U15768" s="226"/>
    </row>
    <row r="15769" spans="16:21" x14ac:dyDescent="0.35">
      <c r="P15769" s="226"/>
      <c r="Q15769" s="226"/>
      <c r="R15769" s="226"/>
      <c r="S15769" s="226"/>
      <c r="T15769" s="226"/>
      <c r="U15769" s="226"/>
    </row>
    <row r="15770" spans="16:21" x14ac:dyDescent="0.35">
      <c r="P15770" s="226"/>
      <c r="Q15770" s="226"/>
      <c r="R15770" s="226"/>
      <c r="S15770" s="226"/>
      <c r="T15770" s="226"/>
      <c r="U15770" s="226"/>
    </row>
    <row r="15771" spans="16:21" x14ac:dyDescent="0.35">
      <c r="P15771" s="226"/>
      <c r="Q15771" s="226"/>
      <c r="R15771" s="226"/>
      <c r="S15771" s="226"/>
      <c r="T15771" s="226"/>
      <c r="U15771" s="226"/>
    </row>
    <row r="15772" spans="16:21" x14ac:dyDescent="0.35">
      <c r="P15772" s="226"/>
      <c r="Q15772" s="226"/>
      <c r="R15772" s="226"/>
      <c r="S15772" s="226"/>
      <c r="T15772" s="226"/>
      <c r="U15772" s="226"/>
    </row>
    <row r="15773" spans="16:21" x14ac:dyDescent="0.35">
      <c r="P15773" s="226"/>
      <c r="Q15773" s="226"/>
      <c r="R15773" s="226"/>
      <c r="S15773" s="226"/>
      <c r="T15773" s="226"/>
      <c r="U15773" s="226"/>
    </row>
    <row r="15774" spans="16:21" x14ac:dyDescent="0.35">
      <c r="P15774" s="226"/>
      <c r="Q15774" s="226"/>
      <c r="R15774" s="226"/>
      <c r="S15774" s="226"/>
      <c r="T15774" s="226"/>
      <c r="U15774" s="226"/>
    </row>
    <row r="15775" spans="16:21" x14ac:dyDescent="0.35">
      <c r="P15775" s="226"/>
      <c r="Q15775" s="226"/>
      <c r="R15775" s="226"/>
      <c r="S15775" s="226"/>
      <c r="T15775" s="226"/>
      <c r="U15775" s="226"/>
    </row>
    <row r="15776" spans="16:21" x14ac:dyDescent="0.35">
      <c r="P15776" s="226"/>
      <c r="Q15776" s="226"/>
      <c r="R15776" s="226"/>
      <c r="S15776" s="226"/>
      <c r="T15776" s="226"/>
      <c r="U15776" s="226"/>
    </row>
    <row r="15777" spans="16:21" x14ac:dyDescent="0.35">
      <c r="P15777" s="226"/>
      <c r="Q15777" s="226"/>
      <c r="R15777" s="226"/>
      <c r="S15777" s="226"/>
      <c r="T15777" s="226"/>
      <c r="U15777" s="226"/>
    </row>
    <row r="15778" spans="16:21" x14ac:dyDescent="0.35">
      <c r="P15778" s="226"/>
      <c r="Q15778" s="226"/>
      <c r="R15778" s="226"/>
      <c r="S15778" s="226"/>
      <c r="T15778" s="226"/>
      <c r="U15778" s="226"/>
    </row>
    <row r="15779" spans="16:21" x14ac:dyDescent="0.35">
      <c r="P15779" s="226"/>
      <c r="Q15779" s="226"/>
      <c r="R15779" s="226"/>
      <c r="S15779" s="226"/>
      <c r="T15779" s="226"/>
      <c r="U15779" s="226"/>
    </row>
    <row r="15780" spans="16:21" x14ac:dyDescent="0.35">
      <c r="P15780" s="226"/>
      <c r="Q15780" s="226"/>
      <c r="R15780" s="226"/>
      <c r="S15780" s="226"/>
      <c r="T15780" s="226"/>
      <c r="U15780" s="226"/>
    </row>
    <row r="15781" spans="16:21" x14ac:dyDescent="0.35">
      <c r="P15781" s="226"/>
      <c r="Q15781" s="226"/>
      <c r="R15781" s="226"/>
      <c r="S15781" s="226"/>
      <c r="T15781" s="226"/>
      <c r="U15781" s="226"/>
    </row>
    <row r="15782" spans="16:21" x14ac:dyDescent="0.35">
      <c r="P15782" s="226"/>
      <c r="Q15782" s="226"/>
      <c r="R15782" s="226"/>
      <c r="S15782" s="226"/>
      <c r="T15782" s="226"/>
      <c r="U15782" s="226"/>
    </row>
    <row r="15783" spans="16:21" x14ac:dyDescent="0.35">
      <c r="P15783" s="226"/>
      <c r="Q15783" s="226"/>
      <c r="R15783" s="226"/>
      <c r="S15783" s="226"/>
      <c r="T15783" s="226"/>
      <c r="U15783" s="226"/>
    </row>
    <row r="15784" spans="16:21" x14ac:dyDescent="0.35">
      <c r="P15784" s="226"/>
      <c r="Q15784" s="226"/>
      <c r="R15784" s="226"/>
      <c r="S15784" s="226"/>
      <c r="T15784" s="226"/>
      <c r="U15784" s="226"/>
    </row>
    <row r="15785" spans="16:21" x14ac:dyDescent="0.35">
      <c r="P15785" s="226"/>
      <c r="Q15785" s="226"/>
      <c r="R15785" s="226"/>
      <c r="S15785" s="226"/>
      <c r="T15785" s="226"/>
      <c r="U15785" s="226"/>
    </row>
    <row r="15786" spans="16:21" x14ac:dyDescent="0.35">
      <c r="P15786" s="226"/>
      <c r="Q15786" s="226"/>
      <c r="R15786" s="226"/>
      <c r="S15786" s="226"/>
      <c r="T15786" s="226"/>
      <c r="U15786" s="226"/>
    </row>
    <row r="15787" spans="16:21" x14ac:dyDescent="0.35">
      <c r="P15787" s="226"/>
      <c r="Q15787" s="226"/>
      <c r="R15787" s="226"/>
      <c r="S15787" s="226"/>
      <c r="T15787" s="226"/>
      <c r="U15787" s="226"/>
    </row>
    <row r="15788" spans="16:21" x14ac:dyDescent="0.35">
      <c r="P15788" s="226"/>
      <c r="Q15788" s="226"/>
      <c r="R15788" s="226"/>
      <c r="S15788" s="226"/>
      <c r="T15788" s="226"/>
      <c r="U15788" s="226"/>
    </row>
    <row r="15789" spans="16:21" x14ac:dyDescent="0.35">
      <c r="P15789" s="226"/>
      <c r="Q15789" s="226"/>
      <c r="R15789" s="226"/>
      <c r="S15789" s="226"/>
      <c r="T15789" s="226"/>
      <c r="U15789" s="226"/>
    </row>
    <row r="15790" spans="16:21" x14ac:dyDescent="0.35">
      <c r="P15790" s="226"/>
      <c r="Q15790" s="226"/>
      <c r="R15790" s="226"/>
      <c r="S15790" s="226"/>
      <c r="T15790" s="226"/>
      <c r="U15790" s="226"/>
    </row>
    <row r="15791" spans="16:21" x14ac:dyDescent="0.35">
      <c r="P15791" s="226"/>
      <c r="Q15791" s="226"/>
      <c r="R15791" s="226"/>
      <c r="S15791" s="226"/>
      <c r="T15791" s="226"/>
      <c r="U15791" s="226"/>
    </row>
    <row r="15792" spans="16:21" x14ac:dyDescent="0.35">
      <c r="P15792" s="226"/>
      <c r="Q15792" s="226"/>
      <c r="R15792" s="226"/>
      <c r="S15792" s="226"/>
      <c r="T15792" s="226"/>
      <c r="U15792" s="226"/>
    </row>
    <row r="15793" spans="16:21" x14ac:dyDescent="0.35">
      <c r="P15793" s="226"/>
      <c r="Q15793" s="226"/>
      <c r="R15793" s="226"/>
      <c r="S15793" s="226"/>
      <c r="T15793" s="226"/>
      <c r="U15793" s="226"/>
    </row>
    <row r="15794" spans="16:21" x14ac:dyDescent="0.35">
      <c r="P15794" s="226"/>
      <c r="Q15794" s="226"/>
      <c r="R15794" s="226"/>
      <c r="S15794" s="226"/>
      <c r="T15794" s="226"/>
      <c r="U15794" s="226"/>
    </row>
    <row r="15795" spans="16:21" x14ac:dyDescent="0.35">
      <c r="P15795" s="226"/>
      <c r="Q15795" s="226"/>
      <c r="R15795" s="226"/>
      <c r="S15795" s="226"/>
      <c r="T15795" s="226"/>
      <c r="U15795" s="226"/>
    </row>
    <row r="15796" spans="16:21" x14ac:dyDescent="0.35">
      <c r="P15796" s="226"/>
      <c r="Q15796" s="226"/>
      <c r="R15796" s="226"/>
      <c r="S15796" s="226"/>
      <c r="T15796" s="226"/>
      <c r="U15796" s="226"/>
    </row>
    <row r="15797" spans="16:21" x14ac:dyDescent="0.35">
      <c r="P15797" s="226"/>
      <c r="Q15797" s="226"/>
      <c r="R15797" s="226"/>
      <c r="S15797" s="226"/>
      <c r="T15797" s="226"/>
      <c r="U15797" s="226"/>
    </row>
    <row r="15798" spans="16:21" x14ac:dyDescent="0.35">
      <c r="P15798" s="226"/>
      <c r="Q15798" s="226"/>
      <c r="R15798" s="226"/>
      <c r="S15798" s="226"/>
      <c r="T15798" s="226"/>
      <c r="U15798" s="226"/>
    </row>
    <row r="15799" spans="16:21" x14ac:dyDescent="0.35">
      <c r="P15799" s="226"/>
      <c r="Q15799" s="226"/>
      <c r="R15799" s="226"/>
      <c r="S15799" s="226"/>
      <c r="T15799" s="226"/>
      <c r="U15799" s="226"/>
    </row>
    <row r="15800" spans="16:21" x14ac:dyDescent="0.35">
      <c r="P15800" s="226"/>
      <c r="Q15800" s="226"/>
      <c r="R15800" s="226"/>
      <c r="S15800" s="226"/>
      <c r="T15800" s="226"/>
      <c r="U15800" s="226"/>
    </row>
    <row r="15801" spans="16:21" x14ac:dyDescent="0.35">
      <c r="P15801" s="226"/>
      <c r="Q15801" s="226"/>
      <c r="R15801" s="226"/>
      <c r="S15801" s="226"/>
      <c r="T15801" s="226"/>
      <c r="U15801" s="226"/>
    </row>
    <row r="15802" spans="16:21" x14ac:dyDescent="0.35">
      <c r="P15802" s="226"/>
      <c r="Q15802" s="226"/>
      <c r="R15802" s="226"/>
      <c r="S15802" s="226"/>
      <c r="T15802" s="226"/>
      <c r="U15802" s="226"/>
    </row>
    <row r="15803" spans="16:21" x14ac:dyDescent="0.35">
      <c r="P15803" s="226"/>
      <c r="Q15803" s="226"/>
      <c r="R15803" s="226"/>
      <c r="S15803" s="226"/>
      <c r="T15803" s="226"/>
      <c r="U15803" s="226"/>
    </row>
    <row r="15804" spans="16:21" x14ac:dyDescent="0.35">
      <c r="P15804" s="226"/>
      <c r="Q15804" s="226"/>
      <c r="R15804" s="226"/>
      <c r="S15804" s="226"/>
      <c r="T15804" s="226"/>
      <c r="U15804" s="226"/>
    </row>
    <row r="15805" spans="16:21" x14ac:dyDescent="0.35">
      <c r="P15805" s="226"/>
      <c r="Q15805" s="226"/>
      <c r="R15805" s="226"/>
      <c r="S15805" s="226"/>
      <c r="T15805" s="226"/>
      <c r="U15805" s="226"/>
    </row>
    <row r="15806" spans="16:21" x14ac:dyDescent="0.35">
      <c r="P15806" s="226"/>
      <c r="Q15806" s="226"/>
      <c r="R15806" s="226"/>
      <c r="S15806" s="226"/>
      <c r="T15806" s="226"/>
      <c r="U15806" s="226"/>
    </row>
    <row r="15807" spans="16:21" x14ac:dyDescent="0.35">
      <c r="P15807" s="226"/>
      <c r="Q15807" s="226"/>
      <c r="R15807" s="226"/>
      <c r="S15807" s="226"/>
      <c r="T15807" s="226"/>
      <c r="U15807" s="226"/>
    </row>
    <row r="15808" spans="16:21" x14ac:dyDescent="0.35">
      <c r="P15808" s="226"/>
      <c r="Q15808" s="226"/>
      <c r="R15808" s="226"/>
      <c r="S15808" s="226"/>
      <c r="T15808" s="226"/>
      <c r="U15808" s="226"/>
    </row>
    <row r="15809" spans="16:21" x14ac:dyDescent="0.35">
      <c r="P15809" s="226"/>
      <c r="Q15809" s="226"/>
      <c r="R15809" s="226"/>
      <c r="S15809" s="226"/>
      <c r="T15809" s="226"/>
      <c r="U15809" s="226"/>
    </row>
    <row r="15810" spans="16:21" x14ac:dyDescent="0.35">
      <c r="P15810" s="226"/>
      <c r="Q15810" s="226"/>
      <c r="R15810" s="226"/>
      <c r="S15810" s="226"/>
      <c r="T15810" s="226"/>
      <c r="U15810" s="226"/>
    </row>
    <row r="15811" spans="16:21" x14ac:dyDescent="0.35">
      <c r="P15811" s="226"/>
      <c r="Q15811" s="226"/>
      <c r="R15811" s="226"/>
      <c r="S15811" s="226"/>
      <c r="T15811" s="226"/>
      <c r="U15811" s="226"/>
    </row>
    <row r="15812" spans="16:21" x14ac:dyDescent="0.35">
      <c r="P15812" s="226"/>
      <c r="Q15812" s="226"/>
      <c r="R15812" s="226"/>
      <c r="S15812" s="226"/>
      <c r="T15812" s="226"/>
      <c r="U15812" s="226"/>
    </row>
    <row r="15813" spans="16:21" x14ac:dyDescent="0.35">
      <c r="P15813" s="226"/>
      <c r="Q15813" s="226"/>
      <c r="R15813" s="226"/>
      <c r="S15813" s="226"/>
      <c r="T15813" s="226"/>
      <c r="U15813" s="226"/>
    </row>
    <row r="15814" spans="16:21" x14ac:dyDescent="0.35">
      <c r="P15814" s="226"/>
      <c r="Q15814" s="226"/>
      <c r="R15814" s="226"/>
      <c r="S15814" s="226"/>
      <c r="T15814" s="226"/>
      <c r="U15814" s="226"/>
    </row>
    <row r="15815" spans="16:21" x14ac:dyDescent="0.35">
      <c r="P15815" s="226"/>
      <c r="Q15815" s="226"/>
      <c r="R15815" s="226"/>
      <c r="S15815" s="226"/>
      <c r="T15815" s="226"/>
      <c r="U15815" s="226"/>
    </row>
    <row r="15816" spans="16:21" x14ac:dyDescent="0.35">
      <c r="P15816" s="226"/>
      <c r="Q15816" s="226"/>
      <c r="R15816" s="226"/>
      <c r="S15816" s="226"/>
      <c r="T15816" s="226"/>
      <c r="U15816" s="226"/>
    </row>
    <row r="15817" spans="16:21" x14ac:dyDescent="0.35">
      <c r="P15817" s="226"/>
      <c r="Q15817" s="226"/>
      <c r="R15817" s="226"/>
      <c r="S15817" s="226"/>
      <c r="T15817" s="226"/>
      <c r="U15817" s="226"/>
    </row>
    <row r="15818" spans="16:21" x14ac:dyDescent="0.35">
      <c r="P15818" s="226"/>
      <c r="Q15818" s="226"/>
      <c r="R15818" s="226"/>
      <c r="S15818" s="226"/>
      <c r="T15818" s="226"/>
      <c r="U15818" s="226"/>
    </row>
    <row r="15819" spans="16:21" x14ac:dyDescent="0.35">
      <c r="P15819" s="226"/>
      <c r="Q15819" s="226"/>
      <c r="R15819" s="226"/>
      <c r="S15819" s="226"/>
      <c r="T15819" s="226"/>
      <c r="U15819" s="226"/>
    </row>
    <row r="15820" spans="16:21" x14ac:dyDescent="0.35">
      <c r="P15820" s="226"/>
      <c r="Q15820" s="226"/>
      <c r="R15820" s="226"/>
      <c r="S15820" s="226"/>
      <c r="T15820" s="226"/>
      <c r="U15820" s="226"/>
    </row>
    <row r="15821" spans="16:21" x14ac:dyDescent="0.35">
      <c r="P15821" s="226"/>
      <c r="Q15821" s="226"/>
      <c r="R15821" s="226"/>
      <c r="S15821" s="226"/>
      <c r="T15821" s="226"/>
      <c r="U15821" s="226"/>
    </row>
    <row r="15822" spans="16:21" x14ac:dyDescent="0.35">
      <c r="P15822" s="226"/>
      <c r="Q15822" s="226"/>
      <c r="R15822" s="226"/>
      <c r="S15822" s="226"/>
      <c r="T15822" s="226"/>
      <c r="U15822" s="226"/>
    </row>
    <row r="15823" spans="16:21" x14ac:dyDescent="0.35">
      <c r="P15823" s="226"/>
      <c r="Q15823" s="226"/>
      <c r="R15823" s="226"/>
      <c r="S15823" s="226"/>
      <c r="T15823" s="226"/>
      <c r="U15823" s="226"/>
    </row>
    <row r="15824" spans="16:21" x14ac:dyDescent="0.35">
      <c r="P15824" s="226"/>
      <c r="Q15824" s="226"/>
      <c r="R15824" s="226"/>
      <c r="S15824" s="226"/>
      <c r="T15824" s="226"/>
      <c r="U15824" s="226"/>
    </row>
    <row r="15825" spans="16:21" x14ac:dyDescent="0.35">
      <c r="P15825" s="226"/>
      <c r="Q15825" s="226"/>
      <c r="R15825" s="226"/>
      <c r="S15825" s="226"/>
      <c r="T15825" s="226"/>
      <c r="U15825" s="226"/>
    </row>
    <row r="15826" spans="16:21" x14ac:dyDescent="0.35">
      <c r="P15826" s="226"/>
      <c r="Q15826" s="226"/>
      <c r="R15826" s="226"/>
      <c r="S15826" s="226"/>
      <c r="T15826" s="226"/>
      <c r="U15826" s="226"/>
    </row>
    <row r="15827" spans="16:21" x14ac:dyDescent="0.35">
      <c r="P15827" s="226"/>
      <c r="Q15827" s="226"/>
      <c r="R15827" s="226"/>
      <c r="S15827" s="226"/>
      <c r="T15827" s="226"/>
      <c r="U15827" s="226"/>
    </row>
    <row r="15828" spans="16:21" x14ac:dyDescent="0.35">
      <c r="P15828" s="226"/>
      <c r="Q15828" s="226"/>
      <c r="R15828" s="226"/>
      <c r="S15828" s="226"/>
      <c r="T15828" s="226"/>
      <c r="U15828" s="226"/>
    </row>
    <row r="15829" spans="16:21" x14ac:dyDescent="0.35">
      <c r="P15829" s="226"/>
      <c r="Q15829" s="226"/>
      <c r="R15829" s="226"/>
      <c r="S15829" s="226"/>
      <c r="T15829" s="226"/>
      <c r="U15829" s="226"/>
    </row>
    <row r="15830" spans="16:21" x14ac:dyDescent="0.35">
      <c r="P15830" s="226"/>
      <c r="Q15830" s="226"/>
      <c r="R15830" s="226"/>
      <c r="S15830" s="226"/>
      <c r="T15830" s="226"/>
      <c r="U15830" s="226"/>
    </row>
    <row r="15831" spans="16:21" x14ac:dyDescent="0.35">
      <c r="P15831" s="226"/>
      <c r="Q15831" s="226"/>
      <c r="R15831" s="226"/>
      <c r="S15831" s="226"/>
      <c r="T15831" s="226"/>
      <c r="U15831" s="226"/>
    </row>
    <row r="15832" spans="16:21" x14ac:dyDescent="0.35">
      <c r="P15832" s="226"/>
      <c r="Q15832" s="226"/>
      <c r="R15832" s="226"/>
      <c r="S15832" s="226"/>
      <c r="T15832" s="226"/>
      <c r="U15832" s="226"/>
    </row>
    <row r="15833" spans="16:21" x14ac:dyDescent="0.35">
      <c r="P15833" s="226"/>
      <c r="Q15833" s="226"/>
      <c r="R15833" s="226"/>
      <c r="S15833" s="226"/>
      <c r="T15833" s="226"/>
      <c r="U15833" s="226"/>
    </row>
    <row r="15834" spans="16:21" x14ac:dyDescent="0.35">
      <c r="P15834" s="226"/>
      <c r="Q15834" s="226"/>
      <c r="R15834" s="226"/>
      <c r="S15834" s="226"/>
      <c r="T15834" s="226"/>
      <c r="U15834" s="226"/>
    </row>
    <row r="15835" spans="16:21" x14ac:dyDescent="0.35">
      <c r="P15835" s="226"/>
      <c r="Q15835" s="226"/>
      <c r="R15835" s="226"/>
      <c r="S15835" s="226"/>
      <c r="T15835" s="226"/>
      <c r="U15835" s="226"/>
    </row>
    <row r="15836" spans="16:21" x14ac:dyDescent="0.35">
      <c r="P15836" s="226"/>
      <c r="Q15836" s="226"/>
      <c r="R15836" s="226"/>
      <c r="S15836" s="226"/>
      <c r="T15836" s="226"/>
      <c r="U15836" s="226"/>
    </row>
    <row r="15837" spans="16:21" x14ac:dyDescent="0.35">
      <c r="P15837" s="226"/>
      <c r="Q15837" s="226"/>
      <c r="R15837" s="226"/>
      <c r="S15837" s="226"/>
      <c r="T15837" s="226"/>
      <c r="U15837" s="226"/>
    </row>
    <row r="15838" spans="16:21" x14ac:dyDescent="0.35">
      <c r="P15838" s="226"/>
      <c r="Q15838" s="226"/>
      <c r="R15838" s="226"/>
      <c r="S15838" s="226"/>
      <c r="T15838" s="226"/>
      <c r="U15838" s="226"/>
    </row>
    <row r="15839" spans="16:21" x14ac:dyDescent="0.35">
      <c r="P15839" s="226"/>
      <c r="Q15839" s="226"/>
      <c r="R15839" s="226"/>
      <c r="S15839" s="226"/>
      <c r="T15839" s="226"/>
      <c r="U15839" s="226"/>
    </row>
    <row r="15840" spans="16:21" x14ac:dyDescent="0.35">
      <c r="P15840" s="226"/>
      <c r="Q15840" s="226"/>
      <c r="R15840" s="226"/>
      <c r="S15840" s="226"/>
      <c r="T15840" s="226"/>
      <c r="U15840" s="226"/>
    </row>
    <row r="15841" spans="16:21" x14ac:dyDescent="0.35">
      <c r="P15841" s="226"/>
      <c r="Q15841" s="226"/>
      <c r="R15841" s="226"/>
      <c r="S15841" s="226"/>
      <c r="T15841" s="226"/>
      <c r="U15841" s="226"/>
    </row>
    <row r="15842" spans="16:21" x14ac:dyDescent="0.35">
      <c r="P15842" s="226"/>
      <c r="Q15842" s="226"/>
      <c r="R15842" s="226"/>
      <c r="S15842" s="226"/>
      <c r="T15842" s="226"/>
      <c r="U15842" s="226"/>
    </row>
    <row r="15843" spans="16:21" x14ac:dyDescent="0.35">
      <c r="P15843" s="226"/>
      <c r="Q15843" s="226"/>
      <c r="R15843" s="226"/>
      <c r="S15843" s="226"/>
      <c r="T15843" s="226"/>
      <c r="U15843" s="226"/>
    </row>
    <row r="15844" spans="16:21" x14ac:dyDescent="0.35">
      <c r="P15844" s="226"/>
      <c r="Q15844" s="226"/>
      <c r="R15844" s="226"/>
      <c r="S15844" s="226"/>
      <c r="T15844" s="226"/>
      <c r="U15844" s="226"/>
    </row>
    <row r="15845" spans="16:21" x14ac:dyDescent="0.35">
      <c r="P15845" s="226"/>
      <c r="Q15845" s="226"/>
      <c r="R15845" s="226"/>
      <c r="S15845" s="226"/>
      <c r="T15845" s="226"/>
      <c r="U15845" s="226"/>
    </row>
    <row r="15846" spans="16:21" x14ac:dyDescent="0.35">
      <c r="P15846" s="226"/>
      <c r="Q15846" s="226"/>
      <c r="R15846" s="226"/>
      <c r="S15846" s="226"/>
      <c r="T15846" s="226"/>
      <c r="U15846" s="226"/>
    </row>
    <row r="15847" spans="16:21" x14ac:dyDescent="0.35">
      <c r="P15847" s="226"/>
      <c r="Q15847" s="226"/>
      <c r="R15847" s="226"/>
      <c r="S15847" s="226"/>
      <c r="T15847" s="226"/>
      <c r="U15847" s="226"/>
    </row>
    <row r="15848" spans="16:21" x14ac:dyDescent="0.35">
      <c r="P15848" s="226"/>
      <c r="Q15848" s="226"/>
      <c r="R15848" s="226"/>
      <c r="S15848" s="226"/>
      <c r="T15848" s="226"/>
      <c r="U15848" s="226"/>
    </row>
    <row r="15849" spans="16:21" x14ac:dyDescent="0.35">
      <c r="P15849" s="226"/>
      <c r="Q15849" s="226"/>
      <c r="R15849" s="226"/>
      <c r="S15849" s="226"/>
      <c r="T15849" s="226"/>
      <c r="U15849" s="226"/>
    </row>
    <row r="15850" spans="16:21" x14ac:dyDescent="0.35">
      <c r="P15850" s="226"/>
      <c r="Q15850" s="226"/>
      <c r="R15850" s="226"/>
      <c r="S15850" s="226"/>
      <c r="T15850" s="226"/>
      <c r="U15850" s="226"/>
    </row>
    <row r="15851" spans="16:21" x14ac:dyDescent="0.35">
      <c r="P15851" s="226"/>
      <c r="Q15851" s="226"/>
      <c r="R15851" s="226"/>
      <c r="S15851" s="226"/>
      <c r="T15851" s="226"/>
      <c r="U15851" s="226"/>
    </row>
    <row r="15852" spans="16:21" x14ac:dyDescent="0.35">
      <c r="P15852" s="226"/>
      <c r="Q15852" s="226"/>
      <c r="R15852" s="226"/>
      <c r="S15852" s="226"/>
      <c r="T15852" s="226"/>
      <c r="U15852" s="226"/>
    </row>
    <row r="15853" spans="16:21" x14ac:dyDescent="0.35">
      <c r="P15853" s="226"/>
      <c r="Q15853" s="226"/>
      <c r="R15853" s="226"/>
      <c r="S15853" s="226"/>
      <c r="T15853" s="226"/>
      <c r="U15853" s="226"/>
    </row>
    <row r="15854" spans="16:21" x14ac:dyDescent="0.35">
      <c r="P15854" s="226"/>
      <c r="Q15854" s="226"/>
      <c r="R15854" s="226"/>
      <c r="S15854" s="226"/>
      <c r="T15854" s="226"/>
      <c r="U15854" s="226"/>
    </row>
    <row r="15855" spans="16:21" x14ac:dyDescent="0.35">
      <c r="P15855" s="226"/>
      <c r="Q15855" s="226"/>
      <c r="R15855" s="226"/>
      <c r="S15855" s="226"/>
      <c r="T15855" s="226"/>
      <c r="U15855" s="226"/>
    </row>
    <row r="15856" spans="16:21" x14ac:dyDescent="0.35">
      <c r="P15856" s="226"/>
      <c r="Q15856" s="226"/>
      <c r="R15856" s="226"/>
      <c r="S15856" s="226"/>
      <c r="T15856" s="226"/>
      <c r="U15856" s="226"/>
    </row>
    <row r="15857" spans="16:21" x14ac:dyDescent="0.35">
      <c r="P15857" s="226"/>
      <c r="Q15857" s="226"/>
      <c r="R15857" s="226"/>
      <c r="S15857" s="226"/>
      <c r="T15857" s="226"/>
      <c r="U15857" s="226"/>
    </row>
    <row r="15858" spans="16:21" x14ac:dyDescent="0.35">
      <c r="P15858" s="226"/>
      <c r="Q15858" s="226"/>
      <c r="R15858" s="226"/>
      <c r="S15858" s="226"/>
      <c r="T15858" s="226"/>
      <c r="U15858" s="226"/>
    </row>
    <row r="15859" spans="16:21" x14ac:dyDescent="0.35">
      <c r="P15859" s="226"/>
      <c r="Q15859" s="226"/>
      <c r="R15859" s="226"/>
      <c r="S15859" s="226"/>
      <c r="T15859" s="226"/>
      <c r="U15859" s="226"/>
    </row>
    <row r="15860" spans="16:21" x14ac:dyDescent="0.35">
      <c r="P15860" s="226"/>
      <c r="Q15860" s="226"/>
      <c r="R15860" s="226"/>
      <c r="S15860" s="226"/>
      <c r="T15860" s="226"/>
      <c r="U15860" s="226"/>
    </row>
    <row r="15861" spans="16:21" x14ac:dyDescent="0.35">
      <c r="P15861" s="226"/>
      <c r="Q15861" s="226"/>
      <c r="R15861" s="226"/>
      <c r="S15861" s="226"/>
      <c r="T15861" s="226"/>
      <c r="U15861" s="226"/>
    </row>
    <row r="15862" spans="16:21" x14ac:dyDescent="0.35">
      <c r="P15862" s="226"/>
      <c r="Q15862" s="226"/>
      <c r="R15862" s="226"/>
      <c r="S15862" s="226"/>
      <c r="T15862" s="226"/>
      <c r="U15862" s="226"/>
    </row>
    <row r="15863" spans="16:21" x14ac:dyDescent="0.35">
      <c r="P15863" s="226"/>
      <c r="Q15863" s="226"/>
      <c r="R15863" s="226"/>
      <c r="S15863" s="226"/>
      <c r="T15863" s="226"/>
      <c r="U15863" s="226"/>
    </row>
    <row r="15864" spans="16:21" x14ac:dyDescent="0.35">
      <c r="P15864" s="226"/>
      <c r="Q15864" s="226"/>
      <c r="R15864" s="226"/>
      <c r="S15864" s="226"/>
      <c r="T15864" s="226"/>
      <c r="U15864" s="226"/>
    </row>
    <row r="15865" spans="16:21" x14ac:dyDescent="0.35">
      <c r="P15865" s="226"/>
      <c r="Q15865" s="226"/>
      <c r="R15865" s="226"/>
      <c r="S15865" s="226"/>
      <c r="T15865" s="226"/>
      <c r="U15865" s="226"/>
    </row>
    <row r="15866" spans="16:21" x14ac:dyDescent="0.35">
      <c r="P15866" s="226"/>
      <c r="Q15866" s="226"/>
      <c r="R15866" s="226"/>
      <c r="S15866" s="226"/>
      <c r="T15866" s="226"/>
      <c r="U15866" s="226"/>
    </row>
    <row r="15867" spans="16:21" x14ac:dyDescent="0.35">
      <c r="P15867" s="226"/>
      <c r="Q15867" s="226"/>
      <c r="R15867" s="226"/>
      <c r="S15867" s="226"/>
      <c r="T15867" s="226"/>
      <c r="U15867" s="226"/>
    </row>
    <row r="15868" spans="16:21" x14ac:dyDescent="0.35">
      <c r="P15868" s="226"/>
      <c r="Q15868" s="226"/>
      <c r="R15868" s="226"/>
      <c r="S15868" s="226"/>
      <c r="T15868" s="226"/>
      <c r="U15868" s="226"/>
    </row>
    <row r="15869" spans="16:21" x14ac:dyDescent="0.35">
      <c r="P15869" s="226"/>
      <c r="Q15869" s="226"/>
      <c r="R15869" s="226"/>
      <c r="S15869" s="226"/>
      <c r="T15869" s="226"/>
      <c r="U15869" s="226"/>
    </row>
    <row r="15870" spans="16:21" x14ac:dyDescent="0.35">
      <c r="P15870" s="226"/>
      <c r="Q15870" s="226"/>
      <c r="R15870" s="226"/>
      <c r="S15870" s="226"/>
      <c r="T15870" s="226"/>
      <c r="U15870" s="226"/>
    </row>
    <row r="15871" spans="16:21" x14ac:dyDescent="0.35">
      <c r="P15871" s="226"/>
      <c r="Q15871" s="226"/>
      <c r="R15871" s="226"/>
      <c r="S15871" s="226"/>
      <c r="T15871" s="226"/>
      <c r="U15871" s="226"/>
    </row>
    <row r="15872" spans="16:21" x14ac:dyDescent="0.35">
      <c r="P15872" s="226"/>
      <c r="Q15872" s="226"/>
      <c r="R15872" s="226"/>
      <c r="S15872" s="226"/>
      <c r="T15872" s="226"/>
      <c r="U15872" s="226"/>
    </row>
    <row r="15873" spans="16:21" x14ac:dyDescent="0.35">
      <c r="P15873" s="226"/>
      <c r="Q15873" s="226"/>
      <c r="R15873" s="226"/>
      <c r="S15873" s="226"/>
      <c r="T15873" s="226"/>
      <c r="U15873" s="226"/>
    </row>
    <row r="15874" spans="16:21" x14ac:dyDescent="0.35">
      <c r="P15874" s="226"/>
      <c r="Q15874" s="226"/>
      <c r="R15874" s="226"/>
      <c r="S15874" s="226"/>
      <c r="T15874" s="226"/>
      <c r="U15874" s="226"/>
    </row>
    <row r="15875" spans="16:21" x14ac:dyDescent="0.35">
      <c r="P15875" s="226"/>
      <c r="Q15875" s="226"/>
      <c r="R15875" s="226"/>
      <c r="S15875" s="226"/>
      <c r="T15875" s="226"/>
      <c r="U15875" s="226"/>
    </row>
    <row r="15876" spans="16:21" x14ac:dyDescent="0.35">
      <c r="P15876" s="226"/>
      <c r="Q15876" s="226"/>
      <c r="R15876" s="226"/>
      <c r="S15876" s="226"/>
      <c r="T15876" s="226"/>
      <c r="U15876" s="226"/>
    </row>
    <row r="15877" spans="16:21" x14ac:dyDescent="0.35">
      <c r="P15877" s="226"/>
      <c r="Q15877" s="226"/>
      <c r="R15877" s="226"/>
      <c r="S15877" s="226"/>
      <c r="T15877" s="226"/>
      <c r="U15877" s="226"/>
    </row>
    <row r="15878" spans="16:21" x14ac:dyDescent="0.35">
      <c r="P15878" s="226"/>
      <c r="Q15878" s="226"/>
      <c r="R15878" s="226"/>
      <c r="S15878" s="226"/>
      <c r="T15878" s="226"/>
      <c r="U15878" s="226"/>
    </row>
    <row r="15879" spans="16:21" x14ac:dyDescent="0.35">
      <c r="P15879" s="226"/>
      <c r="Q15879" s="226"/>
      <c r="R15879" s="226"/>
      <c r="S15879" s="226"/>
      <c r="T15879" s="226"/>
      <c r="U15879" s="226"/>
    </row>
    <row r="15880" spans="16:21" x14ac:dyDescent="0.35">
      <c r="P15880" s="226"/>
      <c r="Q15880" s="226"/>
      <c r="R15880" s="226"/>
      <c r="S15880" s="226"/>
      <c r="T15880" s="226"/>
      <c r="U15880" s="226"/>
    </row>
    <row r="15881" spans="16:21" x14ac:dyDescent="0.35">
      <c r="P15881" s="226"/>
      <c r="Q15881" s="226"/>
      <c r="R15881" s="226"/>
      <c r="S15881" s="226"/>
      <c r="T15881" s="226"/>
      <c r="U15881" s="226"/>
    </row>
    <row r="15882" spans="16:21" x14ac:dyDescent="0.35">
      <c r="P15882" s="226"/>
      <c r="Q15882" s="226"/>
      <c r="R15882" s="226"/>
      <c r="S15882" s="226"/>
      <c r="T15882" s="226"/>
      <c r="U15882" s="226"/>
    </row>
    <row r="15883" spans="16:21" x14ac:dyDescent="0.35">
      <c r="P15883" s="226"/>
      <c r="Q15883" s="226"/>
      <c r="R15883" s="226"/>
      <c r="S15883" s="226"/>
      <c r="T15883" s="226"/>
      <c r="U15883" s="226"/>
    </row>
    <row r="15884" spans="16:21" x14ac:dyDescent="0.35">
      <c r="P15884" s="226"/>
      <c r="Q15884" s="226"/>
      <c r="R15884" s="226"/>
      <c r="S15884" s="226"/>
      <c r="T15884" s="226"/>
      <c r="U15884" s="226"/>
    </row>
    <row r="15885" spans="16:21" x14ac:dyDescent="0.35">
      <c r="P15885" s="226"/>
      <c r="Q15885" s="226"/>
      <c r="R15885" s="226"/>
      <c r="S15885" s="226"/>
      <c r="T15885" s="226"/>
      <c r="U15885" s="226"/>
    </row>
    <row r="15886" spans="16:21" x14ac:dyDescent="0.35">
      <c r="P15886" s="226"/>
      <c r="Q15886" s="226"/>
      <c r="R15886" s="226"/>
      <c r="S15886" s="226"/>
      <c r="T15886" s="226"/>
      <c r="U15886" s="226"/>
    </row>
    <row r="15887" spans="16:21" x14ac:dyDescent="0.35">
      <c r="P15887" s="226"/>
      <c r="Q15887" s="226"/>
      <c r="R15887" s="226"/>
      <c r="S15887" s="226"/>
      <c r="T15887" s="226"/>
      <c r="U15887" s="226"/>
    </row>
    <row r="15888" spans="16:21" x14ac:dyDescent="0.35">
      <c r="P15888" s="226"/>
      <c r="Q15888" s="226"/>
      <c r="R15888" s="226"/>
      <c r="S15888" s="226"/>
      <c r="T15888" s="226"/>
      <c r="U15888" s="226"/>
    </row>
    <row r="15889" spans="16:21" x14ac:dyDescent="0.35">
      <c r="P15889" s="226"/>
      <c r="Q15889" s="226"/>
      <c r="R15889" s="226"/>
      <c r="S15889" s="226"/>
      <c r="T15889" s="226"/>
      <c r="U15889" s="226"/>
    </row>
    <row r="15890" spans="16:21" x14ac:dyDescent="0.35">
      <c r="P15890" s="226"/>
      <c r="Q15890" s="226"/>
      <c r="R15890" s="226"/>
      <c r="S15890" s="226"/>
      <c r="T15890" s="226"/>
      <c r="U15890" s="226"/>
    </row>
    <row r="15891" spans="16:21" x14ac:dyDescent="0.35">
      <c r="P15891" s="226"/>
      <c r="Q15891" s="226"/>
      <c r="R15891" s="226"/>
      <c r="S15891" s="226"/>
      <c r="T15891" s="226"/>
      <c r="U15891" s="226"/>
    </row>
    <row r="15892" spans="16:21" x14ac:dyDescent="0.35">
      <c r="P15892" s="226"/>
      <c r="Q15892" s="226"/>
      <c r="R15892" s="226"/>
      <c r="S15892" s="226"/>
      <c r="T15892" s="226"/>
      <c r="U15892" s="226"/>
    </row>
    <row r="15893" spans="16:21" x14ac:dyDescent="0.35">
      <c r="P15893" s="226"/>
      <c r="Q15893" s="226"/>
      <c r="R15893" s="226"/>
      <c r="S15893" s="226"/>
      <c r="T15893" s="226"/>
      <c r="U15893" s="226"/>
    </row>
    <row r="15894" spans="16:21" x14ac:dyDescent="0.35">
      <c r="P15894" s="226"/>
      <c r="Q15894" s="226"/>
      <c r="R15894" s="226"/>
      <c r="S15894" s="226"/>
      <c r="T15894" s="226"/>
      <c r="U15894" s="226"/>
    </row>
    <row r="15895" spans="16:21" x14ac:dyDescent="0.35">
      <c r="P15895" s="226"/>
      <c r="Q15895" s="226"/>
      <c r="R15895" s="226"/>
      <c r="S15895" s="226"/>
      <c r="T15895" s="226"/>
      <c r="U15895" s="226"/>
    </row>
    <row r="15896" spans="16:21" x14ac:dyDescent="0.35">
      <c r="P15896" s="226"/>
      <c r="Q15896" s="226"/>
      <c r="R15896" s="226"/>
      <c r="S15896" s="226"/>
      <c r="T15896" s="226"/>
      <c r="U15896" s="226"/>
    </row>
    <row r="15897" spans="16:21" x14ac:dyDescent="0.35">
      <c r="P15897" s="226"/>
      <c r="Q15897" s="226"/>
      <c r="R15897" s="226"/>
      <c r="S15897" s="226"/>
      <c r="T15897" s="226"/>
      <c r="U15897" s="226"/>
    </row>
    <row r="15898" spans="16:21" x14ac:dyDescent="0.35">
      <c r="P15898" s="226"/>
      <c r="Q15898" s="226"/>
      <c r="R15898" s="226"/>
      <c r="S15898" s="226"/>
      <c r="T15898" s="226"/>
      <c r="U15898" s="226"/>
    </row>
    <row r="15899" spans="16:21" x14ac:dyDescent="0.35">
      <c r="P15899" s="226"/>
      <c r="Q15899" s="226"/>
      <c r="R15899" s="226"/>
      <c r="S15899" s="226"/>
      <c r="T15899" s="226"/>
      <c r="U15899" s="226"/>
    </row>
    <row r="15900" spans="16:21" x14ac:dyDescent="0.35">
      <c r="P15900" s="226"/>
      <c r="Q15900" s="226"/>
      <c r="R15900" s="226"/>
      <c r="S15900" s="226"/>
      <c r="T15900" s="226"/>
      <c r="U15900" s="226"/>
    </row>
    <row r="15901" spans="16:21" x14ac:dyDescent="0.35">
      <c r="P15901" s="226"/>
      <c r="Q15901" s="226"/>
      <c r="R15901" s="226"/>
      <c r="S15901" s="226"/>
      <c r="T15901" s="226"/>
      <c r="U15901" s="226"/>
    </row>
    <row r="15902" spans="16:21" x14ac:dyDescent="0.35">
      <c r="P15902" s="226"/>
      <c r="Q15902" s="226"/>
      <c r="R15902" s="226"/>
      <c r="S15902" s="226"/>
      <c r="T15902" s="226"/>
      <c r="U15902" s="226"/>
    </row>
    <row r="15903" spans="16:21" x14ac:dyDescent="0.35">
      <c r="P15903" s="226"/>
      <c r="Q15903" s="226"/>
      <c r="R15903" s="226"/>
      <c r="S15903" s="226"/>
      <c r="T15903" s="226"/>
      <c r="U15903" s="226"/>
    </row>
    <row r="15904" spans="16:21" x14ac:dyDescent="0.35">
      <c r="P15904" s="226"/>
      <c r="Q15904" s="226"/>
      <c r="R15904" s="226"/>
      <c r="S15904" s="226"/>
      <c r="T15904" s="226"/>
      <c r="U15904" s="226"/>
    </row>
    <row r="15905" spans="16:21" x14ac:dyDescent="0.35">
      <c r="P15905" s="226"/>
      <c r="Q15905" s="226"/>
      <c r="R15905" s="226"/>
      <c r="S15905" s="226"/>
      <c r="T15905" s="226"/>
      <c r="U15905" s="226"/>
    </row>
    <row r="15906" spans="16:21" x14ac:dyDescent="0.35">
      <c r="P15906" s="226"/>
      <c r="Q15906" s="226"/>
      <c r="R15906" s="226"/>
      <c r="S15906" s="226"/>
      <c r="T15906" s="226"/>
      <c r="U15906" s="226"/>
    </row>
    <row r="15907" spans="16:21" x14ac:dyDescent="0.35">
      <c r="P15907" s="226"/>
      <c r="Q15907" s="226"/>
      <c r="R15907" s="226"/>
      <c r="S15907" s="226"/>
      <c r="T15907" s="226"/>
      <c r="U15907" s="226"/>
    </row>
    <row r="15908" spans="16:21" x14ac:dyDescent="0.35">
      <c r="P15908" s="226"/>
      <c r="Q15908" s="226"/>
      <c r="R15908" s="226"/>
      <c r="S15908" s="226"/>
      <c r="T15908" s="226"/>
      <c r="U15908" s="226"/>
    </row>
    <row r="15909" spans="16:21" x14ac:dyDescent="0.35">
      <c r="P15909" s="226"/>
      <c r="Q15909" s="226"/>
      <c r="R15909" s="226"/>
      <c r="S15909" s="226"/>
      <c r="T15909" s="226"/>
      <c r="U15909" s="226"/>
    </row>
    <row r="15910" spans="16:21" x14ac:dyDescent="0.35">
      <c r="P15910" s="226"/>
      <c r="Q15910" s="226"/>
      <c r="R15910" s="226"/>
      <c r="S15910" s="226"/>
      <c r="T15910" s="226"/>
      <c r="U15910" s="226"/>
    </row>
    <row r="15911" spans="16:21" x14ac:dyDescent="0.35">
      <c r="P15911" s="226"/>
      <c r="Q15911" s="226"/>
      <c r="R15911" s="226"/>
      <c r="S15911" s="226"/>
      <c r="T15911" s="226"/>
      <c r="U15911" s="226"/>
    </row>
    <row r="15912" spans="16:21" x14ac:dyDescent="0.35">
      <c r="P15912" s="226"/>
      <c r="Q15912" s="226"/>
      <c r="R15912" s="226"/>
      <c r="S15912" s="226"/>
      <c r="T15912" s="226"/>
      <c r="U15912" s="226"/>
    </row>
    <row r="15913" spans="16:21" x14ac:dyDescent="0.35">
      <c r="P15913" s="226"/>
      <c r="Q15913" s="226"/>
      <c r="R15913" s="226"/>
      <c r="S15913" s="226"/>
      <c r="T15913" s="226"/>
      <c r="U15913" s="226"/>
    </row>
    <row r="15914" spans="16:21" x14ac:dyDescent="0.35">
      <c r="P15914" s="226"/>
      <c r="Q15914" s="226"/>
      <c r="R15914" s="226"/>
      <c r="S15914" s="226"/>
      <c r="T15914" s="226"/>
      <c r="U15914" s="226"/>
    </row>
    <row r="15915" spans="16:21" x14ac:dyDescent="0.35">
      <c r="P15915" s="226"/>
      <c r="Q15915" s="226"/>
      <c r="R15915" s="226"/>
      <c r="S15915" s="226"/>
      <c r="T15915" s="226"/>
      <c r="U15915" s="226"/>
    </row>
    <row r="15916" spans="16:21" x14ac:dyDescent="0.35">
      <c r="P15916" s="226"/>
      <c r="Q15916" s="226"/>
      <c r="R15916" s="226"/>
      <c r="S15916" s="226"/>
      <c r="T15916" s="226"/>
      <c r="U15916" s="226"/>
    </row>
    <row r="15917" spans="16:21" x14ac:dyDescent="0.35">
      <c r="P15917" s="226"/>
      <c r="Q15917" s="226"/>
      <c r="R15917" s="226"/>
      <c r="S15917" s="226"/>
      <c r="T15917" s="226"/>
      <c r="U15917" s="226"/>
    </row>
    <row r="15918" spans="16:21" x14ac:dyDescent="0.35">
      <c r="P15918" s="226"/>
      <c r="Q15918" s="226"/>
      <c r="R15918" s="226"/>
      <c r="S15918" s="226"/>
      <c r="T15918" s="226"/>
      <c r="U15918" s="226"/>
    </row>
    <row r="15919" spans="16:21" x14ac:dyDescent="0.35">
      <c r="P15919" s="226"/>
      <c r="Q15919" s="226"/>
      <c r="R15919" s="226"/>
      <c r="S15919" s="226"/>
      <c r="T15919" s="226"/>
      <c r="U15919" s="226"/>
    </row>
    <row r="15920" spans="16:21" x14ac:dyDescent="0.35">
      <c r="P15920" s="226"/>
      <c r="Q15920" s="226"/>
      <c r="R15920" s="226"/>
      <c r="S15920" s="226"/>
      <c r="T15920" s="226"/>
      <c r="U15920" s="226"/>
    </row>
    <row r="15921" spans="16:21" x14ac:dyDescent="0.35">
      <c r="P15921" s="226"/>
      <c r="Q15921" s="226"/>
      <c r="R15921" s="226"/>
      <c r="S15921" s="226"/>
      <c r="T15921" s="226"/>
      <c r="U15921" s="226"/>
    </row>
    <row r="15922" spans="16:21" x14ac:dyDescent="0.35">
      <c r="P15922" s="226"/>
      <c r="Q15922" s="226"/>
      <c r="R15922" s="226"/>
      <c r="S15922" s="226"/>
      <c r="T15922" s="226"/>
      <c r="U15922" s="226"/>
    </row>
    <row r="15923" spans="16:21" x14ac:dyDescent="0.35">
      <c r="P15923" s="226"/>
      <c r="Q15923" s="226"/>
      <c r="R15923" s="226"/>
      <c r="S15923" s="226"/>
      <c r="T15923" s="226"/>
      <c r="U15923" s="226"/>
    </row>
    <row r="15924" spans="16:21" x14ac:dyDescent="0.35">
      <c r="P15924" s="226"/>
      <c r="Q15924" s="226"/>
      <c r="R15924" s="226"/>
      <c r="S15924" s="226"/>
      <c r="T15924" s="226"/>
      <c r="U15924" s="226"/>
    </row>
    <row r="15925" spans="16:21" x14ac:dyDescent="0.35">
      <c r="P15925" s="226"/>
      <c r="Q15925" s="226"/>
      <c r="R15925" s="226"/>
      <c r="S15925" s="226"/>
      <c r="T15925" s="226"/>
      <c r="U15925" s="226"/>
    </row>
    <row r="15926" spans="16:21" x14ac:dyDescent="0.35">
      <c r="P15926" s="226"/>
      <c r="Q15926" s="226"/>
      <c r="R15926" s="226"/>
      <c r="S15926" s="226"/>
      <c r="T15926" s="226"/>
      <c r="U15926" s="226"/>
    </row>
    <row r="15927" spans="16:21" x14ac:dyDescent="0.35">
      <c r="P15927" s="226"/>
      <c r="Q15927" s="226"/>
      <c r="R15927" s="226"/>
      <c r="S15927" s="226"/>
      <c r="T15927" s="226"/>
      <c r="U15927" s="226"/>
    </row>
    <row r="15928" spans="16:21" x14ac:dyDescent="0.35">
      <c r="P15928" s="226"/>
      <c r="Q15928" s="226"/>
      <c r="R15928" s="226"/>
      <c r="S15928" s="226"/>
      <c r="T15928" s="226"/>
      <c r="U15928" s="226"/>
    </row>
    <row r="15929" spans="16:21" x14ac:dyDescent="0.35">
      <c r="P15929" s="226"/>
      <c r="Q15929" s="226"/>
      <c r="R15929" s="226"/>
      <c r="S15929" s="226"/>
      <c r="T15929" s="226"/>
      <c r="U15929" s="226"/>
    </row>
    <row r="15930" spans="16:21" x14ac:dyDescent="0.35">
      <c r="P15930" s="226"/>
      <c r="Q15930" s="226"/>
      <c r="R15930" s="226"/>
      <c r="S15930" s="226"/>
      <c r="T15930" s="226"/>
      <c r="U15930" s="226"/>
    </row>
    <row r="15931" spans="16:21" x14ac:dyDescent="0.35">
      <c r="P15931" s="226"/>
      <c r="Q15931" s="226"/>
      <c r="R15931" s="226"/>
      <c r="S15931" s="226"/>
      <c r="T15931" s="226"/>
      <c r="U15931" s="226"/>
    </row>
    <row r="15932" spans="16:21" x14ac:dyDescent="0.35">
      <c r="P15932" s="226"/>
      <c r="Q15932" s="226"/>
      <c r="R15932" s="226"/>
      <c r="S15932" s="226"/>
      <c r="T15932" s="226"/>
      <c r="U15932" s="226"/>
    </row>
    <row r="15933" spans="16:21" x14ac:dyDescent="0.35">
      <c r="P15933" s="226"/>
      <c r="Q15933" s="226"/>
      <c r="R15933" s="226"/>
      <c r="S15933" s="226"/>
      <c r="T15933" s="226"/>
      <c r="U15933" s="226"/>
    </row>
    <row r="15934" spans="16:21" x14ac:dyDescent="0.35">
      <c r="P15934" s="226"/>
      <c r="Q15934" s="226"/>
      <c r="R15934" s="226"/>
      <c r="S15934" s="226"/>
      <c r="T15934" s="226"/>
      <c r="U15934" s="226"/>
    </row>
    <row r="15935" spans="16:21" x14ac:dyDescent="0.35">
      <c r="P15935" s="226"/>
      <c r="Q15935" s="226"/>
      <c r="R15935" s="226"/>
      <c r="S15935" s="226"/>
      <c r="T15935" s="226"/>
      <c r="U15935" s="226"/>
    </row>
    <row r="15936" spans="16:21" x14ac:dyDescent="0.35">
      <c r="P15936" s="226"/>
      <c r="Q15936" s="226"/>
      <c r="R15936" s="226"/>
      <c r="S15936" s="226"/>
      <c r="T15936" s="226"/>
      <c r="U15936" s="226"/>
    </row>
    <row r="15937" spans="16:21" x14ac:dyDescent="0.35">
      <c r="P15937" s="226"/>
      <c r="Q15937" s="226"/>
      <c r="R15937" s="226"/>
      <c r="S15937" s="226"/>
      <c r="T15937" s="226"/>
      <c r="U15937" s="226"/>
    </row>
    <row r="15938" spans="16:21" x14ac:dyDescent="0.35">
      <c r="P15938" s="226"/>
      <c r="Q15938" s="226"/>
      <c r="R15938" s="226"/>
      <c r="S15938" s="226"/>
      <c r="T15938" s="226"/>
      <c r="U15938" s="226"/>
    </row>
    <row r="15939" spans="16:21" x14ac:dyDescent="0.35">
      <c r="P15939" s="226"/>
      <c r="Q15939" s="226"/>
      <c r="R15939" s="226"/>
      <c r="S15939" s="226"/>
      <c r="T15939" s="226"/>
      <c r="U15939" s="226"/>
    </row>
    <row r="15940" spans="16:21" x14ac:dyDescent="0.35">
      <c r="P15940" s="226"/>
      <c r="Q15940" s="226"/>
      <c r="R15940" s="226"/>
      <c r="S15940" s="226"/>
      <c r="T15940" s="226"/>
      <c r="U15940" s="226"/>
    </row>
    <row r="15941" spans="16:21" x14ac:dyDescent="0.35">
      <c r="P15941" s="226"/>
      <c r="Q15941" s="226"/>
      <c r="R15941" s="226"/>
      <c r="S15941" s="226"/>
      <c r="T15941" s="226"/>
      <c r="U15941" s="226"/>
    </row>
    <row r="15942" spans="16:21" x14ac:dyDescent="0.35">
      <c r="P15942" s="226"/>
      <c r="Q15942" s="226"/>
      <c r="R15942" s="226"/>
      <c r="S15942" s="226"/>
      <c r="T15942" s="226"/>
      <c r="U15942" s="226"/>
    </row>
    <row r="15943" spans="16:21" x14ac:dyDescent="0.35">
      <c r="P15943" s="226"/>
      <c r="Q15943" s="226"/>
      <c r="R15943" s="226"/>
      <c r="S15943" s="226"/>
      <c r="T15943" s="226"/>
      <c r="U15943" s="226"/>
    </row>
    <row r="15944" spans="16:21" x14ac:dyDescent="0.35">
      <c r="P15944" s="226"/>
      <c r="Q15944" s="226"/>
      <c r="R15944" s="226"/>
      <c r="S15944" s="226"/>
      <c r="T15944" s="226"/>
      <c r="U15944" s="226"/>
    </row>
    <row r="15945" spans="16:21" x14ac:dyDescent="0.35">
      <c r="P15945" s="226"/>
      <c r="Q15945" s="226"/>
      <c r="R15945" s="226"/>
      <c r="S15945" s="226"/>
      <c r="T15945" s="226"/>
      <c r="U15945" s="226"/>
    </row>
    <row r="15946" spans="16:21" x14ac:dyDescent="0.35">
      <c r="P15946" s="226"/>
      <c r="Q15946" s="226"/>
      <c r="R15946" s="226"/>
      <c r="S15946" s="226"/>
      <c r="T15946" s="226"/>
      <c r="U15946" s="226"/>
    </row>
    <row r="15947" spans="16:21" x14ac:dyDescent="0.35">
      <c r="P15947" s="226"/>
      <c r="Q15947" s="226"/>
      <c r="R15947" s="226"/>
      <c r="S15947" s="226"/>
      <c r="T15947" s="226"/>
      <c r="U15947" s="226"/>
    </row>
    <row r="15948" spans="16:21" x14ac:dyDescent="0.35">
      <c r="P15948" s="226"/>
      <c r="Q15948" s="226"/>
      <c r="R15948" s="226"/>
      <c r="S15948" s="226"/>
      <c r="T15948" s="226"/>
      <c r="U15948" s="226"/>
    </row>
    <row r="15949" spans="16:21" x14ac:dyDescent="0.35">
      <c r="P15949" s="226"/>
      <c r="Q15949" s="226"/>
      <c r="R15949" s="226"/>
      <c r="S15949" s="226"/>
      <c r="T15949" s="226"/>
      <c r="U15949" s="226"/>
    </row>
    <row r="15950" spans="16:21" x14ac:dyDescent="0.35">
      <c r="P15950" s="226"/>
      <c r="Q15950" s="226"/>
      <c r="R15950" s="226"/>
      <c r="S15950" s="226"/>
      <c r="T15950" s="226"/>
      <c r="U15950" s="226"/>
    </row>
    <row r="15951" spans="16:21" x14ac:dyDescent="0.35">
      <c r="P15951" s="226"/>
      <c r="Q15951" s="226"/>
      <c r="R15951" s="226"/>
      <c r="S15951" s="226"/>
      <c r="T15951" s="226"/>
      <c r="U15951" s="226"/>
    </row>
    <row r="15952" spans="16:21" x14ac:dyDescent="0.35">
      <c r="P15952" s="226"/>
      <c r="Q15952" s="226"/>
      <c r="R15952" s="226"/>
      <c r="S15952" s="226"/>
      <c r="T15952" s="226"/>
      <c r="U15952" s="226"/>
    </row>
    <row r="15953" spans="16:21" x14ac:dyDescent="0.35">
      <c r="P15953" s="226"/>
      <c r="Q15953" s="226"/>
      <c r="R15953" s="226"/>
      <c r="S15953" s="226"/>
      <c r="T15953" s="226"/>
      <c r="U15953" s="226"/>
    </row>
    <row r="15954" spans="16:21" x14ac:dyDescent="0.35">
      <c r="P15954" s="226"/>
      <c r="Q15954" s="226"/>
      <c r="R15954" s="226"/>
      <c r="S15954" s="226"/>
      <c r="T15954" s="226"/>
      <c r="U15954" s="226"/>
    </row>
    <row r="15955" spans="16:21" x14ac:dyDescent="0.35">
      <c r="P15955" s="226"/>
      <c r="Q15955" s="226"/>
      <c r="R15955" s="226"/>
      <c r="S15955" s="226"/>
      <c r="T15955" s="226"/>
      <c r="U15955" s="226"/>
    </row>
    <row r="15956" spans="16:21" x14ac:dyDescent="0.35">
      <c r="P15956" s="226"/>
      <c r="Q15956" s="226"/>
      <c r="R15956" s="226"/>
      <c r="S15956" s="226"/>
      <c r="T15956" s="226"/>
      <c r="U15956" s="226"/>
    </row>
    <row r="15957" spans="16:21" x14ac:dyDescent="0.35">
      <c r="P15957" s="226"/>
      <c r="Q15957" s="226"/>
      <c r="R15957" s="226"/>
      <c r="S15957" s="226"/>
      <c r="T15957" s="226"/>
      <c r="U15957" s="226"/>
    </row>
    <row r="15958" spans="16:21" x14ac:dyDescent="0.35">
      <c r="P15958" s="226"/>
      <c r="Q15958" s="226"/>
      <c r="R15958" s="226"/>
      <c r="S15958" s="226"/>
      <c r="T15958" s="226"/>
      <c r="U15958" s="226"/>
    </row>
    <row r="15959" spans="16:21" x14ac:dyDescent="0.35">
      <c r="P15959" s="226"/>
      <c r="Q15959" s="226"/>
      <c r="R15959" s="226"/>
      <c r="S15959" s="226"/>
      <c r="T15959" s="226"/>
      <c r="U15959" s="226"/>
    </row>
    <row r="15960" spans="16:21" x14ac:dyDescent="0.35">
      <c r="P15960" s="226"/>
      <c r="Q15960" s="226"/>
      <c r="R15960" s="226"/>
      <c r="S15960" s="226"/>
      <c r="T15960" s="226"/>
      <c r="U15960" s="226"/>
    </row>
    <row r="15961" spans="16:21" x14ac:dyDescent="0.35">
      <c r="P15961" s="226"/>
      <c r="Q15961" s="226"/>
      <c r="R15961" s="226"/>
      <c r="S15961" s="226"/>
      <c r="T15961" s="226"/>
      <c r="U15961" s="226"/>
    </row>
    <row r="15962" spans="16:21" x14ac:dyDescent="0.35">
      <c r="P15962" s="226"/>
      <c r="Q15962" s="226"/>
      <c r="R15962" s="226"/>
      <c r="S15962" s="226"/>
      <c r="T15962" s="226"/>
      <c r="U15962" s="226"/>
    </row>
    <row r="15963" spans="16:21" x14ac:dyDescent="0.35">
      <c r="P15963" s="226"/>
      <c r="Q15963" s="226"/>
      <c r="R15963" s="226"/>
      <c r="S15963" s="226"/>
      <c r="T15963" s="226"/>
      <c r="U15963" s="226"/>
    </row>
    <row r="15964" spans="16:21" x14ac:dyDescent="0.35">
      <c r="P15964" s="226"/>
      <c r="Q15964" s="226"/>
      <c r="R15964" s="226"/>
      <c r="S15964" s="226"/>
      <c r="T15964" s="226"/>
      <c r="U15964" s="226"/>
    </row>
    <row r="15965" spans="16:21" x14ac:dyDescent="0.35">
      <c r="P15965" s="226"/>
      <c r="Q15965" s="226"/>
      <c r="R15965" s="226"/>
      <c r="S15965" s="226"/>
      <c r="T15965" s="226"/>
      <c r="U15965" s="226"/>
    </row>
    <row r="15966" spans="16:21" x14ac:dyDescent="0.35">
      <c r="P15966" s="226"/>
      <c r="Q15966" s="226"/>
      <c r="R15966" s="226"/>
      <c r="S15966" s="226"/>
      <c r="T15966" s="226"/>
      <c r="U15966" s="226"/>
    </row>
    <row r="15967" spans="16:21" x14ac:dyDescent="0.35">
      <c r="P15967" s="226"/>
      <c r="Q15967" s="226"/>
      <c r="R15967" s="226"/>
      <c r="S15967" s="226"/>
      <c r="T15967" s="226"/>
      <c r="U15967" s="226"/>
    </row>
    <row r="15968" spans="16:21" x14ac:dyDescent="0.35">
      <c r="P15968" s="226"/>
      <c r="Q15968" s="226"/>
      <c r="R15968" s="226"/>
      <c r="S15968" s="226"/>
      <c r="T15968" s="226"/>
      <c r="U15968" s="226"/>
    </row>
    <row r="15969" spans="16:21" x14ac:dyDescent="0.35">
      <c r="P15969" s="226"/>
      <c r="Q15969" s="226"/>
      <c r="R15969" s="226"/>
      <c r="S15969" s="226"/>
      <c r="T15969" s="226"/>
      <c r="U15969" s="226"/>
    </row>
    <row r="15970" spans="16:21" x14ac:dyDescent="0.35">
      <c r="P15970" s="226"/>
      <c r="Q15970" s="226"/>
      <c r="R15970" s="226"/>
      <c r="S15970" s="226"/>
      <c r="T15970" s="226"/>
      <c r="U15970" s="226"/>
    </row>
    <row r="15971" spans="16:21" x14ac:dyDescent="0.35">
      <c r="P15971" s="226"/>
      <c r="Q15971" s="226"/>
      <c r="R15971" s="226"/>
      <c r="S15971" s="226"/>
      <c r="T15971" s="226"/>
      <c r="U15971" s="226"/>
    </row>
    <row r="15972" spans="16:21" x14ac:dyDescent="0.35">
      <c r="P15972" s="226"/>
      <c r="Q15972" s="226"/>
      <c r="R15972" s="226"/>
      <c r="S15972" s="226"/>
      <c r="T15972" s="226"/>
      <c r="U15972" s="226"/>
    </row>
    <row r="15973" spans="16:21" x14ac:dyDescent="0.35">
      <c r="P15973" s="226"/>
      <c r="Q15973" s="226"/>
      <c r="R15973" s="226"/>
      <c r="S15973" s="226"/>
      <c r="T15973" s="226"/>
      <c r="U15973" s="226"/>
    </row>
    <row r="15974" spans="16:21" x14ac:dyDescent="0.35">
      <c r="P15974" s="226"/>
      <c r="Q15974" s="226"/>
      <c r="R15974" s="226"/>
      <c r="S15974" s="226"/>
      <c r="T15974" s="226"/>
      <c r="U15974" s="226"/>
    </row>
    <row r="15975" spans="16:21" x14ac:dyDescent="0.35">
      <c r="P15975" s="226"/>
      <c r="Q15975" s="226"/>
      <c r="R15975" s="226"/>
      <c r="S15975" s="226"/>
      <c r="T15975" s="226"/>
      <c r="U15975" s="226"/>
    </row>
    <row r="15976" spans="16:21" x14ac:dyDescent="0.35">
      <c r="P15976" s="226"/>
      <c r="Q15976" s="226"/>
      <c r="R15976" s="226"/>
      <c r="S15976" s="226"/>
      <c r="T15976" s="226"/>
      <c r="U15976" s="226"/>
    </row>
    <row r="15977" spans="16:21" x14ac:dyDescent="0.35">
      <c r="P15977" s="226"/>
      <c r="Q15977" s="226"/>
      <c r="R15977" s="226"/>
      <c r="S15977" s="226"/>
      <c r="T15977" s="226"/>
      <c r="U15977" s="226"/>
    </row>
    <row r="15978" spans="16:21" x14ac:dyDescent="0.35">
      <c r="P15978" s="226"/>
      <c r="Q15978" s="226"/>
      <c r="R15978" s="226"/>
      <c r="S15978" s="226"/>
      <c r="T15978" s="226"/>
      <c r="U15978" s="226"/>
    </row>
    <row r="15979" spans="16:21" x14ac:dyDescent="0.35">
      <c r="P15979" s="226"/>
      <c r="Q15979" s="226"/>
      <c r="R15979" s="226"/>
      <c r="S15979" s="226"/>
      <c r="T15979" s="226"/>
      <c r="U15979" s="226"/>
    </row>
    <row r="15980" spans="16:21" x14ac:dyDescent="0.35">
      <c r="P15980" s="226"/>
      <c r="Q15980" s="226"/>
      <c r="R15980" s="226"/>
      <c r="S15980" s="226"/>
      <c r="T15980" s="226"/>
      <c r="U15980" s="226"/>
    </row>
    <row r="15981" spans="16:21" x14ac:dyDescent="0.35">
      <c r="P15981" s="226"/>
      <c r="Q15981" s="226"/>
      <c r="R15981" s="226"/>
      <c r="S15981" s="226"/>
      <c r="T15981" s="226"/>
      <c r="U15981" s="226"/>
    </row>
    <row r="15982" spans="16:21" x14ac:dyDescent="0.35">
      <c r="P15982" s="226"/>
      <c r="Q15982" s="226"/>
      <c r="R15982" s="226"/>
      <c r="S15982" s="226"/>
      <c r="T15982" s="226"/>
      <c r="U15982" s="226"/>
    </row>
    <row r="15983" spans="16:21" x14ac:dyDescent="0.35">
      <c r="P15983" s="226"/>
      <c r="Q15983" s="226"/>
      <c r="R15983" s="226"/>
      <c r="S15983" s="226"/>
      <c r="T15983" s="226"/>
      <c r="U15983" s="226"/>
    </row>
    <row r="15984" spans="16:21" x14ac:dyDescent="0.35">
      <c r="P15984" s="226"/>
      <c r="Q15984" s="226"/>
      <c r="R15984" s="226"/>
      <c r="S15984" s="226"/>
      <c r="T15984" s="226"/>
      <c r="U15984" s="226"/>
    </row>
    <row r="15985" spans="16:21" x14ac:dyDescent="0.35">
      <c r="P15985" s="226"/>
      <c r="Q15985" s="226"/>
      <c r="R15985" s="226"/>
      <c r="S15985" s="226"/>
      <c r="T15985" s="226"/>
      <c r="U15985" s="226"/>
    </row>
    <row r="15986" spans="16:21" x14ac:dyDescent="0.35">
      <c r="P15986" s="226"/>
      <c r="Q15986" s="226"/>
      <c r="R15986" s="226"/>
      <c r="S15986" s="226"/>
      <c r="T15986" s="226"/>
      <c r="U15986" s="226"/>
    </row>
    <row r="15987" spans="16:21" x14ac:dyDescent="0.35">
      <c r="P15987" s="226"/>
      <c r="Q15987" s="226"/>
      <c r="R15987" s="226"/>
      <c r="S15987" s="226"/>
      <c r="T15987" s="226"/>
      <c r="U15987" s="226"/>
    </row>
    <row r="15988" spans="16:21" x14ac:dyDescent="0.35">
      <c r="P15988" s="226"/>
      <c r="Q15988" s="226"/>
      <c r="R15988" s="226"/>
      <c r="S15988" s="226"/>
      <c r="T15988" s="226"/>
      <c r="U15988" s="226"/>
    </row>
    <row r="15989" spans="16:21" x14ac:dyDescent="0.35">
      <c r="P15989" s="226"/>
      <c r="Q15989" s="226"/>
      <c r="R15989" s="226"/>
      <c r="S15989" s="226"/>
      <c r="T15989" s="226"/>
      <c r="U15989" s="226"/>
    </row>
    <row r="15990" spans="16:21" x14ac:dyDescent="0.35">
      <c r="P15990" s="226"/>
      <c r="Q15990" s="226"/>
      <c r="R15990" s="226"/>
      <c r="S15990" s="226"/>
      <c r="T15990" s="226"/>
      <c r="U15990" s="226"/>
    </row>
    <row r="15991" spans="16:21" x14ac:dyDescent="0.35">
      <c r="P15991" s="226"/>
      <c r="Q15991" s="226"/>
      <c r="R15991" s="226"/>
      <c r="S15991" s="226"/>
      <c r="T15991" s="226"/>
      <c r="U15991" s="226"/>
    </row>
    <row r="15992" spans="16:21" x14ac:dyDescent="0.35">
      <c r="P15992" s="226"/>
      <c r="Q15992" s="226"/>
      <c r="R15992" s="226"/>
      <c r="S15992" s="226"/>
      <c r="T15992" s="226"/>
      <c r="U15992" s="226"/>
    </row>
    <row r="15993" spans="16:21" x14ac:dyDescent="0.35">
      <c r="P15993" s="226"/>
      <c r="Q15993" s="226"/>
      <c r="R15993" s="226"/>
      <c r="S15993" s="226"/>
      <c r="T15993" s="226"/>
      <c r="U15993" s="226"/>
    </row>
    <row r="15994" spans="16:21" x14ac:dyDescent="0.35">
      <c r="P15994" s="226"/>
      <c r="Q15994" s="226"/>
      <c r="R15994" s="226"/>
      <c r="S15994" s="226"/>
      <c r="T15994" s="226"/>
      <c r="U15994" s="226"/>
    </row>
    <row r="15995" spans="16:21" x14ac:dyDescent="0.35">
      <c r="P15995" s="226"/>
      <c r="Q15995" s="226"/>
      <c r="R15995" s="226"/>
      <c r="S15995" s="226"/>
      <c r="T15995" s="226"/>
      <c r="U15995" s="226"/>
    </row>
    <row r="15996" spans="16:21" x14ac:dyDescent="0.35">
      <c r="P15996" s="226"/>
      <c r="Q15996" s="226"/>
      <c r="R15996" s="226"/>
      <c r="S15996" s="226"/>
      <c r="T15996" s="226"/>
      <c r="U15996" s="226"/>
    </row>
    <row r="15997" spans="16:21" x14ac:dyDescent="0.35">
      <c r="P15997" s="226"/>
      <c r="Q15997" s="226"/>
      <c r="R15997" s="226"/>
      <c r="S15997" s="226"/>
      <c r="T15997" s="226"/>
      <c r="U15997" s="226"/>
    </row>
    <row r="15998" spans="16:21" x14ac:dyDescent="0.35">
      <c r="P15998" s="226"/>
      <c r="Q15998" s="226"/>
      <c r="R15998" s="226"/>
      <c r="S15998" s="226"/>
      <c r="T15998" s="226"/>
      <c r="U15998" s="226"/>
    </row>
    <row r="15999" spans="16:21" x14ac:dyDescent="0.35">
      <c r="P15999" s="226"/>
      <c r="Q15999" s="226"/>
      <c r="R15999" s="226"/>
      <c r="S15999" s="226"/>
      <c r="T15999" s="226"/>
      <c r="U15999" s="226"/>
    </row>
    <row r="16000" spans="16:21" x14ac:dyDescent="0.35">
      <c r="P16000" s="226"/>
      <c r="Q16000" s="226"/>
      <c r="R16000" s="226"/>
      <c r="S16000" s="226"/>
      <c r="T16000" s="226"/>
      <c r="U16000" s="226"/>
    </row>
    <row r="16001" spans="16:21" x14ac:dyDescent="0.35">
      <c r="P16001" s="226"/>
      <c r="Q16001" s="226"/>
      <c r="R16001" s="226"/>
      <c r="S16001" s="226"/>
      <c r="T16001" s="226"/>
      <c r="U16001" s="226"/>
    </row>
    <row r="16002" spans="16:21" x14ac:dyDescent="0.35">
      <c r="P16002" s="226"/>
      <c r="Q16002" s="226"/>
      <c r="R16002" s="226"/>
      <c r="S16002" s="226"/>
      <c r="T16002" s="226"/>
      <c r="U16002" s="226"/>
    </row>
    <row r="16003" spans="16:21" x14ac:dyDescent="0.35">
      <c r="P16003" s="226"/>
      <c r="Q16003" s="226"/>
      <c r="R16003" s="226"/>
      <c r="S16003" s="226"/>
      <c r="T16003" s="226"/>
      <c r="U16003" s="226"/>
    </row>
    <row r="16004" spans="16:21" x14ac:dyDescent="0.35">
      <c r="P16004" s="226"/>
      <c r="Q16004" s="226"/>
      <c r="R16004" s="226"/>
      <c r="S16004" s="226"/>
      <c r="T16004" s="226"/>
      <c r="U16004" s="226"/>
    </row>
    <row r="16005" spans="16:21" x14ac:dyDescent="0.35">
      <c r="P16005" s="226"/>
      <c r="Q16005" s="226"/>
      <c r="R16005" s="226"/>
      <c r="S16005" s="226"/>
      <c r="T16005" s="226"/>
      <c r="U16005" s="226"/>
    </row>
    <row r="16006" spans="16:21" x14ac:dyDescent="0.35">
      <c r="P16006" s="226"/>
      <c r="Q16006" s="226"/>
      <c r="R16006" s="226"/>
      <c r="S16006" s="226"/>
      <c r="T16006" s="226"/>
      <c r="U16006" s="226"/>
    </row>
    <row r="16007" spans="16:21" x14ac:dyDescent="0.35">
      <c r="P16007" s="226"/>
      <c r="Q16007" s="226"/>
      <c r="R16007" s="226"/>
      <c r="S16007" s="226"/>
      <c r="T16007" s="226"/>
      <c r="U16007" s="226"/>
    </row>
    <row r="16008" spans="16:21" x14ac:dyDescent="0.35">
      <c r="P16008" s="226"/>
      <c r="Q16008" s="226"/>
      <c r="R16008" s="226"/>
      <c r="S16008" s="226"/>
      <c r="T16008" s="226"/>
      <c r="U16008" s="226"/>
    </row>
    <row r="16009" spans="16:21" x14ac:dyDescent="0.35">
      <c r="P16009" s="226"/>
      <c r="Q16009" s="226"/>
      <c r="R16009" s="226"/>
      <c r="S16009" s="226"/>
      <c r="T16009" s="226"/>
      <c r="U16009" s="226"/>
    </row>
    <row r="16010" spans="16:21" x14ac:dyDescent="0.35">
      <c r="P16010" s="226"/>
      <c r="Q16010" s="226"/>
      <c r="R16010" s="226"/>
      <c r="S16010" s="226"/>
      <c r="T16010" s="226"/>
      <c r="U16010" s="226"/>
    </row>
    <row r="16011" spans="16:21" x14ac:dyDescent="0.35">
      <c r="P16011" s="226"/>
      <c r="Q16011" s="226"/>
      <c r="R16011" s="226"/>
      <c r="S16011" s="226"/>
      <c r="T16011" s="226"/>
      <c r="U16011" s="226"/>
    </row>
    <row r="16012" spans="16:21" x14ac:dyDescent="0.35">
      <c r="P16012" s="226"/>
      <c r="Q16012" s="226"/>
      <c r="R16012" s="226"/>
      <c r="S16012" s="226"/>
      <c r="T16012" s="226"/>
      <c r="U16012" s="226"/>
    </row>
    <row r="16013" spans="16:21" x14ac:dyDescent="0.35">
      <c r="P16013" s="226"/>
      <c r="Q16013" s="226"/>
      <c r="R16013" s="226"/>
      <c r="S16013" s="226"/>
      <c r="T16013" s="226"/>
      <c r="U16013" s="226"/>
    </row>
    <row r="16014" spans="16:21" x14ac:dyDescent="0.35">
      <c r="P16014" s="226"/>
      <c r="Q16014" s="226"/>
      <c r="R16014" s="226"/>
      <c r="S16014" s="226"/>
      <c r="T16014" s="226"/>
      <c r="U16014" s="226"/>
    </row>
    <row r="16015" spans="16:21" x14ac:dyDescent="0.35">
      <c r="P16015" s="226"/>
      <c r="Q16015" s="226"/>
      <c r="R16015" s="226"/>
      <c r="S16015" s="226"/>
      <c r="T16015" s="226"/>
      <c r="U16015" s="226"/>
    </row>
    <row r="16016" spans="16:21" x14ac:dyDescent="0.35">
      <c r="P16016" s="226"/>
      <c r="Q16016" s="226"/>
      <c r="R16016" s="226"/>
      <c r="S16016" s="226"/>
      <c r="T16016" s="226"/>
      <c r="U16016" s="226"/>
    </row>
    <row r="16017" spans="16:21" x14ac:dyDescent="0.35">
      <c r="P16017" s="226"/>
      <c r="Q16017" s="226"/>
      <c r="R16017" s="226"/>
      <c r="S16017" s="226"/>
      <c r="T16017" s="226"/>
      <c r="U16017" s="226"/>
    </row>
    <row r="16018" spans="16:21" x14ac:dyDescent="0.35">
      <c r="P16018" s="226"/>
      <c r="Q16018" s="226"/>
      <c r="R16018" s="226"/>
      <c r="S16018" s="226"/>
      <c r="T16018" s="226"/>
      <c r="U16018" s="226"/>
    </row>
    <row r="16019" spans="16:21" x14ac:dyDescent="0.35">
      <c r="P16019" s="226"/>
      <c r="Q16019" s="226"/>
      <c r="R16019" s="226"/>
      <c r="S16019" s="226"/>
      <c r="T16019" s="226"/>
      <c r="U16019" s="226"/>
    </row>
    <row r="16020" spans="16:21" x14ac:dyDescent="0.35">
      <c r="P16020" s="226"/>
      <c r="Q16020" s="226"/>
      <c r="R16020" s="226"/>
      <c r="S16020" s="226"/>
      <c r="T16020" s="226"/>
      <c r="U16020" s="226"/>
    </row>
    <row r="16021" spans="16:21" x14ac:dyDescent="0.35">
      <c r="P16021" s="226"/>
      <c r="Q16021" s="226"/>
      <c r="R16021" s="226"/>
      <c r="S16021" s="226"/>
      <c r="T16021" s="226"/>
      <c r="U16021" s="226"/>
    </row>
    <row r="16022" spans="16:21" x14ac:dyDescent="0.35">
      <c r="P16022" s="226"/>
      <c r="Q16022" s="226"/>
      <c r="R16022" s="226"/>
      <c r="S16022" s="226"/>
      <c r="T16022" s="226"/>
      <c r="U16022" s="226"/>
    </row>
    <row r="16023" spans="16:21" x14ac:dyDescent="0.35">
      <c r="P16023" s="226"/>
      <c r="Q16023" s="226"/>
      <c r="R16023" s="226"/>
      <c r="S16023" s="226"/>
      <c r="T16023" s="226"/>
      <c r="U16023" s="226"/>
    </row>
    <row r="16024" spans="16:21" x14ac:dyDescent="0.35">
      <c r="P16024" s="226"/>
      <c r="Q16024" s="226"/>
      <c r="R16024" s="226"/>
      <c r="S16024" s="226"/>
      <c r="T16024" s="226"/>
      <c r="U16024" s="226"/>
    </row>
    <row r="16025" spans="16:21" x14ac:dyDescent="0.35">
      <c r="P16025" s="226"/>
      <c r="Q16025" s="226"/>
      <c r="R16025" s="226"/>
      <c r="S16025" s="226"/>
      <c r="T16025" s="226"/>
      <c r="U16025" s="226"/>
    </row>
    <row r="16026" spans="16:21" x14ac:dyDescent="0.35">
      <c r="P16026" s="226"/>
      <c r="Q16026" s="226"/>
      <c r="R16026" s="226"/>
      <c r="S16026" s="226"/>
      <c r="T16026" s="226"/>
      <c r="U16026" s="226"/>
    </row>
    <row r="16027" spans="16:21" x14ac:dyDescent="0.35">
      <c r="P16027" s="226"/>
      <c r="Q16027" s="226"/>
      <c r="R16027" s="226"/>
      <c r="S16027" s="226"/>
      <c r="T16027" s="226"/>
      <c r="U16027" s="226"/>
    </row>
    <row r="16028" spans="16:21" x14ac:dyDescent="0.35">
      <c r="P16028" s="226"/>
      <c r="Q16028" s="226"/>
      <c r="R16028" s="226"/>
      <c r="S16028" s="226"/>
      <c r="T16028" s="226"/>
      <c r="U16028" s="226"/>
    </row>
    <row r="16029" spans="16:21" x14ac:dyDescent="0.35">
      <c r="P16029" s="226"/>
      <c r="Q16029" s="226"/>
      <c r="R16029" s="226"/>
      <c r="S16029" s="226"/>
      <c r="T16029" s="226"/>
      <c r="U16029" s="226"/>
    </row>
    <row r="16030" spans="16:21" x14ac:dyDescent="0.35">
      <c r="P16030" s="226"/>
      <c r="Q16030" s="226"/>
      <c r="R16030" s="226"/>
      <c r="S16030" s="226"/>
      <c r="T16030" s="226"/>
      <c r="U16030" s="226"/>
    </row>
    <row r="16031" spans="16:21" x14ac:dyDescent="0.35">
      <c r="P16031" s="226"/>
      <c r="Q16031" s="226"/>
      <c r="R16031" s="226"/>
      <c r="S16031" s="226"/>
      <c r="T16031" s="226"/>
      <c r="U16031" s="226"/>
    </row>
    <row r="16032" spans="16:21" x14ac:dyDescent="0.35">
      <c r="P16032" s="226"/>
      <c r="Q16032" s="226"/>
      <c r="R16032" s="226"/>
      <c r="S16032" s="226"/>
      <c r="T16032" s="226"/>
      <c r="U16032" s="226"/>
    </row>
    <row r="16033" spans="16:21" x14ac:dyDescent="0.35">
      <c r="P16033" s="226"/>
      <c r="Q16033" s="226"/>
      <c r="R16033" s="226"/>
      <c r="S16033" s="226"/>
      <c r="T16033" s="226"/>
      <c r="U16033" s="226"/>
    </row>
    <row r="16034" spans="16:21" x14ac:dyDescent="0.35">
      <c r="P16034" s="226"/>
      <c r="Q16034" s="226"/>
      <c r="R16034" s="226"/>
      <c r="S16034" s="226"/>
      <c r="T16034" s="226"/>
      <c r="U16034" s="226"/>
    </row>
    <row r="16035" spans="16:21" x14ac:dyDescent="0.35">
      <c r="P16035" s="226"/>
      <c r="Q16035" s="226"/>
      <c r="R16035" s="226"/>
      <c r="S16035" s="226"/>
      <c r="T16035" s="226"/>
      <c r="U16035" s="226"/>
    </row>
    <row r="16036" spans="16:21" x14ac:dyDescent="0.35">
      <c r="P16036" s="226"/>
      <c r="Q16036" s="226"/>
      <c r="R16036" s="226"/>
      <c r="S16036" s="226"/>
      <c r="T16036" s="226"/>
      <c r="U16036" s="226"/>
    </row>
    <row r="16037" spans="16:21" x14ac:dyDescent="0.35">
      <c r="P16037" s="226"/>
      <c r="Q16037" s="226"/>
      <c r="R16037" s="226"/>
      <c r="S16037" s="226"/>
      <c r="T16037" s="226"/>
      <c r="U16037" s="226"/>
    </row>
    <row r="16038" spans="16:21" x14ac:dyDescent="0.35">
      <c r="P16038" s="226"/>
      <c r="Q16038" s="226"/>
      <c r="R16038" s="226"/>
      <c r="S16038" s="226"/>
      <c r="T16038" s="226"/>
      <c r="U16038" s="226"/>
    </row>
    <row r="16039" spans="16:21" x14ac:dyDescent="0.35">
      <c r="P16039" s="226"/>
      <c r="Q16039" s="226"/>
      <c r="R16039" s="226"/>
      <c r="S16039" s="226"/>
      <c r="T16039" s="226"/>
      <c r="U16039" s="226"/>
    </row>
    <row r="16040" spans="16:21" x14ac:dyDescent="0.35">
      <c r="P16040" s="226"/>
      <c r="Q16040" s="226"/>
      <c r="R16040" s="226"/>
      <c r="S16040" s="226"/>
      <c r="T16040" s="226"/>
      <c r="U16040" s="226"/>
    </row>
    <row r="16041" spans="16:21" x14ac:dyDescent="0.35">
      <c r="P16041" s="226"/>
      <c r="Q16041" s="226"/>
      <c r="R16041" s="226"/>
      <c r="S16041" s="226"/>
      <c r="T16041" s="226"/>
      <c r="U16041" s="226"/>
    </row>
    <row r="16042" spans="16:21" x14ac:dyDescent="0.35">
      <c r="P16042" s="226"/>
      <c r="Q16042" s="226"/>
      <c r="R16042" s="226"/>
      <c r="S16042" s="226"/>
      <c r="T16042" s="226"/>
      <c r="U16042" s="226"/>
    </row>
    <row r="16043" spans="16:21" x14ac:dyDescent="0.35">
      <c r="P16043" s="226"/>
      <c r="Q16043" s="226"/>
      <c r="R16043" s="226"/>
      <c r="S16043" s="226"/>
      <c r="T16043" s="226"/>
      <c r="U16043" s="226"/>
    </row>
    <row r="16044" spans="16:21" x14ac:dyDescent="0.35">
      <c r="P16044" s="226"/>
      <c r="Q16044" s="226"/>
      <c r="R16044" s="226"/>
      <c r="S16044" s="226"/>
      <c r="T16044" s="226"/>
      <c r="U16044" s="226"/>
    </row>
    <row r="16045" spans="16:21" x14ac:dyDescent="0.35">
      <c r="P16045" s="226"/>
      <c r="Q16045" s="226"/>
      <c r="R16045" s="226"/>
      <c r="S16045" s="226"/>
      <c r="T16045" s="226"/>
      <c r="U16045" s="226"/>
    </row>
    <row r="16046" spans="16:21" x14ac:dyDescent="0.35">
      <c r="P16046" s="226"/>
      <c r="Q16046" s="226"/>
      <c r="R16046" s="226"/>
      <c r="S16046" s="226"/>
      <c r="T16046" s="226"/>
      <c r="U16046" s="226"/>
    </row>
    <row r="16047" spans="16:21" x14ac:dyDescent="0.35">
      <c r="P16047" s="226"/>
      <c r="Q16047" s="226"/>
      <c r="R16047" s="226"/>
      <c r="S16047" s="226"/>
      <c r="T16047" s="226"/>
      <c r="U16047" s="226"/>
    </row>
    <row r="16048" spans="16:21" x14ac:dyDescent="0.35">
      <c r="P16048" s="226"/>
      <c r="Q16048" s="226"/>
      <c r="R16048" s="226"/>
      <c r="S16048" s="226"/>
      <c r="T16048" s="226"/>
      <c r="U16048" s="226"/>
    </row>
    <row r="16049" spans="16:21" x14ac:dyDescent="0.35">
      <c r="P16049" s="226"/>
      <c r="Q16049" s="226"/>
      <c r="R16049" s="226"/>
      <c r="S16049" s="226"/>
      <c r="T16049" s="226"/>
      <c r="U16049" s="226"/>
    </row>
    <row r="16050" spans="16:21" x14ac:dyDescent="0.35">
      <c r="P16050" s="226"/>
      <c r="Q16050" s="226"/>
      <c r="R16050" s="226"/>
      <c r="S16050" s="226"/>
      <c r="T16050" s="226"/>
      <c r="U16050" s="226"/>
    </row>
    <row r="16051" spans="16:21" x14ac:dyDescent="0.35">
      <c r="P16051" s="226"/>
      <c r="Q16051" s="226"/>
      <c r="R16051" s="226"/>
      <c r="S16051" s="226"/>
      <c r="T16051" s="226"/>
      <c r="U16051" s="226"/>
    </row>
    <row r="16052" spans="16:21" x14ac:dyDescent="0.35">
      <c r="P16052" s="226"/>
      <c r="Q16052" s="226"/>
      <c r="R16052" s="226"/>
      <c r="S16052" s="226"/>
      <c r="T16052" s="226"/>
      <c r="U16052" s="226"/>
    </row>
    <row r="16053" spans="16:21" x14ac:dyDescent="0.35">
      <c r="P16053" s="226"/>
      <c r="Q16053" s="226"/>
      <c r="R16053" s="226"/>
      <c r="S16053" s="226"/>
      <c r="T16053" s="226"/>
      <c r="U16053" s="226"/>
    </row>
    <row r="16054" spans="16:21" x14ac:dyDescent="0.35">
      <c r="P16054" s="226"/>
      <c r="Q16054" s="226"/>
      <c r="R16054" s="226"/>
      <c r="S16054" s="226"/>
      <c r="T16054" s="226"/>
      <c r="U16054" s="226"/>
    </row>
    <row r="16055" spans="16:21" x14ac:dyDescent="0.35">
      <c r="P16055" s="226"/>
      <c r="Q16055" s="226"/>
      <c r="R16055" s="226"/>
      <c r="S16055" s="226"/>
      <c r="T16055" s="226"/>
      <c r="U16055" s="226"/>
    </row>
    <row r="16056" spans="16:21" x14ac:dyDescent="0.35">
      <c r="P16056" s="226"/>
      <c r="Q16056" s="226"/>
      <c r="R16056" s="226"/>
      <c r="S16056" s="226"/>
      <c r="T16056" s="226"/>
      <c r="U16056" s="226"/>
    </row>
    <row r="16057" spans="16:21" x14ac:dyDescent="0.35">
      <c r="P16057" s="226"/>
      <c r="Q16057" s="226"/>
      <c r="R16057" s="226"/>
      <c r="S16057" s="226"/>
      <c r="T16057" s="226"/>
      <c r="U16057" s="226"/>
    </row>
    <row r="16058" spans="16:21" x14ac:dyDescent="0.35">
      <c r="P16058" s="226"/>
      <c r="Q16058" s="226"/>
      <c r="R16058" s="226"/>
      <c r="S16058" s="226"/>
      <c r="T16058" s="226"/>
      <c r="U16058" s="226"/>
    </row>
    <row r="16059" spans="16:21" x14ac:dyDescent="0.35">
      <c r="P16059" s="226"/>
      <c r="Q16059" s="226"/>
      <c r="R16059" s="226"/>
      <c r="S16059" s="226"/>
      <c r="T16059" s="226"/>
      <c r="U16059" s="226"/>
    </row>
    <row r="16060" spans="16:21" x14ac:dyDescent="0.35">
      <c r="P16060" s="226"/>
      <c r="Q16060" s="226"/>
      <c r="R16060" s="226"/>
      <c r="S16060" s="226"/>
      <c r="T16060" s="226"/>
      <c r="U16060" s="226"/>
    </row>
    <row r="16061" spans="16:21" x14ac:dyDescent="0.35">
      <c r="P16061" s="226"/>
      <c r="Q16061" s="226"/>
      <c r="R16061" s="226"/>
      <c r="S16061" s="226"/>
      <c r="T16061" s="226"/>
      <c r="U16061" s="226"/>
    </row>
    <row r="16062" spans="16:21" x14ac:dyDescent="0.35">
      <c r="P16062" s="226"/>
      <c r="Q16062" s="226"/>
      <c r="R16062" s="226"/>
      <c r="S16062" s="226"/>
      <c r="T16062" s="226"/>
      <c r="U16062" s="226"/>
    </row>
    <row r="16063" spans="16:21" x14ac:dyDescent="0.35">
      <c r="P16063" s="226"/>
      <c r="Q16063" s="226"/>
      <c r="R16063" s="226"/>
      <c r="S16063" s="226"/>
      <c r="T16063" s="226"/>
      <c r="U16063" s="226"/>
    </row>
    <row r="16064" spans="16:21" x14ac:dyDescent="0.35">
      <c r="P16064" s="226"/>
      <c r="Q16064" s="226"/>
      <c r="R16064" s="226"/>
      <c r="S16064" s="226"/>
      <c r="T16064" s="226"/>
      <c r="U16064" s="226"/>
    </row>
    <row r="16065" spans="16:21" x14ac:dyDescent="0.35">
      <c r="P16065" s="226"/>
      <c r="Q16065" s="226"/>
      <c r="R16065" s="226"/>
      <c r="S16065" s="226"/>
      <c r="T16065" s="226"/>
      <c r="U16065" s="226"/>
    </row>
    <row r="16066" spans="16:21" x14ac:dyDescent="0.35">
      <c r="P16066" s="226"/>
      <c r="Q16066" s="226"/>
      <c r="R16066" s="226"/>
      <c r="S16066" s="226"/>
      <c r="T16066" s="226"/>
      <c r="U16066" s="226"/>
    </row>
    <row r="16067" spans="16:21" x14ac:dyDescent="0.35">
      <c r="P16067" s="226"/>
      <c r="Q16067" s="226"/>
      <c r="R16067" s="226"/>
      <c r="S16067" s="226"/>
      <c r="T16067" s="226"/>
      <c r="U16067" s="226"/>
    </row>
    <row r="16068" spans="16:21" x14ac:dyDescent="0.35">
      <c r="P16068" s="226"/>
      <c r="Q16068" s="226"/>
      <c r="R16068" s="226"/>
      <c r="S16068" s="226"/>
      <c r="T16068" s="226"/>
      <c r="U16068" s="226"/>
    </row>
    <row r="16069" spans="16:21" x14ac:dyDescent="0.35">
      <c r="P16069" s="226"/>
      <c r="Q16069" s="226"/>
      <c r="R16069" s="226"/>
      <c r="S16069" s="226"/>
      <c r="T16069" s="226"/>
      <c r="U16069" s="226"/>
    </row>
    <row r="16070" spans="16:21" x14ac:dyDescent="0.35">
      <c r="P16070" s="226"/>
      <c r="Q16070" s="226"/>
      <c r="R16070" s="226"/>
      <c r="S16070" s="226"/>
      <c r="T16070" s="226"/>
      <c r="U16070" s="226"/>
    </row>
    <row r="16071" spans="16:21" x14ac:dyDescent="0.35">
      <c r="P16071" s="226"/>
      <c r="Q16071" s="226"/>
      <c r="R16071" s="226"/>
      <c r="S16071" s="226"/>
      <c r="T16071" s="226"/>
      <c r="U16071" s="226"/>
    </row>
    <row r="16072" spans="16:21" x14ac:dyDescent="0.35">
      <c r="P16072" s="226"/>
      <c r="Q16072" s="226"/>
      <c r="R16072" s="226"/>
      <c r="S16072" s="226"/>
      <c r="T16072" s="226"/>
      <c r="U16072" s="226"/>
    </row>
    <row r="16073" spans="16:21" x14ac:dyDescent="0.35">
      <c r="P16073" s="226"/>
      <c r="Q16073" s="226"/>
      <c r="R16073" s="226"/>
      <c r="S16073" s="226"/>
      <c r="T16073" s="226"/>
      <c r="U16073" s="226"/>
    </row>
    <row r="16074" spans="16:21" x14ac:dyDescent="0.35">
      <c r="P16074" s="226"/>
      <c r="Q16074" s="226"/>
      <c r="R16074" s="226"/>
      <c r="S16074" s="226"/>
      <c r="T16074" s="226"/>
      <c r="U16074" s="226"/>
    </row>
    <row r="16075" spans="16:21" x14ac:dyDescent="0.35">
      <c r="P16075" s="226"/>
      <c r="Q16075" s="226"/>
      <c r="R16075" s="226"/>
      <c r="S16075" s="226"/>
      <c r="T16075" s="226"/>
      <c r="U16075" s="226"/>
    </row>
    <row r="16076" spans="16:21" x14ac:dyDescent="0.35">
      <c r="P16076" s="226"/>
      <c r="Q16076" s="226"/>
      <c r="R16076" s="226"/>
      <c r="S16076" s="226"/>
      <c r="T16076" s="226"/>
      <c r="U16076" s="226"/>
    </row>
    <row r="16077" spans="16:21" x14ac:dyDescent="0.35">
      <c r="P16077" s="226"/>
      <c r="Q16077" s="226"/>
      <c r="R16077" s="226"/>
      <c r="S16077" s="226"/>
      <c r="T16077" s="226"/>
      <c r="U16077" s="226"/>
    </row>
    <row r="16078" spans="16:21" x14ac:dyDescent="0.35">
      <c r="P16078" s="226"/>
      <c r="Q16078" s="226"/>
      <c r="R16078" s="226"/>
      <c r="S16078" s="226"/>
      <c r="T16078" s="226"/>
      <c r="U16078" s="226"/>
    </row>
    <row r="16079" spans="16:21" x14ac:dyDescent="0.35">
      <c r="P16079" s="226"/>
      <c r="Q16079" s="226"/>
      <c r="R16079" s="226"/>
      <c r="S16079" s="226"/>
      <c r="T16079" s="226"/>
      <c r="U16079" s="226"/>
    </row>
    <row r="16080" spans="16:21" x14ac:dyDescent="0.35">
      <c r="P16080" s="226"/>
      <c r="Q16080" s="226"/>
      <c r="R16080" s="226"/>
      <c r="S16080" s="226"/>
      <c r="T16080" s="226"/>
      <c r="U16080" s="226"/>
    </row>
    <row r="16081" spans="16:21" x14ac:dyDescent="0.35">
      <c r="P16081" s="226"/>
      <c r="Q16081" s="226"/>
      <c r="R16081" s="226"/>
      <c r="S16081" s="226"/>
      <c r="T16081" s="226"/>
      <c r="U16081" s="226"/>
    </row>
    <row r="16082" spans="16:21" x14ac:dyDescent="0.35">
      <c r="P16082" s="226"/>
      <c r="Q16082" s="226"/>
      <c r="R16082" s="226"/>
      <c r="S16082" s="226"/>
      <c r="T16082" s="226"/>
      <c r="U16082" s="226"/>
    </row>
    <row r="16083" spans="16:21" x14ac:dyDescent="0.35">
      <c r="P16083" s="226"/>
      <c r="Q16083" s="226"/>
      <c r="R16083" s="226"/>
      <c r="S16083" s="226"/>
      <c r="T16083" s="226"/>
      <c r="U16083" s="226"/>
    </row>
    <row r="16084" spans="16:21" x14ac:dyDescent="0.35">
      <c r="P16084" s="226"/>
      <c r="Q16084" s="226"/>
      <c r="R16084" s="226"/>
      <c r="S16084" s="226"/>
      <c r="T16084" s="226"/>
      <c r="U16084" s="226"/>
    </row>
    <row r="16085" spans="16:21" x14ac:dyDescent="0.35">
      <c r="P16085" s="226"/>
      <c r="Q16085" s="226"/>
      <c r="R16085" s="226"/>
      <c r="S16085" s="226"/>
      <c r="T16085" s="226"/>
      <c r="U16085" s="226"/>
    </row>
    <row r="16086" spans="16:21" x14ac:dyDescent="0.35">
      <c r="P16086" s="226"/>
      <c r="Q16086" s="226"/>
      <c r="R16086" s="226"/>
      <c r="S16086" s="226"/>
      <c r="T16086" s="226"/>
      <c r="U16086" s="226"/>
    </row>
    <row r="16087" spans="16:21" x14ac:dyDescent="0.35">
      <c r="P16087" s="226"/>
      <c r="Q16087" s="226"/>
      <c r="R16087" s="226"/>
      <c r="S16087" s="226"/>
      <c r="T16087" s="226"/>
      <c r="U16087" s="226"/>
    </row>
    <row r="16088" spans="16:21" x14ac:dyDescent="0.35">
      <c r="P16088" s="226"/>
      <c r="Q16088" s="226"/>
      <c r="R16088" s="226"/>
      <c r="S16088" s="226"/>
      <c r="T16088" s="226"/>
      <c r="U16088" s="226"/>
    </row>
    <row r="16089" spans="16:21" x14ac:dyDescent="0.35">
      <c r="P16089" s="226"/>
      <c r="Q16089" s="226"/>
      <c r="R16089" s="226"/>
      <c r="S16089" s="226"/>
      <c r="T16089" s="226"/>
      <c r="U16089" s="226"/>
    </row>
    <row r="16090" spans="16:21" x14ac:dyDescent="0.35">
      <c r="P16090" s="226"/>
      <c r="Q16090" s="226"/>
      <c r="R16090" s="226"/>
      <c r="S16090" s="226"/>
      <c r="T16090" s="226"/>
      <c r="U16090" s="226"/>
    </row>
    <row r="16091" spans="16:21" x14ac:dyDescent="0.35">
      <c r="P16091" s="226"/>
      <c r="Q16091" s="226"/>
      <c r="R16091" s="226"/>
      <c r="S16091" s="226"/>
      <c r="T16091" s="226"/>
      <c r="U16091" s="226"/>
    </row>
    <row r="16092" spans="16:21" x14ac:dyDescent="0.35">
      <c r="P16092" s="226"/>
      <c r="Q16092" s="226"/>
      <c r="R16092" s="226"/>
      <c r="S16092" s="226"/>
      <c r="T16092" s="226"/>
      <c r="U16092" s="226"/>
    </row>
    <row r="16093" spans="16:21" x14ac:dyDescent="0.35">
      <c r="P16093" s="226"/>
      <c r="Q16093" s="226"/>
      <c r="R16093" s="226"/>
      <c r="S16093" s="226"/>
      <c r="T16093" s="226"/>
      <c r="U16093" s="226"/>
    </row>
    <row r="16094" spans="16:21" x14ac:dyDescent="0.35">
      <c r="P16094" s="226"/>
      <c r="Q16094" s="226"/>
      <c r="R16094" s="226"/>
      <c r="S16094" s="226"/>
      <c r="T16094" s="226"/>
      <c r="U16094" s="226"/>
    </row>
    <row r="16095" spans="16:21" x14ac:dyDescent="0.35">
      <c r="P16095" s="226"/>
      <c r="Q16095" s="226"/>
      <c r="R16095" s="226"/>
      <c r="S16095" s="226"/>
      <c r="T16095" s="226"/>
      <c r="U16095" s="226"/>
    </row>
    <row r="16096" spans="16:21" x14ac:dyDescent="0.35">
      <c r="P16096" s="226"/>
      <c r="Q16096" s="226"/>
      <c r="R16096" s="226"/>
      <c r="S16096" s="226"/>
      <c r="T16096" s="226"/>
      <c r="U16096" s="226"/>
    </row>
    <row r="16097" spans="16:21" x14ac:dyDescent="0.35">
      <c r="P16097" s="226"/>
      <c r="Q16097" s="226"/>
      <c r="R16097" s="226"/>
      <c r="S16097" s="226"/>
      <c r="T16097" s="226"/>
      <c r="U16097" s="226"/>
    </row>
    <row r="16098" spans="16:21" x14ac:dyDescent="0.35">
      <c r="P16098" s="226"/>
      <c r="Q16098" s="226"/>
      <c r="R16098" s="226"/>
      <c r="S16098" s="226"/>
      <c r="T16098" s="226"/>
      <c r="U16098" s="226"/>
    </row>
    <row r="16099" spans="16:21" x14ac:dyDescent="0.35">
      <c r="P16099" s="226"/>
      <c r="Q16099" s="226"/>
      <c r="R16099" s="226"/>
      <c r="S16099" s="226"/>
      <c r="T16099" s="226"/>
      <c r="U16099" s="226"/>
    </row>
    <row r="16100" spans="16:21" x14ac:dyDescent="0.35">
      <c r="P16100" s="226"/>
      <c r="Q16100" s="226"/>
      <c r="R16100" s="226"/>
      <c r="S16100" s="226"/>
      <c r="T16100" s="226"/>
      <c r="U16100" s="226"/>
    </row>
    <row r="16101" spans="16:21" x14ac:dyDescent="0.35">
      <c r="P16101" s="226"/>
      <c r="Q16101" s="226"/>
      <c r="R16101" s="226"/>
      <c r="S16101" s="226"/>
      <c r="T16101" s="226"/>
      <c r="U16101" s="226"/>
    </row>
    <row r="16102" spans="16:21" x14ac:dyDescent="0.35">
      <c r="P16102" s="226"/>
      <c r="Q16102" s="226"/>
      <c r="R16102" s="226"/>
      <c r="S16102" s="226"/>
      <c r="T16102" s="226"/>
      <c r="U16102" s="226"/>
    </row>
    <row r="16103" spans="16:21" x14ac:dyDescent="0.35">
      <c r="P16103" s="226"/>
      <c r="Q16103" s="226"/>
      <c r="R16103" s="226"/>
      <c r="S16103" s="226"/>
      <c r="T16103" s="226"/>
      <c r="U16103" s="226"/>
    </row>
    <row r="16104" spans="16:21" x14ac:dyDescent="0.35">
      <c r="P16104" s="226"/>
      <c r="Q16104" s="226"/>
      <c r="R16104" s="226"/>
      <c r="S16104" s="226"/>
      <c r="T16104" s="226"/>
      <c r="U16104" s="226"/>
    </row>
    <row r="16105" spans="16:21" x14ac:dyDescent="0.35">
      <c r="P16105" s="226"/>
      <c r="Q16105" s="226"/>
      <c r="R16105" s="226"/>
      <c r="S16105" s="226"/>
      <c r="T16105" s="226"/>
      <c r="U16105" s="226"/>
    </row>
    <row r="16106" spans="16:21" x14ac:dyDescent="0.35">
      <c r="P16106" s="226"/>
      <c r="Q16106" s="226"/>
      <c r="R16106" s="226"/>
      <c r="S16106" s="226"/>
      <c r="T16106" s="226"/>
      <c r="U16106" s="226"/>
    </row>
    <row r="16107" spans="16:21" x14ac:dyDescent="0.35">
      <c r="P16107" s="226"/>
      <c r="Q16107" s="226"/>
      <c r="R16107" s="226"/>
      <c r="S16107" s="226"/>
      <c r="T16107" s="226"/>
      <c r="U16107" s="226"/>
    </row>
    <row r="16108" spans="16:21" x14ac:dyDescent="0.35">
      <c r="P16108" s="226"/>
      <c r="Q16108" s="226"/>
      <c r="R16108" s="226"/>
      <c r="S16108" s="226"/>
      <c r="T16108" s="226"/>
      <c r="U16108" s="226"/>
    </row>
    <row r="16109" spans="16:21" x14ac:dyDescent="0.35">
      <c r="P16109" s="226"/>
      <c r="Q16109" s="226"/>
      <c r="R16109" s="226"/>
      <c r="S16109" s="226"/>
      <c r="T16109" s="226"/>
      <c r="U16109" s="226"/>
    </row>
    <row r="16110" spans="16:21" x14ac:dyDescent="0.35">
      <c r="P16110" s="226"/>
      <c r="Q16110" s="226"/>
      <c r="R16110" s="226"/>
      <c r="S16110" s="226"/>
      <c r="T16110" s="226"/>
      <c r="U16110" s="226"/>
    </row>
    <row r="16111" spans="16:21" x14ac:dyDescent="0.35">
      <c r="P16111" s="226"/>
      <c r="Q16111" s="226"/>
      <c r="R16111" s="226"/>
      <c r="S16111" s="226"/>
      <c r="T16111" s="226"/>
      <c r="U16111" s="226"/>
    </row>
    <row r="16112" spans="16:21" x14ac:dyDescent="0.35">
      <c r="P16112" s="226"/>
      <c r="Q16112" s="226"/>
      <c r="R16112" s="226"/>
      <c r="S16112" s="226"/>
      <c r="T16112" s="226"/>
      <c r="U16112" s="226"/>
    </row>
    <row r="16113" spans="16:21" x14ac:dyDescent="0.35">
      <c r="P16113" s="226"/>
      <c r="Q16113" s="226"/>
      <c r="R16113" s="226"/>
      <c r="S16113" s="226"/>
      <c r="T16113" s="226"/>
      <c r="U16113" s="226"/>
    </row>
    <row r="16114" spans="16:21" x14ac:dyDescent="0.35">
      <c r="P16114" s="226"/>
      <c r="Q16114" s="226"/>
      <c r="R16114" s="226"/>
      <c r="S16114" s="226"/>
      <c r="T16114" s="226"/>
      <c r="U16114" s="226"/>
    </row>
    <row r="16115" spans="16:21" x14ac:dyDescent="0.35">
      <c r="P16115" s="226"/>
      <c r="Q16115" s="226"/>
      <c r="R16115" s="226"/>
      <c r="S16115" s="226"/>
      <c r="T16115" s="226"/>
      <c r="U16115" s="226"/>
    </row>
    <row r="16116" spans="16:21" x14ac:dyDescent="0.35">
      <c r="P16116" s="226"/>
      <c r="Q16116" s="226"/>
      <c r="R16116" s="226"/>
      <c r="S16116" s="226"/>
      <c r="T16116" s="226"/>
      <c r="U16116" s="226"/>
    </row>
    <row r="16117" spans="16:21" x14ac:dyDescent="0.35">
      <c r="P16117" s="226"/>
      <c r="Q16117" s="226"/>
      <c r="R16117" s="226"/>
      <c r="S16117" s="226"/>
      <c r="T16117" s="226"/>
      <c r="U16117" s="226"/>
    </row>
    <row r="16118" spans="16:21" x14ac:dyDescent="0.35">
      <c r="P16118" s="226"/>
      <c r="Q16118" s="226"/>
      <c r="R16118" s="226"/>
      <c r="S16118" s="226"/>
      <c r="T16118" s="226"/>
      <c r="U16118" s="226"/>
    </row>
    <row r="16119" spans="16:21" x14ac:dyDescent="0.35">
      <c r="P16119" s="226"/>
      <c r="Q16119" s="226"/>
      <c r="R16119" s="226"/>
      <c r="S16119" s="226"/>
      <c r="T16119" s="226"/>
      <c r="U16119" s="226"/>
    </row>
    <row r="16120" spans="16:21" x14ac:dyDescent="0.35">
      <c r="P16120" s="226"/>
      <c r="Q16120" s="226"/>
      <c r="R16120" s="226"/>
      <c r="S16120" s="226"/>
      <c r="T16120" s="226"/>
      <c r="U16120" s="226"/>
    </row>
    <row r="16121" spans="16:21" x14ac:dyDescent="0.35">
      <c r="P16121" s="226"/>
      <c r="Q16121" s="226"/>
      <c r="R16121" s="226"/>
      <c r="S16121" s="226"/>
      <c r="T16121" s="226"/>
      <c r="U16121" s="226"/>
    </row>
    <row r="16122" spans="16:21" x14ac:dyDescent="0.35">
      <c r="P16122" s="226"/>
      <c r="Q16122" s="226"/>
      <c r="R16122" s="226"/>
      <c r="S16122" s="226"/>
      <c r="T16122" s="226"/>
      <c r="U16122" s="226"/>
    </row>
    <row r="16123" spans="16:21" x14ac:dyDescent="0.35">
      <c r="P16123" s="226"/>
      <c r="Q16123" s="226"/>
      <c r="R16123" s="226"/>
      <c r="S16123" s="226"/>
      <c r="T16123" s="226"/>
      <c r="U16123" s="226"/>
    </row>
    <row r="16124" spans="16:21" x14ac:dyDescent="0.35">
      <c r="P16124" s="226"/>
      <c r="Q16124" s="226"/>
      <c r="R16124" s="226"/>
      <c r="S16124" s="226"/>
      <c r="T16124" s="226"/>
      <c r="U16124" s="226"/>
    </row>
    <row r="16125" spans="16:21" x14ac:dyDescent="0.35">
      <c r="P16125" s="226"/>
      <c r="Q16125" s="226"/>
      <c r="R16125" s="226"/>
      <c r="S16125" s="226"/>
      <c r="T16125" s="226"/>
      <c r="U16125" s="226"/>
    </row>
    <row r="16126" spans="16:21" x14ac:dyDescent="0.35">
      <c r="P16126" s="226"/>
      <c r="Q16126" s="226"/>
      <c r="R16126" s="226"/>
      <c r="S16126" s="226"/>
      <c r="T16126" s="226"/>
      <c r="U16126" s="226"/>
    </row>
    <row r="16127" spans="16:21" x14ac:dyDescent="0.35">
      <c r="P16127" s="226"/>
      <c r="Q16127" s="226"/>
      <c r="R16127" s="226"/>
      <c r="S16127" s="226"/>
      <c r="T16127" s="226"/>
      <c r="U16127" s="226"/>
    </row>
    <row r="16128" spans="16:21" x14ac:dyDescent="0.35">
      <c r="P16128" s="226"/>
      <c r="Q16128" s="226"/>
      <c r="R16128" s="226"/>
      <c r="S16128" s="226"/>
      <c r="T16128" s="226"/>
      <c r="U16128" s="226"/>
    </row>
    <row r="16129" spans="16:21" x14ac:dyDescent="0.35">
      <c r="P16129" s="226"/>
      <c r="Q16129" s="226"/>
      <c r="R16129" s="226"/>
      <c r="S16129" s="226"/>
      <c r="T16129" s="226"/>
      <c r="U16129" s="226"/>
    </row>
    <row r="16130" spans="16:21" x14ac:dyDescent="0.35">
      <c r="P16130" s="226"/>
      <c r="Q16130" s="226"/>
      <c r="R16130" s="226"/>
      <c r="S16130" s="226"/>
      <c r="T16130" s="226"/>
      <c r="U16130" s="226"/>
    </row>
    <row r="16131" spans="16:21" x14ac:dyDescent="0.35">
      <c r="P16131" s="226"/>
      <c r="Q16131" s="226"/>
      <c r="R16131" s="226"/>
      <c r="S16131" s="226"/>
      <c r="T16131" s="226"/>
      <c r="U16131" s="226"/>
    </row>
    <row r="16132" spans="16:21" x14ac:dyDescent="0.35">
      <c r="P16132" s="226"/>
      <c r="Q16132" s="226"/>
      <c r="R16132" s="226"/>
      <c r="S16132" s="226"/>
      <c r="T16132" s="226"/>
      <c r="U16132" s="226"/>
    </row>
    <row r="16133" spans="16:21" x14ac:dyDescent="0.35">
      <c r="P16133" s="226"/>
      <c r="Q16133" s="226"/>
      <c r="R16133" s="226"/>
      <c r="S16133" s="226"/>
      <c r="T16133" s="226"/>
      <c r="U16133" s="226"/>
    </row>
    <row r="16134" spans="16:21" x14ac:dyDescent="0.35">
      <c r="P16134" s="226"/>
      <c r="Q16134" s="226"/>
      <c r="R16134" s="226"/>
      <c r="S16134" s="226"/>
      <c r="T16134" s="226"/>
      <c r="U16134" s="226"/>
    </row>
    <row r="16135" spans="16:21" x14ac:dyDescent="0.35">
      <c r="P16135" s="226"/>
      <c r="Q16135" s="226"/>
      <c r="R16135" s="226"/>
      <c r="S16135" s="226"/>
      <c r="T16135" s="226"/>
      <c r="U16135" s="226"/>
    </row>
    <row r="16136" spans="16:21" x14ac:dyDescent="0.35">
      <c r="P16136" s="226"/>
      <c r="Q16136" s="226"/>
      <c r="R16136" s="226"/>
      <c r="S16136" s="226"/>
      <c r="T16136" s="226"/>
      <c r="U16136" s="226"/>
    </row>
    <row r="16137" spans="16:21" x14ac:dyDescent="0.35">
      <c r="P16137" s="226"/>
      <c r="Q16137" s="226"/>
      <c r="R16137" s="226"/>
      <c r="S16137" s="226"/>
      <c r="T16137" s="226"/>
      <c r="U16137" s="226"/>
    </row>
    <row r="16138" spans="16:21" x14ac:dyDescent="0.35">
      <c r="P16138" s="226"/>
      <c r="Q16138" s="226"/>
      <c r="R16138" s="226"/>
      <c r="S16138" s="226"/>
      <c r="T16138" s="226"/>
      <c r="U16138" s="226"/>
    </row>
    <row r="16139" spans="16:21" x14ac:dyDescent="0.35">
      <c r="P16139" s="226"/>
      <c r="Q16139" s="226"/>
      <c r="R16139" s="226"/>
      <c r="S16139" s="226"/>
      <c r="T16139" s="226"/>
      <c r="U16139" s="226"/>
    </row>
    <row r="16140" spans="16:21" x14ac:dyDescent="0.35">
      <c r="P16140" s="226"/>
      <c r="Q16140" s="226"/>
      <c r="R16140" s="226"/>
      <c r="S16140" s="226"/>
      <c r="T16140" s="226"/>
      <c r="U16140" s="226"/>
    </row>
    <row r="16141" spans="16:21" x14ac:dyDescent="0.35">
      <c r="P16141" s="226"/>
      <c r="Q16141" s="226"/>
      <c r="R16141" s="226"/>
      <c r="S16141" s="226"/>
      <c r="T16141" s="226"/>
      <c r="U16141" s="226"/>
    </row>
    <row r="16142" spans="16:21" x14ac:dyDescent="0.35">
      <c r="P16142" s="226"/>
      <c r="Q16142" s="226"/>
      <c r="R16142" s="226"/>
      <c r="S16142" s="226"/>
      <c r="T16142" s="226"/>
      <c r="U16142" s="226"/>
    </row>
    <row r="16143" spans="16:21" x14ac:dyDescent="0.35">
      <c r="P16143" s="226"/>
      <c r="Q16143" s="226"/>
      <c r="R16143" s="226"/>
      <c r="S16143" s="226"/>
      <c r="T16143" s="226"/>
      <c r="U16143" s="226"/>
    </row>
    <row r="16144" spans="16:21" x14ac:dyDescent="0.35">
      <c r="P16144" s="226"/>
      <c r="Q16144" s="226"/>
      <c r="R16144" s="226"/>
      <c r="S16144" s="226"/>
      <c r="T16144" s="226"/>
      <c r="U16144" s="226"/>
    </row>
    <row r="16145" spans="16:21" x14ac:dyDescent="0.35">
      <c r="P16145" s="226"/>
      <c r="Q16145" s="226"/>
      <c r="R16145" s="226"/>
      <c r="S16145" s="226"/>
      <c r="T16145" s="226"/>
      <c r="U16145" s="226"/>
    </row>
    <row r="16146" spans="16:21" x14ac:dyDescent="0.35">
      <c r="P16146" s="226"/>
      <c r="Q16146" s="226"/>
      <c r="R16146" s="226"/>
      <c r="S16146" s="226"/>
      <c r="T16146" s="226"/>
      <c r="U16146" s="226"/>
    </row>
    <row r="16147" spans="16:21" x14ac:dyDescent="0.35">
      <c r="P16147" s="226"/>
      <c r="Q16147" s="226"/>
      <c r="R16147" s="226"/>
      <c r="S16147" s="226"/>
      <c r="T16147" s="226"/>
      <c r="U16147" s="226"/>
    </row>
    <row r="16148" spans="16:21" x14ac:dyDescent="0.35">
      <c r="P16148" s="226"/>
      <c r="Q16148" s="226"/>
      <c r="R16148" s="226"/>
      <c r="S16148" s="226"/>
      <c r="T16148" s="226"/>
      <c r="U16148" s="226"/>
    </row>
    <row r="16149" spans="16:21" x14ac:dyDescent="0.35">
      <c r="P16149" s="226"/>
      <c r="Q16149" s="226"/>
      <c r="R16149" s="226"/>
      <c r="S16149" s="226"/>
      <c r="T16149" s="226"/>
      <c r="U16149" s="226"/>
    </row>
    <row r="16150" spans="16:21" x14ac:dyDescent="0.35">
      <c r="P16150" s="226"/>
      <c r="Q16150" s="226"/>
      <c r="R16150" s="226"/>
      <c r="S16150" s="226"/>
      <c r="T16150" s="226"/>
      <c r="U16150" s="226"/>
    </row>
    <row r="16151" spans="16:21" x14ac:dyDescent="0.35">
      <c r="P16151" s="226"/>
      <c r="Q16151" s="226"/>
      <c r="R16151" s="226"/>
      <c r="S16151" s="226"/>
      <c r="T16151" s="226"/>
      <c r="U16151" s="226"/>
    </row>
    <row r="16152" spans="16:21" x14ac:dyDescent="0.35">
      <c r="P16152" s="226"/>
      <c r="Q16152" s="226"/>
      <c r="R16152" s="226"/>
      <c r="S16152" s="226"/>
      <c r="T16152" s="226"/>
      <c r="U16152" s="226"/>
    </row>
    <row r="16153" spans="16:21" x14ac:dyDescent="0.35">
      <c r="P16153" s="226"/>
      <c r="Q16153" s="226"/>
      <c r="R16153" s="226"/>
      <c r="S16153" s="226"/>
      <c r="T16153" s="226"/>
      <c r="U16153" s="226"/>
    </row>
    <row r="16154" spans="16:21" x14ac:dyDescent="0.35">
      <c r="P16154" s="226"/>
      <c r="Q16154" s="226"/>
      <c r="R16154" s="226"/>
      <c r="S16154" s="226"/>
      <c r="T16154" s="226"/>
      <c r="U16154" s="226"/>
    </row>
    <row r="16155" spans="16:21" x14ac:dyDescent="0.35">
      <c r="P16155" s="226"/>
      <c r="Q16155" s="226"/>
      <c r="R16155" s="226"/>
      <c r="S16155" s="226"/>
      <c r="T16155" s="226"/>
      <c r="U16155" s="226"/>
    </row>
    <row r="16156" spans="16:21" x14ac:dyDescent="0.35">
      <c r="P16156" s="226"/>
      <c r="Q16156" s="226"/>
      <c r="R16156" s="226"/>
      <c r="S16156" s="226"/>
      <c r="T16156" s="226"/>
      <c r="U16156" s="226"/>
    </row>
    <row r="16157" spans="16:21" x14ac:dyDescent="0.35">
      <c r="P16157" s="226"/>
      <c r="Q16157" s="226"/>
      <c r="R16157" s="226"/>
      <c r="S16157" s="226"/>
      <c r="T16157" s="226"/>
      <c r="U16157" s="226"/>
    </row>
    <row r="16158" spans="16:21" x14ac:dyDescent="0.35">
      <c r="P16158" s="226"/>
      <c r="Q16158" s="226"/>
      <c r="R16158" s="226"/>
      <c r="S16158" s="226"/>
      <c r="T16158" s="226"/>
      <c r="U16158" s="226"/>
    </row>
    <row r="16159" spans="16:21" x14ac:dyDescent="0.35">
      <c r="P16159" s="226"/>
      <c r="Q16159" s="226"/>
      <c r="R16159" s="226"/>
      <c r="S16159" s="226"/>
      <c r="T16159" s="226"/>
      <c r="U16159" s="226"/>
    </row>
    <row r="16160" spans="16:21" x14ac:dyDescent="0.35">
      <c r="P16160" s="226"/>
      <c r="Q16160" s="226"/>
      <c r="R16160" s="226"/>
      <c r="S16160" s="226"/>
      <c r="T16160" s="226"/>
      <c r="U16160" s="226"/>
    </row>
    <row r="16161" spans="16:21" x14ac:dyDescent="0.35">
      <c r="P16161" s="226"/>
      <c r="Q16161" s="226"/>
      <c r="R16161" s="226"/>
      <c r="S16161" s="226"/>
      <c r="T16161" s="226"/>
      <c r="U16161" s="226"/>
    </row>
    <row r="16162" spans="16:21" x14ac:dyDescent="0.35">
      <c r="P16162" s="226"/>
      <c r="Q16162" s="226"/>
      <c r="R16162" s="226"/>
      <c r="S16162" s="226"/>
      <c r="T16162" s="226"/>
      <c r="U16162" s="226"/>
    </row>
    <row r="16163" spans="16:21" x14ac:dyDescent="0.35">
      <c r="P16163" s="226"/>
      <c r="Q16163" s="226"/>
      <c r="R16163" s="226"/>
      <c r="S16163" s="226"/>
      <c r="T16163" s="226"/>
      <c r="U16163" s="226"/>
    </row>
    <row r="16164" spans="16:21" x14ac:dyDescent="0.35">
      <c r="P16164" s="226"/>
      <c r="Q16164" s="226"/>
      <c r="R16164" s="226"/>
      <c r="S16164" s="226"/>
      <c r="T16164" s="226"/>
      <c r="U16164" s="226"/>
    </row>
    <row r="16165" spans="16:21" x14ac:dyDescent="0.35">
      <c r="P16165" s="226"/>
      <c r="Q16165" s="226"/>
      <c r="R16165" s="226"/>
      <c r="S16165" s="226"/>
      <c r="T16165" s="226"/>
      <c r="U16165" s="226"/>
    </row>
    <row r="16166" spans="16:21" x14ac:dyDescent="0.35">
      <c r="P16166" s="226"/>
      <c r="Q16166" s="226"/>
      <c r="R16166" s="226"/>
      <c r="S16166" s="226"/>
      <c r="T16166" s="226"/>
      <c r="U16166" s="226"/>
    </row>
    <row r="16167" spans="16:21" x14ac:dyDescent="0.35">
      <c r="P16167" s="226"/>
      <c r="Q16167" s="226"/>
      <c r="R16167" s="226"/>
      <c r="S16167" s="226"/>
      <c r="T16167" s="226"/>
      <c r="U16167" s="226"/>
    </row>
    <row r="16168" spans="16:21" x14ac:dyDescent="0.35">
      <c r="P16168" s="226"/>
      <c r="Q16168" s="226"/>
      <c r="R16168" s="226"/>
      <c r="S16168" s="226"/>
      <c r="T16168" s="226"/>
      <c r="U16168" s="226"/>
    </row>
    <row r="16169" spans="16:21" x14ac:dyDescent="0.35">
      <c r="P16169" s="226"/>
      <c r="Q16169" s="226"/>
      <c r="R16169" s="226"/>
      <c r="S16169" s="226"/>
      <c r="T16169" s="226"/>
      <c r="U16169" s="226"/>
    </row>
    <row r="16170" spans="16:21" x14ac:dyDescent="0.35">
      <c r="P16170" s="226"/>
      <c r="Q16170" s="226"/>
      <c r="R16170" s="226"/>
      <c r="S16170" s="226"/>
      <c r="T16170" s="226"/>
      <c r="U16170" s="226"/>
    </row>
    <row r="16171" spans="16:21" x14ac:dyDescent="0.35">
      <c r="P16171" s="226"/>
      <c r="Q16171" s="226"/>
      <c r="R16171" s="226"/>
      <c r="S16171" s="226"/>
      <c r="T16171" s="226"/>
      <c r="U16171" s="226"/>
    </row>
    <row r="16172" spans="16:21" x14ac:dyDescent="0.35">
      <c r="P16172" s="226"/>
      <c r="Q16172" s="226"/>
      <c r="R16172" s="226"/>
      <c r="S16172" s="226"/>
      <c r="T16172" s="226"/>
      <c r="U16172" s="226"/>
    </row>
    <row r="16173" spans="16:21" x14ac:dyDescent="0.35">
      <c r="P16173" s="226"/>
      <c r="Q16173" s="226"/>
      <c r="R16173" s="226"/>
      <c r="S16173" s="226"/>
      <c r="T16173" s="226"/>
      <c r="U16173" s="226"/>
    </row>
    <row r="16174" spans="16:21" x14ac:dyDescent="0.35">
      <c r="P16174" s="226"/>
      <c r="Q16174" s="226"/>
      <c r="R16174" s="226"/>
      <c r="S16174" s="226"/>
      <c r="T16174" s="226"/>
      <c r="U16174" s="226"/>
    </row>
    <row r="16175" spans="16:21" x14ac:dyDescent="0.35">
      <c r="P16175" s="226"/>
      <c r="Q16175" s="226"/>
      <c r="R16175" s="226"/>
      <c r="S16175" s="226"/>
      <c r="T16175" s="226"/>
      <c r="U16175" s="226"/>
    </row>
    <row r="16176" spans="16:21" x14ac:dyDescent="0.35">
      <c r="P16176" s="226"/>
      <c r="Q16176" s="226"/>
      <c r="R16176" s="226"/>
      <c r="S16176" s="226"/>
      <c r="T16176" s="226"/>
      <c r="U16176" s="226"/>
    </row>
    <row r="16177" spans="16:21" x14ac:dyDescent="0.35">
      <c r="P16177" s="226"/>
      <c r="Q16177" s="226"/>
      <c r="R16177" s="226"/>
      <c r="S16177" s="226"/>
      <c r="T16177" s="226"/>
      <c r="U16177" s="226"/>
    </row>
    <row r="16178" spans="16:21" x14ac:dyDescent="0.35">
      <c r="P16178" s="226"/>
      <c r="Q16178" s="226"/>
      <c r="R16178" s="226"/>
      <c r="S16178" s="226"/>
      <c r="T16178" s="226"/>
      <c r="U16178" s="226"/>
    </row>
    <row r="16179" spans="16:21" x14ac:dyDescent="0.35">
      <c r="P16179" s="226"/>
      <c r="Q16179" s="226"/>
      <c r="R16179" s="226"/>
      <c r="S16179" s="226"/>
      <c r="T16179" s="226"/>
      <c r="U16179" s="226"/>
    </row>
    <row r="16180" spans="16:21" x14ac:dyDescent="0.35">
      <c r="P16180" s="226"/>
      <c r="Q16180" s="226"/>
      <c r="R16180" s="226"/>
      <c r="S16180" s="226"/>
      <c r="T16180" s="226"/>
      <c r="U16180" s="226"/>
    </row>
    <row r="16181" spans="16:21" x14ac:dyDescent="0.35">
      <c r="P16181" s="226"/>
      <c r="Q16181" s="226"/>
      <c r="R16181" s="226"/>
      <c r="S16181" s="226"/>
      <c r="T16181" s="226"/>
      <c r="U16181" s="226"/>
    </row>
    <row r="16182" spans="16:21" x14ac:dyDescent="0.35">
      <c r="P16182" s="226"/>
      <c r="Q16182" s="226"/>
      <c r="R16182" s="226"/>
      <c r="S16182" s="226"/>
      <c r="T16182" s="226"/>
      <c r="U16182" s="226"/>
    </row>
    <row r="16183" spans="16:21" x14ac:dyDescent="0.35">
      <c r="P16183" s="226"/>
      <c r="Q16183" s="226"/>
      <c r="R16183" s="226"/>
      <c r="S16183" s="226"/>
      <c r="T16183" s="226"/>
      <c r="U16183" s="226"/>
    </row>
    <row r="16184" spans="16:21" x14ac:dyDescent="0.35">
      <c r="P16184" s="226"/>
      <c r="Q16184" s="226"/>
      <c r="R16184" s="226"/>
      <c r="S16184" s="226"/>
      <c r="T16184" s="226"/>
      <c r="U16184" s="226"/>
    </row>
    <row r="16185" spans="16:21" x14ac:dyDescent="0.35">
      <c r="P16185" s="226"/>
      <c r="Q16185" s="226"/>
      <c r="R16185" s="226"/>
      <c r="S16185" s="226"/>
      <c r="T16185" s="226"/>
      <c r="U16185" s="226"/>
    </row>
    <row r="16186" spans="16:21" x14ac:dyDescent="0.35">
      <c r="P16186" s="226"/>
      <c r="Q16186" s="226"/>
      <c r="R16186" s="226"/>
      <c r="S16186" s="226"/>
      <c r="T16186" s="226"/>
      <c r="U16186" s="226"/>
    </row>
    <row r="16187" spans="16:21" x14ac:dyDescent="0.35">
      <c r="P16187" s="226"/>
      <c r="Q16187" s="226"/>
      <c r="R16187" s="226"/>
      <c r="S16187" s="226"/>
      <c r="T16187" s="226"/>
      <c r="U16187" s="226"/>
    </row>
    <row r="16188" spans="16:21" x14ac:dyDescent="0.35">
      <c r="P16188" s="226"/>
      <c r="Q16188" s="226"/>
      <c r="R16188" s="226"/>
      <c r="S16188" s="226"/>
      <c r="T16188" s="226"/>
      <c r="U16188" s="226"/>
    </row>
    <row r="16189" spans="16:21" x14ac:dyDescent="0.35">
      <c r="P16189" s="226"/>
      <c r="Q16189" s="226"/>
      <c r="R16189" s="226"/>
      <c r="S16189" s="226"/>
      <c r="T16189" s="226"/>
      <c r="U16189" s="226"/>
    </row>
    <row r="16190" spans="16:21" x14ac:dyDescent="0.35">
      <c r="P16190" s="226"/>
      <c r="Q16190" s="226"/>
      <c r="R16190" s="226"/>
      <c r="S16190" s="226"/>
      <c r="T16190" s="226"/>
      <c r="U16190" s="226"/>
    </row>
    <row r="16191" spans="16:21" x14ac:dyDescent="0.35">
      <c r="P16191" s="226"/>
      <c r="Q16191" s="226"/>
      <c r="R16191" s="226"/>
      <c r="S16191" s="226"/>
      <c r="T16191" s="226"/>
      <c r="U16191" s="226"/>
    </row>
    <row r="16192" spans="16:21" x14ac:dyDescent="0.35">
      <c r="P16192" s="226"/>
      <c r="Q16192" s="226"/>
      <c r="R16192" s="226"/>
      <c r="S16192" s="226"/>
      <c r="T16192" s="226"/>
      <c r="U16192" s="226"/>
    </row>
    <row r="16193" spans="16:21" x14ac:dyDescent="0.35">
      <c r="P16193" s="226"/>
      <c r="Q16193" s="226"/>
      <c r="R16193" s="226"/>
      <c r="S16193" s="226"/>
      <c r="T16193" s="226"/>
      <c r="U16193" s="226"/>
    </row>
    <row r="16194" spans="16:21" x14ac:dyDescent="0.35">
      <c r="P16194" s="226"/>
      <c r="Q16194" s="226"/>
      <c r="R16194" s="226"/>
      <c r="S16194" s="226"/>
      <c r="T16194" s="226"/>
      <c r="U16194" s="226"/>
    </row>
    <row r="16195" spans="16:21" x14ac:dyDescent="0.35">
      <c r="P16195" s="226"/>
      <c r="Q16195" s="226"/>
      <c r="R16195" s="226"/>
      <c r="S16195" s="226"/>
      <c r="T16195" s="226"/>
      <c r="U16195" s="226"/>
    </row>
    <row r="16196" spans="16:21" x14ac:dyDescent="0.35">
      <c r="P16196" s="226"/>
      <c r="Q16196" s="226"/>
      <c r="R16196" s="226"/>
      <c r="S16196" s="226"/>
      <c r="T16196" s="226"/>
      <c r="U16196" s="226"/>
    </row>
    <row r="16197" spans="16:21" x14ac:dyDescent="0.35">
      <c r="P16197" s="226"/>
      <c r="Q16197" s="226"/>
      <c r="R16197" s="226"/>
      <c r="S16197" s="226"/>
      <c r="T16197" s="226"/>
      <c r="U16197" s="226"/>
    </row>
    <row r="16198" spans="16:21" x14ac:dyDescent="0.35">
      <c r="P16198" s="226"/>
      <c r="Q16198" s="226"/>
      <c r="R16198" s="226"/>
      <c r="S16198" s="226"/>
      <c r="T16198" s="226"/>
      <c r="U16198" s="226"/>
    </row>
    <row r="16199" spans="16:21" x14ac:dyDescent="0.35">
      <c r="P16199" s="226"/>
      <c r="Q16199" s="226"/>
      <c r="R16199" s="226"/>
      <c r="S16199" s="226"/>
      <c r="T16199" s="226"/>
      <c r="U16199" s="226"/>
    </row>
    <row r="16200" spans="16:21" x14ac:dyDescent="0.35">
      <c r="P16200" s="226"/>
      <c r="Q16200" s="226"/>
      <c r="R16200" s="226"/>
      <c r="S16200" s="226"/>
      <c r="T16200" s="226"/>
      <c r="U16200" s="226"/>
    </row>
    <row r="16201" spans="16:21" x14ac:dyDescent="0.35">
      <c r="P16201" s="226"/>
      <c r="Q16201" s="226"/>
      <c r="R16201" s="226"/>
      <c r="S16201" s="226"/>
      <c r="T16201" s="226"/>
      <c r="U16201" s="226"/>
    </row>
    <row r="16202" spans="16:21" x14ac:dyDescent="0.35">
      <c r="P16202" s="226"/>
      <c r="Q16202" s="226"/>
      <c r="R16202" s="226"/>
      <c r="S16202" s="226"/>
      <c r="T16202" s="226"/>
      <c r="U16202" s="226"/>
    </row>
    <row r="16203" spans="16:21" x14ac:dyDescent="0.35">
      <c r="P16203" s="226"/>
      <c r="Q16203" s="226"/>
      <c r="R16203" s="226"/>
      <c r="S16203" s="226"/>
      <c r="T16203" s="226"/>
      <c r="U16203" s="226"/>
    </row>
    <row r="16204" spans="16:21" x14ac:dyDescent="0.35">
      <c r="P16204" s="226"/>
      <c r="Q16204" s="226"/>
      <c r="R16204" s="226"/>
      <c r="S16204" s="226"/>
      <c r="T16204" s="226"/>
      <c r="U16204" s="226"/>
    </row>
    <row r="16205" spans="16:21" x14ac:dyDescent="0.35">
      <c r="P16205" s="226"/>
      <c r="Q16205" s="226"/>
      <c r="R16205" s="226"/>
      <c r="S16205" s="226"/>
      <c r="T16205" s="226"/>
      <c r="U16205" s="226"/>
    </row>
    <row r="16206" spans="16:21" x14ac:dyDescent="0.35">
      <c r="P16206" s="226"/>
      <c r="Q16206" s="226"/>
      <c r="R16206" s="226"/>
      <c r="S16206" s="226"/>
      <c r="T16206" s="226"/>
      <c r="U16206" s="226"/>
    </row>
    <row r="16207" spans="16:21" x14ac:dyDescent="0.35">
      <c r="P16207" s="226"/>
      <c r="Q16207" s="226"/>
      <c r="R16207" s="226"/>
      <c r="S16207" s="226"/>
      <c r="T16207" s="226"/>
      <c r="U16207" s="226"/>
    </row>
    <row r="16208" spans="16:21" x14ac:dyDescent="0.35">
      <c r="P16208" s="226"/>
      <c r="Q16208" s="226"/>
      <c r="R16208" s="226"/>
      <c r="S16208" s="226"/>
      <c r="T16208" s="226"/>
      <c r="U16208" s="226"/>
    </row>
    <row r="16209" spans="16:21" x14ac:dyDescent="0.35">
      <c r="P16209" s="226"/>
      <c r="Q16209" s="226"/>
      <c r="R16209" s="226"/>
      <c r="S16209" s="226"/>
      <c r="T16209" s="226"/>
      <c r="U16209" s="226"/>
    </row>
    <row r="16210" spans="16:21" x14ac:dyDescent="0.35">
      <c r="P16210" s="226"/>
      <c r="Q16210" s="226"/>
      <c r="R16210" s="226"/>
      <c r="S16210" s="226"/>
      <c r="T16210" s="226"/>
      <c r="U16210" s="226"/>
    </row>
    <row r="16211" spans="16:21" x14ac:dyDescent="0.35">
      <c r="P16211" s="226"/>
      <c r="Q16211" s="226"/>
      <c r="R16211" s="226"/>
      <c r="S16211" s="226"/>
      <c r="T16211" s="226"/>
      <c r="U16211" s="226"/>
    </row>
    <row r="16212" spans="16:21" x14ac:dyDescent="0.35">
      <c r="P16212" s="226"/>
      <c r="Q16212" s="226"/>
      <c r="R16212" s="226"/>
      <c r="S16212" s="226"/>
      <c r="T16212" s="226"/>
      <c r="U16212" s="226"/>
    </row>
    <row r="16213" spans="16:21" x14ac:dyDescent="0.35">
      <c r="P16213" s="226"/>
      <c r="Q16213" s="226"/>
      <c r="R16213" s="226"/>
      <c r="S16213" s="226"/>
      <c r="T16213" s="226"/>
      <c r="U16213" s="226"/>
    </row>
    <row r="16214" spans="16:21" x14ac:dyDescent="0.35">
      <c r="P16214" s="226"/>
      <c r="Q16214" s="226"/>
      <c r="R16214" s="226"/>
      <c r="S16214" s="226"/>
      <c r="T16214" s="226"/>
      <c r="U16214" s="226"/>
    </row>
    <row r="16215" spans="16:21" x14ac:dyDescent="0.35">
      <c r="P16215" s="226"/>
      <c r="Q16215" s="226"/>
      <c r="R16215" s="226"/>
      <c r="S16215" s="226"/>
      <c r="T16215" s="226"/>
      <c r="U16215" s="226"/>
    </row>
    <row r="16216" spans="16:21" x14ac:dyDescent="0.35">
      <c r="P16216" s="226"/>
      <c r="Q16216" s="226"/>
      <c r="R16216" s="226"/>
      <c r="S16216" s="226"/>
      <c r="T16216" s="226"/>
      <c r="U16216" s="226"/>
    </row>
    <row r="16217" spans="16:21" x14ac:dyDescent="0.35">
      <c r="P16217" s="226"/>
      <c r="Q16217" s="226"/>
      <c r="R16217" s="226"/>
      <c r="S16217" s="226"/>
      <c r="T16217" s="226"/>
      <c r="U16217" s="226"/>
    </row>
    <row r="16218" spans="16:21" x14ac:dyDescent="0.35">
      <c r="P16218" s="226"/>
      <c r="Q16218" s="226"/>
      <c r="R16218" s="226"/>
      <c r="S16218" s="226"/>
      <c r="T16218" s="226"/>
      <c r="U16218" s="226"/>
    </row>
    <row r="16219" spans="16:21" x14ac:dyDescent="0.35">
      <c r="P16219" s="226"/>
      <c r="Q16219" s="226"/>
      <c r="R16219" s="226"/>
      <c r="S16219" s="226"/>
      <c r="T16219" s="226"/>
      <c r="U16219" s="226"/>
    </row>
    <row r="16220" spans="16:21" x14ac:dyDescent="0.35">
      <c r="P16220" s="226"/>
      <c r="Q16220" s="226"/>
      <c r="R16220" s="226"/>
      <c r="S16220" s="226"/>
      <c r="T16220" s="226"/>
      <c r="U16220" s="226"/>
    </row>
    <row r="16221" spans="16:21" x14ac:dyDescent="0.35">
      <c r="P16221" s="226"/>
      <c r="Q16221" s="226"/>
      <c r="R16221" s="226"/>
      <c r="S16221" s="226"/>
      <c r="T16221" s="226"/>
      <c r="U16221" s="226"/>
    </row>
    <row r="16222" spans="16:21" x14ac:dyDescent="0.35">
      <c r="P16222" s="226"/>
      <c r="Q16222" s="226"/>
      <c r="R16222" s="226"/>
      <c r="S16222" s="226"/>
      <c r="T16222" s="226"/>
      <c r="U16222" s="226"/>
    </row>
    <row r="16223" spans="16:21" x14ac:dyDescent="0.35">
      <c r="P16223" s="226"/>
      <c r="Q16223" s="226"/>
      <c r="R16223" s="226"/>
      <c r="S16223" s="226"/>
      <c r="T16223" s="226"/>
      <c r="U16223" s="226"/>
    </row>
    <row r="16224" spans="16:21" x14ac:dyDescent="0.35">
      <c r="P16224" s="226"/>
      <c r="Q16224" s="226"/>
      <c r="R16224" s="226"/>
      <c r="S16224" s="226"/>
      <c r="T16224" s="226"/>
      <c r="U16224" s="226"/>
    </row>
    <row r="16225" spans="16:21" x14ac:dyDescent="0.35">
      <c r="P16225" s="226"/>
      <c r="Q16225" s="226"/>
      <c r="R16225" s="226"/>
      <c r="S16225" s="226"/>
      <c r="T16225" s="226"/>
      <c r="U16225" s="226"/>
    </row>
    <row r="16226" spans="16:21" x14ac:dyDescent="0.35">
      <c r="P16226" s="226"/>
      <c r="Q16226" s="226"/>
      <c r="R16226" s="226"/>
      <c r="S16226" s="226"/>
      <c r="T16226" s="226"/>
      <c r="U16226" s="226"/>
    </row>
    <row r="16227" spans="16:21" x14ac:dyDescent="0.35">
      <c r="P16227" s="226"/>
      <c r="Q16227" s="226"/>
      <c r="R16227" s="226"/>
      <c r="S16227" s="226"/>
      <c r="T16227" s="226"/>
      <c r="U16227" s="226"/>
    </row>
    <row r="16228" spans="16:21" x14ac:dyDescent="0.35">
      <c r="P16228" s="226"/>
      <c r="Q16228" s="226"/>
      <c r="R16228" s="226"/>
      <c r="S16228" s="226"/>
      <c r="T16228" s="226"/>
      <c r="U16228" s="226"/>
    </row>
    <row r="16229" spans="16:21" x14ac:dyDescent="0.35">
      <c r="P16229" s="226"/>
      <c r="Q16229" s="226"/>
      <c r="R16229" s="226"/>
      <c r="S16229" s="226"/>
      <c r="T16229" s="226"/>
      <c r="U16229" s="226"/>
    </row>
    <row r="16230" spans="16:21" x14ac:dyDescent="0.35">
      <c r="P16230" s="226"/>
      <c r="Q16230" s="226"/>
      <c r="R16230" s="226"/>
      <c r="S16230" s="226"/>
      <c r="T16230" s="226"/>
      <c r="U16230" s="226"/>
    </row>
    <row r="16231" spans="16:21" x14ac:dyDescent="0.35">
      <c r="P16231" s="226"/>
      <c r="Q16231" s="226"/>
      <c r="R16231" s="226"/>
      <c r="S16231" s="226"/>
      <c r="T16231" s="226"/>
      <c r="U16231" s="226"/>
    </row>
    <row r="16232" spans="16:21" x14ac:dyDescent="0.35">
      <c r="P16232" s="226"/>
      <c r="Q16232" s="226"/>
      <c r="R16232" s="226"/>
      <c r="S16232" s="226"/>
      <c r="T16232" s="226"/>
      <c r="U16232" s="226"/>
    </row>
    <row r="16233" spans="16:21" x14ac:dyDescent="0.35">
      <c r="P16233" s="226"/>
      <c r="Q16233" s="226"/>
      <c r="R16233" s="226"/>
      <c r="S16233" s="226"/>
      <c r="T16233" s="226"/>
      <c r="U16233" s="226"/>
    </row>
    <row r="16234" spans="16:21" x14ac:dyDescent="0.35">
      <c r="P16234" s="226"/>
      <c r="Q16234" s="226"/>
      <c r="R16234" s="226"/>
      <c r="S16234" s="226"/>
      <c r="T16234" s="226"/>
      <c r="U16234" s="226"/>
    </row>
    <row r="16235" spans="16:21" x14ac:dyDescent="0.35">
      <c r="P16235" s="226"/>
      <c r="Q16235" s="226"/>
      <c r="R16235" s="226"/>
      <c r="S16235" s="226"/>
      <c r="T16235" s="226"/>
      <c r="U16235" s="226"/>
    </row>
    <row r="16236" spans="16:21" x14ac:dyDescent="0.35">
      <c r="P16236" s="226"/>
      <c r="Q16236" s="226"/>
      <c r="R16236" s="226"/>
      <c r="S16236" s="226"/>
      <c r="T16236" s="226"/>
      <c r="U16236" s="226"/>
    </row>
    <row r="16237" spans="16:21" x14ac:dyDescent="0.35">
      <c r="P16237" s="226"/>
      <c r="Q16237" s="226"/>
      <c r="R16237" s="226"/>
      <c r="S16237" s="226"/>
      <c r="T16237" s="226"/>
      <c r="U16237" s="226"/>
    </row>
    <row r="16238" spans="16:21" x14ac:dyDescent="0.35">
      <c r="P16238" s="226"/>
      <c r="Q16238" s="226"/>
      <c r="R16238" s="226"/>
      <c r="S16238" s="226"/>
      <c r="T16238" s="226"/>
      <c r="U16238" s="226"/>
    </row>
    <row r="16239" spans="16:21" x14ac:dyDescent="0.35">
      <c r="P16239" s="226"/>
      <c r="Q16239" s="226"/>
      <c r="R16239" s="226"/>
      <c r="S16239" s="226"/>
      <c r="T16239" s="226"/>
      <c r="U16239" s="226"/>
    </row>
    <row r="16240" spans="16:21" x14ac:dyDescent="0.35">
      <c r="P16240" s="226"/>
      <c r="Q16240" s="226"/>
      <c r="R16240" s="226"/>
      <c r="S16240" s="226"/>
      <c r="T16240" s="226"/>
      <c r="U16240" s="226"/>
    </row>
    <row r="16241" spans="16:21" x14ac:dyDescent="0.35">
      <c r="P16241" s="226"/>
      <c r="Q16241" s="226"/>
      <c r="R16241" s="226"/>
      <c r="S16241" s="226"/>
      <c r="T16241" s="226"/>
      <c r="U16241" s="226"/>
    </row>
    <row r="16242" spans="16:21" x14ac:dyDescent="0.35">
      <c r="P16242" s="226"/>
      <c r="Q16242" s="226"/>
      <c r="R16242" s="226"/>
      <c r="S16242" s="226"/>
      <c r="T16242" s="226"/>
      <c r="U16242" s="226"/>
    </row>
    <row r="16243" spans="16:21" x14ac:dyDescent="0.35">
      <c r="P16243" s="226"/>
      <c r="Q16243" s="226"/>
      <c r="R16243" s="226"/>
      <c r="S16243" s="226"/>
      <c r="T16243" s="226"/>
      <c r="U16243" s="226"/>
    </row>
    <row r="16244" spans="16:21" x14ac:dyDescent="0.35">
      <c r="P16244" s="226"/>
      <c r="Q16244" s="226"/>
      <c r="R16244" s="226"/>
      <c r="S16244" s="226"/>
      <c r="T16244" s="226"/>
      <c r="U16244" s="226"/>
    </row>
    <row r="16245" spans="16:21" x14ac:dyDescent="0.35">
      <c r="P16245" s="226"/>
      <c r="Q16245" s="226"/>
      <c r="R16245" s="226"/>
      <c r="S16245" s="226"/>
      <c r="T16245" s="226"/>
      <c r="U16245" s="226"/>
    </row>
    <row r="16246" spans="16:21" x14ac:dyDescent="0.35">
      <c r="P16246" s="226"/>
      <c r="Q16246" s="226"/>
      <c r="R16246" s="226"/>
      <c r="S16246" s="226"/>
      <c r="T16246" s="226"/>
      <c r="U16246" s="226"/>
    </row>
    <row r="16247" spans="16:21" x14ac:dyDescent="0.35">
      <c r="P16247" s="226"/>
      <c r="Q16247" s="226"/>
      <c r="R16247" s="226"/>
      <c r="S16247" s="226"/>
      <c r="T16247" s="226"/>
      <c r="U16247" s="226"/>
    </row>
    <row r="16248" spans="16:21" x14ac:dyDescent="0.35">
      <c r="P16248" s="226"/>
      <c r="Q16248" s="226"/>
      <c r="R16248" s="226"/>
      <c r="S16248" s="226"/>
      <c r="T16248" s="226"/>
      <c r="U16248" s="226"/>
    </row>
    <row r="16249" spans="16:21" x14ac:dyDescent="0.35">
      <c r="P16249" s="226"/>
      <c r="Q16249" s="226"/>
      <c r="R16249" s="226"/>
      <c r="S16249" s="226"/>
      <c r="T16249" s="226"/>
      <c r="U16249" s="226"/>
    </row>
    <row r="16250" spans="16:21" x14ac:dyDescent="0.35">
      <c r="P16250" s="226"/>
      <c r="Q16250" s="226"/>
      <c r="R16250" s="226"/>
      <c r="S16250" s="226"/>
      <c r="T16250" s="226"/>
      <c r="U16250" s="226"/>
    </row>
    <row r="16251" spans="16:21" x14ac:dyDescent="0.35">
      <c r="P16251" s="226"/>
      <c r="Q16251" s="226"/>
      <c r="R16251" s="226"/>
      <c r="S16251" s="226"/>
      <c r="T16251" s="226"/>
      <c r="U16251" s="226"/>
    </row>
    <row r="16252" spans="16:21" x14ac:dyDescent="0.35">
      <c r="P16252" s="226"/>
      <c r="Q16252" s="226"/>
      <c r="R16252" s="226"/>
      <c r="S16252" s="226"/>
      <c r="T16252" s="226"/>
      <c r="U16252" s="226"/>
    </row>
    <row r="16253" spans="16:21" x14ac:dyDescent="0.35">
      <c r="P16253" s="226"/>
      <c r="Q16253" s="226"/>
      <c r="R16253" s="226"/>
      <c r="S16253" s="226"/>
      <c r="T16253" s="226"/>
      <c r="U16253" s="226"/>
    </row>
    <row r="16254" spans="16:21" x14ac:dyDescent="0.35">
      <c r="P16254" s="226"/>
      <c r="Q16254" s="226"/>
      <c r="R16254" s="226"/>
      <c r="S16254" s="226"/>
      <c r="T16254" s="226"/>
      <c r="U16254" s="226"/>
    </row>
    <row r="16255" spans="16:21" x14ac:dyDescent="0.35">
      <c r="P16255" s="226"/>
      <c r="Q16255" s="226"/>
      <c r="R16255" s="226"/>
      <c r="S16255" s="226"/>
      <c r="T16255" s="226"/>
      <c r="U16255" s="226"/>
    </row>
    <row r="16256" spans="16:21" x14ac:dyDescent="0.35">
      <c r="P16256" s="226"/>
      <c r="Q16256" s="226"/>
      <c r="R16256" s="226"/>
      <c r="S16256" s="226"/>
      <c r="T16256" s="226"/>
      <c r="U16256" s="226"/>
    </row>
    <row r="16257" spans="16:21" x14ac:dyDescent="0.35">
      <c r="P16257" s="226"/>
      <c r="Q16257" s="226"/>
      <c r="R16257" s="226"/>
      <c r="S16257" s="226"/>
      <c r="T16257" s="226"/>
      <c r="U16257" s="226"/>
    </row>
    <row r="16258" spans="16:21" x14ac:dyDescent="0.35">
      <c r="P16258" s="226"/>
      <c r="Q16258" s="226"/>
      <c r="R16258" s="226"/>
      <c r="S16258" s="226"/>
      <c r="T16258" s="226"/>
      <c r="U16258" s="226"/>
    </row>
    <row r="16259" spans="16:21" x14ac:dyDescent="0.35">
      <c r="P16259" s="226"/>
      <c r="Q16259" s="226"/>
      <c r="R16259" s="226"/>
      <c r="S16259" s="226"/>
      <c r="T16259" s="226"/>
      <c r="U16259" s="226"/>
    </row>
    <row r="16260" spans="16:21" x14ac:dyDescent="0.35">
      <c r="P16260" s="226"/>
      <c r="Q16260" s="226"/>
      <c r="R16260" s="226"/>
      <c r="S16260" s="226"/>
      <c r="T16260" s="226"/>
      <c r="U16260" s="226"/>
    </row>
    <row r="16261" spans="16:21" x14ac:dyDescent="0.35">
      <c r="P16261" s="226"/>
      <c r="Q16261" s="226"/>
      <c r="R16261" s="226"/>
      <c r="S16261" s="226"/>
      <c r="T16261" s="226"/>
      <c r="U16261" s="226"/>
    </row>
    <row r="16262" spans="16:21" x14ac:dyDescent="0.35">
      <c r="P16262" s="226"/>
      <c r="Q16262" s="226"/>
      <c r="R16262" s="226"/>
      <c r="S16262" s="226"/>
      <c r="T16262" s="226"/>
      <c r="U16262" s="226"/>
    </row>
    <row r="16263" spans="16:21" x14ac:dyDescent="0.35">
      <c r="P16263" s="226"/>
      <c r="Q16263" s="226"/>
      <c r="R16263" s="226"/>
      <c r="S16263" s="226"/>
      <c r="T16263" s="226"/>
      <c r="U16263" s="226"/>
    </row>
    <row r="16264" spans="16:21" x14ac:dyDescent="0.35">
      <c r="P16264" s="226"/>
      <c r="Q16264" s="226"/>
      <c r="R16264" s="226"/>
      <c r="S16264" s="226"/>
      <c r="T16264" s="226"/>
      <c r="U16264" s="226"/>
    </row>
    <row r="16265" spans="16:21" x14ac:dyDescent="0.35">
      <c r="P16265" s="226"/>
      <c r="Q16265" s="226"/>
      <c r="R16265" s="226"/>
      <c r="S16265" s="226"/>
      <c r="T16265" s="226"/>
      <c r="U16265" s="226"/>
    </row>
    <row r="16266" spans="16:21" x14ac:dyDescent="0.35">
      <c r="P16266" s="226"/>
      <c r="Q16266" s="226"/>
      <c r="R16266" s="226"/>
      <c r="S16266" s="226"/>
      <c r="T16266" s="226"/>
      <c r="U16266" s="226"/>
    </row>
    <row r="16267" spans="16:21" x14ac:dyDescent="0.35">
      <c r="P16267" s="226"/>
      <c r="Q16267" s="226"/>
      <c r="R16267" s="226"/>
      <c r="S16267" s="226"/>
      <c r="T16267" s="226"/>
      <c r="U16267" s="226"/>
    </row>
    <row r="16268" spans="16:21" x14ac:dyDescent="0.35">
      <c r="P16268" s="226"/>
      <c r="Q16268" s="226"/>
      <c r="R16268" s="226"/>
      <c r="S16268" s="226"/>
      <c r="T16268" s="226"/>
      <c r="U16268" s="226"/>
    </row>
    <row r="16269" spans="16:21" x14ac:dyDescent="0.35">
      <c r="P16269" s="226"/>
      <c r="Q16269" s="226"/>
      <c r="R16269" s="226"/>
      <c r="S16269" s="226"/>
      <c r="T16269" s="226"/>
      <c r="U16269" s="226"/>
    </row>
    <row r="16270" spans="16:21" x14ac:dyDescent="0.35">
      <c r="P16270" s="226"/>
      <c r="Q16270" s="226"/>
      <c r="R16270" s="226"/>
      <c r="S16270" s="226"/>
      <c r="T16270" s="226"/>
      <c r="U16270" s="226"/>
    </row>
    <row r="16271" spans="16:21" x14ac:dyDescent="0.35">
      <c r="P16271" s="226"/>
      <c r="Q16271" s="226"/>
      <c r="R16271" s="226"/>
      <c r="S16271" s="226"/>
      <c r="T16271" s="226"/>
      <c r="U16271" s="226"/>
    </row>
    <row r="16272" spans="16:21" x14ac:dyDescent="0.35">
      <c r="P16272" s="226"/>
      <c r="Q16272" s="226"/>
      <c r="R16272" s="226"/>
      <c r="S16272" s="226"/>
      <c r="T16272" s="226"/>
      <c r="U16272" s="226"/>
    </row>
    <row r="16273" spans="16:21" x14ac:dyDescent="0.35">
      <c r="P16273" s="226"/>
      <c r="Q16273" s="226"/>
      <c r="R16273" s="226"/>
      <c r="S16273" s="226"/>
      <c r="T16273" s="226"/>
      <c r="U16273" s="226"/>
    </row>
    <row r="16274" spans="16:21" x14ac:dyDescent="0.35">
      <c r="P16274" s="226"/>
      <c r="Q16274" s="226"/>
      <c r="R16274" s="226"/>
      <c r="S16274" s="226"/>
      <c r="T16274" s="226"/>
      <c r="U16274" s="226"/>
    </row>
    <row r="16275" spans="16:21" x14ac:dyDescent="0.35">
      <c r="P16275" s="226"/>
      <c r="Q16275" s="226"/>
      <c r="R16275" s="226"/>
      <c r="S16275" s="226"/>
      <c r="T16275" s="226"/>
      <c r="U16275" s="226"/>
    </row>
    <row r="16276" spans="16:21" x14ac:dyDescent="0.35">
      <c r="P16276" s="226"/>
      <c r="Q16276" s="226"/>
      <c r="R16276" s="226"/>
      <c r="S16276" s="226"/>
      <c r="T16276" s="226"/>
      <c r="U16276" s="226"/>
    </row>
    <row r="16277" spans="16:21" x14ac:dyDescent="0.35">
      <c r="P16277" s="226"/>
      <c r="Q16277" s="226"/>
      <c r="R16277" s="226"/>
      <c r="S16277" s="226"/>
      <c r="T16277" s="226"/>
      <c r="U16277" s="226"/>
    </row>
    <row r="16278" spans="16:21" x14ac:dyDescent="0.35">
      <c r="P16278" s="226"/>
      <c r="Q16278" s="226"/>
      <c r="R16278" s="226"/>
      <c r="S16278" s="226"/>
      <c r="T16278" s="226"/>
      <c r="U16278" s="226"/>
    </row>
    <row r="16279" spans="16:21" x14ac:dyDescent="0.35">
      <c r="P16279" s="226"/>
      <c r="Q16279" s="226"/>
      <c r="R16279" s="226"/>
      <c r="S16279" s="226"/>
      <c r="T16279" s="226"/>
      <c r="U16279" s="226"/>
    </row>
    <row r="16280" spans="16:21" x14ac:dyDescent="0.35">
      <c r="P16280" s="226"/>
      <c r="Q16280" s="226"/>
      <c r="R16280" s="226"/>
      <c r="S16280" s="226"/>
      <c r="T16280" s="226"/>
      <c r="U16280" s="226"/>
    </row>
    <row r="16281" spans="16:21" x14ac:dyDescent="0.35">
      <c r="P16281" s="226"/>
      <c r="Q16281" s="226"/>
      <c r="R16281" s="226"/>
      <c r="S16281" s="226"/>
      <c r="T16281" s="226"/>
      <c r="U16281" s="226"/>
    </row>
    <row r="16282" spans="16:21" x14ac:dyDescent="0.35">
      <c r="P16282" s="226"/>
      <c r="Q16282" s="226"/>
      <c r="R16282" s="226"/>
      <c r="S16282" s="226"/>
      <c r="T16282" s="226"/>
      <c r="U16282" s="226"/>
    </row>
    <row r="16283" spans="16:21" x14ac:dyDescent="0.35">
      <c r="P16283" s="226"/>
      <c r="Q16283" s="226"/>
      <c r="R16283" s="226"/>
      <c r="S16283" s="226"/>
      <c r="T16283" s="226"/>
      <c r="U16283" s="226"/>
    </row>
    <row r="16284" spans="16:21" x14ac:dyDescent="0.35">
      <c r="P16284" s="226"/>
      <c r="Q16284" s="226"/>
      <c r="R16284" s="226"/>
      <c r="S16284" s="226"/>
      <c r="T16284" s="226"/>
      <c r="U16284" s="226"/>
    </row>
    <row r="16285" spans="16:21" x14ac:dyDescent="0.35">
      <c r="P16285" s="226"/>
      <c r="Q16285" s="226"/>
      <c r="R16285" s="226"/>
      <c r="S16285" s="226"/>
      <c r="T16285" s="226"/>
      <c r="U16285" s="226"/>
    </row>
    <row r="16286" spans="16:21" x14ac:dyDescent="0.35">
      <c r="P16286" s="226"/>
      <c r="Q16286" s="226"/>
      <c r="R16286" s="226"/>
      <c r="S16286" s="226"/>
      <c r="T16286" s="226"/>
      <c r="U16286" s="226"/>
    </row>
    <row r="16287" spans="16:21" x14ac:dyDescent="0.35">
      <c r="P16287" s="226"/>
      <c r="Q16287" s="226"/>
      <c r="R16287" s="226"/>
      <c r="S16287" s="226"/>
      <c r="T16287" s="226"/>
      <c r="U16287" s="226"/>
    </row>
    <row r="16288" spans="16:21" x14ac:dyDescent="0.35">
      <c r="P16288" s="226"/>
      <c r="Q16288" s="226"/>
      <c r="R16288" s="226"/>
      <c r="S16288" s="226"/>
      <c r="T16288" s="226"/>
      <c r="U16288" s="226"/>
    </row>
    <row r="16289" spans="16:21" x14ac:dyDescent="0.35">
      <c r="P16289" s="226"/>
      <c r="Q16289" s="226"/>
      <c r="R16289" s="226"/>
      <c r="S16289" s="226"/>
      <c r="T16289" s="226"/>
      <c r="U16289" s="226"/>
    </row>
    <row r="16290" spans="16:21" x14ac:dyDescent="0.35">
      <c r="P16290" s="226"/>
      <c r="Q16290" s="226"/>
      <c r="R16290" s="226"/>
      <c r="S16290" s="226"/>
      <c r="T16290" s="226"/>
      <c r="U16290" s="226"/>
    </row>
    <row r="16291" spans="16:21" x14ac:dyDescent="0.35">
      <c r="P16291" s="226"/>
      <c r="Q16291" s="226"/>
      <c r="R16291" s="226"/>
      <c r="S16291" s="226"/>
      <c r="T16291" s="226"/>
      <c r="U16291" s="226"/>
    </row>
    <row r="16292" spans="16:21" x14ac:dyDescent="0.35">
      <c r="P16292" s="226"/>
      <c r="Q16292" s="226"/>
      <c r="R16292" s="226"/>
      <c r="S16292" s="226"/>
      <c r="T16292" s="226"/>
      <c r="U16292" s="226"/>
    </row>
    <row r="16293" spans="16:21" x14ac:dyDescent="0.35">
      <c r="P16293" s="226"/>
      <c r="Q16293" s="226"/>
      <c r="R16293" s="226"/>
      <c r="S16293" s="226"/>
      <c r="T16293" s="226"/>
      <c r="U16293" s="226"/>
    </row>
    <row r="16294" spans="16:21" x14ac:dyDescent="0.35">
      <c r="P16294" s="226"/>
      <c r="Q16294" s="226"/>
      <c r="R16294" s="226"/>
      <c r="S16294" s="226"/>
      <c r="T16294" s="226"/>
      <c r="U16294" s="226"/>
    </row>
    <row r="16295" spans="16:21" x14ac:dyDescent="0.35">
      <c r="P16295" s="226"/>
      <c r="Q16295" s="226"/>
      <c r="R16295" s="226"/>
      <c r="S16295" s="226"/>
      <c r="T16295" s="226"/>
      <c r="U16295" s="226"/>
    </row>
    <row r="16296" spans="16:21" x14ac:dyDescent="0.35">
      <c r="P16296" s="226"/>
      <c r="Q16296" s="226"/>
      <c r="R16296" s="226"/>
      <c r="S16296" s="226"/>
      <c r="T16296" s="226"/>
      <c r="U16296" s="226"/>
    </row>
    <row r="16297" spans="16:21" x14ac:dyDescent="0.35">
      <c r="P16297" s="226"/>
      <c r="Q16297" s="226"/>
      <c r="R16297" s="226"/>
      <c r="S16297" s="226"/>
      <c r="T16297" s="226"/>
      <c r="U16297" s="226"/>
    </row>
    <row r="16298" spans="16:21" x14ac:dyDescent="0.35">
      <c r="P16298" s="226"/>
      <c r="Q16298" s="226"/>
      <c r="R16298" s="226"/>
      <c r="S16298" s="226"/>
      <c r="T16298" s="226"/>
      <c r="U16298" s="226"/>
    </row>
    <row r="16299" spans="16:21" x14ac:dyDescent="0.35">
      <c r="P16299" s="226"/>
      <c r="Q16299" s="226"/>
      <c r="R16299" s="226"/>
      <c r="S16299" s="226"/>
      <c r="T16299" s="226"/>
      <c r="U16299" s="226"/>
    </row>
    <row r="16300" spans="16:21" x14ac:dyDescent="0.35">
      <c r="P16300" s="226"/>
      <c r="Q16300" s="226"/>
      <c r="R16300" s="226"/>
      <c r="S16300" s="226"/>
      <c r="T16300" s="226"/>
      <c r="U16300" s="226"/>
    </row>
    <row r="16301" spans="16:21" x14ac:dyDescent="0.35">
      <c r="P16301" s="226"/>
      <c r="Q16301" s="226"/>
      <c r="R16301" s="226"/>
      <c r="S16301" s="226"/>
      <c r="T16301" s="226"/>
      <c r="U16301" s="226"/>
    </row>
    <row r="16302" spans="16:21" x14ac:dyDescent="0.35">
      <c r="P16302" s="226"/>
      <c r="Q16302" s="226"/>
      <c r="R16302" s="226"/>
      <c r="S16302" s="226"/>
      <c r="T16302" s="226"/>
      <c r="U16302" s="226"/>
    </row>
    <row r="16303" spans="16:21" x14ac:dyDescent="0.35">
      <c r="P16303" s="226"/>
      <c r="Q16303" s="226"/>
      <c r="R16303" s="226"/>
      <c r="S16303" s="226"/>
      <c r="T16303" s="226"/>
      <c r="U16303" s="226"/>
    </row>
    <row r="16304" spans="16:21" x14ac:dyDescent="0.35">
      <c r="P16304" s="226"/>
      <c r="Q16304" s="226"/>
      <c r="R16304" s="226"/>
      <c r="S16304" s="226"/>
      <c r="T16304" s="226"/>
      <c r="U16304" s="226"/>
    </row>
    <row r="16305" spans="16:21" x14ac:dyDescent="0.35">
      <c r="P16305" s="226"/>
      <c r="Q16305" s="226"/>
      <c r="R16305" s="226"/>
      <c r="S16305" s="226"/>
      <c r="T16305" s="226"/>
      <c r="U16305" s="226"/>
    </row>
    <row r="16306" spans="16:21" x14ac:dyDescent="0.35">
      <c r="P16306" s="226"/>
      <c r="Q16306" s="226"/>
      <c r="R16306" s="226"/>
      <c r="S16306" s="226"/>
      <c r="T16306" s="226"/>
      <c r="U16306" s="226"/>
    </row>
    <row r="16307" spans="16:21" x14ac:dyDescent="0.35">
      <c r="P16307" s="226"/>
      <c r="Q16307" s="226"/>
      <c r="R16307" s="226"/>
      <c r="S16307" s="226"/>
      <c r="T16307" s="226"/>
      <c r="U16307" s="226"/>
    </row>
    <row r="16308" spans="16:21" x14ac:dyDescent="0.35">
      <c r="P16308" s="226"/>
      <c r="Q16308" s="226"/>
      <c r="R16308" s="226"/>
      <c r="S16308" s="226"/>
      <c r="T16308" s="226"/>
      <c r="U16308" s="226"/>
    </row>
    <row r="16309" spans="16:21" x14ac:dyDescent="0.35">
      <c r="P16309" s="226"/>
      <c r="Q16309" s="226"/>
      <c r="R16309" s="226"/>
      <c r="S16309" s="226"/>
      <c r="T16309" s="226"/>
      <c r="U16309" s="226"/>
    </row>
    <row r="16310" spans="16:21" x14ac:dyDescent="0.35">
      <c r="P16310" s="226"/>
      <c r="Q16310" s="226"/>
      <c r="R16310" s="226"/>
      <c r="S16310" s="226"/>
      <c r="T16310" s="226"/>
      <c r="U16310" s="226"/>
    </row>
    <row r="16311" spans="16:21" x14ac:dyDescent="0.35">
      <c r="P16311" s="226"/>
      <c r="Q16311" s="226"/>
      <c r="R16311" s="226"/>
      <c r="S16311" s="226"/>
      <c r="T16311" s="226"/>
      <c r="U16311" s="226"/>
    </row>
    <row r="16312" spans="16:21" x14ac:dyDescent="0.35">
      <c r="P16312" s="226"/>
      <c r="Q16312" s="226"/>
      <c r="R16312" s="226"/>
      <c r="S16312" s="226"/>
      <c r="T16312" s="226"/>
      <c r="U16312" s="226"/>
    </row>
    <row r="16313" spans="16:21" x14ac:dyDescent="0.35">
      <c r="P16313" s="226"/>
      <c r="Q16313" s="226"/>
      <c r="R16313" s="226"/>
      <c r="S16313" s="226"/>
      <c r="T16313" s="226"/>
      <c r="U16313" s="226"/>
    </row>
    <row r="16314" spans="16:21" x14ac:dyDescent="0.35">
      <c r="P16314" s="226"/>
      <c r="Q16314" s="226"/>
      <c r="R16314" s="226"/>
      <c r="S16314" s="226"/>
      <c r="T16314" s="226"/>
      <c r="U16314" s="226"/>
    </row>
    <row r="16315" spans="16:21" x14ac:dyDescent="0.35">
      <c r="P16315" s="226"/>
      <c r="Q16315" s="226"/>
      <c r="R16315" s="226"/>
      <c r="S16315" s="226"/>
      <c r="T16315" s="226"/>
      <c r="U16315" s="226"/>
    </row>
    <row r="16316" spans="16:21" x14ac:dyDescent="0.35">
      <c r="P16316" s="226"/>
      <c r="Q16316" s="226"/>
      <c r="R16316" s="226"/>
      <c r="S16316" s="226"/>
      <c r="T16316" s="226"/>
      <c r="U16316" s="226"/>
    </row>
    <row r="16317" spans="16:21" x14ac:dyDescent="0.35">
      <c r="P16317" s="226"/>
      <c r="Q16317" s="226"/>
      <c r="R16317" s="226"/>
      <c r="S16317" s="226"/>
      <c r="T16317" s="226"/>
      <c r="U16317" s="226"/>
    </row>
    <row r="16318" spans="16:21" x14ac:dyDescent="0.35">
      <c r="P16318" s="226"/>
      <c r="Q16318" s="226"/>
      <c r="R16318" s="226"/>
      <c r="S16318" s="226"/>
      <c r="T16318" s="226"/>
      <c r="U16318" s="226"/>
    </row>
    <row r="16319" spans="16:21" x14ac:dyDescent="0.35">
      <c r="P16319" s="226"/>
      <c r="Q16319" s="226"/>
      <c r="R16319" s="226"/>
      <c r="S16319" s="226"/>
      <c r="T16319" s="226"/>
      <c r="U16319" s="226"/>
    </row>
    <row r="16320" spans="16:21" x14ac:dyDescent="0.35">
      <c r="P16320" s="226"/>
      <c r="Q16320" s="226"/>
      <c r="R16320" s="226"/>
      <c r="S16320" s="226"/>
      <c r="T16320" s="226"/>
      <c r="U16320" s="226"/>
    </row>
    <row r="16321" spans="16:21" x14ac:dyDescent="0.35">
      <c r="P16321" s="226"/>
      <c r="Q16321" s="226"/>
      <c r="R16321" s="226"/>
      <c r="S16321" s="226"/>
      <c r="T16321" s="226"/>
      <c r="U16321" s="226"/>
    </row>
    <row r="16322" spans="16:21" x14ac:dyDescent="0.35">
      <c r="P16322" s="226"/>
      <c r="Q16322" s="226"/>
      <c r="R16322" s="226"/>
      <c r="S16322" s="226"/>
      <c r="T16322" s="226"/>
      <c r="U16322" s="226"/>
    </row>
    <row r="16323" spans="16:21" x14ac:dyDescent="0.35">
      <c r="P16323" s="226"/>
      <c r="Q16323" s="226"/>
      <c r="R16323" s="226"/>
      <c r="S16323" s="226"/>
      <c r="T16323" s="226"/>
      <c r="U16323" s="226"/>
    </row>
    <row r="16324" spans="16:21" x14ac:dyDescent="0.35">
      <c r="P16324" s="226"/>
      <c r="Q16324" s="226"/>
      <c r="R16324" s="226"/>
      <c r="S16324" s="226"/>
      <c r="T16324" s="226"/>
      <c r="U16324" s="226"/>
    </row>
    <row r="16325" spans="16:21" x14ac:dyDescent="0.35">
      <c r="P16325" s="226"/>
      <c r="Q16325" s="226"/>
      <c r="R16325" s="226"/>
      <c r="S16325" s="226"/>
      <c r="T16325" s="226"/>
      <c r="U16325" s="226"/>
    </row>
    <row r="16326" spans="16:21" x14ac:dyDescent="0.35">
      <c r="P16326" s="226"/>
      <c r="Q16326" s="226"/>
      <c r="R16326" s="226"/>
      <c r="S16326" s="226"/>
      <c r="T16326" s="226"/>
      <c r="U16326" s="226"/>
    </row>
    <row r="16327" spans="16:21" x14ac:dyDescent="0.35">
      <c r="P16327" s="226"/>
      <c r="Q16327" s="226"/>
      <c r="R16327" s="226"/>
      <c r="S16327" s="226"/>
      <c r="T16327" s="226"/>
      <c r="U16327" s="226"/>
    </row>
    <row r="16328" spans="16:21" x14ac:dyDescent="0.35">
      <c r="P16328" s="226"/>
      <c r="Q16328" s="226"/>
      <c r="R16328" s="226"/>
      <c r="S16328" s="226"/>
      <c r="T16328" s="226"/>
      <c r="U16328" s="226"/>
    </row>
    <row r="16329" spans="16:21" x14ac:dyDescent="0.35">
      <c r="P16329" s="226"/>
      <c r="Q16329" s="226"/>
      <c r="R16329" s="226"/>
      <c r="S16329" s="226"/>
      <c r="T16329" s="226"/>
      <c r="U16329" s="226"/>
    </row>
    <row r="16330" spans="16:21" x14ac:dyDescent="0.35">
      <c r="P16330" s="226"/>
      <c r="Q16330" s="226"/>
      <c r="R16330" s="226"/>
      <c r="S16330" s="226"/>
      <c r="T16330" s="226"/>
      <c r="U16330" s="226"/>
    </row>
    <row r="16331" spans="16:21" x14ac:dyDescent="0.35">
      <c r="P16331" s="226"/>
      <c r="Q16331" s="226"/>
      <c r="R16331" s="226"/>
      <c r="S16331" s="226"/>
      <c r="T16331" s="226"/>
      <c r="U16331" s="226"/>
    </row>
    <row r="16332" spans="16:21" x14ac:dyDescent="0.35">
      <c r="P16332" s="226"/>
      <c r="Q16332" s="226"/>
      <c r="R16332" s="226"/>
      <c r="S16332" s="226"/>
      <c r="T16332" s="226"/>
      <c r="U16332" s="226"/>
    </row>
    <row r="16333" spans="16:21" x14ac:dyDescent="0.35">
      <c r="P16333" s="226"/>
      <c r="Q16333" s="226"/>
      <c r="R16333" s="226"/>
      <c r="S16333" s="226"/>
      <c r="T16333" s="226"/>
      <c r="U16333" s="226"/>
    </row>
    <row r="16334" spans="16:21" x14ac:dyDescent="0.35">
      <c r="P16334" s="226"/>
      <c r="Q16334" s="226"/>
      <c r="R16334" s="226"/>
      <c r="S16334" s="226"/>
      <c r="T16334" s="226"/>
      <c r="U16334" s="226"/>
    </row>
    <row r="16335" spans="16:21" x14ac:dyDescent="0.35">
      <c r="P16335" s="226"/>
      <c r="Q16335" s="226"/>
      <c r="R16335" s="226"/>
      <c r="S16335" s="226"/>
      <c r="T16335" s="226"/>
      <c r="U16335" s="226"/>
    </row>
    <row r="16336" spans="16:21" x14ac:dyDescent="0.35">
      <c r="P16336" s="226"/>
      <c r="Q16336" s="226"/>
      <c r="R16336" s="226"/>
      <c r="S16336" s="226"/>
      <c r="T16336" s="226"/>
      <c r="U16336" s="226"/>
    </row>
    <row r="16337" spans="16:21" x14ac:dyDescent="0.35">
      <c r="P16337" s="226"/>
      <c r="Q16337" s="226"/>
      <c r="R16337" s="226"/>
      <c r="S16337" s="226"/>
      <c r="T16337" s="226"/>
      <c r="U16337" s="226"/>
    </row>
    <row r="16338" spans="16:21" x14ac:dyDescent="0.35">
      <c r="P16338" s="226"/>
      <c r="Q16338" s="226"/>
      <c r="R16338" s="226"/>
      <c r="S16338" s="226"/>
      <c r="T16338" s="226"/>
      <c r="U16338" s="226"/>
    </row>
    <row r="16339" spans="16:21" x14ac:dyDescent="0.35">
      <c r="P16339" s="226"/>
      <c r="Q16339" s="226"/>
      <c r="R16339" s="226"/>
      <c r="S16339" s="226"/>
      <c r="T16339" s="226"/>
      <c r="U16339" s="226"/>
    </row>
    <row r="16340" spans="16:21" x14ac:dyDescent="0.35">
      <c r="P16340" s="226"/>
      <c r="Q16340" s="226"/>
      <c r="R16340" s="226"/>
      <c r="S16340" s="226"/>
      <c r="T16340" s="226"/>
      <c r="U16340" s="226"/>
    </row>
    <row r="16341" spans="16:21" x14ac:dyDescent="0.35">
      <c r="P16341" s="226"/>
      <c r="Q16341" s="226"/>
      <c r="R16341" s="226"/>
      <c r="S16341" s="226"/>
      <c r="T16341" s="226"/>
      <c r="U16341" s="226"/>
    </row>
    <row r="16342" spans="16:21" x14ac:dyDescent="0.35">
      <c r="P16342" s="226"/>
      <c r="Q16342" s="226"/>
      <c r="R16342" s="226"/>
      <c r="S16342" s="226"/>
      <c r="T16342" s="226"/>
      <c r="U16342" s="226"/>
    </row>
    <row r="16343" spans="16:21" x14ac:dyDescent="0.35">
      <c r="P16343" s="226"/>
      <c r="Q16343" s="226"/>
      <c r="R16343" s="226"/>
      <c r="S16343" s="226"/>
      <c r="T16343" s="226"/>
      <c r="U16343" s="226"/>
    </row>
    <row r="16344" spans="16:21" x14ac:dyDescent="0.35">
      <c r="P16344" s="226"/>
      <c r="Q16344" s="226"/>
      <c r="R16344" s="226"/>
      <c r="S16344" s="226"/>
      <c r="T16344" s="226"/>
      <c r="U16344" s="226"/>
    </row>
    <row r="16345" spans="16:21" x14ac:dyDescent="0.35">
      <c r="P16345" s="226"/>
      <c r="Q16345" s="226"/>
      <c r="R16345" s="226"/>
      <c r="S16345" s="226"/>
      <c r="T16345" s="226"/>
      <c r="U16345" s="226"/>
    </row>
    <row r="16346" spans="16:21" x14ac:dyDescent="0.35">
      <c r="P16346" s="226"/>
      <c r="Q16346" s="226"/>
      <c r="R16346" s="226"/>
      <c r="S16346" s="226"/>
      <c r="T16346" s="226"/>
      <c r="U16346" s="226"/>
    </row>
    <row r="16347" spans="16:21" x14ac:dyDescent="0.35">
      <c r="P16347" s="226"/>
      <c r="Q16347" s="226"/>
      <c r="R16347" s="226"/>
      <c r="S16347" s="226"/>
      <c r="T16347" s="226"/>
      <c r="U16347" s="226"/>
    </row>
    <row r="16348" spans="16:21" x14ac:dyDescent="0.35">
      <c r="P16348" s="226"/>
      <c r="Q16348" s="226"/>
      <c r="R16348" s="226"/>
      <c r="S16348" s="226"/>
      <c r="T16348" s="226"/>
      <c r="U16348" s="226"/>
    </row>
    <row r="16349" spans="16:21" x14ac:dyDescent="0.35">
      <c r="P16349" s="226"/>
      <c r="Q16349" s="226"/>
      <c r="R16349" s="226"/>
      <c r="S16349" s="226"/>
      <c r="T16349" s="226"/>
      <c r="U16349" s="226"/>
    </row>
    <row r="16350" spans="16:21" x14ac:dyDescent="0.35">
      <c r="P16350" s="226"/>
      <c r="Q16350" s="226"/>
      <c r="R16350" s="226"/>
      <c r="S16350" s="226"/>
      <c r="T16350" s="226"/>
      <c r="U16350" s="226"/>
    </row>
    <row r="16351" spans="16:21" x14ac:dyDescent="0.35">
      <c r="P16351" s="226"/>
      <c r="Q16351" s="226"/>
      <c r="R16351" s="226"/>
      <c r="S16351" s="226"/>
      <c r="T16351" s="226"/>
      <c r="U16351" s="226"/>
    </row>
    <row r="16352" spans="16:21" x14ac:dyDescent="0.35">
      <c r="P16352" s="226"/>
      <c r="Q16352" s="226"/>
      <c r="R16352" s="226"/>
      <c r="S16352" s="226"/>
      <c r="T16352" s="226"/>
      <c r="U16352" s="226"/>
    </row>
    <row r="16353" spans="16:21" x14ac:dyDescent="0.35">
      <c r="P16353" s="226"/>
      <c r="Q16353" s="226"/>
      <c r="R16353" s="226"/>
      <c r="S16353" s="226"/>
      <c r="T16353" s="226"/>
      <c r="U16353" s="226"/>
    </row>
    <row r="16354" spans="16:21" x14ac:dyDescent="0.35">
      <c r="P16354" s="226"/>
      <c r="Q16354" s="226"/>
      <c r="R16354" s="226"/>
      <c r="S16354" s="226"/>
      <c r="T16354" s="226"/>
      <c r="U16354" s="226"/>
    </row>
    <row r="16355" spans="16:21" x14ac:dyDescent="0.35">
      <c r="P16355" s="226"/>
      <c r="Q16355" s="226"/>
      <c r="R16355" s="226"/>
      <c r="S16355" s="226"/>
      <c r="T16355" s="226"/>
      <c r="U16355" s="226"/>
    </row>
    <row r="16356" spans="16:21" x14ac:dyDescent="0.35">
      <c r="P16356" s="226"/>
      <c r="Q16356" s="226"/>
      <c r="R16356" s="226"/>
      <c r="S16356" s="226"/>
      <c r="T16356" s="226"/>
      <c r="U16356" s="226"/>
    </row>
    <row r="16357" spans="16:21" x14ac:dyDescent="0.35">
      <c r="P16357" s="226"/>
      <c r="Q16357" s="226"/>
      <c r="R16357" s="226"/>
      <c r="S16357" s="226"/>
      <c r="T16357" s="226"/>
      <c r="U16357" s="226"/>
    </row>
    <row r="16358" spans="16:21" x14ac:dyDescent="0.35">
      <c r="P16358" s="226"/>
      <c r="Q16358" s="226"/>
      <c r="R16358" s="226"/>
      <c r="S16358" s="226"/>
      <c r="T16358" s="226"/>
      <c r="U16358" s="226"/>
    </row>
    <row r="16359" spans="16:21" x14ac:dyDescent="0.35">
      <c r="P16359" s="226"/>
      <c r="Q16359" s="226"/>
      <c r="R16359" s="226"/>
      <c r="S16359" s="226"/>
      <c r="T16359" s="226"/>
      <c r="U16359" s="226"/>
    </row>
    <row r="16360" spans="16:21" x14ac:dyDescent="0.35">
      <c r="P16360" s="226"/>
      <c r="Q16360" s="226"/>
      <c r="R16360" s="226"/>
      <c r="S16360" s="226"/>
      <c r="T16360" s="226"/>
      <c r="U16360" s="226"/>
    </row>
    <row r="16361" spans="16:21" x14ac:dyDescent="0.35">
      <c r="P16361" s="226"/>
      <c r="Q16361" s="226"/>
      <c r="R16361" s="226"/>
      <c r="S16361" s="226"/>
      <c r="T16361" s="226"/>
      <c r="U16361" s="226"/>
    </row>
    <row r="16362" spans="16:21" x14ac:dyDescent="0.35">
      <c r="P16362" s="226"/>
      <c r="Q16362" s="226"/>
      <c r="R16362" s="226"/>
      <c r="S16362" s="226"/>
      <c r="T16362" s="226"/>
      <c r="U16362" s="226"/>
    </row>
    <row r="16363" spans="16:21" x14ac:dyDescent="0.35">
      <c r="P16363" s="226"/>
      <c r="Q16363" s="226"/>
      <c r="R16363" s="226"/>
      <c r="S16363" s="226"/>
      <c r="T16363" s="226"/>
      <c r="U16363" s="226"/>
    </row>
    <row r="16364" spans="16:21" x14ac:dyDescent="0.35">
      <c r="P16364" s="226"/>
      <c r="Q16364" s="226"/>
      <c r="R16364" s="226"/>
      <c r="S16364" s="226"/>
      <c r="T16364" s="226"/>
      <c r="U16364" s="226"/>
    </row>
    <row r="16365" spans="16:21" x14ac:dyDescent="0.35">
      <c r="P16365" s="226"/>
      <c r="Q16365" s="226"/>
      <c r="R16365" s="226"/>
      <c r="S16365" s="226"/>
      <c r="T16365" s="226"/>
      <c r="U16365" s="226"/>
    </row>
    <row r="16366" spans="16:21" x14ac:dyDescent="0.35">
      <c r="P16366" s="226"/>
      <c r="Q16366" s="226"/>
      <c r="R16366" s="226"/>
      <c r="S16366" s="226"/>
      <c r="T16366" s="226"/>
      <c r="U16366" s="226"/>
    </row>
    <row r="16367" spans="16:21" x14ac:dyDescent="0.35">
      <c r="P16367" s="226"/>
      <c r="Q16367" s="226"/>
      <c r="R16367" s="226"/>
      <c r="S16367" s="226"/>
      <c r="T16367" s="226"/>
      <c r="U16367" s="226"/>
    </row>
    <row r="16368" spans="16:21" x14ac:dyDescent="0.35">
      <c r="P16368" s="226"/>
      <c r="Q16368" s="226"/>
      <c r="R16368" s="226"/>
      <c r="S16368" s="226"/>
      <c r="T16368" s="226"/>
      <c r="U16368" s="226"/>
    </row>
    <row r="16369" spans="16:21" x14ac:dyDescent="0.35">
      <c r="P16369" s="226"/>
      <c r="Q16369" s="226"/>
      <c r="R16369" s="226"/>
      <c r="S16369" s="226"/>
      <c r="T16369" s="226"/>
      <c r="U16369" s="226"/>
    </row>
    <row r="16370" spans="16:21" x14ac:dyDescent="0.35">
      <c r="P16370" s="226"/>
      <c r="Q16370" s="226"/>
      <c r="R16370" s="226"/>
      <c r="S16370" s="226"/>
      <c r="T16370" s="226"/>
      <c r="U16370" s="226"/>
    </row>
    <row r="16371" spans="16:21" x14ac:dyDescent="0.35">
      <c r="P16371" s="226"/>
      <c r="Q16371" s="226"/>
      <c r="R16371" s="226"/>
      <c r="S16371" s="226"/>
      <c r="T16371" s="226"/>
      <c r="U16371" s="226"/>
    </row>
    <row r="16372" spans="16:21" x14ac:dyDescent="0.35">
      <c r="P16372" s="226"/>
      <c r="Q16372" s="226"/>
      <c r="R16372" s="226"/>
      <c r="S16372" s="226"/>
      <c r="T16372" s="226"/>
      <c r="U16372" s="226"/>
    </row>
    <row r="16373" spans="16:21" x14ac:dyDescent="0.35">
      <c r="P16373" s="226"/>
      <c r="Q16373" s="226"/>
      <c r="R16373" s="226"/>
      <c r="S16373" s="226"/>
      <c r="T16373" s="226"/>
      <c r="U16373" s="226"/>
    </row>
    <row r="16374" spans="16:21" x14ac:dyDescent="0.35">
      <c r="P16374" s="226"/>
      <c r="Q16374" s="226"/>
      <c r="R16374" s="226"/>
      <c r="S16374" s="226"/>
      <c r="T16374" s="226"/>
      <c r="U16374" s="226"/>
    </row>
    <row r="16375" spans="16:21" x14ac:dyDescent="0.35">
      <c r="P16375" s="226"/>
      <c r="Q16375" s="226"/>
      <c r="R16375" s="226"/>
      <c r="S16375" s="226"/>
      <c r="T16375" s="226"/>
      <c r="U16375" s="226"/>
    </row>
    <row r="16376" spans="16:21" x14ac:dyDescent="0.35">
      <c r="P16376" s="226"/>
      <c r="Q16376" s="226"/>
      <c r="R16376" s="226"/>
      <c r="S16376" s="226"/>
      <c r="T16376" s="226"/>
      <c r="U16376" s="226"/>
    </row>
    <row r="16377" spans="16:21" x14ac:dyDescent="0.35">
      <c r="P16377" s="226"/>
      <c r="Q16377" s="226"/>
      <c r="R16377" s="226"/>
      <c r="S16377" s="226"/>
      <c r="T16377" s="226"/>
      <c r="U16377" s="226"/>
    </row>
    <row r="16378" spans="16:21" x14ac:dyDescent="0.35">
      <c r="P16378" s="226"/>
      <c r="Q16378" s="226"/>
      <c r="R16378" s="226"/>
      <c r="S16378" s="226"/>
      <c r="T16378" s="226"/>
      <c r="U16378" s="226"/>
    </row>
    <row r="16379" spans="16:21" x14ac:dyDescent="0.35">
      <c r="P16379" s="226"/>
      <c r="Q16379" s="226"/>
      <c r="R16379" s="226"/>
      <c r="S16379" s="226"/>
      <c r="T16379" s="226"/>
      <c r="U16379" s="226"/>
    </row>
    <row r="16380" spans="16:21" x14ac:dyDescent="0.35">
      <c r="P16380" s="226"/>
      <c r="Q16380" s="226"/>
      <c r="R16380" s="226"/>
      <c r="S16380" s="226"/>
      <c r="T16380" s="226"/>
      <c r="U16380" s="226"/>
    </row>
    <row r="16381" spans="16:21" x14ac:dyDescent="0.35">
      <c r="P16381" s="226"/>
      <c r="Q16381" s="226"/>
      <c r="R16381" s="226"/>
      <c r="S16381" s="226"/>
      <c r="T16381" s="226"/>
      <c r="U16381" s="226"/>
    </row>
    <row r="16382" spans="16:21" x14ac:dyDescent="0.35">
      <c r="P16382" s="226"/>
      <c r="Q16382" s="226"/>
      <c r="R16382" s="226"/>
      <c r="S16382" s="226"/>
      <c r="T16382" s="226"/>
      <c r="U16382" s="226"/>
    </row>
    <row r="16383" spans="16:21" x14ac:dyDescent="0.35">
      <c r="P16383" s="226"/>
      <c r="Q16383" s="226"/>
      <c r="R16383" s="226"/>
      <c r="S16383" s="226"/>
      <c r="T16383" s="226"/>
      <c r="U16383" s="226"/>
    </row>
    <row r="16384" spans="16:21" x14ac:dyDescent="0.35">
      <c r="P16384" s="226"/>
      <c r="Q16384" s="226"/>
      <c r="R16384" s="226"/>
      <c r="S16384" s="226"/>
      <c r="T16384" s="226"/>
      <c r="U16384" s="226"/>
    </row>
    <row r="16385" spans="16:21" x14ac:dyDescent="0.35">
      <c r="P16385" s="226"/>
      <c r="Q16385" s="226"/>
      <c r="R16385" s="226"/>
      <c r="S16385" s="226"/>
      <c r="T16385" s="226"/>
      <c r="U16385" s="226"/>
    </row>
    <row r="16386" spans="16:21" x14ac:dyDescent="0.35">
      <c r="P16386" s="226"/>
      <c r="Q16386" s="226"/>
      <c r="R16386" s="226"/>
      <c r="S16386" s="226"/>
      <c r="T16386" s="226"/>
      <c r="U16386" s="226"/>
    </row>
    <row r="16387" spans="16:21" x14ac:dyDescent="0.35">
      <c r="P16387" s="226"/>
      <c r="Q16387" s="226"/>
      <c r="R16387" s="226"/>
      <c r="S16387" s="226"/>
      <c r="T16387" s="226"/>
      <c r="U16387" s="226"/>
    </row>
    <row r="16388" spans="16:21" x14ac:dyDescent="0.35">
      <c r="P16388" s="226"/>
      <c r="Q16388" s="226"/>
      <c r="R16388" s="226"/>
      <c r="S16388" s="226"/>
      <c r="T16388" s="226"/>
      <c r="U16388" s="226"/>
    </row>
    <row r="16389" spans="16:21" x14ac:dyDescent="0.35">
      <c r="P16389" s="226"/>
      <c r="Q16389" s="226"/>
      <c r="R16389" s="226"/>
      <c r="S16389" s="226"/>
      <c r="T16389" s="226"/>
      <c r="U16389" s="226"/>
    </row>
    <row r="16390" spans="16:21" x14ac:dyDescent="0.35">
      <c r="P16390" s="226"/>
      <c r="Q16390" s="226"/>
      <c r="R16390" s="226"/>
      <c r="S16390" s="226"/>
      <c r="T16390" s="226"/>
      <c r="U16390" s="226"/>
    </row>
    <row r="16391" spans="16:21" x14ac:dyDescent="0.35">
      <c r="P16391" s="226"/>
      <c r="Q16391" s="226"/>
      <c r="R16391" s="226"/>
      <c r="S16391" s="226"/>
      <c r="T16391" s="226"/>
      <c r="U16391" s="226"/>
    </row>
    <row r="16392" spans="16:21" x14ac:dyDescent="0.35">
      <c r="P16392" s="226"/>
      <c r="Q16392" s="226"/>
      <c r="R16392" s="226"/>
      <c r="S16392" s="226"/>
      <c r="T16392" s="226"/>
      <c r="U16392" s="226"/>
    </row>
    <row r="16393" spans="16:21" x14ac:dyDescent="0.35">
      <c r="P16393" s="226"/>
      <c r="Q16393" s="226"/>
      <c r="R16393" s="226"/>
      <c r="S16393" s="226"/>
      <c r="T16393" s="226"/>
      <c r="U16393" s="226"/>
    </row>
    <row r="16394" spans="16:21" x14ac:dyDescent="0.35">
      <c r="P16394" s="226"/>
      <c r="Q16394" s="226"/>
      <c r="R16394" s="226"/>
      <c r="S16394" s="226"/>
      <c r="T16394" s="226"/>
      <c r="U16394" s="226"/>
    </row>
    <row r="16395" spans="16:21" x14ac:dyDescent="0.35">
      <c r="P16395" s="226"/>
      <c r="Q16395" s="226"/>
      <c r="R16395" s="226"/>
      <c r="S16395" s="226"/>
      <c r="T16395" s="226"/>
      <c r="U16395" s="226"/>
    </row>
    <row r="16396" spans="16:21" x14ac:dyDescent="0.35">
      <c r="P16396" s="226"/>
      <c r="Q16396" s="226"/>
      <c r="R16396" s="226"/>
      <c r="S16396" s="226"/>
      <c r="T16396" s="226"/>
      <c r="U16396" s="226"/>
    </row>
    <row r="16397" spans="16:21" x14ac:dyDescent="0.35">
      <c r="P16397" s="226"/>
      <c r="Q16397" s="226"/>
      <c r="R16397" s="226"/>
      <c r="S16397" s="226"/>
      <c r="T16397" s="226"/>
      <c r="U16397" s="226"/>
    </row>
    <row r="16398" spans="16:21" x14ac:dyDescent="0.35">
      <c r="P16398" s="226"/>
      <c r="Q16398" s="226"/>
      <c r="R16398" s="226"/>
      <c r="S16398" s="226"/>
      <c r="T16398" s="226"/>
      <c r="U16398" s="226"/>
    </row>
    <row r="16399" spans="16:21" x14ac:dyDescent="0.35">
      <c r="P16399" s="226"/>
      <c r="Q16399" s="226"/>
      <c r="R16399" s="226"/>
      <c r="S16399" s="226"/>
      <c r="T16399" s="226"/>
      <c r="U16399" s="226"/>
    </row>
    <row r="16400" spans="16:21" x14ac:dyDescent="0.35">
      <c r="P16400" s="226"/>
      <c r="Q16400" s="226"/>
      <c r="R16400" s="226"/>
      <c r="S16400" s="226"/>
      <c r="T16400" s="226"/>
      <c r="U16400" s="226"/>
    </row>
    <row r="16401" spans="16:21" x14ac:dyDescent="0.35">
      <c r="P16401" s="226"/>
      <c r="Q16401" s="226"/>
      <c r="R16401" s="226"/>
      <c r="S16401" s="226"/>
      <c r="T16401" s="226"/>
      <c r="U16401" s="226"/>
    </row>
    <row r="16402" spans="16:21" x14ac:dyDescent="0.35">
      <c r="P16402" s="226"/>
      <c r="Q16402" s="226"/>
      <c r="R16402" s="226"/>
      <c r="S16402" s="226"/>
      <c r="T16402" s="226"/>
      <c r="U16402" s="226"/>
    </row>
    <row r="16403" spans="16:21" x14ac:dyDescent="0.35">
      <c r="P16403" s="226"/>
      <c r="Q16403" s="226"/>
      <c r="R16403" s="226"/>
      <c r="S16403" s="226"/>
      <c r="T16403" s="226"/>
      <c r="U16403" s="226"/>
    </row>
    <row r="16404" spans="16:21" x14ac:dyDescent="0.35">
      <c r="P16404" s="226"/>
      <c r="Q16404" s="226"/>
      <c r="R16404" s="226"/>
      <c r="S16404" s="226"/>
      <c r="T16404" s="226"/>
      <c r="U16404" s="226"/>
    </row>
    <row r="16405" spans="16:21" x14ac:dyDescent="0.35">
      <c r="P16405" s="226"/>
      <c r="Q16405" s="226"/>
      <c r="R16405" s="226"/>
      <c r="S16405" s="226"/>
      <c r="T16405" s="226"/>
      <c r="U16405" s="226"/>
    </row>
    <row r="16406" spans="16:21" x14ac:dyDescent="0.35">
      <c r="P16406" s="226"/>
      <c r="Q16406" s="226"/>
      <c r="R16406" s="226"/>
      <c r="S16406" s="226"/>
      <c r="T16406" s="226"/>
      <c r="U16406" s="226"/>
    </row>
    <row r="16407" spans="16:21" x14ac:dyDescent="0.35">
      <c r="P16407" s="226"/>
      <c r="Q16407" s="226"/>
      <c r="R16407" s="226"/>
      <c r="S16407" s="226"/>
      <c r="T16407" s="226"/>
      <c r="U16407" s="226"/>
    </row>
    <row r="16408" spans="16:21" x14ac:dyDescent="0.35">
      <c r="P16408" s="226"/>
      <c r="Q16408" s="226"/>
      <c r="R16408" s="226"/>
      <c r="S16408" s="226"/>
      <c r="T16408" s="226"/>
      <c r="U16408" s="226"/>
    </row>
    <row r="16409" spans="16:21" x14ac:dyDescent="0.35">
      <c r="P16409" s="226"/>
      <c r="Q16409" s="226"/>
      <c r="R16409" s="226"/>
      <c r="S16409" s="226"/>
      <c r="T16409" s="226"/>
      <c r="U16409" s="226"/>
    </row>
    <row r="16410" spans="16:21" x14ac:dyDescent="0.35">
      <c r="P16410" s="226"/>
      <c r="Q16410" s="226"/>
      <c r="R16410" s="226"/>
      <c r="S16410" s="226"/>
      <c r="T16410" s="226"/>
      <c r="U16410" s="226"/>
    </row>
    <row r="16411" spans="16:21" x14ac:dyDescent="0.35">
      <c r="P16411" s="226"/>
      <c r="Q16411" s="226"/>
      <c r="R16411" s="226"/>
      <c r="S16411" s="226"/>
      <c r="T16411" s="226"/>
      <c r="U16411" s="226"/>
    </row>
    <row r="16412" spans="16:21" x14ac:dyDescent="0.35">
      <c r="P16412" s="226"/>
      <c r="Q16412" s="226"/>
      <c r="R16412" s="226"/>
      <c r="S16412" s="226"/>
      <c r="T16412" s="226"/>
      <c r="U16412" s="226"/>
    </row>
    <row r="16413" spans="16:21" x14ac:dyDescent="0.35">
      <c r="P16413" s="226"/>
      <c r="Q16413" s="226"/>
      <c r="R16413" s="226"/>
      <c r="S16413" s="226"/>
      <c r="T16413" s="226"/>
      <c r="U16413" s="226"/>
    </row>
    <row r="16414" spans="16:21" x14ac:dyDescent="0.35">
      <c r="P16414" s="226"/>
      <c r="Q16414" s="226"/>
      <c r="R16414" s="226"/>
      <c r="S16414" s="226"/>
      <c r="T16414" s="226"/>
      <c r="U16414" s="226"/>
    </row>
    <row r="16415" spans="16:21" x14ac:dyDescent="0.35">
      <c r="P16415" s="226"/>
      <c r="Q16415" s="226"/>
      <c r="R16415" s="226"/>
      <c r="S16415" s="226"/>
      <c r="T16415" s="226"/>
      <c r="U16415" s="226"/>
    </row>
    <row r="16416" spans="16:21" x14ac:dyDescent="0.35">
      <c r="P16416" s="226"/>
      <c r="Q16416" s="226"/>
      <c r="R16416" s="226"/>
      <c r="S16416" s="226"/>
      <c r="T16416" s="226"/>
      <c r="U16416" s="226"/>
    </row>
    <row r="16417" spans="16:21" x14ac:dyDescent="0.35">
      <c r="P16417" s="226"/>
      <c r="Q16417" s="226"/>
      <c r="R16417" s="226"/>
      <c r="S16417" s="226"/>
      <c r="T16417" s="226"/>
      <c r="U16417" s="226"/>
    </row>
    <row r="16418" spans="16:21" x14ac:dyDescent="0.35">
      <c r="P16418" s="226"/>
      <c r="Q16418" s="226"/>
      <c r="R16418" s="226"/>
      <c r="S16418" s="226"/>
      <c r="T16418" s="226"/>
      <c r="U16418" s="226"/>
    </row>
    <row r="16419" spans="16:21" x14ac:dyDescent="0.35">
      <c r="P16419" s="226"/>
      <c r="Q16419" s="226"/>
      <c r="R16419" s="226"/>
      <c r="S16419" s="226"/>
      <c r="T16419" s="226"/>
      <c r="U16419" s="226"/>
    </row>
    <row r="16420" spans="16:21" x14ac:dyDescent="0.35">
      <c r="P16420" s="226"/>
      <c r="Q16420" s="226"/>
      <c r="R16420" s="226"/>
      <c r="S16420" s="226"/>
      <c r="T16420" s="226"/>
      <c r="U16420" s="226"/>
    </row>
    <row r="16421" spans="16:21" x14ac:dyDescent="0.35">
      <c r="P16421" s="226"/>
      <c r="Q16421" s="226"/>
      <c r="R16421" s="226"/>
      <c r="S16421" s="226"/>
      <c r="T16421" s="226"/>
      <c r="U16421" s="226"/>
    </row>
    <row r="16422" spans="16:21" x14ac:dyDescent="0.35">
      <c r="P16422" s="226"/>
      <c r="Q16422" s="226"/>
      <c r="R16422" s="226"/>
      <c r="S16422" s="226"/>
      <c r="T16422" s="226"/>
      <c r="U16422" s="226"/>
    </row>
    <row r="16423" spans="16:21" x14ac:dyDescent="0.35">
      <c r="P16423" s="226"/>
      <c r="Q16423" s="226"/>
      <c r="R16423" s="226"/>
      <c r="S16423" s="226"/>
      <c r="T16423" s="226"/>
      <c r="U16423" s="226"/>
    </row>
    <row r="16424" spans="16:21" x14ac:dyDescent="0.35">
      <c r="P16424" s="226"/>
      <c r="Q16424" s="226"/>
      <c r="R16424" s="226"/>
      <c r="S16424" s="226"/>
      <c r="T16424" s="226"/>
      <c r="U16424" s="226"/>
    </row>
    <row r="16425" spans="16:21" x14ac:dyDescent="0.35">
      <c r="P16425" s="226"/>
      <c r="Q16425" s="226"/>
      <c r="R16425" s="226"/>
      <c r="S16425" s="226"/>
      <c r="T16425" s="226"/>
      <c r="U16425" s="226"/>
    </row>
    <row r="16426" spans="16:21" x14ac:dyDescent="0.35">
      <c r="P16426" s="226"/>
      <c r="Q16426" s="226"/>
      <c r="R16426" s="226"/>
      <c r="S16426" s="226"/>
      <c r="T16426" s="226"/>
      <c r="U16426" s="226"/>
    </row>
    <row r="16427" spans="16:21" x14ac:dyDescent="0.35">
      <c r="P16427" s="226"/>
      <c r="Q16427" s="226"/>
      <c r="R16427" s="226"/>
      <c r="S16427" s="226"/>
      <c r="T16427" s="226"/>
      <c r="U16427" s="226"/>
    </row>
    <row r="16428" spans="16:21" x14ac:dyDescent="0.35">
      <c r="P16428" s="226"/>
      <c r="Q16428" s="226"/>
      <c r="R16428" s="226"/>
      <c r="S16428" s="226"/>
      <c r="T16428" s="226"/>
      <c r="U16428" s="226"/>
    </row>
    <row r="16429" spans="16:21" x14ac:dyDescent="0.35">
      <c r="P16429" s="226"/>
      <c r="Q16429" s="226"/>
      <c r="R16429" s="226"/>
      <c r="S16429" s="226"/>
      <c r="T16429" s="226"/>
      <c r="U16429" s="226"/>
    </row>
    <row r="16430" spans="16:21" x14ac:dyDescent="0.35">
      <c r="P16430" s="226"/>
      <c r="Q16430" s="226"/>
      <c r="R16430" s="226"/>
      <c r="S16430" s="226"/>
      <c r="T16430" s="226"/>
      <c r="U16430" s="226"/>
    </row>
    <row r="16431" spans="16:21" x14ac:dyDescent="0.35">
      <c r="P16431" s="226"/>
      <c r="Q16431" s="226"/>
      <c r="R16431" s="226"/>
      <c r="S16431" s="226"/>
      <c r="T16431" s="226"/>
      <c r="U16431" s="226"/>
    </row>
    <row r="16432" spans="16:21" x14ac:dyDescent="0.35">
      <c r="P16432" s="226"/>
      <c r="Q16432" s="226"/>
      <c r="R16432" s="226"/>
      <c r="S16432" s="226"/>
      <c r="T16432" s="226"/>
      <c r="U16432" s="226"/>
    </row>
    <row r="16433" spans="16:21" x14ac:dyDescent="0.35">
      <c r="P16433" s="226"/>
      <c r="Q16433" s="226"/>
      <c r="R16433" s="226"/>
      <c r="S16433" s="226"/>
      <c r="T16433" s="226"/>
      <c r="U16433" s="226"/>
    </row>
    <row r="16434" spans="16:21" x14ac:dyDescent="0.35">
      <c r="P16434" s="226"/>
      <c r="Q16434" s="226"/>
      <c r="R16434" s="226"/>
      <c r="S16434" s="226"/>
      <c r="T16434" s="226"/>
      <c r="U16434" s="226"/>
    </row>
    <row r="16435" spans="16:21" x14ac:dyDescent="0.35">
      <c r="P16435" s="226"/>
      <c r="Q16435" s="226"/>
      <c r="R16435" s="226"/>
      <c r="S16435" s="226"/>
      <c r="T16435" s="226"/>
      <c r="U16435" s="226"/>
    </row>
    <row r="16436" spans="16:21" x14ac:dyDescent="0.35">
      <c r="P16436" s="226"/>
      <c r="Q16436" s="226"/>
      <c r="R16436" s="226"/>
      <c r="S16436" s="226"/>
      <c r="T16436" s="226"/>
      <c r="U16436" s="226"/>
    </row>
    <row r="16437" spans="16:21" x14ac:dyDescent="0.35">
      <c r="P16437" s="226"/>
      <c r="Q16437" s="226"/>
      <c r="R16437" s="226"/>
      <c r="S16437" s="226"/>
      <c r="T16437" s="226"/>
      <c r="U16437" s="226"/>
    </row>
    <row r="16438" spans="16:21" x14ac:dyDescent="0.35">
      <c r="P16438" s="226"/>
      <c r="Q16438" s="226"/>
      <c r="R16438" s="226"/>
      <c r="S16438" s="226"/>
      <c r="T16438" s="226"/>
      <c r="U16438" s="226"/>
    </row>
    <row r="16439" spans="16:21" x14ac:dyDescent="0.35">
      <c r="P16439" s="226"/>
      <c r="Q16439" s="226"/>
      <c r="R16439" s="226"/>
      <c r="S16439" s="226"/>
      <c r="T16439" s="226"/>
      <c r="U16439" s="226"/>
    </row>
    <row r="16440" spans="16:21" x14ac:dyDescent="0.35">
      <c r="P16440" s="226"/>
      <c r="Q16440" s="226"/>
      <c r="R16440" s="226"/>
      <c r="S16440" s="226"/>
      <c r="T16440" s="226"/>
      <c r="U16440" s="226"/>
    </row>
    <row r="16441" spans="16:21" x14ac:dyDescent="0.35">
      <c r="P16441" s="226"/>
      <c r="Q16441" s="226"/>
      <c r="R16441" s="226"/>
      <c r="S16441" s="226"/>
      <c r="T16441" s="226"/>
      <c r="U16441" s="226"/>
    </row>
    <row r="16442" spans="16:21" x14ac:dyDescent="0.35">
      <c r="P16442" s="226"/>
      <c r="Q16442" s="226"/>
      <c r="R16442" s="226"/>
      <c r="S16442" s="226"/>
      <c r="T16442" s="226"/>
      <c r="U16442" s="226"/>
    </row>
    <row r="16443" spans="16:21" x14ac:dyDescent="0.35">
      <c r="P16443" s="226"/>
      <c r="Q16443" s="226"/>
      <c r="R16443" s="226"/>
      <c r="S16443" s="226"/>
      <c r="T16443" s="226"/>
      <c r="U16443" s="226"/>
    </row>
    <row r="16444" spans="16:21" x14ac:dyDescent="0.35">
      <c r="P16444" s="226"/>
      <c r="Q16444" s="226"/>
      <c r="R16444" s="226"/>
      <c r="S16444" s="226"/>
      <c r="T16444" s="226"/>
      <c r="U16444" s="226"/>
    </row>
    <row r="16445" spans="16:21" x14ac:dyDescent="0.35">
      <c r="P16445" s="226"/>
      <c r="Q16445" s="226"/>
      <c r="R16445" s="226"/>
      <c r="S16445" s="226"/>
      <c r="T16445" s="226"/>
      <c r="U16445" s="226"/>
    </row>
    <row r="16446" spans="16:21" x14ac:dyDescent="0.35">
      <c r="P16446" s="226"/>
      <c r="Q16446" s="226"/>
      <c r="R16446" s="226"/>
      <c r="S16446" s="226"/>
      <c r="T16446" s="226"/>
      <c r="U16446" s="226"/>
    </row>
    <row r="16447" spans="16:21" x14ac:dyDescent="0.35">
      <c r="P16447" s="226"/>
      <c r="Q16447" s="226"/>
      <c r="R16447" s="226"/>
      <c r="S16447" s="226"/>
      <c r="T16447" s="226"/>
      <c r="U16447" s="226"/>
    </row>
    <row r="16448" spans="16:21" x14ac:dyDescent="0.35">
      <c r="P16448" s="226"/>
      <c r="Q16448" s="226"/>
      <c r="R16448" s="226"/>
      <c r="S16448" s="226"/>
      <c r="T16448" s="226"/>
      <c r="U16448" s="226"/>
    </row>
    <row r="16449" spans="16:21" x14ac:dyDescent="0.35">
      <c r="P16449" s="226"/>
      <c r="Q16449" s="226"/>
      <c r="R16449" s="226"/>
      <c r="S16449" s="226"/>
      <c r="T16449" s="226"/>
      <c r="U16449" s="226"/>
    </row>
    <row r="16450" spans="16:21" x14ac:dyDescent="0.35">
      <c r="P16450" s="226"/>
      <c r="Q16450" s="226"/>
      <c r="R16450" s="226"/>
      <c r="S16450" s="226"/>
      <c r="T16450" s="226"/>
      <c r="U16450" s="226"/>
    </row>
    <row r="16451" spans="16:21" x14ac:dyDescent="0.35">
      <c r="P16451" s="226"/>
      <c r="Q16451" s="226"/>
      <c r="R16451" s="226"/>
      <c r="S16451" s="226"/>
      <c r="T16451" s="226"/>
      <c r="U16451" s="226"/>
    </row>
    <row r="16452" spans="16:21" x14ac:dyDescent="0.35">
      <c r="P16452" s="226"/>
      <c r="Q16452" s="226"/>
      <c r="R16452" s="226"/>
      <c r="S16452" s="226"/>
      <c r="T16452" s="226"/>
      <c r="U16452" s="226"/>
    </row>
    <row r="16453" spans="16:21" x14ac:dyDescent="0.35">
      <c r="P16453" s="226"/>
      <c r="Q16453" s="226"/>
      <c r="R16453" s="226"/>
      <c r="S16453" s="226"/>
      <c r="T16453" s="226"/>
      <c r="U16453" s="226"/>
    </row>
    <row r="16454" spans="16:21" x14ac:dyDescent="0.35">
      <c r="P16454" s="226"/>
      <c r="Q16454" s="226"/>
      <c r="R16454" s="226"/>
      <c r="S16454" s="226"/>
      <c r="T16454" s="226"/>
      <c r="U16454" s="226"/>
    </row>
    <row r="16455" spans="16:21" x14ac:dyDescent="0.35">
      <c r="P16455" s="226"/>
      <c r="Q16455" s="226"/>
      <c r="R16455" s="226"/>
      <c r="S16455" s="226"/>
      <c r="T16455" s="226"/>
      <c r="U16455" s="226"/>
    </row>
    <row r="16456" spans="16:21" x14ac:dyDescent="0.35">
      <c r="P16456" s="226"/>
      <c r="Q16456" s="226"/>
      <c r="R16456" s="226"/>
      <c r="S16456" s="226"/>
      <c r="T16456" s="226"/>
      <c r="U16456" s="226"/>
    </row>
    <row r="16457" spans="16:21" x14ac:dyDescent="0.35">
      <c r="P16457" s="226"/>
      <c r="Q16457" s="226"/>
      <c r="R16457" s="226"/>
      <c r="S16457" s="226"/>
      <c r="T16457" s="226"/>
      <c r="U16457" s="226"/>
    </row>
    <row r="16458" spans="16:21" x14ac:dyDescent="0.35">
      <c r="P16458" s="226"/>
      <c r="Q16458" s="226"/>
      <c r="R16458" s="226"/>
      <c r="S16458" s="226"/>
      <c r="T16458" s="226"/>
      <c r="U16458" s="226"/>
    </row>
    <row r="16459" spans="16:21" x14ac:dyDescent="0.35">
      <c r="P16459" s="226"/>
      <c r="Q16459" s="226"/>
      <c r="R16459" s="226"/>
      <c r="S16459" s="226"/>
      <c r="T16459" s="226"/>
      <c r="U16459" s="226"/>
    </row>
    <row r="16460" spans="16:21" x14ac:dyDescent="0.35">
      <c r="P16460" s="226"/>
      <c r="Q16460" s="226"/>
      <c r="R16460" s="226"/>
      <c r="S16460" s="226"/>
      <c r="T16460" s="226"/>
      <c r="U16460" s="226"/>
    </row>
    <row r="16461" spans="16:21" x14ac:dyDescent="0.35">
      <c r="P16461" s="226"/>
      <c r="Q16461" s="226"/>
      <c r="R16461" s="226"/>
      <c r="S16461" s="226"/>
      <c r="T16461" s="226"/>
      <c r="U16461" s="226"/>
    </row>
    <row r="16462" spans="16:21" x14ac:dyDescent="0.35">
      <c r="P16462" s="226"/>
      <c r="Q16462" s="226"/>
      <c r="R16462" s="226"/>
      <c r="S16462" s="226"/>
      <c r="T16462" s="226"/>
      <c r="U16462" s="226"/>
    </row>
    <row r="16463" spans="16:21" x14ac:dyDescent="0.35">
      <c r="P16463" s="226"/>
      <c r="Q16463" s="226"/>
      <c r="R16463" s="226"/>
      <c r="S16463" s="226"/>
      <c r="T16463" s="226"/>
      <c r="U16463" s="226"/>
    </row>
    <row r="16464" spans="16:21" x14ac:dyDescent="0.35">
      <c r="P16464" s="226"/>
      <c r="Q16464" s="226"/>
      <c r="R16464" s="226"/>
      <c r="S16464" s="226"/>
      <c r="T16464" s="226"/>
      <c r="U16464" s="226"/>
    </row>
    <row r="16465" spans="16:21" x14ac:dyDescent="0.35">
      <c r="P16465" s="226"/>
      <c r="Q16465" s="226"/>
      <c r="R16465" s="226"/>
      <c r="S16465" s="226"/>
      <c r="T16465" s="226"/>
      <c r="U16465" s="226"/>
    </row>
    <row r="16466" spans="16:21" x14ac:dyDescent="0.35">
      <c r="P16466" s="226"/>
      <c r="Q16466" s="226"/>
      <c r="R16466" s="226"/>
      <c r="S16466" s="226"/>
      <c r="T16466" s="226"/>
      <c r="U16466" s="226"/>
    </row>
    <row r="16467" spans="16:21" x14ac:dyDescent="0.35">
      <c r="P16467" s="226"/>
      <c r="Q16467" s="226"/>
      <c r="R16467" s="226"/>
      <c r="S16467" s="226"/>
      <c r="T16467" s="226"/>
      <c r="U16467" s="226"/>
    </row>
    <row r="16468" spans="16:21" x14ac:dyDescent="0.35">
      <c r="P16468" s="226"/>
      <c r="Q16468" s="226"/>
      <c r="R16468" s="226"/>
      <c r="S16468" s="226"/>
      <c r="T16468" s="226"/>
      <c r="U16468" s="226"/>
    </row>
    <row r="16469" spans="16:21" x14ac:dyDescent="0.35">
      <c r="P16469" s="226"/>
      <c r="Q16469" s="226"/>
      <c r="R16469" s="226"/>
      <c r="S16469" s="226"/>
      <c r="T16469" s="226"/>
      <c r="U16469" s="226"/>
    </row>
    <row r="16470" spans="16:21" x14ac:dyDescent="0.35">
      <c r="P16470" s="226"/>
      <c r="Q16470" s="226"/>
      <c r="R16470" s="226"/>
      <c r="S16470" s="226"/>
      <c r="T16470" s="226"/>
      <c r="U16470" s="226"/>
    </row>
    <row r="16471" spans="16:21" x14ac:dyDescent="0.35">
      <c r="P16471" s="226"/>
      <c r="Q16471" s="226"/>
      <c r="R16471" s="226"/>
      <c r="S16471" s="226"/>
      <c r="T16471" s="226"/>
      <c r="U16471" s="226"/>
    </row>
    <row r="16472" spans="16:21" x14ac:dyDescent="0.35">
      <c r="P16472" s="226"/>
      <c r="Q16472" s="226"/>
      <c r="R16472" s="226"/>
      <c r="S16472" s="226"/>
      <c r="T16472" s="226"/>
      <c r="U16472" s="226"/>
    </row>
    <row r="16473" spans="16:21" x14ac:dyDescent="0.35">
      <c r="P16473" s="226"/>
      <c r="Q16473" s="226"/>
      <c r="R16473" s="226"/>
      <c r="S16473" s="226"/>
      <c r="T16473" s="226"/>
      <c r="U16473" s="226"/>
    </row>
    <row r="16474" spans="16:21" x14ac:dyDescent="0.35">
      <c r="P16474" s="226"/>
      <c r="Q16474" s="226"/>
      <c r="R16474" s="226"/>
      <c r="S16474" s="226"/>
      <c r="T16474" s="226"/>
      <c r="U16474" s="226"/>
    </row>
    <row r="16475" spans="16:21" x14ac:dyDescent="0.35">
      <c r="P16475" s="226"/>
      <c r="Q16475" s="226"/>
      <c r="R16475" s="226"/>
      <c r="S16475" s="226"/>
      <c r="T16475" s="226"/>
      <c r="U16475" s="226"/>
    </row>
    <row r="16476" spans="16:21" x14ac:dyDescent="0.35">
      <c r="P16476" s="226"/>
      <c r="Q16476" s="226"/>
      <c r="R16476" s="226"/>
      <c r="S16476" s="226"/>
      <c r="T16476" s="226"/>
      <c r="U16476" s="226"/>
    </row>
    <row r="16477" spans="16:21" x14ac:dyDescent="0.35">
      <c r="P16477" s="226"/>
      <c r="Q16477" s="226"/>
      <c r="R16477" s="226"/>
      <c r="S16477" s="226"/>
      <c r="T16477" s="226"/>
      <c r="U16477" s="226"/>
    </row>
    <row r="16478" spans="16:21" x14ac:dyDescent="0.35">
      <c r="P16478" s="226"/>
      <c r="Q16478" s="226"/>
      <c r="R16478" s="226"/>
      <c r="S16478" s="226"/>
      <c r="T16478" s="226"/>
      <c r="U16478" s="226"/>
    </row>
    <row r="16479" spans="16:21" x14ac:dyDescent="0.35">
      <c r="P16479" s="226"/>
      <c r="Q16479" s="226"/>
      <c r="R16479" s="226"/>
      <c r="S16479" s="226"/>
      <c r="T16479" s="226"/>
      <c r="U16479" s="226"/>
    </row>
    <row r="16480" spans="16:21" x14ac:dyDescent="0.35">
      <c r="P16480" s="226"/>
      <c r="Q16480" s="226"/>
      <c r="R16480" s="226"/>
      <c r="S16480" s="226"/>
      <c r="T16480" s="226"/>
      <c r="U16480" s="226"/>
    </row>
    <row r="16481" spans="16:21" x14ac:dyDescent="0.35">
      <c r="P16481" s="226"/>
      <c r="Q16481" s="226"/>
      <c r="R16481" s="226"/>
      <c r="S16481" s="226"/>
      <c r="T16481" s="226"/>
      <c r="U16481" s="226"/>
    </row>
    <row r="16482" spans="16:21" x14ac:dyDescent="0.35">
      <c r="P16482" s="226"/>
      <c r="Q16482" s="226"/>
      <c r="R16482" s="226"/>
      <c r="S16482" s="226"/>
      <c r="T16482" s="226"/>
      <c r="U16482" s="226"/>
    </row>
    <row r="16483" spans="16:21" x14ac:dyDescent="0.35">
      <c r="P16483" s="226"/>
      <c r="Q16483" s="226"/>
      <c r="R16483" s="226"/>
      <c r="S16483" s="226"/>
      <c r="T16483" s="226"/>
      <c r="U16483" s="226"/>
    </row>
    <row r="16484" spans="16:21" x14ac:dyDescent="0.35">
      <c r="P16484" s="226"/>
      <c r="Q16484" s="226"/>
      <c r="R16484" s="226"/>
      <c r="S16484" s="226"/>
      <c r="T16484" s="226"/>
      <c r="U16484" s="226"/>
    </row>
    <row r="16485" spans="16:21" x14ac:dyDescent="0.35">
      <c r="P16485" s="226"/>
      <c r="Q16485" s="226"/>
      <c r="R16485" s="226"/>
      <c r="S16485" s="226"/>
      <c r="T16485" s="226"/>
      <c r="U16485" s="226"/>
    </row>
    <row r="16486" spans="16:21" x14ac:dyDescent="0.35">
      <c r="P16486" s="226"/>
      <c r="Q16486" s="226"/>
      <c r="R16486" s="226"/>
      <c r="S16486" s="226"/>
      <c r="T16486" s="226"/>
      <c r="U16486" s="226"/>
    </row>
    <row r="16487" spans="16:21" x14ac:dyDescent="0.35">
      <c r="P16487" s="226"/>
      <c r="Q16487" s="226"/>
      <c r="R16487" s="226"/>
      <c r="S16487" s="226"/>
      <c r="T16487" s="226"/>
      <c r="U16487" s="226"/>
    </row>
    <row r="16488" spans="16:21" x14ac:dyDescent="0.35">
      <c r="P16488" s="226"/>
      <c r="Q16488" s="226"/>
      <c r="R16488" s="226"/>
      <c r="S16488" s="226"/>
      <c r="T16488" s="226"/>
      <c r="U16488" s="226"/>
    </row>
    <row r="16489" spans="16:21" x14ac:dyDescent="0.35">
      <c r="P16489" s="226"/>
      <c r="Q16489" s="226"/>
      <c r="R16489" s="226"/>
      <c r="S16489" s="226"/>
      <c r="T16489" s="226"/>
      <c r="U16489" s="226"/>
    </row>
    <row r="16490" spans="16:21" x14ac:dyDescent="0.35">
      <c r="P16490" s="226"/>
      <c r="Q16490" s="226"/>
      <c r="R16490" s="226"/>
      <c r="S16490" s="226"/>
      <c r="T16490" s="226"/>
      <c r="U16490" s="226"/>
    </row>
    <row r="16491" spans="16:21" x14ac:dyDescent="0.35">
      <c r="P16491" s="226"/>
      <c r="Q16491" s="226"/>
      <c r="R16491" s="226"/>
      <c r="S16491" s="226"/>
      <c r="T16491" s="226"/>
      <c r="U16491" s="226"/>
    </row>
    <row r="16492" spans="16:21" x14ac:dyDescent="0.35">
      <c r="P16492" s="226"/>
      <c r="Q16492" s="226"/>
      <c r="R16492" s="226"/>
      <c r="S16492" s="226"/>
      <c r="T16492" s="226"/>
      <c r="U16492" s="226"/>
    </row>
    <row r="16493" spans="16:21" x14ac:dyDescent="0.35">
      <c r="P16493" s="226"/>
      <c r="Q16493" s="226"/>
      <c r="R16493" s="226"/>
      <c r="S16493" s="226"/>
      <c r="T16493" s="226"/>
      <c r="U16493" s="226"/>
    </row>
    <row r="16494" spans="16:21" x14ac:dyDescent="0.35">
      <c r="P16494" s="226"/>
      <c r="Q16494" s="226"/>
      <c r="R16494" s="226"/>
      <c r="S16494" s="226"/>
      <c r="T16494" s="226"/>
      <c r="U16494" s="226"/>
    </row>
    <row r="16495" spans="16:21" x14ac:dyDescent="0.35">
      <c r="P16495" s="226"/>
      <c r="Q16495" s="226"/>
      <c r="R16495" s="226"/>
      <c r="S16495" s="226"/>
      <c r="T16495" s="226"/>
      <c r="U16495" s="226"/>
    </row>
    <row r="16496" spans="16:21" x14ac:dyDescent="0.35">
      <c r="P16496" s="226"/>
      <c r="Q16496" s="226"/>
      <c r="R16496" s="226"/>
      <c r="S16496" s="226"/>
      <c r="T16496" s="226"/>
      <c r="U16496" s="226"/>
    </row>
    <row r="16497" spans="16:21" x14ac:dyDescent="0.35">
      <c r="P16497" s="226"/>
      <c r="Q16497" s="226"/>
      <c r="R16497" s="226"/>
      <c r="S16497" s="226"/>
      <c r="T16497" s="226"/>
      <c r="U16497" s="226"/>
    </row>
    <row r="16498" spans="16:21" x14ac:dyDescent="0.35">
      <c r="P16498" s="226"/>
      <c r="Q16498" s="226"/>
      <c r="R16498" s="226"/>
      <c r="S16498" s="226"/>
      <c r="T16498" s="226"/>
      <c r="U16498" s="226"/>
    </row>
    <row r="16499" spans="16:21" x14ac:dyDescent="0.35">
      <c r="P16499" s="226"/>
      <c r="Q16499" s="226"/>
      <c r="R16499" s="226"/>
      <c r="S16499" s="226"/>
      <c r="T16499" s="226"/>
      <c r="U16499" s="226"/>
    </row>
    <row r="16500" spans="16:21" x14ac:dyDescent="0.35">
      <c r="P16500" s="226"/>
      <c r="Q16500" s="226"/>
      <c r="R16500" s="226"/>
      <c r="S16500" s="226"/>
      <c r="T16500" s="226"/>
      <c r="U16500" s="226"/>
    </row>
    <row r="16501" spans="16:21" x14ac:dyDescent="0.35">
      <c r="P16501" s="226"/>
      <c r="Q16501" s="226"/>
      <c r="R16501" s="226"/>
      <c r="S16501" s="226"/>
      <c r="T16501" s="226"/>
      <c r="U16501" s="226"/>
    </row>
    <row r="16502" spans="16:21" x14ac:dyDescent="0.35">
      <c r="P16502" s="226"/>
      <c r="Q16502" s="226"/>
      <c r="R16502" s="226"/>
      <c r="S16502" s="226"/>
      <c r="T16502" s="226"/>
      <c r="U16502" s="226"/>
    </row>
    <row r="16503" spans="16:21" x14ac:dyDescent="0.35">
      <c r="P16503" s="226"/>
      <c r="Q16503" s="226"/>
      <c r="R16503" s="226"/>
      <c r="S16503" s="226"/>
      <c r="T16503" s="226"/>
      <c r="U16503" s="226"/>
    </row>
    <row r="16504" spans="16:21" x14ac:dyDescent="0.35">
      <c r="P16504" s="226"/>
      <c r="Q16504" s="226"/>
      <c r="R16504" s="226"/>
      <c r="S16504" s="226"/>
      <c r="T16504" s="226"/>
      <c r="U16504" s="226"/>
    </row>
    <row r="16505" spans="16:21" x14ac:dyDescent="0.35">
      <c r="P16505" s="226"/>
      <c r="Q16505" s="226"/>
      <c r="R16505" s="226"/>
      <c r="S16505" s="226"/>
      <c r="T16505" s="226"/>
      <c r="U16505" s="226"/>
    </row>
    <row r="16506" spans="16:21" x14ac:dyDescent="0.35">
      <c r="P16506" s="226"/>
      <c r="Q16506" s="226"/>
      <c r="R16506" s="226"/>
      <c r="S16506" s="226"/>
      <c r="T16506" s="226"/>
      <c r="U16506" s="226"/>
    </row>
    <row r="16507" spans="16:21" x14ac:dyDescent="0.35">
      <c r="P16507" s="226"/>
      <c r="Q16507" s="226"/>
      <c r="R16507" s="226"/>
      <c r="S16507" s="226"/>
      <c r="T16507" s="226"/>
      <c r="U16507" s="226"/>
    </row>
    <row r="16508" spans="16:21" x14ac:dyDescent="0.35">
      <c r="P16508" s="226"/>
      <c r="Q16508" s="226"/>
      <c r="R16508" s="226"/>
      <c r="S16508" s="226"/>
      <c r="T16508" s="226"/>
      <c r="U16508" s="226"/>
    </row>
    <row r="16509" spans="16:21" x14ac:dyDescent="0.35">
      <c r="P16509" s="226"/>
      <c r="Q16509" s="226"/>
      <c r="R16509" s="226"/>
      <c r="S16509" s="226"/>
      <c r="T16509" s="226"/>
      <c r="U16509" s="226"/>
    </row>
    <row r="16510" spans="16:21" x14ac:dyDescent="0.35">
      <c r="P16510" s="226"/>
      <c r="Q16510" s="226"/>
      <c r="R16510" s="226"/>
      <c r="S16510" s="226"/>
      <c r="T16510" s="226"/>
      <c r="U16510" s="226"/>
    </row>
    <row r="16511" spans="16:21" x14ac:dyDescent="0.35">
      <c r="P16511" s="226"/>
      <c r="Q16511" s="226"/>
      <c r="R16511" s="226"/>
      <c r="S16511" s="226"/>
      <c r="T16511" s="226"/>
      <c r="U16511" s="226"/>
    </row>
    <row r="16512" spans="16:21" x14ac:dyDescent="0.35">
      <c r="P16512" s="226"/>
      <c r="Q16512" s="226"/>
      <c r="R16512" s="226"/>
      <c r="S16512" s="226"/>
      <c r="T16512" s="226"/>
      <c r="U16512" s="226"/>
    </row>
    <row r="16513" spans="16:21" x14ac:dyDescent="0.35">
      <c r="P16513" s="226"/>
      <c r="Q16513" s="226"/>
      <c r="R16513" s="226"/>
      <c r="S16513" s="226"/>
      <c r="T16513" s="226"/>
      <c r="U16513" s="226"/>
    </row>
    <row r="16514" spans="16:21" x14ac:dyDescent="0.35">
      <c r="P16514" s="226"/>
      <c r="Q16514" s="226"/>
      <c r="R16514" s="226"/>
      <c r="S16514" s="226"/>
      <c r="T16514" s="226"/>
      <c r="U16514" s="226"/>
    </row>
    <row r="16515" spans="16:21" x14ac:dyDescent="0.35">
      <c r="P16515" s="226"/>
      <c r="Q16515" s="226"/>
      <c r="R16515" s="226"/>
      <c r="S16515" s="226"/>
      <c r="T16515" s="226"/>
      <c r="U16515" s="226"/>
    </row>
    <row r="16516" spans="16:21" x14ac:dyDescent="0.35">
      <c r="P16516" s="226"/>
      <c r="Q16516" s="226"/>
      <c r="R16516" s="226"/>
      <c r="S16516" s="226"/>
      <c r="T16516" s="226"/>
      <c r="U16516" s="226"/>
    </row>
    <row r="16517" spans="16:21" x14ac:dyDescent="0.35">
      <c r="P16517" s="226"/>
      <c r="Q16517" s="226"/>
      <c r="R16517" s="226"/>
      <c r="S16517" s="226"/>
      <c r="T16517" s="226"/>
      <c r="U16517" s="226"/>
    </row>
    <row r="16518" spans="16:21" x14ac:dyDescent="0.35">
      <c r="P16518" s="226"/>
      <c r="Q16518" s="226"/>
      <c r="R16518" s="226"/>
      <c r="S16518" s="226"/>
      <c r="T16518" s="226"/>
      <c r="U16518" s="226"/>
    </row>
    <row r="16519" spans="16:21" x14ac:dyDescent="0.35">
      <c r="P16519" s="226"/>
      <c r="Q16519" s="226"/>
      <c r="R16519" s="226"/>
      <c r="S16519" s="226"/>
      <c r="T16519" s="226"/>
      <c r="U16519" s="226"/>
    </row>
    <row r="16520" spans="16:21" x14ac:dyDescent="0.35">
      <c r="P16520" s="226"/>
      <c r="Q16520" s="226"/>
      <c r="R16520" s="226"/>
      <c r="S16520" s="226"/>
      <c r="T16520" s="226"/>
      <c r="U16520" s="226"/>
    </row>
    <row r="16521" spans="16:21" x14ac:dyDescent="0.35">
      <c r="P16521" s="226"/>
      <c r="Q16521" s="226"/>
      <c r="R16521" s="226"/>
      <c r="S16521" s="226"/>
      <c r="T16521" s="226"/>
      <c r="U16521" s="226"/>
    </row>
    <row r="16522" spans="16:21" x14ac:dyDescent="0.35">
      <c r="P16522" s="226"/>
      <c r="Q16522" s="226"/>
      <c r="R16522" s="226"/>
      <c r="S16522" s="226"/>
      <c r="T16522" s="226"/>
      <c r="U16522" s="226"/>
    </row>
    <row r="16523" spans="16:21" x14ac:dyDescent="0.35">
      <c r="P16523" s="226"/>
      <c r="Q16523" s="226"/>
      <c r="R16523" s="226"/>
      <c r="S16523" s="226"/>
      <c r="T16523" s="226"/>
      <c r="U16523" s="226"/>
    </row>
    <row r="16524" spans="16:21" x14ac:dyDescent="0.35">
      <c r="P16524" s="226"/>
      <c r="Q16524" s="226"/>
      <c r="R16524" s="226"/>
      <c r="S16524" s="226"/>
      <c r="T16524" s="226"/>
      <c r="U16524" s="226"/>
    </row>
    <row r="16525" spans="16:21" x14ac:dyDescent="0.35">
      <c r="P16525" s="226"/>
      <c r="Q16525" s="226"/>
      <c r="R16525" s="226"/>
      <c r="S16525" s="226"/>
      <c r="T16525" s="226"/>
      <c r="U16525" s="226"/>
    </row>
    <row r="16526" spans="16:21" x14ac:dyDescent="0.35">
      <c r="P16526" s="226"/>
      <c r="Q16526" s="226"/>
      <c r="R16526" s="226"/>
      <c r="S16526" s="226"/>
      <c r="T16526" s="226"/>
      <c r="U16526" s="226"/>
    </row>
    <row r="16527" spans="16:21" x14ac:dyDescent="0.35">
      <c r="P16527" s="226"/>
      <c r="Q16527" s="226"/>
      <c r="R16527" s="226"/>
      <c r="S16527" s="226"/>
      <c r="T16527" s="226"/>
      <c r="U16527" s="226"/>
    </row>
    <row r="16528" spans="16:21" x14ac:dyDescent="0.35">
      <c r="P16528" s="226"/>
      <c r="Q16528" s="226"/>
      <c r="R16528" s="226"/>
      <c r="S16528" s="226"/>
      <c r="T16528" s="226"/>
      <c r="U16528" s="226"/>
    </row>
    <row r="16529" spans="16:21" x14ac:dyDescent="0.35">
      <c r="P16529" s="226"/>
      <c r="Q16529" s="226"/>
      <c r="R16529" s="226"/>
      <c r="S16529" s="226"/>
      <c r="T16529" s="226"/>
      <c r="U16529" s="226"/>
    </row>
    <row r="16530" spans="16:21" x14ac:dyDescent="0.35">
      <c r="P16530" s="226"/>
      <c r="Q16530" s="226"/>
      <c r="R16530" s="226"/>
      <c r="S16530" s="226"/>
      <c r="T16530" s="226"/>
      <c r="U16530" s="226"/>
    </row>
    <row r="16531" spans="16:21" x14ac:dyDescent="0.35">
      <c r="P16531" s="226"/>
      <c r="Q16531" s="226"/>
      <c r="R16531" s="226"/>
      <c r="S16531" s="226"/>
      <c r="T16531" s="226"/>
      <c r="U16531" s="226"/>
    </row>
    <row r="16532" spans="16:21" x14ac:dyDescent="0.35">
      <c r="P16532" s="226"/>
      <c r="Q16532" s="226"/>
      <c r="R16532" s="226"/>
      <c r="S16532" s="226"/>
      <c r="T16532" s="226"/>
      <c r="U16532" s="226"/>
    </row>
    <row r="16533" spans="16:21" x14ac:dyDescent="0.35">
      <c r="P16533" s="226"/>
      <c r="Q16533" s="226"/>
      <c r="R16533" s="226"/>
      <c r="S16533" s="226"/>
      <c r="T16533" s="226"/>
      <c r="U16533" s="226"/>
    </row>
    <row r="16534" spans="16:21" x14ac:dyDescent="0.35">
      <c r="P16534" s="226"/>
      <c r="Q16534" s="226"/>
      <c r="R16534" s="226"/>
      <c r="S16534" s="226"/>
      <c r="T16534" s="226"/>
      <c r="U16534" s="226"/>
    </row>
    <row r="16535" spans="16:21" x14ac:dyDescent="0.35">
      <c r="P16535" s="226"/>
      <c r="Q16535" s="226"/>
      <c r="R16535" s="226"/>
      <c r="S16535" s="226"/>
      <c r="T16535" s="226"/>
      <c r="U16535" s="226"/>
    </row>
    <row r="16536" spans="16:21" x14ac:dyDescent="0.35">
      <c r="P16536" s="226"/>
      <c r="Q16536" s="226"/>
      <c r="R16536" s="226"/>
      <c r="S16536" s="226"/>
      <c r="T16536" s="226"/>
      <c r="U16536" s="226"/>
    </row>
    <row r="16537" spans="16:21" x14ac:dyDescent="0.35">
      <c r="P16537" s="226"/>
      <c r="Q16537" s="226"/>
      <c r="R16537" s="226"/>
      <c r="S16537" s="226"/>
      <c r="T16537" s="226"/>
      <c r="U16537" s="226"/>
    </row>
    <row r="16538" spans="16:21" x14ac:dyDescent="0.35">
      <c r="P16538" s="226"/>
      <c r="Q16538" s="226"/>
      <c r="R16538" s="226"/>
      <c r="S16538" s="226"/>
      <c r="T16538" s="226"/>
      <c r="U16538" s="226"/>
    </row>
    <row r="16539" spans="16:21" x14ac:dyDescent="0.35">
      <c r="P16539" s="226"/>
      <c r="Q16539" s="226"/>
      <c r="R16539" s="226"/>
      <c r="S16539" s="226"/>
      <c r="T16539" s="226"/>
      <c r="U16539" s="226"/>
    </row>
    <row r="16540" spans="16:21" x14ac:dyDescent="0.35">
      <c r="P16540" s="226"/>
      <c r="Q16540" s="226"/>
      <c r="R16540" s="226"/>
      <c r="S16540" s="226"/>
      <c r="T16540" s="226"/>
      <c r="U16540" s="226"/>
    </row>
    <row r="16541" spans="16:21" x14ac:dyDescent="0.35">
      <c r="P16541" s="226"/>
      <c r="Q16541" s="226"/>
      <c r="R16541" s="226"/>
      <c r="S16541" s="226"/>
      <c r="T16541" s="226"/>
      <c r="U16541" s="226"/>
    </row>
    <row r="16542" spans="16:21" x14ac:dyDescent="0.35">
      <c r="P16542" s="226"/>
      <c r="Q16542" s="226"/>
      <c r="R16542" s="226"/>
      <c r="S16542" s="226"/>
      <c r="T16542" s="226"/>
      <c r="U16542" s="226"/>
    </row>
    <row r="16543" spans="16:21" x14ac:dyDescent="0.35">
      <c r="P16543" s="226"/>
      <c r="Q16543" s="226"/>
      <c r="R16543" s="226"/>
      <c r="S16543" s="226"/>
      <c r="T16543" s="226"/>
      <c r="U16543" s="226"/>
    </row>
    <row r="16544" spans="16:21" x14ac:dyDescent="0.35">
      <c r="P16544" s="226"/>
      <c r="Q16544" s="226"/>
      <c r="R16544" s="226"/>
      <c r="S16544" s="226"/>
      <c r="T16544" s="226"/>
      <c r="U16544" s="226"/>
    </row>
    <row r="16545" spans="16:21" x14ac:dyDescent="0.35">
      <c r="P16545" s="226"/>
      <c r="Q16545" s="226"/>
      <c r="R16545" s="226"/>
      <c r="S16545" s="226"/>
      <c r="T16545" s="226"/>
      <c r="U16545" s="226"/>
    </row>
    <row r="16546" spans="16:21" x14ac:dyDescent="0.35">
      <c r="P16546" s="226"/>
      <c r="Q16546" s="226"/>
      <c r="R16546" s="226"/>
      <c r="S16546" s="226"/>
      <c r="T16546" s="226"/>
      <c r="U16546" s="226"/>
    </row>
    <row r="16547" spans="16:21" x14ac:dyDescent="0.35">
      <c r="P16547" s="226"/>
      <c r="Q16547" s="226"/>
      <c r="R16547" s="226"/>
      <c r="S16547" s="226"/>
      <c r="T16547" s="226"/>
      <c r="U16547" s="226"/>
    </row>
    <row r="16548" spans="16:21" x14ac:dyDescent="0.35">
      <c r="P16548" s="226"/>
      <c r="Q16548" s="226"/>
      <c r="R16548" s="226"/>
      <c r="S16548" s="226"/>
      <c r="T16548" s="226"/>
      <c r="U16548" s="226"/>
    </row>
    <row r="16549" spans="16:21" x14ac:dyDescent="0.35">
      <c r="P16549" s="226"/>
      <c r="Q16549" s="226"/>
      <c r="R16549" s="226"/>
      <c r="S16549" s="226"/>
      <c r="T16549" s="226"/>
      <c r="U16549" s="226"/>
    </row>
    <row r="16550" spans="16:21" x14ac:dyDescent="0.35">
      <c r="P16550" s="226"/>
      <c r="Q16550" s="226"/>
      <c r="R16550" s="226"/>
      <c r="S16550" s="226"/>
      <c r="T16550" s="226"/>
      <c r="U16550" s="226"/>
    </row>
    <row r="16551" spans="16:21" x14ac:dyDescent="0.35">
      <c r="P16551" s="226"/>
      <c r="Q16551" s="226"/>
      <c r="R16551" s="226"/>
      <c r="S16551" s="226"/>
      <c r="T16551" s="226"/>
      <c r="U16551" s="226"/>
    </row>
    <row r="16552" spans="16:21" x14ac:dyDescent="0.35">
      <c r="P16552" s="226"/>
      <c r="Q16552" s="226"/>
      <c r="R16552" s="226"/>
      <c r="S16552" s="226"/>
      <c r="T16552" s="226"/>
      <c r="U16552" s="226"/>
    </row>
    <row r="16553" spans="16:21" x14ac:dyDescent="0.35">
      <c r="P16553" s="226"/>
      <c r="Q16553" s="226"/>
      <c r="R16553" s="226"/>
      <c r="S16553" s="226"/>
      <c r="T16553" s="226"/>
      <c r="U16553" s="226"/>
    </row>
    <row r="16554" spans="16:21" x14ac:dyDescent="0.35">
      <c r="P16554" s="226"/>
      <c r="Q16554" s="226"/>
      <c r="R16554" s="226"/>
      <c r="S16554" s="226"/>
      <c r="T16554" s="226"/>
      <c r="U16554" s="226"/>
    </row>
    <row r="16555" spans="16:21" x14ac:dyDescent="0.35">
      <c r="P16555" s="226"/>
      <c r="Q16555" s="226"/>
      <c r="R16555" s="226"/>
      <c r="S16555" s="226"/>
      <c r="T16555" s="226"/>
      <c r="U16555" s="226"/>
    </row>
    <row r="16556" spans="16:21" x14ac:dyDescent="0.35">
      <c r="P16556" s="226"/>
      <c r="Q16556" s="226"/>
      <c r="R16556" s="226"/>
      <c r="S16556" s="226"/>
      <c r="T16556" s="226"/>
      <c r="U16556" s="226"/>
    </row>
    <row r="16557" spans="16:21" x14ac:dyDescent="0.35">
      <c r="P16557" s="226"/>
      <c r="Q16557" s="226"/>
      <c r="R16557" s="226"/>
      <c r="S16557" s="226"/>
      <c r="T16557" s="226"/>
      <c r="U16557" s="226"/>
    </row>
    <row r="16558" spans="16:21" x14ac:dyDescent="0.35">
      <c r="P16558" s="226"/>
      <c r="Q16558" s="226"/>
      <c r="R16558" s="226"/>
      <c r="S16558" s="226"/>
      <c r="T16558" s="226"/>
      <c r="U16558" s="226"/>
    </row>
    <row r="16559" spans="16:21" x14ac:dyDescent="0.35">
      <c r="P16559" s="226"/>
      <c r="Q16559" s="226"/>
      <c r="R16559" s="226"/>
      <c r="S16559" s="226"/>
      <c r="T16559" s="226"/>
      <c r="U16559" s="226"/>
    </row>
    <row r="16560" spans="16:21" x14ac:dyDescent="0.35">
      <c r="P16560" s="226"/>
      <c r="Q16560" s="226"/>
      <c r="R16560" s="226"/>
      <c r="S16560" s="226"/>
      <c r="T16560" s="226"/>
      <c r="U16560" s="226"/>
    </row>
    <row r="16561" spans="16:21" x14ac:dyDescent="0.35">
      <c r="P16561" s="226"/>
      <c r="Q16561" s="226"/>
      <c r="R16561" s="226"/>
      <c r="S16561" s="226"/>
      <c r="T16561" s="226"/>
      <c r="U16561" s="226"/>
    </row>
    <row r="16562" spans="16:21" x14ac:dyDescent="0.35">
      <c r="P16562" s="226"/>
      <c r="Q16562" s="226"/>
      <c r="R16562" s="226"/>
      <c r="S16562" s="226"/>
      <c r="T16562" s="226"/>
      <c r="U16562" s="226"/>
    </row>
    <row r="16563" spans="16:21" x14ac:dyDescent="0.35">
      <c r="P16563" s="226"/>
      <c r="Q16563" s="226"/>
      <c r="R16563" s="226"/>
      <c r="S16563" s="226"/>
      <c r="T16563" s="226"/>
      <c r="U16563" s="226"/>
    </row>
    <row r="16564" spans="16:21" x14ac:dyDescent="0.35">
      <c r="P16564" s="226"/>
      <c r="Q16564" s="226"/>
      <c r="R16564" s="226"/>
      <c r="S16564" s="226"/>
      <c r="T16564" s="226"/>
      <c r="U16564" s="226"/>
    </row>
    <row r="16565" spans="16:21" x14ac:dyDescent="0.35">
      <c r="P16565" s="226"/>
      <c r="Q16565" s="226"/>
      <c r="R16565" s="226"/>
      <c r="S16565" s="226"/>
      <c r="T16565" s="226"/>
      <c r="U16565" s="226"/>
    </row>
    <row r="16566" spans="16:21" x14ac:dyDescent="0.35">
      <c r="P16566" s="226"/>
      <c r="Q16566" s="226"/>
      <c r="R16566" s="226"/>
      <c r="S16566" s="226"/>
      <c r="T16566" s="226"/>
      <c r="U16566" s="226"/>
    </row>
    <row r="16567" spans="16:21" x14ac:dyDescent="0.35">
      <c r="P16567" s="226"/>
      <c r="Q16567" s="226"/>
      <c r="R16567" s="226"/>
      <c r="S16567" s="226"/>
      <c r="T16567" s="226"/>
      <c r="U16567" s="226"/>
    </row>
    <row r="16568" spans="16:21" x14ac:dyDescent="0.35">
      <c r="P16568" s="226"/>
      <c r="Q16568" s="226"/>
      <c r="R16568" s="226"/>
      <c r="S16568" s="226"/>
      <c r="T16568" s="226"/>
      <c r="U16568" s="226"/>
    </row>
    <row r="16569" spans="16:21" x14ac:dyDescent="0.35">
      <c r="P16569" s="226"/>
      <c r="Q16569" s="226"/>
      <c r="R16569" s="226"/>
      <c r="S16569" s="226"/>
      <c r="T16569" s="226"/>
      <c r="U16569" s="226"/>
    </row>
    <row r="16570" spans="16:21" x14ac:dyDescent="0.35">
      <c r="P16570" s="226"/>
      <c r="Q16570" s="226"/>
      <c r="R16570" s="226"/>
      <c r="S16570" s="226"/>
      <c r="T16570" s="226"/>
      <c r="U16570" s="226"/>
    </row>
    <row r="16571" spans="16:21" x14ac:dyDescent="0.35">
      <c r="P16571" s="226"/>
      <c r="Q16571" s="226"/>
      <c r="R16571" s="226"/>
      <c r="S16571" s="226"/>
      <c r="T16571" s="226"/>
      <c r="U16571" s="226"/>
    </row>
    <row r="16572" spans="16:21" x14ac:dyDescent="0.35">
      <c r="P16572" s="226"/>
      <c r="Q16572" s="226"/>
      <c r="R16572" s="226"/>
      <c r="S16572" s="226"/>
      <c r="T16572" s="226"/>
      <c r="U16572" s="226"/>
    </row>
    <row r="16573" spans="16:21" x14ac:dyDescent="0.35">
      <c r="P16573" s="226"/>
      <c r="Q16573" s="226"/>
      <c r="R16573" s="226"/>
      <c r="S16573" s="226"/>
      <c r="T16573" s="226"/>
      <c r="U16573" s="226"/>
    </row>
    <row r="16574" spans="16:21" x14ac:dyDescent="0.35">
      <c r="P16574" s="226"/>
      <c r="Q16574" s="226"/>
      <c r="R16574" s="226"/>
      <c r="S16574" s="226"/>
      <c r="T16574" s="226"/>
      <c r="U16574" s="226"/>
    </row>
    <row r="16575" spans="16:21" x14ac:dyDescent="0.35">
      <c r="P16575" s="226"/>
      <c r="Q16575" s="226"/>
      <c r="R16575" s="226"/>
      <c r="S16575" s="226"/>
      <c r="T16575" s="226"/>
      <c r="U16575" s="226"/>
    </row>
    <row r="16576" spans="16:21" x14ac:dyDescent="0.35">
      <c r="P16576" s="226"/>
      <c r="Q16576" s="226"/>
      <c r="R16576" s="226"/>
      <c r="S16576" s="226"/>
      <c r="T16576" s="226"/>
      <c r="U16576" s="226"/>
    </row>
    <row r="16577" spans="16:21" x14ac:dyDescent="0.35">
      <c r="P16577" s="226"/>
      <c r="Q16577" s="226"/>
      <c r="R16577" s="226"/>
      <c r="S16577" s="226"/>
      <c r="T16577" s="226"/>
      <c r="U16577" s="226"/>
    </row>
    <row r="16578" spans="16:21" x14ac:dyDescent="0.35">
      <c r="P16578" s="226"/>
      <c r="Q16578" s="226"/>
      <c r="R16578" s="226"/>
      <c r="S16578" s="226"/>
      <c r="T16578" s="226"/>
      <c r="U16578" s="226"/>
    </row>
    <row r="16579" spans="16:21" x14ac:dyDescent="0.35">
      <c r="P16579" s="226"/>
      <c r="Q16579" s="226"/>
      <c r="R16579" s="226"/>
      <c r="S16579" s="226"/>
      <c r="T16579" s="226"/>
      <c r="U16579" s="226"/>
    </row>
    <row r="16580" spans="16:21" x14ac:dyDescent="0.35">
      <c r="P16580" s="226"/>
      <c r="Q16580" s="226"/>
      <c r="R16580" s="226"/>
      <c r="S16580" s="226"/>
      <c r="T16580" s="226"/>
      <c r="U16580" s="226"/>
    </row>
    <row r="16581" spans="16:21" x14ac:dyDescent="0.35">
      <c r="P16581" s="226"/>
      <c r="Q16581" s="226"/>
      <c r="R16581" s="226"/>
      <c r="S16581" s="226"/>
      <c r="T16581" s="226"/>
      <c r="U16581" s="226"/>
    </row>
    <row r="16582" spans="16:21" x14ac:dyDescent="0.35">
      <c r="P16582" s="226"/>
      <c r="Q16582" s="226"/>
      <c r="R16582" s="226"/>
      <c r="S16582" s="226"/>
      <c r="T16582" s="226"/>
      <c r="U16582" s="226"/>
    </row>
    <row r="16583" spans="16:21" x14ac:dyDescent="0.35">
      <c r="P16583" s="226"/>
      <c r="Q16583" s="226"/>
      <c r="R16583" s="226"/>
      <c r="S16583" s="226"/>
      <c r="T16583" s="226"/>
      <c r="U16583" s="226"/>
    </row>
    <row r="16584" spans="16:21" x14ac:dyDescent="0.35">
      <c r="P16584" s="226"/>
      <c r="Q16584" s="226"/>
      <c r="R16584" s="226"/>
      <c r="S16584" s="226"/>
      <c r="T16584" s="226"/>
      <c r="U16584" s="226"/>
    </row>
    <row r="16585" spans="16:21" x14ac:dyDescent="0.35">
      <c r="P16585" s="226"/>
      <c r="Q16585" s="226"/>
      <c r="R16585" s="226"/>
      <c r="S16585" s="226"/>
      <c r="T16585" s="226"/>
      <c r="U16585" s="226"/>
    </row>
    <row r="16586" spans="16:21" x14ac:dyDescent="0.35">
      <c r="P16586" s="226"/>
      <c r="Q16586" s="226"/>
      <c r="R16586" s="226"/>
      <c r="S16586" s="226"/>
      <c r="T16586" s="226"/>
      <c r="U16586" s="226"/>
    </row>
    <row r="16587" spans="16:21" x14ac:dyDescent="0.35">
      <c r="P16587" s="226"/>
      <c r="Q16587" s="226"/>
      <c r="R16587" s="226"/>
      <c r="S16587" s="226"/>
      <c r="T16587" s="226"/>
      <c r="U16587" s="226"/>
    </row>
    <row r="16588" spans="16:21" x14ac:dyDescent="0.35">
      <c r="P16588" s="226"/>
      <c r="Q16588" s="226"/>
      <c r="R16588" s="226"/>
      <c r="S16588" s="226"/>
      <c r="T16588" s="226"/>
      <c r="U16588" s="226"/>
    </row>
    <row r="16589" spans="16:21" x14ac:dyDescent="0.35">
      <c r="P16589" s="226"/>
      <c r="Q16589" s="226"/>
      <c r="R16589" s="226"/>
      <c r="S16589" s="226"/>
      <c r="T16589" s="226"/>
      <c r="U16589" s="226"/>
    </row>
    <row r="16590" spans="16:21" x14ac:dyDescent="0.35">
      <c r="P16590" s="226"/>
      <c r="Q16590" s="226"/>
      <c r="R16590" s="226"/>
      <c r="S16590" s="226"/>
      <c r="T16590" s="226"/>
      <c r="U16590" s="226"/>
    </row>
    <row r="16591" spans="16:21" x14ac:dyDescent="0.35">
      <c r="P16591" s="226"/>
      <c r="Q16591" s="226"/>
      <c r="R16591" s="226"/>
      <c r="S16591" s="226"/>
      <c r="T16591" s="226"/>
      <c r="U16591" s="226"/>
    </row>
    <row r="16592" spans="16:21" x14ac:dyDescent="0.35">
      <c r="P16592" s="226"/>
      <c r="Q16592" s="226"/>
      <c r="R16592" s="226"/>
      <c r="S16592" s="226"/>
      <c r="T16592" s="226"/>
      <c r="U16592" s="226"/>
    </row>
    <row r="16593" spans="16:21" x14ac:dyDescent="0.35">
      <c r="P16593" s="226"/>
      <c r="Q16593" s="226"/>
      <c r="R16593" s="226"/>
      <c r="S16593" s="226"/>
      <c r="T16593" s="226"/>
      <c r="U16593" s="226"/>
    </row>
    <row r="16594" spans="16:21" x14ac:dyDescent="0.35">
      <c r="P16594" s="226"/>
      <c r="Q16594" s="226"/>
      <c r="R16594" s="226"/>
      <c r="S16594" s="226"/>
      <c r="T16594" s="226"/>
      <c r="U16594" s="226"/>
    </row>
    <row r="16595" spans="16:21" x14ac:dyDescent="0.35">
      <c r="P16595" s="226"/>
      <c r="Q16595" s="226"/>
      <c r="R16595" s="226"/>
      <c r="S16595" s="226"/>
      <c r="T16595" s="226"/>
      <c r="U16595" s="226"/>
    </row>
    <row r="16596" spans="16:21" x14ac:dyDescent="0.35">
      <c r="P16596" s="226"/>
      <c r="Q16596" s="226"/>
      <c r="R16596" s="226"/>
      <c r="S16596" s="226"/>
      <c r="T16596" s="226"/>
      <c r="U16596" s="226"/>
    </row>
    <row r="16597" spans="16:21" x14ac:dyDescent="0.35">
      <c r="P16597" s="226"/>
      <c r="Q16597" s="226"/>
      <c r="R16597" s="226"/>
      <c r="S16597" s="226"/>
      <c r="T16597" s="226"/>
      <c r="U16597" s="226"/>
    </row>
    <row r="16598" spans="16:21" x14ac:dyDescent="0.35">
      <c r="P16598" s="226"/>
      <c r="Q16598" s="226"/>
      <c r="R16598" s="226"/>
      <c r="S16598" s="226"/>
      <c r="T16598" s="226"/>
      <c r="U16598" s="226"/>
    </row>
    <row r="16599" spans="16:21" x14ac:dyDescent="0.35">
      <c r="P16599" s="226"/>
      <c r="Q16599" s="226"/>
      <c r="R16599" s="226"/>
      <c r="S16599" s="226"/>
      <c r="T16599" s="226"/>
      <c r="U16599" s="226"/>
    </row>
    <row r="16600" spans="16:21" x14ac:dyDescent="0.35">
      <c r="P16600" s="226"/>
      <c r="Q16600" s="226"/>
      <c r="R16600" s="226"/>
      <c r="S16600" s="226"/>
      <c r="T16600" s="226"/>
      <c r="U16600" s="226"/>
    </row>
    <row r="16601" spans="16:21" x14ac:dyDescent="0.35">
      <c r="P16601" s="226"/>
      <c r="Q16601" s="226"/>
      <c r="R16601" s="226"/>
      <c r="S16601" s="226"/>
      <c r="T16601" s="226"/>
      <c r="U16601" s="226"/>
    </row>
    <row r="16602" spans="16:21" x14ac:dyDescent="0.35">
      <c r="P16602" s="226"/>
      <c r="Q16602" s="226"/>
      <c r="R16602" s="226"/>
      <c r="S16602" s="226"/>
      <c r="T16602" s="226"/>
      <c r="U16602" s="226"/>
    </row>
    <row r="16603" spans="16:21" x14ac:dyDescent="0.35">
      <c r="P16603" s="226"/>
      <c r="Q16603" s="226"/>
      <c r="R16603" s="226"/>
      <c r="S16603" s="226"/>
      <c r="T16603" s="226"/>
      <c r="U16603" s="226"/>
    </row>
    <row r="16604" spans="16:21" x14ac:dyDescent="0.35">
      <c r="P16604" s="226"/>
      <c r="Q16604" s="226"/>
      <c r="R16604" s="226"/>
      <c r="S16604" s="226"/>
      <c r="T16604" s="226"/>
      <c r="U16604" s="226"/>
    </row>
    <row r="16605" spans="16:21" x14ac:dyDescent="0.35">
      <c r="P16605" s="226"/>
      <c r="Q16605" s="226"/>
      <c r="R16605" s="226"/>
      <c r="S16605" s="226"/>
      <c r="T16605" s="226"/>
      <c r="U16605" s="226"/>
    </row>
    <row r="16606" spans="16:21" x14ac:dyDescent="0.35">
      <c r="P16606" s="226"/>
      <c r="Q16606" s="226"/>
      <c r="R16606" s="226"/>
      <c r="S16606" s="226"/>
      <c r="T16606" s="226"/>
      <c r="U16606" s="226"/>
    </row>
    <row r="16607" spans="16:21" x14ac:dyDescent="0.35">
      <c r="P16607" s="226"/>
      <c r="Q16607" s="226"/>
      <c r="R16607" s="226"/>
      <c r="S16607" s="226"/>
      <c r="T16607" s="226"/>
      <c r="U16607" s="226"/>
    </row>
    <row r="16608" spans="16:21" x14ac:dyDescent="0.35">
      <c r="P16608" s="226"/>
      <c r="Q16608" s="226"/>
      <c r="R16608" s="226"/>
      <c r="S16608" s="226"/>
      <c r="T16608" s="226"/>
      <c r="U16608" s="226"/>
    </row>
    <row r="16609" spans="16:21" x14ac:dyDescent="0.35">
      <c r="P16609" s="226"/>
      <c r="Q16609" s="226"/>
      <c r="R16609" s="226"/>
      <c r="S16609" s="226"/>
      <c r="T16609" s="226"/>
      <c r="U16609" s="226"/>
    </row>
    <row r="16610" spans="16:21" x14ac:dyDescent="0.35">
      <c r="P16610" s="226"/>
      <c r="Q16610" s="226"/>
      <c r="R16610" s="226"/>
      <c r="S16610" s="226"/>
      <c r="T16610" s="226"/>
      <c r="U16610" s="226"/>
    </row>
    <row r="16611" spans="16:21" x14ac:dyDescent="0.35">
      <c r="P16611" s="226"/>
      <c r="Q16611" s="226"/>
      <c r="R16611" s="226"/>
      <c r="S16611" s="226"/>
      <c r="T16611" s="226"/>
      <c r="U16611" s="226"/>
    </row>
    <row r="16612" spans="16:21" x14ac:dyDescent="0.35">
      <c r="P16612" s="226"/>
      <c r="Q16612" s="226"/>
      <c r="R16612" s="226"/>
      <c r="S16612" s="226"/>
      <c r="T16612" s="226"/>
      <c r="U16612" s="226"/>
    </row>
    <row r="16613" spans="16:21" x14ac:dyDescent="0.35">
      <c r="P16613" s="226"/>
      <c r="Q16613" s="226"/>
      <c r="R16613" s="226"/>
      <c r="S16613" s="226"/>
      <c r="T16613" s="226"/>
      <c r="U16613" s="226"/>
    </row>
    <row r="16614" spans="16:21" x14ac:dyDescent="0.35">
      <c r="P16614" s="226"/>
      <c r="Q16614" s="226"/>
      <c r="R16614" s="226"/>
      <c r="S16614" s="226"/>
      <c r="T16614" s="226"/>
      <c r="U16614" s="226"/>
    </row>
    <row r="16615" spans="16:21" x14ac:dyDescent="0.35">
      <c r="P16615" s="226"/>
      <c r="Q16615" s="226"/>
      <c r="R16615" s="226"/>
      <c r="S16615" s="226"/>
      <c r="T16615" s="226"/>
      <c r="U16615" s="226"/>
    </row>
    <row r="16616" spans="16:21" x14ac:dyDescent="0.35">
      <c r="P16616" s="226"/>
      <c r="Q16616" s="226"/>
      <c r="R16616" s="226"/>
      <c r="S16616" s="226"/>
      <c r="T16616" s="226"/>
      <c r="U16616" s="226"/>
    </row>
    <row r="16617" spans="16:21" x14ac:dyDescent="0.35">
      <c r="P16617" s="226"/>
      <c r="Q16617" s="226"/>
      <c r="R16617" s="226"/>
      <c r="S16617" s="226"/>
      <c r="T16617" s="226"/>
      <c r="U16617" s="226"/>
    </row>
    <row r="16618" spans="16:21" x14ac:dyDescent="0.35">
      <c r="P16618" s="226"/>
      <c r="Q16618" s="226"/>
      <c r="R16618" s="226"/>
      <c r="S16618" s="226"/>
      <c r="T16618" s="226"/>
      <c r="U16618" s="226"/>
    </row>
    <row r="16619" spans="16:21" x14ac:dyDescent="0.35">
      <c r="P16619" s="226"/>
      <c r="Q16619" s="226"/>
      <c r="R16619" s="226"/>
      <c r="S16619" s="226"/>
      <c r="T16619" s="226"/>
      <c r="U16619" s="226"/>
    </row>
    <row r="16620" spans="16:21" x14ac:dyDescent="0.35">
      <c r="P16620" s="226"/>
      <c r="Q16620" s="226"/>
      <c r="R16620" s="226"/>
      <c r="S16620" s="226"/>
      <c r="T16620" s="226"/>
      <c r="U16620" s="226"/>
    </row>
    <row r="16621" spans="16:21" x14ac:dyDescent="0.35">
      <c r="P16621" s="226"/>
      <c r="Q16621" s="226"/>
      <c r="R16621" s="226"/>
      <c r="S16621" s="226"/>
      <c r="T16621" s="226"/>
      <c r="U16621" s="226"/>
    </row>
    <row r="16622" spans="16:21" x14ac:dyDescent="0.35">
      <c r="P16622" s="226"/>
      <c r="Q16622" s="226"/>
      <c r="R16622" s="226"/>
      <c r="S16622" s="226"/>
      <c r="T16622" s="226"/>
      <c r="U16622" s="226"/>
    </row>
    <row r="16623" spans="16:21" x14ac:dyDescent="0.35">
      <c r="P16623" s="226"/>
      <c r="Q16623" s="226"/>
      <c r="R16623" s="226"/>
      <c r="S16623" s="226"/>
      <c r="T16623" s="226"/>
      <c r="U16623" s="226"/>
    </row>
    <row r="16624" spans="16:21" x14ac:dyDescent="0.35">
      <c r="P16624" s="226"/>
      <c r="Q16624" s="226"/>
      <c r="R16624" s="226"/>
      <c r="S16624" s="226"/>
      <c r="T16624" s="226"/>
      <c r="U16624" s="226"/>
    </row>
    <row r="16625" spans="16:21" x14ac:dyDescent="0.35">
      <c r="P16625" s="226"/>
      <c r="Q16625" s="226"/>
      <c r="R16625" s="226"/>
      <c r="S16625" s="226"/>
      <c r="T16625" s="226"/>
      <c r="U16625" s="226"/>
    </row>
    <row r="16626" spans="16:21" x14ac:dyDescent="0.35">
      <c r="P16626" s="226"/>
      <c r="Q16626" s="226"/>
      <c r="R16626" s="226"/>
      <c r="S16626" s="226"/>
      <c r="T16626" s="226"/>
      <c r="U16626" s="226"/>
    </row>
    <row r="16627" spans="16:21" x14ac:dyDescent="0.35">
      <c r="P16627" s="226"/>
      <c r="Q16627" s="226"/>
      <c r="R16627" s="226"/>
      <c r="S16627" s="226"/>
      <c r="T16627" s="226"/>
      <c r="U16627" s="226"/>
    </row>
    <row r="16628" spans="16:21" x14ac:dyDescent="0.35">
      <c r="P16628" s="226"/>
      <c r="Q16628" s="226"/>
      <c r="R16628" s="226"/>
      <c r="S16628" s="226"/>
      <c r="T16628" s="226"/>
      <c r="U16628" s="226"/>
    </row>
    <row r="16629" spans="16:21" x14ac:dyDescent="0.35">
      <c r="P16629" s="226"/>
      <c r="Q16629" s="226"/>
      <c r="R16629" s="226"/>
      <c r="S16629" s="226"/>
      <c r="T16629" s="226"/>
      <c r="U16629" s="226"/>
    </row>
    <row r="16630" spans="16:21" x14ac:dyDescent="0.35">
      <c r="P16630" s="226"/>
      <c r="Q16630" s="226"/>
      <c r="R16630" s="226"/>
      <c r="S16630" s="226"/>
      <c r="T16630" s="226"/>
      <c r="U16630" s="226"/>
    </row>
    <row r="16631" spans="16:21" x14ac:dyDescent="0.35">
      <c r="P16631" s="226"/>
      <c r="Q16631" s="226"/>
      <c r="R16631" s="226"/>
      <c r="S16631" s="226"/>
      <c r="T16631" s="226"/>
      <c r="U16631" s="226"/>
    </row>
    <row r="16632" spans="16:21" x14ac:dyDescent="0.35">
      <c r="P16632" s="226"/>
      <c r="Q16632" s="226"/>
      <c r="R16632" s="226"/>
      <c r="S16632" s="226"/>
      <c r="T16632" s="226"/>
      <c r="U16632" s="226"/>
    </row>
    <row r="16633" spans="16:21" x14ac:dyDescent="0.35">
      <c r="P16633" s="226"/>
      <c r="Q16633" s="226"/>
      <c r="R16633" s="226"/>
      <c r="S16633" s="226"/>
      <c r="T16633" s="226"/>
      <c r="U16633" s="226"/>
    </row>
    <row r="16634" spans="16:21" x14ac:dyDescent="0.35">
      <c r="P16634" s="226"/>
      <c r="Q16634" s="226"/>
      <c r="R16634" s="226"/>
      <c r="S16634" s="226"/>
      <c r="T16634" s="226"/>
      <c r="U16634" s="226"/>
    </row>
    <row r="16635" spans="16:21" x14ac:dyDescent="0.35">
      <c r="P16635" s="226"/>
      <c r="Q16635" s="226"/>
      <c r="R16635" s="226"/>
      <c r="S16635" s="226"/>
      <c r="T16635" s="226"/>
      <c r="U16635" s="226"/>
    </row>
    <row r="16636" spans="16:21" x14ac:dyDescent="0.35">
      <c r="P16636" s="226"/>
      <c r="Q16636" s="226"/>
      <c r="R16636" s="226"/>
      <c r="S16636" s="226"/>
      <c r="T16636" s="226"/>
      <c r="U16636" s="226"/>
    </row>
    <row r="16637" spans="16:21" x14ac:dyDescent="0.35">
      <c r="P16637" s="226"/>
      <c r="Q16637" s="226"/>
      <c r="R16637" s="226"/>
      <c r="S16637" s="226"/>
      <c r="T16637" s="226"/>
      <c r="U16637" s="226"/>
    </row>
    <row r="16638" spans="16:21" x14ac:dyDescent="0.35">
      <c r="P16638" s="226"/>
      <c r="Q16638" s="226"/>
      <c r="R16638" s="226"/>
      <c r="S16638" s="226"/>
      <c r="T16638" s="226"/>
      <c r="U16638" s="226"/>
    </row>
    <row r="16639" spans="16:21" x14ac:dyDescent="0.35">
      <c r="P16639" s="226"/>
      <c r="Q16639" s="226"/>
      <c r="R16639" s="226"/>
      <c r="S16639" s="226"/>
      <c r="T16639" s="226"/>
      <c r="U16639" s="226"/>
    </row>
    <row r="16640" spans="16:21" x14ac:dyDescent="0.35">
      <c r="P16640" s="226"/>
      <c r="Q16640" s="226"/>
      <c r="R16640" s="226"/>
      <c r="S16640" s="226"/>
      <c r="T16640" s="226"/>
      <c r="U16640" s="226"/>
    </row>
    <row r="16641" spans="16:21" x14ac:dyDescent="0.35">
      <c r="P16641" s="226"/>
      <c r="Q16641" s="226"/>
      <c r="R16641" s="226"/>
      <c r="S16641" s="226"/>
      <c r="T16641" s="226"/>
      <c r="U16641" s="226"/>
    </row>
    <row r="16642" spans="16:21" x14ac:dyDescent="0.35">
      <c r="P16642" s="226"/>
      <c r="Q16642" s="226"/>
      <c r="R16642" s="226"/>
      <c r="S16642" s="226"/>
      <c r="T16642" s="226"/>
      <c r="U16642" s="226"/>
    </row>
    <row r="16643" spans="16:21" x14ac:dyDescent="0.35">
      <c r="P16643" s="226"/>
      <c r="Q16643" s="226"/>
      <c r="R16643" s="226"/>
      <c r="S16643" s="226"/>
      <c r="T16643" s="226"/>
      <c r="U16643" s="226"/>
    </row>
    <row r="16644" spans="16:21" x14ac:dyDescent="0.35">
      <c r="P16644" s="226"/>
      <c r="Q16644" s="226"/>
      <c r="R16644" s="226"/>
      <c r="S16644" s="226"/>
      <c r="T16644" s="226"/>
      <c r="U16644" s="226"/>
    </row>
    <row r="16645" spans="16:21" x14ac:dyDescent="0.35">
      <c r="P16645" s="226"/>
      <c r="Q16645" s="226"/>
      <c r="R16645" s="226"/>
      <c r="S16645" s="226"/>
      <c r="T16645" s="226"/>
      <c r="U16645" s="226"/>
    </row>
    <row r="16646" spans="16:21" x14ac:dyDescent="0.35">
      <c r="P16646" s="226"/>
      <c r="Q16646" s="226"/>
      <c r="R16646" s="226"/>
      <c r="S16646" s="226"/>
      <c r="T16646" s="226"/>
      <c r="U16646" s="226"/>
    </row>
    <row r="16647" spans="16:21" x14ac:dyDescent="0.35">
      <c r="P16647" s="226"/>
      <c r="Q16647" s="226"/>
      <c r="R16647" s="226"/>
      <c r="S16647" s="226"/>
      <c r="T16647" s="226"/>
      <c r="U16647" s="226"/>
    </row>
    <row r="16648" spans="16:21" x14ac:dyDescent="0.35">
      <c r="P16648" s="226"/>
      <c r="Q16648" s="226"/>
      <c r="R16648" s="226"/>
      <c r="S16648" s="226"/>
      <c r="T16648" s="226"/>
      <c r="U16648" s="226"/>
    </row>
    <row r="16649" spans="16:21" x14ac:dyDescent="0.35">
      <c r="P16649" s="226"/>
      <c r="Q16649" s="226"/>
      <c r="R16649" s="226"/>
      <c r="S16649" s="226"/>
      <c r="T16649" s="226"/>
      <c r="U16649" s="226"/>
    </row>
    <row r="16650" spans="16:21" x14ac:dyDescent="0.35">
      <c r="P16650" s="226"/>
      <c r="Q16650" s="226"/>
      <c r="R16650" s="226"/>
      <c r="S16650" s="226"/>
      <c r="T16650" s="226"/>
      <c r="U16650" s="226"/>
    </row>
    <row r="16651" spans="16:21" x14ac:dyDescent="0.35">
      <c r="P16651" s="226"/>
      <c r="Q16651" s="226"/>
      <c r="R16651" s="226"/>
      <c r="S16651" s="226"/>
      <c r="T16651" s="226"/>
      <c r="U16651" s="226"/>
    </row>
    <row r="16652" spans="16:21" x14ac:dyDescent="0.35">
      <c r="P16652" s="226"/>
      <c r="Q16652" s="226"/>
      <c r="R16652" s="226"/>
      <c r="S16652" s="226"/>
      <c r="T16652" s="226"/>
      <c r="U16652" s="226"/>
    </row>
    <row r="16653" spans="16:21" x14ac:dyDescent="0.35">
      <c r="P16653" s="226"/>
      <c r="Q16653" s="226"/>
      <c r="R16653" s="226"/>
      <c r="S16653" s="226"/>
      <c r="T16653" s="226"/>
      <c r="U16653" s="226"/>
    </row>
    <row r="16654" spans="16:21" x14ac:dyDescent="0.35">
      <c r="P16654" s="226"/>
      <c r="Q16654" s="226"/>
      <c r="R16654" s="226"/>
      <c r="S16654" s="226"/>
      <c r="T16654" s="226"/>
      <c r="U16654" s="226"/>
    </row>
    <row r="16655" spans="16:21" x14ac:dyDescent="0.35">
      <c r="P16655" s="226"/>
      <c r="Q16655" s="226"/>
      <c r="R16655" s="226"/>
      <c r="S16655" s="226"/>
      <c r="T16655" s="226"/>
      <c r="U16655" s="226"/>
    </row>
    <row r="16656" spans="16:21" x14ac:dyDescent="0.35">
      <c r="P16656" s="226"/>
      <c r="Q16656" s="226"/>
      <c r="R16656" s="226"/>
      <c r="S16656" s="226"/>
      <c r="T16656" s="226"/>
      <c r="U16656" s="226"/>
    </row>
    <row r="16657" spans="16:21" x14ac:dyDescent="0.35">
      <c r="P16657" s="226"/>
      <c r="Q16657" s="226"/>
      <c r="R16657" s="226"/>
      <c r="S16657" s="226"/>
      <c r="T16657" s="226"/>
      <c r="U16657" s="226"/>
    </row>
    <row r="16658" spans="16:21" x14ac:dyDescent="0.35">
      <c r="P16658" s="226"/>
      <c r="Q16658" s="226"/>
      <c r="R16658" s="226"/>
      <c r="S16658" s="226"/>
      <c r="T16658" s="226"/>
      <c r="U16658" s="226"/>
    </row>
    <row r="16659" spans="16:21" x14ac:dyDescent="0.35">
      <c r="P16659" s="226"/>
      <c r="Q16659" s="226"/>
      <c r="R16659" s="226"/>
      <c r="S16659" s="226"/>
      <c r="T16659" s="226"/>
      <c r="U16659" s="226"/>
    </row>
    <row r="16660" spans="16:21" x14ac:dyDescent="0.35">
      <c r="P16660" s="226"/>
      <c r="Q16660" s="226"/>
      <c r="R16660" s="226"/>
      <c r="S16660" s="226"/>
      <c r="T16660" s="226"/>
      <c r="U16660" s="226"/>
    </row>
    <row r="16661" spans="16:21" x14ac:dyDescent="0.35">
      <c r="P16661" s="226"/>
      <c r="Q16661" s="226"/>
      <c r="R16661" s="226"/>
      <c r="S16661" s="226"/>
      <c r="T16661" s="226"/>
      <c r="U16661" s="226"/>
    </row>
    <row r="16662" spans="16:21" x14ac:dyDescent="0.35">
      <c r="P16662" s="226"/>
      <c r="Q16662" s="226"/>
      <c r="R16662" s="226"/>
      <c r="S16662" s="226"/>
      <c r="T16662" s="226"/>
      <c r="U16662" s="226"/>
    </row>
    <row r="16663" spans="16:21" x14ac:dyDescent="0.35">
      <c r="P16663" s="226"/>
      <c r="Q16663" s="226"/>
      <c r="R16663" s="226"/>
      <c r="S16663" s="226"/>
      <c r="T16663" s="226"/>
      <c r="U16663" s="226"/>
    </row>
    <row r="16664" spans="16:21" x14ac:dyDescent="0.35">
      <c r="P16664" s="226"/>
      <c r="Q16664" s="226"/>
      <c r="R16664" s="226"/>
      <c r="S16664" s="226"/>
      <c r="T16664" s="226"/>
      <c r="U16664" s="226"/>
    </row>
    <row r="16665" spans="16:21" x14ac:dyDescent="0.35">
      <c r="P16665" s="226"/>
      <c r="Q16665" s="226"/>
      <c r="R16665" s="226"/>
      <c r="S16665" s="226"/>
      <c r="T16665" s="226"/>
      <c r="U16665" s="226"/>
    </row>
    <row r="16666" spans="16:21" x14ac:dyDescent="0.35">
      <c r="P16666" s="226"/>
      <c r="Q16666" s="226"/>
      <c r="R16666" s="226"/>
      <c r="S16666" s="226"/>
      <c r="T16666" s="226"/>
      <c r="U16666" s="226"/>
    </row>
    <row r="16667" spans="16:21" x14ac:dyDescent="0.35">
      <c r="P16667" s="226"/>
      <c r="Q16667" s="226"/>
      <c r="R16667" s="226"/>
      <c r="S16667" s="226"/>
      <c r="T16667" s="226"/>
      <c r="U16667" s="226"/>
    </row>
    <row r="16668" spans="16:21" x14ac:dyDescent="0.35">
      <c r="P16668" s="226"/>
      <c r="Q16668" s="226"/>
      <c r="R16668" s="226"/>
      <c r="S16668" s="226"/>
      <c r="T16668" s="226"/>
      <c r="U16668" s="226"/>
    </row>
    <row r="16669" spans="16:21" x14ac:dyDescent="0.35">
      <c r="P16669" s="226"/>
      <c r="Q16669" s="226"/>
      <c r="R16669" s="226"/>
      <c r="S16669" s="226"/>
      <c r="T16669" s="226"/>
      <c r="U16669" s="226"/>
    </row>
    <row r="16670" spans="16:21" x14ac:dyDescent="0.35">
      <c r="P16670" s="226"/>
      <c r="Q16670" s="226"/>
      <c r="R16670" s="226"/>
      <c r="S16670" s="226"/>
      <c r="T16670" s="226"/>
      <c r="U16670" s="226"/>
    </row>
    <row r="16671" spans="16:21" x14ac:dyDescent="0.35">
      <c r="P16671" s="226"/>
      <c r="Q16671" s="226"/>
      <c r="R16671" s="226"/>
      <c r="S16671" s="226"/>
      <c r="T16671" s="226"/>
      <c r="U16671" s="226"/>
    </row>
    <row r="16672" spans="16:21" x14ac:dyDescent="0.35">
      <c r="P16672" s="226"/>
      <c r="Q16672" s="226"/>
      <c r="R16672" s="226"/>
      <c r="S16672" s="226"/>
      <c r="T16672" s="226"/>
      <c r="U16672" s="226"/>
    </row>
    <row r="16673" spans="16:21" x14ac:dyDescent="0.35">
      <c r="P16673" s="226"/>
      <c r="Q16673" s="226"/>
      <c r="R16673" s="226"/>
      <c r="S16673" s="226"/>
      <c r="T16673" s="226"/>
      <c r="U16673" s="226"/>
    </row>
    <row r="16674" spans="16:21" x14ac:dyDescent="0.35">
      <c r="P16674" s="226"/>
      <c r="Q16674" s="226"/>
      <c r="R16674" s="226"/>
      <c r="S16674" s="226"/>
      <c r="T16674" s="226"/>
      <c r="U16674" s="226"/>
    </row>
    <row r="16675" spans="16:21" x14ac:dyDescent="0.35">
      <c r="P16675" s="226"/>
      <c r="Q16675" s="226"/>
      <c r="R16675" s="226"/>
      <c r="S16675" s="226"/>
      <c r="T16675" s="226"/>
      <c r="U16675" s="226"/>
    </row>
    <row r="16676" spans="16:21" x14ac:dyDescent="0.35">
      <c r="P16676" s="226"/>
      <c r="Q16676" s="226"/>
      <c r="R16676" s="226"/>
      <c r="S16676" s="226"/>
      <c r="T16676" s="226"/>
      <c r="U16676" s="226"/>
    </row>
    <row r="16677" spans="16:21" x14ac:dyDescent="0.35">
      <c r="P16677" s="226"/>
      <c r="Q16677" s="226"/>
      <c r="R16677" s="226"/>
      <c r="S16677" s="226"/>
      <c r="T16677" s="226"/>
      <c r="U16677" s="226"/>
    </row>
    <row r="16678" spans="16:21" x14ac:dyDescent="0.35">
      <c r="P16678" s="226"/>
      <c r="Q16678" s="226"/>
      <c r="R16678" s="226"/>
      <c r="S16678" s="226"/>
      <c r="T16678" s="226"/>
      <c r="U16678" s="226"/>
    </row>
    <row r="16679" spans="16:21" x14ac:dyDescent="0.35">
      <c r="P16679" s="226"/>
      <c r="Q16679" s="226"/>
      <c r="R16679" s="226"/>
      <c r="S16679" s="226"/>
      <c r="T16679" s="226"/>
      <c r="U16679" s="226"/>
    </row>
    <row r="16680" spans="16:21" x14ac:dyDescent="0.35">
      <c r="P16680" s="226"/>
      <c r="Q16680" s="226"/>
      <c r="R16680" s="226"/>
      <c r="S16680" s="226"/>
      <c r="T16680" s="226"/>
      <c r="U16680" s="226"/>
    </row>
    <row r="16681" spans="16:21" x14ac:dyDescent="0.35">
      <c r="P16681" s="226"/>
      <c r="Q16681" s="226"/>
      <c r="R16681" s="226"/>
      <c r="S16681" s="226"/>
      <c r="T16681" s="226"/>
      <c r="U16681" s="226"/>
    </row>
    <row r="16682" spans="16:21" x14ac:dyDescent="0.35">
      <c r="P16682" s="226"/>
      <c r="Q16682" s="226"/>
      <c r="R16682" s="226"/>
      <c r="S16682" s="226"/>
      <c r="T16682" s="226"/>
      <c r="U16682" s="226"/>
    </row>
    <row r="16683" spans="16:21" x14ac:dyDescent="0.35">
      <c r="P16683" s="226"/>
      <c r="Q16683" s="226"/>
      <c r="R16683" s="226"/>
      <c r="S16683" s="226"/>
      <c r="T16683" s="226"/>
      <c r="U16683" s="226"/>
    </row>
    <row r="16684" spans="16:21" x14ac:dyDescent="0.35">
      <c r="P16684" s="226"/>
      <c r="Q16684" s="226"/>
      <c r="R16684" s="226"/>
      <c r="S16684" s="226"/>
      <c r="T16684" s="226"/>
      <c r="U16684" s="226"/>
    </row>
    <row r="16685" spans="16:21" x14ac:dyDescent="0.35">
      <c r="P16685" s="226"/>
      <c r="Q16685" s="226"/>
      <c r="R16685" s="226"/>
      <c r="S16685" s="226"/>
      <c r="T16685" s="226"/>
      <c r="U16685" s="226"/>
    </row>
    <row r="16686" spans="16:21" x14ac:dyDescent="0.35">
      <c r="P16686" s="226"/>
      <c r="Q16686" s="226"/>
      <c r="R16686" s="226"/>
      <c r="S16686" s="226"/>
      <c r="T16686" s="226"/>
      <c r="U16686" s="226"/>
    </row>
    <row r="16687" spans="16:21" x14ac:dyDescent="0.35">
      <c r="P16687" s="226"/>
      <c r="Q16687" s="226"/>
      <c r="R16687" s="226"/>
      <c r="S16687" s="226"/>
      <c r="T16687" s="226"/>
      <c r="U16687" s="226"/>
    </row>
    <row r="16688" spans="16:21" x14ac:dyDescent="0.35">
      <c r="P16688" s="226"/>
      <c r="Q16688" s="226"/>
      <c r="R16688" s="226"/>
      <c r="S16688" s="226"/>
      <c r="T16688" s="226"/>
      <c r="U16688" s="226"/>
    </row>
    <row r="16689" spans="16:21" x14ac:dyDescent="0.35">
      <c r="P16689" s="226"/>
      <c r="Q16689" s="226"/>
      <c r="R16689" s="226"/>
      <c r="S16689" s="226"/>
      <c r="T16689" s="226"/>
      <c r="U16689" s="226"/>
    </row>
    <row r="16690" spans="16:21" x14ac:dyDescent="0.35">
      <c r="P16690" s="226"/>
      <c r="Q16690" s="226"/>
      <c r="R16690" s="226"/>
      <c r="S16690" s="226"/>
      <c r="T16690" s="226"/>
      <c r="U16690" s="226"/>
    </row>
    <row r="16691" spans="16:21" x14ac:dyDescent="0.35">
      <c r="P16691" s="226"/>
      <c r="Q16691" s="226"/>
      <c r="R16691" s="226"/>
      <c r="S16691" s="226"/>
      <c r="T16691" s="226"/>
      <c r="U16691" s="226"/>
    </row>
    <row r="16692" spans="16:21" x14ac:dyDescent="0.35">
      <c r="P16692" s="226"/>
      <c r="Q16692" s="226"/>
      <c r="R16692" s="226"/>
      <c r="S16692" s="226"/>
      <c r="T16692" s="226"/>
      <c r="U16692" s="226"/>
    </row>
    <row r="16693" spans="16:21" x14ac:dyDescent="0.35">
      <c r="P16693" s="226"/>
      <c r="Q16693" s="226"/>
      <c r="R16693" s="226"/>
      <c r="S16693" s="226"/>
      <c r="T16693" s="226"/>
      <c r="U16693" s="226"/>
    </row>
    <row r="16694" spans="16:21" x14ac:dyDescent="0.35">
      <c r="P16694" s="226"/>
      <c r="Q16694" s="226"/>
      <c r="R16694" s="226"/>
      <c r="S16694" s="226"/>
      <c r="T16694" s="226"/>
      <c r="U16694" s="226"/>
    </row>
    <row r="16695" spans="16:21" x14ac:dyDescent="0.35">
      <c r="P16695" s="226"/>
      <c r="Q16695" s="226"/>
      <c r="R16695" s="226"/>
      <c r="S16695" s="226"/>
      <c r="T16695" s="226"/>
      <c r="U16695" s="226"/>
    </row>
    <row r="16696" spans="16:21" x14ac:dyDescent="0.35">
      <c r="P16696" s="226"/>
      <c r="Q16696" s="226"/>
      <c r="R16696" s="226"/>
      <c r="S16696" s="226"/>
      <c r="T16696" s="226"/>
      <c r="U16696" s="226"/>
    </row>
    <row r="16697" spans="16:21" x14ac:dyDescent="0.35">
      <c r="P16697" s="226"/>
      <c r="Q16697" s="226"/>
      <c r="R16697" s="226"/>
      <c r="S16697" s="226"/>
      <c r="T16697" s="226"/>
      <c r="U16697" s="226"/>
    </row>
    <row r="16698" spans="16:21" x14ac:dyDescent="0.35">
      <c r="P16698" s="226"/>
      <c r="Q16698" s="226"/>
      <c r="R16698" s="226"/>
      <c r="S16698" s="226"/>
      <c r="T16698" s="226"/>
      <c r="U16698" s="226"/>
    </row>
    <row r="16699" spans="16:21" x14ac:dyDescent="0.35">
      <c r="P16699" s="226"/>
      <c r="Q16699" s="226"/>
      <c r="R16699" s="226"/>
      <c r="S16699" s="226"/>
      <c r="T16699" s="226"/>
      <c r="U16699" s="226"/>
    </row>
    <row r="16700" spans="16:21" x14ac:dyDescent="0.35">
      <c r="P16700" s="226"/>
      <c r="Q16700" s="226"/>
      <c r="R16700" s="226"/>
      <c r="S16700" s="226"/>
      <c r="T16700" s="226"/>
      <c r="U16700" s="226"/>
    </row>
    <row r="16701" spans="16:21" x14ac:dyDescent="0.35">
      <c r="P16701" s="226"/>
      <c r="Q16701" s="226"/>
      <c r="R16701" s="226"/>
      <c r="S16701" s="226"/>
      <c r="T16701" s="226"/>
      <c r="U16701" s="226"/>
    </row>
    <row r="16702" spans="16:21" x14ac:dyDescent="0.35">
      <c r="P16702" s="226"/>
      <c r="Q16702" s="226"/>
      <c r="R16702" s="226"/>
      <c r="S16702" s="226"/>
      <c r="T16702" s="226"/>
      <c r="U16702" s="226"/>
    </row>
    <row r="16703" spans="16:21" x14ac:dyDescent="0.35">
      <c r="P16703" s="226"/>
      <c r="Q16703" s="226"/>
      <c r="R16703" s="226"/>
      <c r="S16703" s="226"/>
      <c r="T16703" s="226"/>
      <c r="U16703" s="226"/>
    </row>
    <row r="16704" spans="16:21" x14ac:dyDescent="0.35">
      <c r="P16704" s="226"/>
      <c r="Q16704" s="226"/>
      <c r="R16704" s="226"/>
      <c r="S16704" s="226"/>
      <c r="T16704" s="226"/>
      <c r="U16704" s="226"/>
    </row>
    <row r="16705" spans="16:21" x14ac:dyDescent="0.35">
      <c r="P16705" s="226"/>
      <c r="Q16705" s="226"/>
      <c r="R16705" s="226"/>
      <c r="S16705" s="226"/>
      <c r="T16705" s="226"/>
      <c r="U16705" s="226"/>
    </row>
    <row r="16706" spans="16:21" x14ac:dyDescent="0.35">
      <c r="P16706" s="226"/>
      <c r="Q16706" s="226"/>
      <c r="R16706" s="226"/>
      <c r="S16706" s="226"/>
      <c r="T16706" s="226"/>
      <c r="U16706" s="226"/>
    </row>
    <row r="16707" spans="16:21" x14ac:dyDescent="0.35">
      <c r="P16707" s="226"/>
      <c r="Q16707" s="226"/>
      <c r="R16707" s="226"/>
      <c r="S16707" s="226"/>
      <c r="T16707" s="226"/>
      <c r="U16707" s="226"/>
    </row>
    <row r="16708" spans="16:21" x14ac:dyDescent="0.35">
      <c r="P16708" s="226"/>
      <c r="Q16708" s="226"/>
      <c r="R16708" s="226"/>
      <c r="S16708" s="226"/>
      <c r="T16708" s="226"/>
      <c r="U16708" s="226"/>
    </row>
    <row r="16709" spans="16:21" x14ac:dyDescent="0.35">
      <c r="P16709" s="226"/>
      <c r="Q16709" s="226"/>
      <c r="R16709" s="226"/>
      <c r="S16709" s="226"/>
      <c r="T16709" s="226"/>
      <c r="U16709" s="226"/>
    </row>
    <row r="16710" spans="16:21" x14ac:dyDescent="0.35">
      <c r="P16710" s="226"/>
      <c r="Q16710" s="226"/>
      <c r="R16710" s="226"/>
      <c r="S16710" s="226"/>
      <c r="T16710" s="226"/>
      <c r="U16710" s="226"/>
    </row>
    <row r="16711" spans="16:21" x14ac:dyDescent="0.35">
      <c r="P16711" s="226"/>
      <c r="Q16711" s="226"/>
      <c r="R16711" s="226"/>
      <c r="S16711" s="226"/>
      <c r="T16711" s="226"/>
      <c r="U16711" s="226"/>
    </row>
    <row r="16712" spans="16:21" x14ac:dyDescent="0.35">
      <c r="P16712" s="226"/>
      <c r="Q16712" s="226"/>
      <c r="R16712" s="226"/>
      <c r="S16712" s="226"/>
      <c r="T16712" s="226"/>
      <c r="U16712" s="226"/>
    </row>
    <row r="16713" spans="16:21" x14ac:dyDescent="0.35">
      <c r="P16713" s="226"/>
      <c r="Q16713" s="226"/>
      <c r="R16713" s="226"/>
      <c r="S16713" s="226"/>
      <c r="T16713" s="226"/>
      <c r="U16713" s="226"/>
    </row>
    <row r="16714" spans="16:21" x14ac:dyDescent="0.35">
      <c r="P16714" s="226"/>
      <c r="Q16714" s="226"/>
      <c r="R16714" s="226"/>
      <c r="S16714" s="226"/>
      <c r="T16714" s="226"/>
      <c r="U16714" s="226"/>
    </row>
    <row r="16715" spans="16:21" x14ac:dyDescent="0.35">
      <c r="P16715" s="226"/>
      <c r="Q16715" s="226"/>
      <c r="R16715" s="226"/>
      <c r="S16715" s="226"/>
      <c r="T16715" s="226"/>
      <c r="U16715" s="226"/>
    </row>
    <row r="16716" spans="16:21" x14ac:dyDescent="0.35">
      <c r="P16716" s="226"/>
      <c r="Q16716" s="226"/>
      <c r="R16716" s="226"/>
      <c r="S16716" s="226"/>
      <c r="T16716" s="226"/>
      <c r="U16716" s="226"/>
    </row>
    <row r="16717" spans="16:21" x14ac:dyDescent="0.35">
      <c r="P16717" s="226"/>
      <c r="Q16717" s="226"/>
      <c r="R16717" s="226"/>
      <c r="S16717" s="226"/>
      <c r="T16717" s="226"/>
      <c r="U16717" s="226"/>
    </row>
    <row r="16718" spans="16:21" x14ac:dyDescent="0.35">
      <c r="P16718" s="226"/>
      <c r="Q16718" s="226"/>
      <c r="R16718" s="226"/>
      <c r="S16718" s="226"/>
      <c r="T16718" s="226"/>
      <c r="U16718" s="226"/>
    </row>
    <row r="16719" spans="16:21" x14ac:dyDescent="0.35">
      <c r="P16719" s="226"/>
      <c r="Q16719" s="226"/>
      <c r="R16719" s="226"/>
      <c r="S16719" s="226"/>
      <c r="T16719" s="226"/>
      <c r="U16719" s="226"/>
    </row>
    <row r="16720" spans="16:21" x14ac:dyDescent="0.35">
      <c r="P16720" s="226"/>
      <c r="Q16720" s="226"/>
      <c r="R16720" s="226"/>
      <c r="S16720" s="226"/>
      <c r="T16720" s="226"/>
      <c r="U16720" s="226"/>
    </row>
    <row r="16721" spans="16:21" x14ac:dyDescent="0.35">
      <c r="P16721" s="226"/>
      <c r="Q16721" s="226"/>
      <c r="R16721" s="226"/>
      <c r="S16721" s="226"/>
      <c r="T16721" s="226"/>
      <c r="U16721" s="226"/>
    </row>
    <row r="16722" spans="16:21" x14ac:dyDescent="0.35">
      <c r="P16722" s="226"/>
      <c r="Q16722" s="226"/>
      <c r="R16722" s="226"/>
      <c r="S16722" s="226"/>
      <c r="T16722" s="226"/>
      <c r="U16722" s="226"/>
    </row>
    <row r="16723" spans="16:21" x14ac:dyDescent="0.35">
      <c r="P16723" s="226"/>
      <c r="Q16723" s="226"/>
      <c r="R16723" s="226"/>
      <c r="S16723" s="226"/>
      <c r="T16723" s="226"/>
      <c r="U16723" s="226"/>
    </row>
    <row r="16724" spans="16:21" x14ac:dyDescent="0.35">
      <c r="P16724" s="226"/>
      <c r="Q16724" s="226"/>
      <c r="R16724" s="226"/>
      <c r="S16724" s="226"/>
      <c r="T16724" s="226"/>
      <c r="U16724" s="226"/>
    </row>
    <row r="16725" spans="16:21" x14ac:dyDescent="0.35">
      <c r="P16725" s="226"/>
      <c r="Q16725" s="226"/>
      <c r="R16725" s="226"/>
      <c r="S16725" s="226"/>
      <c r="T16725" s="226"/>
      <c r="U16725" s="226"/>
    </row>
    <row r="16726" spans="16:21" x14ac:dyDescent="0.35">
      <c r="P16726" s="226"/>
      <c r="Q16726" s="226"/>
      <c r="R16726" s="226"/>
      <c r="S16726" s="226"/>
      <c r="T16726" s="226"/>
      <c r="U16726" s="226"/>
    </row>
    <row r="16727" spans="16:21" x14ac:dyDescent="0.35">
      <c r="P16727" s="226"/>
      <c r="Q16727" s="226"/>
      <c r="R16727" s="226"/>
      <c r="S16727" s="226"/>
      <c r="T16727" s="226"/>
      <c r="U16727" s="226"/>
    </row>
    <row r="16728" spans="16:21" x14ac:dyDescent="0.35">
      <c r="P16728" s="226"/>
      <c r="Q16728" s="226"/>
      <c r="R16728" s="226"/>
      <c r="S16728" s="226"/>
      <c r="T16728" s="226"/>
      <c r="U16728" s="226"/>
    </row>
    <row r="16729" spans="16:21" x14ac:dyDescent="0.35">
      <c r="P16729" s="226"/>
      <c r="Q16729" s="226"/>
      <c r="R16729" s="226"/>
      <c r="S16729" s="226"/>
      <c r="T16729" s="226"/>
      <c r="U16729" s="226"/>
    </row>
    <row r="16730" spans="16:21" x14ac:dyDescent="0.35">
      <c r="P16730" s="226"/>
      <c r="Q16730" s="226"/>
      <c r="R16730" s="226"/>
      <c r="S16730" s="226"/>
      <c r="T16730" s="226"/>
      <c r="U16730" s="226"/>
    </row>
    <row r="16731" spans="16:21" x14ac:dyDescent="0.35">
      <c r="P16731" s="226"/>
      <c r="Q16731" s="226"/>
      <c r="R16731" s="226"/>
      <c r="S16731" s="226"/>
      <c r="T16731" s="226"/>
      <c r="U16731" s="226"/>
    </row>
    <row r="16732" spans="16:21" x14ac:dyDescent="0.35">
      <c r="P16732" s="226"/>
      <c r="Q16732" s="226"/>
      <c r="R16732" s="226"/>
      <c r="S16732" s="226"/>
      <c r="T16732" s="226"/>
      <c r="U16732" s="226"/>
    </row>
    <row r="16733" spans="16:21" x14ac:dyDescent="0.35">
      <c r="P16733" s="226"/>
      <c r="Q16733" s="226"/>
      <c r="R16733" s="226"/>
      <c r="S16733" s="226"/>
      <c r="T16733" s="226"/>
      <c r="U16733" s="226"/>
    </row>
    <row r="16734" spans="16:21" x14ac:dyDescent="0.35">
      <c r="P16734" s="226"/>
      <c r="Q16734" s="226"/>
      <c r="R16734" s="226"/>
      <c r="S16734" s="226"/>
      <c r="T16734" s="226"/>
      <c r="U16734" s="226"/>
    </row>
    <row r="16735" spans="16:21" x14ac:dyDescent="0.35">
      <c r="P16735" s="226"/>
      <c r="Q16735" s="226"/>
      <c r="R16735" s="226"/>
      <c r="S16735" s="226"/>
      <c r="T16735" s="226"/>
      <c r="U16735" s="226"/>
    </row>
    <row r="16736" spans="16:21" x14ac:dyDescent="0.35">
      <c r="P16736" s="226"/>
      <c r="Q16736" s="226"/>
      <c r="R16736" s="226"/>
      <c r="S16736" s="226"/>
      <c r="T16736" s="226"/>
      <c r="U16736" s="226"/>
    </row>
    <row r="16737" spans="16:21" x14ac:dyDescent="0.35">
      <c r="P16737" s="226"/>
      <c r="Q16737" s="226"/>
      <c r="R16737" s="226"/>
      <c r="S16737" s="226"/>
      <c r="T16737" s="226"/>
      <c r="U16737" s="226"/>
    </row>
    <row r="16738" spans="16:21" x14ac:dyDescent="0.35">
      <c r="P16738" s="226"/>
      <c r="Q16738" s="226"/>
      <c r="R16738" s="226"/>
      <c r="S16738" s="226"/>
      <c r="T16738" s="226"/>
      <c r="U16738" s="226"/>
    </row>
    <row r="16739" spans="16:21" x14ac:dyDescent="0.35">
      <c r="P16739" s="226"/>
      <c r="Q16739" s="226"/>
      <c r="R16739" s="226"/>
      <c r="S16739" s="226"/>
      <c r="T16739" s="226"/>
      <c r="U16739" s="226"/>
    </row>
    <row r="16740" spans="16:21" x14ac:dyDescent="0.35">
      <c r="P16740" s="226"/>
      <c r="Q16740" s="226"/>
      <c r="R16740" s="226"/>
      <c r="S16740" s="226"/>
      <c r="T16740" s="226"/>
      <c r="U16740" s="226"/>
    </row>
    <row r="16741" spans="16:21" x14ac:dyDescent="0.35">
      <c r="P16741" s="226"/>
      <c r="Q16741" s="226"/>
      <c r="R16741" s="226"/>
      <c r="S16741" s="226"/>
      <c r="T16741" s="226"/>
      <c r="U16741" s="226"/>
    </row>
    <row r="16742" spans="16:21" x14ac:dyDescent="0.35">
      <c r="P16742" s="226"/>
      <c r="Q16742" s="226"/>
      <c r="R16742" s="226"/>
      <c r="S16742" s="226"/>
      <c r="T16742" s="226"/>
      <c r="U16742" s="226"/>
    </row>
    <row r="16743" spans="16:21" x14ac:dyDescent="0.35">
      <c r="P16743" s="226"/>
      <c r="Q16743" s="226"/>
      <c r="R16743" s="226"/>
      <c r="S16743" s="226"/>
      <c r="T16743" s="226"/>
      <c r="U16743" s="226"/>
    </row>
    <row r="16744" spans="16:21" x14ac:dyDescent="0.35">
      <c r="P16744" s="226"/>
      <c r="Q16744" s="226"/>
      <c r="R16744" s="226"/>
      <c r="S16744" s="226"/>
      <c r="T16744" s="226"/>
      <c r="U16744" s="226"/>
    </row>
    <row r="16745" spans="16:21" x14ac:dyDescent="0.35">
      <c r="P16745" s="226"/>
      <c r="Q16745" s="226"/>
      <c r="R16745" s="226"/>
      <c r="S16745" s="226"/>
      <c r="T16745" s="226"/>
      <c r="U16745" s="226"/>
    </row>
    <row r="16746" spans="16:21" x14ac:dyDescent="0.35">
      <c r="P16746" s="226"/>
      <c r="Q16746" s="226"/>
      <c r="R16746" s="226"/>
      <c r="S16746" s="226"/>
      <c r="T16746" s="226"/>
      <c r="U16746" s="226"/>
    </row>
    <row r="16747" spans="16:21" x14ac:dyDescent="0.35">
      <c r="P16747" s="226"/>
      <c r="Q16747" s="226"/>
      <c r="R16747" s="226"/>
      <c r="S16747" s="226"/>
      <c r="T16747" s="226"/>
      <c r="U16747" s="226"/>
    </row>
    <row r="16748" spans="16:21" x14ac:dyDescent="0.35">
      <c r="P16748" s="226"/>
      <c r="Q16748" s="226"/>
      <c r="R16748" s="226"/>
      <c r="S16748" s="226"/>
      <c r="T16748" s="226"/>
      <c r="U16748" s="226"/>
    </row>
    <row r="16749" spans="16:21" x14ac:dyDescent="0.35">
      <c r="P16749" s="226"/>
      <c r="Q16749" s="226"/>
      <c r="R16749" s="226"/>
      <c r="S16749" s="226"/>
      <c r="T16749" s="226"/>
      <c r="U16749" s="226"/>
    </row>
    <row r="16750" spans="16:21" x14ac:dyDescent="0.35">
      <c r="P16750" s="226"/>
      <c r="Q16750" s="226"/>
      <c r="R16750" s="226"/>
      <c r="S16750" s="226"/>
      <c r="T16750" s="226"/>
      <c r="U16750" s="226"/>
    </row>
    <row r="16751" spans="16:21" x14ac:dyDescent="0.35">
      <c r="P16751" s="226"/>
      <c r="Q16751" s="226"/>
      <c r="R16751" s="226"/>
      <c r="S16751" s="226"/>
      <c r="T16751" s="226"/>
      <c r="U16751" s="226"/>
    </row>
    <row r="16752" spans="16:21" x14ac:dyDescent="0.35">
      <c r="P16752" s="226"/>
      <c r="Q16752" s="226"/>
      <c r="R16752" s="226"/>
      <c r="S16752" s="226"/>
      <c r="T16752" s="226"/>
      <c r="U16752" s="226"/>
    </row>
    <row r="16753" spans="16:21" x14ac:dyDescent="0.35">
      <c r="P16753" s="226"/>
      <c r="Q16753" s="226"/>
      <c r="R16753" s="226"/>
      <c r="S16753" s="226"/>
      <c r="T16753" s="226"/>
      <c r="U16753" s="226"/>
    </row>
    <row r="16754" spans="16:21" x14ac:dyDescent="0.35">
      <c r="P16754" s="226"/>
      <c r="Q16754" s="226"/>
      <c r="R16754" s="226"/>
      <c r="S16754" s="226"/>
      <c r="T16754" s="226"/>
      <c r="U16754" s="226"/>
    </row>
    <row r="16755" spans="16:21" x14ac:dyDescent="0.35">
      <c r="P16755" s="226"/>
      <c r="Q16755" s="226"/>
      <c r="R16755" s="226"/>
      <c r="S16755" s="226"/>
      <c r="T16755" s="226"/>
      <c r="U16755" s="226"/>
    </row>
    <row r="16756" spans="16:21" x14ac:dyDescent="0.35">
      <c r="P16756" s="226"/>
      <c r="Q16756" s="226"/>
      <c r="R16756" s="226"/>
      <c r="S16756" s="226"/>
      <c r="T16756" s="226"/>
      <c r="U16756" s="226"/>
    </row>
    <row r="16757" spans="16:21" x14ac:dyDescent="0.35">
      <c r="P16757" s="226"/>
      <c r="Q16757" s="226"/>
      <c r="R16757" s="226"/>
      <c r="S16757" s="226"/>
      <c r="T16757" s="226"/>
      <c r="U16757" s="226"/>
    </row>
    <row r="16758" spans="16:21" x14ac:dyDescent="0.35">
      <c r="P16758" s="226"/>
      <c r="Q16758" s="226"/>
      <c r="R16758" s="226"/>
      <c r="S16758" s="226"/>
      <c r="T16758" s="226"/>
      <c r="U16758" s="226"/>
    </row>
    <row r="16759" spans="16:21" x14ac:dyDescent="0.35">
      <c r="P16759" s="226"/>
      <c r="Q16759" s="226"/>
      <c r="R16759" s="226"/>
      <c r="S16759" s="226"/>
      <c r="T16759" s="226"/>
      <c r="U16759" s="226"/>
    </row>
    <row r="16760" spans="16:21" x14ac:dyDescent="0.35">
      <c r="P16760" s="226"/>
      <c r="Q16760" s="226"/>
      <c r="R16760" s="226"/>
      <c r="S16760" s="226"/>
      <c r="T16760" s="226"/>
      <c r="U16760" s="226"/>
    </row>
    <row r="16761" spans="16:21" x14ac:dyDescent="0.35">
      <c r="P16761" s="226"/>
      <c r="Q16761" s="226"/>
      <c r="R16761" s="226"/>
      <c r="S16761" s="226"/>
      <c r="T16761" s="226"/>
      <c r="U16761" s="226"/>
    </row>
    <row r="16762" spans="16:21" x14ac:dyDescent="0.35">
      <c r="P16762" s="226"/>
      <c r="Q16762" s="226"/>
      <c r="R16762" s="226"/>
      <c r="S16762" s="226"/>
      <c r="T16762" s="226"/>
      <c r="U16762" s="226"/>
    </row>
    <row r="16763" spans="16:21" x14ac:dyDescent="0.35">
      <c r="P16763" s="226"/>
      <c r="Q16763" s="226"/>
      <c r="R16763" s="226"/>
      <c r="S16763" s="226"/>
      <c r="T16763" s="226"/>
      <c r="U16763" s="226"/>
    </row>
    <row r="16764" spans="16:21" x14ac:dyDescent="0.35">
      <c r="P16764" s="226"/>
      <c r="Q16764" s="226"/>
      <c r="R16764" s="226"/>
      <c r="S16764" s="226"/>
      <c r="T16764" s="226"/>
      <c r="U16764" s="226"/>
    </row>
    <row r="16765" spans="16:21" x14ac:dyDescent="0.35">
      <c r="P16765" s="226"/>
      <c r="Q16765" s="226"/>
      <c r="R16765" s="226"/>
      <c r="S16765" s="226"/>
      <c r="T16765" s="226"/>
      <c r="U16765" s="226"/>
    </row>
    <row r="16766" spans="16:21" x14ac:dyDescent="0.35">
      <c r="P16766" s="226"/>
      <c r="Q16766" s="226"/>
      <c r="R16766" s="226"/>
      <c r="S16766" s="226"/>
      <c r="T16766" s="226"/>
      <c r="U16766" s="226"/>
    </row>
    <row r="16767" spans="16:21" x14ac:dyDescent="0.35">
      <c r="P16767" s="226"/>
      <c r="Q16767" s="226"/>
      <c r="R16767" s="226"/>
      <c r="S16767" s="226"/>
      <c r="T16767" s="226"/>
      <c r="U16767" s="226"/>
    </row>
    <row r="16768" spans="16:21" x14ac:dyDescent="0.35">
      <c r="P16768" s="226"/>
      <c r="Q16768" s="226"/>
      <c r="R16768" s="226"/>
      <c r="S16768" s="226"/>
      <c r="T16768" s="226"/>
      <c r="U16768" s="226"/>
    </row>
    <row r="16769" spans="16:21" x14ac:dyDescent="0.35">
      <c r="P16769" s="226"/>
      <c r="Q16769" s="226"/>
      <c r="R16769" s="226"/>
      <c r="S16769" s="226"/>
      <c r="T16769" s="226"/>
      <c r="U16769" s="226"/>
    </row>
    <row r="16770" spans="16:21" x14ac:dyDescent="0.35">
      <c r="P16770" s="226"/>
      <c r="Q16770" s="226"/>
      <c r="R16770" s="226"/>
      <c r="S16770" s="226"/>
      <c r="T16770" s="226"/>
      <c r="U16770" s="226"/>
    </row>
    <row r="16771" spans="16:21" x14ac:dyDescent="0.35">
      <c r="P16771" s="226"/>
      <c r="Q16771" s="226"/>
      <c r="R16771" s="226"/>
      <c r="S16771" s="226"/>
      <c r="T16771" s="226"/>
      <c r="U16771" s="226"/>
    </row>
    <row r="16772" spans="16:21" x14ac:dyDescent="0.35">
      <c r="P16772" s="226"/>
      <c r="Q16772" s="226"/>
      <c r="R16772" s="226"/>
      <c r="S16772" s="226"/>
      <c r="T16772" s="226"/>
      <c r="U16772" s="226"/>
    </row>
    <row r="16773" spans="16:21" x14ac:dyDescent="0.35">
      <c r="P16773" s="226"/>
      <c r="Q16773" s="226"/>
      <c r="R16773" s="226"/>
      <c r="S16773" s="226"/>
      <c r="T16773" s="226"/>
      <c r="U16773" s="226"/>
    </row>
    <row r="16774" spans="16:21" x14ac:dyDescent="0.35">
      <c r="P16774" s="226"/>
      <c r="Q16774" s="226"/>
      <c r="R16774" s="226"/>
      <c r="S16774" s="226"/>
      <c r="T16774" s="226"/>
      <c r="U16774" s="226"/>
    </row>
    <row r="16775" spans="16:21" x14ac:dyDescent="0.35">
      <c r="P16775" s="226"/>
      <c r="Q16775" s="226"/>
      <c r="R16775" s="226"/>
      <c r="S16775" s="226"/>
      <c r="T16775" s="226"/>
      <c r="U16775" s="226"/>
    </row>
    <row r="16776" spans="16:21" x14ac:dyDescent="0.35">
      <c r="P16776" s="226"/>
      <c r="Q16776" s="226"/>
      <c r="R16776" s="226"/>
      <c r="S16776" s="226"/>
      <c r="T16776" s="226"/>
      <c r="U16776" s="226"/>
    </row>
    <row r="16777" spans="16:21" x14ac:dyDescent="0.35">
      <c r="P16777" s="226"/>
      <c r="Q16777" s="226"/>
      <c r="R16777" s="226"/>
      <c r="S16777" s="226"/>
      <c r="T16777" s="226"/>
      <c r="U16777" s="226"/>
    </row>
    <row r="16778" spans="16:21" x14ac:dyDescent="0.35">
      <c r="P16778" s="226"/>
      <c r="Q16778" s="226"/>
      <c r="R16778" s="226"/>
      <c r="S16778" s="226"/>
      <c r="T16778" s="226"/>
      <c r="U16778" s="226"/>
    </row>
    <row r="16779" spans="16:21" x14ac:dyDescent="0.35">
      <c r="P16779" s="226"/>
      <c r="Q16779" s="226"/>
      <c r="R16779" s="226"/>
      <c r="S16779" s="226"/>
      <c r="T16779" s="226"/>
      <c r="U16779" s="226"/>
    </row>
    <row r="16780" spans="16:21" x14ac:dyDescent="0.35">
      <c r="P16780" s="226"/>
      <c r="Q16780" s="226"/>
      <c r="R16780" s="226"/>
      <c r="S16780" s="226"/>
      <c r="T16780" s="226"/>
      <c r="U16780" s="226"/>
    </row>
    <row r="16781" spans="16:21" x14ac:dyDescent="0.35">
      <c r="P16781" s="226"/>
      <c r="Q16781" s="226"/>
      <c r="R16781" s="226"/>
      <c r="S16781" s="226"/>
      <c r="T16781" s="226"/>
      <c r="U16781" s="226"/>
    </row>
    <row r="16782" spans="16:21" x14ac:dyDescent="0.35">
      <c r="P16782" s="226"/>
      <c r="Q16782" s="226"/>
      <c r="R16782" s="226"/>
      <c r="S16782" s="226"/>
      <c r="T16782" s="226"/>
      <c r="U16782" s="226"/>
    </row>
    <row r="16783" spans="16:21" x14ac:dyDescent="0.35">
      <c r="P16783" s="226"/>
      <c r="Q16783" s="226"/>
      <c r="R16783" s="226"/>
      <c r="S16783" s="226"/>
      <c r="T16783" s="226"/>
      <c r="U16783" s="226"/>
    </row>
    <row r="16784" spans="16:21" x14ac:dyDescent="0.35">
      <c r="P16784" s="226"/>
      <c r="Q16784" s="226"/>
      <c r="R16784" s="226"/>
      <c r="S16784" s="226"/>
      <c r="T16784" s="226"/>
      <c r="U16784" s="226"/>
    </row>
    <row r="16785" spans="16:21" x14ac:dyDescent="0.35">
      <c r="P16785" s="226"/>
      <c r="Q16785" s="226"/>
      <c r="R16785" s="226"/>
      <c r="S16785" s="226"/>
      <c r="T16785" s="226"/>
      <c r="U16785" s="226"/>
    </row>
    <row r="16786" spans="16:21" x14ac:dyDescent="0.35">
      <c r="P16786" s="226"/>
      <c r="Q16786" s="226"/>
      <c r="R16786" s="226"/>
      <c r="S16786" s="226"/>
      <c r="T16786" s="226"/>
      <c r="U16786" s="226"/>
    </row>
    <row r="16787" spans="16:21" x14ac:dyDescent="0.35">
      <c r="P16787" s="226"/>
      <c r="Q16787" s="226"/>
      <c r="R16787" s="226"/>
      <c r="S16787" s="226"/>
      <c r="T16787" s="226"/>
      <c r="U16787" s="226"/>
    </row>
    <row r="16788" spans="16:21" x14ac:dyDescent="0.35">
      <c r="P16788" s="226"/>
      <c r="Q16788" s="226"/>
      <c r="R16788" s="226"/>
      <c r="S16788" s="226"/>
      <c r="T16788" s="226"/>
      <c r="U16788" s="226"/>
    </row>
    <row r="16789" spans="16:21" x14ac:dyDescent="0.35">
      <c r="P16789" s="226"/>
      <c r="Q16789" s="226"/>
      <c r="R16789" s="226"/>
      <c r="S16789" s="226"/>
      <c r="T16789" s="226"/>
      <c r="U16789" s="226"/>
    </row>
    <row r="16790" spans="16:21" x14ac:dyDescent="0.35">
      <c r="P16790" s="226"/>
      <c r="Q16790" s="226"/>
      <c r="R16790" s="226"/>
      <c r="S16790" s="226"/>
      <c r="T16790" s="226"/>
      <c r="U16790" s="226"/>
    </row>
    <row r="16791" spans="16:21" x14ac:dyDescent="0.35">
      <c r="P16791" s="226"/>
      <c r="Q16791" s="226"/>
      <c r="R16791" s="226"/>
      <c r="S16791" s="226"/>
      <c r="T16791" s="226"/>
      <c r="U16791" s="226"/>
    </row>
    <row r="16792" spans="16:21" x14ac:dyDescent="0.35">
      <c r="P16792" s="226"/>
      <c r="Q16792" s="226"/>
      <c r="R16792" s="226"/>
      <c r="S16792" s="226"/>
      <c r="T16792" s="226"/>
      <c r="U16792" s="226"/>
    </row>
    <row r="16793" spans="16:21" x14ac:dyDescent="0.35">
      <c r="P16793" s="226"/>
      <c r="Q16793" s="226"/>
      <c r="R16793" s="226"/>
      <c r="S16793" s="226"/>
      <c r="T16793" s="226"/>
      <c r="U16793" s="226"/>
    </row>
    <row r="16794" spans="16:21" x14ac:dyDescent="0.35">
      <c r="P16794" s="226"/>
      <c r="Q16794" s="226"/>
      <c r="R16794" s="226"/>
      <c r="S16794" s="226"/>
      <c r="T16794" s="226"/>
      <c r="U16794" s="226"/>
    </row>
    <row r="16795" spans="16:21" x14ac:dyDescent="0.35">
      <c r="P16795" s="226"/>
      <c r="Q16795" s="226"/>
      <c r="R16795" s="226"/>
      <c r="S16795" s="226"/>
      <c r="T16795" s="226"/>
      <c r="U16795" s="226"/>
    </row>
    <row r="16796" spans="16:21" x14ac:dyDescent="0.35">
      <c r="P16796" s="226"/>
      <c r="Q16796" s="226"/>
      <c r="R16796" s="226"/>
      <c r="S16796" s="226"/>
      <c r="T16796" s="226"/>
      <c r="U16796" s="226"/>
    </row>
    <row r="16797" spans="16:21" x14ac:dyDescent="0.35">
      <c r="P16797" s="226"/>
      <c r="Q16797" s="226"/>
      <c r="R16797" s="226"/>
      <c r="S16797" s="226"/>
      <c r="T16797" s="226"/>
      <c r="U16797" s="226"/>
    </row>
    <row r="16798" spans="16:21" x14ac:dyDescent="0.35">
      <c r="P16798" s="226"/>
      <c r="Q16798" s="226"/>
      <c r="R16798" s="226"/>
      <c r="S16798" s="226"/>
      <c r="T16798" s="226"/>
      <c r="U16798" s="226"/>
    </row>
    <row r="16799" spans="16:21" x14ac:dyDescent="0.35">
      <c r="P16799" s="226"/>
      <c r="Q16799" s="226"/>
      <c r="R16799" s="226"/>
      <c r="S16799" s="226"/>
      <c r="T16799" s="226"/>
      <c r="U16799" s="226"/>
    </row>
    <row r="16800" spans="16:21" x14ac:dyDescent="0.35">
      <c r="P16800" s="226"/>
      <c r="Q16800" s="226"/>
      <c r="R16800" s="226"/>
      <c r="S16800" s="226"/>
      <c r="T16800" s="226"/>
      <c r="U16800" s="226"/>
    </row>
    <row r="16801" spans="16:21" x14ac:dyDescent="0.35">
      <c r="P16801" s="226"/>
      <c r="Q16801" s="226"/>
      <c r="R16801" s="226"/>
      <c r="S16801" s="226"/>
      <c r="T16801" s="226"/>
      <c r="U16801" s="226"/>
    </row>
    <row r="16802" spans="16:21" x14ac:dyDescent="0.35">
      <c r="P16802" s="226"/>
      <c r="Q16802" s="226"/>
      <c r="R16802" s="226"/>
      <c r="S16802" s="226"/>
      <c r="T16802" s="226"/>
      <c r="U16802" s="226"/>
    </row>
    <row r="16803" spans="16:21" x14ac:dyDescent="0.35">
      <c r="P16803" s="226"/>
      <c r="Q16803" s="226"/>
      <c r="R16803" s="226"/>
      <c r="S16803" s="226"/>
      <c r="T16803" s="226"/>
      <c r="U16803" s="226"/>
    </row>
    <row r="16804" spans="16:21" x14ac:dyDescent="0.35">
      <c r="P16804" s="226"/>
      <c r="Q16804" s="226"/>
      <c r="R16804" s="226"/>
      <c r="S16804" s="226"/>
      <c r="T16804" s="226"/>
      <c r="U16804" s="226"/>
    </row>
    <row r="16805" spans="16:21" x14ac:dyDescent="0.35">
      <c r="P16805" s="226"/>
      <c r="Q16805" s="226"/>
      <c r="R16805" s="226"/>
      <c r="S16805" s="226"/>
      <c r="T16805" s="226"/>
      <c r="U16805" s="226"/>
    </row>
    <row r="16806" spans="16:21" x14ac:dyDescent="0.35">
      <c r="P16806" s="226"/>
      <c r="Q16806" s="226"/>
      <c r="R16806" s="226"/>
      <c r="S16806" s="226"/>
      <c r="T16806" s="226"/>
      <c r="U16806" s="226"/>
    </row>
    <row r="16807" spans="16:21" x14ac:dyDescent="0.35">
      <c r="P16807" s="226"/>
      <c r="Q16807" s="226"/>
      <c r="R16807" s="226"/>
      <c r="S16807" s="226"/>
      <c r="T16807" s="226"/>
      <c r="U16807" s="226"/>
    </row>
    <row r="16808" spans="16:21" x14ac:dyDescent="0.35">
      <c r="P16808" s="226"/>
      <c r="Q16808" s="226"/>
      <c r="R16808" s="226"/>
      <c r="S16808" s="226"/>
      <c r="T16808" s="226"/>
      <c r="U16808" s="226"/>
    </row>
    <row r="16809" spans="16:21" x14ac:dyDescent="0.35">
      <c r="P16809" s="226"/>
      <c r="Q16809" s="226"/>
      <c r="R16809" s="226"/>
      <c r="S16809" s="226"/>
      <c r="T16809" s="226"/>
      <c r="U16809" s="226"/>
    </row>
    <row r="16810" spans="16:21" x14ac:dyDescent="0.35">
      <c r="P16810" s="226"/>
      <c r="Q16810" s="226"/>
      <c r="R16810" s="226"/>
      <c r="S16810" s="226"/>
      <c r="T16810" s="226"/>
      <c r="U16810" s="226"/>
    </row>
    <row r="16811" spans="16:21" x14ac:dyDescent="0.35">
      <c r="P16811" s="226"/>
      <c r="Q16811" s="226"/>
      <c r="R16811" s="226"/>
      <c r="S16811" s="226"/>
      <c r="T16811" s="226"/>
      <c r="U16811" s="226"/>
    </row>
    <row r="16812" spans="16:21" x14ac:dyDescent="0.35">
      <c r="P16812" s="226"/>
      <c r="Q16812" s="226"/>
      <c r="R16812" s="226"/>
      <c r="S16812" s="226"/>
      <c r="T16812" s="226"/>
      <c r="U16812" s="226"/>
    </row>
    <row r="16813" spans="16:21" x14ac:dyDescent="0.35">
      <c r="P16813" s="226"/>
      <c r="Q16813" s="226"/>
      <c r="R16813" s="226"/>
      <c r="S16813" s="226"/>
      <c r="T16813" s="226"/>
      <c r="U16813" s="226"/>
    </row>
    <row r="16814" spans="16:21" x14ac:dyDescent="0.35">
      <c r="P16814" s="226"/>
      <c r="Q16814" s="226"/>
      <c r="R16814" s="226"/>
      <c r="S16814" s="226"/>
      <c r="T16814" s="226"/>
      <c r="U16814" s="226"/>
    </row>
    <row r="16815" spans="16:21" x14ac:dyDescent="0.35">
      <c r="P16815" s="226"/>
      <c r="Q16815" s="226"/>
      <c r="R16815" s="226"/>
      <c r="S16815" s="226"/>
      <c r="T16815" s="226"/>
      <c r="U16815" s="226"/>
    </row>
    <row r="16816" spans="16:21" x14ac:dyDescent="0.35">
      <c r="P16816" s="226"/>
      <c r="Q16816" s="226"/>
      <c r="R16816" s="226"/>
      <c r="S16816" s="226"/>
      <c r="T16816" s="226"/>
      <c r="U16816" s="226"/>
    </row>
    <row r="16817" spans="16:21" x14ac:dyDescent="0.35">
      <c r="P16817" s="226"/>
      <c r="Q16817" s="226"/>
      <c r="R16817" s="226"/>
      <c r="S16817" s="226"/>
      <c r="T16817" s="226"/>
      <c r="U16817" s="226"/>
    </row>
    <row r="16818" spans="16:21" x14ac:dyDescent="0.35">
      <c r="P16818" s="226"/>
      <c r="Q16818" s="226"/>
      <c r="R16818" s="226"/>
      <c r="S16818" s="226"/>
      <c r="T16818" s="226"/>
      <c r="U16818" s="226"/>
    </row>
    <row r="16819" spans="16:21" x14ac:dyDescent="0.35">
      <c r="P16819" s="226"/>
      <c r="Q16819" s="226"/>
      <c r="R16819" s="226"/>
      <c r="S16819" s="226"/>
      <c r="T16819" s="226"/>
      <c r="U16819" s="226"/>
    </row>
    <row r="16820" spans="16:21" x14ac:dyDescent="0.35">
      <c r="P16820" s="226"/>
      <c r="Q16820" s="226"/>
      <c r="R16820" s="226"/>
      <c r="S16820" s="226"/>
      <c r="T16820" s="226"/>
      <c r="U16820" s="226"/>
    </row>
    <row r="16821" spans="16:21" x14ac:dyDescent="0.35">
      <c r="P16821" s="226"/>
      <c r="Q16821" s="226"/>
      <c r="R16821" s="226"/>
      <c r="S16821" s="226"/>
      <c r="T16821" s="226"/>
      <c r="U16821" s="226"/>
    </row>
    <row r="16822" spans="16:21" x14ac:dyDescent="0.35">
      <c r="P16822" s="226"/>
      <c r="Q16822" s="226"/>
      <c r="R16822" s="226"/>
      <c r="S16822" s="226"/>
      <c r="T16822" s="226"/>
      <c r="U16822" s="226"/>
    </row>
    <row r="16823" spans="16:21" x14ac:dyDescent="0.35">
      <c r="P16823" s="226"/>
      <c r="Q16823" s="226"/>
      <c r="R16823" s="226"/>
      <c r="S16823" s="226"/>
      <c r="T16823" s="226"/>
      <c r="U16823" s="226"/>
    </row>
    <row r="16824" spans="16:21" x14ac:dyDescent="0.35">
      <c r="P16824" s="226"/>
      <c r="Q16824" s="226"/>
      <c r="R16824" s="226"/>
      <c r="S16824" s="226"/>
      <c r="T16824" s="226"/>
      <c r="U16824" s="226"/>
    </row>
    <row r="16825" spans="16:21" x14ac:dyDescent="0.35">
      <c r="P16825" s="226"/>
      <c r="Q16825" s="226"/>
      <c r="R16825" s="226"/>
      <c r="S16825" s="226"/>
      <c r="T16825" s="226"/>
      <c r="U16825" s="226"/>
    </row>
    <row r="16826" spans="16:21" x14ac:dyDescent="0.35">
      <c r="P16826" s="226"/>
      <c r="Q16826" s="226"/>
      <c r="R16826" s="226"/>
      <c r="S16826" s="226"/>
      <c r="T16826" s="226"/>
      <c r="U16826" s="226"/>
    </row>
    <row r="16827" spans="16:21" x14ac:dyDescent="0.35">
      <c r="P16827" s="226"/>
      <c r="Q16827" s="226"/>
      <c r="R16827" s="226"/>
      <c r="S16827" s="226"/>
      <c r="T16827" s="226"/>
      <c r="U16827" s="226"/>
    </row>
    <row r="16828" spans="16:21" x14ac:dyDescent="0.35">
      <c r="P16828" s="226"/>
      <c r="Q16828" s="226"/>
      <c r="R16828" s="226"/>
      <c r="S16828" s="226"/>
      <c r="T16828" s="226"/>
      <c r="U16828" s="226"/>
    </row>
    <row r="16829" spans="16:21" x14ac:dyDescent="0.35">
      <c r="P16829" s="226"/>
      <c r="Q16829" s="226"/>
      <c r="R16829" s="226"/>
      <c r="S16829" s="226"/>
      <c r="T16829" s="226"/>
      <c r="U16829" s="226"/>
    </row>
    <row r="16830" spans="16:21" x14ac:dyDescent="0.35">
      <c r="P16830" s="226"/>
      <c r="Q16830" s="226"/>
      <c r="R16830" s="226"/>
      <c r="S16830" s="226"/>
      <c r="T16830" s="226"/>
      <c r="U16830" s="226"/>
    </row>
    <row r="16831" spans="16:21" x14ac:dyDescent="0.35">
      <c r="P16831" s="226"/>
      <c r="Q16831" s="226"/>
      <c r="R16831" s="226"/>
      <c r="S16831" s="226"/>
      <c r="T16831" s="226"/>
      <c r="U16831" s="226"/>
    </row>
    <row r="16832" spans="16:21" x14ac:dyDescent="0.35">
      <c r="P16832" s="226"/>
      <c r="Q16832" s="226"/>
      <c r="R16832" s="226"/>
      <c r="S16832" s="226"/>
      <c r="T16832" s="226"/>
      <c r="U16832" s="226"/>
    </row>
    <row r="16833" spans="16:21" x14ac:dyDescent="0.35">
      <c r="P16833" s="226"/>
      <c r="Q16833" s="226"/>
      <c r="R16833" s="226"/>
      <c r="S16833" s="226"/>
      <c r="T16833" s="226"/>
      <c r="U16833" s="226"/>
    </row>
    <row r="16834" spans="16:21" x14ac:dyDescent="0.35">
      <c r="P16834" s="226"/>
      <c r="Q16834" s="226"/>
      <c r="R16834" s="226"/>
      <c r="S16834" s="226"/>
      <c r="T16834" s="226"/>
      <c r="U16834" s="226"/>
    </row>
    <row r="16835" spans="16:21" x14ac:dyDescent="0.35">
      <c r="P16835" s="226"/>
      <c r="Q16835" s="226"/>
      <c r="R16835" s="226"/>
      <c r="S16835" s="226"/>
      <c r="T16835" s="226"/>
      <c r="U16835" s="226"/>
    </row>
    <row r="16836" spans="16:21" x14ac:dyDescent="0.35">
      <c r="P16836" s="226"/>
      <c r="Q16836" s="226"/>
      <c r="R16836" s="226"/>
      <c r="S16836" s="226"/>
      <c r="T16836" s="226"/>
      <c r="U16836" s="226"/>
    </row>
    <row r="16837" spans="16:21" x14ac:dyDescent="0.35">
      <c r="P16837" s="226"/>
      <c r="Q16837" s="226"/>
      <c r="R16837" s="226"/>
      <c r="S16837" s="226"/>
      <c r="T16837" s="226"/>
      <c r="U16837" s="226"/>
    </row>
    <row r="16838" spans="16:21" x14ac:dyDescent="0.35">
      <c r="P16838" s="226"/>
      <c r="Q16838" s="226"/>
      <c r="R16838" s="226"/>
      <c r="S16838" s="226"/>
      <c r="T16838" s="226"/>
      <c r="U16838" s="226"/>
    </row>
    <row r="16839" spans="16:21" x14ac:dyDescent="0.35">
      <c r="P16839" s="226"/>
      <c r="Q16839" s="226"/>
      <c r="R16839" s="226"/>
      <c r="S16839" s="226"/>
      <c r="T16839" s="226"/>
      <c r="U16839" s="226"/>
    </row>
    <row r="16840" spans="16:21" x14ac:dyDescent="0.35">
      <c r="P16840" s="226"/>
      <c r="Q16840" s="226"/>
      <c r="R16840" s="226"/>
      <c r="S16840" s="226"/>
      <c r="T16840" s="226"/>
      <c r="U16840" s="226"/>
    </row>
    <row r="16841" spans="16:21" x14ac:dyDescent="0.35">
      <c r="P16841" s="226"/>
      <c r="Q16841" s="226"/>
      <c r="R16841" s="226"/>
      <c r="S16841" s="226"/>
      <c r="T16841" s="226"/>
      <c r="U16841" s="226"/>
    </row>
    <row r="16842" spans="16:21" x14ac:dyDescent="0.35">
      <c r="P16842" s="226"/>
      <c r="Q16842" s="226"/>
      <c r="R16842" s="226"/>
      <c r="S16842" s="226"/>
      <c r="T16842" s="226"/>
      <c r="U16842" s="226"/>
    </row>
    <row r="16843" spans="16:21" x14ac:dyDescent="0.35">
      <c r="P16843" s="226"/>
      <c r="Q16843" s="226"/>
      <c r="R16843" s="226"/>
      <c r="S16843" s="226"/>
      <c r="T16843" s="226"/>
      <c r="U16843" s="226"/>
    </row>
    <row r="16844" spans="16:21" x14ac:dyDescent="0.35">
      <c r="P16844" s="226"/>
      <c r="Q16844" s="226"/>
      <c r="R16844" s="226"/>
      <c r="S16844" s="226"/>
      <c r="T16844" s="226"/>
      <c r="U16844" s="226"/>
    </row>
    <row r="16845" spans="16:21" x14ac:dyDescent="0.35">
      <c r="P16845" s="226"/>
      <c r="Q16845" s="226"/>
      <c r="R16845" s="226"/>
      <c r="S16845" s="226"/>
      <c r="T16845" s="226"/>
      <c r="U16845" s="226"/>
    </row>
    <row r="16846" spans="16:21" x14ac:dyDescent="0.35">
      <c r="P16846" s="226"/>
      <c r="Q16846" s="226"/>
      <c r="R16846" s="226"/>
      <c r="S16846" s="226"/>
      <c r="T16846" s="226"/>
      <c r="U16846" s="226"/>
    </row>
    <row r="16847" spans="16:21" x14ac:dyDescent="0.35">
      <c r="P16847" s="226"/>
      <c r="Q16847" s="226"/>
      <c r="R16847" s="226"/>
      <c r="S16847" s="226"/>
      <c r="T16847" s="226"/>
      <c r="U16847" s="226"/>
    </row>
    <row r="16848" spans="16:21" x14ac:dyDescent="0.35">
      <c r="P16848" s="226"/>
      <c r="Q16848" s="226"/>
      <c r="R16848" s="226"/>
      <c r="S16848" s="226"/>
      <c r="T16848" s="226"/>
      <c r="U16848" s="226"/>
    </row>
    <row r="16849" spans="16:21" x14ac:dyDescent="0.35">
      <c r="P16849" s="226"/>
      <c r="Q16849" s="226"/>
      <c r="R16849" s="226"/>
      <c r="S16849" s="226"/>
      <c r="T16849" s="226"/>
      <c r="U16849" s="226"/>
    </row>
    <row r="16850" spans="16:21" x14ac:dyDescent="0.35">
      <c r="P16850" s="226"/>
      <c r="Q16850" s="226"/>
      <c r="R16850" s="226"/>
      <c r="S16850" s="226"/>
      <c r="T16850" s="226"/>
      <c r="U16850" s="226"/>
    </row>
    <row r="16851" spans="16:21" x14ac:dyDescent="0.35">
      <c r="P16851" s="226"/>
      <c r="Q16851" s="226"/>
      <c r="R16851" s="226"/>
      <c r="S16851" s="226"/>
      <c r="T16851" s="226"/>
      <c r="U16851" s="226"/>
    </row>
    <row r="16852" spans="16:21" x14ac:dyDescent="0.35">
      <c r="P16852" s="226"/>
      <c r="Q16852" s="226"/>
      <c r="R16852" s="226"/>
      <c r="S16852" s="226"/>
      <c r="T16852" s="226"/>
      <c r="U16852" s="226"/>
    </row>
    <row r="16853" spans="16:21" x14ac:dyDescent="0.35">
      <c r="P16853" s="226"/>
      <c r="Q16853" s="226"/>
      <c r="R16853" s="226"/>
      <c r="S16853" s="226"/>
      <c r="T16853" s="226"/>
      <c r="U16853" s="226"/>
    </row>
    <row r="16854" spans="16:21" x14ac:dyDescent="0.35">
      <c r="P16854" s="226"/>
      <c r="Q16854" s="226"/>
      <c r="R16854" s="226"/>
      <c r="S16854" s="226"/>
      <c r="T16854" s="226"/>
      <c r="U16854" s="226"/>
    </row>
    <row r="16855" spans="16:21" x14ac:dyDescent="0.35">
      <c r="P16855" s="226"/>
      <c r="Q16855" s="226"/>
      <c r="R16855" s="226"/>
      <c r="S16855" s="226"/>
      <c r="T16855" s="226"/>
      <c r="U16855" s="226"/>
    </row>
    <row r="16856" spans="16:21" x14ac:dyDescent="0.35">
      <c r="P16856" s="226"/>
      <c r="Q16856" s="226"/>
      <c r="R16856" s="226"/>
      <c r="S16856" s="226"/>
      <c r="T16856" s="226"/>
      <c r="U16856" s="226"/>
    </row>
    <row r="16857" spans="16:21" x14ac:dyDescent="0.35">
      <c r="P16857" s="226"/>
      <c r="Q16857" s="226"/>
      <c r="R16857" s="226"/>
      <c r="S16857" s="226"/>
      <c r="T16857" s="226"/>
      <c r="U16857" s="226"/>
    </row>
    <row r="16858" spans="16:21" x14ac:dyDescent="0.35">
      <c r="P16858" s="226"/>
      <c r="Q16858" s="226"/>
      <c r="R16858" s="226"/>
      <c r="S16858" s="226"/>
      <c r="T16858" s="226"/>
      <c r="U16858" s="226"/>
    </row>
    <row r="16859" spans="16:21" x14ac:dyDescent="0.35">
      <c r="P16859" s="226"/>
      <c r="Q16859" s="226"/>
      <c r="R16859" s="226"/>
      <c r="S16859" s="226"/>
      <c r="T16859" s="226"/>
      <c r="U16859" s="226"/>
    </row>
    <row r="16860" spans="16:21" x14ac:dyDescent="0.35">
      <c r="P16860" s="226"/>
      <c r="Q16860" s="226"/>
      <c r="R16860" s="226"/>
      <c r="S16860" s="226"/>
      <c r="T16860" s="226"/>
      <c r="U16860" s="226"/>
    </row>
    <row r="16861" spans="16:21" x14ac:dyDescent="0.35">
      <c r="P16861" s="226"/>
      <c r="Q16861" s="226"/>
      <c r="R16861" s="226"/>
      <c r="S16861" s="226"/>
      <c r="T16861" s="226"/>
      <c r="U16861" s="226"/>
    </row>
    <row r="16862" spans="16:21" x14ac:dyDescent="0.35">
      <c r="P16862" s="226"/>
      <c r="Q16862" s="226"/>
      <c r="R16862" s="226"/>
      <c r="S16862" s="226"/>
      <c r="T16862" s="226"/>
      <c r="U16862" s="226"/>
    </row>
    <row r="16863" spans="16:21" x14ac:dyDescent="0.35">
      <c r="P16863" s="226"/>
      <c r="Q16863" s="226"/>
      <c r="R16863" s="226"/>
      <c r="S16863" s="226"/>
      <c r="T16863" s="226"/>
      <c r="U16863" s="226"/>
    </row>
    <row r="16864" spans="16:21" x14ac:dyDescent="0.35">
      <c r="P16864" s="226"/>
      <c r="Q16864" s="226"/>
      <c r="R16864" s="226"/>
      <c r="S16864" s="226"/>
      <c r="T16864" s="226"/>
      <c r="U16864" s="226"/>
    </row>
    <row r="16865" spans="16:21" x14ac:dyDescent="0.35">
      <c r="P16865" s="226"/>
      <c r="Q16865" s="226"/>
      <c r="R16865" s="226"/>
      <c r="S16865" s="226"/>
      <c r="T16865" s="226"/>
      <c r="U16865" s="226"/>
    </row>
    <row r="16866" spans="16:21" x14ac:dyDescent="0.35">
      <c r="P16866" s="226"/>
      <c r="Q16866" s="226"/>
      <c r="R16866" s="226"/>
      <c r="S16866" s="226"/>
      <c r="T16866" s="226"/>
      <c r="U16866" s="226"/>
    </row>
    <row r="16867" spans="16:21" x14ac:dyDescent="0.35">
      <c r="P16867" s="226"/>
      <c r="Q16867" s="226"/>
      <c r="R16867" s="226"/>
      <c r="S16867" s="226"/>
      <c r="T16867" s="226"/>
      <c r="U16867" s="226"/>
    </row>
    <row r="16868" spans="16:21" x14ac:dyDescent="0.35">
      <c r="P16868" s="226"/>
      <c r="Q16868" s="226"/>
      <c r="R16868" s="226"/>
      <c r="S16868" s="226"/>
      <c r="T16868" s="226"/>
      <c r="U16868" s="226"/>
    </row>
    <row r="16869" spans="16:21" x14ac:dyDescent="0.35">
      <c r="P16869" s="226"/>
      <c r="Q16869" s="226"/>
      <c r="R16869" s="226"/>
      <c r="S16869" s="226"/>
      <c r="T16869" s="226"/>
      <c r="U16869" s="226"/>
    </row>
    <row r="16870" spans="16:21" x14ac:dyDescent="0.35">
      <c r="P16870" s="226"/>
      <c r="Q16870" s="226"/>
      <c r="R16870" s="226"/>
      <c r="S16870" s="226"/>
      <c r="T16870" s="226"/>
      <c r="U16870" s="226"/>
    </row>
    <row r="16871" spans="16:21" x14ac:dyDescent="0.35">
      <c r="P16871" s="226"/>
      <c r="Q16871" s="226"/>
      <c r="R16871" s="226"/>
      <c r="S16871" s="226"/>
      <c r="T16871" s="226"/>
      <c r="U16871" s="226"/>
    </row>
    <row r="16872" spans="16:21" x14ac:dyDescent="0.35">
      <c r="P16872" s="226"/>
      <c r="Q16872" s="226"/>
      <c r="R16872" s="226"/>
      <c r="S16872" s="226"/>
      <c r="T16872" s="226"/>
      <c r="U16872" s="226"/>
    </row>
    <row r="16873" spans="16:21" x14ac:dyDescent="0.35">
      <c r="P16873" s="226"/>
      <c r="Q16873" s="226"/>
      <c r="R16873" s="226"/>
      <c r="S16873" s="226"/>
      <c r="T16873" s="226"/>
      <c r="U16873" s="226"/>
    </row>
    <row r="16874" spans="16:21" x14ac:dyDescent="0.35">
      <c r="P16874" s="226"/>
      <c r="Q16874" s="226"/>
      <c r="R16874" s="226"/>
      <c r="S16874" s="226"/>
      <c r="T16874" s="226"/>
      <c r="U16874" s="226"/>
    </row>
    <row r="16875" spans="16:21" x14ac:dyDescent="0.35">
      <c r="P16875" s="226"/>
      <c r="Q16875" s="226"/>
      <c r="R16875" s="226"/>
      <c r="S16875" s="226"/>
      <c r="T16875" s="226"/>
      <c r="U16875" s="226"/>
    </row>
    <row r="16876" spans="16:21" x14ac:dyDescent="0.35">
      <c r="P16876" s="226"/>
      <c r="Q16876" s="226"/>
      <c r="R16876" s="226"/>
      <c r="S16876" s="226"/>
      <c r="T16876" s="226"/>
      <c r="U16876" s="226"/>
    </row>
    <row r="16877" spans="16:21" x14ac:dyDescent="0.35">
      <c r="P16877" s="226"/>
      <c r="Q16877" s="226"/>
      <c r="R16877" s="226"/>
      <c r="S16877" s="226"/>
      <c r="T16877" s="226"/>
      <c r="U16877" s="226"/>
    </row>
    <row r="16878" spans="16:21" x14ac:dyDescent="0.35">
      <c r="P16878" s="226"/>
      <c r="Q16878" s="226"/>
      <c r="R16878" s="226"/>
      <c r="S16878" s="226"/>
      <c r="T16878" s="226"/>
      <c r="U16878" s="226"/>
    </row>
    <row r="16879" spans="16:21" x14ac:dyDescent="0.35">
      <c r="P16879" s="226"/>
      <c r="Q16879" s="226"/>
      <c r="R16879" s="226"/>
      <c r="S16879" s="226"/>
      <c r="T16879" s="226"/>
      <c r="U16879" s="226"/>
    </row>
    <row r="16880" spans="16:21" x14ac:dyDescent="0.35">
      <c r="P16880" s="226"/>
      <c r="Q16880" s="226"/>
      <c r="R16880" s="226"/>
      <c r="S16880" s="226"/>
      <c r="T16880" s="226"/>
      <c r="U16880" s="226"/>
    </row>
    <row r="16881" spans="16:21" x14ac:dyDescent="0.35">
      <c r="P16881" s="226"/>
      <c r="Q16881" s="226"/>
      <c r="R16881" s="226"/>
      <c r="S16881" s="226"/>
      <c r="T16881" s="226"/>
      <c r="U16881" s="226"/>
    </row>
    <row r="16882" spans="16:21" x14ac:dyDescent="0.35">
      <c r="P16882" s="226"/>
      <c r="Q16882" s="226"/>
      <c r="R16882" s="226"/>
      <c r="S16882" s="226"/>
      <c r="T16882" s="226"/>
      <c r="U16882" s="226"/>
    </row>
    <row r="16883" spans="16:21" x14ac:dyDescent="0.35">
      <c r="P16883" s="226"/>
      <c r="Q16883" s="226"/>
      <c r="R16883" s="226"/>
      <c r="S16883" s="226"/>
      <c r="T16883" s="226"/>
      <c r="U16883" s="226"/>
    </row>
    <row r="16884" spans="16:21" x14ac:dyDescent="0.35">
      <c r="P16884" s="226"/>
      <c r="Q16884" s="226"/>
      <c r="R16884" s="226"/>
      <c r="S16884" s="226"/>
      <c r="T16884" s="226"/>
      <c r="U16884" s="226"/>
    </row>
    <row r="16885" spans="16:21" x14ac:dyDescent="0.35">
      <c r="P16885" s="226"/>
      <c r="Q16885" s="226"/>
      <c r="R16885" s="226"/>
      <c r="S16885" s="226"/>
      <c r="T16885" s="226"/>
      <c r="U16885" s="226"/>
    </row>
    <row r="16886" spans="16:21" x14ac:dyDescent="0.35">
      <c r="P16886" s="226"/>
      <c r="Q16886" s="226"/>
      <c r="R16886" s="226"/>
      <c r="S16886" s="226"/>
      <c r="T16886" s="226"/>
      <c r="U16886" s="226"/>
    </row>
    <row r="16887" spans="16:21" x14ac:dyDescent="0.35">
      <c r="P16887" s="226"/>
      <c r="Q16887" s="226"/>
      <c r="R16887" s="226"/>
      <c r="S16887" s="226"/>
      <c r="T16887" s="226"/>
      <c r="U16887" s="226"/>
    </row>
    <row r="16888" spans="16:21" x14ac:dyDescent="0.35">
      <c r="P16888" s="226"/>
      <c r="Q16888" s="226"/>
      <c r="R16888" s="226"/>
      <c r="S16888" s="226"/>
      <c r="T16888" s="226"/>
      <c r="U16888" s="226"/>
    </row>
    <row r="16889" spans="16:21" x14ac:dyDescent="0.35">
      <c r="P16889" s="226"/>
      <c r="Q16889" s="226"/>
      <c r="R16889" s="226"/>
      <c r="S16889" s="226"/>
      <c r="T16889" s="226"/>
      <c r="U16889" s="226"/>
    </row>
    <row r="16890" spans="16:21" x14ac:dyDescent="0.35">
      <c r="P16890" s="226"/>
      <c r="Q16890" s="226"/>
      <c r="R16890" s="226"/>
      <c r="S16890" s="226"/>
      <c r="T16890" s="226"/>
      <c r="U16890" s="226"/>
    </row>
    <row r="16891" spans="16:21" x14ac:dyDescent="0.35">
      <c r="P16891" s="226"/>
      <c r="Q16891" s="226"/>
      <c r="R16891" s="226"/>
      <c r="S16891" s="226"/>
      <c r="T16891" s="226"/>
      <c r="U16891" s="226"/>
    </row>
    <row r="16892" spans="16:21" x14ac:dyDescent="0.35">
      <c r="P16892" s="226"/>
      <c r="Q16892" s="226"/>
      <c r="R16892" s="226"/>
      <c r="S16892" s="226"/>
      <c r="T16892" s="226"/>
      <c r="U16892" s="226"/>
    </row>
    <row r="16893" spans="16:21" x14ac:dyDescent="0.35">
      <c r="P16893" s="226"/>
      <c r="Q16893" s="226"/>
      <c r="R16893" s="226"/>
      <c r="S16893" s="226"/>
      <c r="T16893" s="226"/>
      <c r="U16893" s="226"/>
    </row>
    <row r="16894" spans="16:21" x14ac:dyDescent="0.35">
      <c r="P16894" s="226"/>
      <c r="Q16894" s="226"/>
      <c r="R16894" s="226"/>
      <c r="S16894" s="226"/>
      <c r="T16894" s="226"/>
      <c r="U16894" s="226"/>
    </row>
    <row r="16895" spans="16:21" x14ac:dyDescent="0.35">
      <c r="P16895" s="226"/>
      <c r="Q16895" s="226"/>
      <c r="R16895" s="226"/>
      <c r="S16895" s="226"/>
      <c r="T16895" s="226"/>
      <c r="U16895" s="226"/>
    </row>
    <row r="16896" spans="16:21" x14ac:dyDescent="0.35">
      <c r="P16896" s="226"/>
      <c r="Q16896" s="226"/>
      <c r="R16896" s="226"/>
      <c r="S16896" s="226"/>
      <c r="T16896" s="226"/>
      <c r="U16896" s="226"/>
    </row>
    <row r="16897" spans="16:21" x14ac:dyDescent="0.35">
      <c r="P16897" s="226"/>
      <c r="Q16897" s="226"/>
      <c r="R16897" s="226"/>
      <c r="S16897" s="226"/>
      <c r="T16897" s="226"/>
      <c r="U16897" s="226"/>
    </row>
    <row r="16898" spans="16:21" x14ac:dyDescent="0.35">
      <c r="P16898" s="226"/>
      <c r="Q16898" s="226"/>
      <c r="R16898" s="226"/>
      <c r="S16898" s="226"/>
      <c r="T16898" s="226"/>
      <c r="U16898" s="226"/>
    </row>
    <row r="16899" spans="16:21" x14ac:dyDescent="0.35">
      <c r="P16899" s="226"/>
      <c r="Q16899" s="226"/>
      <c r="R16899" s="226"/>
      <c r="S16899" s="226"/>
      <c r="T16899" s="226"/>
      <c r="U16899" s="226"/>
    </row>
    <row r="16900" spans="16:21" x14ac:dyDescent="0.35">
      <c r="P16900" s="226"/>
      <c r="Q16900" s="226"/>
      <c r="R16900" s="226"/>
      <c r="S16900" s="226"/>
      <c r="T16900" s="226"/>
      <c r="U16900" s="226"/>
    </row>
    <row r="16901" spans="16:21" x14ac:dyDescent="0.35">
      <c r="P16901" s="226"/>
      <c r="Q16901" s="226"/>
      <c r="R16901" s="226"/>
      <c r="S16901" s="226"/>
      <c r="T16901" s="226"/>
      <c r="U16901" s="226"/>
    </row>
    <row r="16902" spans="16:21" x14ac:dyDescent="0.35">
      <c r="P16902" s="226"/>
      <c r="Q16902" s="226"/>
      <c r="R16902" s="226"/>
      <c r="S16902" s="226"/>
      <c r="T16902" s="226"/>
      <c r="U16902" s="226"/>
    </row>
    <row r="16903" spans="16:21" x14ac:dyDescent="0.35">
      <c r="P16903" s="226"/>
      <c r="Q16903" s="226"/>
      <c r="R16903" s="226"/>
      <c r="S16903" s="226"/>
      <c r="T16903" s="226"/>
      <c r="U16903" s="226"/>
    </row>
    <row r="16904" spans="16:21" x14ac:dyDescent="0.35">
      <c r="P16904" s="226"/>
      <c r="Q16904" s="226"/>
      <c r="R16904" s="226"/>
      <c r="S16904" s="226"/>
      <c r="T16904" s="226"/>
      <c r="U16904" s="226"/>
    </row>
    <row r="16905" spans="16:21" x14ac:dyDescent="0.35">
      <c r="P16905" s="226"/>
      <c r="Q16905" s="226"/>
      <c r="R16905" s="226"/>
      <c r="S16905" s="226"/>
      <c r="T16905" s="226"/>
      <c r="U16905" s="226"/>
    </row>
    <row r="16906" spans="16:21" x14ac:dyDescent="0.35">
      <c r="P16906" s="226"/>
      <c r="Q16906" s="226"/>
      <c r="R16906" s="226"/>
      <c r="S16906" s="226"/>
      <c r="T16906" s="226"/>
      <c r="U16906" s="226"/>
    </row>
    <row r="16907" spans="16:21" x14ac:dyDescent="0.35">
      <c r="P16907" s="226"/>
      <c r="Q16907" s="226"/>
      <c r="R16907" s="226"/>
      <c r="S16907" s="226"/>
      <c r="T16907" s="226"/>
      <c r="U16907" s="226"/>
    </row>
    <row r="16908" spans="16:21" x14ac:dyDescent="0.35">
      <c r="P16908" s="226"/>
      <c r="Q16908" s="226"/>
      <c r="R16908" s="226"/>
      <c r="S16908" s="226"/>
      <c r="T16908" s="226"/>
      <c r="U16908" s="226"/>
    </row>
    <row r="16909" spans="16:21" x14ac:dyDescent="0.35">
      <c r="P16909" s="226"/>
      <c r="Q16909" s="226"/>
      <c r="R16909" s="226"/>
      <c r="S16909" s="226"/>
      <c r="T16909" s="226"/>
      <c r="U16909" s="226"/>
    </row>
    <row r="16910" spans="16:21" x14ac:dyDescent="0.35">
      <c r="P16910" s="226"/>
      <c r="Q16910" s="226"/>
      <c r="R16910" s="226"/>
      <c r="S16910" s="226"/>
      <c r="T16910" s="226"/>
      <c r="U16910" s="226"/>
    </row>
    <row r="16911" spans="16:21" x14ac:dyDescent="0.35">
      <c r="P16911" s="226"/>
      <c r="Q16911" s="226"/>
      <c r="R16911" s="226"/>
      <c r="S16911" s="226"/>
      <c r="T16911" s="226"/>
      <c r="U16911" s="226"/>
    </row>
    <row r="16912" spans="16:21" x14ac:dyDescent="0.35">
      <c r="P16912" s="226"/>
      <c r="Q16912" s="226"/>
      <c r="R16912" s="226"/>
      <c r="S16912" s="226"/>
      <c r="T16912" s="226"/>
      <c r="U16912" s="226"/>
    </row>
    <row r="16913" spans="16:21" x14ac:dyDescent="0.35">
      <c r="P16913" s="226"/>
      <c r="Q16913" s="226"/>
      <c r="R16913" s="226"/>
      <c r="S16913" s="226"/>
      <c r="T16913" s="226"/>
      <c r="U16913" s="226"/>
    </row>
    <row r="16914" spans="16:21" x14ac:dyDescent="0.35">
      <c r="P16914" s="226"/>
      <c r="Q16914" s="226"/>
      <c r="R16914" s="226"/>
      <c r="S16914" s="226"/>
      <c r="T16914" s="226"/>
      <c r="U16914" s="226"/>
    </row>
    <row r="16915" spans="16:21" x14ac:dyDescent="0.35">
      <c r="P16915" s="226"/>
      <c r="Q16915" s="226"/>
      <c r="R16915" s="226"/>
      <c r="S16915" s="226"/>
      <c r="T16915" s="226"/>
      <c r="U16915" s="226"/>
    </row>
    <row r="16916" spans="16:21" x14ac:dyDescent="0.35">
      <c r="P16916" s="226"/>
      <c r="Q16916" s="226"/>
      <c r="R16916" s="226"/>
      <c r="S16916" s="226"/>
      <c r="T16916" s="226"/>
      <c r="U16916" s="226"/>
    </row>
    <row r="16917" spans="16:21" x14ac:dyDescent="0.35">
      <c r="P16917" s="226"/>
      <c r="Q16917" s="226"/>
      <c r="R16917" s="226"/>
      <c r="S16917" s="226"/>
      <c r="T16917" s="226"/>
      <c r="U16917" s="226"/>
    </row>
    <row r="16918" spans="16:21" x14ac:dyDescent="0.35">
      <c r="P16918" s="226"/>
      <c r="Q16918" s="226"/>
      <c r="R16918" s="226"/>
      <c r="S16918" s="226"/>
      <c r="T16918" s="226"/>
      <c r="U16918" s="226"/>
    </row>
    <row r="16919" spans="16:21" x14ac:dyDescent="0.35">
      <c r="P16919" s="226"/>
      <c r="Q16919" s="226"/>
      <c r="R16919" s="226"/>
      <c r="S16919" s="226"/>
      <c r="T16919" s="226"/>
      <c r="U16919" s="226"/>
    </row>
    <row r="16920" spans="16:21" x14ac:dyDescent="0.35">
      <c r="P16920" s="226"/>
      <c r="Q16920" s="226"/>
      <c r="R16920" s="226"/>
      <c r="S16920" s="226"/>
      <c r="T16920" s="226"/>
      <c r="U16920" s="226"/>
    </row>
    <row r="16921" spans="16:21" x14ac:dyDescent="0.35">
      <c r="P16921" s="226"/>
      <c r="Q16921" s="226"/>
      <c r="R16921" s="226"/>
      <c r="S16921" s="226"/>
      <c r="T16921" s="226"/>
      <c r="U16921" s="226"/>
    </row>
    <row r="16922" spans="16:21" x14ac:dyDescent="0.35">
      <c r="P16922" s="226"/>
      <c r="Q16922" s="226"/>
      <c r="R16922" s="226"/>
      <c r="S16922" s="226"/>
      <c r="T16922" s="226"/>
      <c r="U16922" s="226"/>
    </row>
    <row r="16923" spans="16:21" x14ac:dyDescent="0.35">
      <c r="P16923" s="226"/>
      <c r="Q16923" s="226"/>
      <c r="R16923" s="226"/>
      <c r="S16923" s="226"/>
      <c r="T16923" s="226"/>
      <c r="U16923" s="226"/>
    </row>
    <row r="16924" spans="16:21" x14ac:dyDescent="0.35">
      <c r="P16924" s="226"/>
      <c r="Q16924" s="226"/>
      <c r="R16924" s="226"/>
      <c r="S16924" s="226"/>
      <c r="T16924" s="226"/>
      <c r="U16924" s="226"/>
    </row>
    <row r="16925" spans="16:21" x14ac:dyDescent="0.35">
      <c r="P16925" s="226"/>
      <c r="Q16925" s="226"/>
      <c r="R16925" s="226"/>
      <c r="S16925" s="226"/>
      <c r="T16925" s="226"/>
      <c r="U16925" s="226"/>
    </row>
    <row r="16926" spans="16:21" x14ac:dyDescent="0.35">
      <c r="P16926" s="226"/>
      <c r="Q16926" s="226"/>
      <c r="R16926" s="226"/>
      <c r="S16926" s="226"/>
      <c r="T16926" s="226"/>
      <c r="U16926" s="226"/>
    </row>
    <row r="16927" spans="16:21" x14ac:dyDescent="0.35">
      <c r="P16927" s="226"/>
      <c r="Q16927" s="226"/>
      <c r="R16927" s="226"/>
      <c r="S16927" s="226"/>
      <c r="T16927" s="226"/>
      <c r="U16927" s="226"/>
    </row>
    <row r="16928" spans="16:21" x14ac:dyDescent="0.35">
      <c r="P16928" s="226"/>
      <c r="Q16928" s="226"/>
      <c r="R16928" s="226"/>
      <c r="S16928" s="226"/>
      <c r="T16928" s="226"/>
      <c r="U16928" s="226"/>
    </row>
    <row r="16929" spans="16:21" x14ac:dyDescent="0.35">
      <c r="P16929" s="226"/>
      <c r="Q16929" s="226"/>
      <c r="R16929" s="226"/>
      <c r="S16929" s="226"/>
      <c r="T16929" s="226"/>
      <c r="U16929" s="226"/>
    </row>
    <row r="16930" spans="16:21" x14ac:dyDescent="0.35">
      <c r="P16930" s="226"/>
      <c r="Q16930" s="226"/>
      <c r="R16930" s="226"/>
      <c r="S16930" s="226"/>
      <c r="T16930" s="226"/>
      <c r="U16930" s="226"/>
    </row>
    <row r="16931" spans="16:21" x14ac:dyDescent="0.35">
      <c r="P16931" s="226"/>
      <c r="Q16931" s="226"/>
      <c r="R16931" s="226"/>
      <c r="S16931" s="226"/>
      <c r="T16931" s="226"/>
      <c r="U16931" s="226"/>
    </row>
    <row r="16932" spans="16:21" x14ac:dyDescent="0.35">
      <c r="P16932" s="226"/>
      <c r="Q16932" s="226"/>
      <c r="R16932" s="226"/>
      <c r="S16932" s="226"/>
      <c r="T16932" s="226"/>
      <c r="U16932" s="226"/>
    </row>
    <row r="16933" spans="16:21" x14ac:dyDescent="0.35">
      <c r="P16933" s="226"/>
      <c r="Q16933" s="226"/>
      <c r="R16933" s="226"/>
      <c r="S16933" s="226"/>
      <c r="T16933" s="226"/>
      <c r="U16933" s="226"/>
    </row>
    <row r="16934" spans="16:21" x14ac:dyDescent="0.35">
      <c r="P16934" s="226"/>
      <c r="Q16934" s="226"/>
      <c r="R16934" s="226"/>
      <c r="S16934" s="226"/>
      <c r="T16934" s="226"/>
      <c r="U16934" s="226"/>
    </row>
    <row r="16935" spans="16:21" x14ac:dyDescent="0.35">
      <c r="P16935" s="226"/>
      <c r="Q16935" s="226"/>
      <c r="R16935" s="226"/>
      <c r="S16935" s="226"/>
      <c r="T16935" s="226"/>
      <c r="U16935" s="226"/>
    </row>
    <row r="16936" spans="16:21" x14ac:dyDescent="0.35">
      <c r="P16936" s="226"/>
      <c r="Q16936" s="226"/>
      <c r="R16936" s="226"/>
      <c r="S16936" s="226"/>
      <c r="T16936" s="226"/>
      <c r="U16936" s="226"/>
    </row>
    <row r="16937" spans="16:21" x14ac:dyDescent="0.35">
      <c r="P16937" s="226"/>
      <c r="Q16937" s="226"/>
      <c r="R16937" s="226"/>
      <c r="S16937" s="226"/>
      <c r="T16937" s="226"/>
      <c r="U16937" s="226"/>
    </row>
    <row r="16938" spans="16:21" x14ac:dyDescent="0.35">
      <c r="P16938" s="226"/>
      <c r="Q16938" s="226"/>
      <c r="R16938" s="226"/>
      <c r="S16938" s="226"/>
      <c r="T16938" s="226"/>
      <c r="U16938" s="226"/>
    </row>
    <row r="16939" spans="16:21" x14ac:dyDescent="0.35">
      <c r="P16939" s="226"/>
      <c r="Q16939" s="226"/>
      <c r="R16939" s="226"/>
      <c r="S16939" s="226"/>
      <c r="T16939" s="226"/>
      <c r="U16939" s="226"/>
    </row>
    <row r="16940" spans="16:21" x14ac:dyDescent="0.35">
      <c r="P16940" s="226"/>
      <c r="Q16940" s="226"/>
      <c r="R16940" s="226"/>
      <c r="S16940" s="226"/>
      <c r="T16940" s="226"/>
      <c r="U16940" s="226"/>
    </row>
    <row r="16941" spans="16:21" x14ac:dyDescent="0.35">
      <c r="P16941" s="226"/>
      <c r="Q16941" s="226"/>
      <c r="R16941" s="226"/>
      <c r="S16941" s="226"/>
      <c r="T16941" s="226"/>
      <c r="U16941" s="226"/>
    </row>
    <row r="16942" spans="16:21" x14ac:dyDescent="0.35">
      <c r="P16942" s="226"/>
      <c r="Q16942" s="226"/>
      <c r="R16942" s="226"/>
      <c r="S16942" s="226"/>
      <c r="T16942" s="226"/>
      <c r="U16942" s="226"/>
    </row>
    <row r="16943" spans="16:21" x14ac:dyDescent="0.35">
      <c r="P16943" s="226"/>
      <c r="Q16943" s="226"/>
      <c r="R16943" s="226"/>
      <c r="S16943" s="226"/>
      <c r="T16943" s="226"/>
      <c r="U16943" s="226"/>
    </row>
    <row r="16944" spans="16:21" x14ac:dyDescent="0.35">
      <c r="P16944" s="226"/>
      <c r="Q16944" s="226"/>
      <c r="R16944" s="226"/>
      <c r="S16944" s="226"/>
      <c r="T16944" s="226"/>
      <c r="U16944" s="226"/>
    </row>
    <row r="16945" spans="16:21" x14ac:dyDescent="0.35">
      <c r="P16945" s="226"/>
      <c r="Q16945" s="226"/>
      <c r="R16945" s="226"/>
      <c r="S16945" s="226"/>
      <c r="T16945" s="226"/>
      <c r="U16945" s="226"/>
    </row>
    <row r="16946" spans="16:21" x14ac:dyDescent="0.35">
      <c r="P16946" s="226"/>
      <c r="Q16946" s="226"/>
      <c r="R16946" s="226"/>
      <c r="S16946" s="226"/>
      <c r="T16946" s="226"/>
      <c r="U16946" s="226"/>
    </row>
    <row r="16947" spans="16:21" x14ac:dyDescent="0.35">
      <c r="P16947" s="226"/>
      <c r="Q16947" s="226"/>
      <c r="R16947" s="226"/>
      <c r="S16947" s="226"/>
      <c r="T16947" s="226"/>
      <c r="U16947" s="226"/>
    </row>
    <row r="16948" spans="16:21" x14ac:dyDescent="0.35">
      <c r="P16948" s="226"/>
      <c r="Q16948" s="226"/>
      <c r="R16948" s="226"/>
      <c r="S16948" s="226"/>
      <c r="T16948" s="226"/>
      <c r="U16948" s="226"/>
    </row>
    <row r="16949" spans="16:21" x14ac:dyDescent="0.35">
      <c r="P16949" s="226"/>
      <c r="Q16949" s="226"/>
      <c r="R16949" s="226"/>
      <c r="S16949" s="226"/>
      <c r="T16949" s="226"/>
      <c r="U16949" s="226"/>
    </row>
    <row r="16950" spans="16:21" x14ac:dyDescent="0.35">
      <c r="P16950" s="226"/>
      <c r="Q16950" s="226"/>
      <c r="R16950" s="226"/>
      <c r="S16950" s="226"/>
      <c r="T16950" s="226"/>
      <c r="U16950" s="226"/>
    </row>
    <row r="16951" spans="16:21" x14ac:dyDescent="0.35">
      <c r="P16951" s="226"/>
      <c r="Q16951" s="226"/>
      <c r="R16951" s="226"/>
      <c r="S16951" s="226"/>
      <c r="T16951" s="226"/>
      <c r="U16951" s="226"/>
    </row>
    <row r="16952" spans="16:21" x14ac:dyDescent="0.35">
      <c r="P16952" s="226"/>
      <c r="Q16952" s="226"/>
      <c r="R16952" s="226"/>
      <c r="S16952" s="226"/>
      <c r="T16952" s="226"/>
      <c r="U16952" s="226"/>
    </row>
    <row r="16953" spans="16:21" x14ac:dyDescent="0.35">
      <c r="P16953" s="226"/>
      <c r="Q16953" s="226"/>
      <c r="R16953" s="226"/>
      <c r="S16953" s="226"/>
      <c r="T16953" s="226"/>
      <c r="U16953" s="226"/>
    </row>
    <row r="16954" spans="16:21" x14ac:dyDescent="0.35">
      <c r="P16954" s="226"/>
      <c r="Q16954" s="226"/>
      <c r="R16954" s="226"/>
      <c r="S16954" s="226"/>
      <c r="T16954" s="226"/>
      <c r="U16954" s="226"/>
    </row>
    <row r="16955" spans="16:21" x14ac:dyDescent="0.35">
      <c r="P16955" s="226"/>
      <c r="Q16955" s="226"/>
      <c r="R16955" s="226"/>
      <c r="S16955" s="226"/>
      <c r="T16955" s="226"/>
      <c r="U16955" s="226"/>
    </row>
    <row r="16956" spans="16:21" x14ac:dyDescent="0.35">
      <c r="P16956" s="226"/>
      <c r="Q16956" s="226"/>
      <c r="R16956" s="226"/>
      <c r="S16956" s="226"/>
      <c r="T16956" s="226"/>
      <c r="U16956" s="226"/>
    </row>
    <row r="16957" spans="16:21" x14ac:dyDescent="0.35">
      <c r="P16957" s="226"/>
      <c r="Q16957" s="226"/>
      <c r="R16957" s="226"/>
      <c r="S16957" s="226"/>
      <c r="T16957" s="226"/>
      <c r="U16957" s="226"/>
    </row>
    <row r="16958" spans="16:21" x14ac:dyDescent="0.35">
      <c r="P16958" s="226"/>
      <c r="Q16958" s="226"/>
      <c r="R16958" s="226"/>
      <c r="S16958" s="226"/>
      <c r="T16958" s="226"/>
      <c r="U16958" s="226"/>
    </row>
    <row r="16959" spans="16:21" x14ac:dyDescent="0.35">
      <c r="P16959" s="226"/>
      <c r="Q16959" s="226"/>
      <c r="R16959" s="226"/>
      <c r="S16959" s="226"/>
      <c r="T16959" s="226"/>
      <c r="U16959" s="226"/>
    </row>
    <row r="16960" spans="16:21" x14ac:dyDescent="0.35">
      <c r="P16960" s="226"/>
      <c r="Q16960" s="226"/>
      <c r="R16960" s="226"/>
      <c r="S16960" s="226"/>
      <c r="T16960" s="226"/>
      <c r="U16960" s="226"/>
    </row>
    <row r="16961" spans="16:21" x14ac:dyDescent="0.35">
      <c r="P16961" s="226"/>
      <c r="Q16961" s="226"/>
      <c r="R16961" s="226"/>
      <c r="S16961" s="226"/>
      <c r="T16961" s="226"/>
      <c r="U16961" s="226"/>
    </row>
    <row r="16962" spans="16:21" x14ac:dyDescent="0.35">
      <c r="P16962" s="226"/>
      <c r="Q16962" s="226"/>
      <c r="R16962" s="226"/>
      <c r="S16962" s="226"/>
      <c r="T16962" s="226"/>
      <c r="U16962" s="226"/>
    </row>
    <row r="16963" spans="16:21" x14ac:dyDescent="0.35">
      <c r="P16963" s="226"/>
      <c r="Q16963" s="226"/>
      <c r="R16963" s="226"/>
      <c r="S16963" s="226"/>
      <c r="T16963" s="226"/>
      <c r="U16963" s="226"/>
    </row>
    <row r="16964" spans="16:21" x14ac:dyDescent="0.35">
      <c r="P16964" s="226"/>
      <c r="Q16964" s="226"/>
      <c r="R16964" s="226"/>
      <c r="S16964" s="226"/>
      <c r="T16964" s="226"/>
      <c r="U16964" s="226"/>
    </row>
    <row r="16965" spans="16:21" x14ac:dyDescent="0.35">
      <c r="P16965" s="226"/>
      <c r="Q16965" s="226"/>
      <c r="R16965" s="226"/>
      <c r="S16965" s="226"/>
      <c r="T16965" s="226"/>
      <c r="U16965" s="226"/>
    </row>
    <row r="16966" spans="16:21" x14ac:dyDescent="0.35">
      <c r="P16966" s="226"/>
      <c r="Q16966" s="226"/>
      <c r="R16966" s="226"/>
      <c r="S16966" s="226"/>
      <c r="T16966" s="226"/>
      <c r="U16966" s="226"/>
    </row>
    <row r="16967" spans="16:21" x14ac:dyDescent="0.35">
      <c r="P16967" s="226"/>
      <c r="Q16967" s="226"/>
      <c r="R16967" s="226"/>
      <c r="S16967" s="226"/>
      <c r="T16967" s="226"/>
      <c r="U16967" s="226"/>
    </row>
    <row r="16968" spans="16:21" x14ac:dyDescent="0.35">
      <c r="P16968" s="226"/>
      <c r="Q16968" s="226"/>
      <c r="R16968" s="226"/>
      <c r="S16968" s="226"/>
      <c r="T16968" s="226"/>
      <c r="U16968" s="226"/>
    </row>
    <row r="16969" spans="16:21" x14ac:dyDescent="0.35">
      <c r="P16969" s="226"/>
      <c r="Q16969" s="226"/>
      <c r="R16969" s="226"/>
      <c r="S16969" s="226"/>
      <c r="T16969" s="226"/>
      <c r="U16969" s="226"/>
    </row>
    <row r="16970" spans="16:21" x14ac:dyDescent="0.35">
      <c r="P16970" s="226"/>
      <c r="Q16970" s="226"/>
      <c r="R16970" s="226"/>
      <c r="S16970" s="226"/>
      <c r="T16970" s="226"/>
      <c r="U16970" s="226"/>
    </row>
    <row r="16971" spans="16:21" x14ac:dyDescent="0.35">
      <c r="P16971" s="226"/>
      <c r="Q16971" s="226"/>
      <c r="R16971" s="226"/>
      <c r="S16971" s="226"/>
      <c r="T16971" s="226"/>
      <c r="U16971" s="226"/>
    </row>
    <row r="16972" spans="16:21" x14ac:dyDescent="0.35">
      <c r="P16972" s="226"/>
      <c r="Q16972" s="226"/>
      <c r="R16972" s="226"/>
      <c r="S16972" s="226"/>
      <c r="T16972" s="226"/>
      <c r="U16972" s="226"/>
    </row>
    <row r="16973" spans="16:21" x14ac:dyDescent="0.35">
      <c r="P16973" s="226"/>
      <c r="Q16973" s="226"/>
      <c r="R16973" s="226"/>
      <c r="S16973" s="226"/>
      <c r="T16973" s="226"/>
      <c r="U16973" s="226"/>
    </row>
    <row r="16974" spans="16:21" x14ac:dyDescent="0.35">
      <c r="P16974" s="226"/>
      <c r="Q16974" s="226"/>
      <c r="R16974" s="226"/>
      <c r="S16974" s="226"/>
      <c r="T16974" s="226"/>
      <c r="U16974" s="226"/>
    </row>
    <row r="16975" spans="16:21" x14ac:dyDescent="0.35">
      <c r="P16975" s="226"/>
      <c r="Q16975" s="226"/>
      <c r="R16975" s="226"/>
      <c r="S16975" s="226"/>
      <c r="T16975" s="226"/>
      <c r="U16975" s="226"/>
    </row>
    <row r="16976" spans="16:21" x14ac:dyDescent="0.35">
      <c r="P16976" s="226"/>
      <c r="Q16976" s="226"/>
      <c r="R16976" s="226"/>
      <c r="S16976" s="226"/>
      <c r="T16976" s="226"/>
      <c r="U16976" s="226"/>
    </row>
    <row r="16977" spans="16:21" x14ac:dyDescent="0.35">
      <c r="P16977" s="226"/>
      <c r="Q16977" s="226"/>
      <c r="R16977" s="226"/>
      <c r="S16977" s="226"/>
      <c r="T16977" s="226"/>
      <c r="U16977" s="226"/>
    </row>
    <row r="16978" spans="16:21" x14ac:dyDescent="0.35">
      <c r="P16978" s="226"/>
      <c r="Q16978" s="226"/>
      <c r="R16978" s="226"/>
      <c r="S16978" s="226"/>
      <c r="T16978" s="226"/>
      <c r="U16978" s="226"/>
    </row>
    <row r="16979" spans="16:21" x14ac:dyDescent="0.35">
      <c r="P16979" s="226"/>
      <c r="Q16979" s="226"/>
      <c r="R16979" s="226"/>
      <c r="S16979" s="226"/>
      <c r="T16979" s="226"/>
      <c r="U16979" s="226"/>
    </row>
    <row r="16980" spans="16:21" x14ac:dyDescent="0.35">
      <c r="P16980" s="226"/>
      <c r="Q16980" s="226"/>
      <c r="R16980" s="226"/>
      <c r="S16980" s="226"/>
      <c r="T16980" s="226"/>
      <c r="U16980" s="226"/>
    </row>
    <row r="16981" spans="16:21" x14ac:dyDescent="0.35">
      <c r="P16981" s="226"/>
      <c r="Q16981" s="226"/>
      <c r="R16981" s="226"/>
      <c r="S16981" s="226"/>
      <c r="T16981" s="226"/>
      <c r="U16981" s="226"/>
    </row>
    <row r="16982" spans="16:21" x14ac:dyDescent="0.35">
      <c r="P16982" s="226"/>
      <c r="Q16982" s="226"/>
      <c r="R16982" s="226"/>
      <c r="S16982" s="226"/>
      <c r="T16982" s="226"/>
      <c r="U16982" s="226"/>
    </row>
    <row r="16983" spans="16:21" x14ac:dyDescent="0.35">
      <c r="P16983" s="226"/>
      <c r="Q16983" s="226"/>
      <c r="R16983" s="226"/>
      <c r="S16983" s="226"/>
      <c r="T16983" s="226"/>
      <c r="U16983" s="226"/>
    </row>
    <row r="16984" spans="16:21" x14ac:dyDescent="0.35">
      <c r="P16984" s="226"/>
      <c r="Q16984" s="226"/>
      <c r="R16984" s="226"/>
      <c r="S16984" s="226"/>
      <c r="T16984" s="226"/>
      <c r="U16984" s="226"/>
    </row>
    <row r="16985" spans="16:21" x14ac:dyDescent="0.35">
      <c r="P16985" s="226"/>
      <c r="Q16985" s="226"/>
      <c r="R16985" s="226"/>
      <c r="S16985" s="226"/>
      <c r="T16985" s="226"/>
      <c r="U16985" s="226"/>
    </row>
    <row r="16986" spans="16:21" x14ac:dyDescent="0.35">
      <c r="P16986" s="226"/>
      <c r="Q16986" s="226"/>
      <c r="R16986" s="226"/>
      <c r="S16986" s="226"/>
      <c r="T16986" s="226"/>
      <c r="U16986" s="226"/>
    </row>
    <row r="16987" spans="16:21" x14ac:dyDescent="0.35">
      <c r="P16987" s="226"/>
      <c r="Q16987" s="226"/>
      <c r="R16987" s="226"/>
      <c r="S16987" s="226"/>
      <c r="T16987" s="226"/>
      <c r="U16987" s="226"/>
    </row>
    <row r="16988" spans="16:21" x14ac:dyDescent="0.35">
      <c r="P16988" s="226"/>
      <c r="Q16988" s="226"/>
      <c r="R16988" s="226"/>
      <c r="S16988" s="226"/>
      <c r="T16988" s="226"/>
      <c r="U16988" s="226"/>
    </row>
    <row r="16989" spans="16:21" x14ac:dyDescent="0.35">
      <c r="P16989" s="226"/>
      <c r="Q16989" s="226"/>
      <c r="R16989" s="226"/>
      <c r="S16989" s="226"/>
      <c r="T16989" s="226"/>
      <c r="U16989" s="226"/>
    </row>
    <row r="16990" spans="16:21" x14ac:dyDescent="0.35">
      <c r="P16990" s="226"/>
      <c r="Q16990" s="226"/>
      <c r="R16990" s="226"/>
      <c r="S16990" s="226"/>
      <c r="T16990" s="226"/>
      <c r="U16990" s="226"/>
    </row>
    <row r="16991" spans="16:21" x14ac:dyDescent="0.35">
      <c r="P16991" s="226"/>
      <c r="Q16991" s="226"/>
      <c r="R16991" s="226"/>
      <c r="S16991" s="226"/>
      <c r="T16991" s="226"/>
      <c r="U16991" s="226"/>
    </row>
    <row r="16992" spans="16:21" x14ac:dyDescent="0.35">
      <c r="P16992" s="226"/>
      <c r="Q16992" s="226"/>
      <c r="R16992" s="226"/>
      <c r="S16992" s="226"/>
      <c r="T16992" s="226"/>
      <c r="U16992" s="226"/>
    </row>
    <row r="16993" spans="16:21" x14ac:dyDescent="0.35">
      <c r="P16993" s="226"/>
      <c r="Q16993" s="226"/>
      <c r="R16993" s="226"/>
      <c r="S16993" s="226"/>
      <c r="T16993" s="226"/>
      <c r="U16993" s="226"/>
    </row>
    <row r="16994" spans="16:21" x14ac:dyDescent="0.35">
      <c r="P16994" s="226"/>
      <c r="Q16994" s="226"/>
      <c r="R16994" s="226"/>
      <c r="S16994" s="226"/>
      <c r="T16994" s="226"/>
      <c r="U16994" s="226"/>
    </row>
    <row r="16995" spans="16:21" x14ac:dyDescent="0.35">
      <c r="P16995" s="226"/>
      <c r="Q16995" s="226"/>
      <c r="R16995" s="226"/>
      <c r="S16995" s="226"/>
      <c r="T16995" s="226"/>
      <c r="U16995" s="226"/>
    </row>
    <row r="16996" spans="16:21" x14ac:dyDescent="0.35">
      <c r="P16996" s="226"/>
      <c r="Q16996" s="226"/>
      <c r="R16996" s="226"/>
      <c r="S16996" s="226"/>
      <c r="T16996" s="226"/>
      <c r="U16996" s="226"/>
    </row>
    <row r="16997" spans="16:21" x14ac:dyDescent="0.35">
      <c r="P16997" s="226"/>
      <c r="Q16997" s="226"/>
      <c r="R16997" s="226"/>
      <c r="S16997" s="226"/>
      <c r="T16997" s="226"/>
      <c r="U16997" s="226"/>
    </row>
    <row r="16998" spans="16:21" x14ac:dyDescent="0.35">
      <c r="P16998" s="226"/>
      <c r="Q16998" s="226"/>
      <c r="R16998" s="226"/>
      <c r="S16998" s="226"/>
      <c r="T16998" s="226"/>
      <c r="U16998" s="226"/>
    </row>
    <row r="16999" spans="16:21" x14ac:dyDescent="0.35">
      <c r="P16999" s="226"/>
      <c r="Q16999" s="226"/>
      <c r="R16999" s="226"/>
      <c r="S16999" s="226"/>
      <c r="T16999" s="226"/>
      <c r="U16999" s="226"/>
    </row>
    <row r="17000" spans="16:21" x14ac:dyDescent="0.35">
      <c r="P17000" s="226"/>
      <c r="Q17000" s="226"/>
      <c r="R17000" s="226"/>
      <c r="S17000" s="226"/>
      <c r="T17000" s="226"/>
      <c r="U17000" s="226"/>
    </row>
    <row r="17001" spans="16:21" x14ac:dyDescent="0.35">
      <c r="P17001" s="226"/>
      <c r="Q17001" s="226"/>
      <c r="R17001" s="226"/>
      <c r="S17001" s="226"/>
      <c r="T17001" s="226"/>
      <c r="U17001" s="226"/>
    </row>
    <row r="17002" spans="16:21" x14ac:dyDescent="0.35">
      <c r="P17002" s="226"/>
      <c r="Q17002" s="226"/>
      <c r="R17002" s="226"/>
      <c r="S17002" s="226"/>
      <c r="T17002" s="226"/>
      <c r="U17002" s="226"/>
    </row>
    <row r="17003" spans="16:21" x14ac:dyDescent="0.35">
      <c r="P17003" s="226"/>
      <c r="Q17003" s="226"/>
      <c r="R17003" s="226"/>
      <c r="S17003" s="226"/>
      <c r="T17003" s="226"/>
      <c r="U17003" s="226"/>
    </row>
    <row r="17004" spans="16:21" x14ac:dyDescent="0.35">
      <c r="P17004" s="226"/>
      <c r="Q17004" s="226"/>
      <c r="R17004" s="226"/>
      <c r="S17004" s="226"/>
      <c r="T17004" s="226"/>
      <c r="U17004" s="226"/>
    </row>
    <row r="17005" spans="16:21" x14ac:dyDescent="0.35">
      <c r="P17005" s="226"/>
      <c r="Q17005" s="226"/>
      <c r="R17005" s="226"/>
      <c r="S17005" s="226"/>
      <c r="T17005" s="226"/>
      <c r="U17005" s="226"/>
    </row>
    <row r="17006" spans="16:21" x14ac:dyDescent="0.35">
      <c r="P17006" s="226"/>
      <c r="Q17006" s="226"/>
      <c r="R17006" s="226"/>
      <c r="S17006" s="226"/>
      <c r="T17006" s="226"/>
      <c r="U17006" s="226"/>
    </row>
    <row r="17007" spans="16:21" x14ac:dyDescent="0.35">
      <c r="P17007" s="226"/>
      <c r="Q17007" s="226"/>
      <c r="R17007" s="226"/>
      <c r="S17007" s="226"/>
      <c r="T17007" s="226"/>
      <c r="U17007" s="226"/>
    </row>
    <row r="17008" spans="16:21" x14ac:dyDescent="0.35">
      <c r="P17008" s="226"/>
      <c r="Q17008" s="226"/>
      <c r="R17008" s="226"/>
      <c r="S17008" s="226"/>
      <c r="T17008" s="226"/>
      <c r="U17008" s="226"/>
    </row>
    <row r="17009" spans="16:21" x14ac:dyDescent="0.35">
      <c r="P17009" s="226"/>
      <c r="Q17009" s="226"/>
      <c r="R17009" s="226"/>
      <c r="S17009" s="226"/>
      <c r="T17009" s="226"/>
      <c r="U17009" s="226"/>
    </row>
    <row r="17010" spans="16:21" x14ac:dyDescent="0.35">
      <c r="P17010" s="226"/>
      <c r="Q17010" s="226"/>
      <c r="R17010" s="226"/>
      <c r="S17010" s="226"/>
      <c r="T17010" s="226"/>
      <c r="U17010" s="226"/>
    </row>
    <row r="17011" spans="16:21" x14ac:dyDescent="0.35">
      <c r="P17011" s="226"/>
      <c r="Q17011" s="226"/>
      <c r="R17011" s="226"/>
      <c r="S17011" s="226"/>
      <c r="T17011" s="226"/>
      <c r="U17011" s="226"/>
    </row>
    <row r="17012" spans="16:21" x14ac:dyDescent="0.35">
      <c r="P17012" s="226"/>
      <c r="Q17012" s="226"/>
      <c r="R17012" s="226"/>
      <c r="S17012" s="226"/>
      <c r="T17012" s="226"/>
      <c r="U17012" s="226"/>
    </row>
    <row r="17013" spans="16:21" x14ac:dyDescent="0.35">
      <c r="P17013" s="226"/>
      <c r="Q17013" s="226"/>
      <c r="R17013" s="226"/>
      <c r="S17013" s="226"/>
      <c r="T17013" s="226"/>
      <c r="U17013" s="226"/>
    </row>
    <row r="17014" spans="16:21" x14ac:dyDescent="0.35">
      <c r="P17014" s="226"/>
      <c r="Q17014" s="226"/>
      <c r="R17014" s="226"/>
      <c r="S17014" s="226"/>
      <c r="T17014" s="226"/>
      <c r="U17014" s="226"/>
    </row>
    <row r="17015" spans="16:21" x14ac:dyDescent="0.35">
      <c r="P17015" s="226"/>
      <c r="Q17015" s="226"/>
      <c r="R17015" s="226"/>
      <c r="S17015" s="226"/>
      <c r="T17015" s="226"/>
      <c r="U17015" s="226"/>
    </row>
    <row r="17016" spans="16:21" x14ac:dyDescent="0.35">
      <c r="P17016" s="226"/>
      <c r="Q17016" s="226"/>
      <c r="R17016" s="226"/>
      <c r="S17016" s="226"/>
      <c r="T17016" s="226"/>
      <c r="U17016" s="226"/>
    </row>
    <row r="17017" spans="16:21" x14ac:dyDescent="0.35">
      <c r="P17017" s="226"/>
      <c r="Q17017" s="226"/>
      <c r="R17017" s="226"/>
      <c r="S17017" s="226"/>
      <c r="T17017" s="226"/>
      <c r="U17017" s="226"/>
    </row>
    <row r="17018" spans="16:21" x14ac:dyDescent="0.35">
      <c r="P17018" s="226"/>
      <c r="Q17018" s="226"/>
      <c r="R17018" s="226"/>
      <c r="S17018" s="226"/>
      <c r="T17018" s="226"/>
      <c r="U17018" s="226"/>
    </row>
    <row r="17019" spans="16:21" x14ac:dyDescent="0.35">
      <c r="P17019" s="226"/>
      <c r="Q17019" s="226"/>
      <c r="R17019" s="226"/>
      <c r="S17019" s="226"/>
      <c r="T17019" s="226"/>
      <c r="U17019" s="226"/>
    </row>
    <row r="17020" spans="16:21" x14ac:dyDescent="0.35">
      <c r="P17020" s="226"/>
      <c r="Q17020" s="226"/>
      <c r="R17020" s="226"/>
      <c r="S17020" s="226"/>
      <c r="T17020" s="226"/>
      <c r="U17020" s="226"/>
    </row>
    <row r="17021" spans="16:21" x14ac:dyDescent="0.35">
      <c r="P17021" s="226"/>
      <c r="Q17021" s="226"/>
      <c r="R17021" s="226"/>
      <c r="S17021" s="226"/>
      <c r="T17021" s="226"/>
      <c r="U17021" s="226"/>
    </row>
    <row r="17022" spans="16:21" x14ac:dyDescent="0.35">
      <c r="P17022" s="226"/>
      <c r="Q17022" s="226"/>
      <c r="R17022" s="226"/>
      <c r="S17022" s="226"/>
      <c r="T17022" s="226"/>
      <c r="U17022" s="226"/>
    </row>
    <row r="17023" spans="16:21" x14ac:dyDescent="0.35">
      <c r="P17023" s="226"/>
      <c r="Q17023" s="226"/>
      <c r="R17023" s="226"/>
      <c r="S17023" s="226"/>
      <c r="T17023" s="226"/>
      <c r="U17023" s="226"/>
    </row>
    <row r="17024" spans="16:21" x14ac:dyDescent="0.35">
      <c r="P17024" s="226"/>
      <c r="Q17024" s="226"/>
      <c r="R17024" s="226"/>
      <c r="S17024" s="226"/>
      <c r="T17024" s="226"/>
      <c r="U17024" s="226"/>
    </row>
    <row r="17025" spans="16:21" x14ac:dyDescent="0.35">
      <c r="P17025" s="226"/>
      <c r="Q17025" s="226"/>
      <c r="R17025" s="226"/>
      <c r="S17025" s="226"/>
      <c r="T17025" s="226"/>
      <c r="U17025" s="226"/>
    </row>
    <row r="17026" spans="16:21" x14ac:dyDescent="0.35">
      <c r="P17026" s="226"/>
      <c r="Q17026" s="226"/>
      <c r="R17026" s="226"/>
      <c r="S17026" s="226"/>
      <c r="T17026" s="226"/>
      <c r="U17026" s="226"/>
    </row>
    <row r="17027" spans="16:21" x14ac:dyDescent="0.35">
      <c r="P17027" s="226"/>
      <c r="Q17027" s="226"/>
      <c r="R17027" s="226"/>
      <c r="S17027" s="226"/>
      <c r="T17027" s="226"/>
      <c r="U17027" s="226"/>
    </row>
    <row r="17028" spans="16:21" x14ac:dyDescent="0.35">
      <c r="P17028" s="226"/>
      <c r="Q17028" s="226"/>
      <c r="R17028" s="226"/>
      <c r="S17028" s="226"/>
      <c r="T17028" s="226"/>
      <c r="U17028" s="226"/>
    </row>
    <row r="17029" spans="16:21" x14ac:dyDescent="0.35">
      <c r="P17029" s="226"/>
      <c r="Q17029" s="226"/>
      <c r="R17029" s="226"/>
      <c r="S17029" s="226"/>
      <c r="T17029" s="226"/>
      <c r="U17029" s="226"/>
    </row>
    <row r="17030" spans="16:21" x14ac:dyDescent="0.35">
      <c r="P17030" s="226"/>
      <c r="Q17030" s="226"/>
      <c r="R17030" s="226"/>
      <c r="S17030" s="226"/>
      <c r="T17030" s="226"/>
      <c r="U17030" s="226"/>
    </row>
    <row r="17031" spans="16:21" x14ac:dyDescent="0.35">
      <c r="P17031" s="226"/>
      <c r="Q17031" s="226"/>
      <c r="R17031" s="226"/>
      <c r="S17031" s="226"/>
      <c r="T17031" s="226"/>
      <c r="U17031" s="226"/>
    </row>
    <row r="17032" spans="16:21" x14ac:dyDescent="0.35">
      <c r="P17032" s="226"/>
      <c r="Q17032" s="226"/>
      <c r="R17032" s="226"/>
      <c r="S17032" s="226"/>
      <c r="T17032" s="226"/>
      <c r="U17032" s="226"/>
    </row>
    <row r="17033" spans="16:21" x14ac:dyDescent="0.35">
      <c r="P17033" s="226"/>
      <c r="Q17033" s="226"/>
      <c r="R17033" s="226"/>
      <c r="S17033" s="226"/>
      <c r="T17033" s="226"/>
      <c r="U17033" s="226"/>
    </row>
    <row r="17034" spans="16:21" x14ac:dyDescent="0.35">
      <c r="P17034" s="226"/>
      <c r="Q17034" s="226"/>
      <c r="R17034" s="226"/>
      <c r="S17034" s="226"/>
      <c r="T17034" s="226"/>
      <c r="U17034" s="226"/>
    </row>
    <row r="17035" spans="16:21" x14ac:dyDescent="0.35">
      <c r="P17035" s="226"/>
      <c r="Q17035" s="226"/>
      <c r="R17035" s="226"/>
      <c r="S17035" s="226"/>
      <c r="T17035" s="226"/>
      <c r="U17035" s="226"/>
    </row>
    <row r="17036" spans="16:21" x14ac:dyDescent="0.35">
      <c r="P17036" s="226"/>
      <c r="Q17036" s="226"/>
      <c r="R17036" s="226"/>
      <c r="S17036" s="226"/>
      <c r="T17036" s="226"/>
      <c r="U17036" s="226"/>
    </row>
    <row r="17037" spans="16:21" x14ac:dyDescent="0.35">
      <c r="P17037" s="226"/>
      <c r="Q17037" s="226"/>
      <c r="R17037" s="226"/>
      <c r="S17037" s="226"/>
      <c r="T17037" s="226"/>
      <c r="U17037" s="226"/>
    </row>
    <row r="17038" spans="16:21" x14ac:dyDescent="0.35">
      <c r="P17038" s="226"/>
      <c r="Q17038" s="226"/>
      <c r="R17038" s="226"/>
      <c r="S17038" s="226"/>
      <c r="T17038" s="226"/>
      <c r="U17038" s="226"/>
    </row>
    <row r="17039" spans="16:21" x14ac:dyDescent="0.35">
      <c r="P17039" s="226"/>
      <c r="Q17039" s="226"/>
      <c r="R17039" s="226"/>
      <c r="S17039" s="226"/>
      <c r="T17039" s="226"/>
      <c r="U17039" s="226"/>
    </row>
    <row r="17040" spans="16:21" x14ac:dyDescent="0.35">
      <c r="P17040" s="226"/>
      <c r="Q17040" s="226"/>
      <c r="R17040" s="226"/>
      <c r="S17040" s="226"/>
      <c r="T17040" s="226"/>
      <c r="U17040" s="226"/>
    </row>
    <row r="17041" spans="16:21" x14ac:dyDescent="0.35">
      <c r="P17041" s="226"/>
      <c r="Q17041" s="226"/>
      <c r="R17041" s="226"/>
      <c r="S17041" s="226"/>
      <c r="T17041" s="226"/>
      <c r="U17041" s="226"/>
    </row>
    <row r="17042" spans="16:21" x14ac:dyDescent="0.35">
      <c r="P17042" s="226"/>
      <c r="Q17042" s="226"/>
      <c r="R17042" s="226"/>
      <c r="S17042" s="226"/>
      <c r="T17042" s="226"/>
      <c r="U17042" s="226"/>
    </row>
    <row r="17043" spans="16:21" x14ac:dyDescent="0.35">
      <c r="P17043" s="226"/>
      <c r="Q17043" s="226"/>
      <c r="R17043" s="226"/>
      <c r="S17043" s="226"/>
      <c r="T17043" s="226"/>
      <c r="U17043" s="226"/>
    </row>
    <row r="17044" spans="16:21" x14ac:dyDescent="0.35">
      <c r="P17044" s="226"/>
      <c r="Q17044" s="226"/>
      <c r="R17044" s="226"/>
      <c r="S17044" s="226"/>
      <c r="T17044" s="226"/>
      <c r="U17044" s="226"/>
    </row>
    <row r="17045" spans="16:21" x14ac:dyDescent="0.35">
      <c r="P17045" s="226"/>
      <c r="Q17045" s="226"/>
      <c r="R17045" s="226"/>
      <c r="S17045" s="226"/>
      <c r="T17045" s="226"/>
      <c r="U17045" s="226"/>
    </row>
    <row r="17046" spans="16:21" x14ac:dyDescent="0.35">
      <c r="P17046" s="226"/>
      <c r="Q17046" s="226"/>
      <c r="R17046" s="226"/>
      <c r="S17046" s="226"/>
      <c r="T17046" s="226"/>
      <c r="U17046" s="226"/>
    </row>
    <row r="17047" spans="16:21" x14ac:dyDescent="0.35">
      <c r="P17047" s="226"/>
      <c r="Q17047" s="226"/>
      <c r="R17047" s="226"/>
      <c r="S17047" s="226"/>
      <c r="T17047" s="226"/>
      <c r="U17047" s="226"/>
    </row>
    <row r="17048" spans="16:21" x14ac:dyDescent="0.35">
      <c r="P17048" s="226"/>
      <c r="Q17048" s="226"/>
      <c r="R17048" s="226"/>
      <c r="S17048" s="226"/>
      <c r="T17048" s="226"/>
      <c r="U17048" s="226"/>
    </row>
    <row r="17049" spans="16:21" x14ac:dyDescent="0.35">
      <c r="P17049" s="226"/>
      <c r="Q17049" s="226"/>
      <c r="R17049" s="226"/>
      <c r="S17049" s="226"/>
      <c r="T17049" s="226"/>
      <c r="U17049" s="226"/>
    </row>
    <row r="17050" spans="16:21" x14ac:dyDescent="0.35">
      <c r="P17050" s="226"/>
      <c r="Q17050" s="226"/>
      <c r="R17050" s="226"/>
      <c r="S17050" s="226"/>
      <c r="T17050" s="226"/>
      <c r="U17050" s="226"/>
    </row>
    <row r="17051" spans="16:21" x14ac:dyDescent="0.35">
      <c r="P17051" s="226"/>
      <c r="Q17051" s="226"/>
      <c r="R17051" s="226"/>
      <c r="S17051" s="226"/>
      <c r="T17051" s="226"/>
      <c r="U17051" s="226"/>
    </row>
    <row r="17052" spans="16:21" x14ac:dyDescent="0.35">
      <c r="P17052" s="226"/>
      <c r="Q17052" s="226"/>
      <c r="R17052" s="226"/>
      <c r="S17052" s="226"/>
      <c r="T17052" s="226"/>
      <c r="U17052" s="226"/>
    </row>
    <row r="17053" spans="16:21" x14ac:dyDescent="0.35">
      <c r="P17053" s="226"/>
      <c r="Q17053" s="226"/>
      <c r="R17053" s="226"/>
      <c r="S17053" s="226"/>
      <c r="T17053" s="226"/>
      <c r="U17053" s="226"/>
    </row>
    <row r="17054" spans="16:21" x14ac:dyDescent="0.35">
      <c r="P17054" s="226"/>
      <c r="Q17054" s="226"/>
      <c r="R17054" s="226"/>
      <c r="S17054" s="226"/>
      <c r="T17054" s="226"/>
      <c r="U17054" s="226"/>
    </row>
    <row r="17055" spans="16:21" x14ac:dyDescent="0.35">
      <c r="P17055" s="226"/>
      <c r="Q17055" s="226"/>
      <c r="R17055" s="226"/>
      <c r="S17055" s="226"/>
      <c r="T17055" s="226"/>
      <c r="U17055" s="226"/>
    </row>
    <row r="17056" spans="16:21" x14ac:dyDescent="0.35">
      <c r="P17056" s="226"/>
      <c r="Q17056" s="226"/>
      <c r="R17056" s="226"/>
      <c r="S17056" s="226"/>
      <c r="T17056" s="226"/>
      <c r="U17056" s="226"/>
    </row>
    <row r="17057" spans="16:21" x14ac:dyDescent="0.35">
      <c r="P17057" s="226"/>
      <c r="Q17057" s="226"/>
      <c r="R17057" s="226"/>
      <c r="S17057" s="226"/>
      <c r="T17057" s="226"/>
      <c r="U17057" s="226"/>
    </row>
    <row r="17058" spans="16:21" x14ac:dyDescent="0.35">
      <c r="P17058" s="226"/>
      <c r="Q17058" s="226"/>
      <c r="R17058" s="226"/>
      <c r="S17058" s="226"/>
      <c r="T17058" s="226"/>
      <c r="U17058" s="226"/>
    </row>
    <row r="17059" spans="16:21" x14ac:dyDescent="0.35">
      <c r="P17059" s="226"/>
      <c r="Q17059" s="226"/>
      <c r="R17059" s="226"/>
      <c r="S17059" s="226"/>
      <c r="T17059" s="226"/>
      <c r="U17059" s="226"/>
    </row>
    <row r="17060" spans="16:21" x14ac:dyDescent="0.35">
      <c r="P17060" s="226"/>
      <c r="Q17060" s="226"/>
      <c r="R17060" s="226"/>
      <c r="S17060" s="226"/>
      <c r="T17060" s="226"/>
      <c r="U17060" s="226"/>
    </row>
    <row r="17061" spans="16:21" x14ac:dyDescent="0.35">
      <c r="P17061" s="226"/>
      <c r="Q17061" s="226"/>
      <c r="R17061" s="226"/>
      <c r="S17061" s="226"/>
      <c r="T17061" s="226"/>
      <c r="U17061" s="226"/>
    </row>
    <row r="17062" spans="16:21" x14ac:dyDescent="0.35">
      <c r="P17062" s="226"/>
      <c r="Q17062" s="226"/>
      <c r="R17062" s="226"/>
      <c r="S17062" s="226"/>
      <c r="T17062" s="226"/>
      <c r="U17062" s="226"/>
    </row>
    <row r="17063" spans="16:21" x14ac:dyDescent="0.35">
      <c r="P17063" s="226"/>
      <c r="Q17063" s="226"/>
      <c r="R17063" s="226"/>
      <c r="S17063" s="226"/>
      <c r="T17063" s="226"/>
      <c r="U17063" s="226"/>
    </row>
    <row r="17064" spans="16:21" x14ac:dyDescent="0.35">
      <c r="P17064" s="226"/>
      <c r="Q17064" s="226"/>
      <c r="R17064" s="226"/>
      <c r="S17064" s="226"/>
      <c r="T17064" s="226"/>
      <c r="U17064" s="226"/>
    </row>
    <row r="17065" spans="16:21" x14ac:dyDescent="0.35">
      <c r="P17065" s="226"/>
      <c r="Q17065" s="226"/>
      <c r="R17065" s="226"/>
      <c r="S17065" s="226"/>
      <c r="T17065" s="226"/>
      <c r="U17065" s="226"/>
    </row>
    <row r="17066" spans="16:21" x14ac:dyDescent="0.35">
      <c r="P17066" s="226"/>
      <c r="Q17066" s="226"/>
      <c r="R17066" s="226"/>
      <c r="S17066" s="226"/>
      <c r="T17066" s="226"/>
      <c r="U17066" s="226"/>
    </row>
    <row r="17067" spans="16:21" x14ac:dyDescent="0.35">
      <c r="P17067" s="226"/>
      <c r="Q17067" s="226"/>
      <c r="R17067" s="226"/>
      <c r="S17067" s="226"/>
      <c r="T17067" s="226"/>
      <c r="U17067" s="226"/>
    </row>
    <row r="17068" spans="16:21" x14ac:dyDescent="0.35">
      <c r="P17068" s="226"/>
      <c r="Q17068" s="226"/>
      <c r="R17068" s="226"/>
      <c r="S17068" s="226"/>
      <c r="T17068" s="226"/>
      <c r="U17068" s="226"/>
    </row>
    <row r="17069" spans="16:21" x14ac:dyDescent="0.35">
      <c r="P17069" s="226"/>
      <c r="Q17069" s="226"/>
      <c r="R17069" s="226"/>
      <c r="S17069" s="226"/>
      <c r="T17069" s="226"/>
      <c r="U17069" s="226"/>
    </row>
    <row r="17070" spans="16:21" x14ac:dyDescent="0.35">
      <c r="P17070" s="226"/>
      <c r="Q17070" s="226"/>
      <c r="R17070" s="226"/>
      <c r="S17070" s="226"/>
      <c r="T17070" s="226"/>
      <c r="U17070" s="226"/>
    </row>
    <row r="17071" spans="16:21" x14ac:dyDescent="0.35">
      <c r="P17071" s="226"/>
      <c r="Q17071" s="226"/>
      <c r="R17071" s="226"/>
      <c r="S17071" s="226"/>
      <c r="T17071" s="226"/>
      <c r="U17071" s="226"/>
    </row>
    <row r="17072" spans="16:21" x14ac:dyDescent="0.35">
      <c r="P17072" s="226"/>
      <c r="Q17072" s="226"/>
      <c r="R17072" s="226"/>
      <c r="S17072" s="226"/>
      <c r="T17072" s="226"/>
      <c r="U17072" s="226"/>
    </row>
    <row r="17073" spans="16:21" x14ac:dyDescent="0.35">
      <c r="P17073" s="226"/>
      <c r="Q17073" s="226"/>
      <c r="R17073" s="226"/>
      <c r="S17073" s="226"/>
      <c r="T17073" s="226"/>
      <c r="U17073" s="226"/>
    </row>
    <row r="17074" spans="16:21" x14ac:dyDescent="0.35">
      <c r="P17074" s="226"/>
      <c r="Q17074" s="226"/>
      <c r="R17074" s="226"/>
      <c r="S17074" s="226"/>
      <c r="T17074" s="226"/>
      <c r="U17074" s="226"/>
    </row>
    <row r="17075" spans="16:21" x14ac:dyDescent="0.35">
      <c r="P17075" s="226"/>
      <c r="Q17075" s="226"/>
      <c r="R17075" s="226"/>
      <c r="S17075" s="226"/>
      <c r="T17075" s="226"/>
      <c r="U17075" s="226"/>
    </row>
    <row r="17076" spans="16:21" x14ac:dyDescent="0.35">
      <c r="P17076" s="226"/>
      <c r="Q17076" s="226"/>
      <c r="R17076" s="226"/>
      <c r="S17076" s="226"/>
      <c r="T17076" s="226"/>
      <c r="U17076" s="226"/>
    </row>
    <row r="17077" spans="16:21" x14ac:dyDescent="0.35">
      <c r="P17077" s="226"/>
      <c r="Q17077" s="226"/>
      <c r="R17077" s="226"/>
      <c r="S17077" s="226"/>
      <c r="T17077" s="226"/>
      <c r="U17077" s="226"/>
    </row>
    <row r="17078" spans="16:21" x14ac:dyDescent="0.35">
      <c r="P17078" s="226"/>
      <c r="Q17078" s="226"/>
      <c r="R17078" s="226"/>
      <c r="S17078" s="226"/>
      <c r="T17078" s="226"/>
      <c r="U17078" s="226"/>
    </row>
    <row r="17079" spans="16:21" x14ac:dyDescent="0.35">
      <c r="P17079" s="226"/>
      <c r="Q17079" s="226"/>
      <c r="R17079" s="226"/>
      <c r="S17079" s="226"/>
      <c r="T17079" s="226"/>
      <c r="U17079" s="226"/>
    </row>
    <row r="17080" spans="16:21" x14ac:dyDescent="0.35">
      <c r="P17080" s="226"/>
      <c r="Q17080" s="226"/>
      <c r="R17080" s="226"/>
      <c r="S17080" s="226"/>
      <c r="T17080" s="226"/>
      <c r="U17080" s="226"/>
    </row>
    <row r="17081" spans="16:21" x14ac:dyDescent="0.35">
      <c r="P17081" s="226"/>
      <c r="Q17081" s="226"/>
      <c r="R17081" s="226"/>
      <c r="S17081" s="226"/>
      <c r="T17081" s="226"/>
      <c r="U17081" s="226"/>
    </row>
    <row r="17082" spans="16:21" x14ac:dyDescent="0.35">
      <c r="P17082" s="226"/>
      <c r="Q17082" s="226"/>
      <c r="R17082" s="226"/>
      <c r="S17082" s="226"/>
      <c r="T17082" s="226"/>
      <c r="U17082" s="226"/>
    </row>
    <row r="17083" spans="16:21" x14ac:dyDescent="0.35">
      <c r="P17083" s="226"/>
      <c r="Q17083" s="226"/>
      <c r="R17083" s="226"/>
      <c r="S17083" s="226"/>
      <c r="T17083" s="226"/>
      <c r="U17083" s="226"/>
    </row>
    <row r="17084" spans="16:21" x14ac:dyDescent="0.35">
      <c r="P17084" s="226"/>
      <c r="Q17084" s="226"/>
      <c r="R17084" s="226"/>
      <c r="S17084" s="226"/>
      <c r="T17084" s="226"/>
      <c r="U17084" s="226"/>
    </row>
    <row r="17085" spans="16:21" x14ac:dyDescent="0.35">
      <c r="P17085" s="226"/>
      <c r="Q17085" s="226"/>
      <c r="R17085" s="226"/>
      <c r="S17085" s="226"/>
      <c r="T17085" s="226"/>
      <c r="U17085" s="226"/>
    </row>
    <row r="17086" spans="16:21" x14ac:dyDescent="0.35">
      <c r="P17086" s="226"/>
      <c r="Q17086" s="226"/>
      <c r="R17086" s="226"/>
      <c r="S17086" s="226"/>
      <c r="T17086" s="226"/>
      <c r="U17086" s="226"/>
    </row>
    <row r="17087" spans="16:21" x14ac:dyDescent="0.35">
      <c r="P17087" s="226"/>
      <c r="Q17087" s="226"/>
      <c r="R17087" s="226"/>
      <c r="S17087" s="226"/>
      <c r="T17087" s="226"/>
      <c r="U17087" s="226"/>
    </row>
    <row r="17088" spans="16:21" x14ac:dyDescent="0.35">
      <c r="P17088" s="226"/>
      <c r="Q17088" s="226"/>
      <c r="R17088" s="226"/>
      <c r="S17088" s="226"/>
      <c r="T17088" s="226"/>
      <c r="U17088" s="226"/>
    </row>
    <row r="17089" spans="16:21" x14ac:dyDescent="0.35">
      <c r="P17089" s="226"/>
      <c r="Q17089" s="226"/>
      <c r="R17089" s="226"/>
      <c r="S17089" s="226"/>
      <c r="T17089" s="226"/>
      <c r="U17089" s="226"/>
    </row>
    <row r="17090" spans="16:21" x14ac:dyDescent="0.35">
      <c r="P17090" s="226"/>
      <c r="Q17090" s="226"/>
      <c r="R17090" s="226"/>
      <c r="S17090" s="226"/>
      <c r="T17090" s="226"/>
      <c r="U17090" s="226"/>
    </row>
    <row r="17091" spans="16:21" x14ac:dyDescent="0.35">
      <c r="P17091" s="226"/>
      <c r="Q17091" s="226"/>
      <c r="R17091" s="226"/>
      <c r="S17091" s="226"/>
      <c r="T17091" s="226"/>
      <c r="U17091" s="226"/>
    </row>
    <row r="17092" spans="16:21" x14ac:dyDescent="0.35">
      <c r="P17092" s="226"/>
      <c r="Q17092" s="226"/>
      <c r="R17092" s="226"/>
      <c r="S17092" s="226"/>
      <c r="T17092" s="226"/>
      <c r="U17092" s="226"/>
    </row>
    <row r="17093" spans="16:21" x14ac:dyDescent="0.35">
      <c r="P17093" s="226"/>
      <c r="Q17093" s="226"/>
      <c r="R17093" s="226"/>
      <c r="S17093" s="226"/>
      <c r="T17093" s="226"/>
      <c r="U17093" s="226"/>
    </row>
    <row r="17094" spans="16:21" x14ac:dyDescent="0.35">
      <c r="P17094" s="226"/>
      <c r="Q17094" s="226"/>
      <c r="R17094" s="226"/>
      <c r="S17094" s="226"/>
      <c r="T17094" s="226"/>
      <c r="U17094" s="226"/>
    </row>
    <row r="17095" spans="16:21" x14ac:dyDescent="0.35">
      <c r="P17095" s="226"/>
      <c r="Q17095" s="226"/>
      <c r="R17095" s="226"/>
      <c r="S17095" s="226"/>
      <c r="T17095" s="226"/>
      <c r="U17095" s="226"/>
    </row>
    <row r="17096" spans="16:21" x14ac:dyDescent="0.35">
      <c r="P17096" s="226"/>
      <c r="Q17096" s="226"/>
      <c r="R17096" s="226"/>
      <c r="S17096" s="226"/>
      <c r="T17096" s="226"/>
      <c r="U17096" s="226"/>
    </row>
    <row r="17097" spans="16:21" x14ac:dyDescent="0.35">
      <c r="P17097" s="226"/>
      <c r="Q17097" s="226"/>
      <c r="R17097" s="226"/>
      <c r="S17097" s="226"/>
      <c r="T17097" s="226"/>
      <c r="U17097" s="226"/>
    </row>
    <row r="17098" spans="16:21" x14ac:dyDescent="0.35">
      <c r="P17098" s="226"/>
      <c r="Q17098" s="226"/>
      <c r="R17098" s="226"/>
      <c r="S17098" s="226"/>
      <c r="T17098" s="226"/>
      <c r="U17098" s="226"/>
    </row>
    <row r="17099" spans="16:21" x14ac:dyDescent="0.35">
      <c r="P17099" s="226"/>
      <c r="Q17099" s="226"/>
      <c r="R17099" s="226"/>
      <c r="S17099" s="226"/>
      <c r="T17099" s="226"/>
      <c r="U17099" s="226"/>
    </row>
    <row r="17100" spans="16:21" x14ac:dyDescent="0.35">
      <c r="P17100" s="226"/>
      <c r="Q17100" s="226"/>
      <c r="R17100" s="226"/>
      <c r="S17100" s="226"/>
      <c r="T17100" s="226"/>
      <c r="U17100" s="226"/>
    </row>
    <row r="17101" spans="16:21" x14ac:dyDescent="0.35">
      <c r="P17101" s="226"/>
      <c r="Q17101" s="226"/>
      <c r="R17101" s="226"/>
      <c r="S17101" s="226"/>
      <c r="T17101" s="226"/>
      <c r="U17101" s="226"/>
    </row>
    <row r="17102" spans="16:21" x14ac:dyDescent="0.35">
      <c r="P17102" s="226"/>
      <c r="Q17102" s="226"/>
      <c r="R17102" s="226"/>
      <c r="S17102" s="226"/>
      <c r="T17102" s="226"/>
      <c r="U17102" s="226"/>
    </row>
    <row r="17103" spans="16:21" x14ac:dyDescent="0.35">
      <c r="P17103" s="226"/>
      <c r="Q17103" s="226"/>
      <c r="R17103" s="226"/>
      <c r="S17103" s="226"/>
      <c r="T17103" s="226"/>
      <c r="U17103" s="226"/>
    </row>
    <row r="17104" spans="16:21" x14ac:dyDescent="0.35">
      <c r="P17104" s="226"/>
      <c r="Q17104" s="226"/>
      <c r="R17104" s="226"/>
      <c r="S17104" s="226"/>
      <c r="T17104" s="226"/>
      <c r="U17104" s="226"/>
    </row>
    <row r="17105" spans="16:21" x14ac:dyDescent="0.35">
      <c r="P17105" s="226"/>
      <c r="Q17105" s="226"/>
      <c r="R17105" s="226"/>
      <c r="S17105" s="226"/>
      <c r="T17105" s="226"/>
      <c r="U17105" s="226"/>
    </row>
    <row r="17106" spans="16:21" x14ac:dyDescent="0.35">
      <c r="P17106" s="226"/>
      <c r="Q17106" s="226"/>
      <c r="R17106" s="226"/>
      <c r="S17106" s="226"/>
      <c r="T17106" s="226"/>
      <c r="U17106" s="226"/>
    </row>
    <row r="17107" spans="16:21" x14ac:dyDescent="0.35">
      <c r="P17107" s="226"/>
      <c r="Q17107" s="226"/>
      <c r="R17107" s="226"/>
      <c r="S17107" s="226"/>
      <c r="T17107" s="226"/>
      <c r="U17107" s="226"/>
    </row>
    <row r="17108" spans="16:21" x14ac:dyDescent="0.35">
      <c r="P17108" s="226"/>
      <c r="Q17108" s="226"/>
      <c r="R17108" s="226"/>
      <c r="S17108" s="226"/>
      <c r="T17108" s="226"/>
      <c r="U17108" s="226"/>
    </row>
    <row r="17109" spans="16:21" x14ac:dyDescent="0.35">
      <c r="P17109" s="226"/>
      <c r="Q17109" s="226"/>
      <c r="R17109" s="226"/>
      <c r="S17109" s="226"/>
      <c r="T17109" s="226"/>
      <c r="U17109" s="226"/>
    </row>
    <row r="17110" spans="16:21" x14ac:dyDescent="0.35">
      <c r="P17110" s="226"/>
      <c r="Q17110" s="226"/>
      <c r="R17110" s="226"/>
      <c r="S17110" s="226"/>
      <c r="T17110" s="226"/>
      <c r="U17110" s="226"/>
    </row>
    <row r="17111" spans="16:21" x14ac:dyDescent="0.35">
      <c r="P17111" s="226"/>
      <c r="Q17111" s="226"/>
      <c r="R17111" s="226"/>
      <c r="S17111" s="226"/>
      <c r="T17111" s="226"/>
      <c r="U17111" s="226"/>
    </row>
    <row r="17112" spans="16:21" x14ac:dyDescent="0.35">
      <c r="P17112" s="226"/>
      <c r="Q17112" s="226"/>
      <c r="R17112" s="226"/>
      <c r="S17112" s="226"/>
      <c r="T17112" s="226"/>
      <c r="U17112" s="226"/>
    </row>
    <row r="17113" spans="16:21" x14ac:dyDescent="0.35">
      <c r="P17113" s="226"/>
      <c r="Q17113" s="226"/>
      <c r="R17113" s="226"/>
      <c r="S17113" s="226"/>
      <c r="T17113" s="226"/>
      <c r="U17113" s="226"/>
    </row>
    <row r="17114" spans="16:21" x14ac:dyDescent="0.35">
      <c r="P17114" s="226"/>
      <c r="Q17114" s="226"/>
      <c r="R17114" s="226"/>
      <c r="S17114" s="226"/>
      <c r="T17114" s="226"/>
      <c r="U17114" s="226"/>
    </row>
    <row r="17115" spans="16:21" x14ac:dyDescent="0.35">
      <c r="P17115" s="226"/>
      <c r="Q17115" s="226"/>
      <c r="R17115" s="226"/>
      <c r="S17115" s="226"/>
      <c r="T17115" s="226"/>
      <c r="U17115" s="226"/>
    </row>
    <row r="17116" spans="16:21" x14ac:dyDescent="0.35">
      <c r="P17116" s="226"/>
      <c r="Q17116" s="226"/>
      <c r="R17116" s="226"/>
      <c r="S17116" s="226"/>
      <c r="T17116" s="226"/>
      <c r="U17116" s="226"/>
    </row>
    <row r="17117" spans="16:21" x14ac:dyDescent="0.35">
      <c r="P17117" s="226"/>
      <c r="Q17117" s="226"/>
      <c r="R17117" s="226"/>
      <c r="S17117" s="226"/>
      <c r="T17117" s="226"/>
      <c r="U17117" s="226"/>
    </row>
    <row r="17118" spans="16:21" x14ac:dyDescent="0.35">
      <c r="P17118" s="226"/>
      <c r="Q17118" s="226"/>
      <c r="R17118" s="226"/>
      <c r="S17118" s="226"/>
      <c r="T17118" s="226"/>
      <c r="U17118" s="226"/>
    </row>
    <row r="17119" spans="16:21" x14ac:dyDescent="0.35">
      <c r="P17119" s="226"/>
      <c r="Q17119" s="226"/>
      <c r="R17119" s="226"/>
      <c r="S17119" s="226"/>
      <c r="T17119" s="226"/>
      <c r="U17119" s="226"/>
    </row>
    <row r="17120" spans="16:21" x14ac:dyDescent="0.35">
      <c r="P17120" s="226"/>
      <c r="Q17120" s="226"/>
      <c r="R17120" s="226"/>
      <c r="S17120" s="226"/>
      <c r="T17120" s="226"/>
      <c r="U17120" s="226"/>
    </row>
    <row r="17121" spans="16:21" x14ac:dyDescent="0.35">
      <c r="P17121" s="226"/>
      <c r="Q17121" s="226"/>
      <c r="R17121" s="226"/>
      <c r="S17121" s="226"/>
      <c r="T17121" s="226"/>
      <c r="U17121" s="226"/>
    </row>
    <row r="17122" spans="16:21" x14ac:dyDescent="0.35">
      <c r="P17122" s="226"/>
      <c r="Q17122" s="226"/>
      <c r="R17122" s="226"/>
      <c r="S17122" s="226"/>
      <c r="T17122" s="226"/>
      <c r="U17122" s="226"/>
    </row>
    <row r="17123" spans="16:21" x14ac:dyDescent="0.35">
      <c r="P17123" s="226"/>
      <c r="Q17123" s="226"/>
      <c r="R17123" s="226"/>
      <c r="S17123" s="226"/>
      <c r="T17123" s="226"/>
      <c r="U17123" s="226"/>
    </row>
    <row r="17124" spans="16:21" x14ac:dyDescent="0.35">
      <c r="P17124" s="226"/>
      <c r="Q17124" s="226"/>
      <c r="R17124" s="226"/>
      <c r="S17124" s="226"/>
      <c r="T17124" s="226"/>
      <c r="U17124" s="226"/>
    </row>
    <row r="17125" spans="16:21" x14ac:dyDescent="0.35">
      <c r="P17125" s="226"/>
      <c r="Q17125" s="226"/>
      <c r="R17125" s="226"/>
      <c r="S17125" s="226"/>
      <c r="T17125" s="226"/>
      <c r="U17125" s="226"/>
    </row>
    <row r="17126" spans="16:21" x14ac:dyDescent="0.35">
      <c r="P17126" s="226"/>
      <c r="Q17126" s="226"/>
      <c r="R17126" s="226"/>
      <c r="S17126" s="226"/>
      <c r="T17126" s="226"/>
      <c r="U17126" s="226"/>
    </row>
    <row r="17127" spans="16:21" x14ac:dyDescent="0.35">
      <c r="P17127" s="226"/>
      <c r="Q17127" s="226"/>
      <c r="R17127" s="226"/>
      <c r="S17127" s="226"/>
      <c r="T17127" s="226"/>
      <c r="U17127" s="226"/>
    </row>
    <row r="17128" spans="16:21" x14ac:dyDescent="0.35">
      <c r="P17128" s="226"/>
      <c r="Q17128" s="226"/>
      <c r="R17128" s="226"/>
      <c r="S17128" s="226"/>
      <c r="T17128" s="226"/>
      <c r="U17128" s="226"/>
    </row>
    <row r="17129" spans="16:21" x14ac:dyDescent="0.35">
      <c r="P17129" s="226"/>
      <c r="Q17129" s="226"/>
      <c r="R17129" s="226"/>
      <c r="S17129" s="226"/>
      <c r="T17129" s="226"/>
      <c r="U17129" s="226"/>
    </row>
    <row r="17130" spans="16:21" x14ac:dyDescent="0.35">
      <c r="P17130" s="226"/>
      <c r="Q17130" s="226"/>
      <c r="R17130" s="226"/>
      <c r="S17130" s="226"/>
      <c r="T17130" s="226"/>
      <c r="U17130" s="226"/>
    </row>
    <row r="17131" spans="16:21" x14ac:dyDescent="0.35">
      <c r="P17131" s="226"/>
      <c r="Q17131" s="226"/>
      <c r="R17131" s="226"/>
      <c r="S17131" s="226"/>
      <c r="T17131" s="226"/>
      <c r="U17131" s="226"/>
    </row>
    <row r="17132" spans="16:21" x14ac:dyDescent="0.35">
      <c r="P17132" s="226"/>
      <c r="Q17132" s="226"/>
      <c r="R17132" s="226"/>
      <c r="S17132" s="226"/>
      <c r="T17132" s="226"/>
      <c r="U17132" s="226"/>
    </row>
    <row r="17133" spans="16:21" x14ac:dyDescent="0.35">
      <c r="P17133" s="226"/>
      <c r="Q17133" s="226"/>
      <c r="R17133" s="226"/>
      <c r="S17133" s="226"/>
      <c r="T17133" s="226"/>
      <c r="U17133" s="226"/>
    </row>
    <row r="17134" spans="16:21" x14ac:dyDescent="0.35">
      <c r="P17134" s="226"/>
      <c r="Q17134" s="226"/>
      <c r="R17134" s="226"/>
      <c r="S17134" s="226"/>
      <c r="T17134" s="226"/>
      <c r="U17134" s="226"/>
    </row>
    <row r="17135" spans="16:21" x14ac:dyDescent="0.35">
      <c r="P17135" s="226"/>
      <c r="Q17135" s="226"/>
      <c r="R17135" s="226"/>
      <c r="S17135" s="226"/>
      <c r="T17135" s="226"/>
      <c r="U17135" s="226"/>
    </row>
    <row r="17136" spans="16:21" x14ac:dyDescent="0.35">
      <c r="P17136" s="226"/>
      <c r="Q17136" s="226"/>
      <c r="R17136" s="226"/>
      <c r="S17136" s="226"/>
      <c r="T17136" s="226"/>
      <c r="U17136" s="226"/>
    </row>
    <row r="17137" spans="16:21" x14ac:dyDescent="0.35">
      <c r="P17137" s="226"/>
      <c r="Q17137" s="226"/>
      <c r="R17137" s="226"/>
      <c r="S17137" s="226"/>
      <c r="T17137" s="226"/>
      <c r="U17137" s="226"/>
    </row>
    <row r="17138" spans="16:21" x14ac:dyDescent="0.35">
      <c r="P17138" s="226"/>
      <c r="Q17138" s="226"/>
      <c r="R17138" s="226"/>
      <c r="S17138" s="226"/>
      <c r="T17138" s="226"/>
      <c r="U17138" s="226"/>
    </row>
    <row r="17139" spans="16:21" x14ac:dyDescent="0.35">
      <c r="P17139" s="226"/>
      <c r="Q17139" s="226"/>
      <c r="R17139" s="226"/>
      <c r="S17139" s="226"/>
      <c r="T17139" s="226"/>
      <c r="U17139" s="226"/>
    </row>
    <row r="17140" spans="16:21" x14ac:dyDescent="0.35">
      <c r="P17140" s="226"/>
      <c r="Q17140" s="226"/>
      <c r="R17140" s="226"/>
      <c r="S17140" s="226"/>
      <c r="T17140" s="226"/>
      <c r="U17140" s="226"/>
    </row>
    <row r="17141" spans="16:21" x14ac:dyDescent="0.35">
      <c r="P17141" s="226"/>
      <c r="Q17141" s="226"/>
      <c r="R17141" s="226"/>
      <c r="S17141" s="226"/>
      <c r="T17141" s="226"/>
      <c r="U17141" s="226"/>
    </row>
    <row r="17142" spans="16:21" x14ac:dyDescent="0.35">
      <c r="P17142" s="226"/>
      <c r="Q17142" s="226"/>
      <c r="R17142" s="226"/>
      <c r="S17142" s="226"/>
      <c r="T17142" s="226"/>
      <c r="U17142" s="226"/>
    </row>
    <row r="17143" spans="16:21" x14ac:dyDescent="0.35">
      <c r="P17143" s="226"/>
      <c r="Q17143" s="226"/>
      <c r="R17143" s="226"/>
      <c r="S17143" s="226"/>
      <c r="T17143" s="226"/>
      <c r="U17143" s="226"/>
    </row>
    <row r="17144" spans="16:21" x14ac:dyDescent="0.35">
      <c r="P17144" s="226"/>
      <c r="Q17144" s="226"/>
      <c r="R17144" s="226"/>
      <c r="S17144" s="226"/>
      <c r="T17144" s="226"/>
      <c r="U17144" s="226"/>
    </row>
    <row r="17145" spans="16:21" x14ac:dyDescent="0.35">
      <c r="P17145" s="226"/>
      <c r="Q17145" s="226"/>
      <c r="R17145" s="226"/>
      <c r="S17145" s="226"/>
      <c r="T17145" s="226"/>
      <c r="U17145" s="226"/>
    </row>
    <row r="17146" spans="16:21" x14ac:dyDescent="0.35">
      <c r="P17146" s="226"/>
      <c r="Q17146" s="226"/>
      <c r="R17146" s="226"/>
      <c r="S17146" s="226"/>
      <c r="T17146" s="226"/>
      <c r="U17146" s="226"/>
    </row>
    <row r="17147" spans="16:21" x14ac:dyDescent="0.35">
      <c r="P17147" s="226"/>
      <c r="Q17147" s="226"/>
      <c r="R17147" s="226"/>
      <c r="S17147" s="226"/>
      <c r="T17147" s="226"/>
      <c r="U17147" s="226"/>
    </row>
    <row r="17148" spans="16:21" x14ac:dyDescent="0.35">
      <c r="P17148" s="226"/>
      <c r="Q17148" s="226"/>
      <c r="R17148" s="226"/>
      <c r="S17148" s="226"/>
      <c r="T17148" s="226"/>
      <c r="U17148" s="226"/>
    </row>
    <row r="17149" spans="16:21" x14ac:dyDescent="0.35">
      <c r="P17149" s="226"/>
      <c r="Q17149" s="226"/>
      <c r="R17149" s="226"/>
      <c r="S17149" s="226"/>
      <c r="T17149" s="226"/>
      <c r="U17149" s="226"/>
    </row>
    <row r="17150" spans="16:21" x14ac:dyDescent="0.35">
      <c r="P17150" s="226"/>
      <c r="Q17150" s="226"/>
      <c r="R17150" s="226"/>
      <c r="S17150" s="226"/>
      <c r="T17150" s="226"/>
      <c r="U17150" s="226"/>
    </row>
    <row r="17151" spans="16:21" x14ac:dyDescent="0.35">
      <c r="P17151" s="226"/>
      <c r="Q17151" s="226"/>
      <c r="R17151" s="226"/>
      <c r="S17151" s="226"/>
      <c r="T17151" s="226"/>
      <c r="U17151" s="226"/>
    </row>
    <row r="17152" spans="16:21" x14ac:dyDescent="0.35">
      <c r="P17152" s="226"/>
      <c r="Q17152" s="226"/>
      <c r="R17152" s="226"/>
      <c r="S17152" s="226"/>
      <c r="T17152" s="226"/>
      <c r="U17152" s="226"/>
    </row>
    <row r="17153" spans="16:21" x14ac:dyDescent="0.35">
      <c r="P17153" s="226"/>
      <c r="Q17153" s="226"/>
      <c r="R17153" s="226"/>
      <c r="S17153" s="226"/>
      <c r="T17153" s="226"/>
      <c r="U17153" s="226"/>
    </row>
    <row r="17154" spans="16:21" x14ac:dyDescent="0.35">
      <c r="P17154" s="226"/>
      <c r="Q17154" s="226"/>
      <c r="R17154" s="226"/>
      <c r="S17154" s="226"/>
      <c r="T17154" s="226"/>
      <c r="U17154" s="226"/>
    </row>
    <row r="17155" spans="16:21" x14ac:dyDescent="0.35">
      <c r="P17155" s="226"/>
      <c r="Q17155" s="226"/>
      <c r="R17155" s="226"/>
      <c r="S17155" s="226"/>
      <c r="T17155" s="226"/>
      <c r="U17155" s="226"/>
    </row>
    <row r="17156" spans="16:21" x14ac:dyDescent="0.35">
      <c r="P17156" s="226"/>
      <c r="Q17156" s="226"/>
      <c r="R17156" s="226"/>
      <c r="S17156" s="226"/>
      <c r="T17156" s="226"/>
      <c r="U17156" s="226"/>
    </row>
    <row r="17157" spans="16:21" x14ac:dyDescent="0.35">
      <c r="P17157" s="226"/>
      <c r="Q17157" s="226"/>
      <c r="R17157" s="226"/>
      <c r="S17157" s="226"/>
      <c r="T17157" s="226"/>
      <c r="U17157" s="226"/>
    </row>
    <row r="17158" spans="16:21" x14ac:dyDescent="0.35">
      <c r="P17158" s="226"/>
      <c r="Q17158" s="226"/>
      <c r="R17158" s="226"/>
      <c r="S17158" s="226"/>
      <c r="T17158" s="226"/>
      <c r="U17158" s="226"/>
    </row>
    <row r="17159" spans="16:21" x14ac:dyDescent="0.35">
      <c r="P17159" s="226"/>
      <c r="Q17159" s="226"/>
      <c r="R17159" s="226"/>
      <c r="S17159" s="226"/>
      <c r="T17159" s="226"/>
      <c r="U17159" s="226"/>
    </row>
    <row r="17160" spans="16:21" x14ac:dyDescent="0.35">
      <c r="P17160" s="226"/>
      <c r="Q17160" s="226"/>
      <c r="R17160" s="226"/>
      <c r="S17160" s="226"/>
      <c r="T17160" s="226"/>
      <c r="U17160" s="226"/>
    </row>
    <row r="17161" spans="16:21" x14ac:dyDescent="0.35">
      <c r="P17161" s="226"/>
      <c r="Q17161" s="226"/>
      <c r="R17161" s="226"/>
      <c r="S17161" s="226"/>
      <c r="T17161" s="226"/>
      <c r="U17161" s="226"/>
    </row>
    <row r="17162" spans="16:21" x14ac:dyDescent="0.35">
      <c r="P17162" s="226"/>
      <c r="Q17162" s="226"/>
      <c r="R17162" s="226"/>
      <c r="S17162" s="226"/>
      <c r="T17162" s="226"/>
      <c r="U17162" s="226"/>
    </row>
    <row r="17163" spans="16:21" x14ac:dyDescent="0.35">
      <c r="P17163" s="226"/>
      <c r="Q17163" s="226"/>
      <c r="R17163" s="226"/>
      <c r="S17163" s="226"/>
      <c r="T17163" s="226"/>
      <c r="U17163" s="226"/>
    </row>
    <row r="17164" spans="16:21" x14ac:dyDescent="0.35">
      <c r="P17164" s="226"/>
      <c r="Q17164" s="226"/>
      <c r="R17164" s="226"/>
      <c r="S17164" s="226"/>
      <c r="T17164" s="226"/>
      <c r="U17164" s="226"/>
    </row>
    <row r="17165" spans="16:21" x14ac:dyDescent="0.35">
      <c r="P17165" s="226"/>
      <c r="Q17165" s="226"/>
      <c r="R17165" s="226"/>
      <c r="S17165" s="226"/>
      <c r="T17165" s="226"/>
      <c r="U17165" s="226"/>
    </row>
    <row r="17166" spans="16:21" x14ac:dyDescent="0.35">
      <c r="P17166" s="226"/>
      <c r="Q17166" s="226"/>
      <c r="R17166" s="226"/>
      <c r="S17166" s="226"/>
      <c r="T17166" s="226"/>
      <c r="U17166" s="226"/>
    </row>
    <row r="17167" spans="16:21" x14ac:dyDescent="0.35">
      <c r="P17167" s="226"/>
      <c r="Q17167" s="226"/>
      <c r="R17167" s="226"/>
      <c r="S17167" s="226"/>
      <c r="T17167" s="226"/>
      <c r="U17167" s="226"/>
    </row>
    <row r="17168" spans="16:21" x14ac:dyDescent="0.35">
      <c r="P17168" s="226"/>
      <c r="Q17168" s="226"/>
      <c r="R17168" s="226"/>
      <c r="S17168" s="226"/>
      <c r="T17168" s="226"/>
      <c r="U17168" s="226"/>
    </row>
    <row r="17169" spans="16:21" x14ac:dyDescent="0.35">
      <c r="P17169" s="226"/>
      <c r="Q17169" s="226"/>
      <c r="R17169" s="226"/>
      <c r="S17169" s="226"/>
      <c r="T17169" s="226"/>
      <c r="U17169" s="226"/>
    </row>
    <row r="17170" spans="16:21" x14ac:dyDescent="0.35">
      <c r="P17170" s="226"/>
      <c r="Q17170" s="226"/>
      <c r="R17170" s="226"/>
      <c r="S17170" s="226"/>
      <c r="T17170" s="226"/>
      <c r="U17170" s="226"/>
    </row>
    <row r="17171" spans="16:21" x14ac:dyDescent="0.35">
      <c r="P17171" s="226"/>
      <c r="Q17171" s="226"/>
      <c r="R17171" s="226"/>
      <c r="S17171" s="226"/>
      <c r="T17171" s="226"/>
      <c r="U17171" s="226"/>
    </row>
    <row r="17172" spans="16:21" x14ac:dyDescent="0.35">
      <c r="P17172" s="226"/>
      <c r="Q17172" s="226"/>
      <c r="R17172" s="226"/>
      <c r="S17172" s="226"/>
      <c r="T17172" s="226"/>
      <c r="U17172" s="226"/>
    </row>
    <row r="17173" spans="16:21" x14ac:dyDescent="0.35">
      <c r="P17173" s="226"/>
      <c r="Q17173" s="226"/>
      <c r="R17173" s="226"/>
      <c r="S17173" s="226"/>
      <c r="T17173" s="226"/>
      <c r="U17173" s="226"/>
    </row>
    <row r="17174" spans="16:21" x14ac:dyDescent="0.35">
      <c r="P17174" s="226"/>
      <c r="Q17174" s="226"/>
      <c r="R17174" s="226"/>
      <c r="S17174" s="226"/>
      <c r="T17174" s="226"/>
      <c r="U17174" s="226"/>
    </row>
    <row r="17175" spans="16:21" x14ac:dyDescent="0.35">
      <c r="P17175" s="226"/>
      <c r="Q17175" s="226"/>
      <c r="R17175" s="226"/>
      <c r="S17175" s="226"/>
      <c r="T17175" s="226"/>
      <c r="U17175" s="226"/>
    </row>
    <row r="17176" spans="16:21" x14ac:dyDescent="0.35">
      <c r="P17176" s="226"/>
      <c r="Q17176" s="226"/>
      <c r="R17176" s="226"/>
      <c r="S17176" s="226"/>
      <c r="T17176" s="226"/>
      <c r="U17176" s="226"/>
    </row>
    <row r="17177" spans="16:21" x14ac:dyDescent="0.35">
      <c r="P17177" s="226"/>
      <c r="Q17177" s="226"/>
      <c r="R17177" s="226"/>
      <c r="S17177" s="226"/>
      <c r="T17177" s="226"/>
      <c r="U17177" s="226"/>
    </row>
    <row r="17178" spans="16:21" x14ac:dyDescent="0.35">
      <c r="P17178" s="226"/>
      <c r="Q17178" s="226"/>
      <c r="R17178" s="226"/>
      <c r="S17178" s="226"/>
      <c r="T17178" s="226"/>
      <c r="U17178" s="226"/>
    </row>
    <row r="17179" spans="16:21" x14ac:dyDescent="0.35">
      <c r="P17179" s="226"/>
      <c r="Q17179" s="226"/>
      <c r="R17179" s="226"/>
      <c r="S17179" s="226"/>
      <c r="T17179" s="226"/>
      <c r="U17179" s="226"/>
    </row>
    <row r="17180" spans="16:21" x14ac:dyDescent="0.35">
      <c r="P17180" s="226"/>
      <c r="Q17180" s="226"/>
      <c r="R17180" s="226"/>
      <c r="S17180" s="226"/>
      <c r="T17180" s="226"/>
      <c r="U17180" s="226"/>
    </row>
    <row r="17181" spans="16:21" x14ac:dyDescent="0.35">
      <c r="P17181" s="226"/>
      <c r="Q17181" s="226"/>
      <c r="R17181" s="226"/>
      <c r="S17181" s="226"/>
      <c r="T17181" s="226"/>
      <c r="U17181" s="226"/>
    </row>
    <row r="17182" spans="16:21" x14ac:dyDescent="0.35">
      <c r="P17182" s="226"/>
      <c r="Q17182" s="226"/>
      <c r="R17182" s="226"/>
      <c r="S17182" s="226"/>
      <c r="T17182" s="226"/>
      <c r="U17182" s="226"/>
    </row>
    <row r="17183" spans="16:21" x14ac:dyDescent="0.35">
      <c r="P17183" s="226"/>
      <c r="Q17183" s="226"/>
      <c r="R17183" s="226"/>
      <c r="S17183" s="226"/>
      <c r="T17183" s="226"/>
      <c r="U17183" s="226"/>
    </row>
    <row r="17184" spans="16:21" x14ac:dyDescent="0.35">
      <c r="P17184" s="226"/>
      <c r="Q17184" s="226"/>
      <c r="R17184" s="226"/>
      <c r="S17184" s="226"/>
      <c r="T17184" s="226"/>
      <c r="U17184" s="226"/>
    </row>
    <row r="17185" spans="16:21" x14ac:dyDescent="0.35">
      <c r="P17185" s="226"/>
      <c r="Q17185" s="226"/>
      <c r="R17185" s="226"/>
      <c r="S17185" s="226"/>
      <c r="T17185" s="226"/>
      <c r="U17185" s="226"/>
    </row>
    <row r="17186" spans="16:21" x14ac:dyDescent="0.35">
      <c r="P17186" s="226"/>
      <c r="Q17186" s="226"/>
      <c r="R17186" s="226"/>
      <c r="S17186" s="226"/>
      <c r="T17186" s="226"/>
      <c r="U17186" s="226"/>
    </row>
    <row r="17187" spans="16:21" x14ac:dyDescent="0.35">
      <c r="P17187" s="226"/>
      <c r="Q17187" s="226"/>
      <c r="R17187" s="226"/>
      <c r="S17187" s="226"/>
      <c r="T17187" s="226"/>
      <c r="U17187" s="226"/>
    </row>
    <row r="17188" spans="16:21" x14ac:dyDescent="0.35">
      <c r="P17188" s="226"/>
      <c r="Q17188" s="226"/>
      <c r="R17188" s="226"/>
      <c r="S17188" s="226"/>
      <c r="T17188" s="226"/>
      <c r="U17188" s="226"/>
    </row>
    <row r="17189" spans="16:21" x14ac:dyDescent="0.35">
      <c r="P17189" s="226"/>
      <c r="Q17189" s="226"/>
      <c r="R17189" s="226"/>
      <c r="S17189" s="226"/>
      <c r="T17189" s="226"/>
      <c r="U17189" s="226"/>
    </row>
    <row r="17190" spans="16:21" x14ac:dyDescent="0.35">
      <c r="P17190" s="226"/>
      <c r="Q17190" s="226"/>
      <c r="R17190" s="226"/>
      <c r="S17190" s="226"/>
      <c r="T17190" s="226"/>
      <c r="U17190" s="226"/>
    </row>
    <row r="17191" spans="16:21" x14ac:dyDescent="0.35">
      <c r="P17191" s="226"/>
      <c r="Q17191" s="226"/>
      <c r="R17191" s="226"/>
      <c r="S17191" s="226"/>
      <c r="T17191" s="226"/>
      <c r="U17191" s="226"/>
    </row>
    <row r="17192" spans="16:21" x14ac:dyDescent="0.35">
      <c r="P17192" s="226"/>
      <c r="Q17192" s="226"/>
      <c r="R17192" s="226"/>
      <c r="S17192" s="226"/>
      <c r="T17192" s="226"/>
      <c r="U17192" s="226"/>
    </row>
    <row r="17193" spans="16:21" x14ac:dyDescent="0.35">
      <c r="P17193" s="226"/>
      <c r="Q17193" s="226"/>
      <c r="R17193" s="226"/>
      <c r="S17193" s="226"/>
      <c r="T17193" s="226"/>
      <c r="U17193" s="226"/>
    </row>
    <row r="17194" spans="16:21" x14ac:dyDescent="0.35">
      <c r="P17194" s="226"/>
      <c r="Q17194" s="226"/>
      <c r="R17194" s="226"/>
      <c r="S17194" s="226"/>
      <c r="T17194" s="226"/>
      <c r="U17194" s="226"/>
    </row>
    <row r="17195" spans="16:21" x14ac:dyDescent="0.35">
      <c r="P17195" s="226"/>
      <c r="Q17195" s="226"/>
      <c r="R17195" s="226"/>
      <c r="S17195" s="226"/>
      <c r="T17195" s="226"/>
      <c r="U17195" s="226"/>
    </row>
    <row r="17196" spans="16:21" x14ac:dyDescent="0.35">
      <c r="P17196" s="226"/>
      <c r="Q17196" s="226"/>
      <c r="R17196" s="226"/>
      <c r="S17196" s="226"/>
      <c r="T17196" s="226"/>
      <c r="U17196" s="226"/>
    </row>
    <row r="17197" spans="16:21" x14ac:dyDescent="0.35">
      <c r="P17197" s="226"/>
      <c r="Q17197" s="226"/>
      <c r="R17197" s="226"/>
      <c r="S17197" s="226"/>
      <c r="T17197" s="226"/>
      <c r="U17197" s="226"/>
    </row>
    <row r="17198" spans="16:21" x14ac:dyDescent="0.35">
      <c r="P17198" s="226"/>
      <c r="Q17198" s="226"/>
      <c r="R17198" s="226"/>
      <c r="S17198" s="226"/>
      <c r="T17198" s="226"/>
      <c r="U17198" s="226"/>
    </row>
    <row r="17199" spans="16:21" x14ac:dyDescent="0.35">
      <c r="P17199" s="226"/>
      <c r="Q17199" s="226"/>
      <c r="R17199" s="226"/>
      <c r="S17199" s="226"/>
      <c r="T17199" s="226"/>
      <c r="U17199" s="226"/>
    </row>
    <row r="17200" spans="16:21" x14ac:dyDescent="0.35">
      <c r="P17200" s="226"/>
      <c r="Q17200" s="226"/>
      <c r="R17200" s="226"/>
      <c r="S17200" s="226"/>
      <c r="T17200" s="226"/>
      <c r="U17200" s="226"/>
    </row>
    <row r="17201" spans="16:21" x14ac:dyDescent="0.35">
      <c r="P17201" s="226"/>
      <c r="Q17201" s="226"/>
      <c r="R17201" s="226"/>
      <c r="S17201" s="226"/>
      <c r="T17201" s="226"/>
      <c r="U17201" s="226"/>
    </row>
    <row r="17202" spans="16:21" x14ac:dyDescent="0.35">
      <c r="P17202" s="226"/>
      <c r="Q17202" s="226"/>
      <c r="R17202" s="226"/>
      <c r="S17202" s="226"/>
      <c r="T17202" s="226"/>
      <c r="U17202" s="226"/>
    </row>
    <row r="17203" spans="16:21" x14ac:dyDescent="0.35">
      <c r="P17203" s="226"/>
      <c r="Q17203" s="226"/>
      <c r="R17203" s="226"/>
      <c r="S17203" s="226"/>
      <c r="T17203" s="226"/>
      <c r="U17203" s="226"/>
    </row>
    <row r="17204" spans="16:21" x14ac:dyDescent="0.35">
      <c r="P17204" s="226"/>
      <c r="Q17204" s="226"/>
      <c r="R17204" s="226"/>
      <c r="S17204" s="226"/>
      <c r="T17204" s="226"/>
      <c r="U17204" s="226"/>
    </row>
    <row r="17205" spans="16:21" x14ac:dyDescent="0.35">
      <c r="P17205" s="226"/>
      <c r="Q17205" s="226"/>
      <c r="R17205" s="226"/>
      <c r="S17205" s="226"/>
      <c r="T17205" s="226"/>
      <c r="U17205" s="226"/>
    </row>
    <row r="17206" spans="16:21" x14ac:dyDescent="0.35">
      <c r="P17206" s="226"/>
      <c r="Q17206" s="226"/>
      <c r="R17206" s="226"/>
      <c r="S17206" s="226"/>
      <c r="T17206" s="226"/>
      <c r="U17206" s="226"/>
    </row>
    <row r="17207" spans="16:21" x14ac:dyDescent="0.35">
      <c r="P17207" s="226"/>
      <c r="Q17207" s="226"/>
      <c r="R17207" s="226"/>
      <c r="S17207" s="226"/>
      <c r="T17207" s="226"/>
      <c r="U17207" s="226"/>
    </row>
    <row r="17208" spans="16:21" x14ac:dyDescent="0.35">
      <c r="P17208" s="226"/>
      <c r="Q17208" s="226"/>
      <c r="R17208" s="226"/>
      <c r="S17208" s="226"/>
      <c r="T17208" s="226"/>
      <c r="U17208" s="226"/>
    </row>
    <row r="17209" spans="16:21" x14ac:dyDescent="0.35">
      <c r="P17209" s="226"/>
      <c r="Q17209" s="226"/>
      <c r="R17209" s="226"/>
      <c r="S17209" s="226"/>
      <c r="T17209" s="226"/>
      <c r="U17209" s="226"/>
    </row>
    <row r="17210" spans="16:21" x14ac:dyDescent="0.35">
      <c r="P17210" s="226"/>
      <c r="Q17210" s="226"/>
      <c r="R17210" s="226"/>
      <c r="S17210" s="226"/>
      <c r="T17210" s="226"/>
      <c r="U17210" s="226"/>
    </row>
    <row r="17211" spans="16:21" x14ac:dyDescent="0.35">
      <c r="P17211" s="226"/>
      <c r="Q17211" s="226"/>
      <c r="R17211" s="226"/>
      <c r="S17211" s="226"/>
      <c r="T17211" s="226"/>
      <c r="U17211" s="226"/>
    </row>
    <row r="17212" spans="16:21" x14ac:dyDescent="0.35">
      <c r="P17212" s="226"/>
      <c r="Q17212" s="226"/>
      <c r="R17212" s="226"/>
      <c r="S17212" s="226"/>
      <c r="T17212" s="226"/>
      <c r="U17212" s="226"/>
    </row>
    <row r="17213" spans="16:21" x14ac:dyDescent="0.35">
      <c r="P17213" s="226"/>
      <c r="Q17213" s="226"/>
      <c r="R17213" s="226"/>
      <c r="S17213" s="226"/>
      <c r="T17213" s="226"/>
      <c r="U17213" s="226"/>
    </row>
    <row r="17214" spans="16:21" x14ac:dyDescent="0.35">
      <c r="P17214" s="226"/>
      <c r="Q17214" s="226"/>
      <c r="R17214" s="226"/>
      <c r="S17214" s="226"/>
      <c r="T17214" s="226"/>
      <c r="U17214" s="226"/>
    </row>
    <row r="17215" spans="16:21" x14ac:dyDescent="0.35">
      <c r="P17215" s="226"/>
      <c r="Q17215" s="226"/>
      <c r="R17215" s="226"/>
      <c r="S17215" s="226"/>
      <c r="T17215" s="226"/>
      <c r="U17215" s="226"/>
    </row>
    <row r="17216" spans="16:21" x14ac:dyDescent="0.35">
      <c r="P17216" s="226"/>
      <c r="Q17216" s="226"/>
      <c r="R17216" s="226"/>
      <c r="S17216" s="226"/>
      <c r="T17216" s="226"/>
      <c r="U17216" s="226"/>
    </row>
    <row r="17217" spans="16:21" x14ac:dyDescent="0.35">
      <c r="P17217" s="226"/>
      <c r="Q17217" s="226"/>
      <c r="R17217" s="226"/>
      <c r="S17217" s="226"/>
      <c r="T17217" s="226"/>
      <c r="U17217" s="226"/>
    </row>
    <row r="17218" spans="16:21" x14ac:dyDescent="0.35">
      <c r="P17218" s="226"/>
      <c r="Q17218" s="226"/>
      <c r="R17218" s="226"/>
      <c r="S17218" s="226"/>
      <c r="T17218" s="226"/>
      <c r="U17218" s="226"/>
    </row>
    <row r="17219" spans="16:21" x14ac:dyDescent="0.35">
      <c r="P17219" s="226"/>
      <c r="Q17219" s="226"/>
      <c r="R17219" s="226"/>
      <c r="S17219" s="226"/>
      <c r="T17219" s="226"/>
      <c r="U17219" s="226"/>
    </row>
    <row r="17220" spans="16:21" x14ac:dyDescent="0.35">
      <c r="P17220" s="226"/>
      <c r="Q17220" s="226"/>
      <c r="R17220" s="226"/>
      <c r="S17220" s="226"/>
      <c r="T17220" s="226"/>
      <c r="U17220" s="226"/>
    </row>
    <row r="17221" spans="16:21" x14ac:dyDescent="0.35">
      <c r="P17221" s="226"/>
      <c r="Q17221" s="226"/>
      <c r="R17221" s="226"/>
      <c r="S17221" s="226"/>
      <c r="T17221" s="226"/>
      <c r="U17221" s="226"/>
    </row>
    <row r="17222" spans="16:21" x14ac:dyDescent="0.35">
      <c r="P17222" s="226"/>
      <c r="Q17222" s="226"/>
      <c r="R17222" s="226"/>
      <c r="S17222" s="226"/>
      <c r="T17222" s="226"/>
      <c r="U17222" s="226"/>
    </row>
    <row r="17223" spans="16:21" x14ac:dyDescent="0.35">
      <c r="P17223" s="226"/>
      <c r="Q17223" s="226"/>
      <c r="R17223" s="226"/>
      <c r="S17223" s="226"/>
      <c r="T17223" s="226"/>
      <c r="U17223" s="226"/>
    </row>
    <row r="17224" spans="16:21" x14ac:dyDescent="0.35">
      <c r="P17224" s="226"/>
      <c r="Q17224" s="226"/>
      <c r="R17224" s="226"/>
      <c r="S17224" s="226"/>
      <c r="T17224" s="226"/>
      <c r="U17224" s="226"/>
    </row>
    <row r="17225" spans="16:21" x14ac:dyDescent="0.35">
      <c r="P17225" s="226"/>
      <c r="Q17225" s="226"/>
      <c r="R17225" s="226"/>
      <c r="S17225" s="226"/>
      <c r="T17225" s="226"/>
      <c r="U17225" s="226"/>
    </row>
    <row r="17226" spans="16:21" x14ac:dyDescent="0.35">
      <c r="P17226" s="226"/>
      <c r="Q17226" s="226"/>
      <c r="R17226" s="226"/>
      <c r="S17226" s="226"/>
      <c r="T17226" s="226"/>
      <c r="U17226" s="226"/>
    </row>
    <row r="17227" spans="16:21" x14ac:dyDescent="0.35">
      <c r="P17227" s="226"/>
      <c r="Q17227" s="226"/>
      <c r="R17227" s="226"/>
      <c r="S17227" s="226"/>
      <c r="T17227" s="226"/>
      <c r="U17227" s="226"/>
    </row>
    <row r="17228" spans="16:21" x14ac:dyDescent="0.35">
      <c r="P17228" s="226"/>
      <c r="Q17228" s="226"/>
      <c r="R17228" s="226"/>
      <c r="S17228" s="226"/>
      <c r="T17228" s="226"/>
      <c r="U17228" s="226"/>
    </row>
    <row r="17229" spans="16:21" x14ac:dyDescent="0.35">
      <c r="P17229" s="226"/>
      <c r="Q17229" s="226"/>
      <c r="R17229" s="226"/>
      <c r="S17229" s="226"/>
      <c r="T17229" s="226"/>
      <c r="U17229" s="226"/>
    </row>
    <row r="17230" spans="16:21" x14ac:dyDescent="0.35">
      <c r="P17230" s="226"/>
      <c r="Q17230" s="226"/>
      <c r="R17230" s="226"/>
      <c r="S17230" s="226"/>
      <c r="T17230" s="226"/>
      <c r="U17230" s="226"/>
    </row>
    <row r="17231" spans="16:21" x14ac:dyDescent="0.35">
      <c r="P17231" s="226"/>
      <c r="Q17231" s="226"/>
      <c r="R17231" s="226"/>
      <c r="S17231" s="226"/>
      <c r="T17231" s="226"/>
      <c r="U17231" s="226"/>
    </row>
    <row r="17232" spans="16:21" x14ac:dyDescent="0.35">
      <c r="P17232" s="226"/>
      <c r="Q17232" s="226"/>
      <c r="R17232" s="226"/>
      <c r="S17232" s="226"/>
      <c r="T17232" s="226"/>
      <c r="U17232" s="226"/>
    </row>
    <row r="17233" spans="16:21" x14ac:dyDescent="0.35">
      <c r="P17233" s="226"/>
      <c r="Q17233" s="226"/>
      <c r="R17233" s="226"/>
      <c r="S17233" s="226"/>
      <c r="T17233" s="226"/>
      <c r="U17233" s="226"/>
    </row>
    <row r="17234" spans="16:21" x14ac:dyDescent="0.35">
      <c r="P17234" s="226"/>
      <c r="Q17234" s="226"/>
      <c r="R17234" s="226"/>
      <c r="S17234" s="226"/>
      <c r="T17234" s="226"/>
      <c r="U17234" s="226"/>
    </row>
    <row r="17235" spans="16:21" x14ac:dyDescent="0.35">
      <c r="P17235" s="226"/>
      <c r="Q17235" s="226"/>
      <c r="R17235" s="226"/>
      <c r="S17235" s="226"/>
      <c r="T17235" s="226"/>
      <c r="U17235" s="226"/>
    </row>
    <row r="17236" spans="16:21" x14ac:dyDescent="0.35">
      <c r="P17236" s="226"/>
      <c r="Q17236" s="226"/>
      <c r="R17236" s="226"/>
      <c r="S17236" s="226"/>
      <c r="T17236" s="226"/>
      <c r="U17236" s="226"/>
    </row>
    <row r="17237" spans="16:21" x14ac:dyDescent="0.35">
      <c r="P17237" s="226"/>
      <c r="Q17237" s="226"/>
      <c r="R17237" s="226"/>
      <c r="S17237" s="226"/>
      <c r="T17237" s="226"/>
      <c r="U17237" s="226"/>
    </row>
    <row r="17238" spans="16:21" x14ac:dyDescent="0.35">
      <c r="P17238" s="226"/>
      <c r="Q17238" s="226"/>
      <c r="R17238" s="226"/>
      <c r="S17238" s="226"/>
      <c r="T17238" s="226"/>
      <c r="U17238" s="226"/>
    </row>
    <row r="17239" spans="16:21" x14ac:dyDescent="0.35">
      <c r="P17239" s="226"/>
      <c r="Q17239" s="226"/>
      <c r="R17239" s="226"/>
      <c r="S17239" s="226"/>
      <c r="T17239" s="226"/>
      <c r="U17239" s="226"/>
    </row>
    <row r="17240" spans="16:21" x14ac:dyDescent="0.35">
      <c r="P17240" s="226"/>
      <c r="Q17240" s="226"/>
      <c r="R17240" s="226"/>
      <c r="S17240" s="226"/>
      <c r="T17240" s="226"/>
      <c r="U17240" s="226"/>
    </row>
    <row r="17241" spans="16:21" x14ac:dyDescent="0.35">
      <c r="P17241" s="226"/>
      <c r="Q17241" s="226"/>
      <c r="R17241" s="226"/>
      <c r="S17241" s="226"/>
      <c r="T17241" s="226"/>
      <c r="U17241" s="226"/>
    </row>
    <row r="17242" spans="16:21" x14ac:dyDescent="0.35">
      <c r="P17242" s="226"/>
      <c r="Q17242" s="226"/>
      <c r="R17242" s="226"/>
      <c r="S17242" s="226"/>
      <c r="T17242" s="226"/>
      <c r="U17242" s="226"/>
    </row>
    <row r="17243" spans="16:21" x14ac:dyDescent="0.35">
      <c r="P17243" s="226"/>
      <c r="Q17243" s="226"/>
      <c r="R17243" s="226"/>
      <c r="S17243" s="226"/>
      <c r="T17243" s="226"/>
      <c r="U17243" s="226"/>
    </row>
    <row r="17244" spans="16:21" x14ac:dyDescent="0.35">
      <c r="P17244" s="226"/>
      <c r="Q17244" s="226"/>
      <c r="R17244" s="226"/>
      <c r="S17244" s="226"/>
      <c r="T17244" s="226"/>
      <c r="U17244" s="226"/>
    </row>
    <row r="17245" spans="16:21" x14ac:dyDescent="0.35">
      <c r="P17245" s="226"/>
      <c r="Q17245" s="226"/>
      <c r="R17245" s="226"/>
      <c r="S17245" s="226"/>
      <c r="T17245" s="226"/>
      <c r="U17245" s="226"/>
    </row>
    <row r="17246" spans="16:21" x14ac:dyDescent="0.35">
      <c r="P17246" s="226"/>
      <c r="Q17246" s="226"/>
      <c r="R17246" s="226"/>
      <c r="S17246" s="226"/>
      <c r="T17246" s="226"/>
      <c r="U17246" s="226"/>
    </row>
    <row r="17247" spans="16:21" x14ac:dyDescent="0.35">
      <c r="P17247" s="226"/>
      <c r="Q17247" s="226"/>
      <c r="R17247" s="226"/>
      <c r="S17247" s="226"/>
      <c r="T17247" s="226"/>
      <c r="U17247" s="226"/>
    </row>
    <row r="17248" spans="16:21" x14ac:dyDescent="0.35">
      <c r="P17248" s="226"/>
      <c r="Q17248" s="226"/>
      <c r="R17248" s="226"/>
      <c r="S17248" s="226"/>
      <c r="T17248" s="226"/>
      <c r="U17248" s="226"/>
    </row>
    <row r="17249" spans="16:21" x14ac:dyDescent="0.35">
      <c r="P17249" s="226"/>
      <c r="Q17249" s="226"/>
      <c r="R17249" s="226"/>
      <c r="S17249" s="226"/>
      <c r="T17249" s="226"/>
      <c r="U17249" s="226"/>
    </row>
    <row r="17250" spans="16:21" x14ac:dyDescent="0.35">
      <c r="P17250" s="226"/>
      <c r="Q17250" s="226"/>
      <c r="R17250" s="226"/>
      <c r="S17250" s="226"/>
      <c r="T17250" s="226"/>
      <c r="U17250" s="226"/>
    </row>
    <row r="17251" spans="16:21" x14ac:dyDescent="0.35">
      <c r="P17251" s="226"/>
      <c r="Q17251" s="226"/>
      <c r="R17251" s="226"/>
      <c r="S17251" s="226"/>
      <c r="T17251" s="226"/>
      <c r="U17251" s="226"/>
    </row>
    <row r="17252" spans="16:21" x14ac:dyDescent="0.35">
      <c r="P17252" s="226"/>
      <c r="Q17252" s="226"/>
      <c r="R17252" s="226"/>
      <c r="S17252" s="226"/>
      <c r="T17252" s="226"/>
      <c r="U17252" s="226"/>
    </row>
    <row r="17253" spans="16:21" x14ac:dyDescent="0.35">
      <c r="P17253" s="226"/>
      <c r="Q17253" s="226"/>
      <c r="R17253" s="226"/>
      <c r="S17253" s="226"/>
      <c r="T17253" s="226"/>
      <c r="U17253" s="226"/>
    </row>
    <row r="17254" spans="16:21" x14ac:dyDescent="0.35">
      <c r="P17254" s="226"/>
      <c r="Q17254" s="226"/>
      <c r="R17254" s="226"/>
      <c r="S17254" s="226"/>
      <c r="T17254" s="226"/>
      <c r="U17254" s="226"/>
    </row>
    <row r="17255" spans="16:21" x14ac:dyDescent="0.35">
      <c r="P17255" s="226"/>
      <c r="Q17255" s="226"/>
      <c r="R17255" s="226"/>
      <c r="S17255" s="226"/>
      <c r="T17255" s="226"/>
      <c r="U17255" s="226"/>
    </row>
    <row r="17256" spans="16:21" x14ac:dyDescent="0.35">
      <c r="P17256" s="226"/>
      <c r="Q17256" s="226"/>
      <c r="R17256" s="226"/>
      <c r="S17256" s="226"/>
      <c r="T17256" s="226"/>
      <c r="U17256" s="226"/>
    </row>
    <row r="17257" spans="16:21" x14ac:dyDescent="0.35">
      <c r="P17257" s="226"/>
      <c r="Q17257" s="226"/>
      <c r="R17257" s="226"/>
      <c r="S17257" s="226"/>
      <c r="T17257" s="226"/>
      <c r="U17257" s="226"/>
    </row>
    <row r="17258" spans="16:21" x14ac:dyDescent="0.35">
      <c r="P17258" s="226"/>
      <c r="Q17258" s="226"/>
      <c r="R17258" s="226"/>
      <c r="S17258" s="226"/>
      <c r="T17258" s="226"/>
      <c r="U17258" s="226"/>
    </row>
    <row r="17259" spans="16:21" x14ac:dyDescent="0.35">
      <c r="P17259" s="226"/>
      <c r="Q17259" s="226"/>
      <c r="R17259" s="226"/>
      <c r="S17259" s="226"/>
      <c r="T17259" s="226"/>
      <c r="U17259" s="226"/>
    </row>
    <row r="17260" spans="16:21" x14ac:dyDescent="0.35">
      <c r="P17260" s="226"/>
      <c r="Q17260" s="226"/>
      <c r="R17260" s="226"/>
      <c r="S17260" s="226"/>
      <c r="T17260" s="226"/>
      <c r="U17260" s="226"/>
    </row>
    <row r="17261" spans="16:21" x14ac:dyDescent="0.35">
      <c r="P17261" s="226"/>
      <c r="Q17261" s="226"/>
      <c r="R17261" s="226"/>
      <c r="S17261" s="226"/>
      <c r="T17261" s="226"/>
      <c r="U17261" s="226"/>
    </row>
    <row r="17262" spans="16:21" x14ac:dyDescent="0.35">
      <c r="P17262" s="226"/>
      <c r="Q17262" s="226"/>
      <c r="R17262" s="226"/>
      <c r="S17262" s="226"/>
      <c r="T17262" s="226"/>
      <c r="U17262" s="226"/>
    </row>
    <row r="17263" spans="16:21" x14ac:dyDescent="0.35">
      <c r="P17263" s="226"/>
      <c r="Q17263" s="226"/>
      <c r="R17263" s="226"/>
      <c r="S17263" s="226"/>
      <c r="T17263" s="226"/>
      <c r="U17263" s="226"/>
    </row>
    <row r="17264" spans="16:21" x14ac:dyDescent="0.35">
      <c r="P17264" s="226"/>
      <c r="Q17264" s="226"/>
      <c r="R17264" s="226"/>
      <c r="S17264" s="226"/>
      <c r="T17264" s="226"/>
      <c r="U17264" s="226"/>
    </row>
    <row r="17265" spans="16:21" x14ac:dyDescent="0.35">
      <c r="P17265" s="226"/>
      <c r="Q17265" s="226"/>
      <c r="R17265" s="226"/>
      <c r="S17265" s="226"/>
      <c r="T17265" s="226"/>
      <c r="U17265" s="226"/>
    </row>
    <row r="17266" spans="16:21" x14ac:dyDescent="0.35">
      <c r="P17266" s="226"/>
      <c r="Q17266" s="226"/>
      <c r="R17266" s="226"/>
      <c r="S17266" s="226"/>
      <c r="T17266" s="226"/>
      <c r="U17266" s="226"/>
    </row>
    <row r="17267" spans="16:21" x14ac:dyDescent="0.35">
      <c r="P17267" s="226"/>
      <c r="Q17267" s="226"/>
      <c r="R17267" s="226"/>
      <c r="S17267" s="226"/>
      <c r="T17267" s="226"/>
      <c r="U17267" s="226"/>
    </row>
    <row r="17268" spans="16:21" x14ac:dyDescent="0.35">
      <c r="P17268" s="226"/>
      <c r="Q17268" s="226"/>
      <c r="R17268" s="226"/>
      <c r="S17268" s="226"/>
      <c r="T17268" s="226"/>
      <c r="U17268" s="226"/>
    </row>
    <row r="17269" spans="16:21" x14ac:dyDescent="0.35">
      <c r="P17269" s="226"/>
      <c r="Q17269" s="226"/>
      <c r="R17269" s="226"/>
      <c r="S17269" s="226"/>
      <c r="T17269" s="226"/>
      <c r="U17269" s="226"/>
    </row>
    <row r="17270" spans="16:21" x14ac:dyDescent="0.35">
      <c r="P17270" s="226"/>
      <c r="Q17270" s="226"/>
      <c r="R17270" s="226"/>
      <c r="S17270" s="226"/>
      <c r="T17270" s="226"/>
      <c r="U17270" s="226"/>
    </row>
    <row r="17271" spans="16:21" x14ac:dyDescent="0.35">
      <c r="P17271" s="226"/>
      <c r="Q17271" s="226"/>
      <c r="R17271" s="226"/>
      <c r="S17271" s="226"/>
      <c r="T17271" s="226"/>
      <c r="U17271" s="226"/>
    </row>
    <row r="17272" spans="16:21" x14ac:dyDescent="0.35">
      <c r="P17272" s="226"/>
      <c r="Q17272" s="226"/>
      <c r="R17272" s="226"/>
      <c r="S17272" s="226"/>
      <c r="T17272" s="226"/>
      <c r="U17272" s="226"/>
    </row>
    <row r="17273" spans="16:21" x14ac:dyDescent="0.35">
      <c r="P17273" s="226"/>
      <c r="Q17273" s="226"/>
      <c r="R17273" s="226"/>
      <c r="S17273" s="226"/>
      <c r="T17273" s="226"/>
      <c r="U17273" s="226"/>
    </row>
    <row r="17274" spans="16:21" x14ac:dyDescent="0.35">
      <c r="P17274" s="226"/>
      <c r="Q17274" s="226"/>
      <c r="R17274" s="226"/>
      <c r="S17274" s="226"/>
      <c r="T17274" s="226"/>
      <c r="U17274" s="226"/>
    </row>
    <row r="17275" spans="16:21" x14ac:dyDescent="0.35">
      <c r="P17275" s="226"/>
      <c r="Q17275" s="226"/>
      <c r="R17275" s="226"/>
      <c r="S17275" s="226"/>
      <c r="T17275" s="226"/>
      <c r="U17275" s="226"/>
    </row>
    <row r="17276" spans="16:21" x14ac:dyDescent="0.35">
      <c r="P17276" s="226"/>
      <c r="Q17276" s="226"/>
      <c r="R17276" s="226"/>
      <c r="S17276" s="226"/>
      <c r="T17276" s="226"/>
      <c r="U17276" s="226"/>
    </row>
    <row r="17277" spans="16:21" x14ac:dyDescent="0.35">
      <c r="P17277" s="226"/>
      <c r="Q17277" s="226"/>
      <c r="R17277" s="226"/>
      <c r="S17277" s="226"/>
      <c r="T17277" s="226"/>
      <c r="U17277" s="226"/>
    </row>
    <row r="17278" spans="16:21" x14ac:dyDescent="0.35">
      <c r="P17278" s="226"/>
      <c r="Q17278" s="226"/>
      <c r="R17278" s="226"/>
      <c r="S17278" s="226"/>
      <c r="T17278" s="226"/>
      <c r="U17278" s="226"/>
    </row>
    <row r="17279" spans="16:21" x14ac:dyDescent="0.35">
      <c r="P17279" s="226"/>
      <c r="Q17279" s="226"/>
      <c r="R17279" s="226"/>
      <c r="S17279" s="226"/>
      <c r="T17279" s="226"/>
      <c r="U17279" s="226"/>
    </row>
    <row r="17280" spans="16:21" x14ac:dyDescent="0.35">
      <c r="P17280" s="226"/>
      <c r="Q17280" s="226"/>
      <c r="R17280" s="226"/>
      <c r="S17280" s="226"/>
      <c r="T17280" s="226"/>
      <c r="U17280" s="226"/>
    </row>
    <row r="17281" spans="16:21" x14ac:dyDescent="0.35">
      <c r="P17281" s="226"/>
      <c r="Q17281" s="226"/>
      <c r="R17281" s="226"/>
      <c r="S17281" s="226"/>
      <c r="T17281" s="226"/>
      <c r="U17281" s="226"/>
    </row>
    <row r="17282" spans="16:21" x14ac:dyDescent="0.35">
      <c r="P17282" s="226"/>
      <c r="Q17282" s="226"/>
      <c r="R17282" s="226"/>
      <c r="S17282" s="226"/>
      <c r="T17282" s="226"/>
      <c r="U17282" s="226"/>
    </row>
    <row r="17283" spans="16:21" x14ac:dyDescent="0.35">
      <c r="P17283" s="226"/>
      <c r="Q17283" s="226"/>
      <c r="R17283" s="226"/>
      <c r="S17283" s="226"/>
      <c r="T17283" s="226"/>
      <c r="U17283" s="226"/>
    </row>
    <row r="17284" spans="16:21" x14ac:dyDescent="0.35">
      <c r="P17284" s="226"/>
      <c r="Q17284" s="226"/>
      <c r="R17284" s="226"/>
      <c r="S17284" s="226"/>
      <c r="T17284" s="226"/>
      <c r="U17284" s="226"/>
    </row>
    <row r="17285" spans="16:21" x14ac:dyDescent="0.35">
      <c r="P17285" s="226"/>
      <c r="Q17285" s="226"/>
      <c r="R17285" s="226"/>
      <c r="S17285" s="226"/>
      <c r="T17285" s="226"/>
      <c r="U17285" s="226"/>
    </row>
    <row r="17286" spans="16:21" x14ac:dyDescent="0.35">
      <c r="P17286" s="226"/>
      <c r="Q17286" s="226"/>
      <c r="R17286" s="226"/>
      <c r="S17286" s="226"/>
      <c r="T17286" s="226"/>
      <c r="U17286" s="226"/>
    </row>
    <row r="17287" spans="16:21" x14ac:dyDescent="0.35">
      <c r="P17287" s="226"/>
      <c r="Q17287" s="226"/>
      <c r="R17287" s="226"/>
      <c r="S17287" s="226"/>
      <c r="T17287" s="226"/>
      <c r="U17287" s="226"/>
    </row>
    <row r="17288" spans="16:21" x14ac:dyDescent="0.35">
      <c r="P17288" s="226"/>
      <c r="Q17288" s="226"/>
      <c r="R17288" s="226"/>
      <c r="S17288" s="226"/>
      <c r="T17288" s="226"/>
      <c r="U17288" s="226"/>
    </row>
    <row r="17289" spans="16:21" x14ac:dyDescent="0.35">
      <c r="P17289" s="226"/>
      <c r="Q17289" s="226"/>
      <c r="R17289" s="226"/>
      <c r="S17289" s="226"/>
      <c r="T17289" s="226"/>
      <c r="U17289" s="226"/>
    </row>
    <row r="17290" spans="16:21" x14ac:dyDescent="0.35">
      <c r="P17290" s="226"/>
      <c r="Q17290" s="226"/>
      <c r="R17290" s="226"/>
      <c r="S17290" s="226"/>
      <c r="T17290" s="226"/>
      <c r="U17290" s="226"/>
    </row>
    <row r="17291" spans="16:21" x14ac:dyDescent="0.35">
      <c r="P17291" s="226"/>
      <c r="Q17291" s="226"/>
      <c r="R17291" s="226"/>
      <c r="S17291" s="226"/>
      <c r="T17291" s="226"/>
      <c r="U17291" s="226"/>
    </row>
    <row r="17292" spans="16:21" x14ac:dyDescent="0.35">
      <c r="P17292" s="226"/>
      <c r="Q17292" s="226"/>
      <c r="R17292" s="226"/>
      <c r="S17292" s="226"/>
      <c r="T17292" s="226"/>
      <c r="U17292" s="226"/>
    </row>
    <row r="17293" spans="16:21" x14ac:dyDescent="0.35">
      <c r="P17293" s="226"/>
      <c r="Q17293" s="226"/>
      <c r="R17293" s="226"/>
      <c r="S17293" s="226"/>
      <c r="T17293" s="226"/>
      <c r="U17293" s="226"/>
    </row>
    <row r="17294" spans="16:21" x14ac:dyDescent="0.35">
      <c r="P17294" s="226"/>
      <c r="Q17294" s="226"/>
      <c r="R17294" s="226"/>
      <c r="S17294" s="226"/>
      <c r="T17294" s="226"/>
      <c r="U17294" s="226"/>
    </row>
    <row r="17295" spans="16:21" x14ac:dyDescent="0.35">
      <c r="P17295" s="226"/>
      <c r="Q17295" s="226"/>
      <c r="R17295" s="226"/>
      <c r="S17295" s="226"/>
      <c r="T17295" s="226"/>
      <c r="U17295" s="226"/>
    </row>
    <row r="17296" spans="16:21" x14ac:dyDescent="0.35">
      <c r="P17296" s="226"/>
      <c r="Q17296" s="226"/>
      <c r="R17296" s="226"/>
      <c r="S17296" s="226"/>
      <c r="T17296" s="226"/>
      <c r="U17296" s="226"/>
    </row>
    <row r="17297" spans="16:21" x14ac:dyDescent="0.35">
      <c r="P17297" s="226"/>
      <c r="Q17297" s="226"/>
      <c r="R17297" s="226"/>
      <c r="S17297" s="226"/>
      <c r="T17297" s="226"/>
      <c r="U17297" s="226"/>
    </row>
    <row r="17298" spans="16:21" x14ac:dyDescent="0.35">
      <c r="P17298" s="226"/>
      <c r="Q17298" s="226"/>
      <c r="R17298" s="226"/>
      <c r="S17298" s="226"/>
      <c r="T17298" s="226"/>
      <c r="U17298" s="226"/>
    </row>
    <row r="17299" spans="16:21" x14ac:dyDescent="0.35">
      <c r="P17299" s="226"/>
      <c r="Q17299" s="226"/>
      <c r="R17299" s="226"/>
      <c r="S17299" s="226"/>
      <c r="T17299" s="226"/>
      <c r="U17299" s="226"/>
    </row>
    <row r="17300" spans="16:21" x14ac:dyDescent="0.35">
      <c r="P17300" s="226"/>
      <c r="Q17300" s="226"/>
      <c r="R17300" s="226"/>
      <c r="S17300" s="226"/>
      <c r="T17300" s="226"/>
      <c r="U17300" s="226"/>
    </row>
    <row r="17301" spans="16:21" x14ac:dyDescent="0.35">
      <c r="P17301" s="226"/>
      <c r="Q17301" s="226"/>
      <c r="R17301" s="226"/>
      <c r="S17301" s="226"/>
      <c r="T17301" s="226"/>
      <c r="U17301" s="226"/>
    </row>
    <row r="17302" spans="16:21" x14ac:dyDescent="0.35">
      <c r="P17302" s="226"/>
      <c r="Q17302" s="226"/>
      <c r="R17302" s="226"/>
      <c r="S17302" s="226"/>
      <c r="T17302" s="226"/>
      <c r="U17302" s="226"/>
    </row>
    <row r="17303" spans="16:21" x14ac:dyDescent="0.35">
      <c r="P17303" s="226"/>
      <c r="Q17303" s="226"/>
      <c r="R17303" s="226"/>
      <c r="S17303" s="226"/>
      <c r="T17303" s="226"/>
      <c r="U17303" s="226"/>
    </row>
    <row r="17304" spans="16:21" x14ac:dyDescent="0.35">
      <c r="P17304" s="226"/>
      <c r="Q17304" s="226"/>
      <c r="R17304" s="226"/>
      <c r="S17304" s="226"/>
      <c r="T17304" s="226"/>
      <c r="U17304" s="226"/>
    </row>
    <row r="17305" spans="16:21" x14ac:dyDescent="0.35">
      <c r="P17305" s="226"/>
      <c r="Q17305" s="226"/>
      <c r="R17305" s="226"/>
      <c r="S17305" s="226"/>
      <c r="T17305" s="226"/>
      <c r="U17305" s="226"/>
    </row>
    <row r="17306" spans="16:21" x14ac:dyDescent="0.35">
      <c r="P17306" s="226"/>
      <c r="Q17306" s="226"/>
      <c r="R17306" s="226"/>
      <c r="S17306" s="226"/>
      <c r="T17306" s="226"/>
      <c r="U17306" s="226"/>
    </row>
    <row r="17307" spans="16:21" x14ac:dyDescent="0.35">
      <c r="P17307" s="226"/>
      <c r="Q17307" s="226"/>
      <c r="R17307" s="226"/>
      <c r="S17307" s="226"/>
      <c r="T17307" s="226"/>
      <c r="U17307" s="226"/>
    </row>
    <row r="17308" spans="16:21" x14ac:dyDescent="0.35">
      <c r="P17308" s="226"/>
      <c r="Q17308" s="226"/>
      <c r="R17308" s="226"/>
      <c r="S17308" s="226"/>
      <c r="T17308" s="226"/>
      <c r="U17308" s="226"/>
    </row>
    <row r="17309" spans="16:21" x14ac:dyDescent="0.35">
      <c r="P17309" s="226"/>
      <c r="Q17309" s="226"/>
      <c r="R17309" s="226"/>
      <c r="S17309" s="226"/>
      <c r="T17309" s="226"/>
      <c r="U17309" s="226"/>
    </row>
    <row r="17310" spans="16:21" x14ac:dyDescent="0.35">
      <c r="P17310" s="226"/>
      <c r="Q17310" s="226"/>
      <c r="R17310" s="226"/>
      <c r="S17310" s="226"/>
      <c r="T17310" s="226"/>
      <c r="U17310" s="226"/>
    </row>
    <row r="17311" spans="16:21" x14ac:dyDescent="0.35">
      <c r="P17311" s="226"/>
      <c r="Q17311" s="226"/>
      <c r="R17311" s="226"/>
      <c r="S17311" s="226"/>
      <c r="T17311" s="226"/>
      <c r="U17311" s="226"/>
    </row>
    <row r="17312" spans="16:21" x14ac:dyDescent="0.35">
      <c r="P17312" s="226"/>
      <c r="Q17312" s="226"/>
      <c r="R17312" s="226"/>
      <c r="S17312" s="226"/>
      <c r="T17312" s="226"/>
      <c r="U17312" s="226"/>
    </row>
    <row r="17313" spans="16:21" x14ac:dyDescent="0.35">
      <c r="P17313" s="226"/>
      <c r="Q17313" s="226"/>
      <c r="R17313" s="226"/>
      <c r="S17313" s="226"/>
      <c r="T17313" s="226"/>
      <c r="U17313" s="226"/>
    </row>
    <row r="17314" spans="16:21" x14ac:dyDescent="0.35">
      <c r="P17314" s="226"/>
      <c r="Q17314" s="226"/>
      <c r="R17314" s="226"/>
      <c r="S17314" s="226"/>
      <c r="T17314" s="226"/>
      <c r="U17314" s="226"/>
    </row>
    <row r="17315" spans="16:21" x14ac:dyDescent="0.35">
      <c r="P17315" s="226"/>
      <c r="Q17315" s="226"/>
      <c r="R17315" s="226"/>
      <c r="S17315" s="226"/>
      <c r="T17315" s="226"/>
      <c r="U17315" s="226"/>
    </row>
    <row r="17316" spans="16:21" x14ac:dyDescent="0.35">
      <c r="P17316" s="226"/>
      <c r="Q17316" s="226"/>
      <c r="R17316" s="226"/>
      <c r="S17316" s="226"/>
      <c r="T17316" s="226"/>
      <c r="U17316" s="226"/>
    </row>
    <row r="17317" spans="16:21" x14ac:dyDescent="0.35">
      <c r="P17317" s="226"/>
      <c r="Q17317" s="226"/>
      <c r="R17317" s="226"/>
      <c r="S17317" s="226"/>
      <c r="T17317" s="226"/>
      <c r="U17317" s="226"/>
    </row>
    <row r="17318" spans="16:21" x14ac:dyDescent="0.35">
      <c r="P17318" s="226"/>
      <c r="Q17318" s="226"/>
      <c r="R17318" s="226"/>
      <c r="S17318" s="226"/>
      <c r="T17318" s="226"/>
      <c r="U17318" s="226"/>
    </row>
    <row r="17319" spans="16:21" x14ac:dyDescent="0.35">
      <c r="P17319" s="226"/>
      <c r="Q17319" s="226"/>
      <c r="R17319" s="226"/>
      <c r="S17319" s="226"/>
      <c r="T17319" s="226"/>
      <c r="U17319" s="226"/>
    </row>
    <row r="17320" spans="16:21" x14ac:dyDescent="0.35">
      <c r="P17320" s="226"/>
      <c r="Q17320" s="226"/>
      <c r="R17320" s="226"/>
      <c r="S17320" s="226"/>
      <c r="T17320" s="226"/>
      <c r="U17320" s="226"/>
    </row>
    <row r="17321" spans="16:21" x14ac:dyDescent="0.35">
      <c r="P17321" s="226"/>
      <c r="Q17321" s="226"/>
      <c r="R17321" s="226"/>
      <c r="S17321" s="226"/>
      <c r="T17321" s="226"/>
      <c r="U17321" s="226"/>
    </row>
    <row r="17322" spans="16:21" x14ac:dyDescent="0.35">
      <c r="P17322" s="226"/>
      <c r="Q17322" s="226"/>
      <c r="R17322" s="226"/>
      <c r="S17322" s="226"/>
      <c r="T17322" s="226"/>
      <c r="U17322" s="226"/>
    </row>
    <row r="17323" spans="16:21" x14ac:dyDescent="0.35">
      <c r="P17323" s="226"/>
      <c r="Q17323" s="226"/>
      <c r="R17323" s="226"/>
      <c r="S17323" s="226"/>
      <c r="T17323" s="226"/>
      <c r="U17323" s="226"/>
    </row>
    <row r="17324" spans="16:21" x14ac:dyDescent="0.35">
      <c r="P17324" s="226"/>
      <c r="Q17324" s="226"/>
      <c r="R17324" s="226"/>
      <c r="S17324" s="226"/>
      <c r="T17324" s="226"/>
      <c r="U17324" s="226"/>
    </row>
    <row r="17325" spans="16:21" x14ac:dyDescent="0.35">
      <c r="P17325" s="226"/>
      <c r="Q17325" s="226"/>
      <c r="R17325" s="226"/>
      <c r="S17325" s="226"/>
      <c r="T17325" s="226"/>
      <c r="U17325" s="226"/>
    </row>
    <row r="17326" spans="16:21" x14ac:dyDescent="0.35">
      <c r="P17326" s="226"/>
      <c r="Q17326" s="226"/>
      <c r="R17326" s="226"/>
      <c r="S17326" s="226"/>
      <c r="T17326" s="226"/>
      <c r="U17326" s="226"/>
    </row>
    <row r="17327" spans="16:21" x14ac:dyDescent="0.35">
      <c r="P17327" s="226"/>
      <c r="Q17327" s="226"/>
      <c r="R17327" s="226"/>
      <c r="S17327" s="226"/>
      <c r="T17327" s="226"/>
      <c r="U17327" s="226"/>
    </row>
    <row r="17328" spans="16:21" x14ac:dyDescent="0.35">
      <c r="P17328" s="226"/>
      <c r="Q17328" s="226"/>
      <c r="R17328" s="226"/>
      <c r="S17328" s="226"/>
      <c r="T17328" s="226"/>
      <c r="U17328" s="226"/>
    </row>
    <row r="17329" spans="16:21" x14ac:dyDescent="0.35">
      <c r="P17329" s="226"/>
      <c r="Q17329" s="226"/>
      <c r="R17329" s="226"/>
      <c r="S17329" s="226"/>
      <c r="T17329" s="226"/>
      <c r="U17329" s="226"/>
    </row>
    <row r="17330" spans="16:21" x14ac:dyDescent="0.35">
      <c r="P17330" s="226"/>
      <c r="Q17330" s="226"/>
      <c r="R17330" s="226"/>
      <c r="S17330" s="226"/>
      <c r="T17330" s="226"/>
      <c r="U17330" s="226"/>
    </row>
    <row r="17331" spans="16:21" x14ac:dyDescent="0.35">
      <c r="P17331" s="226"/>
      <c r="Q17331" s="226"/>
      <c r="R17331" s="226"/>
      <c r="S17331" s="226"/>
      <c r="T17331" s="226"/>
      <c r="U17331" s="226"/>
    </row>
    <row r="17332" spans="16:21" x14ac:dyDescent="0.35">
      <c r="P17332" s="226"/>
      <c r="Q17332" s="226"/>
      <c r="R17332" s="226"/>
      <c r="S17332" s="226"/>
      <c r="T17332" s="226"/>
      <c r="U17332" s="226"/>
    </row>
    <row r="17333" spans="16:21" x14ac:dyDescent="0.35">
      <c r="P17333" s="226"/>
      <c r="Q17333" s="226"/>
      <c r="R17333" s="226"/>
      <c r="S17333" s="226"/>
      <c r="T17333" s="226"/>
      <c r="U17333" s="226"/>
    </row>
    <row r="17334" spans="16:21" x14ac:dyDescent="0.35">
      <c r="P17334" s="226"/>
      <c r="Q17334" s="226"/>
      <c r="R17334" s="226"/>
      <c r="S17334" s="226"/>
      <c r="T17334" s="226"/>
      <c r="U17334" s="226"/>
    </row>
    <row r="17335" spans="16:21" x14ac:dyDescent="0.35">
      <c r="P17335" s="226"/>
      <c r="Q17335" s="226"/>
      <c r="R17335" s="226"/>
      <c r="S17335" s="226"/>
      <c r="T17335" s="226"/>
      <c r="U17335" s="226"/>
    </row>
    <row r="17336" spans="16:21" x14ac:dyDescent="0.35">
      <c r="P17336" s="226"/>
      <c r="Q17336" s="226"/>
      <c r="R17336" s="226"/>
      <c r="S17336" s="226"/>
      <c r="T17336" s="226"/>
      <c r="U17336" s="226"/>
    </row>
    <row r="17337" spans="16:21" x14ac:dyDescent="0.35">
      <c r="P17337" s="226"/>
      <c r="Q17337" s="226"/>
      <c r="R17337" s="226"/>
      <c r="S17337" s="226"/>
      <c r="T17337" s="226"/>
      <c r="U17337" s="226"/>
    </row>
    <row r="17338" spans="16:21" x14ac:dyDescent="0.35">
      <c r="P17338" s="226"/>
      <c r="Q17338" s="226"/>
      <c r="R17338" s="226"/>
      <c r="S17338" s="226"/>
      <c r="T17338" s="226"/>
      <c r="U17338" s="226"/>
    </row>
    <row r="17339" spans="16:21" x14ac:dyDescent="0.35">
      <c r="P17339" s="226"/>
      <c r="Q17339" s="226"/>
      <c r="R17339" s="226"/>
      <c r="S17339" s="226"/>
      <c r="T17339" s="226"/>
      <c r="U17339" s="226"/>
    </row>
    <row r="17340" spans="16:21" x14ac:dyDescent="0.35">
      <c r="P17340" s="226"/>
      <c r="Q17340" s="226"/>
      <c r="R17340" s="226"/>
      <c r="S17340" s="226"/>
      <c r="T17340" s="226"/>
      <c r="U17340" s="226"/>
    </row>
    <row r="17341" spans="16:21" x14ac:dyDescent="0.35">
      <c r="P17341" s="226"/>
      <c r="Q17341" s="226"/>
      <c r="R17341" s="226"/>
      <c r="S17341" s="226"/>
      <c r="T17341" s="226"/>
      <c r="U17341" s="226"/>
    </row>
    <row r="17342" spans="16:21" x14ac:dyDescent="0.35">
      <c r="P17342" s="226"/>
      <c r="Q17342" s="226"/>
      <c r="R17342" s="226"/>
      <c r="S17342" s="226"/>
      <c r="T17342" s="226"/>
      <c r="U17342" s="226"/>
    </row>
    <row r="17343" spans="16:21" x14ac:dyDescent="0.35">
      <c r="P17343" s="226"/>
      <c r="Q17343" s="226"/>
      <c r="R17343" s="226"/>
      <c r="S17343" s="226"/>
      <c r="T17343" s="226"/>
      <c r="U17343" s="226"/>
    </row>
    <row r="17344" spans="16:21" x14ac:dyDescent="0.35">
      <c r="P17344" s="226"/>
      <c r="Q17344" s="226"/>
      <c r="R17344" s="226"/>
      <c r="S17344" s="226"/>
      <c r="T17344" s="226"/>
      <c r="U17344" s="226"/>
    </row>
    <row r="17345" spans="16:21" x14ac:dyDescent="0.35">
      <c r="P17345" s="226"/>
      <c r="Q17345" s="226"/>
      <c r="R17345" s="226"/>
      <c r="S17345" s="226"/>
      <c r="T17345" s="226"/>
      <c r="U17345" s="226"/>
    </row>
    <row r="17346" spans="16:21" x14ac:dyDescent="0.35">
      <c r="P17346" s="226"/>
      <c r="Q17346" s="226"/>
      <c r="R17346" s="226"/>
      <c r="S17346" s="226"/>
      <c r="T17346" s="226"/>
      <c r="U17346" s="226"/>
    </row>
    <row r="17347" spans="16:21" x14ac:dyDescent="0.35">
      <c r="P17347" s="226"/>
      <c r="Q17347" s="226"/>
      <c r="R17347" s="226"/>
      <c r="S17347" s="226"/>
      <c r="T17347" s="226"/>
      <c r="U17347" s="226"/>
    </row>
    <row r="17348" spans="16:21" x14ac:dyDescent="0.35">
      <c r="P17348" s="226"/>
      <c r="Q17348" s="226"/>
      <c r="R17348" s="226"/>
      <c r="S17348" s="226"/>
      <c r="T17348" s="226"/>
      <c r="U17348" s="226"/>
    </row>
    <row r="17349" spans="16:21" x14ac:dyDescent="0.35">
      <c r="P17349" s="226"/>
      <c r="Q17349" s="226"/>
      <c r="R17349" s="226"/>
      <c r="S17349" s="226"/>
      <c r="T17349" s="226"/>
      <c r="U17349" s="226"/>
    </row>
    <row r="17350" spans="16:21" x14ac:dyDescent="0.35">
      <c r="P17350" s="226"/>
      <c r="Q17350" s="226"/>
      <c r="R17350" s="226"/>
      <c r="S17350" s="226"/>
      <c r="T17350" s="226"/>
      <c r="U17350" s="226"/>
    </row>
    <row r="17351" spans="16:21" x14ac:dyDescent="0.35">
      <c r="P17351" s="226"/>
      <c r="Q17351" s="226"/>
      <c r="R17351" s="226"/>
      <c r="S17351" s="226"/>
      <c r="T17351" s="226"/>
      <c r="U17351" s="226"/>
    </row>
    <row r="17352" spans="16:21" x14ac:dyDescent="0.35">
      <c r="P17352" s="226"/>
      <c r="Q17352" s="226"/>
      <c r="R17352" s="226"/>
      <c r="S17352" s="226"/>
      <c r="T17352" s="226"/>
      <c r="U17352" s="226"/>
    </row>
    <row r="17353" spans="16:21" x14ac:dyDescent="0.35">
      <c r="P17353" s="226"/>
      <c r="Q17353" s="226"/>
      <c r="R17353" s="226"/>
      <c r="S17353" s="226"/>
      <c r="T17353" s="226"/>
      <c r="U17353" s="226"/>
    </row>
    <row r="17354" spans="16:21" x14ac:dyDescent="0.35">
      <c r="P17354" s="226"/>
      <c r="Q17354" s="226"/>
      <c r="R17354" s="226"/>
      <c r="S17354" s="226"/>
      <c r="T17354" s="226"/>
      <c r="U17354" s="226"/>
    </row>
    <row r="17355" spans="16:21" x14ac:dyDescent="0.35">
      <c r="P17355" s="226"/>
      <c r="Q17355" s="226"/>
      <c r="R17355" s="226"/>
      <c r="S17355" s="226"/>
      <c r="T17355" s="226"/>
      <c r="U17355" s="226"/>
    </row>
    <row r="17356" spans="16:21" x14ac:dyDescent="0.35">
      <c r="P17356" s="226"/>
      <c r="Q17356" s="226"/>
      <c r="R17356" s="226"/>
      <c r="S17356" s="226"/>
      <c r="T17356" s="226"/>
      <c r="U17356" s="226"/>
    </row>
    <row r="17357" spans="16:21" x14ac:dyDescent="0.35">
      <c r="P17357" s="226"/>
      <c r="Q17357" s="226"/>
      <c r="R17357" s="226"/>
      <c r="S17357" s="226"/>
      <c r="T17357" s="226"/>
      <c r="U17357" s="226"/>
    </row>
    <row r="17358" spans="16:21" x14ac:dyDescent="0.35">
      <c r="P17358" s="226"/>
      <c r="Q17358" s="226"/>
      <c r="R17358" s="226"/>
      <c r="S17358" s="226"/>
      <c r="T17358" s="226"/>
      <c r="U17358" s="226"/>
    </row>
    <row r="17359" spans="16:21" x14ac:dyDescent="0.35">
      <c r="P17359" s="226"/>
      <c r="Q17359" s="226"/>
      <c r="R17359" s="226"/>
      <c r="S17359" s="226"/>
      <c r="T17359" s="226"/>
      <c r="U17359" s="226"/>
    </row>
    <row r="17360" spans="16:21" x14ac:dyDescent="0.35">
      <c r="P17360" s="226"/>
      <c r="Q17360" s="226"/>
      <c r="R17360" s="226"/>
      <c r="S17360" s="226"/>
      <c r="T17360" s="226"/>
      <c r="U17360" s="226"/>
    </row>
    <row r="17361" spans="16:21" x14ac:dyDescent="0.35">
      <c r="P17361" s="226"/>
      <c r="Q17361" s="226"/>
      <c r="R17361" s="226"/>
      <c r="S17361" s="226"/>
      <c r="T17361" s="226"/>
      <c r="U17361" s="226"/>
    </row>
    <row r="17362" spans="16:21" x14ac:dyDescent="0.35">
      <c r="P17362" s="226"/>
      <c r="Q17362" s="226"/>
      <c r="R17362" s="226"/>
      <c r="S17362" s="226"/>
      <c r="T17362" s="226"/>
      <c r="U17362" s="226"/>
    </row>
    <row r="17363" spans="16:21" x14ac:dyDescent="0.35">
      <c r="P17363" s="226"/>
      <c r="Q17363" s="226"/>
      <c r="R17363" s="226"/>
      <c r="S17363" s="226"/>
      <c r="T17363" s="226"/>
      <c r="U17363" s="226"/>
    </row>
    <row r="17364" spans="16:21" x14ac:dyDescent="0.35">
      <c r="P17364" s="226"/>
      <c r="Q17364" s="226"/>
      <c r="R17364" s="226"/>
      <c r="S17364" s="226"/>
      <c r="T17364" s="226"/>
      <c r="U17364" s="226"/>
    </row>
    <row r="17365" spans="16:21" x14ac:dyDescent="0.35">
      <c r="P17365" s="226"/>
      <c r="Q17365" s="226"/>
      <c r="R17365" s="226"/>
      <c r="S17365" s="226"/>
      <c r="T17365" s="226"/>
      <c r="U17365" s="226"/>
    </row>
    <row r="17366" spans="16:21" x14ac:dyDescent="0.35">
      <c r="P17366" s="226"/>
      <c r="Q17366" s="226"/>
      <c r="R17366" s="226"/>
      <c r="S17366" s="226"/>
      <c r="T17366" s="226"/>
      <c r="U17366" s="226"/>
    </row>
    <row r="17367" spans="16:21" x14ac:dyDescent="0.35">
      <c r="P17367" s="226"/>
      <c r="Q17367" s="226"/>
      <c r="R17367" s="226"/>
      <c r="S17367" s="226"/>
      <c r="T17367" s="226"/>
      <c r="U17367" s="226"/>
    </row>
    <row r="17368" spans="16:21" x14ac:dyDescent="0.35">
      <c r="P17368" s="226"/>
      <c r="Q17368" s="226"/>
      <c r="R17368" s="226"/>
      <c r="S17368" s="226"/>
      <c r="T17368" s="226"/>
      <c r="U17368" s="226"/>
    </row>
    <row r="17369" spans="16:21" x14ac:dyDescent="0.35">
      <c r="P17369" s="226"/>
      <c r="Q17369" s="226"/>
      <c r="R17369" s="226"/>
      <c r="S17369" s="226"/>
      <c r="T17369" s="226"/>
      <c r="U17369" s="226"/>
    </row>
    <row r="17370" spans="16:21" x14ac:dyDescent="0.35">
      <c r="P17370" s="226"/>
      <c r="Q17370" s="226"/>
      <c r="R17370" s="226"/>
      <c r="S17370" s="226"/>
      <c r="T17370" s="226"/>
      <c r="U17370" s="226"/>
    </row>
    <row r="17371" spans="16:21" x14ac:dyDescent="0.35">
      <c r="P17371" s="226"/>
      <c r="Q17371" s="226"/>
      <c r="R17371" s="226"/>
      <c r="S17371" s="226"/>
      <c r="T17371" s="226"/>
      <c r="U17371" s="226"/>
    </row>
    <row r="17372" spans="16:21" x14ac:dyDescent="0.35">
      <c r="P17372" s="226"/>
      <c r="Q17372" s="226"/>
      <c r="R17372" s="226"/>
      <c r="S17372" s="226"/>
      <c r="T17372" s="226"/>
      <c r="U17372" s="226"/>
    </row>
    <row r="17373" spans="16:21" x14ac:dyDescent="0.35">
      <c r="P17373" s="226"/>
      <c r="Q17373" s="226"/>
      <c r="R17373" s="226"/>
      <c r="S17373" s="226"/>
      <c r="T17373" s="226"/>
      <c r="U17373" s="226"/>
    </row>
    <row r="17374" spans="16:21" x14ac:dyDescent="0.35">
      <c r="P17374" s="226"/>
      <c r="Q17374" s="226"/>
      <c r="R17374" s="226"/>
      <c r="S17374" s="226"/>
      <c r="T17374" s="226"/>
      <c r="U17374" s="226"/>
    </row>
    <row r="17375" spans="16:21" x14ac:dyDescent="0.35">
      <c r="P17375" s="226"/>
      <c r="Q17375" s="226"/>
      <c r="R17375" s="226"/>
      <c r="S17375" s="226"/>
      <c r="T17375" s="226"/>
      <c r="U17375" s="226"/>
    </row>
    <row r="17376" spans="16:21" x14ac:dyDescent="0.35">
      <c r="P17376" s="226"/>
      <c r="Q17376" s="226"/>
      <c r="R17376" s="226"/>
      <c r="S17376" s="226"/>
      <c r="T17376" s="226"/>
      <c r="U17376" s="226"/>
    </row>
    <row r="17377" spans="16:21" x14ac:dyDescent="0.35">
      <c r="P17377" s="226"/>
      <c r="Q17377" s="226"/>
      <c r="R17377" s="226"/>
      <c r="S17377" s="226"/>
      <c r="T17377" s="226"/>
      <c r="U17377" s="226"/>
    </row>
    <row r="17378" spans="16:21" x14ac:dyDescent="0.35">
      <c r="P17378" s="226"/>
      <c r="Q17378" s="226"/>
      <c r="R17378" s="226"/>
      <c r="S17378" s="226"/>
      <c r="T17378" s="226"/>
      <c r="U17378" s="226"/>
    </row>
    <row r="17379" spans="16:21" x14ac:dyDescent="0.35">
      <c r="P17379" s="226"/>
      <c r="Q17379" s="226"/>
      <c r="R17379" s="226"/>
      <c r="S17379" s="226"/>
      <c r="T17379" s="226"/>
      <c r="U17379" s="226"/>
    </row>
    <row r="17380" spans="16:21" x14ac:dyDescent="0.35">
      <c r="P17380" s="226"/>
      <c r="Q17380" s="226"/>
      <c r="R17380" s="226"/>
      <c r="S17380" s="226"/>
      <c r="T17380" s="226"/>
      <c r="U17380" s="226"/>
    </row>
    <row r="17381" spans="16:21" x14ac:dyDescent="0.35">
      <c r="P17381" s="226"/>
      <c r="Q17381" s="226"/>
      <c r="R17381" s="226"/>
      <c r="S17381" s="226"/>
      <c r="T17381" s="226"/>
      <c r="U17381" s="226"/>
    </row>
    <row r="17382" spans="16:21" x14ac:dyDescent="0.35">
      <c r="P17382" s="226"/>
      <c r="Q17382" s="226"/>
      <c r="R17382" s="226"/>
      <c r="S17382" s="226"/>
      <c r="T17382" s="226"/>
      <c r="U17382" s="226"/>
    </row>
    <row r="17383" spans="16:21" x14ac:dyDescent="0.35">
      <c r="P17383" s="226"/>
      <c r="Q17383" s="226"/>
      <c r="R17383" s="226"/>
      <c r="S17383" s="226"/>
      <c r="T17383" s="226"/>
      <c r="U17383" s="226"/>
    </row>
    <row r="17384" spans="16:21" x14ac:dyDescent="0.35">
      <c r="P17384" s="226"/>
      <c r="Q17384" s="226"/>
      <c r="R17384" s="226"/>
      <c r="S17384" s="226"/>
      <c r="T17384" s="226"/>
      <c r="U17384" s="226"/>
    </row>
    <row r="17385" spans="16:21" x14ac:dyDescent="0.35">
      <c r="P17385" s="226"/>
      <c r="Q17385" s="226"/>
      <c r="R17385" s="226"/>
      <c r="S17385" s="226"/>
      <c r="T17385" s="226"/>
      <c r="U17385" s="226"/>
    </row>
    <row r="17386" spans="16:21" x14ac:dyDescent="0.35">
      <c r="P17386" s="226"/>
      <c r="Q17386" s="226"/>
      <c r="R17386" s="226"/>
      <c r="S17386" s="226"/>
      <c r="T17386" s="226"/>
      <c r="U17386" s="226"/>
    </row>
    <row r="17387" spans="16:21" x14ac:dyDescent="0.35">
      <c r="P17387" s="226"/>
      <c r="Q17387" s="226"/>
      <c r="R17387" s="226"/>
      <c r="S17387" s="226"/>
      <c r="T17387" s="226"/>
      <c r="U17387" s="226"/>
    </row>
    <row r="17388" spans="16:21" x14ac:dyDescent="0.35">
      <c r="P17388" s="226"/>
      <c r="Q17388" s="226"/>
      <c r="R17388" s="226"/>
      <c r="S17388" s="226"/>
      <c r="T17388" s="226"/>
      <c r="U17388" s="226"/>
    </row>
    <row r="17389" spans="16:21" x14ac:dyDescent="0.35">
      <c r="P17389" s="226"/>
      <c r="Q17389" s="226"/>
      <c r="R17389" s="226"/>
      <c r="S17389" s="226"/>
      <c r="T17389" s="226"/>
      <c r="U17389" s="226"/>
    </row>
    <row r="17390" spans="16:21" x14ac:dyDescent="0.35">
      <c r="P17390" s="226"/>
      <c r="Q17390" s="226"/>
      <c r="R17390" s="226"/>
      <c r="S17390" s="226"/>
      <c r="T17390" s="226"/>
      <c r="U17390" s="226"/>
    </row>
    <row r="17391" spans="16:21" x14ac:dyDescent="0.35">
      <c r="P17391" s="226"/>
      <c r="Q17391" s="226"/>
      <c r="R17391" s="226"/>
      <c r="S17391" s="226"/>
      <c r="T17391" s="226"/>
      <c r="U17391" s="226"/>
    </row>
    <row r="17392" spans="16:21" x14ac:dyDescent="0.35">
      <c r="P17392" s="226"/>
      <c r="Q17392" s="226"/>
      <c r="R17392" s="226"/>
      <c r="S17392" s="226"/>
      <c r="T17392" s="226"/>
      <c r="U17392" s="226"/>
    </row>
    <row r="17393" spans="16:21" x14ac:dyDescent="0.35">
      <c r="P17393" s="226"/>
      <c r="Q17393" s="226"/>
      <c r="R17393" s="226"/>
      <c r="S17393" s="226"/>
      <c r="T17393" s="226"/>
      <c r="U17393" s="226"/>
    </row>
    <row r="17394" spans="16:21" x14ac:dyDescent="0.35">
      <c r="P17394" s="226"/>
      <c r="Q17394" s="226"/>
      <c r="R17394" s="226"/>
      <c r="S17394" s="226"/>
      <c r="T17394" s="226"/>
      <c r="U17394" s="226"/>
    </row>
    <row r="17395" spans="16:21" x14ac:dyDescent="0.35">
      <c r="P17395" s="226"/>
      <c r="Q17395" s="226"/>
      <c r="R17395" s="226"/>
      <c r="S17395" s="226"/>
      <c r="T17395" s="226"/>
      <c r="U17395" s="226"/>
    </row>
    <row r="17396" spans="16:21" x14ac:dyDescent="0.35">
      <c r="P17396" s="226"/>
      <c r="Q17396" s="226"/>
      <c r="R17396" s="226"/>
      <c r="S17396" s="226"/>
      <c r="T17396" s="226"/>
      <c r="U17396" s="226"/>
    </row>
    <row r="17397" spans="16:21" x14ac:dyDescent="0.35">
      <c r="P17397" s="226"/>
      <c r="Q17397" s="226"/>
      <c r="R17397" s="226"/>
      <c r="S17397" s="226"/>
      <c r="T17397" s="226"/>
      <c r="U17397" s="226"/>
    </row>
    <row r="17398" spans="16:21" x14ac:dyDescent="0.35">
      <c r="P17398" s="226"/>
      <c r="Q17398" s="226"/>
      <c r="R17398" s="226"/>
      <c r="S17398" s="226"/>
      <c r="T17398" s="226"/>
      <c r="U17398" s="226"/>
    </row>
    <row r="17399" spans="16:21" x14ac:dyDescent="0.35">
      <c r="P17399" s="226"/>
      <c r="Q17399" s="226"/>
      <c r="R17399" s="226"/>
      <c r="S17399" s="226"/>
      <c r="T17399" s="226"/>
      <c r="U17399" s="226"/>
    </row>
    <row r="17400" spans="16:21" x14ac:dyDescent="0.35">
      <c r="P17400" s="226"/>
      <c r="Q17400" s="226"/>
      <c r="R17400" s="226"/>
      <c r="S17400" s="226"/>
      <c r="T17400" s="226"/>
      <c r="U17400" s="226"/>
    </row>
    <row r="17401" spans="16:21" x14ac:dyDescent="0.35">
      <c r="P17401" s="226"/>
      <c r="Q17401" s="226"/>
      <c r="R17401" s="226"/>
      <c r="S17401" s="226"/>
      <c r="T17401" s="226"/>
      <c r="U17401" s="226"/>
    </row>
    <row r="17402" spans="16:21" x14ac:dyDescent="0.35">
      <c r="P17402" s="226"/>
      <c r="Q17402" s="226"/>
      <c r="R17402" s="226"/>
      <c r="S17402" s="226"/>
      <c r="T17402" s="226"/>
      <c r="U17402" s="226"/>
    </row>
    <row r="17403" spans="16:21" x14ac:dyDescent="0.35">
      <c r="P17403" s="226"/>
      <c r="Q17403" s="226"/>
      <c r="R17403" s="226"/>
      <c r="S17403" s="226"/>
      <c r="T17403" s="226"/>
      <c r="U17403" s="226"/>
    </row>
    <row r="17404" spans="16:21" x14ac:dyDescent="0.35">
      <c r="P17404" s="226"/>
      <c r="Q17404" s="226"/>
      <c r="R17404" s="226"/>
      <c r="S17404" s="226"/>
      <c r="T17404" s="226"/>
      <c r="U17404" s="226"/>
    </row>
    <row r="17405" spans="16:21" x14ac:dyDescent="0.35">
      <c r="P17405" s="226"/>
      <c r="Q17405" s="226"/>
      <c r="R17405" s="226"/>
      <c r="S17405" s="226"/>
      <c r="T17405" s="226"/>
      <c r="U17405" s="226"/>
    </row>
    <row r="17406" spans="16:21" x14ac:dyDescent="0.35">
      <c r="P17406" s="226"/>
      <c r="Q17406" s="226"/>
      <c r="R17406" s="226"/>
      <c r="S17406" s="226"/>
      <c r="T17406" s="226"/>
      <c r="U17406" s="226"/>
    </row>
    <row r="17407" spans="16:21" x14ac:dyDescent="0.35">
      <c r="P17407" s="226"/>
      <c r="Q17407" s="226"/>
      <c r="R17407" s="226"/>
      <c r="S17407" s="226"/>
      <c r="T17407" s="226"/>
      <c r="U17407" s="226"/>
    </row>
    <row r="17408" spans="16:21" x14ac:dyDescent="0.35">
      <c r="P17408" s="226"/>
      <c r="Q17408" s="226"/>
      <c r="R17408" s="226"/>
      <c r="S17408" s="226"/>
      <c r="T17408" s="226"/>
      <c r="U17408" s="226"/>
    </row>
    <row r="17409" spans="16:21" x14ac:dyDescent="0.35">
      <c r="P17409" s="226"/>
      <c r="Q17409" s="226"/>
      <c r="R17409" s="226"/>
      <c r="S17409" s="226"/>
      <c r="T17409" s="226"/>
      <c r="U17409" s="226"/>
    </row>
    <row r="17410" spans="16:21" x14ac:dyDescent="0.35">
      <c r="P17410" s="226"/>
      <c r="Q17410" s="226"/>
      <c r="R17410" s="226"/>
      <c r="S17410" s="226"/>
      <c r="T17410" s="226"/>
      <c r="U17410" s="226"/>
    </row>
    <row r="17411" spans="16:21" x14ac:dyDescent="0.35">
      <c r="P17411" s="226"/>
      <c r="Q17411" s="226"/>
      <c r="R17411" s="226"/>
      <c r="S17411" s="226"/>
      <c r="T17411" s="226"/>
      <c r="U17411" s="226"/>
    </row>
    <row r="17412" spans="16:21" x14ac:dyDescent="0.35">
      <c r="P17412" s="226"/>
      <c r="Q17412" s="226"/>
      <c r="R17412" s="226"/>
      <c r="S17412" s="226"/>
      <c r="T17412" s="226"/>
      <c r="U17412" s="226"/>
    </row>
    <row r="17413" spans="16:21" x14ac:dyDescent="0.35">
      <c r="P17413" s="226"/>
      <c r="Q17413" s="226"/>
      <c r="R17413" s="226"/>
      <c r="S17413" s="226"/>
      <c r="T17413" s="226"/>
      <c r="U17413" s="226"/>
    </row>
    <row r="17414" spans="16:21" x14ac:dyDescent="0.35">
      <c r="P17414" s="226"/>
      <c r="Q17414" s="226"/>
      <c r="R17414" s="226"/>
      <c r="S17414" s="226"/>
      <c r="T17414" s="226"/>
      <c r="U17414" s="226"/>
    </row>
    <row r="17415" spans="16:21" x14ac:dyDescent="0.35">
      <c r="P17415" s="226"/>
      <c r="Q17415" s="226"/>
      <c r="R17415" s="226"/>
      <c r="S17415" s="226"/>
      <c r="T17415" s="226"/>
      <c r="U17415" s="226"/>
    </row>
    <row r="17416" spans="16:21" x14ac:dyDescent="0.35">
      <c r="P17416" s="226"/>
      <c r="Q17416" s="226"/>
      <c r="R17416" s="226"/>
      <c r="S17416" s="226"/>
      <c r="T17416" s="226"/>
      <c r="U17416" s="226"/>
    </row>
    <row r="17417" spans="16:21" x14ac:dyDescent="0.35">
      <c r="P17417" s="226"/>
      <c r="Q17417" s="226"/>
      <c r="R17417" s="226"/>
      <c r="S17417" s="226"/>
      <c r="T17417" s="226"/>
      <c r="U17417" s="226"/>
    </row>
    <row r="17418" spans="16:21" x14ac:dyDescent="0.35">
      <c r="P17418" s="226"/>
      <c r="Q17418" s="226"/>
      <c r="R17418" s="226"/>
      <c r="S17418" s="226"/>
      <c r="T17418" s="226"/>
      <c r="U17418" s="226"/>
    </row>
    <row r="17419" spans="16:21" x14ac:dyDescent="0.35">
      <c r="P17419" s="226"/>
      <c r="Q17419" s="226"/>
      <c r="R17419" s="226"/>
      <c r="S17419" s="226"/>
      <c r="T17419" s="226"/>
      <c r="U17419" s="226"/>
    </row>
    <row r="17420" spans="16:21" x14ac:dyDescent="0.35">
      <c r="P17420" s="226"/>
      <c r="Q17420" s="226"/>
      <c r="R17420" s="226"/>
      <c r="S17420" s="226"/>
      <c r="T17420" s="226"/>
      <c r="U17420" s="226"/>
    </row>
    <row r="17421" spans="16:21" x14ac:dyDescent="0.35">
      <c r="P17421" s="226"/>
      <c r="Q17421" s="226"/>
      <c r="R17421" s="226"/>
      <c r="S17421" s="226"/>
      <c r="T17421" s="226"/>
      <c r="U17421" s="226"/>
    </row>
    <row r="17422" spans="16:21" x14ac:dyDescent="0.35">
      <c r="P17422" s="226"/>
      <c r="Q17422" s="226"/>
      <c r="R17422" s="226"/>
      <c r="S17422" s="226"/>
      <c r="T17422" s="226"/>
      <c r="U17422" s="226"/>
    </row>
    <row r="17423" spans="16:21" x14ac:dyDescent="0.35">
      <c r="P17423" s="226"/>
      <c r="Q17423" s="226"/>
      <c r="R17423" s="226"/>
      <c r="S17423" s="226"/>
      <c r="T17423" s="226"/>
      <c r="U17423" s="226"/>
    </row>
    <row r="17424" spans="16:21" x14ac:dyDescent="0.35">
      <c r="P17424" s="226"/>
      <c r="Q17424" s="226"/>
      <c r="R17424" s="226"/>
      <c r="S17424" s="226"/>
      <c r="T17424" s="226"/>
      <c r="U17424" s="226"/>
    </row>
    <row r="17425" spans="16:21" x14ac:dyDescent="0.35">
      <c r="P17425" s="226"/>
      <c r="Q17425" s="226"/>
      <c r="R17425" s="226"/>
      <c r="S17425" s="226"/>
      <c r="T17425" s="226"/>
      <c r="U17425" s="226"/>
    </row>
    <row r="17426" spans="16:21" x14ac:dyDescent="0.35">
      <c r="P17426" s="226"/>
      <c r="Q17426" s="226"/>
      <c r="R17426" s="226"/>
      <c r="S17426" s="226"/>
      <c r="T17426" s="226"/>
      <c r="U17426" s="226"/>
    </row>
    <row r="17427" spans="16:21" x14ac:dyDescent="0.35">
      <c r="P17427" s="226"/>
      <c r="Q17427" s="226"/>
      <c r="R17427" s="226"/>
      <c r="S17427" s="226"/>
      <c r="T17427" s="226"/>
      <c r="U17427" s="226"/>
    </row>
    <row r="17428" spans="16:21" x14ac:dyDescent="0.35">
      <c r="P17428" s="226"/>
      <c r="Q17428" s="226"/>
      <c r="R17428" s="226"/>
      <c r="S17428" s="226"/>
      <c r="T17428" s="226"/>
      <c r="U17428" s="226"/>
    </row>
    <row r="17429" spans="16:21" x14ac:dyDescent="0.35">
      <c r="P17429" s="226"/>
      <c r="Q17429" s="226"/>
      <c r="R17429" s="226"/>
      <c r="S17429" s="226"/>
      <c r="T17429" s="226"/>
      <c r="U17429" s="226"/>
    </row>
    <row r="17430" spans="16:21" x14ac:dyDescent="0.35">
      <c r="P17430" s="226"/>
      <c r="Q17430" s="226"/>
      <c r="R17430" s="226"/>
      <c r="S17430" s="226"/>
      <c r="T17430" s="226"/>
      <c r="U17430" s="226"/>
    </row>
    <row r="17431" spans="16:21" x14ac:dyDescent="0.35">
      <c r="P17431" s="226"/>
      <c r="Q17431" s="226"/>
      <c r="R17431" s="226"/>
      <c r="S17431" s="226"/>
      <c r="T17431" s="226"/>
      <c r="U17431" s="226"/>
    </row>
    <row r="17432" spans="16:21" x14ac:dyDescent="0.35">
      <c r="P17432" s="226"/>
      <c r="Q17432" s="226"/>
      <c r="R17432" s="226"/>
      <c r="S17432" s="226"/>
      <c r="T17432" s="226"/>
      <c r="U17432" s="226"/>
    </row>
    <row r="17433" spans="16:21" x14ac:dyDescent="0.35">
      <c r="P17433" s="226"/>
      <c r="Q17433" s="226"/>
      <c r="R17433" s="226"/>
      <c r="S17433" s="226"/>
      <c r="T17433" s="226"/>
      <c r="U17433" s="226"/>
    </row>
    <row r="17434" spans="16:21" x14ac:dyDescent="0.35">
      <c r="P17434" s="226"/>
      <c r="Q17434" s="226"/>
      <c r="R17434" s="226"/>
      <c r="S17434" s="226"/>
      <c r="T17434" s="226"/>
      <c r="U17434" s="226"/>
    </row>
    <row r="17435" spans="16:21" x14ac:dyDescent="0.35">
      <c r="P17435" s="226"/>
      <c r="Q17435" s="226"/>
      <c r="R17435" s="226"/>
      <c r="S17435" s="226"/>
      <c r="T17435" s="226"/>
      <c r="U17435" s="226"/>
    </row>
    <row r="17436" spans="16:21" x14ac:dyDescent="0.35">
      <c r="P17436" s="226"/>
      <c r="Q17436" s="226"/>
      <c r="R17436" s="226"/>
      <c r="S17436" s="226"/>
      <c r="T17436" s="226"/>
      <c r="U17436" s="226"/>
    </row>
    <row r="17437" spans="16:21" x14ac:dyDescent="0.35">
      <c r="P17437" s="226"/>
      <c r="Q17437" s="226"/>
      <c r="R17437" s="226"/>
      <c r="S17437" s="226"/>
      <c r="T17437" s="226"/>
      <c r="U17437" s="226"/>
    </row>
    <row r="17438" spans="16:21" x14ac:dyDescent="0.35">
      <c r="P17438" s="226"/>
      <c r="Q17438" s="226"/>
      <c r="R17438" s="226"/>
      <c r="S17438" s="226"/>
      <c r="T17438" s="226"/>
      <c r="U17438" s="226"/>
    </row>
    <row r="17439" spans="16:21" x14ac:dyDescent="0.35">
      <c r="P17439" s="226"/>
      <c r="Q17439" s="226"/>
      <c r="R17439" s="226"/>
      <c r="S17439" s="226"/>
      <c r="T17439" s="226"/>
      <c r="U17439" s="226"/>
    </row>
    <row r="17440" spans="16:21" x14ac:dyDescent="0.35">
      <c r="P17440" s="226"/>
      <c r="Q17440" s="226"/>
      <c r="R17440" s="226"/>
      <c r="S17440" s="226"/>
      <c r="T17440" s="226"/>
      <c r="U17440" s="226"/>
    </row>
    <row r="17441" spans="16:21" x14ac:dyDescent="0.35">
      <c r="P17441" s="226"/>
      <c r="Q17441" s="226"/>
      <c r="R17441" s="226"/>
      <c r="S17441" s="226"/>
      <c r="T17441" s="226"/>
      <c r="U17441" s="226"/>
    </row>
    <row r="17442" spans="16:21" x14ac:dyDescent="0.35">
      <c r="P17442" s="226"/>
      <c r="Q17442" s="226"/>
      <c r="R17442" s="226"/>
      <c r="S17442" s="226"/>
      <c r="T17442" s="226"/>
      <c r="U17442" s="226"/>
    </row>
    <row r="17443" spans="16:21" x14ac:dyDescent="0.35">
      <c r="P17443" s="226"/>
      <c r="Q17443" s="226"/>
      <c r="R17443" s="226"/>
      <c r="S17443" s="226"/>
      <c r="T17443" s="226"/>
      <c r="U17443" s="226"/>
    </row>
    <row r="17444" spans="16:21" x14ac:dyDescent="0.35">
      <c r="P17444" s="226"/>
      <c r="Q17444" s="226"/>
      <c r="R17444" s="226"/>
      <c r="S17444" s="226"/>
      <c r="T17444" s="226"/>
      <c r="U17444" s="226"/>
    </row>
    <row r="17445" spans="16:21" x14ac:dyDescent="0.35">
      <c r="P17445" s="226"/>
      <c r="Q17445" s="226"/>
      <c r="R17445" s="226"/>
      <c r="S17445" s="226"/>
      <c r="T17445" s="226"/>
      <c r="U17445" s="226"/>
    </row>
    <row r="17446" spans="16:21" x14ac:dyDescent="0.35">
      <c r="P17446" s="226"/>
      <c r="Q17446" s="226"/>
      <c r="R17446" s="226"/>
      <c r="S17446" s="226"/>
      <c r="T17446" s="226"/>
      <c r="U17446" s="226"/>
    </row>
    <row r="17447" spans="16:21" x14ac:dyDescent="0.35">
      <c r="P17447" s="226"/>
      <c r="Q17447" s="226"/>
      <c r="R17447" s="226"/>
      <c r="S17447" s="226"/>
      <c r="T17447" s="226"/>
      <c r="U17447" s="226"/>
    </row>
    <row r="17448" spans="16:21" x14ac:dyDescent="0.35">
      <c r="P17448" s="226"/>
      <c r="Q17448" s="226"/>
      <c r="R17448" s="226"/>
      <c r="S17448" s="226"/>
      <c r="T17448" s="226"/>
      <c r="U17448" s="226"/>
    </row>
    <row r="17449" spans="16:21" x14ac:dyDescent="0.35">
      <c r="P17449" s="226"/>
      <c r="Q17449" s="226"/>
      <c r="R17449" s="226"/>
      <c r="S17449" s="226"/>
      <c r="T17449" s="226"/>
      <c r="U17449" s="226"/>
    </row>
    <row r="17450" spans="16:21" x14ac:dyDescent="0.35">
      <c r="P17450" s="226"/>
      <c r="Q17450" s="226"/>
      <c r="R17450" s="226"/>
      <c r="S17450" s="226"/>
      <c r="T17450" s="226"/>
      <c r="U17450" s="226"/>
    </row>
    <row r="17451" spans="16:21" x14ac:dyDescent="0.35">
      <c r="P17451" s="226"/>
      <c r="Q17451" s="226"/>
      <c r="R17451" s="226"/>
      <c r="S17451" s="226"/>
      <c r="T17451" s="226"/>
      <c r="U17451" s="226"/>
    </row>
    <row r="17452" spans="16:21" x14ac:dyDescent="0.35">
      <c r="P17452" s="226"/>
      <c r="Q17452" s="226"/>
      <c r="R17452" s="226"/>
      <c r="S17452" s="226"/>
      <c r="T17452" s="226"/>
      <c r="U17452" s="226"/>
    </row>
    <row r="17453" spans="16:21" x14ac:dyDescent="0.35">
      <c r="P17453" s="226"/>
      <c r="Q17453" s="226"/>
      <c r="R17453" s="226"/>
      <c r="S17453" s="226"/>
      <c r="T17453" s="226"/>
      <c r="U17453" s="226"/>
    </row>
    <row r="17454" spans="16:21" x14ac:dyDescent="0.35">
      <c r="P17454" s="226"/>
      <c r="Q17454" s="226"/>
      <c r="R17454" s="226"/>
      <c r="S17454" s="226"/>
      <c r="T17454" s="226"/>
      <c r="U17454" s="226"/>
    </row>
    <row r="17455" spans="16:21" x14ac:dyDescent="0.35">
      <c r="P17455" s="226"/>
      <c r="Q17455" s="226"/>
      <c r="R17455" s="226"/>
      <c r="S17455" s="226"/>
      <c r="T17455" s="226"/>
      <c r="U17455" s="226"/>
    </row>
    <row r="17456" spans="16:21" x14ac:dyDescent="0.35">
      <c r="P17456" s="226"/>
      <c r="Q17456" s="226"/>
      <c r="R17456" s="226"/>
      <c r="S17456" s="226"/>
      <c r="T17456" s="226"/>
      <c r="U17456" s="226"/>
    </row>
    <row r="17457" spans="16:21" x14ac:dyDescent="0.35">
      <c r="P17457" s="226"/>
      <c r="Q17457" s="226"/>
      <c r="R17457" s="226"/>
      <c r="S17457" s="226"/>
      <c r="T17457" s="226"/>
      <c r="U17457" s="226"/>
    </row>
    <row r="17458" spans="16:21" x14ac:dyDescent="0.35">
      <c r="P17458" s="226"/>
      <c r="Q17458" s="226"/>
      <c r="R17458" s="226"/>
      <c r="S17458" s="226"/>
      <c r="T17458" s="226"/>
      <c r="U17458" s="226"/>
    </row>
    <row r="17459" spans="16:21" x14ac:dyDescent="0.35">
      <c r="P17459" s="226"/>
      <c r="Q17459" s="226"/>
      <c r="R17459" s="226"/>
      <c r="S17459" s="226"/>
      <c r="T17459" s="226"/>
      <c r="U17459" s="226"/>
    </row>
    <row r="17460" spans="16:21" x14ac:dyDescent="0.35">
      <c r="P17460" s="226"/>
      <c r="Q17460" s="226"/>
      <c r="R17460" s="226"/>
      <c r="S17460" s="226"/>
      <c r="T17460" s="226"/>
      <c r="U17460" s="226"/>
    </row>
    <row r="17461" spans="16:21" x14ac:dyDescent="0.35">
      <c r="P17461" s="226"/>
      <c r="Q17461" s="226"/>
      <c r="R17461" s="226"/>
      <c r="S17461" s="226"/>
      <c r="T17461" s="226"/>
      <c r="U17461" s="226"/>
    </row>
    <row r="17462" spans="16:21" x14ac:dyDescent="0.35">
      <c r="P17462" s="226"/>
      <c r="Q17462" s="226"/>
      <c r="R17462" s="226"/>
      <c r="S17462" s="226"/>
      <c r="T17462" s="226"/>
      <c r="U17462" s="226"/>
    </row>
    <row r="17463" spans="16:21" x14ac:dyDescent="0.35">
      <c r="P17463" s="226"/>
      <c r="Q17463" s="226"/>
      <c r="R17463" s="226"/>
      <c r="S17463" s="226"/>
      <c r="T17463" s="226"/>
      <c r="U17463" s="226"/>
    </row>
    <row r="17464" spans="16:21" x14ac:dyDescent="0.35">
      <c r="P17464" s="226"/>
      <c r="Q17464" s="226"/>
      <c r="R17464" s="226"/>
      <c r="S17464" s="226"/>
      <c r="T17464" s="226"/>
      <c r="U17464" s="226"/>
    </row>
    <row r="17465" spans="16:21" x14ac:dyDescent="0.35">
      <c r="P17465" s="226"/>
      <c r="Q17465" s="226"/>
      <c r="R17465" s="226"/>
      <c r="S17465" s="226"/>
      <c r="T17465" s="226"/>
      <c r="U17465" s="226"/>
    </row>
    <row r="17466" spans="16:21" x14ac:dyDescent="0.35">
      <c r="P17466" s="226"/>
      <c r="Q17466" s="226"/>
      <c r="R17466" s="226"/>
      <c r="S17466" s="226"/>
      <c r="T17466" s="226"/>
      <c r="U17466" s="226"/>
    </row>
    <row r="17467" spans="16:21" x14ac:dyDescent="0.35">
      <c r="P17467" s="226"/>
      <c r="Q17467" s="226"/>
      <c r="R17467" s="226"/>
      <c r="S17467" s="226"/>
      <c r="T17467" s="226"/>
      <c r="U17467" s="226"/>
    </row>
    <row r="17468" spans="16:21" x14ac:dyDescent="0.35">
      <c r="P17468" s="226"/>
      <c r="Q17468" s="226"/>
      <c r="R17468" s="226"/>
      <c r="S17468" s="226"/>
      <c r="T17468" s="226"/>
      <c r="U17468" s="226"/>
    </row>
    <row r="17469" spans="16:21" x14ac:dyDescent="0.35">
      <c r="P17469" s="226"/>
      <c r="Q17469" s="226"/>
      <c r="R17469" s="226"/>
      <c r="S17469" s="226"/>
      <c r="T17469" s="226"/>
      <c r="U17469" s="226"/>
    </row>
    <row r="17470" spans="16:21" x14ac:dyDescent="0.35">
      <c r="P17470" s="226"/>
      <c r="Q17470" s="226"/>
      <c r="R17470" s="226"/>
      <c r="S17470" s="226"/>
      <c r="T17470" s="226"/>
      <c r="U17470" s="226"/>
    </row>
    <row r="17471" spans="16:21" x14ac:dyDescent="0.35">
      <c r="P17471" s="226"/>
      <c r="Q17471" s="226"/>
      <c r="R17471" s="226"/>
      <c r="S17471" s="226"/>
      <c r="T17471" s="226"/>
      <c r="U17471" s="226"/>
    </row>
    <row r="17472" spans="16:21" x14ac:dyDescent="0.35">
      <c r="P17472" s="226"/>
      <c r="Q17472" s="226"/>
      <c r="R17472" s="226"/>
      <c r="S17472" s="226"/>
      <c r="T17472" s="226"/>
      <c r="U17472" s="226"/>
    </row>
    <row r="17473" spans="16:21" x14ac:dyDescent="0.35">
      <c r="P17473" s="226"/>
      <c r="Q17473" s="226"/>
      <c r="R17473" s="226"/>
      <c r="S17473" s="226"/>
      <c r="T17473" s="226"/>
      <c r="U17473" s="226"/>
    </row>
    <row r="17474" spans="16:21" x14ac:dyDescent="0.35">
      <c r="P17474" s="226"/>
      <c r="Q17474" s="226"/>
      <c r="R17474" s="226"/>
      <c r="S17474" s="226"/>
      <c r="T17474" s="226"/>
      <c r="U17474" s="226"/>
    </row>
    <row r="17475" spans="16:21" x14ac:dyDescent="0.35">
      <c r="P17475" s="226"/>
      <c r="Q17475" s="226"/>
      <c r="R17475" s="226"/>
      <c r="S17475" s="226"/>
      <c r="T17475" s="226"/>
      <c r="U17475" s="226"/>
    </row>
    <row r="17476" spans="16:21" x14ac:dyDescent="0.35">
      <c r="P17476" s="226"/>
      <c r="Q17476" s="226"/>
      <c r="R17476" s="226"/>
      <c r="S17476" s="226"/>
      <c r="T17476" s="226"/>
      <c r="U17476" s="226"/>
    </row>
    <row r="17477" spans="16:21" x14ac:dyDescent="0.35">
      <c r="P17477" s="226"/>
      <c r="Q17477" s="226"/>
      <c r="R17477" s="226"/>
      <c r="S17477" s="226"/>
      <c r="T17477" s="226"/>
      <c r="U17477" s="226"/>
    </row>
    <row r="17478" spans="16:21" x14ac:dyDescent="0.35">
      <c r="P17478" s="226"/>
      <c r="Q17478" s="226"/>
      <c r="R17478" s="226"/>
      <c r="S17478" s="226"/>
      <c r="T17478" s="226"/>
      <c r="U17478" s="226"/>
    </row>
    <row r="17479" spans="16:21" x14ac:dyDescent="0.35">
      <c r="P17479" s="226"/>
      <c r="Q17479" s="226"/>
      <c r="R17479" s="226"/>
      <c r="S17479" s="226"/>
      <c r="T17479" s="226"/>
      <c r="U17479" s="226"/>
    </row>
    <row r="17480" spans="16:21" x14ac:dyDescent="0.35">
      <c r="P17480" s="226"/>
      <c r="Q17480" s="226"/>
      <c r="R17480" s="226"/>
      <c r="S17480" s="226"/>
      <c r="T17480" s="226"/>
      <c r="U17480" s="226"/>
    </row>
    <row r="17481" spans="16:21" x14ac:dyDescent="0.35">
      <c r="P17481" s="226"/>
      <c r="Q17481" s="226"/>
      <c r="R17481" s="226"/>
      <c r="S17481" s="226"/>
      <c r="T17481" s="226"/>
      <c r="U17481" s="226"/>
    </row>
    <row r="17482" spans="16:21" x14ac:dyDescent="0.35">
      <c r="P17482" s="226"/>
      <c r="Q17482" s="226"/>
      <c r="R17482" s="226"/>
      <c r="S17482" s="226"/>
      <c r="T17482" s="226"/>
      <c r="U17482" s="226"/>
    </row>
    <row r="17483" spans="16:21" x14ac:dyDescent="0.35">
      <c r="P17483" s="226"/>
      <c r="Q17483" s="226"/>
      <c r="R17483" s="226"/>
      <c r="S17483" s="226"/>
      <c r="T17483" s="226"/>
      <c r="U17483" s="226"/>
    </row>
    <row r="17484" spans="16:21" x14ac:dyDescent="0.35">
      <c r="P17484" s="226"/>
      <c r="Q17484" s="226"/>
      <c r="R17484" s="226"/>
      <c r="S17484" s="226"/>
      <c r="T17484" s="226"/>
      <c r="U17484" s="226"/>
    </row>
    <row r="17485" spans="16:21" x14ac:dyDescent="0.35">
      <c r="P17485" s="226"/>
      <c r="Q17485" s="226"/>
      <c r="R17485" s="226"/>
      <c r="S17485" s="226"/>
      <c r="T17485" s="226"/>
      <c r="U17485" s="226"/>
    </row>
    <row r="17486" spans="16:21" x14ac:dyDescent="0.35">
      <c r="P17486" s="226"/>
      <c r="Q17486" s="226"/>
      <c r="R17486" s="226"/>
      <c r="S17486" s="226"/>
      <c r="T17486" s="226"/>
      <c r="U17486" s="226"/>
    </row>
    <row r="17487" spans="16:21" x14ac:dyDescent="0.35">
      <c r="P17487" s="226"/>
      <c r="Q17487" s="226"/>
      <c r="R17487" s="226"/>
      <c r="S17487" s="226"/>
      <c r="T17487" s="226"/>
      <c r="U17487" s="226"/>
    </row>
    <row r="17488" spans="16:21" x14ac:dyDescent="0.35">
      <c r="P17488" s="226"/>
      <c r="Q17488" s="226"/>
      <c r="R17488" s="226"/>
      <c r="S17488" s="226"/>
      <c r="T17488" s="226"/>
      <c r="U17488" s="226"/>
    </row>
    <row r="17489" spans="16:21" x14ac:dyDescent="0.35">
      <c r="P17489" s="226"/>
      <c r="Q17489" s="226"/>
      <c r="R17489" s="226"/>
      <c r="S17489" s="226"/>
      <c r="T17489" s="226"/>
      <c r="U17489" s="226"/>
    </row>
    <row r="17490" spans="16:21" x14ac:dyDescent="0.35">
      <c r="P17490" s="226"/>
      <c r="Q17490" s="226"/>
      <c r="R17490" s="226"/>
      <c r="S17490" s="226"/>
      <c r="T17490" s="226"/>
      <c r="U17490" s="226"/>
    </row>
    <row r="17491" spans="16:21" x14ac:dyDescent="0.35">
      <c r="P17491" s="226"/>
      <c r="Q17491" s="226"/>
      <c r="R17491" s="226"/>
      <c r="S17491" s="226"/>
      <c r="T17491" s="226"/>
      <c r="U17491" s="226"/>
    </row>
    <row r="17492" spans="16:21" x14ac:dyDescent="0.35">
      <c r="P17492" s="226"/>
      <c r="Q17492" s="226"/>
      <c r="R17492" s="226"/>
      <c r="S17492" s="226"/>
      <c r="T17492" s="226"/>
      <c r="U17492" s="226"/>
    </row>
    <row r="17493" spans="16:21" x14ac:dyDescent="0.35">
      <c r="P17493" s="226"/>
      <c r="Q17493" s="226"/>
      <c r="R17493" s="226"/>
      <c r="S17493" s="226"/>
      <c r="T17493" s="226"/>
      <c r="U17493" s="226"/>
    </row>
    <row r="17494" spans="16:21" x14ac:dyDescent="0.35">
      <c r="P17494" s="226"/>
      <c r="Q17494" s="226"/>
      <c r="R17494" s="226"/>
      <c r="S17494" s="226"/>
      <c r="T17494" s="226"/>
      <c r="U17494" s="226"/>
    </row>
    <row r="17495" spans="16:21" x14ac:dyDescent="0.35">
      <c r="P17495" s="226"/>
      <c r="Q17495" s="226"/>
      <c r="R17495" s="226"/>
      <c r="S17495" s="226"/>
      <c r="T17495" s="226"/>
      <c r="U17495" s="226"/>
    </row>
    <row r="17496" spans="16:21" x14ac:dyDescent="0.35">
      <c r="P17496" s="226"/>
      <c r="Q17496" s="226"/>
      <c r="R17496" s="226"/>
      <c r="S17496" s="226"/>
      <c r="T17496" s="226"/>
      <c r="U17496" s="226"/>
    </row>
    <row r="17497" spans="16:21" x14ac:dyDescent="0.35">
      <c r="P17497" s="226"/>
      <c r="Q17497" s="226"/>
      <c r="R17497" s="226"/>
      <c r="S17497" s="226"/>
      <c r="T17497" s="226"/>
      <c r="U17497" s="226"/>
    </row>
    <row r="17498" spans="16:21" x14ac:dyDescent="0.35">
      <c r="P17498" s="226"/>
      <c r="Q17498" s="226"/>
      <c r="R17498" s="226"/>
      <c r="S17498" s="226"/>
      <c r="T17498" s="226"/>
      <c r="U17498" s="226"/>
    </row>
    <row r="17499" spans="16:21" x14ac:dyDescent="0.35">
      <c r="P17499" s="226"/>
      <c r="Q17499" s="226"/>
      <c r="R17499" s="226"/>
      <c r="S17499" s="226"/>
      <c r="T17499" s="226"/>
      <c r="U17499" s="226"/>
    </row>
    <row r="17500" spans="16:21" x14ac:dyDescent="0.35">
      <c r="P17500" s="226"/>
      <c r="Q17500" s="226"/>
      <c r="R17500" s="226"/>
      <c r="S17500" s="226"/>
      <c r="T17500" s="226"/>
      <c r="U17500" s="226"/>
    </row>
    <row r="17501" spans="16:21" x14ac:dyDescent="0.35">
      <c r="P17501" s="226"/>
      <c r="Q17501" s="226"/>
      <c r="R17501" s="226"/>
      <c r="S17501" s="226"/>
      <c r="T17501" s="226"/>
      <c r="U17501" s="226"/>
    </row>
    <row r="17502" spans="16:21" x14ac:dyDescent="0.35">
      <c r="P17502" s="226"/>
      <c r="Q17502" s="226"/>
      <c r="R17502" s="226"/>
      <c r="S17502" s="226"/>
      <c r="T17502" s="226"/>
      <c r="U17502" s="226"/>
    </row>
    <row r="17503" spans="16:21" x14ac:dyDescent="0.35">
      <c r="P17503" s="226"/>
      <c r="Q17503" s="226"/>
      <c r="R17503" s="226"/>
      <c r="S17503" s="226"/>
      <c r="T17503" s="226"/>
      <c r="U17503" s="226"/>
    </row>
    <row r="17504" spans="16:21" x14ac:dyDescent="0.35">
      <c r="P17504" s="226"/>
      <c r="Q17504" s="226"/>
      <c r="R17504" s="226"/>
      <c r="S17504" s="226"/>
      <c r="T17504" s="226"/>
      <c r="U17504" s="226"/>
    </row>
    <row r="17505" spans="16:21" x14ac:dyDescent="0.35">
      <c r="P17505" s="226"/>
      <c r="Q17505" s="226"/>
      <c r="R17505" s="226"/>
      <c r="S17505" s="226"/>
      <c r="T17505" s="226"/>
      <c r="U17505" s="226"/>
    </row>
    <row r="17506" spans="16:21" x14ac:dyDescent="0.35">
      <c r="P17506" s="226"/>
      <c r="Q17506" s="226"/>
      <c r="R17506" s="226"/>
      <c r="S17506" s="226"/>
      <c r="T17506" s="226"/>
      <c r="U17506" s="226"/>
    </row>
    <row r="17507" spans="16:21" x14ac:dyDescent="0.35">
      <c r="P17507" s="226"/>
      <c r="Q17507" s="226"/>
      <c r="R17507" s="226"/>
      <c r="S17507" s="226"/>
      <c r="T17507" s="226"/>
      <c r="U17507" s="226"/>
    </row>
    <row r="17508" spans="16:21" x14ac:dyDescent="0.35">
      <c r="P17508" s="226"/>
      <c r="Q17508" s="226"/>
      <c r="R17508" s="226"/>
      <c r="S17508" s="226"/>
      <c r="T17508" s="226"/>
      <c r="U17508" s="226"/>
    </row>
    <row r="17509" spans="16:21" x14ac:dyDescent="0.35">
      <c r="P17509" s="226"/>
      <c r="Q17509" s="226"/>
      <c r="R17509" s="226"/>
      <c r="S17509" s="226"/>
      <c r="T17509" s="226"/>
      <c r="U17509" s="226"/>
    </row>
    <row r="17510" spans="16:21" x14ac:dyDescent="0.35">
      <c r="P17510" s="226"/>
      <c r="Q17510" s="226"/>
      <c r="R17510" s="226"/>
      <c r="S17510" s="226"/>
      <c r="T17510" s="226"/>
      <c r="U17510" s="226"/>
    </row>
    <row r="17511" spans="16:21" x14ac:dyDescent="0.35">
      <c r="P17511" s="226"/>
      <c r="Q17511" s="226"/>
      <c r="R17511" s="226"/>
      <c r="S17511" s="226"/>
      <c r="T17511" s="226"/>
      <c r="U17511" s="226"/>
    </row>
    <row r="17512" spans="16:21" x14ac:dyDescent="0.35">
      <c r="P17512" s="226"/>
      <c r="Q17512" s="226"/>
      <c r="R17512" s="226"/>
      <c r="S17512" s="226"/>
      <c r="T17512" s="226"/>
      <c r="U17512" s="226"/>
    </row>
    <row r="17513" spans="16:21" x14ac:dyDescent="0.35">
      <c r="P17513" s="226"/>
      <c r="Q17513" s="226"/>
      <c r="R17513" s="226"/>
      <c r="S17513" s="226"/>
      <c r="T17513" s="226"/>
      <c r="U17513" s="226"/>
    </row>
    <row r="17514" spans="16:21" x14ac:dyDescent="0.35">
      <c r="P17514" s="226"/>
      <c r="Q17514" s="226"/>
      <c r="R17514" s="226"/>
      <c r="S17514" s="226"/>
      <c r="T17514" s="226"/>
      <c r="U17514" s="226"/>
    </row>
    <row r="17515" spans="16:21" x14ac:dyDescent="0.35">
      <c r="P17515" s="226"/>
      <c r="Q17515" s="226"/>
      <c r="R17515" s="226"/>
      <c r="S17515" s="226"/>
      <c r="T17515" s="226"/>
      <c r="U17515" s="226"/>
    </row>
    <row r="17516" spans="16:21" x14ac:dyDescent="0.35">
      <c r="P17516" s="226"/>
      <c r="Q17516" s="226"/>
      <c r="R17516" s="226"/>
      <c r="S17516" s="226"/>
      <c r="T17516" s="226"/>
      <c r="U17516" s="226"/>
    </row>
    <row r="17517" spans="16:21" x14ac:dyDescent="0.35">
      <c r="P17517" s="226"/>
      <c r="Q17517" s="226"/>
      <c r="R17517" s="226"/>
      <c r="S17517" s="226"/>
      <c r="T17517" s="226"/>
      <c r="U17517" s="226"/>
    </row>
    <row r="17518" spans="16:21" x14ac:dyDescent="0.35">
      <c r="P17518" s="226"/>
      <c r="Q17518" s="226"/>
      <c r="R17518" s="226"/>
      <c r="S17518" s="226"/>
      <c r="T17518" s="226"/>
      <c r="U17518" s="226"/>
    </row>
    <row r="17519" spans="16:21" x14ac:dyDescent="0.35">
      <c r="P17519" s="226"/>
      <c r="Q17519" s="226"/>
      <c r="R17519" s="226"/>
      <c r="S17519" s="226"/>
      <c r="T17519" s="226"/>
      <c r="U17519" s="226"/>
    </row>
    <row r="17520" spans="16:21" x14ac:dyDescent="0.35">
      <c r="P17520" s="226"/>
      <c r="Q17520" s="226"/>
      <c r="R17520" s="226"/>
      <c r="S17520" s="226"/>
      <c r="T17520" s="226"/>
      <c r="U17520" s="226"/>
    </row>
    <row r="17521" spans="16:21" x14ac:dyDescent="0.35">
      <c r="P17521" s="226"/>
      <c r="Q17521" s="226"/>
      <c r="R17521" s="226"/>
      <c r="S17521" s="226"/>
      <c r="T17521" s="226"/>
      <c r="U17521" s="226"/>
    </row>
    <row r="17522" spans="16:21" x14ac:dyDescent="0.35">
      <c r="P17522" s="226"/>
      <c r="Q17522" s="226"/>
      <c r="R17522" s="226"/>
      <c r="S17522" s="226"/>
      <c r="T17522" s="226"/>
      <c r="U17522" s="226"/>
    </row>
    <row r="17523" spans="16:21" x14ac:dyDescent="0.35">
      <c r="P17523" s="226"/>
      <c r="Q17523" s="226"/>
      <c r="R17523" s="226"/>
      <c r="S17523" s="226"/>
      <c r="T17523" s="226"/>
      <c r="U17523" s="226"/>
    </row>
    <row r="17524" spans="16:21" x14ac:dyDescent="0.35">
      <c r="P17524" s="226"/>
      <c r="Q17524" s="226"/>
      <c r="R17524" s="226"/>
      <c r="S17524" s="226"/>
      <c r="T17524" s="226"/>
      <c r="U17524" s="226"/>
    </row>
    <row r="17525" spans="16:21" x14ac:dyDescent="0.35">
      <c r="P17525" s="226"/>
      <c r="Q17525" s="226"/>
      <c r="R17525" s="226"/>
      <c r="S17525" s="226"/>
      <c r="T17525" s="226"/>
      <c r="U17525" s="226"/>
    </row>
    <row r="17526" spans="16:21" x14ac:dyDescent="0.35">
      <c r="P17526" s="226"/>
      <c r="Q17526" s="226"/>
      <c r="R17526" s="226"/>
      <c r="S17526" s="226"/>
      <c r="T17526" s="226"/>
      <c r="U17526" s="226"/>
    </row>
    <row r="17527" spans="16:21" x14ac:dyDescent="0.35">
      <c r="P17527" s="226"/>
      <c r="Q17527" s="226"/>
      <c r="R17527" s="226"/>
      <c r="S17527" s="226"/>
      <c r="T17527" s="226"/>
      <c r="U17527" s="226"/>
    </row>
    <row r="17528" spans="16:21" x14ac:dyDescent="0.35">
      <c r="P17528" s="226"/>
      <c r="Q17528" s="226"/>
      <c r="R17528" s="226"/>
      <c r="S17528" s="226"/>
      <c r="T17528" s="226"/>
      <c r="U17528" s="226"/>
    </row>
    <row r="17529" spans="16:21" x14ac:dyDescent="0.35">
      <c r="P17529" s="226"/>
      <c r="Q17529" s="226"/>
      <c r="R17529" s="226"/>
      <c r="S17529" s="226"/>
      <c r="T17529" s="226"/>
      <c r="U17529" s="226"/>
    </row>
    <row r="17530" spans="16:21" x14ac:dyDescent="0.35">
      <c r="P17530" s="226"/>
      <c r="Q17530" s="226"/>
      <c r="R17530" s="226"/>
      <c r="S17530" s="226"/>
      <c r="T17530" s="226"/>
      <c r="U17530" s="226"/>
    </row>
    <row r="17531" spans="16:21" x14ac:dyDescent="0.35">
      <c r="P17531" s="226"/>
      <c r="Q17531" s="226"/>
      <c r="R17531" s="226"/>
      <c r="S17531" s="226"/>
      <c r="T17531" s="226"/>
      <c r="U17531" s="226"/>
    </row>
    <row r="17532" spans="16:21" x14ac:dyDescent="0.35">
      <c r="P17532" s="226"/>
      <c r="Q17532" s="226"/>
      <c r="R17532" s="226"/>
      <c r="S17532" s="226"/>
      <c r="T17532" s="226"/>
      <c r="U17532" s="226"/>
    </row>
    <row r="17533" spans="16:21" x14ac:dyDescent="0.35">
      <c r="P17533" s="226"/>
      <c r="Q17533" s="226"/>
      <c r="R17533" s="226"/>
      <c r="S17533" s="226"/>
      <c r="T17533" s="226"/>
      <c r="U17533" s="226"/>
    </row>
    <row r="17534" spans="16:21" x14ac:dyDescent="0.35">
      <c r="P17534" s="226"/>
      <c r="Q17534" s="226"/>
      <c r="R17534" s="226"/>
      <c r="S17534" s="226"/>
      <c r="T17534" s="226"/>
      <c r="U17534" s="226"/>
    </row>
    <row r="17535" spans="16:21" x14ac:dyDescent="0.35">
      <c r="P17535" s="226"/>
      <c r="Q17535" s="226"/>
      <c r="R17535" s="226"/>
      <c r="S17535" s="226"/>
      <c r="T17535" s="226"/>
      <c r="U17535" s="226"/>
    </row>
    <row r="17536" spans="16:21" x14ac:dyDescent="0.35">
      <c r="P17536" s="226"/>
      <c r="Q17536" s="226"/>
      <c r="R17536" s="226"/>
      <c r="S17536" s="226"/>
      <c r="T17536" s="226"/>
      <c r="U17536" s="226"/>
    </row>
    <row r="17537" spans="16:21" x14ac:dyDescent="0.35">
      <c r="P17537" s="226"/>
      <c r="Q17537" s="226"/>
      <c r="R17537" s="226"/>
      <c r="S17537" s="226"/>
      <c r="T17537" s="226"/>
      <c r="U17537" s="226"/>
    </row>
    <row r="17538" spans="16:21" x14ac:dyDescent="0.35">
      <c r="P17538" s="226"/>
      <c r="Q17538" s="226"/>
      <c r="R17538" s="226"/>
      <c r="S17538" s="226"/>
      <c r="T17538" s="226"/>
      <c r="U17538" s="226"/>
    </row>
    <row r="17539" spans="16:21" x14ac:dyDescent="0.35">
      <c r="P17539" s="226"/>
      <c r="Q17539" s="226"/>
      <c r="R17539" s="226"/>
      <c r="S17539" s="226"/>
      <c r="T17539" s="226"/>
      <c r="U17539" s="226"/>
    </row>
    <row r="17540" spans="16:21" x14ac:dyDescent="0.35">
      <c r="P17540" s="226"/>
      <c r="Q17540" s="226"/>
      <c r="R17540" s="226"/>
      <c r="S17540" s="226"/>
      <c r="T17540" s="226"/>
      <c r="U17540" s="226"/>
    </row>
    <row r="17541" spans="16:21" x14ac:dyDescent="0.35">
      <c r="P17541" s="226"/>
      <c r="Q17541" s="226"/>
      <c r="R17541" s="226"/>
      <c r="S17541" s="226"/>
      <c r="T17541" s="226"/>
      <c r="U17541" s="226"/>
    </row>
    <row r="17542" spans="16:21" x14ac:dyDescent="0.35">
      <c r="P17542" s="226"/>
      <c r="Q17542" s="226"/>
      <c r="R17542" s="226"/>
      <c r="S17542" s="226"/>
      <c r="T17542" s="226"/>
      <c r="U17542" s="226"/>
    </row>
    <row r="17543" spans="16:21" x14ac:dyDescent="0.35">
      <c r="P17543" s="226"/>
      <c r="Q17543" s="226"/>
      <c r="R17543" s="226"/>
      <c r="S17543" s="226"/>
      <c r="T17543" s="226"/>
      <c r="U17543" s="226"/>
    </row>
    <row r="17544" spans="16:21" x14ac:dyDescent="0.35">
      <c r="P17544" s="226"/>
      <c r="Q17544" s="226"/>
      <c r="R17544" s="226"/>
      <c r="S17544" s="226"/>
      <c r="T17544" s="226"/>
      <c r="U17544" s="226"/>
    </row>
    <row r="17545" spans="16:21" x14ac:dyDescent="0.35">
      <c r="P17545" s="226"/>
      <c r="Q17545" s="226"/>
      <c r="R17545" s="226"/>
      <c r="S17545" s="226"/>
      <c r="T17545" s="226"/>
      <c r="U17545" s="226"/>
    </row>
    <row r="17546" spans="16:21" x14ac:dyDescent="0.35">
      <c r="P17546" s="226"/>
      <c r="Q17546" s="226"/>
      <c r="R17546" s="226"/>
      <c r="S17546" s="226"/>
      <c r="T17546" s="226"/>
      <c r="U17546" s="226"/>
    </row>
    <row r="17547" spans="16:21" x14ac:dyDescent="0.35">
      <c r="P17547" s="226"/>
      <c r="Q17547" s="226"/>
      <c r="R17547" s="226"/>
      <c r="S17547" s="226"/>
      <c r="T17547" s="226"/>
      <c r="U17547" s="226"/>
    </row>
    <row r="17548" spans="16:21" x14ac:dyDescent="0.35">
      <c r="P17548" s="226"/>
      <c r="Q17548" s="226"/>
      <c r="R17548" s="226"/>
      <c r="S17548" s="226"/>
      <c r="T17548" s="226"/>
      <c r="U17548" s="226"/>
    </row>
    <row r="17549" spans="16:21" x14ac:dyDescent="0.35">
      <c r="P17549" s="226"/>
      <c r="Q17549" s="226"/>
      <c r="R17549" s="226"/>
      <c r="S17549" s="226"/>
      <c r="T17549" s="226"/>
      <c r="U17549" s="226"/>
    </row>
    <row r="17550" spans="16:21" x14ac:dyDescent="0.35">
      <c r="P17550" s="226"/>
      <c r="Q17550" s="226"/>
      <c r="R17550" s="226"/>
      <c r="S17550" s="226"/>
      <c r="T17550" s="226"/>
      <c r="U17550" s="226"/>
    </row>
    <row r="17551" spans="16:21" x14ac:dyDescent="0.35">
      <c r="P17551" s="226"/>
      <c r="Q17551" s="226"/>
      <c r="R17551" s="226"/>
      <c r="S17551" s="226"/>
      <c r="T17551" s="226"/>
      <c r="U17551" s="226"/>
    </row>
    <row r="17552" spans="16:21" x14ac:dyDescent="0.35">
      <c r="P17552" s="226"/>
      <c r="Q17552" s="226"/>
      <c r="R17552" s="226"/>
      <c r="S17552" s="226"/>
      <c r="T17552" s="226"/>
      <c r="U17552" s="226"/>
    </row>
    <row r="17553" spans="16:21" x14ac:dyDescent="0.35">
      <c r="P17553" s="226"/>
      <c r="Q17553" s="226"/>
      <c r="R17553" s="226"/>
      <c r="S17553" s="226"/>
      <c r="T17553" s="226"/>
      <c r="U17553" s="226"/>
    </row>
    <row r="17554" spans="16:21" x14ac:dyDescent="0.35">
      <c r="P17554" s="226"/>
      <c r="Q17554" s="226"/>
      <c r="R17554" s="226"/>
      <c r="S17554" s="226"/>
      <c r="T17554" s="226"/>
      <c r="U17554" s="226"/>
    </row>
    <row r="17555" spans="16:21" x14ac:dyDescent="0.35">
      <c r="P17555" s="226"/>
      <c r="Q17555" s="226"/>
      <c r="R17555" s="226"/>
      <c r="S17555" s="226"/>
      <c r="T17555" s="226"/>
      <c r="U17555" s="226"/>
    </row>
    <row r="17556" spans="16:21" x14ac:dyDescent="0.35">
      <c r="P17556" s="226"/>
      <c r="Q17556" s="226"/>
      <c r="R17556" s="226"/>
      <c r="S17556" s="226"/>
      <c r="T17556" s="226"/>
      <c r="U17556" s="226"/>
    </row>
    <row r="17557" spans="16:21" x14ac:dyDescent="0.35">
      <c r="P17557" s="226"/>
      <c r="Q17557" s="226"/>
      <c r="R17557" s="226"/>
      <c r="S17557" s="226"/>
      <c r="T17557" s="226"/>
      <c r="U17557" s="226"/>
    </row>
    <row r="17558" spans="16:21" x14ac:dyDescent="0.35">
      <c r="P17558" s="226"/>
      <c r="Q17558" s="226"/>
      <c r="R17558" s="226"/>
      <c r="S17558" s="226"/>
      <c r="T17558" s="226"/>
      <c r="U17558" s="226"/>
    </row>
    <row r="17559" spans="16:21" x14ac:dyDescent="0.35">
      <c r="P17559" s="226"/>
      <c r="Q17559" s="226"/>
      <c r="R17559" s="226"/>
      <c r="S17559" s="226"/>
      <c r="T17559" s="226"/>
      <c r="U17559" s="226"/>
    </row>
    <row r="17560" spans="16:21" x14ac:dyDescent="0.35">
      <c r="P17560" s="226"/>
      <c r="Q17560" s="226"/>
      <c r="R17560" s="226"/>
      <c r="S17560" s="226"/>
      <c r="T17560" s="226"/>
      <c r="U17560" s="226"/>
    </row>
    <row r="17561" spans="16:21" x14ac:dyDescent="0.35">
      <c r="P17561" s="226"/>
      <c r="Q17561" s="226"/>
      <c r="R17561" s="226"/>
      <c r="S17561" s="226"/>
      <c r="T17561" s="226"/>
      <c r="U17561" s="226"/>
    </row>
    <row r="17562" spans="16:21" x14ac:dyDescent="0.35">
      <c r="P17562" s="226"/>
      <c r="Q17562" s="226"/>
      <c r="R17562" s="226"/>
      <c r="S17562" s="226"/>
      <c r="T17562" s="226"/>
      <c r="U17562" s="226"/>
    </row>
    <row r="17563" spans="16:21" x14ac:dyDescent="0.35">
      <c r="P17563" s="226"/>
      <c r="Q17563" s="226"/>
      <c r="R17563" s="226"/>
      <c r="S17563" s="226"/>
      <c r="T17563" s="226"/>
      <c r="U17563" s="226"/>
    </row>
    <row r="17564" spans="16:21" x14ac:dyDescent="0.35">
      <c r="P17564" s="226"/>
      <c r="Q17564" s="226"/>
      <c r="R17564" s="226"/>
      <c r="S17564" s="226"/>
      <c r="T17564" s="226"/>
      <c r="U17564" s="226"/>
    </row>
    <row r="17565" spans="16:21" x14ac:dyDescent="0.35">
      <c r="P17565" s="226"/>
      <c r="Q17565" s="226"/>
      <c r="R17565" s="226"/>
      <c r="S17565" s="226"/>
      <c r="T17565" s="226"/>
      <c r="U17565" s="226"/>
    </row>
    <row r="17566" spans="16:21" x14ac:dyDescent="0.35">
      <c r="P17566" s="226"/>
      <c r="Q17566" s="226"/>
      <c r="R17566" s="226"/>
      <c r="S17566" s="226"/>
      <c r="T17566" s="226"/>
      <c r="U17566" s="226"/>
    </row>
    <row r="17567" spans="16:21" x14ac:dyDescent="0.35">
      <c r="P17567" s="226"/>
      <c r="Q17567" s="226"/>
      <c r="R17567" s="226"/>
      <c r="S17567" s="226"/>
      <c r="T17567" s="226"/>
      <c r="U17567" s="226"/>
    </row>
    <row r="17568" spans="16:21" x14ac:dyDescent="0.35">
      <c r="P17568" s="226"/>
      <c r="Q17568" s="226"/>
      <c r="R17568" s="226"/>
      <c r="S17568" s="226"/>
      <c r="T17568" s="226"/>
      <c r="U17568" s="226"/>
    </row>
    <row r="17569" spans="16:21" x14ac:dyDescent="0.35">
      <c r="P17569" s="226"/>
      <c r="Q17569" s="226"/>
      <c r="R17569" s="226"/>
      <c r="S17569" s="226"/>
      <c r="T17569" s="226"/>
      <c r="U17569" s="226"/>
    </row>
    <row r="17570" spans="16:21" x14ac:dyDescent="0.35">
      <c r="P17570" s="226"/>
      <c r="Q17570" s="226"/>
      <c r="R17570" s="226"/>
      <c r="S17570" s="226"/>
      <c r="T17570" s="226"/>
      <c r="U17570" s="226"/>
    </row>
    <row r="17571" spans="16:21" x14ac:dyDescent="0.35">
      <c r="P17571" s="226"/>
      <c r="Q17571" s="226"/>
      <c r="R17571" s="226"/>
      <c r="S17571" s="226"/>
      <c r="T17571" s="226"/>
      <c r="U17571" s="226"/>
    </row>
    <row r="17572" spans="16:21" x14ac:dyDescent="0.35">
      <c r="P17572" s="226"/>
      <c r="Q17572" s="226"/>
      <c r="R17572" s="226"/>
      <c r="S17572" s="226"/>
      <c r="T17572" s="226"/>
      <c r="U17572" s="226"/>
    </row>
    <row r="17573" spans="16:21" x14ac:dyDescent="0.35">
      <c r="P17573" s="226"/>
      <c r="Q17573" s="226"/>
      <c r="R17573" s="226"/>
      <c r="S17573" s="226"/>
      <c r="T17573" s="226"/>
      <c r="U17573" s="226"/>
    </row>
    <row r="17574" spans="16:21" x14ac:dyDescent="0.35">
      <c r="P17574" s="226"/>
      <c r="Q17574" s="226"/>
      <c r="R17574" s="226"/>
      <c r="S17574" s="226"/>
      <c r="T17574" s="226"/>
      <c r="U17574" s="226"/>
    </row>
    <row r="17575" spans="16:21" x14ac:dyDescent="0.35">
      <c r="P17575" s="226"/>
      <c r="Q17575" s="226"/>
      <c r="R17575" s="226"/>
      <c r="S17575" s="226"/>
      <c r="T17575" s="226"/>
      <c r="U17575" s="226"/>
    </row>
    <row r="17576" spans="16:21" x14ac:dyDescent="0.35">
      <c r="P17576" s="226"/>
      <c r="Q17576" s="226"/>
      <c r="R17576" s="226"/>
      <c r="S17576" s="226"/>
      <c r="T17576" s="226"/>
      <c r="U17576" s="226"/>
    </row>
    <row r="17577" spans="16:21" x14ac:dyDescent="0.35">
      <c r="P17577" s="226"/>
      <c r="Q17577" s="226"/>
      <c r="R17577" s="226"/>
      <c r="S17577" s="226"/>
      <c r="T17577" s="226"/>
      <c r="U17577" s="226"/>
    </row>
    <row r="17578" spans="16:21" x14ac:dyDescent="0.35">
      <c r="P17578" s="226"/>
      <c r="Q17578" s="226"/>
      <c r="R17578" s="226"/>
      <c r="S17578" s="226"/>
      <c r="T17578" s="226"/>
      <c r="U17578" s="226"/>
    </row>
    <row r="17579" spans="16:21" x14ac:dyDescent="0.35">
      <c r="P17579" s="226"/>
      <c r="Q17579" s="226"/>
      <c r="R17579" s="226"/>
      <c r="S17579" s="226"/>
      <c r="T17579" s="226"/>
      <c r="U17579" s="226"/>
    </row>
    <row r="17580" spans="16:21" x14ac:dyDescent="0.35">
      <c r="P17580" s="226"/>
      <c r="Q17580" s="226"/>
      <c r="R17580" s="226"/>
      <c r="S17580" s="226"/>
      <c r="T17580" s="226"/>
      <c r="U17580" s="226"/>
    </row>
    <row r="17581" spans="16:21" x14ac:dyDescent="0.35">
      <c r="P17581" s="226"/>
      <c r="Q17581" s="226"/>
      <c r="R17581" s="226"/>
      <c r="S17581" s="226"/>
      <c r="T17581" s="226"/>
      <c r="U17581" s="226"/>
    </row>
    <row r="17582" spans="16:21" x14ac:dyDescent="0.35">
      <c r="P17582" s="226"/>
      <c r="Q17582" s="226"/>
      <c r="R17582" s="226"/>
      <c r="S17582" s="226"/>
      <c r="T17582" s="226"/>
      <c r="U17582" s="226"/>
    </row>
    <row r="17583" spans="16:21" x14ac:dyDescent="0.35">
      <c r="P17583" s="226"/>
      <c r="Q17583" s="226"/>
      <c r="R17583" s="226"/>
      <c r="S17583" s="226"/>
      <c r="T17583" s="226"/>
      <c r="U17583" s="226"/>
    </row>
    <row r="17584" spans="16:21" x14ac:dyDescent="0.35">
      <c r="P17584" s="226"/>
      <c r="Q17584" s="226"/>
      <c r="R17584" s="226"/>
      <c r="S17584" s="226"/>
      <c r="T17584" s="226"/>
      <c r="U17584" s="226"/>
    </row>
    <row r="17585" spans="16:21" x14ac:dyDescent="0.35">
      <c r="P17585" s="226"/>
      <c r="Q17585" s="226"/>
      <c r="R17585" s="226"/>
      <c r="S17585" s="226"/>
      <c r="T17585" s="226"/>
      <c r="U17585" s="226"/>
    </row>
    <row r="17586" spans="16:21" x14ac:dyDescent="0.35">
      <c r="P17586" s="226"/>
      <c r="Q17586" s="226"/>
      <c r="R17586" s="226"/>
      <c r="S17586" s="226"/>
      <c r="T17586" s="226"/>
      <c r="U17586" s="226"/>
    </row>
    <row r="17587" spans="16:21" x14ac:dyDescent="0.35">
      <c r="P17587" s="226"/>
      <c r="Q17587" s="226"/>
      <c r="R17587" s="226"/>
      <c r="S17587" s="226"/>
      <c r="T17587" s="226"/>
      <c r="U17587" s="226"/>
    </row>
    <row r="17588" spans="16:21" x14ac:dyDescent="0.35">
      <c r="P17588" s="226"/>
      <c r="Q17588" s="226"/>
      <c r="R17588" s="226"/>
      <c r="S17588" s="226"/>
      <c r="T17588" s="226"/>
      <c r="U17588" s="226"/>
    </row>
    <row r="17589" spans="16:21" x14ac:dyDescent="0.35">
      <c r="P17589" s="226"/>
      <c r="Q17589" s="226"/>
      <c r="R17589" s="226"/>
      <c r="S17589" s="226"/>
      <c r="T17589" s="226"/>
      <c r="U17589" s="226"/>
    </row>
    <row r="17590" spans="16:21" x14ac:dyDescent="0.35">
      <c r="P17590" s="226"/>
      <c r="Q17590" s="226"/>
      <c r="R17590" s="226"/>
      <c r="S17590" s="226"/>
      <c r="T17590" s="226"/>
      <c r="U17590" s="226"/>
    </row>
    <row r="17591" spans="16:21" x14ac:dyDescent="0.35">
      <c r="P17591" s="226"/>
      <c r="Q17591" s="226"/>
      <c r="R17591" s="226"/>
      <c r="S17591" s="226"/>
      <c r="T17591" s="226"/>
      <c r="U17591" s="226"/>
    </row>
    <row r="17592" spans="16:21" x14ac:dyDescent="0.35">
      <c r="P17592" s="226"/>
      <c r="Q17592" s="226"/>
      <c r="R17592" s="226"/>
      <c r="S17592" s="226"/>
      <c r="T17592" s="226"/>
      <c r="U17592" s="226"/>
    </row>
    <row r="17593" spans="16:21" x14ac:dyDescent="0.35">
      <c r="P17593" s="226"/>
      <c r="Q17593" s="226"/>
      <c r="R17593" s="226"/>
      <c r="S17593" s="226"/>
      <c r="T17593" s="226"/>
      <c r="U17593" s="226"/>
    </row>
    <row r="17594" spans="16:21" x14ac:dyDescent="0.35">
      <c r="P17594" s="226"/>
      <c r="Q17594" s="226"/>
      <c r="R17594" s="226"/>
      <c r="S17594" s="226"/>
      <c r="T17594" s="226"/>
      <c r="U17594" s="226"/>
    </row>
    <row r="17595" spans="16:21" x14ac:dyDescent="0.35">
      <c r="P17595" s="226"/>
      <c r="Q17595" s="226"/>
      <c r="R17595" s="226"/>
      <c r="S17595" s="226"/>
      <c r="T17595" s="226"/>
      <c r="U17595" s="226"/>
    </row>
    <row r="17596" spans="16:21" x14ac:dyDescent="0.35">
      <c r="P17596" s="226"/>
      <c r="Q17596" s="226"/>
      <c r="R17596" s="226"/>
      <c r="S17596" s="226"/>
      <c r="T17596" s="226"/>
      <c r="U17596" s="226"/>
    </row>
    <row r="17597" spans="16:21" x14ac:dyDescent="0.35">
      <c r="P17597" s="226"/>
      <c r="Q17597" s="226"/>
      <c r="R17597" s="226"/>
      <c r="S17597" s="226"/>
      <c r="T17597" s="226"/>
      <c r="U17597" s="226"/>
    </row>
    <row r="17598" spans="16:21" x14ac:dyDescent="0.35">
      <c r="P17598" s="226"/>
      <c r="Q17598" s="226"/>
      <c r="R17598" s="226"/>
      <c r="S17598" s="226"/>
      <c r="T17598" s="226"/>
      <c r="U17598" s="226"/>
    </row>
    <row r="17599" spans="16:21" x14ac:dyDescent="0.35">
      <c r="P17599" s="226"/>
      <c r="Q17599" s="226"/>
      <c r="R17599" s="226"/>
      <c r="S17599" s="226"/>
      <c r="T17599" s="226"/>
      <c r="U17599" s="226"/>
    </row>
    <row r="17600" spans="16:21" x14ac:dyDescent="0.35">
      <c r="P17600" s="226"/>
      <c r="Q17600" s="226"/>
      <c r="R17600" s="226"/>
      <c r="S17600" s="226"/>
      <c r="T17600" s="226"/>
      <c r="U17600" s="226"/>
    </row>
    <row r="17601" spans="16:21" x14ac:dyDescent="0.35">
      <c r="P17601" s="226"/>
      <c r="Q17601" s="226"/>
      <c r="R17601" s="226"/>
      <c r="S17601" s="226"/>
      <c r="T17601" s="226"/>
      <c r="U17601" s="226"/>
    </row>
    <row r="17602" spans="16:21" x14ac:dyDescent="0.35">
      <c r="P17602" s="226"/>
      <c r="Q17602" s="226"/>
      <c r="R17602" s="226"/>
      <c r="S17602" s="226"/>
      <c r="T17602" s="226"/>
      <c r="U17602" s="226"/>
    </row>
    <row r="17603" spans="16:21" x14ac:dyDescent="0.35">
      <c r="P17603" s="226"/>
      <c r="Q17603" s="226"/>
      <c r="R17603" s="226"/>
      <c r="S17603" s="226"/>
      <c r="T17603" s="226"/>
      <c r="U17603" s="226"/>
    </row>
    <row r="17604" spans="16:21" x14ac:dyDescent="0.35">
      <c r="P17604" s="226"/>
      <c r="Q17604" s="226"/>
      <c r="R17604" s="226"/>
      <c r="S17604" s="226"/>
      <c r="T17604" s="226"/>
      <c r="U17604" s="226"/>
    </row>
    <row r="17605" spans="16:21" x14ac:dyDescent="0.35">
      <c r="P17605" s="226"/>
      <c r="Q17605" s="226"/>
      <c r="R17605" s="226"/>
      <c r="S17605" s="226"/>
      <c r="T17605" s="226"/>
      <c r="U17605" s="226"/>
    </row>
    <row r="17606" spans="16:21" x14ac:dyDescent="0.35">
      <c r="P17606" s="226"/>
      <c r="Q17606" s="226"/>
      <c r="R17606" s="226"/>
      <c r="S17606" s="226"/>
      <c r="T17606" s="226"/>
      <c r="U17606" s="226"/>
    </row>
    <row r="17607" spans="16:21" x14ac:dyDescent="0.35">
      <c r="P17607" s="226"/>
      <c r="Q17607" s="226"/>
      <c r="R17607" s="226"/>
      <c r="S17607" s="226"/>
      <c r="T17607" s="226"/>
      <c r="U17607" s="226"/>
    </row>
    <row r="17608" spans="16:21" x14ac:dyDescent="0.35">
      <c r="P17608" s="226"/>
      <c r="Q17608" s="226"/>
      <c r="R17608" s="226"/>
      <c r="S17608" s="226"/>
      <c r="T17608" s="226"/>
      <c r="U17608" s="226"/>
    </row>
    <row r="17609" spans="16:21" x14ac:dyDescent="0.35">
      <c r="P17609" s="226"/>
      <c r="Q17609" s="226"/>
      <c r="R17609" s="226"/>
      <c r="S17609" s="226"/>
      <c r="T17609" s="226"/>
      <c r="U17609" s="226"/>
    </row>
    <row r="17610" spans="16:21" x14ac:dyDescent="0.35">
      <c r="P17610" s="226"/>
      <c r="Q17610" s="226"/>
      <c r="R17610" s="226"/>
      <c r="S17610" s="226"/>
      <c r="T17610" s="226"/>
      <c r="U17610" s="226"/>
    </row>
    <row r="17611" spans="16:21" x14ac:dyDescent="0.35">
      <c r="P17611" s="226"/>
      <c r="Q17611" s="226"/>
      <c r="R17611" s="226"/>
      <c r="S17611" s="226"/>
      <c r="T17611" s="226"/>
      <c r="U17611" s="226"/>
    </row>
    <row r="17612" spans="16:21" x14ac:dyDescent="0.35">
      <c r="P17612" s="226"/>
      <c r="Q17612" s="226"/>
      <c r="R17612" s="226"/>
      <c r="S17612" s="226"/>
      <c r="T17612" s="226"/>
      <c r="U17612" s="226"/>
    </row>
    <row r="17613" spans="16:21" x14ac:dyDescent="0.35">
      <c r="P17613" s="226"/>
      <c r="Q17613" s="226"/>
      <c r="R17613" s="226"/>
      <c r="S17613" s="226"/>
      <c r="T17613" s="226"/>
      <c r="U17613" s="226"/>
    </row>
    <row r="17614" spans="16:21" x14ac:dyDescent="0.35">
      <c r="P17614" s="226"/>
      <c r="Q17614" s="226"/>
      <c r="R17614" s="226"/>
      <c r="S17614" s="226"/>
      <c r="T17614" s="226"/>
      <c r="U17614" s="226"/>
    </row>
    <row r="17615" spans="16:21" x14ac:dyDescent="0.35">
      <c r="P17615" s="226"/>
      <c r="Q17615" s="226"/>
      <c r="R17615" s="226"/>
      <c r="S17615" s="226"/>
      <c r="T17615" s="226"/>
      <c r="U17615" s="226"/>
    </row>
    <row r="17616" spans="16:21" x14ac:dyDescent="0.35">
      <c r="P17616" s="226"/>
      <c r="Q17616" s="226"/>
      <c r="R17616" s="226"/>
      <c r="S17616" s="226"/>
      <c r="T17616" s="226"/>
      <c r="U17616" s="226"/>
    </row>
    <row r="17617" spans="16:21" x14ac:dyDescent="0.35">
      <c r="P17617" s="226"/>
      <c r="Q17617" s="226"/>
      <c r="R17617" s="226"/>
      <c r="S17617" s="226"/>
      <c r="T17617" s="226"/>
      <c r="U17617" s="226"/>
    </row>
    <row r="17618" spans="16:21" x14ac:dyDescent="0.35">
      <c r="P17618" s="226"/>
      <c r="Q17618" s="226"/>
      <c r="R17618" s="226"/>
      <c r="S17618" s="226"/>
      <c r="T17618" s="226"/>
      <c r="U17618" s="226"/>
    </row>
    <row r="17619" spans="16:21" x14ac:dyDescent="0.35">
      <c r="P17619" s="226"/>
      <c r="Q17619" s="226"/>
      <c r="R17619" s="226"/>
      <c r="S17619" s="226"/>
      <c r="T17619" s="226"/>
      <c r="U17619" s="226"/>
    </row>
    <row r="17620" spans="16:21" x14ac:dyDescent="0.35">
      <c r="P17620" s="226"/>
      <c r="Q17620" s="226"/>
      <c r="R17620" s="226"/>
      <c r="S17620" s="226"/>
      <c r="T17620" s="226"/>
      <c r="U17620" s="226"/>
    </row>
    <row r="17621" spans="16:21" x14ac:dyDescent="0.35">
      <c r="P17621" s="226"/>
      <c r="Q17621" s="226"/>
      <c r="R17621" s="226"/>
      <c r="S17621" s="226"/>
      <c r="T17621" s="226"/>
      <c r="U17621" s="226"/>
    </row>
    <row r="17622" spans="16:21" x14ac:dyDescent="0.35">
      <c r="P17622" s="226"/>
      <c r="Q17622" s="226"/>
      <c r="R17622" s="226"/>
      <c r="S17622" s="226"/>
      <c r="T17622" s="226"/>
      <c r="U17622" s="226"/>
    </row>
    <row r="17623" spans="16:21" x14ac:dyDescent="0.35">
      <c r="P17623" s="226"/>
      <c r="Q17623" s="226"/>
      <c r="R17623" s="226"/>
      <c r="S17623" s="226"/>
      <c r="T17623" s="226"/>
      <c r="U17623" s="226"/>
    </row>
    <row r="17624" spans="16:21" x14ac:dyDescent="0.35">
      <c r="P17624" s="226"/>
      <c r="Q17624" s="226"/>
      <c r="R17624" s="226"/>
      <c r="S17624" s="226"/>
      <c r="T17624" s="226"/>
      <c r="U17624" s="226"/>
    </row>
    <row r="17625" spans="16:21" x14ac:dyDescent="0.35">
      <c r="P17625" s="226"/>
      <c r="Q17625" s="226"/>
      <c r="R17625" s="226"/>
      <c r="S17625" s="226"/>
      <c r="T17625" s="226"/>
      <c r="U17625" s="226"/>
    </row>
    <row r="17626" spans="16:21" x14ac:dyDescent="0.35">
      <c r="P17626" s="226"/>
      <c r="Q17626" s="226"/>
      <c r="R17626" s="226"/>
      <c r="S17626" s="226"/>
      <c r="T17626" s="226"/>
      <c r="U17626" s="226"/>
    </row>
    <row r="17627" spans="16:21" x14ac:dyDescent="0.35">
      <c r="P17627" s="226"/>
      <c r="Q17627" s="226"/>
      <c r="R17627" s="226"/>
      <c r="S17627" s="226"/>
      <c r="T17627" s="226"/>
      <c r="U17627" s="226"/>
    </row>
    <row r="17628" spans="16:21" x14ac:dyDescent="0.35">
      <c r="P17628" s="226"/>
      <c r="Q17628" s="226"/>
      <c r="R17628" s="226"/>
      <c r="S17628" s="226"/>
      <c r="T17628" s="226"/>
      <c r="U17628" s="226"/>
    </row>
    <row r="17629" spans="16:21" x14ac:dyDescent="0.35">
      <c r="P17629" s="226"/>
      <c r="Q17629" s="226"/>
      <c r="R17629" s="226"/>
      <c r="S17629" s="226"/>
      <c r="T17629" s="226"/>
      <c r="U17629" s="226"/>
    </row>
    <row r="17630" spans="16:21" x14ac:dyDescent="0.35">
      <c r="P17630" s="226"/>
      <c r="Q17630" s="226"/>
      <c r="R17630" s="226"/>
      <c r="S17630" s="226"/>
      <c r="T17630" s="226"/>
      <c r="U17630" s="226"/>
    </row>
    <row r="17631" spans="16:21" x14ac:dyDescent="0.35">
      <c r="P17631" s="226"/>
      <c r="Q17631" s="226"/>
      <c r="R17631" s="226"/>
      <c r="S17631" s="226"/>
      <c r="T17631" s="226"/>
      <c r="U17631" s="226"/>
    </row>
    <row r="17632" spans="16:21" x14ac:dyDescent="0.35">
      <c r="P17632" s="226"/>
      <c r="Q17632" s="226"/>
      <c r="R17632" s="226"/>
      <c r="S17632" s="226"/>
      <c r="T17632" s="226"/>
      <c r="U17632" s="226"/>
    </row>
    <row r="17633" spans="16:21" x14ac:dyDescent="0.35">
      <c r="P17633" s="226"/>
      <c r="Q17633" s="226"/>
      <c r="R17633" s="226"/>
      <c r="S17633" s="226"/>
      <c r="T17633" s="226"/>
      <c r="U17633" s="226"/>
    </row>
    <row r="17634" spans="16:21" x14ac:dyDescent="0.35">
      <c r="P17634" s="226"/>
      <c r="Q17634" s="226"/>
      <c r="R17634" s="226"/>
      <c r="S17634" s="226"/>
      <c r="T17634" s="226"/>
      <c r="U17634" s="226"/>
    </row>
    <row r="17635" spans="16:21" x14ac:dyDescent="0.35">
      <c r="P17635" s="226"/>
      <c r="Q17635" s="226"/>
      <c r="R17635" s="226"/>
      <c r="S17635" s="226"/>
      <c r="T17635" s="226"/>
      <c r="U17635" s="226"/>
    </row>
    <row r="17636" spans="16:21" x14ac:dyDescent="0.35">
      <c r="P17636" s="226"/>
      <c r="Q17636" s="226"/>
      <c r="R17636" s="226"/>
      <c r="S17636" s="226"/>
      <c r="T17636" s="226"/>
      <c r="U17636" s="226"/>
    </row>
    <row r="17637" spans="16:21" x14ac:dyDescent="0.35">
      <c r="P17637" s="226"/>
      <c r="Q17637" s="226"/>
      <c r="R17637" s="226"/>
      <c r="S17637" s="226"/>
      <c r="T17637" s="226"/>
      <c r="U17637" s="226"/>
    </row>
    <row r="17638" spans="16:21" x14ac:dyDescent="0.35">
      <c r="P17638" s="226"/>
      <c r="Q17638" s="226"/>
      <c r="R17638" s="226"/>
      <c r="S17638" s="226"/>
      <c r="T17638" s="226"/>
      <c r="U17638" s="226"/>
    </row>
    <row r="17639" spans="16:21" x14ac:dyDescent="0.35">
      <c r="P17639" s="226"/>
      <c r="Q17639" s="226"/>
      <c r="R17639" s="226"/>
      <c r="S17639" s="226"/>
      <c r="T17639" s="226"/>
      <c r="U17639" s="226"/>
    </row>
    <row r="17640" spans="16:21" x14ac:dyDescent="0.35">
      <c r="P17640" s="226"/>
      <c r="Q17640" s="226"/>
      <c r="R17640" s="226"/>
      <c r="S17640" s="226"/>
      <c r="T17640" s="226"/>
      <c r="U17640" s="226"/>
    </row>
    <row r="17641" spans="16:21" x14ac:dyDescent="0.35">
      <c r="P17641" s="226"/>
      <c r="Q17641" s="226"/>
      <c r="R17641" s="226"/>
      <c r="S17641" s="226"/>
      <c r="T17641" s="226"/>
      <c r="U17641" s="226"/>
    </row>
    <row r="17642" spans="16:21" x14ac:dyDescent="0.35">
      <c r="P17642" s="226"/>
      <c r="Q17642" s="226"/>
      <c r="R17642" s="226"/>
      <c r="S17642" s="226"/>
      <c r="T17642" s="226"/>
      <c r="U17642" s="226"/>
    </row>
    <row r="17643" spans="16:21" x14ac:dyDescent="0.35">
      <c r="P17643" s="226"/>
      <c r="Q17643" s="226"/>
      <c r="R17643" s="226"/>
      <c r="S17643" s="226"/>
      <c r="T17643" s="226"/>
      <c r="U17643" s="226"/>
    </row>
    <row r="17644" spans="16:21" x14ac:dyDescent="0.35">
      <c r="P17644" s="226"/>
      <c r="Q17644" s="226"/>
      <c r="R17644" s="226"/>
      <c r="S17644" s="226"/>
      <c r="T17644" s="226"/>
      <c r="U17644" s="226"/>
    </row>
    <row r="17645" spans="16:21" x14ac:dyDescent="0.35">
      <c r="P17645" s="226"/>
      <c r="Q17645" s="226"/>
      <c r="R17645" s="226"/>
      <c r="S17645" s="226"/>
      <c r="T17645" s="226"/>
      <c r="U17645" s="226"/>
    </row>
    <row r="17646" spans="16:21" x14ac:dyDescent="0.35">
      <c r="P17646" s="226"/>
      <c r="Q17646" s="226"/>
      <c r="R17646" s="226"/>
      <c r="S17646" s="226"/>
      <c r="T17646" s="226"/>
      <c r="U17646" s="226"/>
    </row>
    <row r="17647" spans="16:21" x14ac:dyDescent="0.35">
      <c r="P17647" s="226"/>
      <c r="Q17647" s="226"/>
      <c r="R17647" s="226"/>
      <c r="S17647" s="226"/>
      <c r="T17647" s="226"/>
      <c r="U17647" s="226"/>
    </row>
    <row r="17648" spans="16:21" x14ac:dyDescent="0.35">
      <c r="P17648" s="226"/>
      <c r="Q17648" s="226"/>
      <c r="R17648" s="226"/>
      <c r="S17648" s="226"/>
      <c r="T17648" s="226"/>
      <c r="U17648" s="226"/>
    </row>
    <row r="17649" spans="16:21" x14ac:dyDescent="0.35">
      <c r="P17649" s="226"/>
      <c r="Q17649" s="226"/>
      <c r="R17649" s="226"/>
      <c r="S17649" s="226"/>
      <c r="T17649" s="226"/>
      <c r="U17649" s="226"/>
    </row>
    <row r="17650" spans="16:21" x14ac:dyDescent="0.35">
      <c r="P17650" s="226"/>
      <c r="Q17650" s="226"/>
      <c r="R17650" s="226"/>
      <c r="S17650" s="226"/>
      <c r="T17650" s="226"/>
      <c r="U17650" s="226"/>
    </row>
    <row r="17651" spans="16:21" x14ac:dyDescent="0.35">
      <c r="P17651" s="226"/>
      <c r="Q17651" s="226"/>
      <c r="R17651" s="226"/>
      <c r="S17651" s="226"/>
      <c r="T17651" s="226"/>
      <c r="U17651" s="226"/>
    </row>
    <row r="17652" spans="16:21" x14ac:dyDescent="0.35">
      <c r="P17652" s="226"/>
      <c r="Q17652" s="226"/>
      <c r="R17652" s="226"/>
      <c r="S17652" s="226"/>
      <c r="T17652" s="226"/>
      <c r="U17652" s="226"/>
    </row>
    <row r="17653" spans="16:21" x14ac:dyDescent="0.35">
      <c r="P17653" s="226"/>
      <c r="Q17653" s="226"/>
      <c r="R17653" s="226"/>
      <c r="S17653" s="226"/>
      <c r="T17653" s="226"/>
      <c r="U17653" s="226"/>
    </row>
    <row r="17654" spans="16:21" x14ac:dyDescent="0.35">
      <c r="P17654" s="226"/>
      <c r="Q17654" s="226"/>
      <c r="R17654" s="226"/>
      <c r="S17654" s="226"/>
      <c r="T17654" s="226"/>
      <c r="U17654" s="226"/>
    </row>
    <row r="17655" spans="16:21" x14ac:dyDescent="0.35">
      <c r="P17655" s="226"/>
      <c r="Q17655" s="226"/>
      <c r="R17655" s="226"/>
      <c r="S17655" s="226"/>
      <c r="T17655" s="226"/>
      <c r="U17655" s="226"/>
    </row>
    <row r="17656" spans="16:21" x14ac:dyDescent="0.35">
      <c r="P17656" s="226"/>
      <c r="Q17656" s="226"/>
      <c r="R17656" s="226"/>
      <c r="S17656" s="226"/>
      <c r="T17656" s="226"/>
      <c r="U17656" s="226"/>
    </row>
    <row r="17657" spans="16:21" x14ac:dyDescent="0.35">
      <c r="P17657" s="226"/>
      <c r="Q17657" s="226"/>
      <c r="R17657" s="226"/>
      <c r="S17657" s="226"/>
      <c r="T17657" s="226"/>
      <c r="U17657" s="226"/>
    </row>
    <row r="17658" spans="16:21" x14ac:dyDescent="0.35">
      <c r="P17658" s="226"/>
      <c r="Q17658" s="226"/>
      <c r="R17658" s="226"/>
      <c r="S17658" s="226"/>
      <c r="T17658" s="226"/>
      <c r="U17658" s="226"/>
    </row>
    <row r="17659" spans="16:21" x14ac:dyDescent="0.35">
      <c r="P17659" s="226"/>
      <c r="Q17659" s="226"/>
      <c r="R17659" s="226"/>
      <c r="S17659" s="226"/>
      <c r="T17659" s="226"/>
      <c r="U17659" s="226"/>
    </row>
    <row r="17660" spans="16:21" x14ac:dyDescent="0.35">
      <c r="P17660" s="226"/>
      <c r="Q17660" s="226"/>
      <c r="R17660" s="226"/>
      <c r="S17660" s="226"/>
      <c r="T17660" s="226"/>
      <c r="U17660" s="226"/>
    </row>
    <row r="17661" spans="16:21" x14ac:dyDescent="0.35">
      <c r="P17661" s="226"/>
      <c r="Q17661" s="226"/>
      <c r="R17661" s="226"/>
      <c r="S17661" s="226"/>
      <c r="T17661" s="226"/>
      <c r="U17661" s="226"/>
    </row>
    <row r="17662" spans="16:21" x14ac:dyDescent="0.35">
      <c r="P17662" s="226"/>
      <c r="Q17662" s="226"/>
      <c r="R17662" s="226"/>
      <c r="S17662" s="226"/>
      <c r="T17662" s="226"/>
      <c r="U17662" s="226"/>
    </row>
    <row r="17663" spans="16:21" x14ac:dyDescent="0.35">
      <c r="P17663" s="226"/>
      <c r="Q17663" s="226"/>
      <c r="R17663" s="226"/>
      <c r="S17663" s="226"/>
      <c r="T17663" s="226"/>
      <c r="U17663" s="226"/>
    </row>
    <row r="17664" spans="16:21" x14ac:dyDescent="0.35">
      <c r="P17664" s="226"/>
      <c r="Q17664" s="226"/>
      <c r="R17664" s="226"/>
      <c r="S17664" s="226"/>
      <c r="T17664" s="226"/>
      <c r="U17664" s="226"/>
    </row>
    <row r="17665" spans="16:21" x14ac:dyDescent="0.35">
      <c r="P17665" s="226"/>
      <c r="Q17665" s="226"/>
      <c r="R17665" s="226"/>
      <c r="S17665" s="226"/>
      <c r="T17665" s="226"/>
      <c r="U17665" s="226"/>
    </row>
    <row r="17666" spans="16:21" x14ac:dyDescent="0.35">
      <c r="P17666" s="226"/>
      <c r="Q17666" s="226"/>
      <c r="R17666" s="226"/>
      <c r="S17666" s="226"/>
      <c r="T17666" s="226"/>
      <c r="U17666" s="226"/>
    </row>
    <row r="17667" spans="16:21" x14ac:dyDescent="0.35">
      <c r="P17667" s="226"/>
      <c r="Q17667" s="226"/>
      <c r="R17667" s="226"/>
      <c r="S17667" s="226"/>
      <c r="T17667" s="226"/>
      <c r="U17667" s="226"/>
    </row>
    <row r="17668" spans="16:21" x14ac:dyDescent="0.35">
      <c r="P17668" s="226"/>
      <c r="Q17668" s="226"/>
      <c r="R17668" s="226"/>
      <c r="S17668" s="226"/>
      <c r="T17668" s="226"/>
      <c r="U17668" s="226"/>
    </row>
    <row r="17669" spans="16:21" x14ac:dyDescent="0.35">
      <c r="P17669" s="226"/>
      <c r="Q17669" s="226"/>
      <c r="R17669" s="226"/>
      <c r="S17669" s="226"/>
      <c r="T17669" s="226"/>
      <c r="U17669" s="226"/>
    </row>
    <row r="17670" spans="16:21" x14ac:dyDescent="0.35">
      <c r="P17670" s="226"/>
      <c r="Q17670" s="226"/>
      <c r="R17670" s="226"/>
      <c r="S17670" s="226"/>
      <c r="T17670" s="226"/>
      <c r="U17670" s="226"/>
    </row>
    <row r="17671" spans="16:21" x14ac:dyDescent="0.35">
      <c r="P17671" s="226"/>
      <c r="Q17671" s="226"/>
      <c r="R17671" s="226"/>
      <c r="S17671" s="226"/>
      <c r="T17671" s="226"/>
      <c r="U17671" s="226"/>
    </row>
    <row r="17672" spans="16:21" x14ac:dyDescent="0.35">
      <c r="P17672" s="226"/>
      <c r="Q17672" s="226"/>
      <c r="R17672" s="226"/>
      <c r="S17672" s="226"/>
      <c r="T17672" s="226"/>
      <c r="U17672" s="226"/>
    </row>
    <row r="17673" spans="16:21" x14ac:dyDescent="0.35">
      <c r="P17673" s="226"/>
      <c r="Q17673" s="226"/>
      <c r="R17673" s="226"/>
      <c r="S17673" s="226"/>
      <c r="T17673" s="226"/>
      <c r="U17673" s="226"/>
    </row>
    <row r="17674" spans="16:21" x14ac:dyDescent="0.35">
      <c r="P17674" s="226"/>
      <c r="Q17674" s="226"/>
      <c r="R17674" s="226"/>
      <c r="S17674" s="226"/>
      <c r="T17674" s="226"/>
      <c r="U17674" s="226"/>
    </row>
    <row r="17675" spans="16:21" x14ac:dyDescent="0.35">
      <c r="P17675" s="226"/>
      <c r="Q17675" s="226"/>
      <c r="R17675" s="226"/>
      <c r="S17675" s="226"/>
      <c r="T17675" s="226"/>
      <c r="U17675" s="226"/>
    </row>
    <row r="17676" spans="16:21" x14ac:dyDescent="0.35">
      <c r="P17676" s="226"/>
      <c r="Q17676" s="226"/>
      <c r="R17676" s="226"/>
      <c r="S17676" s="226"/>
      <c r="T17676" s="226"/>
      <c r="U17676" s="226"/>
    </row>
    <row r="17677" spans="16:21" x14ac:dyDescent="0.35">
      <c r="P17677" s="226"/>
      <c r="Q17677" s="226"/>
      <c r="R17677" s="226"/>
      <c r="S17677" s="226"/>
      <c r="T17677" s="226"/>
      <c r="U17677" s="226"/>
    </row>
    <row r="17678" spans="16:21" x14ac:dyDescent="0.35">
      <c r="P17678" s="226"/>
      <c r="Q17678" s="226"/>
      <c r="R17678" s="226"/>
      <c r="S17678" s="226"/>
      <c r="T17678" s="226"/>
      <c r="U17678" s="226"/>
    </row>
    <row r="17679" spans="16:21" x14ac:dyDescent="0.35">
      <c r="P17679" s="226"/>
      <c r="Q17679" s="226"/>
      <c r="R17679" s="226"/>
      <c r="S17679" s="226"/>
      <c r="T17679" s="226"/>
      <c r="U17679" s="226"/>
    </row>
    <row r="17680" spans="16:21" x14ac:dyDescent="0.35">
      <c r="P17680" s="226"/>
      <c r="Q17680" s="226"/>
      <c r="R17680" s="226"/>
      <c r="S17680" s="226"/>
      <c r="T17680" s="226"/>
      <c r="U17680" s="226"/>
    </row>
    <row r="17681" spans="16:21" x14ac:dyDescent="0.35">
      <c r="P17681" s="226"/>
      <c r="Q17681" s="226"/>
      <c r="R17681" s="226"/>
      <c r="S17681" s="226"/>
      <c r="T17681" s="226"/>
      <c r="U17681" s="226"/>
    </row>
    <row r="17682" spans="16:21" x14ac:dyDescent="0.35">
      <c r="P17682" s="226"/>
      <c r="Q17682" s="226"/>
      <c r="R17682" s="226"/>
      <c r="S17682" s="226"/>
      <c r="T17682" s="226"/>
      <c r="U17682" s="226"/>
    </row>
    <row r="17683" spans="16:21" x14ac:dyDescent="0.35">
      <c r="P17683" s="226"/>
      <c r="Q17683" s="226"/>
      <c r="R17683" s="226"/>
      <c r="S17683" s="226"/>
      <c r="T17683" s="226"/>
      <c r="U17683" s="226"/>
    </row>
    <row r="17684" spans="16:21" x14ac:dyDescent="0.35">
      <c r="P17684" s="226"/>
      <c r="Q17684" s="226"/>
      <c r="R17684" s="226"/>
      <c r="S17684" s="226"/>
      <c r="T17684" s="226"/>
      <c r="U17684" s="226"/>
    </row>
    <row r="17685" spans="16:21" x14ac:dyDescent="0.35">
      <c r="P17685" s="226"/>
      <c r="Q17685" s="226"/>
      <c r="R17685" s="226"/>
      <c r="S17685" s="226"/>
      <c r="T17685" s="226"/>
      <c r="U17685" s="226"/>
    </row>
    <row r="17686" spans="16:21" x14ac:dyDescent="0.35">
      <c r="P17686" s="226"/>
      <c r="Q17686" s="226"/>
      <c r="R17686" s="226"/>
      <c r="S17686" s="226"/>
      <c r="T17686" s="226"/>
      <c r="U17686" s="226"/>
    </row>
    <row r="17687" spans="16:21" x14ac:dyDescent="0.35">
      <c r="P17687" s="226"/>
      <c r="Q17687" s="226"/>
      <c r="R17687" s="226"/>
      <c r="S17687" s="226"/>
      <c r="T17687" s="226"/>
      <c r="U17687" s="226"/>
    </row>
    <row r="17688" spans="16:21" x14ac:dyDescent="0.35">
      <c r="P17688" s="226"/>
      <c r="Q17688" s="226"/>
      <c r="R17688" s="226"/>
      <c r="S17688" s="226"/>
      <c r="T17688" s="226"/>
      <c r="U17688" s="226"/>
    </row>
    <row r="17689" spans="16:21" x14ac:dyDescent="0.35">
      <c r="P17689" s="226"/>
      <c r="Q17689" s="226"/>
      <c r="R17689" s="226"/>
      <c r="S17689" s="226"/>
      <c r="T17689" s="226"/>
      <c r="U17689" s="226"/>
    </row>
    <row r="17690" spans="16:21" x14ac:dyDescent="0.35">
      <c r="P17690" s="226"/>
      <c r="Q17690" s="226"/>
      <c r="R17690" s="226"/>
      <c r="S17690" s="226"/>
      <c r="T17690" s="226"/>
      <c r="U17690" s="226"/>
    </row>
    <row r="17691" spans="16:21" x14ac:dyDescent="0.35">
      <c r="P17691" s="226"/>
      <c r="Q17691" s="226"/>
      <c r="R17691" s="226"/>
      <c r="S17691" s="226"/>
      <c r="T17691" s="226"/>
      <c r="U17691" s="226"/>
    </row>
    <row r="17692" spans="16:21" x14ac:dyDescent="0.35">
      <c r="P17692" s="226"/>
      <c r="Q17692" s="226"/>
      <c r="R17692" s="226"/>
      <c r="S17692" s="226"/>
      <c r="T17692" s="226"/>
      <c r="U17692" s="226"/>
    </row>
    <row r="17693" spans="16:21" x14ac:dyDescent="0.35">
      <c r="P17693" s="226"/>
      <c r="Q17693" s="226"/>
      <c r="R17693" s="226"/>
      <c r="S17693" s="226"/>
      <c r="T17693" s="226"/>
      <c r="U17693" s="226"/>
    </row>
    <row r="17694" spans="16:21" x14ac:dyDescent="0.35">
      <c r="P17694" s="226"/>
      <c r="Q17694" s="226"/>
      <c r="R17694" s="226"/>
      <c r="S17694" s="226"/>
      <c r="T17694" s="226"/>
      <c r="U17694" s="226"/>
    </row>
    <row r="17695" spans="16:21" x14ac:dyDescent="0.35">
      <c r="P17695" s="226"/>
      <c r="Q17695" s="226"/>
      <c r="R17695" s="226"/>
      <c r="S17695" s="226"/>
      <c r="T17695" s="226"/>
      <c r="U17695" s="226"/>
    </row>
    <row r="17696" spans="16:21" x14ac:dyDescent="0.35">
      <c r="P17696" s="226"/>
      <c r="Q17696" s="226"/>
      <c r="R17696" s="226"/>
      <c r="S17696" s="226"/>
      <c r="T17696" s="226"/>
      <c r="U17696" s="226"/>
    </row>
    <row r="17697" spans="16:21" x14ac:dyDescent="0.35">
      <c r="P17697" s="226"/>
      <c r="Q17697" s="226"/>
      <c r="R17697" s="226"/>
      <c r="S17697" s="226"/>
      <c r="T17697" s="226"/>
      <c r="U17697" s="226"/>
    </row>
    <row r="17698" spans="16:21" x14ac:dyDescent="0.35">
      <c r="P17698" s="226"/>
      <c r="Q17698" s="226"/>
      <c r="R17698" s="226"/>
      <c r="S17698" s="226"/>
      <c r="T17698" s="226"/>
      <c r="U17698" s="226"/>
    </row>
    <row r="17699" spans="16:21" x14ac:dyDescent="0.35">
      <c r="P17699" s="226"/>
      <c r="Q17699" s="226"/>
      <c r="R17699" s="226"/>
      <c r="S17699" s="226"/>
      <c r="T17699" s="226"/>
      <c r="U17699" s="226"/>
    </row>
    <row r="17700" spans="16:21" x14ac:dyDescent="0.35">
      <c r="P17700" s="226"/>
      <c r="Q17700" s="226"/>
      <c r="R17700" s="226"/>
      <c r="S17700" s="226"/>
      <c r="T17700" s="226"/>
      <c r="U17700" s="226"/>
    </row>
    <row r="17701" spans="16:21" x14ac:dyDescent="0.35">
      <c r="P17701" s="226"/>
      <c r="Q17701" s="226"/>
      <c r="R17701" s="226"/>
      <c r="S17701" s="226"/>
      <c r="T17701" s="226"/>
      <c r="U17701" s="226"/>
    </row>
    <row r="17702" spans="16:21" x14ac:dyDescent="0.35">
      <c r="P17702" s="226"/>
      <c r="Q17702" s="226"/>
      <c r="R17702" s="226"/>
      <c r="S17702" s="226"/>
      <c r="T17702" s="226"/>
      <c r="U17702" s="226"/>
    </row>
    <row r="17703" spans="16:21" x14ac:dyDescent="0.35">
      <c r="P17703" s="226"/>
      <c r="Q17703" s="226"/>
      <c r="R17703" s="226"/>
      <c r="S17703" s="226"/>
      <c r="T17703" s="226"/>
      <c r="U17703" s="226"/>
    </row>
    <row r="17704" spans="16:21" x14ac:dyDescent="0.35">
      <c r="P17704" s="226"/>
      <c r="Q17704" s="226"/>
      <c r="R17704" s="226"/>
      <c r="S17704" s="226"/>
      <c r="T17704" s="226"/>
      <c r="U17704" s="226"/>
    </row>
    <row r="17705" spans="16:21" x14ac:dyDescent="0.35">
      <c r="P17705" s="226"/>
      <c r="Q17705" s="226"/>
      <c r="R17705" s="226"/>
      <c r="S17705" s="226"/>
      <c r="T17705" s="226"/>
      <c r="U17705" s="226"/>
    </row>
    <row r="17706" spans="16:21" x14ac:dyDescent="0.35">
      <c r="P17706" s="226"/>
      <c r="Q17706" s="226"/>
      <c r="R17706" s="226"/>
      <c r="S17706" s="226"/>
      <c r="T17706" s="226"/>
      <c r="U17706" s="226"/>
    </row>
    <row r="17707" spans="16:21" x14ac:dyDescent="0.35">
      <c r="P17707" s="226"/>
      <c r="Q17707" s="226"/>
      <c r="R17707" s="226"/>
      <c r="S17707" s="226"/>
      <c r="T17707" s="226"/>
      <c r="U17707" s="226"/>
    </row>
    <row r="17708" spans="16:21" x14ac:dyDescent="0.35">
      <c r="P17708" s="226"/>
      <c r="Q17708" s="226"/>
      <c r="R17708" s="226"/>
      <c r="S17708" s="226"/>
      <c r="T17708" s="226"/>
      <c r="U17708" s="226"/>
    </row>
    <row r="17709" spans="16:21" x14ac:dyDescent="0.35">
      <c r="P17709" s="226"/>
      <c r="Q17709" s="226"/>
      <c r="R17709" s="226"/>
      <c r="S17709" s="226"/>
      <c r="T17709" s="226"/>
      <c r="U17709" s="226"/>
    </row>
    <row r="17710" spans="16:21" x14ac:dyDescent="0.35">
      <c r="P17710" s="226"/>
      <c r="Q17710" s="226"/>
      <c r="R17710" s="226"/>
      <c r="S17710" s="226"/>
      <c r="T17710" s="226"/>
      <c r="U17710" s="226"/>
    </row>
    <row r="17711" spans="16:21" x14ac:dyDescent="0.35">
      <c r="P17711" s="226"/>
      <c r="Q17711" s="226"/>
      <c r="R17711" s="226"/>
      <c r="S17711" s="226"/>
      <c r="T17711" s="226"/>
      <c r="U17711" s="226"/>
    </row>
    <row r="17712" spans="16:21" x14ac:dyDescent="0.35">
      <c r="P17712" s="226"/>
      <c r="Q17712" s="226"/>
      <c r="R17712" s="226"/>
      <c r="S17712" s="226"/>
      <c r="T17712" s="226"/>
      <c r="U17712" s="226"/>
    </row>
    <row r="17713" spans="16:21" x14ac:dyDescent="0.35">
      <c r="P17713" s="226"/>
      <c r="Q17713" s="226"/>
      <c r="R17713" s="226"/>
      <c r="S17713" s="226"/>
      <c r="T17713" s="226"/>
      <c r="U17713" s="226"/>
    </row>
    <row r="17714" spans="16:21" x14ac:dyDescent="0.35">
      <c r="P17714" s="226"/>
      <c r="Q17714" s="226"/>
      <c r="R17714" s="226"/>
      <c r="S17714" s="226"/>
      <c r="T17714" s="226"/>
      <c r="U17714" s="226"/>
    </row>
    <row r="17715" spans="16:21" x14ac:dyDescent="0.35">
      <c r="P17715" s="226"/>
      <c r="Q17715" s="226"/>
      <c r="R17715" s="226"/>
      <c r="S17715" s="226"/>
      <c r="T17715" s="226"/>
      <c r="U17715" s="226"/>
    </row>
    <row r="17716" spans="16:21" x14ac:dyDescent="0.35">
      <c r="P17716" s="226"/>
      <c r="Q17716" s="226"/>
      <c r="R17716" s="226"/>
      <c r="S17716" s="226"/>
      <c r="T17716" s="226"/>
      <c r="U17716" s="226"/>
    </row>
    <row r="17717" spans="16:21" x14ac:dyDescent="0.35">
      <c r="P17717" s="226"/>
      <c r="Q17717" s="226"/>
      <c r="R17717" s="226"/>
      <c r="S17717" s="226"/>
      <c r="T17717" s="226"/>
      <c r="U17717" s="226"/>
    </row>
    <row r="17718" spans="16:21" x14ac:dyDescent="0.35">
      <c r="P17718" s="226"/>
      <c r="Q17718" s="226"/>
      <c r="R17718" s="226"/>
      <c r="S17718" s="226"/>
      <c r="T17718" s="226"/>
      <c r="U17718" s="226"/>
    </row>
    <row r="17719" spans="16:21" x14ac:dyDescent="0.35">
      <c r="P17719" s="226"/>
      <c r="Q17719" s="226"/>
      <c r="R17719" s="226"/>
      <c r="S17719" s="226"/>
      <c r="T17719" s="226"/>
      <c r="U17719" s="226"/>
    </row>
    <row r="17720" spans="16:21" x14ac:dyDescent="0.35">
      <c r="P17720" s="226"/>
      <c r="Q17720" s="226"/>
      <c r="R17720" s="226"/>
      <c r="S17720" s="226"/>
      <c r="T17720" s="226"/>
      <c r="U17720" s="226"/>
    </row>
    <row r="17721" spans="16:21" x14ac:dyDescent="0.35">
      <c r="P17721" s="226"/>
      <c r="Q17721" s="226"/>
      <c r="R17721" s="226"/>
      <c r="S17721" s="226"/>
      <c r="T17721" s="226"/>
      <c r="U17721" s="226"/>
    </row>
    <row r="17722" spans="16:21" x14ac:dyDescent="0.35">
      <c r="P17722" s="226"/>
      <c r="Q17722" s="226"/>
      <c r="R17722" s="226"/>
      <c r="S17722" s="226"/>
      <c r="T17722" s="226"/>
      <c r="U17722" s="226"/>
    </row>
    <row r="17723" spans="16:21" x14ac:dyDescent="0.35">
      <c r="P17723" s="226"/>
      <c r="Q17723" s="226"/>
      <c r="R17723" s="226"/>
      <c r="S17723" s="226"/>
      <c r="T17723" s="226"/>
      <c r="U17723" s="226"/>
    </row>
    <row r="17724" spans="16:21" x14ac:dyDescent="0.35">
      <c r="P17724" s="226"/>
      <c r="Q17724" s="226"/>
      <c r="R17724" s="226"/>
      <c r="S17724" s="226"/>
      <c r="T17724" s="226"/>
      <c r="U17724" s="226"/>
    </row>
    <row r="17725" spans="16:21" x14ac:dyDescent="0.35">
      <c r="P17725" s="226"/>
      <c r="Q17725" s="226"/>
      <c r="R17725" s="226"/>
      <c r="S17725" s="226"/>
      <c r="T17725" s="226"/>
      <c r="U17725" s="226"/>
    </row>
    <row r="17726" spans="16:21" x14ac:dyDescent="0.35">
      <c r="P17726" s="226"/>
      <c r="Q17726" s="226"/>
      <c r="R17726" s="226"/>
      <c r="S17726" s="226"/>
      <c r="T17726" s="226"/>
      <c r="U17726" s="226"/>
    </row>
    <row r="17727" spans="16:21" x14ac:dyDescent="0.35">
      <c r="P17727" s="226"/>
      <c r="Q17727" s="226"/>
      <c r="R17727" s="226"/>
      <c r="S17727" s="226"/>
      <c r="T17727" s="226"/>
      <c r="U17727" s="226"/>
    </row>
    <row r="17728" spans="16:21" x14ac:dyDescent="0.35">
      <c r="P17728" s="226"/>
      <c r="Q17728" s="226"/>
      <c r="R17728" s="226"/>
      <c r="S17728" s="226"/>
      <c r="T17728" s="226"/>
      <c r="U17728" s="226"/>
    </row>
    <row r="17729" spans="16:21" x14ac:dyDescent="0.35">
      <c r="P17729" s="226"/>
      <c r="Q17729" s="226"/>
      <c r="R17729" s="226"/>
      <c r="S17729" s="226"/>
      <c r="T17729" s="226"/>
      <c r="U17729" s="226"/>
    </row>
    <row r="17730" spans="16:21" x14ac:dyDescent="0.35">
      <c r="P17730" s="226"/>
      <c r="Q17730" s="226"/>
      <c r="R17730" s="226"/>
      <c r="S17730" s="226"/>
      <c r="T17730" s="226"/>
      <c r="U17730" s="226"/>
    </row>
    <row r="17731" spans="16:21" x14ac:dyDescent="0.35">
      <c r="P17731" s="226"/>
      <c r="Q17731" s="226"/>
      <c r="R17731" s="226"/>
      <c r="S17731" s="226"/>
      <c r="T17731" s="226"/>
      <c r="U17731" s="226"/>
    </row>
    <row r="17732" spans="16:21" x14ac:dyDescent="0.35">
      <c r="P17732" s="226"/>
      <c r="Q17732" s="226"/>
      <c r="R17732" s="226"/>
      <c r="S17732" s="226"/>
      <c r="T17732" s="226"/>
      <c r="U17732" s="226"/>
    </row>
    <row r="17733" spans="16:21" x14ac:dyDescent="0.35">
      <c r="P17733" s="226"/>
      <c r="Q17733" s="226"/>
      <c r="R17733" s="226"/>
      <c r="S17733" s="226"/>
      <c r="T17733" s="226"/>
      <c r="U17733" s="226"/>
    </row>
    <row r="17734" spans="16:21" x14ac:dyDescent="0.35">
      <c r="P17734" s="226"/>
      <c r="Q17734" s="226"/>
      <c r="R17734" s="226"/>
      <c r="S17734" s="226"/>
      <c r="T17734" s="226"/>
      <c r="U17734" s="226"/>
    </row>
    <row r="17735" spans="16:21" x14ac:dyDescent="0.35">
      <c r="P17735" s="226"/>
      <c r="Q17735" s="226"/>
      <c r="R17735" s="226"/>
      <c r="S17735" s="226"/>
      <c r="T17735" s="226"/>
      <c r="U17735" s="226"/>
    </row>
    <row r="17736" spans="16:21" x14ac:dyDescent="0.35">
      <c r="P17736" s="226"/>
      <c r="Q17736" s="226"/>
      <c r="R17736" s="226"/>
      <c r="S17736" s="226"/>
      <c r="T17736" s="226"/>
      <c r="U17736" s="226"/>
    </row>
    <row r="17737" spans="16:21" x14ac:dyDescent="0.35">
      <c r="P17737" s="226"/>
      <c r="Q17737" s="226"/>
      <c r="R17737" s="226"/>
      <c r="S17737" s="226"/>
      <c r="T17737" s="226"/>
      <c r="U17737" s="226"/>
    </row>
    <row r="17738" spans="16:21" x14ac:dyDescent="0.35">
      <c r="P17738" s="226"/>
      <c r="Q17738" s="226"/>
      <c r="R17738" s="226"/>
      <c r="S17738" s="226"/>
      <c r="T17738" s="226"/>
      <c r="U17738" s="226"/>
    </row>
    <row r="17739" spans="16:21" x14ac:dyDescent="0.35">
      <c r="P17739" s="226"/>
      <c r="Q17739" s="226"/>
      <c r="R17739" s="226"/>
      <c r="S17739" s="226"/>
      <c r="T17739" s="226"/>
      <c r="U17739" s="226"/>
    </row>
    <row r="17740" spans="16:21" x14ac:dyDescent="0.35">
      <c r="P17740" s="226"/>
      <c r="Q17740" s="226"/>
      <c r="R17740" s="226"/>
      <c r="S17740" s="226"/>
      <c r="T17740" s="226"/>
      <c r="U17740" s="226"/>
    </row>
    <row r="17741" spans="16:21" x14ac:dyDescent="0.35">
      <c r="P17741" s="226"/>
      <c r="Q17741" s="226"/>
      <c r="R17741" s="226"/>
      <c r="S17741" s="226"/>
      <c r="T17741" s="226"/>
      <c r="U17741" s="226"/>
    </row>
    <row r="17742" spans="16:21" x14ac:dyDescent="0.35">
      <c r="P17742" s="226"/>
      <c r="Q17742" s="226"/>
      <c r="R17742" s="226"/>
      <c r="S17742" s="226"/>
      <c r="T17742" s="226"/>
      <c r="U17742" s="226"/>
    </row>
    <row r="17743" spans="16:21" x14ac:dyDescent="0.35">
      <c r="P17743" s="226"/>
      <c r="Q17743" s="226"/>
      <c r="R17743" s="226"/>
      <c r="S17743" s="226"/>
      <c r="T17743" s="226"/>
      <c r="U17743" s="226"/>
    </row>
    <row r="17744" spans="16:21" x14ac:dyDescent="0.35">
      <c r="P17744" s="226"/>
      <c r="Q17744" s="226"/>
      <c r="R17744" s="226"/>
      <c r="S17744" s="226"/>
      <c r="T17744" s="226"/>
      <c r="U17744" s="226"/>
    </row>
    <row r="17745" spans="16:21" x14ac:dyDescent="0.35">
      <c r="P17745" s="226"/>
      <c r="Q17745" s="226"/>
      <c r="R17745" s="226"/>
      <c r="S17745" s="226"/>
      <c r="T17745" s="226"/>
      <c r="U17745" s="226"/>
    </row>
    <row r="17746" spans="16:21" x14ac:dyDescent="0.35">
      <c r="P17746" s="226"/>
      <c r="Q17746" s="226"/>
      <c r="R17746" s="226"/>
      <c r="S17746" s="226"/>
      <c r="T17746" s="226"/>
      <c r="U17746" s="226"/>
    </row>
    <row r="17747" spans="16:21" x14ac:dyDescent="0.35">
      <c r="P17747" s="226"/>
      <c r="Q17747" s="226"/>
      <c r="R17747" s="226"/>
      <c r="S17747" s="226"/>
      <c r="T17747" s="226"/>
      <c r="U17747" s="226"/>
    </row>
    <row r="17748" spans="16:21" x14ac:dyDescent="0.35">
      <c r="P17748" s="226"/>
      <c r="Q17748" s="226"/>
      <c r="R17748" s="226"/>
      <c r="S17748" s="226"/>
      <c r="T17748" s="226"/>
      <c r="U17748" s="226"/>
    </row>
    <row r="17749" spans="16:21" x14ac:dyDescent="0.35">
      <c r="P17749" s="226"/>
      <c r="Q17749" s="226"/>
      <c r="R17749" s="226"/>
      <c r="S17749" s="226"/>
      <c r="T17749" s="226"/>
      <c r="U17749" s="226"/>
    </row>
    <row r="17750" spans="16:21" x14ac:dyDescent="0.35">
      <c r="P17750" s="226"/>
      <c r="Q17750" s="226"/>
      <c r="R17750" s="226"/>
      <c r="S17750" s="226"/>
      <c r="T17750" s="226"/>
      <c r="U17750" s="226"/>
    </row>
    <row r="17751" spans="16:21" x14ac:dyDescent="0.35">
      <c r="P17751" s="226"/>
      <c r="Q17751" s="226"/>
      <c r="R17751" s="226"/>
      <c r="S17751" s="226"/>
      <c r="T17751" s="226"/>
      <c r="U17751" s="226"/>
    </row>
    <row r="17752" spans="16:21" x14ac:dyDescent="0.35">
      <c r="P17752" s="226"/>
      <c r="Q17752" s="226"/>
      <c r="R17752" s="226"/>
      <c r="S17752" s="226"/>
      <c r="T17752" s="226"/>
      <c r="U17752" s="226"/>
    </row>
    <row r="17753" spans="16:21" x14ac:dyDescent="0.35">
      <c r="P17753" s="226"/>
      <c r="Q17753" s="226"/>
      <c r="R17753" s="226"/>
      <c r="S17753" s="226"/>
      <c r="T17753" s="226"/>
      <c r="U17753" s="226"/>
    </row>
    <row r="17754" spans="16:21" x14ac:dyDescent="0.35">
      <c r="P17754" s="226"/>
      <c r="Q17754" s="226"/>
      <c r="R17754" s="226"/>
      <c r="S17754" s="226"/>
      <c r="T17754" s="226"/>
      <c r="U17754" s="226"/>
    </row>
    <row r="17755" spans="16:21" x14ac:dyDescent="0.35">
      <c r="P17755" s="226"/>
      <c r="Q17755" s="226"/>
      <c r="R17755" s="226"/>
      <c r="S17755" s="226"/>
      <c r="T17755" s="226"/>
      <c r="U17755" s="226"/>
    </row>
    <row r="17756" spans="16:21" x14ac:dyDescent="0.35">
      <c r="P17756" s="226"/>
      <c r="Q17756" s="226"/>
      <c r="R17756" s="226"/>
      <c r="S17756" s="226"/>
      <c r="T17756" s="226"/>
      <c r="U17756" s="226"/>
    </row>
    <row r="17757" spans="16:21" x14ac:dyDescent="0.35">
      <c r="P17757" s="226"/>
      <c r="Q17757" s="226"/>
      <c r="R17757" s="226"/>
      <c r="S17757" s="226"/>
      <c r="T17757" s="226"/>
      <c r="U17757" s="226"/>
    </row>
    <row r="17758" spans="16:21" x14ac:dyDescent="0.35">
      <c r="P17758" s="226"/>
      <c r="Q17758" s="226"/>
      <c r="R17758" s="226"/>
      <c r="S17758" s="226"/>
      <c r="T17758" s="226"/>
      <c r="U17758" s="226"/>
    </row>
    <row r="17759" spans="16:21" x14ac:dyDescent="0.35">
      <c r="P17759" s="226"/>
      <c r="Q17759" s="226"/>
      <c r="R17759" s="226"/>
      <c r="S17759" s="226"/>
      <c r="T17759" s="226"/>
      <c r="U17759" s="226"/>
    </row>
    <row r="17760" spans="16:21" x14ac:dyDescent="0.35">
      <c r="P17760" s="226"/>
      <c r="Q17760" s="226"/>
      <c r="R17760" s="226"/>
      <c r="S17760" s="226"/>
      <c r="T17760" s="226"/>
      <c r="U17760" s="226"/>
    </row>
    <row r="17761" spans="16:21" x14ac:dyDescent="0.35">
      <c r="P17761" s="226"/>
      <c r="Q17761" s="226"/>
      <c r="R17761" s="226"/>
      <c r="S17761" s="226"/>
      <c r="T17761" s="226"/>
      <c r="U17761" s="226"/>
    </row>
    <row r="17762" spans="16:21" x14ac:dyDescent="0.35">
      <c r="P17762" s="226"/>
      <c r="Q17762" s="226"/>
      <c r="R17762" s="226"/>
      <c r="S17762" s="226"/>
      <c r="T17762" s="226"/>
      <c r="U17762" s="226"/>
    </row>
    <row r="17763" spans="16:21" x14ac:dyDescent="0.35">
      <c r="P17763" s="226"/>
      <c r="Q17763" s="226"/>
      <c r="R17763" s="226"/>
      <c r="S17763" s="226"/>
      <c r="T17763" s="226"/>
      <c r="U17763" s="226"/>
    </row>
    <row r="17764" spans="16:21" x14ac:dyDescent="0.35">
      <c r="P17764" s="226"/>
      <c r="Q17764" s="226"/>
      <c r="R17764" s="226"/>
      <c r="S17764" s="226"/>
      <c r="T17764" s="226"/>
      <c r="U17764" s="226"/>
    </row>
    <row r="17765" spans="16:21" x14ac:dyDescent="0.35">
      <c r="P17765" s="226"/>
      <c r="Q17765" s="226"/>
      <c r="R17765" s="226"/>
      <c r="S17765" s="226"/>
      <c r="T17765" s="226"/>
      <c r="U17765" s="226"/>
    </row>
    <row r="17766" spans="16:21" x14ac:dyDescent="0.35">
      <c r="P17766" s="226"/>
      <c r="Q17766" s="226"/>
      <c r="R17766" s="226"/>
      <c r="S17766" s="226"/>
      <c r="T17766" s="226"/>
      <c r="U17766" s="226"/>
    </row>
    <row r="17767" spans="16:21" x14ac:dyDescent="0.35">
      <c r="P17767" s="226"/>
      <c r="Q17767" s="226"/>
      <c r="R17767" s="226"/>
      <c r="S17767" s="226"/>
      <c r="T17767" s="226"/>
      <c r="U17767" s="226"/>
    </row>
    <row r="17768" spans="16:21" x14ac:dyDescent="0.35">
      <c r="P17768" s="226"/>
      <c r="Q17768" s="226"/>
      <c r="R17768" s="226"/>
      <c r="S17768" s="226"/>
      <c r="T17768" s="226"/>
      <c r="U17768" s="226"/>
    </row>
    <row r="17769" spans="16:21" x14ac:dyDescent="0.35">
      <c r="P17769" s="226"/>
      <c r="Q17769" s="226"/>
      <c r="R17769" s="226"/>
      <c r="S17769" s="226"/>
      <c r="T17769" s="226"/>
      <c r="U17769" s="226"/>
    </row>
    <row r="17770" spans="16:21" x14ac:dyDescent="0.35">
      <c r="P17770" s="226"/>
      <c r="Q17770" s="226"/>
      <c r="R17770" s="226"/>
      <c r="S17770" s="226"/>
      <c r="T17770" s="226"/>
      <c r="U17770" s="226"/>
    </row>
    <row r="17771" spans="16:21" x14ac:dyDescent="0.35">
      <c r="P17771" s="226"/>
      <c r="Q17771" s="226"/>
      <c r="R17771" s="226"/>
      <c r="S17771" s="226"/>
      <c r="T17771" s="226"/>
      <c r="U17771" s="226"/>
    </row>
    <row r="17772" spans="16:21" x14ac:dyDescent="0.35">
      <c r="P17772" s="226"/>
      <c r="Q17772" s="226"/>
      <c r="R17772" s="226"/>
      <c r="S17772" s="226"/>
      <c r="T17772" s="226"/>
      <c r="U17772" s="226"/>
    </row>
    <row r="17773" spans="16:21" x14ac:dyDescent="0.35">
      <c r="P17773" s="226"/>
      <c r="Q17773" s="226"/>
      <c r="R17773" s="226"/>
      <c r="S17773" s="226"/>
      <c r="T17773" s="226"/>
      <c r="U17773" s="226"/>
    </row>
    <row r="17774" spans="16:21" x14ac:dyDescent="0.35">
      <c r="P17774" s="226"/>
      <c r="Q17774" s="226"/>
      <c r="R17774" s="226"/>
      <c r="S17774" s="226"/>
      <c r="T17774" s="226"/>
      <c r="U17774" s="226"/>
    </row>
    <row r="17775" spans="16:21" x14ac:dyDescent="0.35">
      <c r="P17775" s="226"/>
      <c r="Q17775" s="226"/>
      <c r="R17775" s="226"/>
      <c r="S17775" s="226"/>
      <c r="T17775" s="226"/>
      <c r="U17775" s="226"/>
    </row>
    <row r="17776" spans="16:21" x14ac:dyDescent="0.35">
      <c r="P17776" s="226"/>
      <c r="Q17776" s="226"/>
      <c r="R17776" s="226"/>
      <c r="S17776" s="226"/>
      <c r="T17776" s="226"/>
      <c r="U17776" s="226"/>
    </row>
    <row r="17777" spans="16:21" x14ac:dyDescent="0.35">
      <c r="P17777" s="226"/>
      <c r="Q17777" s="226"/>
      <c r="R17777" s="226"/>
      <c r="S17777" s="226"/>
      <c r="T17777" s="226"/>
      <c r="U17777" s="226"/>
    </row>
    <row r="17778" spans="16:21" x14ac:dyDescent="0.35">
      <c r="P17778" s="226"/>
      <c r="Q17778" s="226"/>
      <c r="R17778" s="226"/>
      <c r="S17778" s="226"/>
      <c r="T17778" s="226"/>
      <c r="U17778" s="226"/>
    </row>
    <row r="17779" spans="16:21" x14ac:dyDescent="0.35">
      <c r="P17779" s="226"/>
      <c r="Q17779" s="226"/>
      <c r="R17779" s="226"/>
      <c r="S17779" s="226"/>
      <c r="T17779" s="226"/>
      <c r="U17779" s="226"/>
    </row>
    <row r="17780" spans="16:21" x14ac:dyDescent="0.35">
      <c r="P17780" s="226"/>
      <c r="Q17780" s="226"/>
      <c r="R17780" s="226"/>
      <c r="S17780" s="226"/>
      <c r="T17780" s="226"/>
      <c r="U17780" s="226"/>
    </row>
    <row r="17781" spans="16:21" x14ac:dyDescent="0.35">
      <c r="P17781" s="226"/>
      <c r="Q17781" s="226"/>
      <c r="R17781" s="226"/>
      <c r="S17781" s="226"/>
      <c r="T17781" s="226"/>
      <c r="U17781" s="226"/>
    </row>
    <row r="17782" spans="16:21" x14ac:dyDescent="0.35">
      <c r="P17782" s="226"/>
      <c r="Q17782" s="226"/>
      <c r="R17782" s="226"/>
      <c r="S17782" s="226"/>
      <c r="T17782" s="226"/>
      <c r="U17782" s="226"/>
    </row>
    <row r="17783" spans="16:21" x14ac:dyDescent="0.35">
      <c r="P17783" s="226"/>
      <c r="Q17783" s="226"/>
      <c r="R17783" s="226"/>
      <c r="S17783" s="226"/>
      <c r="T17783" s="226"/>
      <c r="U17783" s="226"/>
    </row>
    <row r="17784" spans="16:21" x14ac:dyDescent="0.35">
      <c r="P17784" s="226"/>
      <c r="Q17784" s="226"/>
      <c r="R17784" s="226"/>
      <c r="S17784" s="226"/>
      <c r="T17784" s="226"/>
      <c r="U17784" s="226"/>
    </row>
    <row r="17785" spans="16:21" x14ac:dyDescent="0.35">
      <c r="P17785" s="226"/>
      <c r="Q17785" s="226"/>
      <c r="R17785" s="226"/>
      <c r="S17785" s="226"/>
      <c r="T17785" s="226"/>
      <c r="U17785" s="226"/>
    </row>
    <row r="17786" spans="16:21" x14ac:dyDescent="0.35">
      <c r="P17786" s="226"/>
      <c r="Q17786" s="226"/>
      <c r="R17786" s="226"/>
      <c r="S17786" s="226"/>
      <c r="T17786" s="226"/>
      <c r="U17786" s="226"/>
    </row>
    <row r="17787" spans="16:21" x14ac:dyDescent="0.35">
      <c r="P17787" s="226"/>
      <c r="Q17787" s="226"/>
      <c r="R17787" s="226"/>
      <c r="S17787" s="226"/>
      <c r="T17787" s="226"/>
      <c r="U17787" s="226"/>
    </row>
    <row r="17788" spans="16:21" x14ac:dyDescent="0.35">
      <c r="P17788" s="226"/>
      <c r="Q17788" s="226"/>
      <c r="R17788" s="226"/>
      <c r="S17788" s="226"/>
      <c r="T17788" s="226"/>
      <c r="U17788" s="226"/>
    </row>
    <row r="17789" spans="16:21" x14ac:dyDescent="0.35">
      <c r="P17789" s="226"/>
      <c r="Q17789" s="226"/>
      <c r="R17789" s="226"/>
      <c r="S17789" s="226"/>
      <c r="T17789" s="226"/>
      <c r="U17789" s="226"/>
    </row>
    <row r="17790" spans="16:21" x14ac:dyDescent="0.35">
      <c r="P17790" s="226"/>
      <c r="Q17790" s="226"/>
      <c r="R17790" s="226"/>
      <c r="S17790" s="226"/>
      <c r="T17790" s="226"/>
      <c r="U17790" s="226"/>
    </row>
    <row r="17791" spans="16:21" x14ac:dyDescent="0.35">
      <c r="P17791" s="226"/>
      <c r="Q17791" s="226"/>
      <c r="R17791" s="226"/>
      <c r="S17791" s="226"/>
      <c r="T17791" s="226"/>
      <c r="U17791" s="226"/>
    </row>
    <row r="17792" spans="16:21" x14ac:dyDescent="0.35">
      <c r="P17792" s="226"/>
      <c r="Q17792" s="226"/>
      <c r="R17792" s="226"/>
      <c r="S17792" s="226"/>
      <c r="T17792" s="226"/>
      <c r="U17792" s="226"/>
    </row>
    <row r="17793" spans="16:21" x14ac:dyDescent="0.35">
      <c r="P17793" s="226"/>
      <c r="Q17793" s="226"/>
      <c r="R17793" s="226"/>
      <c r="S17793" s="226"/>
      <c r="T17793" s="226"/>
      <c r="U17793" s="226"/>
    </row>
    <row r="17794" spans="16:21" x14ac:dyDescent="0.35">
      <c r="P17794" s="226"/>
      <c r="Q17794" s="226"/>
      <c r="R17794" s="226"/>
      <c r="S17794" s="226"/>
      <c r="T17794" s="226"/>
      <c r="U17794" s="226"/>
    </row>
    <row r="17795" spans="16:21" x14ac:dyDescent="0.35">
      <c r="P17795" s="226"/>
      <c r="Q17795" s="226"/>
      <c r="R17795" s="226"/>
      <c r="S17795" s="226"/>
      <c r="T17795" s="226"/>
      <c r="U17795" s="226"/>
    </row>
    <row r="17796" spans="16:21" x14ac:dyDescent="0.35">
      <c r="P17796" s="226"/>
      <c r="Q17796" s="226"/>
      <c r="R17796" s="226"/>
      <c r="S17796" s="226"/>
      <c r="T17796" s="226"/>
      <c r="U17796" s="226"/>
    </row>
    <row r="17797" spans="16:21" x14ac:dyDescent="0.35">
      <c r="P17797" s="226"/>
      <c r="Q17797" s="226"/>
      <c r="R17797" s="226"/>
      <c r="S17797" s="226"/>
      <c r="T17797" s="226"/>
      <c r="U17797" s="226"/>
    </row>
    <row r="17798" spans="16:21" x14ac:dyDescent="0.35">
      <c r="P17798" s="226"/>
      <c r="Q17798" s="226"/>
      <c r="R17798" s="226"/>
      <c r="S17798" s="226"/>
      <c r="T17798" s="226"/>
      <c r="U17798" s="226"/>
    </row>
    <row r="17799" spans="16:21" x14ac:dyDescent="0.35">
      <c r="P17799" s="226"/>
      <c r="Q17799" s="226"/>
      <c r="R17799" s="226"/>
      <c r="S17799" s="226"/>
      <c r="T17799" s="226"/>
      <c r="U17799" s="226"/>
    </row>
    <row r="17800" spans="16:21" x14ac:dyDescent="0.35">
      <c r="P17800" s="226"/>
      <c r="Q17800" s="226"/>
      <c r="R17800" s="226"/>
      <c r="S17800" s="226"/>
      <c r="T17800" s="226"/>
      <c r="U17800" s="226"/>
    </row>
    <row r="17801" spans="16:21" x14ac:dyDescent="0.35">
      <c r="P17801" s="226"/>
      <c r="Q17801" s="226"/>
      <c r="R17801" s="226"/>
      <c r="S17801" s="226"/>
      <c r="T17801" s="226"/>
      <c r="U17801" s="226"/>
    </row>
    <row r="17802" spans="16:21" x14ac:dyDescent="0.35">
      <c r="P17802" s="226"/>
      <c r="Q17802" s="226"/>
      <c r="R17802" s="226"/>
      <c r="S17802" s="226"/>
      <c r="T17802" s="226"/>
      <c r="U17802" s="226"/>
    </row>
    <row r="17803" spans="16:21" x14ac:dyDescent="0.35">
      <c r="P17803" s="226"/>
      <c r="Q17803" s="226"/>
      <c r="R17803" s="226"/>
      <c r="S17803" s="226"/>
      <c r="T17803" s="226"/>
      <c r="U17803" s="226"/>
    </row>
    <row r="17804" spans="16:21" x14ac:dyDescent="0.35">
      <c r="P17804" s="226"/>
      <c r="Q17804" s="226"/>
      <c r="R17804" s="226"/>
      <c r="S17804" s="226"/>
      <c r="T17804" s="226"/>
      <c r="U17804" s="226"/>
    </row>
    <row r="17805" spans="16:21" x14ac:dyDescent="0.35">
      <c r="P17805" s="226"/>
      <c r="Q17805" s="226"/>
      <c r="R17805" s="226"/>
      <c r="S17805" s="226"/>
      <c r="T17805" s="226"/>
      <c r="U17805" s="226"/>
    </row>
    <row r="17806" spans="16:21" x14ac:dyDescent="0.35">
      <c r="P17806" s="226"/>
      <c r="Q17806" s="226"/>
      <c r="R17806" s="226"/>
      <c r="S17806" s="226"/>
      <c r="T17806" s="226"/>
      <c r="U17806" s="226"/>
    </row>
    <row r="17807" spans="16:21" x14ac:dyDescent="0.35">
      <c r="P17807" s="226"/>
      <c r="Q17807" s="226"/>
      <c r="R17807" s="226"/>
      <c r="S17807" s="226"/>
      <c r="T17807" s="226"/>
      <c r="U17807" s="226"/>
    </row>
    <row r="17808" spans="16:21" x14ac:dyDescent="0.35">
      <c r="P17808" s="226"/>
      <c r="Q17808" s="226"/>
      <c r="R17808" s="226"/>
      <c r="S17808" s="226"/>
      <c r="T17808" s="226"/>
      <c r="U17808" s="226"/>
    </row>
    <row r="17809" spans="16:21" x14ac:dyDescent="0.35">
      <c r="P17809" s="226"/>
      <c r="Q17809" s="226"/>
      <c r="R17809" s="226"/>
      <c r="S17809" s="226"/>
      <c r="T17809" s="226"/>
      <c r="U17809" s="226"/>
    </row>
    <row r="17810" spans="16:21" x14ac:dyDescent="0.35">
      <c r="P17810" s="226"/>
      <c r="Q17810" s="226"/>
      <c r="R17810" s="226"/>
      <c r="S17810" s="226"/>
      <c r="T17810" s="226"/>
      <c r="U17810" s="226"/>
    </row>
    <row r="17811" spans="16:21" x14ac:dyDescent="0.35">
      <c r="P17811" s="226"/>
      <c r="Q17811" s="226"/>
      <c r="R17811" s="226"/>
      <c r="S17811" s="226"/>
      <c r="T17811" s="226"/>
      <c r="U17811" s="226"/>
    </row>
    <row r="17812" spans="16:21" x14ac:dyDescent="0.35">
      <c r="P17812" s="226"/>
      <c r="Q17812" s="226"/>
      <c r="R17812" s="226"/>
      <c r="S17812" s="226"/>
      <c r="T17812" s="226"/>
      <c r="U17812" s="226"/>
    </row>
    <row r="17813" spans="16:21" x14ac:dyDescent="0.35">
      <c r="P17813" s="226"/>
      <c r="Q17813" s="226"/>
      <c r="R17813" s="226"/>
      <c r="S17813" s="226"/>
      <c r="T17813" s="226"/>
      <c r="U17813" s="226"/>
    </row>
    <row r="17814" spans="16:21" x14ac:dyDescent="0.35">
      <c r="P17814" s="226"/>
      <c r="Q17814" s="226"/>
      <c r="R17814" s="226"/>
      <c r="S17814" s="226"/>
      <c r="T17814" s="226"/>
      <c r="U17814" s="226"/>
    </row>
    <row r="17815" spans="16:21" x14ac:dyDescent="0.35">
      <c r="P17815" s="226"/>
      <c r="Q17815" s="226"/>
      <c r="R17815" s="226"/>
      <c r="S17815" s="226"/>
      <c r="T17815" s="226"/>
      <c r="U17815" s="226"/>
    </row>
    <row r="17816" spans="16:21" x14ac:dyDescent="0.35">
      <c r="P17816" s="226"/>
      <c r="Q17816" s="226"/>
      <c r="R17816" s="226"/>
      <c r="S17816" s="226"/>
      <c r="T17816" s="226"/>
      <c r="U17816" s="226"/>
    </row>
    <row r="17817" spans="16:21" x14ac:dyDescent="0.35">
      <c r="P17817" s="226"/>
      <c r="Q17817" s="226"/>
      <c r="R17817" s="226"/>
      <c r="S17817" s="226"/>
      <c r="T17817" s="226"/>
      <c r="U17817" s="226"/>
    </row>
    <row r="17818" spans="16:21" x14ac:dyDescent="0.35">
      <c r="P17818" s="226"/>
      <c r="Q17818" s="226"/>
      <c r="R17818" s="226"/>
      <c r="S17818" s="226"/>
      <c r="T17818" s="226"/>
      <c r="U17818" s="226"/>
    </row>
    <row r="17819" spans="16:21" x14ac:dyDescent="0.35">
      <c r="P17819" s="226"/>
      <c r="Q17819" s="226"/>
      <c r="R17819" s="226"/>
      <c r="S17819" s="226"/>
      <c r="T17819" s="226"/>
      <c r="U17819" s="226"/>
    </row>
    <row r="17820" spans="16:21" x14ac:dyDescent="0.35">
      <c r="P17820" s="226"/>
      <c r="Q17820" s="226"/>
      <c r="R17820" s="226"/>
      <c r="S17820" s="226"/>
      <c r="T17820" s="226"/>
      <c r="U17820" s="226"/>
    </row>
    <row r="17821" spans="16:21" x14ac:dyDescent="0.35">
      <c r="P17821" s="226"/>
      <c r="Q17821" s="226"/>
      <c r="R17821" s="226"/>
      <c r="S17821" s="226"/>
      <c r="T17821" s="226"/>
      <c r="U17821" s="226"/>
    </row>
    <row r="17822" spans="16:21" x14ac:dyDescent="0.35">
      <c r="P17822" s="226"/>
      <c r="Q17822" s="226"/>
      <c r="R17822" s="226"/>
      <c r="S17822" s="226"/>
      <c r="T17822" s="226"/>
      <c r="U17822" s="226"/>
    </row>
    <row r="17823" spans="16:21" x14ac:dyDescent="0.35">
      <c r="P17823" s="226"/>
      <c r="Q17823" s="226"/>
      <c r="R17823" s="226"/>
      <c r="S17823" s="226"/>
      <c r="T17823" s="226"/>
      <c r="U17823" s="226"/>
    </row>
    <row r="17824" spans="16:21" x14ac:dyDescent="0.35">
      <c r="P17824" s="226"/>
      <c r="Q17824" s="226"/>
      <c r="R17824" s="226"/>
      <c r="S17824" s="226"/>
      <c r="T17824" s="226"/>
      <c r="U17824" s="226"/>
    </row>
    <row r="17825" spans="16:21" x14ac:dyDescent="0.35">
      <c r="P17825" s="226"/>
      <c r="Q17825" s="226"/>
      <c r="R17825" s="226"/>
      <c r="S17825" s="226"/>
      <c r="T17825" s="226"/>
      <c r="U17825" s="226"/>
    </row>
    <row r="17826" spans="16:21" x14ac:dyDescent="0.35">
      <c r="P17826" s="226"/>
      <c r="Q17826" s="226"/>
      <c r="R17826" s="226"/>
      <c r="S17826" s="226"/>
      <c r="T17826" s="226"/>
      <c r="U17826" s="226"/>
    </row>
    <row r="17827" spans="16:21" x14ac:dyDescent="0.35">
      <c r="P17827" s="226"/>
      <c r="Q17827" s="226"/>
      <c r="R17827" s="226"/>
      <c r="S17827" s="226"/>
      <c r="T17827" s="226"/>
      <c r="U17827" s="226"/>
    </row>
    <row r="17828" spans="16:21" x14ac:dyDescent="0.35">
      <c r="P17828" s="226"/>
      <c r="Q17828" s="226"/>
      <c r="R17828" s="226"/>
      <c r="S17828" s="226"/>
      <c r="T17828" s="226"/>
      <c r="U17828" s="226"/>
    </row>
    <row r="17829" spans="16:21" x14ac:dyDescent="0.35">
      <c r="P17829" s="226"/>
      <c r="Q17829" s="226"/>
      <c r="R17829" s="226"/>
      <c r="S17829" s="226"/>
      <c r="T17829" s="226"/>
      <c r="U17829" s="226"/>
    </row>
    <row r="17830" spans="16:21" x14ac:dyDescent="0.35">
      <c r="P17830" s="226"/>
      <c r="Q17830" s="226"/>
      <c r="R17830" s="226"/>
      <c r="S17830" s="226"/>
      <c r="T17830" s="226"/>
      <c r="U17830" s="226"/>
    </row>
    <row r="17831" spans="16:21" x14ac:dyDescent="0.35">
      <c r="P17831" s="226"/>
      <c r="Q17831" s="226"/>
      <c r="R17831" s="226"/>
      <c r="S17831" s="226"/>
      <c r="T17831" s="226"/>
      <c r="U17831" s="226"/>
    </row>
    <row r="17832" spans="16:21" x14ac:dyDescent="0.35">
      <c r="P17832" s="226"/>
      <c r="Q17832" s="226"/>
      <c r="R17832" s="226"/>
      <c r="S17832" s="226"/>
      <c r="T17832" s="226"/>
      <c r="U17832" s="226"/>
    </row>
    <row r="17833" spans="16:21" x14ac:dyDescent="0.35">
      <c r="P17833" s="226"/>
      <c r="Q17833" s="226"/>
      <c r="R17833" s="226"/>
      <c r="S17833" s="226"/>
      <c r="T17833" s="226"/>
      <c r="U17833" s="226"/>
    </row>
    <row r="17834" spans="16:21" x14ac:dyDescent="0.35">
      <c r="P17834" s="226"/>
      <c r="Q17834" s="226"/>
      <c r="R17834" s="226"/>
      <c r="S17834" s="226"/>
      <c r="T17834" s="226"/>
      <c r="U17834" s="226"/>
    </row>
    <row r="17835" spans="16:21" x14ac:dyDescent="0.35">
      <c r="P17835" s="226"/>
      <c r="Q17835" s="226"/>
      <c r="R17835" s="226"/>
      <c r="S17835" s="226"/>
      <c r="T17835" s="226"/>
      <c r="U17835" s="226"/>
    </row>
    <row r="17836" spans="16:21" x14ac:dyDescent="0.35">
      <c r="P17836" s="226"/>
      <c r="Q17836" s="226"/>
      <c r="R17836" s="226"/>
      <c r="S17836" s="226"/>
      <c r="T17836" s="226"/>
      <c r="U17836" s="226"/>
    </row>
    <row r="17837" spans="16:21" x14ac:dyDescent="0.35">
      <c r="P17837" s="226"/>
      <c r="Q17837" s="226"/>
      <c r="R17837" s="226"/>
      <c r="S17837" s="226"/>
      <c r="T17837" s="226"/>
      <c r="U17837" s="226"/>
    </row>
    <row r="17838" spans="16:21" x14ac:dyDescent="0.35">
      <c r="P17838" s="226"/>
      <c r="Q17838" s="226"/>
      <c r="R17838" s="226"/>
      <c r="S17838" s="226"/>
      <c r="T17838" s="226"/>
      <c r="U17838" s="226"/>
    </row>
    <row r="17839" spans="16:21" x14ac:dyDescent="0.35">
      <c r="P17839" s="226"/>
      <c r="Q17839" s="226"/>
      <c r="R17839" s="226"/>
      <c r="S17839" s="226"/>
      <c r="T17839" s="226"/>
      <c r="U17839" s="226"/>
    </row>
    <row r="17840" spans="16:21" x14ac:dyDescent="0.35">
      <c r="P17840" s="226"/>
      <c r="Q17840" s="226"/>
      <c r="R17840" s="226"/>
      <c r="S17840" s="226"/>
      <c r="T17840" s="226"/>
      <c r="U17840" s="226"/>
    </row>
    <row r="17841" spans="16:21" x14ac:dyDescent="0.35">
      <c r="P17841" s="226"/>
      <c r="Q17841" s="226"/>
      <c r="R17841" s="226"/>
      <c r="S17841" s="226"/>
      <c r="T17841" s="226"/>
      <c r="U17841" s="226"/>
    </row>
    <row r="17842" spans="16:21" x14ac:dyDescent="0.35">
      <c r="P17842" s="226"/>
      <c r="Q17842" s="226"/>
      <c r="R17842" s="226"/>
      <c r="S17842" s="226"/>
      <c r="T17842" s="226"/>
      <c r="U17842" s="226"/>
    </row>
    <row r="17843" spans="16:21" x14ac:dyDescent="0.35">
      <c r="P17843" s="226"/>
      <c r="Q17843" s="226"/>
      <c r="R17843" s="226"/>
      <c r="S17843" s="226"/>
      <c r="T17843" s="226"/>
      <c r="U17843" s="226"/>
    </row>
    <row r="17844" spans="16:21" x14ac:dyDescent="0.35">
      <c r="P17844" s="226"/>
      <c r="Q17844" s="226"/>
      <c r="R17844" s="226"/>
      <c r="S17844" s="226"/>
      <c r="T17844" s="226"/>
      <c r="U17844" s="226"/>
    </row>
    <row r="17845" spans="16:21" x14ac:dyDescent="0.35">
      <c r="P17845" s="226"/>
      <c r="Q17845" s="226"/>
      <c r="R17845" s="226"/>
      <c r="S17845" s="226"/>
      <c r="T17845" s="226"/>
      <c r="U17845" s="226"/>
    </row>
    <row r="17846" spans="16:21" x14ac:dyDescent="0.35">
      <c r="P17846" s="226"/>
      <c r="Q17846" s="226"/>
      <c r="R17846" s="226"/>
      <c r="S17846" s="226"/>
      <c r="T17846" s="226"/>
      <c r="U17846" s="226"/>
    </row>
    <row r="17847" spans="16:21" x14ac:dyDescent="0.35">
      <c r="P17847" s="226"/>
      <c r="Q17847" s="226"/>
      <c r="R17847" s="226"/>
      <c r="S17847" s="226"/>
      <c r="T17847" s="226"/>
      <c r="U17847" s="226"/>
    </row>
    <row r="17848" spans="16:21" x14ac:dyDescent="0.35">
      <c r="P17848" s="226"/>
      <c r="Q17848" s="226"/>
      <c r="R17848" s="226"/>
      <c r="S17848" s="226"/>
      <c r="T17848" s="226"/>
      <c r="U17848" s="226"/>
    </row>
    <row r="17849" spans="16:21" x14ac:dyDescent="0.35">
      <c r="P17849" s="226"/>
      <c r="Q17849" s="226"/>
      <c r="R17849" s="226"/>
      <c r="S17849" s="226"/>
      <c r="T17849" s="226"/>
      <c r="U17849" s="226"/>
    </row>
    <row r="17850" spans="16:21" x14ac:dyDescent="0.35">
      <c r="P17850" s="226"/>
      <c r="Q17850" s="226"/>
      <c r="R17850" s="226"/>
      <c r="S17850" s="226"/>
      <c r="T17850" s="226"/>
      <c r="U17850" s="226"/>
    </row>
    <row r="17851" spans="16:21" x14ac:dyDescent="0.35">
      <c r="P17851" s="226"/>
      <c r="Q17851" s="226"/>
      <c r="R17851" s="226"/>
      <c r="S17851" s="226"/>
      <c r="T17851" s="226"/>
      <c r="U17851" s="226"/>
    </row>
    <row r="17852" spans="16:21" x14ac:dyDescent="0.35">
      <c r="P17852" s="226"/>
      <c r="Q17852" s="226"/>
      <c r="R17852" s="226"/>
      <c r="S17852" s="226"/>
      <c r="T17852" s="226"/>
      <c r="U17852" s="226"/>
    </row>
    <row r="17853" spans="16:21" x14ac:dyDescent="0.35">
      <c r="P17853" s="226"/>
      <c r="Q17853" s="226"/>
      <c r="R17853" s="226"/>
      <c r="S17853" s="226"/>
      <c r="T17853" s="226"/>
      <c r="U17853" s="226"/>
    </row>
    <row r="17854" spans="16:21" x14ac:dyDescent="0.35">
      <c r="P17854" s="226"/>
      <c r="Q17854" s="226"/>
      <c r="R17854" s="226"/>
      <c r="S17854" s="226"/>
      <c r="T17854" s="226"/>
      <c r="U17854" s="226"/>
    </row>
    <row r="17855" spans="16:21" x14ac:dyDescent="0.35">
      <c r="P17855" s="226"/>
      <c r="Q17855" s="226"/>
      <c r="R17855" s="226"/>
      <c r="S17855" s="226"/>
      <c r="T17855" s="226"/>
      <c r="U17855" s="226"/>
    </row>
    <row r="17856" spans="16:21" x14ac:dyDescent="0.35">
      <c r="P17856" s="226"/>
      <c r="Q17856" s="226"/>
      <c r="R17856" s="226"/>
      <c r="S17856" s="226"/>
      <c r="T17856" s="226"/>
      <c r="U17856" s="226"/>
    </row>
    <row r="17857" spans="16:21" x14ac:dyDescent="0.35">
      <c r="P17857" s="226"/>
      <c r="Q17857" s="226"/>
      <c r="R17857" s="226"/>
      <c r="S17857" s="226"/>
      <c r="T17857" s="226"/>
      <c r="U17857" s="226"/>
    </row>
    <row r="17858" spans="16:21" x14ac:dyDescent="0.35">
      <c r="P17858" s="226"/>
      <c r="Q17858" s="226"/>
      <c r="R17858" s="226"/>
      <c r="S17858" s="226"/>
      <c r="T17858" s="226"/>
      <c r="U17858" s="226"/>
    </row>
    <row r="17859" spans="16:21" x14ac:dyDescent="0.35">
      <c r="P17859" s="226"/>
      <c r="Q17859" s="226"/>
      <c r="R17859" s="226"/>
      <c r="S17859" s="226"/>
      <c r="T17859" s="226"/>
      <c r="U17859" s="226"/>
    </row>
    <row r="17860" spans="16:21" x14ac:dyDescent="0.35">
      <c r="P17860" s="226"/>
      <c r="Q17860" s="226"/>
      <c r="R17860" s="226"/>
      <c r="S17860" s="226"/>
      <c r="T17860" s="226"/>
      <c r="U17860" s="226"/>
    </row>
    <row r="17861" spans="16:21" x14ac:dyDescent="0.35">
      <c r="P17861" s="226"/>
      <c r="Q17861" s="226"/>
      <c r="R17861" s="226"/>
      <c r="S17861" s="226"/>
      <c r="T17861" s="226"/>
      <c r="U17861" s="226"/>
    </row>
    <row r="17862" spans="16:21" x14ac:dyDescent="0.35">
      <c r="P17862" s="226"/>
      <c r="Q17862" s="226"/>
      <c r="R17862" s="226"/>
      <c r="S17862" s="226"/>
      <c r="T17862" s="226"/>
      <c r="U17862" s="226"/>
    </row>
    <row r="17863" spans="16:21" x14ac:dyDescent="0.35">
      <c r="P17863" s="226"/>
      <c r="Q17863" s="226"/>
      <c r="R17863" s="226"/>
      <c r="S17863" s="226"/>
      <c r="T17863" s="226"/>
      <c r="U17863" s="226"/>
    </row>
    <row r="17864" spans="16:21" x14ac:dyDescent="0.35">
      <c r="P17864" s="226"/>
      <c r="Q17864" s="226"/>
      <c r="R17864" s="226"/>
      <c r="S17864" s="226"/>
      <c r="T17864" s="226"/>
      <c r="U17864" s="226"/>
    </row>
    <row r="17865" spans="16:21" x14ac:dyDescent="0.35">
      <c r="P17865" s="226"/>
      <c r="Q17865" s="226"/>
      <c r="R17865" s="226"/>
      <c r="S17865" s="226"/>
      <c r="T17865" s="226"/>
      <c r="U17865" s="226"/>
    </row>
    <row r="17866" spans="16:21" x14ac:dyDescent="0.35">
      <c r="P17866" s="226"/>
      <c r="Q17866" s="226"/>
      <c r="R17866" s="226"/>
      <c r="S17866" s="226"/>
      <c r="T17866" s="226"/>
      <c r="U17866" s="226"/>
    </row>
    <row r="17867" spans="16:21" x14ac:dyDescent="0.35">
      <c r="P17867" s="226"/>
      <c r="Q17867" s="226"/>
      <c r="R17867" s="226"/>
      <c r="S17867" s="226"/>
      <c r="T17867" s="226"/>
      <c r="U17867" s="226"/>
    </row>
    <row r="17868" spans="16:21" x14ac:dyDescent="0.35">
      <c r="P17868" s="226"/>
      <c r="Q17868" s="226"/>
      <c r="R17868" s="226"/>
      <c r="S17868" s="226"/>
      <c r="T17868" s="226"/>
      <c r="U17868" s="226"/>
    </row>
    <row r="17869" spans="16:21" x14ac:dyDescent="0.35">
      <c r="P17869" s="226"/>
      <c r="Q17869" s="226"/>
      <c r="R17869" s="226"/>
      <c r="S17869" s="226"/>
      <c r="T17869" s="226"/>
      <c r="U17869" s="226"/>
    </row>
    <row r="17870" spans="16:21" x14ac:dyDescent="0.35">
      <c r="P17870" s="226"/>
      <c r="Q17870" s="226"/>
      <c r="R17870" s="226"/>
      <c r="S17870" s="226"/>
      <c r="T17870" s="226"/>
      <c r="U17870" s="226"/>
    </row>
    <row r="17871" spans="16:21" x14ac:dyDescent="0.35">
      <c r="P17871" s="226"/>
      <c r="Q17871" s="226"/>
      <c r="R17871" s="226"/>
      <c r="S17871" s="226"/>
      <c r="T17871" s="226"/>
      <c r="U17871" s="226"/>
    </row>
    <row r="17872" spans="16:21" x14ac:dyDescent="0.35">
      <c r="P17872" s="226"/>
      <c r="Q17872" s="226"/>
      <c r="R17872" s="226"/>
      <c r="S17872" s="226"/>
      <c r="T17872" s="226"/>
      <c r="U17872" s="226"/>
    </row>
    <row r="17873" spans="16:21" x14ac:dyDescent="0.35">
      <c r="P17873" s="226"/>
      <c r="Q17873" s="226"/>
      <c r="R17873" s="226"/>
      <c r="S17873" s="226"/>
      <c r="T17873" s="226"/>
      <c r="U17873" s="226"/>
    </row>
    <row r="17874" spans="16:21" x14ac:dyDescent="0.35">
      <c r="P17874" s="226"/>
      <c r="Q17874" s="226"/>
      <c r="R17874" s="226"/>
      <c r="S17874" s="226"/>
      <c r="T17874" s="226"/>
      <c r="U17874" s="226"/>
    </row>
    <row r="17875" spans="16:21" x14ac:dyDescent="0.35">
      <c r="P17875" s="226"/>
      <c r="Q17875" s="226"/>
      <c r="R17875" s="226"/>
      <c r="S17875" s="226"/>
      <c r="T17875" s="226"/>
      <c r="U17875" s="226"/>
    </row>
    <row r="17876" spans="16:21" x14ac:dyDescent="0.35">
      <c r="P17876" s="226"/>
      <c r="Q17876" s="226"/>
      <c r="R17876" s="226"/>
      <c r="S17876" s="226"/>
      <c r="T17876" s="226"/>
      <c r="U17876" s="226"/>
    </row>
    <row r="17877" spans="16:21" x14ac:dyDescent="0.35">
      <c r="P17877" s="226"/>
      <c r="Q17877" s="226"/>
      <c r="R17877" s="226"/>
      <c r="S17877" s="226"/>
      <c r="T17877" s="226"/>
      <c r="U17877" s="226"/>
    </row>
    <row r="17878" spans="16:21" x14ac:dyDescent="0.35">
      <c r="P17878" s="226"/>
      <c r="Q17878" s="226"/>
      <c r="R17878" s="226"/>
      <c r="S17878" s="226"/>
      <c r="T17878" s="226"/>
      <c r="U17878" s="226"/>
    </row>
    <row r="17879" spans="16:21" x14ac:dyDescent="0.35">
      <c r="P17879" s="226"/>
      <c r="Q17879" s="226"/>
      <c r="R17879" s="226"/>
      <c r="S17879" s="226"/>
      <c r="T17879" s="226"/>
      <c r="U17879" s="226"/>
    </row>
    <row r="17880" spans="16:21" x14ac:dyDescent="0.35">
      <c r="P17880" s="226"/>
      <c r="Q17880" s="226"/>
      <c r="R17880" s="226"/>
      <c r="S17880" s="226"/>
      <c r="T17880" s="226"/>
      <c r="U17880" s="226"/>
    </row>
    <row r="17881" spans="16:21" x14ac:dyDescent="0.35">
      <c r="P17881" s="226"/>
      <c r="Q17881" s="226"/>
      <c r="R17881" s="226"/>
      <c r="S17881" s="226"/>
      <c r="T17881" s="226"/>
      <c r="U17881" s="226"/>
    </row>
    <row r="17882" spans="16:21" x14ac:dyDescent="0.35">
      <c r="P17882" s="226"/>
      <c r="Q17882" s="226"/>
      <c r="R17882" s="226"/>
      <c r="S17882" s="226"/>
      <c r="T17882" s="226"/>
      <c r="U17882" s="226"/>
    </row>
    <row r="17883" spans="16:21" x14ac:dyDescent="0.35">
      <c r="P17883" s="226"/>
      <c r="Q17883" s="226"/>
      <c r="R17883" s="226"/>
      <c r="S17883" s="226"/>
      <c r="T17883" s="226"/>
      <c r="U17883" s="226"/>
    </row>
    <row r="17884" spans="16:21" x14ac:dyDescent="0.35">
      <c r="P17884" s="226"/>
      <c r="Q17884" s="226"/>
      <c r="R17884" s="226"/>
      <c r="S17884" s="226"/>
      <c r="T17884" s="226"/>
      <c r="U17884" s="226"/>
    </row>
    <row r="17885" spans="16:21" x14ac:dyDescent="0.35">
      <c r="P17885" s="226"/>
      <c r="Q17885" s="226"/>
      <c r="R17885" s="226"/>
      <c r="S17885" s="226"/>
      <c r="T17885" s="226"/>
      <c r="U17885" s="226"/>
    </row>
    <row r="17886" spans="16:21" x14ac:dyDescent="0.35">
      <c r="P17886" s="226"/>
      <c r="Q17886" s="226"/>
      <c r="R17886" s="226"/>
      <c r="S17886" s="226"/>
      <c r="T17886" s="226"/>
      <c r="U17886" s="226"/>
    </row>
    <row r="17887" spans="16:21" x14ac:dyDescent="0.35">
      <c r="P17887" s="226"/>
      <c r="Q17887" s="226"/>
      <c r="R17887" s="226"/>
      <c r="S17887" s="226"/>
      <c r="T17887" s="226"/>
      <c r="U17887" s="226"/>
    </row>
    <row r="17888" spans="16:21" x14ac:dyDescent="0.35">
      <c r="P17888" s="226"/>
      <c r="Q17888" s="226"/>
      <c r="R17888" s="226"/>
      <c r="S17888" s="226"/>
      <c r="T17888" s="226"/>
      <c r="U17888" s="226"/>
    </row>
    <row r="17889" spans="16:21" x14ac:dyDescent="0.35">
      <c r="P17889" s="226"/>
      <c r="Q17889" s="226"/>
      <c r="R17889" s="226"/>
      <c r="S17889" s="226"/>
      <c r="T17889" s="226"/>
      <c r="U17889" s="226"/>
    </row>
    <row r="17890" spans="16:21" x14ac:dyDescent="0.35">
      <c r="P17890" s="226"/>
      <c r="Q17890" s="226"/>
      <c r="R17890" s="226"/>
      <c r="S17890" s="226"/>
      <c r="T17890" s="226"/>
      <c r="U17890" s="226"/>
    </row>
    <row r="17891" spans="16:21" x14ac:dyDescent="0.35">
      <c r="P17891" s="226"/>
      <c r="Q17891" s="226"/>
      <c r="R17891" s="226"/>
      <c r="S17891" s="226"/>
      <c r="T17891" s="226"/>
      <c r="U17891" s="226"/>
    </row>
    <row r="17892" spans="16:21" x14ac:dyDescent="0.35">
      <c r="P17892" s="226"/>
      <c r="Q17892" s="226"/>
      <c r="R17892" s="226"/>
      <c r="S17892" s="226"/>
      <c r="T17892" s="226"/>
      <c r="U17892" s="226"/>
    </row>
    <row r="17893" spans="16:21" x14ac:dyDescent="0.35">
      <c r="P17893" s="226"/>
      <c r="Q17893" s="226"/>
      <c r="R17893" s="226"/>
      <c r="S17893" s="226"/>
      <c r="T17893" s="226"/>
      <c r="U17893" s="226"/>
    </row>
    <row r="17894" spans="16:21" x14ac:dyDescent="0.35">
      <c r="P17894" s="226"/>
      <c r="Q17894" s="226"/>
      <c r="R17894" s="226"/>
      <c r="S17894" s="226"/>
      <c r="T17894" s="226"/>
      <c r="U17894" s="226"/>
    </row>
    <row r="17895" spans="16:21" x14ac:dyDescent="0.35">
      <c r="P17895" s="226"/>
      <c r="Q17895" s="226"/>
      <c r="R17895" s="226"/>
      <c r="S17895" s="226"/>
      <c r="T17895" s="226"/>
      <c r="U17895" s="226"/>
    </row>
    <row r="17896" spans="16:21" x14ac:dyDescent="0.35">
      <c r="P17896" s="226"/>
      <c r="Q17896" s="226"/>
      <c r="R17896" s="226"/>
      <c r="S17896" s="226"/>
      <c r="T17896" s="226"/>
      <c r="U17896" s="226"/>
    </row>
    <row r="17897" spans="16:21" x14ac:dyDescent="0.35">
      <c r="P17897" s="226"/>
      <c r="Q17897" s="226"/>
      <c r="R17897" s="226"/>
      <c r="S17897" s="226"/>
      <c r="T17897" s="226"/>
      <c r="U17897" s="226"/>
    </row>
    <row r="17898" spans="16:21" x14ac:dyDescent="0.35">
      <c r="P17898" s="226"/>
      <c r="Q17898" s="226"/>
      <c r="R17898" s="226"/>
      <c r="S17898" s="226"/>
      <c r="T17898" s="226"/>
      <c r="U17898" s="226"/>
    </row>
    <row r="17899" spans="16:21" x14ac:dyDescent="0.35">
      <c r="P17899" s="226"/>
      <c r="Q17899" s="226"/>
      <c r="R17899" s="226"/>
      <c r="S17899" s="226"/>
      <c r="T17899" s="226"/>
      <c r="U17899" s="226"/>
    </row>
    <row r="17900" spans="16:21" x14ac:dyDescent="0.35">
      <c r="P17900" s="226"/>
      <c r="Q17900" s="226"/>
      <c r="R17900" s="226"/>
      <c r="S17900" s="226"/>
      <c r="T17900" s="226"/>
      <c r="U17900" s="226"/>
    </row>
    <row r="17901" spans="16:21" x14ac:dyDescent="0.35">
      <c r="P17901" s="226"/>
      <c r="Q17901" s="226"/>
      <c r="R17901" s="226"/>
      <c r="S17901" s="226"/>
      <c r="T17901" s="226"/>
      <c r="U17901" s="226"/>
    </row>
    <row r="17902" spans="16:21" x14ac:dyDescent="0.35">
      <c r="P17902" s="226"/>
      <c r="Q17902" s="226"/>
      <c r="R17902" s="226"/>
      <c r="S17902" s="226"/>
      <c r="T17902" s="226"/>
      <c r="U17902" s="226"/>
    </row>
    <row r="17903" spans="16:21" x14ac:dyDescent="0.35">
      <c r="P17903" s="226"/>
      <c r="Q17903" s="226"/>
      <c r="R17903" s="226"/>
      <c r="S17903" s="226"/>
      <c r="T17903" s="226"/>
      <c r="U17903" s="226"/>
    </row>
    <row r="17904" spans="16:21" x14ac:dyDescent="0.35">
      <c r="P17904" s="226"/>
      <c r="Q17904" s="226"/>
      <c r="R17904" s="226"/>
      <c r="S17904" s="226"/>
      <c r="T17904" s="226"/>
      <c r="U17904" s="226"/>
    </row>
    <row r="17905" spans="16:21" x14ac:dyDescent="0.35">
      <c r="P17905" s="226"/>
      <c r="Q17905" s="226"/>
      <c r="R17905" s="226"/>
      <c r="S17905" s="226"/>
      <c r="T17905" s="226"/>
      <c r="U17905" s="226"/>
    </row>
    <row r="17906" spans="16:21" x14ac:dyDescent="0.35">
      <c r="P17906" s="226"/>
      <c r="Q17906" s="226"/>
      <c r="R17906" s="226"/>
      <c r="S17906" s="226"/>
      <c r="T17906" s="226"/>
      <c r="U17906" s="226"/>
    </row>
    <row r="17907" spans="16:21" x14ac:dyDescent="0.35">
      <c r="P17907" s="226"/>
      <c r="Q17907" s="226"/>
      <c r="R17907" s="226"/>
      <c r="S17907" s="226"/>
      <c r="T17907" s="226"/>
      <c r="U17907" s="226"/>
    </row>
    <row r="17908" spans="16:21" x14ac:dyDescent="0.35">
      <c r="P17908" s="226"/>
      <c r="Q17908" s="226"/>
      <c r="R17908" s="226"/>
      <c r="S17908" s="226"/>
      <c r="T17908" s="226"/>
      <c r="U17908" s="226"/>
    </row>
    <row r="17909" spans="16:21" x14ac:dyDescent="0.35">
      <c r="P17909" s="226"/>
      <c r="Q17909" s="226"/>
      <c r="R17909" s="226"/>
      <c r="S17909" s="226"/>
      <c r="T17909" s="226"/>
      <c r="U17909" s="226"/>
    </row>
    <row r="17910" spans="16:21" x14ac:dyDescent="0.35">
      <c r="P17910" s="226"/>
      <c r="Q17910" s="226"/>
      <c r="R17910" s="226"/>
      <c r="S17910" s="226"/>
      <c r="T17910" s="226"/>
      <c r="U17910" s="226"/>
    </row>
    <row r="17911" spans="16:21" x14ac:dyDescent="0.35">
      <c r="P17911" s="226"/>
      <c r="Q17911" s="226"/>
      <c r="R17911" s="226"/>
      <c r="S17911" s="226"/>
      <c r="T17911" s="226"/>
      <c r="U17911" s="226"/>
    </row>
    <row r="17912" spans="16:21" x14ac:dyDescent="0.35">
      <c r="P17912" s="226"/>
      <c r="Q17912" s="226"/>
      <c r="R17912" s="226"/>
      <c r="S17912" s="226"/>
      <c r="T17912" s="226"/>
      <c r="U17912" s="226"/>
    </row>
    <row r="17913" spans="16:21" x14ac:dyDescent="0.35">
      <c r="P17913" s="226"/>
      <c r="Q17913" s="226"/>
      <c r="R17913" s="226"/>
      <c r="S17913" s="226"/>
      <c r="T17913" s="226"/>
      <c r="U17913" s="226"/>
    </row>
    <row r="17914" spans="16:21" x14ac:dyDescent="0.35">
      <c r="P17914" s="226"/>
      <c r="Q17914" s="226"/>
      <c r="R17914" s="226"/>
      <c r="S17914" s="226"/>
      <c r="T17914" s="226"/>
      <c r="U17914" s="226"/>
    </row>
    <row r="17915" spans="16:21" x14ac:dyDescent="0.35">
      <c r="P17915" s="226"/>
      <c r="Q17915" s="226"/>
      <c r="R17915" s="226"/>
      <c r="S17915" s="226"/>
      <c r="T17915" s="226"/>
      <c r="U17915" s="226"/>
    </row>
    <row r="17916" spans="16:21" x14ac:dyDescent="0.35">
      <c r="P17916" s="226"/>
      <c r="Q17916" s="226"/>
      <c r="R17916" s="226"/>
      <c r="S17916" s="226"/>
      <c r="T17916" s="226"/>
      <c r="U17916" s="226"/>
    </row>
    <row r="17917" spans="16:21" x14ac:dyDescent="0.35">
      <c r="P17917" s="226"/>
      <c r="Q17917" s="226"/>
      <c r="R17917" s="226"/>
      <c r="S17917" s="226"/>
      <c r="T17917" s="226"/>
      <c r="U17917" s="226"/>
    </row>
    <row r="17918" spans="16:21" x14ac:dyDescent="0.35">
      <c r="P17918" s="226"/>
      <c r="Q17918" s="226"/>
      <c r="R17918" s="226"/>
      <c r="S17918" s="226"/>
      <c r="T17918" s="226"/>
      <c r="U17918" s="226"/>
    </row>
    <row r="17919" spans="16:21" x14ac:dyDescent="0.35">
      <c r="P17919" s="226"/>
      <c r="Q17919" s="226"/>
      <c r="R17919" s="226"/>
      <c r="S17919" s="226"/>
      <c r="T17919" s="226"/>
      <c r="U17919" s="226"/>
    </row>
    <row r="17920" spans="16:21" x14ac:dyDescent="0.35">
      <c r="P17920" s="226"/>
      <c r="Q17920" s="226"/>
      <c r="R17920" s="226"/>
      <c r="S17920" s="226"/>
      <c r="T17920" s="226"/>
      <c r="U17920" s="226"/>
    </row>
    <row r="17921" spans="16:21" x14ac:dyDescent="0.35">
      <c r="P17921" s="226"/>
      <c r="Q17921" s="226"/>
      <c r="R17921" s="226"/>
      <c r="S17921" s="226"/>
      <c r="T17921" s="226"/>
      <c r="U17921" s="226"/>
    </row>
    <row r="17922" spans="16:21" x14ac:dyDescent="0.35">
      <c r="P17922" s="226"/>
      <c r="Q17922" s="226"/>
      <c r="R17922" s="226"/>
      <c r="S17922" s="226"/>
      <c r="T17922" s="226"/>
      <c r="U17922" s="226"/>
    </row>
    <row r="17923" spans="16:21" x14ac:dyDescent="0.35">
      <c r="P17923" s="226"/>
      <c r="Q17923" s="226"/>
      <c r="R17923" s="226"/>
      <c r="S17923" s="226"/>
      <c r="T17923" s="226"/>
      <c r="U17923" s="226"/>
    </row>
    <row r="17924" spans="16:21" x14ac:dyDescent="0.35">
      <c r="P17924" s="226"/>
      <c r="Q17924" s="226"/>
      <c r="R17924" s="226"/>
      <c r="S17924" s="226"/>
      <c r="T17924" s="226"/>
      <c r="U17924" s="226"/>
    </row>
    <row r="17925" spans="16:21" x14ac:dyDescent="0.35">
      <c r="P17925" s="226"/>
      <c r="Q17925" s="226"/>
      <c r="R17925" s="226"/>
      <c r="S17925" s="226"/>
      <c r="T17925" s="226"/>
      <c r="U17925" s="226"/>
    </row>
    <row r="17926" spans="16:21" x14ac:dyDescent="0.35">
      <c r="P17926" s="226"/>
      <c r="Q17926" s="226"/>
      <c r="R17926" s="226"/>
      <c r="S17926" s="226"/>
      <c r="T17926" s="226"/>
      <c r="U17926" s="226"/>
    </row>
    <row r="17927" spans="16:21" x14ac:dyDescent="0.35">
      <c r="P17927" s="226"/>
      <c r="Q17927" s="226"/>
      <c r="R17927" s="226"/>
      <c r="S17927" s="226"/>
      <c r="T17927" s="226"/>
      <c r="U17927" s="226"/>
    </row>
    <row r="17928" spans="16:21" x14ac:dyDescent="0.35">
      <c r="P17928" s="226"/>
      <c r="Q17928" s="226"/>
      <c r="R17928" s="226"/>
      <c r="S17928" s="226"/>
      <c r="T17928" s="226"/>
      <c r="U17928" s="226"/>
    </row>
    <row r="17929" spans="16:21" x14ac:dyDescent="0.35">
      <c r="P17929" s="226"/>
      <c r="Q17929" s="226"/>
      <c r="R17929" s="226"/>
      <c r="S17929" s="226"/>
      <c r="T17929" s="226"/>
      <c r="U17929" s="226"/>
    </row>
    <row r="17930" spans="16:21" x14ac:dyDescent="0.35">
      <c r="P17930" s="226"/>
      <c r="Q17930" s="226"/>
      <c r="R17930" s="226"/>
      <c r="S17930" s="226"/>
      <c r="T17930" s="226"/>
      <c r="U17930" s="226"/>
    </row>
    <row r="17931" spans="16:21" x14ac:dyDescent="0.35">
      <c r="P17931" s="226"/>
      <c r="Q17931" s="226"/>
      <c r="R17931" s="226"/>
      <c r="S17931" s="226"/>
      <c r="T17931" s="226"/>
      <c r="U17931" s="226"/>
    </row>
    <row r="17932" spans="16:21" x14ac:dyDescent="0.35">
      <c r="P17932" s="226"/>
      <c r="Q17932" s="226"/>
      <c r="R17932" s="226"/>
      <c r="S17932" s="226"/>
      <c r="T17932" s="226"/>
      <c r="U17932" s="226"/>
    </row>
    <row r="17933" spans="16:21" x14ac:dyDescent="0.35">
      <c r="P17933" s="226"/>
      <c r="Q17933" s="226"/>
      <c r="R17933" s="226"/>
      <c r="S17933" s="226"/>
      <c r="T17933" s="226"/>
      <c r="U17933" s="226"/>
    </row>
    <row r="17934" spans="16:21" x14ac:dyDescent="0.35">
      <c r="P17934" s="226"/>
      <c r="Q17934" s="226"/>
      <c r="R17934" s="226"/>
      <c r="S17934" s="226"/>
      <c r="T17934" s="226"/>
      <c r="U17934" s="226"/>
    </row>
    <row r="17935" spans="16:21" x14ac:dyDescent="0.35">
      <c r="P17935" s="226"/>
      <c r="Q17935" s="226"/>
      <c r="R17935" s="226"/>
      <c r="S17935" s="226"/>
      <c r="T17935" s="226"/>
      <c r="U17935" s="226"/>
    </row>
    <row r="17936" spans="16:21" x14ac:dyDescent="0.35">
      <c r="P17936" s="226"/>
      <c r="Q17936" s="226"/>
      <c r="R17936" s="226"/>
      <c r="S17936" s="226"/>
      <c r="T17936" s="226"/>
      <c r="U17936" s="226"/>
    </row>
    <row r="17937" spans="16:21" x14ac:dyDescent="0.35">
      <c r="P17937" s="226"/>
      <c r="Q17937" s="226"/>
      <c r="R17937" s="226"/>
      <c r="S17937" s="226"/>
      <c r="T17937" s="226"/>
      <c r="U17937" s="226"/>
    </row>
    <row r="17938" spans="16:21" x14ac:dyDescent="0.35">
      <c r="P17938" s="226"/>
      <c r="Q17938" s="226"/>
      <c r="R17938" s="226"/>
      <c r="S17938" s="226"/>
      <c r="T17938" s="226"/>
      <c r="U17938" s="226"/>
    </row>
    <row r="17939" spans="16:21" x14ac:dyDescent="0.35">
      <c r="P17939" s="226"/>
      <c r="Q17939" s="226"/>
      <c r="R17939" s="226"/>
      <c r="S17939" s="226"/>
      <c r="T17939" s="226"/>
      <c r="U17939" s="226"/>
    </row>
    <row r="17940" spans="16:21" x14ac:dyDescent="0.35">
      <c r="P17940" s="226"/>
      <c r="Q17940" s="226"/>
      <c r="R17940" s="226"/>
      <c r="S17940" s="226"/>
      <c r="T17940" s="226"/>
      <c r="U17940" s="226"/>
    </row>
    <row r="17941" spans="16:21" x14ac:dyDescent="0.35">
      <c r="P17941" s="226"/>
      <c r="Q17941" s="226"/>
      <c r="R17941" s="226"/>
      <c r="S17941" s="226"/>
      <c r="T17941" s="226"/>
      <c r="U17941" s="226"/>
    </row>
    <row r="17942" spans="16:21" x14ac:dyDescent="0.35">
      <c r="P17942" s="226"/>
      <c r="Q17942" s="226"/>
      <c r="R17942" s="226"/>
      <c r="S17942" s="226"/>
      <c r="T17942" s="226"/>
      <c r="U17942" s="226"/>
    </row>
    <row r="17943" spans="16:21" x14ac:dyDescent="0.35">
      <c r="P17943" s="226"/>
      <c r="Q17943" s="226"/>
      <c r="R17943" s="226"/>
      <c r="S17943" s="226"/>
      <c r="T17943" s="226"/>
      <c r="U17943" s="226"/>
    </row>
    <row r="17944" spans="16:21" x14ac:dyDescent="0.35">
      <c r="P17944" s="226"/>
      <c r="Q17944" s="226"/>
      <c r="R17944" s="226"/>
      <c r="S17944" s="226"/>
      <c r="T17944" s="226"/>
      <c r="U17944" s="226"/>
    </row>
    <row r="17945" spans="16:21" x14ac:dyDescent="0.35">
      <c r="P17945" s="226"/>
      <c r="Q17945" s="226"/>
      <c r="R17945" s="226"/>
      <c r="S17945" s="226"/>
      <c r="T17945" s="226"/>
      <c r="U17945" s="226"/>
    </row>
    <row r="17946" spans="16:21" x14ac:dyDescent="0.35">
      <c r="P17946" s="226"/>
      <c r="Q17946" s="226"/>
      <c r="R17946" s="226"/>
      <c r="S17946" s="226"/>
      <c r="T17946" s="226"/>
      <c r="U17946" s="226"/>
    </row>
    <row r="17947" spans="16:21" x14ac:dyDescent="0.35">
      <c r="P17947" s="226"/>
      <c r="Q17947" s="226"/>
      <c r="R17947" s="226"/>
      <c r="S17947" s="226"/>
      <c r="T17947" s="226"/>
      <c r="U17947" s="226"/>
    </row>
    <row r="17948" spans="16:21" x14ac:dyDescent="0.35">
      <c r="P17948" s="226"/>
      <c r="Q17948" s="226"/>
      <c r="R17948" s="226"/>
      <c r="S17948" s="226"/>
      <c r="T17948" s="226"/>
      <c r="U17948" s="226"/>
    </row>
    <row r="17949" spans="16:21" x14ac:dyDescent="0.35">
      <c r="P17949" s="226"/>
      <c r="Q17949" s="226"/>
      <c r="R17949" s="226"/>
      <c r="S17949" s="226"/>
      <c r="T17949" s="226"/>
      <c r="U17949" s="226"/>
    </row>
    <row r="17950" spans="16:21" x14ac:dyDescent="0.35">
      <c r="P17950" s="226"/>
      <c r="Q17950" s="226"/>
      <c r="R17950" s="226"/>
      <c r="S17950" s="226"/>
      <c r="T17950" s="226"/>
      <c r="U17950" s="226"/>
    </row>
    <row r="17951" spans="16:21" x14ac:dyDescent="0.35">
      <c r="P17951" s="226"/>
      <c r="Q17951" s="226"/>
      <c r="R17951" s="226"/>
      <c r="S17951" s="226"/>
      <c r="T17951" s="226"/>
      <c r="U17951" s="226"/>
    </row>
    <row r="17952" spans="16:21" x14ac:dyDescent="0.35">
      <c r="P17952" s="226"/>
      <c r="Q17952" s="226"/>
      <c r="R17952" s="226"/>
      <c r="S17952" s="226"/>
      <c r="T17952" s="226"/>
      <c r="U17952" s="226"/>
    </row>
    <row r="17953" spans="16:21" x14ac:dyDescent="0.35">
      <c r="P17953" s="226"/>
      <c r="Q17953" s="226"/>
      <c r="R17953" s="226"/>
      <c r="S17953" s="226"/>
      <c r="T17953" s="226"/>
      <c r="U17953" s="226"/>
    </row>
    <row r="17954" spans="16:21" x14ac:dyDescent="0.35">
      <c r="P17954" s="226"/>
      <c r="Q17954" s="226"/>
      <c r="R17954" s="226"/>
      <c r="S17954" s="226"/>
      <c r="T17954" s="226"/>
      <c r="U17954" s="226"/>
    </row>
    <row r="17955" spans="16:21" x14ac:dyDescent="0.35">
      <c r="P17955" s="226"/>
      <c r="Q17955" s="226"/>
      <c r="R17955" s="226"/>
      <c r="S17955" s="226"/>
      <c r="T17955" s="226"/>
      <c r="U17955" s="226"/>
    </row>
    <row r="17956" spans="16:21" x14ac:dyDescent="0.35">
      <c r="P17956" s="226"/>
      <c r="Q17956" s="226"/>
      <c r="R17956" s="226"/>
      <c r="S17956" s="226"/>
      <c r="T17956" s="226"/>
      <c r="U17956" s="226"/>
    </row>
    <row r="17957" spans="16:21" x14ac:dyDescent="0.35">
      <c r="P17957" s="226"/>
      <c r="Q17957" s="226"/>
      <c r="R17957" s="226"/>
      <c r="S17957" s="226"/>
      <c r="T17957" s="226"/>
      <c r="U17957" s="226"/>
    </row>
    <row r="17958" spans="16:21" x14ac:dyDescent="0.35">
      <c r="P17958" s="226"/>
      <c r="Q17958" s="226"/>
      <c r="R17958" s="226"/>
      <c r="S17958" s="226"/>
      <c r="T17958" s="226"/>
      <c r="U17958" s="226"/>
    </row>
    <row r="17959" spans="16:21" x14ac:dyDescent="0.35">
      <c r="P17959" s="226"/>
      <c r="Q17959" s="226"/>
      <c r="R17959" s="226"/>
      <c r="S17959" s="226"/>
      <c r="T17959" s="226"/>
      <c r="U17959" s="226"/>
    </row>
    <row r="17960" spans="16:21" x14ac:dyDescent="0.35">
      <c r="P17960" s="226"/>
      <c r="Q17960" s="226"/>
      <c r="R17960" s="226"/>
      <c r="S17960" s="226"/>
      <c r="T17960" s="226"/>
      <c r="U17960" s="226"/>
    </row>
    <row r="17961" spans="16:21" x14ac:dyDescent="0.35">
      <c r="P17961" s="226"/>
      <c r="Q17961" s="226"/>
      <c r="R17961" s="226"/>
      <c r="S17961" s="226"/>
      <c r="T17961" s="226"/>
      <c r="U17961" s="226"/>
    </row>
    <row r="17962" spans="16:21" x14ac:dyDescent="0.35">
      <c r="P17962" s="226"/>
      <c r="Q17962" s="226"/>
      <c r="R17962" s="226"/>
      <c r="S17962" s="226"/>
      <c r="T17962" s="226"/>
      <c r="U17962" s="226"/>
    </row>
    <row r="17963" spans="16:21" x14ac:dyDescent="0.35">
      <c r="P17963" s="226"/>
      <c r="Q17963" s="226"/>
      <c r="R17963" s="226"/>
      <c r="S17963" s="226"/>
      <c r="T17963" s="226"/>
      <c r="U17963" s="226"/>
    </row>
    <row r="17964" spans="16:21" x14ac:dyDescent="0.35">
      <c r="P17964" s="226"/>
      <c r="Q17964" s="226"/>
      <c r="R17964" s="226"/>
      <c r="S17964" s="226"/>
      <c r="T17964" s="226"/>
      <c r="U17964" s="226"/>
    </row>
    <row r="17965" spans="16:21" x14ac:dyDescent="0.35">
      <c r="P17965" s="226"/>
      <c r="Q17965" s="226"/>
      <c r="R17965" s="226"/>
      <c r="S17965" s="226"/>
      <c r="T17965" s="226"/>
      <c r="U17965" s="226"/>
    </row>
    <row r="17966" spans="16:21" x14ac:dyDescent="0.35">
      <c r="P17966" s="226"/>
      <c r="Q17966" s="226"/>
      <c r="R17966" s="226"/>
      <c r="S17966" s="226"/>
      <c r="T17966" s="226"/>
      <c r="U17966" s="226"/>
    </row>
    <row r="17967" spans="16:21" x14ac:dyDescent="0.35">
      <c r="P17967" s="226"/>
      <c r="Q17967" s="226"/>
      <c r="R17967" s="226"/>
      <c r="S17967" s="226"/>
      <c r="T17967" s="226"/>
      <c r="U17967" s="226"/>
    </row>
    <row r="17968" spans="16:21" x14ac:dyDescent="0.35">
      <c r="P17968" s="226"/>
      <c r="Q17968" s="226"/>
      <c r="R17968" s="226"/>
      <c r="S17968" s="226"/>
      <c r="T17968" s="226"/>
      <c r="U17968" s="226"/>
    </row>
    <row r="17969" spans="16:21" x14ac:dyDescent="0.35">
      <c r="P17969" s="226"/>
      <c r="Q17969" s="226"/>
      <c r="R17969" s="226"/>
      <c r="S17969" s="226"/>
      <c r="T17969" s="226"/>
      <c r="U17969" s="226"/>
    </row>
    <row r="17970" spans="16:21" x14ac:dyDescent="0.35">
      <c r="P17970" s="226"/>
      <c r="Q17970" s="226"/>
      <c r="R17970" s="226"/>
      <c r="S17970" s="226"/>
      <c r="T17970" s="226"/>
      <c r="U17970" s="226"/>
    </row>
    <row r="17971" spans="16:21" x14ac:dyDescent="0.35">
      <c r="P17971" s="226"/>
      <c r="Q17971" s="226"/>
      <c r="R17971" s="226"/>
      <c r="S17971" s="226"/>
      <c r="T17971" s="226"/>
      <c r="U17971" s="226"/>
    </row>
    <row r="17972" spans="16:21" x14ac:dyDescent="0.35">
      <c r="P17972" s="226"/>
      <c r="Q17972" s="226"/>
      <c r="R17972" s="226"/>
      <c r="S17972" s="226"/>
      <c r="T17972" s="226"/>
      <c r="U17972" s="226"/>
    </row>
    <row r="17973" spans="16:21" x14ac:dyDescent="0.35">
      <c r="P17973" s="226"/>
      <c r="Q17973" s="226"/>
      <c r="R17973" s="226"/>
      <c r="S17973" s="226"/>
      <c r="T17973" s="226"/>
      <c r="U17973" s="226"/>
    </row>
    <row r="17974" spans="16:21" x14ac:dyDescent="0.35">
      <c r="P17974" s="226"/>
      <c r="Q17974" s="226"/>
      <c r="R17974" s="226"/>
      <c r="S17974" s="226"/>
      <c r="T17974" s="226"/>
      <c r="U17974" s="226"/>
    </row>
    <row r="17975" spans="16:21" x14ac:dyDescent="0.35">
      <c r="P17975" s="226"/>
      <c r="Q17975" s="226"/>
      <c r="R17975" s="226"/>
      <c r="S17975" s="226"/>
      <c r="T17975" s="226"/>
      <c r="U17975" s="226"/>
    </row>
    <row r="17976" spans="16:21" x14ac:dyDescent="0.35">
      <c r="P17976" s="226"/>
      <c r="Q17976" s="226"/>
      <c r="R17976" s="226"/>
      <c r="S17976" s="226"/>
      <c r="T17976" s="226"/>
      <c r="U17976" s="226"/>
    </row>
    <row r="17977" spans="16:21" x14ac:dyDescent="0.35">
      <c r="P17977" s="226"/>
      <c r="Q17977" s="226"/>
      <c r="R17977" s="226"/>
      <c r="S17977" s="226"/>
      <c r="T17977" s="226"/>
      <c r="U17977" s="226"/>
    </row>
    <row r="17978" spans="16:21" x14ac:dyDescent="0.35">
      <c r="P17978" s="226"/>
      <c r="Q17978" s="226"/>
      <c r="R17978" s="226"/>
      <c r="S17978" s="226"/>
      <c r="T17978" s="226"/>
      <c r="U17978" s="226"/>
    </row>
    <row r="17979" spans="16:21" x14ac:dyDescent="0.35">
      <c r="P17979" s="226"/>
      <c r="Q17979" s="226"/>
      <c r="R17979" s="226"/>
      <c r="S17979" s="226"/>
      <c r="T17979" s="226"/>
      <c r="U17979" s="226"/>
    </row>
    <row r="17980" spans="16:21" x14ac:dyDescent="0.35">
      <c r="P17980" s="226"/>
      <c r="Q17980" s="226"/>
      <c r="R17980" s="226"/>
      <c r="S17980" s="226"/>
      <c r="T17980" s="226"/>
      <c r="U17980" s="226"/>
    </row>
    <row r="17981" spans="16:21" x14ac:dyDescent="0.35">
      <c r="P17981" s="226"/>
      <c r="Q17981" s="226"/>
      <c r="R17981" s="226"/>
      <c r="S17981" s="226"/>
      <c r="T17981" s="226"/>
      <c r="U17981" s="226"/>
    </row>
    <row r="17982" spans="16:21" x14ac:dyDescent="0.35">
      <c r="P17982" s="226"/>
      <c r="Q17982" s="226"/>
      <c r="R17982" s="226"/>
      <c r="S17982" s="226"/>
      <c r="T17982" s="226"/>
      <c r="U17982" s="226"/>
    </row>
    <row r="17983" spans="16:21" x14ac:dyDescent="0.35">
      <c r="P17983" s="226"/>
      <c r="Q17983" s="226"/>
      <c r="R17983" s="226"/>
      <c r="S17983" s="226"/>
      <c r="T17983" s="226"/>
      <c r="U17983" s="226"/>
    </row>
    <row r="17984" spans="16:21" x14ac:dyDescent="0.35">
      <c r="P17984" s="226"/>
      <c r="Q17984" s="226"/>
      <c r="R17984" s="226"/>
      <c r="S17984" s="226"/>
      <c r="T17984" s="226"/>
      <c r="U17984" s="226"/>
    </row>
    <row r="17985" spans="16:21" x14ac:dyDescent="0.35">
      <c r="P17985" s="226"/>
      <c r="Q17985" s="226"/>
      <c r="R17985" s="226"/>
      <c r="S17985" s="226"/>
      <c r="T17985" s="226"/>
      <c r="U17985" s="226"/>
    </row>
    <row r="17986" spans="16:21" x14ac:dyDescent="0.35">
      <c r="P17986" s="226"/>
      <c r="Q17986" s="226"/>
      <c r="R17986" s="226"/>
      <c r="S17986" s="226"/>
      <c r="T17986" s="226"/>
      <c r="U17986" s="226"/>
    </row>
    <row r="17987" spans="16:21" x14ac:dyDescent="0.35">
      <c r="P17987" s="226"/>
      <c r="Q17987" s="226"/>
      <c r="R17987" s="226"/>
      <c r="S17987" s="226"/>
      <c r="T17987" s="226"/>
      <c r="U17987" s="226"/>
    </row>
    <row r="17988" spans="16:21" x14ac:dyDescent="0.35">
      <c r="P17988" s="226"/>
      <c r="Q17988" s="226"/>
      <c r="R17988" s="226"/>
      <c r="S17988" s="226"/>
      <c r="T17988" s="226"/>
      <c r="U17988" s="226"/>
    </row>
    <row r="17989" spans="16:21" x14ac:dyDescent="0.35">
      <c r="P17989" s="226"/>
      <c r="Q17989" s="226"/>
      <c r="R17989" s="226"/>
      <c r="S17989" s="226"/>
      <c r="T17989" s="226"/>
      <c r="U17989" s="226"/>
    </row>
    <row r="17990" spans="16:21" x14ac:dyDescent="0.35">
      <c r="P17990" s="226"/>
      <c r="Q17990" s="226"/>
      <c r="R17990" s="226"/>
      <c r="S17990" s="226"/>
      <c r="T17990" s="226"/>
      <c r="U17990" s="226"/>
    </row>
    <row r="17991" spans="16:21" x14ac:dyDescent="0.35">
      <c r="P17991" s="226"/>
      <c r="Q17991" s="226"/>
      <c r="R17991" s="226"/>
      <c r="S17991" s="226"/>
      <c r="T17991" s="226"/>
      <c r="U17991" s="226"/>
    </row>
    <row r="17992" spans="16:21" x14ac:dyDescent="0.35">
      <c r="P17992" s="226"/>
      <c r="Q17992" s="226"/>
      <c r="R17992" s="226"/>
      <c r="S17992" s="226"/>
      <c r="T17992" s="226"/>
      <c r="U17992" s="226"/>
    </row>
    <row r="17993" spans="16:21" x14ac:dyDescent="0.35">
      <c r="P17993" s="226"/>
      <c r="Q17993" s="226"/>
      <c r="R17993" s="226"/>
      <c r="S17993" s="226"/>
      <c r="T17993" s="226"/>
      <c r="U17993" s="226"/>
    </row>
    <row r="17994" spans="16:21" x14ac:dyDescent="0.35">
      <c r="P17994" s="226"/>
      <c r="Q17994" s="226"/>
      <c r="R17994" s="226"/>
      <c r="S17994" s="226"/>
      <c r="T17994" s="226"/>
      <c r="U17994" s="226"/>
    </row>
    <row r="17995" spans="16:21" x14ac:dyDescent="0.35">
      <c r="P17995" s="226"/>
      <c r="Q17995" s="226"/>
      <c r="R17995" s="226"/>
      <c r="S17995" s="226"/>
      <c r="T17995" s="226"/>
      <c r="U17995" s="226"/>
    </row>
    <row r="17996" spans="16:21" x14ac:dyDescent="0.35">
      <c r="P17996" s="226"/>
      <c r="Q17996" s="226"/>
      <c r="R17996" s="226"/>
      <c r="S17996" s="226"/>
      <c r="T17996" s="226"/>
      <c r="U17996" s="226"/>
    </row>
    <row r="17997" spans="16:21" x14ac:dyDescent="0.35">
      <c r="P17997" s="226"/>
      <c r="Q17997" s="226"/>
      <c r="R17997" s="226"/>
      <c r="S17997" s="226"/>
      <c r="T17997" s="226"/>
      <c r="U17997" s="226"/>
    </row>
    <row r="17998" spans="16:21" x14ac:dyDescent="0.35">
      <c r="P17998" s="226"/>
      <c r="Q17998" s="226"/>
      <c r="R17998" s="226"/>
      <c r="S17998" s="226"/>
      <c r="T17998" s="226"/>
      <c r="U17998" s="226"/>
    </row>
    <row r="17999" spans="16:21" x14ac:dyDescent="0.35">
      <c r="P17999" s="226"/>
      <c r="Q17999" s="226"/>
      <c r="R17999" s="226"/>
      <c r="S17999" s="226"/>
      <c r="T17999" s="226"/>
      <c r="U17999" s="226"/>
    </row>
    <row r="18000" spans="16:21" x14ac:dyDescent="0.35">
      <c r="P18000" s="226"/>
      <c r="Q18000" s="226"/>
      <c r="R18000" s="226"/>
      <c r="S18000" s="226"/>
      <c r="T18000" s="226"/>
      <c r="U18000" s="226"/>
    </row>
    <row r="18001" spans="16:21" x14ac:dyDescent="0.35">
      <c r="P18001" s="226"/>
      <c r="Q18001" s="226"/>
      <c r="R18001" s="226"/>
      <c r="S18001" s="226"/>
      <c r="T18001" s="226"/>
      <c r="U18001" s="226"/>
    </row>
    <row r="18002" spans="16:21" x14ac:dyDescent="0.35">
      <c r="P18002" s="226"/>
      <c r="Q18002" s="226"/>
      <c r="R18002" s="226"/>
      <c r="S18002" s="226"/>
      <c r="T18002" s="226"/>
      <c r="U18002" s="226"/>
    </row>
    <row r="18003" spans="16:21" x14ac:dyDescent="0.35">
      <c r="P18003" s="226"/>
      <c r="Q18003" s="226"/>
      <c r="R18003" s="226"/>
      <c r="S18003" s="226"/>
      <c r="T18003" s="226"/>
      <c r="U18003" s="226"/>
    </row>
    <row r="18004" spans="16:21" x14ac:dyDescent="0.35">
      <c r="P18004" s="226"/>
      <c r="Q18004" s="226"/>
      <c r="R18004" s="226"/>
      <c r="S18004" s="226"/>
      <c r="T18004" s="226"/>
      <c r="U18004" s="226"/>
    </row>
    <row r="18005" spans="16:21" x14ac:dyDescent="0.35">
      <c r="P18005" s="226"/>
      <c r="Q18005" s="226"/>
      <c r="R18005" s="226"/>
      <c r="S18005" s="226"/>
      <c r="T18005" s="226"/>
      <c r="U18005" s="226"/>
    </row>
    <row r="18006" spans="16:21" x14ac:dyDescent="0.35">
      <c r="P18006" s="226"/>
      <c r="Q18006" s="226"/>
      <c r="R18006" s="226"/>
      <c r="S18006" s="226"/>
      <c r="T18006" s="226"/>
      <c r="U18006" s="226"/>
    </row>
    <row r="18007" spans="16:21" x14ac:dyDescent="0.35">
      <c r="P18007" s="226"/>
      <c r="Q18007" s="226"/>
      <c r="R18007" s="226"/>
      <c r="S18007" s="226"/>
      <c r="T18007" s="226"/>
      <c r="U18007" s="226"/>
    </row>
    <row r="18008" spans="16:21" x14ac:dyDescent="0.35">
      <c r="P18008" s="226"/>
      <c r="Q18008" s="226"/>
      <c r="R18008" s="226"/>
      <c r="S18008" s="226"/>
      <c r="T18008" s="226"/>
      <c r="U18008" s="226"/>
    </row>
    <row r="18009" spans="16:21" x14ac:dyDescent="0.35">
      <c r="P18009" s="226"/>
      <c r="Q18009" s="226"/>
      <c r="R18009" s="226"/>
      <c r="S18009" s="226"/>
      <c r="T18009" s="226"/>
      <c r="U18009" s="226"/>
    </row>
    <row r="18010" spans="16:21" x14ac:dyDescent="0.35">
      <c r="P18010" s="226"/>
      <c r="Q18010" s="226"/>
      <c r="R18010" s="226"/>
      <c r="S18010" s="226"/>
      <c r="T18010" s="226"/>
      <c r="U18010" s="226"/>
    </row>
    <row r="18011" spans="16:21" x14ac:dyDescent="0.35">
      <c r="P18011" s="226"/>
      <c r="Q18011" s="226"/>
      <c r="R18011" s="226"/>
      <c r="S18011" s="226"/>
      <c r="T18011" s="226"/>
      <c r="U18011" s="226"/>
    </row>
    <row r="18012" spans="16:21" x14ac:dyDescent="0.35">
      <c r="P18012" s="226"/>
      <c r="Q18012" s="226"/>
      <c r="R18012" s="226"/>
      <c r="S18012" s="226"/>
      <c r="T18012" s="226"/>
      <c r="U18012" s="226"/>
    </row>
    <row r="18013" spans="16:21" x14ac:dyDescent="0.35">
      <c r="P18013" s="226"/>
      <c r="Q18013" s="226"/>
      <c r="R18013" s="226"/>
      <c r="S18013" s="226"/>
      <c r="T18013" s="226"/>
      <c r="U18013" s="226"/>
    </row>
    <row r="18014" spans="16:21" x14ac:dyDescent="0.35">
      <c r="P18014" s="226"/>
      <c r="Q18014" s="226"/>
      <c r="R18014" s="226"/>
      <c r="S18014" s="226"/>
      <c r="T18014" s="226"/>
      <c r="U18014" s="226"/>
    </row>
    <row r="18015" spans="16:21" x14ac:dyDescent="0.35">
      <c r="P18015" s="226"/>
      <c r="Q18015" s="226"/>
      <c r="R18015" s="226"/>
      <c r="S18015" s="226"/>
      <c r="T18015" s="226"/>
      <c r="U18015" s="226"/>
    </row>
    <row r="18016" spans="16:21" x14ac:dyDescent="0.35">
      <c r="P18016" s="226"/>
      <c r="Q18016" s="226"/>
      <c r="R18016" s="226"/>
      <c r="S18016" s="226"/>
      <c r="T18016" s="226"/>
      <c r="U18016" s="226"/>
    </row>
    <row r="18017" spans="16:21" x14ac:dyDescent="0.35">
      <c r="P18017" s="226"/>
      <c r="Q18017" s="226"/>
      <c r="R18017" s="226"/>
      <c r="S18017" s="226"/>
      <c r="T18017" s="226"/>
      <c r="U18017" s="226"/>
    </row>
    <row r="18018" spans="16:21" x14ac:dyDescent="0.35">
      <c r="P18018" s="226"/>
      <c r="Q18018" s="226"/>
      <c r="R18018" s="226"/>
      <c r="S18018" s="226"/>
      <c r="T18018" s="226"/>
      <c r="U18018" s="226"/>
    </row>
    <row r="18019" spans="16:21" x14ac:dyDescent="0.35">
      <c r="P18019" s="226"/>
      <c r="Q18019" s="226"/>
      <c r="R18019" s="226"/>
      <c r="S18019" s="226"/>
      <c r="T18019" s="226"/>
      <c r="U18019" s="226"/>
    </row>
    <row r="18020" spans="16:21" x14ac:dyDescent="0.35">
      <c r="P18020" s="226"/>
      <c r="Q18020" s="226"/>
      <c r="R18020" s="226"/>
      <c r="S18020" s="226"/>
      <c r="T18020" s="226"/>
      <c r="U18020" s="226"/>
    </row>
    <row r="18021" spans="16:21" x14ac:dyDescent="0.35">
      <c r="P18021" s="226"/>
      <c r="Q18021" s="226"/>
      <c r="R18021" s="226"/>
      <c r="S18021" s="226"/>
      <c r="T18021" s="226"/>
      <c r="U18021" s="226"/>
    </row>
    <row r="18022" spans="16:21" x14ac:dyDescent="0.35">
      <c r="P18022" s="226"/>
      <c r="Q18022" s="226"/>
      <c r="R18022" s="226"/>
      <c r="S18022" s="226"/>
      <c r="T18022" s="226"/>
      <c r="U18022" s="226"/>
    </row>
    <row r="18023" spans="16:21" x14ac:dyDescent="0.35">
      <c r="P18023" s="226"/>
      <c r="Q18023" s="226"/>
      <c r="R18023" s="226"/>
      <c r="S18023" s="226"/>
      <c r="T18023" s="226"/>
      <c r="U18023" s="226"/>
    </row>
    <row r="18024" spans="16:21" x14ac:dyDescent="0.35">
      <c r="P18024" s="226"/>
      <c r="Q18024" s="226"/>
      <c r="R18024" s="226"/>
      <c r="S18024" s="226"/>
      <c r="T18024" s="226"/>
      <c r="U18024" s="226"/>
    </row>
    <row r="18025" spans="16:21" x14ac:dyDescent="0.35">
      <c r="P18025" s="226"/>
      <c r="Q18025" s="226"/>
      <c r="R18025" s="226"/>
      <c r="S18025" s="226"/>
      <c r="T18025" s="226"/>
      <c r="U18025" s="226"/>
    </row>
    <row r="18026" spans="16:21" x14ac:dyDescent="0.35">
      <c r="P18026" s="226"/>
      <c r="Q18026" s="226"/>
      <c r="R18026" s="226"/>
      <c r="S18026" s="226"/>
      <c r="T18026" s="226"/>
      <c r="U18026" s="226"/>
    </row>
    <row r="18027" spans="16:21" x14ac:dyDescent="0.35">
      <c r="P18027" s="226"/>
      <c r="Q18027" s="226"/>
      <c r="R18027" s="226"/>
      <c r="S18027" s="226"/>
      <c r="T18027" s="226"/>
      <c r="U18027" s="226"/>
    </row>
    <row r="18028" spans="16:21" x14ac:dyDescent="0.35">
      <c r="P18028" s="226"/>
      <c r="Q18028" s="226"/>
      <c r="R18028" s="226"/>
      <c r="S18028" s="226"/>
      <c r="T18028" s="226"/>
      <c r="U18028" s="226"/>
    </row>
    <row r="18029" spans="16:21" x14ac:dyDescent="0.35">
      <c r="P18029" s="226"/>
      <c r="Q18029" s="226"/>
      <c r="R18029" s="226"/>
      <c r="S18029" s="226"/>
      <c r="T18029" s="226"/>
      <c r="U18029" s="226"/>
    </row>
    <row r="18030" spans="16:21" x14ac:dyDescent="0.35">
      <c r="P18030" s="226"/>
      <c r="Q18030" s="226"/>
      <c r="R18030" s="226"/>
      <c r="S18030" s="226"/>
      <c r="T18030" s="226"/>
      <c r="U18030" s="226"/>
    </row>
    <row r="18031" spans="16:21" x14ac:dyDescent="0.35">
      <c r="P18031" s="226"/>
      <c r="Q18031" s="226"/>
      <c r="R18031" s="226"/>
      <c r="S18031" s="226"/>
      <c r="T18031" s="226"/>
      <c r="U18031" s="226"/>
    </row>
    <row r="18032" spans="16:21" x14ac:dyDescent="0.35">
      <c r="P18032" s="226"/>
      <c r="Q18032" s="226"/>
      <c r="R18032" s="226"/>
      <c r="S18032" s="226"/>
      <c r="T18032" s="226"/>
      <c r="U18032" s="226"/>
    </row>
    <row r="18033" spans="16:21" x14ac:dyDescent="0.35">
      <c r="P18033" s="226"/>
      <c r="Q18033" s="226"/>
      <c r="R18033" s="226"/>
      <c r="S18033" s="226"/>
      <c r="T18033" s="226"/>
      <c r="U18033" s="226"/>
    </row>
    <row r="18034" spans="16:21" x14ac:dyDescent="0.35">
      <c r="P18034" s="226"/>
      <c r="Q18034" s="226"/>
      <c r="R18034" s="226"/>
      <c r="S18034" s="226"/>
      <c r="T18034" s="226"/>
      <c r="U18034" s="226"/>
    </row>
    <row r="18035" spans="16:21" x14ac:dyDescent="0.35">
      <c r="P18035" s="226"/>
      <c r="Q18035" s="226"/>
      <c r="R18035" s="226"/>
      <c r="S18035" s="226"/>
      <c r="T18035" s="226"/>
      <c r="U18035" s="226"/>
    </row>
    <row r="18036" spans="16:21" x14ac:dyDescent="0.35">
      <c r="P18036" s="226"/>
      <c r="Q18036" s="226"/>
      <c r="R18036" s="226"/>
      <c r="S18036" s="226"/>
      <c r="T18036" s="226"/>
      <c r="U18036" s="226"/>
    </row>
    <row r="18037" spans="16:21" x14ac:dyDescent="0.35">
      <c r="P18037" s="226"/>
      <c r="Q18037" s="226"/>
      <c r="R18037" s="226"/>
      <c r="S18037" s="226"/>
      <c r="T18037" s="226"/>
      <c r="U18037" s="226"/>
    </row>
    <row r="18038" spans="16:21" x14ac:dyDescent="0.35">
      <c r="P18038" s="226"/>
      <c r="Q18038" s="226"/>
      <c r="R18038" s="226"/>
      <c r="S18038" s="226"/>
      <c r="T18038" s="226"/>
      <c r="U18038" s="226"/>
    </row>
    <row r="18039" spans="16:21" x14ac:dyDescent="0.35">
      <c r="P18039" s="226"/>
      <c r="Q18039" s="226"/>
      <c r="R18039" s="226"/>
      <c r="S18039" s="226"/>
      <c r="T18039" s="226"/>
      <c r="U18039" s="226"/>
    </row>
    <row r="18040" spans="16:21" x14ac:dyDescent="0.35">
      <c r="P18040" s="226"/>
      <c r="Q18040" s="226"/>
      <c r="R18040" s="226"/>
      <c r="S18040" s="226"/>
      <c r="T18040" s="226"/>
      <c r="U18040" s="226"/>
    </row>
    <row r="18041" spans="16:21" x14ac:dyDescent="0.35">
      <c r="P18041" s="226"/>
      <c r="Q18041" s="226"/>
      <c r="R18041" s="226"/>
      <c r="S18041" s="226"/>
      <c r="T18041" s="226"/>
      <c r="U18041" s="226"/>
    </row>
    <row r="18042" spans="16:21" x14ac:dyDescent="0.35">
      <c r="P18042" s="226"/>
      <c r="Q18042" s="226"/>
      <c r="R18042" s="226"/>
      <c r="S18042" s="226"/>
      <c r="T18042" s="226"/>
      <c r="U18042" s="226"/>
    </row>
    <row r="18043" spans="16:21" x14ac:dyDescent="0.35">
      <c r="P18043" s="226"/>
      <c r="Q18043" s="226"/>
      <c r="R18043" s="226"/>
      <c r="S18043" s="226"/>
      <c r="T18043" s="226"/>
      <c r="U18043" s="226"/>
    </row>
    <row r="18044" spans="16:21" x14ac:dyDescent="0.35">
      <c r="P18044" s="226"/>
      <c r="Q18044" s="226"/>
      <c r="R18044" s="226"/>
      <c r="S18044" s="226"/>
      <c r="T18044" s="226"/>
      <c r="U18044" s="226"/>
    </row>
    <row r="18045" spans="16:21" x14ac:dyDescent="0.35">
      <c r="P18045" s="226"/>
      <c r="Q18045" s="226"/>
      <c r="R18045" s="226"/>
      <c r="S18045" s="226"/>
      <c r="T18045" s="226"/>
      <c r="U18045" s="226"/>
    </row>
    <row r="18046" spans="16:21" x14ac:dyDescent="0.35">
      <c r="P18046" s="226"/>
      <c r="Q18046" s="226"/>
      <c r="R18046" s="226"/>
      <c r="S18046" s="226"/>
      <c r="T18046" s="226"/>
      <c r="U18046" s="226"/>
    </row>
    <row r="18047" spans="16:21" x14ac:dyDescent="0.35">
      <c r="P18047" s="226"/>
      <c r="Q18047" s="226"/>
      <c r="R18047" s="226"/>
      <c r="S18047" s="226"/>
      <c r="T18047" s="226"/>
      <c r="U18047" s="226"/>
    </row>
    <row r="18048" spans="16:21" x14ac:dyDescent="0.35">
      <c r="P18048" s="226"/>
      <c r="Q18048" s="226"/>
      <c r="R18048" s="226"/>
      <c r="S18048" s="226"/>
      <c r="T18048" s="226"/>
      <c r="U18048" s="226"/>
    </row>
    <row r="18049" spans="16:21" x14ac:dyDescent="0.35">
      <c r="P18049" s="226"/>
      <c r="Q18049" s="226"/>
      <c r="R18049" s="226"/>
      <c r="S18049" s="226"/>
      <c r="T18049" s="226"/>
      <c r="U18049" s="226"/>
    </row>
    <row r="18050" spans="16:21" x14ac:dyDescent="0.35">
      <c r="P18050" s="226"/>
      <c r="Q18050" s="226"/>
      <c r="R18050" s="226"/>
      <c r="S18050" s="226"/>
      <c r="T18050" s="226"/>
      <c r="U18050" s="226"/>
    </row>
    <row r="18051" spans="16:21" x14ac:dyDescent="0.35">
      <c r="P18051" s="226"/>
      <c r="Q18051" s="226"/>
      <c r="R18051" s="226"/>
      <c r="S18051" s="226"/>
      <c r="T18051" s="226"/>
      <c r="U18051" s="226"/>
    </row>
    <row r="18052" spans="16:21" x14ac:dyDescent="0.35">
      <c r="P18052" s="226"/>
      <c r="Q18052" s="226"/>
      <c r="R18052" s="226"/>
      <c r="S18052" s="226"/>
      <c r="T18052" s="226"/>
      <c r="U18052" s="226"/>
    </row>
    <row r="18053" spans="16:21" x14ac:dyDescent="0.35">
      <c r="P18053" s="226"/>
      <c r="Q18053" s="226"/>
      <c r="R18053" s="226"/>
      <c r="S18053" s="226"/>
      <c r="T18053" s="226"/>
      <c r="U18053" s="226"/>
    </row>
    <row r="18054" spans="16:21" x14ac:dyDescent="0.35">
      <c r="P18054" s="226"/>
      <c r="Q18054" s="226"/>
      <c r="R18054" s="226"/>
      <c r="S18054" s="226"/>
      <c r="T18054" s="226"/>
      <c r="U18054" s="226"/>
    </row>
    <row r="18055" spans="16:21" x14ac:dyDescent="0.35">
      <c r="P18055" s="226"/>
      <c r="Q18055" s="226"/>
      <c r="R18055" s="226"/>
      <c r="S18055" s="226"/>
      <c r="T18055" s="226"/>
      <c r="U18055" s="226"/>
    </row>
    <row r="18056" spans="16:21" x14ac:dyDescent="0.35">
      <c r="P18056" s="226"/>
      <c r="Q18056" s="226"/>
      <c r="R18056" s="226"/>
      <c r="S18056" s="226"/>
      <c r="T18056" s="226"/>
      <c r="U18056" s="226"/>
    </row>
    <row r="18057" spans="16:21" x14ac:dyDescent="0.35">
      <c r="P18057" s="226"/>
      <c r="Q18057" s="226"/>
      <c r="R18057" s="226"/>
      <c r="S18057" s="226"/>
      <c r="T18057" s="226"/>
      <c r="U18057" s="226"/>
    </row>
    <row r="18058" spans="16:21" x14ac:dyDescent="0.35">
      <c r="P18058" s="226"/>
      <c r="Q18058" s="226"/>
      <c r="R18058" s="226"/>
      <c r="S18058" s="226"/>
      <c r="T18058" s="226"/>
      <c r="U18058" s="226"/>
    </row>
    <row r="18059" spans="16:21" x14ac:dyDescent="0.35">
      <c r="P18059" s="226"/>
      <c r="Q18059" s="226"/>
      <c r="R18059" s="226"/>
      <c r="S18059" s="226"/>
      <c r="T18059" s="226"/>
      <c r="U18059" s="226"/>
    </row>
    <row r="18060" spans="16:21" x14ac:dyDescent="0.35">
      <c r="P18060" s="226"/>
      <c r="Q18060" s="226"/>
      <c r="R18060" s="226"/>
      <c r="S18060" s="226"/>
      <c r="T18060" s="226"/>
      <c r="U18060" s="226"/>
    </row>
    <row r="18061" spans="16:21" x14ac:dyDescent="0.35">
      <c r="P18061" s="226"/>
      <c r="Q18061" s="226"/>
      <c r="R18061" s="226"/>
      <c r="S18061" s="226"/>
      <c r="T18061" s="226"/>
      <c r="U18061" s="226"/>
    </row>
    <row r="18062" spans="16:21" x14ac:dyDescent="0.35">
      <c r="P18062" s="226"/>
      <c r="Q18062" s="226"/>
      <c r="R18062" s="226"/>
      <c r="S18062" s="226"/>
      <c r="T18062" s="226"/>
      <c r="U18062" s="226"/>
    </row>
    <row r="18063" spans="16:21" x14ac:dyDescent="0.35">
      <c r="P18063" s="226"/>
      <c r="Q18063" s="226"/>
      <c r="R18063" s="226"/>
      <c r="S18063" s="226"/>
      <c r="T18063" s="226"/>
      <c r="U18063" s="226"/>
    </row>
    <row r="18064" spans="16:21" x14ac:dyDescent="0.35">
      <c r="P18064" s="226"/>
      <c r="Q18064" s="226"/>
      <c r="R18064" s="226"/>
      <c r="S18064" s="226"/>
      <c r="T18064" s="226"/>
      <c r="U18064" s="226"/>
    </row>
    <row r="18065" spans="16:21" x14ac:dyDescent="0.35">
      <c r="P18065" s="226"/>
      <c r="Q18065" s="226"/>
      <c r="R18065" s="226"/>
      <c r="S18065" s="226"/>
      <c r="T18065" s="226"/>
      <c r="U18065" s="226"/>
    </row>
    <row r="18066" spans="16:21" x14ac:dyDescent="0.35">
      <c r="P18066" s="226"/>
      <c r="Q18066" s="226"/>
      <c r="R18066" s="226"/>
      <c r="S18066" s="226"/>
      <c r="T18066" s="226"/>
      <c r="U18066" s="226"/>
    </row>
    <row r="18067" spans="16:21" x14ac:dyDescent="0.35">
      <c r="P18067" s="226"/>
      <c r="Q18067" s="226"/>
      <c r="R18067" s="226"/>
      <c r="S18067" s="226"/>
      <c r="T18067" s="226"/>
      <c r="U18067" s="226"/>
    </row>
    <row r="18068" spans="16:21" x14ac:dyDescent="0.35">
      <c r="P18068" s="226"/>
      <c r="Q18068" s="226"/>
      <c r="R18068" s="226"/>
      <c r="S18068" s="226"/>
      <c r="T18068" s="226"/>
      <c r="U18068" s="226"/>
    </row>
    <row r="18069" spans="16:21" x14ac:dyDescent="0.35">
      <c r="P18069" s="226"/>
      <c r="Q18069" s="226"/>
      <c r="R18069" s="226"/>
      <c r="S18069" s="226"/>
      <c r="T18069" s="226"/>
      <c r="U18069" s="226"/>
    </row>
    <row r="18070" spans="16:21" x14ac:dyDescent="0.35">
      <c r="P18070" s="226"/>
      <c r="Q18070" s="226"/>
      <c r="R18070" s="226"/>
      <c r="S18070" s="226"/>
      <c r="T18070" s="226"/>
      <c r="U18070" s="226"/>
    </row>
    <row r="18071" spans="16:21" x14ac:dyDescent="0.35">
      <c r="P18071" s="226"/>
      <c r="Q18071" s="226"/>
      <c r="R18071" s="226"/>
      <c r="S18071" s="226"/>
      <c r="T18071" s="226"/>
      <c r="U18071" s="226"/>
    </row>
    <row r="18072" spans="16:21" x14ac:dyDescent="0.35">
      <c r="P18072" s="226"/>
      <c r="Q18072" s="226"/>
      <c r="R18072" s="226"/>
      <c r="S18072" s="226"/>
      <c r="T18072" s="226"/>
      <c r="U18072" s="226"/>
    </row>
    <row r="18073" spans="16:21" x14ac:dyDescent="0.35">
      <c r="P18073" s="226"/>
      <c r="Q18073" s="226"/>
      <c r="R18073" s="226"/>
      <c r="S18073" s="226"/>
      <c r="T18073" s="226"/>
      <c r="U18073" s="226"/>
    </row>
    <row r="18074" spans="16:21" x14ac:dyDescent="0.35">
      <c r="P18074" s="226"/>
      <c r="Q18074" s="226"/>
      <c r="R18074" s="226"/>
      <c r="S18074" s="226"/>
      <c r="T18074" s="226"/>
      <c r="U18074" s="226"/>
    </row>
    <row r="18075" spans="16:21" x14ac:dyDescent="0.35">
      <c r="P18075" s="226"/>
      <c r="Q18075" s="226"/>
      <c r="R18075" s="226"/>
      <c r="S18075" s="226"/>
      <c r="T18075" s="226"/>
      <c r="U18075" s="226"/>
    </row>
    <row r="18076" spans="16:21" x14ac:dyDescent="0.35">
      <c r="P18076" s="226"/>
      <c r="Q18076" s="226"/>
      <c r="R18076" s="226"/>
      <c r="S18076" s="226"/>
      <c r="T18076" s="226"/>
      <c r="U18076" s="226"/>
    </row>
    <row r="18077" spans="16:21" x14ac:dyDescent="0.35">
      <c r="P18077" s="226"/>
      <c r="Q18077" s="226"/>
      <c r="R18077" s="226"/>
      <c r="S18077" s="226"/>
      <c r="T18077" s="226"/>
      <c r="U18077" s="226"/>
    </row>
    <row r="18078" spans="16:21" x14ac:dyDescent="0.35">
      <c r="P18078" s="226"/>
      <c r="Q18078" s="226"/>
      <c r="R18078" s="226"/>
      <c r="S18078" s="226"/>
      <c r="T18078" s="226"/>
      <c r="U18078" s="226"/>
    </row>
    <row r="18079" spans="16:21" x14ac:dyDescent="0.35">
      <c r="P18079" s="226"/>
      <c r="Q18079" s="226"/>
      <c r="R18079" s="226"/>
      <c r="S18079" s="226"/>
      <c r="T18079" s="226"/>
      <c r="U18079" s="226"/>
    </row>
    <row r="18080" spans="16:21" x14ac:dyDescent="0.35">
      <c r="P18080" s="226"/>
      <c r="Q18080" s="226"/>
      <c r="R18080" s="226"/>
      <c r="S18080" s="226"/>
      <c r="T18080" s="226"/>
      <c r="U18080" s="226"/>
    </row>
    <row r="18081" spans="16:21" x14ac:dyDescent="0.35">
      <c r="P18081" s="226"/>
      <c r="Q18081" s="226"/>
      <c r="R18081" s="226"/>
      <c r="S18081" s="226"/>
      <c r="T18081" s="226"/>
      <c r="U18081" s="226"/>
    </row>
    <row r="18082" spans="16:21" x14ac:dyDescent="0.35">
      <c r="P18082" s="226"/>
      <c r="Q18082" s="226"/>
      <c r="R18082" s="226"/>
      <c r="S18082" s="226"/>
      <c r="T18082" s="226"/>
      <c r="U18082" s="226"/>
    </row>
    <row r="18083" spans="16:21" x14ac:dyDescent="0.35">
      <c r="P18083" s="226"/>
      <c r="Q18083" s="226"/>
      <c r="R18083" s="226"/>
      <c r="S18083" s="226"/>
      <c r="T18083" s="226"/>
      <c r="U18083" s="226"/>
    </row>
    <row r="18084" spans="16:21" x14ac:dyDescent="0.35">
      <c r="P18084" s="226"/>
      <c r="Q18084" s="226"/>
      <c r="R18084" s="226"/>
      <c r="S18084" s="226"/>
      <c r="T18084" s="226"/>
      <c r="U18084" s="226"/>
    </row>
    <row r="18085" spans="16:21" x14ac:dyDescent="0.35">
      <c r="P18085" s="226"/>
      <c r="Q18085" s="226"/>
      <c r="R18085" s="226"/>
      <c r="S18085" s="226"/>
      <c r="T18085" s="226"/>
      <c r="U18085" s="226"/>
    </row>
    <row r="18086" spans="16:21" x14ac:dyDescent="0.35">
      <c r="P18086" s="226"/>
      <c r="Q18086" s="226"/>
      <c r="R18086" s="226"/>
      <c r="S18086" s="226"/>
      <c r="T18086" s="226"/>
      <c r="U18086" s="226"/>
    </row>
    <row r="18087" spans="16:21" x14ac:dyDescent="0.35">
      <c r="P18087" s="226"/>
      <c r="Q18087" s="226"/>
      <c r="R18087" s="226"/>
      <c r="S18087" s="226"/>
      <c r="T18087" s="226"/>
      <c r="U18087" s="226"/>
    </row>
    <row r="18088" spans="16:21" x14ac:dyDescent="0.35">
      <c r="P18088" s="226"/>
      <c r="Q18088" s="226"/>
      <c r="R18088" s="226"/>
      <c r="S18088" s="226"/>
      <c r="T18088" s="226"/>
      <c r="U18088" s="226"/>
    </row>
    <row r="18089" spans="16:21" x14ac:dyDescent="0.35">
      <c r="P18089" s="226"/>
      <c r="Q18089" s="226"/>
      <c r="R18089" s="226"/>
      <c r="S18089" s="226"/>
      <c r="T18089" s="226"/>
      <c r="U18089" s="226"/>
    </row>
    <row r="18090" spans="16:21" x14ac:dyDescent="0.35">
      <c r="P18090" s="226"/>
      <c r="Q18090" s="226"/>
      <c r="R18090" s="226"/>
      <c r="S18090" s="226"/>
      <c r="T18090" s="226"/>
      <c r="U18090" s="226"/>
    </row>
    <row r="18091" spans="16:21" x14ac:dyDescent="0.35">
      <c r="P18091" s="226"/>
      <c r="Q18091" s="226"/>
      <c r="R18091" s="226"/>
      <c r="S18091" s="226"/>
      <c r="T18091" s="226"/>
      <c r="U18091" s="226"/>
    </row>
    <row r="18092" spans="16:21" x14ac:dyDescent="0.35">
      <c r="P18092" s="226"/>
      <c r="Q18092" s="226"/>
      <c r="R18092" s="226"/>
      <c r="S18092" s="226"/>
      <c r="T18092" s="226"/>
      <c r="U18092" s="226"/>
    </row>
    <row r="18093" spans="16:21" x14ac:dyDescent="0.35">
      <c r="P18093" s="226"/>
      <c r="Q18093" s="226"/>
      <c r="R18093" s="226"/>
      <c r="S18093" s="226"/>
      <c r="T18093" s="226"/>
      <c r="U18093" s="226"/>
    </row>
    <row r="18094" spans="16:21" x14ac:dyDescent="0.35">
      <c r="P18094" s="226"/>
      <c r="Q18094" s="226"/>
      <c r="R18094" s="226"/>
      <c r="S18094" s="226"/>
      <c r="T18094" s="226"/>
      <c r="U18094" s="226"/>
    </row>
    <row r="18095" spans="16:21" x14ac:dyDescent="0.35">
      <c r="P18095" s="226"/>
      <c r="Q18095" s="226"/>
      <c r="R18095" s="226"/>
      <c r="S18095" s="226"/>
      <c r="T18095" s="226"/>
      <c r="U18095" s="226"/>
    </row>
    <row r="18096" spans="16:21" x14ac:dyDescent="0.35">
      <c r="P18096" s="226"/>
      <c r="Q18096" s="226"/>
      <c r="R18096" s="226"/>
      <c r="S18096" s="226"/>
      <c r="T18096" s="226"/>
      <c r="U18096" s="226"/>
    </row>
    <row r="18097" spans="16:21" x14ac:dyDescent="0.35">
      <c r="P18097" s="226"/>
      <c r="Q18097" s="226"/>
      <c r="R18097" s="226"/>
      <c r="S18097" s="226"/>
      <c r="T18097" s="226"/>
      <c r="U18097" s="226"/>
    </row>
    <row r="18098" spans="16:21" x14ac:dyDescent="0.35">
      <c r="P18098" s="226"/>
      <c r="Q18098" s="226"/>
      <c r="R18098" s="226"/>
      <c r="S18098" s="226"/>
      <c r="T18098" s="226"/>
      <c r="U18098" s="226"/>
    </row>
    <row r="18099" spans="16:21" x14ac:dyDescent="0.35">
      <c r="P18099" s="226"/>
      <c r="Q18099" s="226"/>
      <c r="R18099" s="226"/>
      <c r="S18099" s="226"/>
      <c r="T18099" s="226"/>
      <c r="U18099" s="226"/>
    </row>
    <row r="18100" spans="16:21" x14ac:dyDescent="0.35">
      <c r="P18100" s="226"/>
      <c r="Q18100" s="226"/>
      <c r="R18100" s="226"/>
      <c r="S18100" s="226"/>
      <c r="T18100" s="226"/>
      <c r="U18100" s="226"/>
    </row>
    <row r="18101" spans="16:21" x14ac:dyDescent="0.35">
      <c r="P18101" s="226"/>
      <c r="Q18101" s="226"/>
      <c r="R18101" s="226"/>
      <c r="S18101" s="226"/>
      <c r="T18101" s="226"/>
      <c r="U18101" s="226"/>
    </row>
    <row r="18102" spans="16:21" x14ac:dyDescent="0.35">
      <c r="P18102" s="226"/>
      <c r="Q18102" s="226"/>
      <c r="R18102" s="226"/>
      <c r="S18102" s="226"/>
      <c r="T18102" s="226"/>
      <c r="U18102" s="226"/>
    </row>
    <row r="18103" spans="16:21" x14ac:dyDescent="0.35">
      <c r="P18103" s="226"/>
      <c r="Q18103" s="226"/>
      <c r="R18103" s="226"/>
      <c r="S18103" s="226"/>
      <c r="T18103" s="226"/>
      <c r="U18103" s="226"/>
    </row>
    <row r="18104" spans="16:21" x14ac:dyDescent="0.35">
      <c r="P18104" s="226"/>
      <c r="Q18104" s="226"/>
      <c r="R18104" s="226"/>
      <c r="S18104" s="226"/>
      <c r="T18104" s="226"/>
      <c r="U18104" s="226"/>
    </row>
    <row r="18105" spans="16:21" x14ac:dyDescent="0.35">
      <c r="P18105" s="226"/>
      <c r="Q18105" s="226"/>
      <c r="R18105" s="226"/>
      <c r="S18105" s="226"/>
      <c r="T18105" s="226"/>
      <c r="U18105" s="226"/>
    </row>
    <row r="18106" spans="16:21" x14ac:dyDescent="0.35">
      <c r="P18106" s="226"/>
      <c r="Q18106" s="226"/>
      <c r="R18106" s="226"/>
      <c r="S18106" s="226"/>
      <c r="T18106" s="226"/>
      <c r="U18106" s="226"/>
    </row>
    <row r="18107" spans="16:21" x14ac:dyDescent="0.35">
      <c r="P18107" s="226"/>
      <c r="Q18107" s="226"/>
      <c r="R18107" s="226"/>
      <c r="S18107" s="226"/>
      <c r="T18107" s="226"/>
      <c r="U18107" s="226"/>
    </row>
    <row r="18108" spans="16:21" x14ac:dyDescent="0.35">
      <c r="P18108" s="226"/>
      <c r="Q18108" s="226"/>
      <c r="R18108" s="226"/>
      <c r="S18108" s="226"/>
      <c r="T18108" s="226"/>
      <c r="U18108" s="226"/>
    </row>
    <row r="18109" spans="16:21" x14ac:dyDescent="0.35">
      <c r="P18109" s="226"/>
      <c r="Q18109" s="226"/>
      <c r="R18109" s="226"/>
      <c r="S18109" s="226"/>
      <c r="T18109" s="226"/>
      <c r="U18109" s="226"/>
    </row>
    <row r="18110" spans="16:21" x14ac:dyDescent="0.35">
      <c r="P18110" s="226"/>
      <c r="Q18110" s="226"/>
      <c r="R18110" s="226"/>
      <c r="S18110" s="226"/>
      <c r="T18110" s="226"/>
      <c r="U18110" s="226"/>
    </row>
    <row r="18111" spans="16:21" x14ac:dyDescent="0.35">
      <c r="P18111" s="226"/>
      <c r="Q18111" s="226"/>
      <c r="R18111" s="226"/>
      <c r="S18111" s="226"/>
      <c r="T18111" s="226"/>
      <c r="U18111" s="226"/>
    </row>
    <row r="18112" spans="16:21" x14ac:dyDescent="0.35">
      <c r="P18112" s="226"/>
      <c r="Q18112" s="226"/>
      <c r="R18112" s="226"/>
      <c r="S18112" s="226"/>
      <c r="T18112" s="226"/>
      <c r="U18112" s="226"/>
    </row>
    <row r="18113" spans="16:21" x14ac:dyDescent="0.35">
      <c r="P18113" s="226"/>
      <c r="Q18113" s="226"/>
      <c r="R18113" s="226"/>
      <c r="S18113" s="226"/>
      <c r="T18113" s="226"/>
      <c r="U18113" s="226"/>
    </row>
    <row r="18114" spans="16:21" x14ac:dyDescent="0.35">
      <c r="P18114" s="226"/>
      <c r="Q18114" s="226"/>
      <c r="R18114" s="226"/>
      <c r="S18114" s="226"/>
      <c r="T18114" s="226"/>
      <c r="U18114" s="226"/>
    </row>
    <row r="18115" spans="16:21" x14ac:dyDescent="0.35">
      <c r="P18115" s="226"/>
      <c r="Q18115" s="226"/>
      <c r="R18115" s="226"/>
      <c r="S18115" s="226"/>
      <c r="T18115" s="226"/>
      <c r="U18115" s="226"/>
    </row>
    <row r="18116" spans="16:21" x14ac:dyDescent="0.35">
      <c r="P18116" s="226"/>
      <c r="Q18116" s="226"/>
      <c r="R18116" s="226"/>
      <c r="S18116" s="226"/>
      <c r="T18116" s="226"/>
      <c r="U18116" s="226"/>
    </row>
    <row r="18117" spans="16:21" x14ac:dyDescent="0.35">
      <c r="P18117" s="226"/>
      <c r="Q18117" s="226"/>
      <c r="R18117" s="226"/>
      <c r="S18117" s="226"/>
      <c r="T18117" s="226"/>
      <c r="U18117" s="226"/>
    </row>
    <row r="18118" spans="16:21" x14ac:dyDescent="0.35">
      <c r="P18118" s="226"/>
      <c r="Q18118" s="226"/>
      <c r="R18118" s="226"/>
      <c r="S18118" s="226"/>
      <c r="T18118" s="226"/>
      <c r="U18118" s="226"/>
    </row>
    <row r="18119" spans="16:21" x14ac:dyDescent="0.35">
      <c r="P18119" s="226"/>
      <c r="Q18119" s="226"/>
      <c r="R18119" s="226"/>
      <c r="S18119" s="226"/>
      <c r="T18119" s="226"/>
      <c r="U18119" s="226"/>
    </row>
    <row r="18120" spans="16:21" x14ac:dyDescent="0.35">
      <c r="P18120" s="226"/>
      <c r="Q18120" s="226"/>
      <c r="R18120" s="226"/>
      <c r="S18120" s="226"/>
      <c r="T18120" s="226"/>
      <c r="U18120" s="226"/>
    </row>
    <row r="18121" spans="16:21" x14ac:dyDescent="0.35">
      <c r="P18121" s="226"/>
      <c r="Q18121" s="226"/>
      <c r="R18121" s="226"/>
      <c r="S18121" s="226"/>
      <c r="T18121" s="226"/>
      <c r="U18121" s="226"/>
    </row>
    <row r="18122" spans="16:21" x14ac:dyDescent="0.35">
      <c r="P18122" s="226"/>
      <c r="Q18122" s="226"/>
      <c r="R18122" s="226"/>
      <c r="S18122" s="226"/>
      <c r="T18122" s="226"/>
      <c r="U18122" s="226"/>
    </row>
    <row r="18123" spans="16:21" x14ac:dyDescent="0.35">
      <c r="P18123" s="226"/>
      <c r="Q18123" s="226"/>
      <c r="R18123" s="226"/>
      <c r="S18123" s="226"/>
      <c r="T18123" s="226"/>
      <c r="U18123" s="226"/>
    </row>
    <row r="18124" spans="16:21" x14ac:dyDescent="0.35">
      <c r="P18124" s="226"/>
      <c r="Q18124" s="226"/>
      <c r="R18124" s="226"/>
      <c r="S18124" s="226"/>
      <c r="T18124" s="226"/>
      <c r="U18124" s="226"/>
    </row>
    <row r="18125" spans="16:21" x14ac:dyDescent="0.35">
      <c r="P18125" s="226"/>
      <c r="Q18125" s="226"/>
      <c r="R18125" s="226"/>
      <c r="S18125" s="226"/>
      <c r="T18125" s="226"/>
      <c r="U18125" s="226"/>
    </row>
    <row r="18126" spans="16:21" x14ac:dyDescent="0.35">
      <c r="P18126" s="226"/>
      <c r="Q18126" s="226"/>
      <c r="R18126" s="226"/>
      <c r="S18126" s="226"/>
      <c r="T18126" s="226"/>
      <c r="U18126" s="226"/>
    </row>
    <row r="18127" spans="16:21" x14ac:dyDescent="0.35">
      <c r="P18127" s="226"/>
      <c r="Q18127" s="226"/>
      <c r="R18127" s="226"/>
      <c r="S18127" s="226"/>
      <c r="T18127" s="226"/>
      <c r="U18127" s="226"/>
    </row>
    <row r="18128" spans="16:21" x14ac:dyDescent="0.35">
      <c r="P18128" s="226"/>
      <c r="Q18128" s="226"/>
      <c r="R18128" s="226"/>
      <c r="S18128" s="226"/>
      <c r="T18128" s="226"/>
      <c r="U18128" s="226"/>
    </row>
    <row r="18129" spans="16:21" x14ac:dyDescent="0.35">
      <c r="P18129" s="226"/>
      <c r="Q18129" s="226"/>
      <c r="R18129" s="226"/>
      <c r="S18129" s="226"/>
      <c r="T18129" s="226"/>
      <c r="U18129" s="226"/>
    </row>
    <row r="18130" spans="16:21" x14ac:dyDescent="0.35">
      <c r="P18130" s="226"/>
      <c r="Q18130" s="226"/>
      <c r="R18130" s="226"/>
      <c r="S18130" s="226"/>
      <c r="T18130" s="226"/>
      <c r="U18130" s="226"/>
    </row>
    <row r="18131" spans="16:21" x14ac:dyDescent="0.35">
      <c r="P18131" s="226"/>
      <c r="Q18131" s="226"/>
      <c r="R18131" s="226"/>
      <c r="S18131" s="226"/>
      <c r="T18131" s="226"/>
      <c r="U18131" s="226"/>
    </row>
    <row r="18132" spans="16:21" x14ac:dyDescent="0.35">
      <c r="P18132" s="226"/>
      <c r="Q18132" s="226"/>
      <c r="R18132" s="226"/>
      <c r="S18132" s="226"/>
      <c r="T18132" s="226"/>
      <c r="U18132" s="226"/>
    </row>
    <row r="18133" spans="16:21" x14ac:dyDescent="0.35">
      <c r="P18133" s="226"/>
      <c r="Q18133" s="226"/>
      <c r="R18133" s="226"/>
      <c r="S18133" s="226"/>
      <c r="T18133" s="226"/>
      <c r="U18133" s="226"/>
    </row>
    <row r="18134" spans="16:21" x14ac:dyDescent="0.35">
      <c r="P18134" s="226"/>
      <c r="Q18134" s="226"/>
      <c r="R18134" s="226"/>
      <c r="S18134" s="226"/>
      <c r="T18134" s="226"/>
      <c r="U18134" s="226"/>
    </row>
    <row r="18135" spans="16:21" x14ac:dyDescent="0.35">
      <c r="P18135" s="226"/>
      <c r="Q18135" s="226"/>
      <c r="R18135" s="226"/>
      <c r="S18135" s="226"/>
      <c r="T18135" s="226"/>
      <c r="U18135" s="226"/>
    </row>
    <row r="18136" spans="16:21" x14ac:dyDescent="0.35">
      <c r="P18136" s="226"/>
      <c r="Q18136" s="226"/>
      <c r="R18136" s="226"/>
      <c r="S18136" s="226"/>
      <c r="T18136" s="226"/>
      <c r="U18136" s="226"/>
    </row>
    <row r="18137" spans="16:21" x14ac:dyDescent="0.35">
      <c r="P18137" s="226"/>
      <c r="Q18137" s="226"/>
      <c r="R18137" s="226"/>
      <c r="S18137" s="226"/>
      <c r="T18137" s="226"/>
      <c r="U18137" s="226"/>
    </row>
    <row r="18138" spans="16:21" x14ac:dyDescent="0.35">
      <c r="P18138" s="226"/>
      <c r="Q18138" s="226"/>
      <c r="R18138" s="226"/>
      <c r="S18138" s="226"/>
      <c r="T18138" s="226"/>
      <c r="U18138" s="226"/>
    </row>
    <row r="18139" spans="16:21" x14ac:dyDescent="0.35">
      <c r="P18139" s="226"/>
      <c r="Q18139" s="226"/>
      <c r="R18139" s="226"/>
      <c r="S18139" s="226"/>
      <c r="T18139" s="226"/>
      <c r="U18139" s="226"/>
    </row>
    <row r="18140" spans="16:21" x14ac:dyDescent="0.35">
      <c r="P18140" s="226"/>
      <c r="Q18140" s="226"/>
      <c r="R18140" s="226"/>
      <c r="S18140" s="226"/>
      <c r="T18140" s="226"/>
      <c r="U18140" s="226"/>
    </row>
    <row r="18141" spans="16:21" x14ac:dyDescent="0.35">
      <c r="P18141" s="226"/>
      <c r="Q18141" s="226"/>
      <c r="R18141" s="226"/>
      <c r="S18141" s="226"/>
      <c r="T18141" s="226"/>
      <c r="U18141" s="226"/>
    </row>
    <row r="18142" spans="16:21" x14ac:dyDescent="0.35">
      <c r="P18142" s="226"/>
      <c r="Q18142" s="226"/>
      <c r="R18142" s="226"/>
      <c r="S18142" s="226"/>
      <c r="T18142" s="226"/>
      <c r="U18142" s="226"/>
    </row>
    <row r="18143" spans="16:21" x14ac:dyDescent="0.35">
      <c r="P18143" s="226"/>
      <c r="Q18143" s="226"/>
      <c r="R18143" s="226"/>
      <c r="S18143" s="226"/>
      <c r="T18143" s="226"/>
      <c r="U18143" s="226"/>
    </row>
    <row r="18144" spans="16:21" x14ac:dyDescent="0.35">
      <c r="P18144" s="226"/>
      <c r="Q18144" s="226"/>
      <c r="R18144" s="226"/>
      <c r="S18144" s="226"/>
      <c r="T18144" s="226"/>
      <c r="U18144" s="226"/>
    </row>
    <row r="18145" spans="16:21" x14ac:dyDescent="0.35">
      <c r="P18145" s="226"/>
      <c r="Q18145" s="226"/>
      <c r="R18145" s="226"/>
      <c r="S18145" s="226"/>
      <c r="T18145" s="226"/>
      <c r="U18145" s="226"/>
    </row>
    <row r="18146" spans="16:21" x14ac:dyDescent="0.35">
      <c r="P18146" s="226"/>
      <c r="Q18146" s="226"/>
      <c r="R18146" s="226"/>
      <c r="S18146" s="226"/>
      <c r="T18146" s="226"/>
      <c r="U18146" s="226"/>
    </row>
    <row r="18147" spans="16:21" x14ac:dyDescent="0.35">
      <c r="P18147" s="226"/>
      <c r="Q18147" s="226"/>
      <c r="R18147" s="226"/>
      <c r="S18147" s="226"/>
      <c r="T18147" s="226"/>
      <c r="U18147" s="226"/>
    </row>
    <row r="18148" spans="16:21" x14ac:dyDescent="0.35">
      <c r="P18148" s="226"/>
      <c r="Q18148" s="226"/>
      <c r="R18148" s="226"/>
      <c r="S18148" s="226"/>
      <c r="T18148" s="226"/>
      <c r="U18148" s="226"/>
    </row>
    <row r="18149" spans="16:21" x14ac:dyDescent="0.35">
      <c r="P18149" s="226"/>
      <c r="Q18149" s="226"/>
      <c r="R18149" s="226"/>
      <c r="S18149" s="226"/>
      <c r="T18149" s="226"/>
      <c r="U18149" s="226"/>
    </row>
    <row r="18150" spans="16:21" x14ac:dyDescent="0.35">
      <c r="P18150" s="226"/>
      <c r="Q18150" s="226"/>
      <c r="R18150" s="226"/>
      <c r="S18150" s="226"/>
      <c r="T18150" s="226"/>
      <c r="U18150" s="226"/>
    </row>
    <row r="18151" spans="16:21" x14ac:dyDescent="0.35">
      <c r="P18151" s="226"/>
      <c r="Q18151" s="226"/>
      <c r="R18151" s="226"/>
      <c r="S18151" s="226"/>
      <c r="T18151" s="226"/>
      <c r="U18151" s="226"/>
    </row>
    <row r="18152" spans="16:21" x14ac:dyDescent="0.35">
      <c r="P18152" s="226"/>
      <c r="Q18152" s="226"/>
      <c r="R18152" s="226"/>
      <c r="S18152" s="226"/>
      <c r="T18152" s="226"/>
      <c r="U18152" s="226"/>
    </row>
    <row r="18153" spans="16:21" x14ac:dyDescent="0.35">
      <c r="P18153" s="226"/>
      <c r="Q18153" s="226"/>
      <c r="R18153" s="226"/>
      <c r="S18153" s="226"/>
      <c r="T18153" s="226"/>
      <c r="U18153" s="226"/>
    </row>
    <row r="18154" spans="16:21" x14ac:dyDescent="0.35">
      <c r="P18154" s="226"/>
      <c r="Q18154" s="226"/>
      <c r="R18154" s="226"/>
      <c r="S18154" s="226"/>
      <c r="T18154" s="226"/>
      <c r="U18154" s="226"/>
    </row>
    <row r="18155" spans="16:21" x14ac:dyDescent="0.35">
      <c r="P18155" s="226"/>
      <c r="Q18155" s="226"/>
      <c r="R18155" s="226"/>
      <c r="S18155" s="226"/>
      <c r="T18155" s="226"/>
      <c r="U18155" s="226"/>
    </row>
    <row r="18156" spans="16:21" x14ac:dyDescent="0.35">
      <c r="P18156" s="226"/>
      <c r="Q18156" s="226"/>
      <c r="R18156" s="226"/>
      <c r="S18156" s="226"/>
      <c r="T18156" s="226"/>
      <c r="U18156" s="226"/>
    </row>
    <row r="18157" spans="16:21" x14ac:dyDescent="0.35">
      <c r="P18157" s="226"/>
      <c r="Q18157" s="226"/>
      <c r="R18157" s="226"/>
      <c r="S18157" s="226"/>
      <c r="T18157" s="226"/>
      <c r="U18157" s="226"/>
    </row>
    <row r="18158" spans="16:21" x14ac:dyDescent="0.35">
      <c r="P18158" s="226"/>
      <c r="Q18158" s="226"/>
      <c r="R18158" s="226"/>
      <c r="S18158" s="226"/>
      <c r="T18158" s="226"/>
      <c r="U18158" s="226"/>
    </row>
    <row r="18159" spans="16:21" x14ac:dyDescent="0.35">
      <c r="P18159" s="226"/>
      <c r="Q18159" s="226"/>
      <c r="R18159" s="226"/>
      <c r="S18159" s="226"/>
      <c r="T18159" s="226"/>
      <c r="U18159" s="226"/>
    </row>
    <row r="18160" spans="16:21" x14ac:dyDescent="0.35">
      <c r="P18160" s="226"/>
      <c r="Q18160" s="226"/>
      <c r="R18160" s="226"/>
      <c r="S18160" s="226"/>
      <c r="T18160" s="226"/>
      <c r="U18160" s="226"/>
    </row>
    <row r="18161" spans="16:21" x14ac:dyDescent="0.35">
      <c r="P18161" s="226"/>
      <c r="Q18161" s="226"/>
      <c r="R18161" s="226"/>
      <c r="S18161" s="226"/>
      <c r="T18161" s="226"/>
      <c r="U18161" s="226"/>
    </row>
    <row r="18162" spans="16:21" x14ac:dyDescent="0.35">
      <c r="P18162" s="226"/>
      <c r="Q18162" s="226"/>
      <c r="R18162" s="226"/>
      <c r="S18162" s="226"/>
      <c r="T18162" s="226"/>
      <c r="U18162" s="226"/>
    </row>
    <row r="18163" spans="16:21" x14ac:dyDescent="0.35">
      <c r="P18163" s="226"/>
      <c r="Q18163" s="226"/>
      <c r="R18163" s="226"/>
      <c r="S18163" s="226"/>
      <c r="T18163" s="226"/>
      <c r="U18163" s="226"/>
    </row>
    <row r="18164" spans="16:21" x14ac:dyDescent="0.35">
      <c r="P18164" s="226"/>
      <c r="Q18164" s="226"/>
      <c r="R18164" s="226"/>
      <c r="S18164" s="226"/>
      <c r="T18164" s="226"/>
      <c r="U18164" s="226"/>
    </row>
    <row r="18165" spans="16:21" x14ac:dyDescent="0.35">
      <c r="P18165" s="226"/>
      <c r="Q18165" s="226"/>
      <c r="R18165" s="226"/>
      <c r="S18165" s="226"/>
      <c r="T18165" s="226"/>
      <c r="U18165" s="226"/>
    </row>
    <row r="18166" spans="16:21" x14ac:dyDescent="0.35">
      <c r="P18166" s="226"/>
      <c r="Q18166" s="226"/>
      <c r="R18166" s="226"/>
      <c r="S18166" s="226"/>
      <c r="T18166" s="226"/>
      <c r="U18166" s="226"/>
    </row>
    <row r="18167" spans="16:21" x14ac:dyDescent="0.35">
      <c r="P18167" s="226"/>
      <c r="Q18167" s="226"/>
      <c r="R18167" s="226"/>
      <c r="S18167" s="226"/>
      <c r="T18167" s="226"/>
      <c r="U18167" s="226"/>
    </row>
    <row r="18168" spans="16:21" x14ac:dyDescent="0.35">
      <c r="P18168" s="226"/>
      <c r="Q18168" s="226"/>
      <c r="R18168" s="226"/>
      <c r="S18168" s="226"/>
      <c r="T18168" s="226"/>
      <c r="U18168" s="226"/>
    </row>
    <row r="18169" spans="16:21" x14ac:dyDescent="0.35">
      <c r="P18169" s="226"/>
      <c r="Q18169" s="226"/>
      <c r="R18169" s="226"/>
      <c r="S18169" s="226"/>
      <c r="T18169" s="226"/>
      <c r="U18169" s="226"/>
    </row>
    <row r="18170" spans="16:21" x14ac:dyDescent="0.35">
      <c r="P18170" s="226"/>
      <c r="Q18170" s="226"/>
      <c r="R18170" s="226"/>
      <c r="S18170" s="226"/>
      <c r="T18170" s="226"/>
      <c r="U18170" s="226"/>
    </row>
    <row r="18171" spans="16:21" x14ac:dyDescent="0.35">
      <c r="P18171" s="226"/>
      <c r="Q18171" s="226"/>
      <c r="R18171" s="226"/>
      <c r="S18171" s="226"/>
      <c r="T18171" s="226"/>
      <c r="U18171" s="226"/>
    </row>
    <row r="18172" spans="16:21" x14ac:dyDescent="0.35">
      <c r="P18172" s="226"/>
      <c r="Q18172" s="226"/>
      <c r="R18172" s="226"/>
      <c r="S18172" s="226"/>
      <c r="T18172" s="226"/>
      <c r="U18172" s="226"/>
    </row>
    <row r="18173" spans="16:21" x14ac:dyDescent="0.35">
      <c r="P18173" s="226"/>
      <c r="Q18173" s="226"/>
      <c r="R18173" s="226"/>
      <c r="S18173" s="226"/>
      <c r="T18173" s="226"/>
      <c r="U18173" s="226"/>
    </row>
    <row r="18174" spans="16:21" x14ac:dyDescent="0.35">
      <c r="P18174" s="226"/>
      <c r="Q18174" s="226"/>
      <c r="R18174" s="226"/>
      <c r="S18174" s="226"/>
      <c r="T18174" s="226"/>
      <c r="U18174" s="226"/>
    </row>
    <row r="18175" spans="16:21" x14ac:dyDescent="0.35">
      <c r="P18175" s="226"/>
      <c r="Q18175" s="226"/>
      <c r="R18175" s="226"/>
      <c r="S18175" s="226"/>
      <c r="T18175" s="226"/>
      <c r="U18175" s="226"/>
    </row>
    <row r="18176" spans="16:21" x14ac:dyDescent="0.35">
      <c r="P18176" s="226"/>
      <c r="Q18176" s="226"/>
      <c r="R18176" s="226"/>
      <c r="S18176" s="226"/>
      <c r="T18176" s="226"/>
      <c r="U18176" s="226"/>
    </row>
    <row r="18177" spans="16:21" x14ac:dyDescent="0.35">
      <c r="P18177" s="226"/>
      <c r="Q18177" s="226"/>
      <c r="R18177" s="226"/>
      <c r="S18177" s="226"/>
      <c r="T18177" s="226"/>
      <c r="U18177" s="226"/>
    </row>
    <row r="18178" spans="16:21" x14ac:dyDescent="0.35">
      <c r="P18178" s="226"/>
      <c r="Q18178" s="226"/>
      <c r="R18178" s="226"/>
      <c r="S18178" s="226"/>
      <c r="T18178" s="226"/>
      <c r="U18178" s="226"/>
    </row>
    <row r="18179" spans="16:21" x14ac:dyDescent="0.35">
      <c r="P18179" s="226"/>
      <c r="Q18179" s="226"/>
      <c r="R18179" s="226"/>
      <c r="S18179" s="226"/>
      <c r="T18179" s="226"/>
      <c r="U18179" s="226"/>
    </row>
    <row r="18180" spans="16:21" x14ac:dyDescent="0.35">
      <c r="P18180" s="226"/>
      <c r="Q18180" s="226"/>
      <c r="R18180" s="226"/>
      <c r="S18180" s="226"/>
      <c r="T18180" s="226"/>
      <c r="U18180" s="226"/>
    </row>
    <row r="18181" spans="16:21" x14ac:dyDescent="0.35">
      <c r="P18181" s="226"/>
      <c r="Q18181" s="226"/>
      <c r="R18181" s="226"/>
      <c r="S18181" s="226"/>
      <c r="T18181" s="226"/>
      <c r="U18181" s="226"/>
    </row>
    <row r="18182" spans="16:21" x14ac:dyDescent="0.35">
      <c r="P18182" s="226"/>
      <c r="Q18182" s="226"/>
      <c r="R18182" s="226"/>
      <c r="S18182" s="226"/>
      <c r="T18182" s="226"/>
      <c r="U18182" s="226"/>
    </row>
    <row r="18183" spans="16:21" x14ac:dyDescent="0.35">
      <c r="P18183" s="226"/>
      <c r="Q18183" s="226"/>
      <c r="R18183" s="226"/>
      <c r="S18183" s="226"/>
      <c r="T18183" s="226"/>
      <c r="U18183" s="226"/>
    </row>
    <row r="18184" spans="16:21" x14ac:dyDescent="0.35">
      <c r="P18184" s="226"/>
      <c r="Q18184" s="226"/>
      <c r="R18184" s="226"/>
      <c r="S18184" s="226"/>
      <c r="T18184" s="226"/>
      <c r="U18184" s="226"/>
    </row>
    <row r="18185" spans="16:21" x14ac:dyDescent="0.35">
      <c r="P18185" s="226"/>
      <c r="Q18185" s="226"/>
      <c r="R18185" s="226"/>
      <c r="S18185" s="226"/>
      <c r="T18185" s="226"/>
      <c r="U18185" s="226"/>
    </row>
    <row r="18186" spans="16:21" x14ac:dyDescent="0.35">
      <c r="P18186" s="226"/>
      <c r="Q18186" s="226"/>
      <c r="R18186" s="226"/>
      <c r="S18186" s="226"/>
      <c r="T18186" s="226"/>
      <c r="U18186" s="226"/>
    </row>
    <row r="18187" spans="16:21" x14ac:dyDescent="0.35">
      <c r="P18187" s="226"/>
      <c r="Q18187" s="226"/>
      <c r="R18187" s="226"/>
      <c r="S18187" s="226"/>
      <c r="T18187" s="226"/>
      <c r="U18187" s="226"/>
    </row>
    <row r="18188" spans="16:21" x14ac:dyDescent="0.35">
      <c r="P18188" s="226"/>
      <c r="Q18188" s="226"/>
      <c r="R18188" s="226"/>
      <c r="S18188" s="226"/>
      <c r="T18188" s="226"/>
      <c r="U18188" s="226"/>
    </row>
    <row r="18189" spans="16:21" x14ac:dyDescent="0.35">
      <c r="P18189" s="226"/>
      <c r="Q18189" s="226"/>
      <c r="R18189" s="226"/>
      <c r="S18189" s="226"/>
      <c r="T18189" s="226"/>
      <c r="U18189" s="226"/>
    </row>
    <row r="18190" spans="16:21" x14ac:dyDescent="0.35">
      <c r="P18190" s="226"/>
      <c r="Q18190" s="226"/>
      <c r="R18190" s="226"/>
      <c r="S18190" s="226"/>
      <c r="T18190" s="226"/>
      <c r="U18190" s="226"/>
    </row>
    <row r="18191" spans="16:21" x14ac:dyDescent="0.35">
      <c r="P18191" s="226"/>
      <c r="Q18191" s="226"/>
      <c r="R18191" s="226"/>
      <c r="S18191" s="226"/>
      <c r="T18191" s="226"/>
      <c r="U18191" s="226"/>
    </row>
    <row r="18192" spans="16:21" x14ac:dyDescent="0.35">
      <c r="P18192" s="226"/>
      <c r="Q18192" s="226"/>
      <c r="R18192" s="226"/>
      <c r="S18192" s="226"/>
      <c r="T18192" s="226"/>
      <c r="U18192" s="226"/>
    </row>
    <row r="18193" spans="16:21" x14ac:dyDescent="0.35">
      <c r="P18193" s="226"/>
      <c r="Q18193" s="226"/>
      <c r="R18193" s="226"/>
      <c r="S18193" s="226"/>
      <c r="T18193" s="226"/>
      <c r="U18193" s="226"/>
    </row>
    <row r="18194" spans="16:21" x14ac:dyDescent="0.35">
      <c r="P18194" s="226"/>
      <c r="Q18194" s="226"/>
      <c r="R18194" s="226"/>
      <c r="S18194" s="226"/>
      <c r="T18194" s="226"/>
      <c r="U18194" s="226"/>
    </row>
    <row r="18195" spans="16:21" x14ac:dyDescent="0.35">
      <c r="P18195" s="226"/>
      <c r="Q18195" s="226"/>
      <c r="R18195" s="226"/>
      <c r="S18195" s="226"/>
      <c r="T18195" s="226"/>
      <c r="U18195" s="226"/>
    </row>
    <row r="18196" spans="16:21" x14ac:dyDescent="0.35">
      <c r="P18196" s="226"/>
      <c r="Q18196" s="226"/>
      <c r="R18196" s="226"/>
      <c r="S18196" s="226"/>
      <c r="T18196" s="226"/>
      <c r="U18196" s="226"/>
    </row>
    <row r="18197" spans="16:21" x14ac:dyDescent="0.35">
      <c r="P18197" s="226"/>
      <c r="Q18197" s="226"/>
      <c r="R18197" s="226"/>
      <c r="S18197" s="226"/>
      <c r="T18197" s="226"/>
      <c r="U18197" s="226"/>
    </row>
    <row r="18198" spans="16:21" x14ac:dyDescent="0.35">
      <c r="P18198" s="226"/>
      <c r="Q18198" s="226"/>
      <c r="R18198" s="226"/>
      <c r="S18198" s="226"/>
      <c r="T18198" s="226"/>
      <c r="U18198" s="226"/>
    </row>
    <row r="18199" spans="16:21" x14ac:dyDescent="0.35">
      <c r="P18199" s="226"/>
      <c r="Q18199" s="226"/>
      <c r="R18199" s="226"/>
      <c r="S18199" s="226"/>
      <c r="T18199" s="226"/>
      <c r="U18199" s="226"/>
    </row>
    <row r="18200" spans="16:21" x14ac:dyDescent="0.35">
      <c r="P18200" s="226"/>
      <c r="Q18200" s="226"/>
      <c r="R18200" s="226"/>
      <c r="S18200" s="226"/>
      <c r="T18200" s="226"/>
      <c r="U18200" s="226"/>
    </row>
    <row r="18201" spans="16:21" x14ac:dyDescent="0.35">
      <c r="P18201" s="226"/>
      <c r="Q18201" s="226"/>
      <c r="R18201" s="226"/>
      <c r="S18201" s="226"/>
      <c r="T18201" s="226"/>
      <c r="U18201" s="226"/>
    </row>
    <row r="18202" spans="16:21" x14ac:dyDescent="0.35">
      <c r="P18202" s="226"/>
      <c r="Q18202" s="226"/>
      <c r="R18202" s="226"/>
      <c r="S18202" s="226"/>
      <c r="T18202" s="226"/>
      <c r="U18202" s="226"/>
    </row>
    <row r="18203" spans="16:21" x14ac:dyDescent="0.35">
      <c r="P18203" s="226"/>
      <c r="Q18203" s="226"/>
      <c r="R18203" s="226"/>
      <c r="S18203" s="226"/>
      <c r="T18203" s="226"/>
      <c r="U18203" s="226"/>
    </row>
    <row r="18204" spans="16:21" x14ac:dyDescent="0.35">
      <c r="P18204" s="226"/>
      <c r="Q18204" s="226"/>
      <c r="R18204" s="226"/>
      <c r="S18204" s="226"/>
      <c r="T18204" s="226"/>
      <c r="U18204" s="226"/>
    </row>
    <row r="18205" spans="16:21" x14ac:dyDescent="0.35">
      <c r="P18205" s="226"/>
      <c r="Q18205" s="226"/>
      <c r="R18205" s="226"/>
      <c r="S18205" s="226"/>
      <c r="T18205" s="226"/>
      <c r="U18205" s="226"/>
    </row>
    <row r="18206" spans="16:21" x14ac:dyDescent="0.35">
      <c r="P18206" s="226"/>
      <c r="Q18206" s="226"/>
      <c r="R18206" s="226"/>
      <c r="S18206" s="226"/>
      <c r="T18206" s="226"/>
      <c r="U18206" s="226"/>
    </row>
    <row r="18207" spans="16:21" x14ac:dyDescent="0.35">
      <c r="P18207" s="226"/>
      <c r="Q18207" s="226"/>
      <c r="R18207" s="226"/>
      <c r="S18207" s="226"/>
      <c r="T18207" s="226"/>
      <c r="U18207" s="226"/>
    </row>
    <row r="18208" spans="16:21" x14ac:dyDescent="0.35">
      <c r="P18208" s="226"/>
      <c r="Q18208" s="226"/>
      <c r="R18208" s="226"/>
      <c r="S18208" s="226"/>
      <c r="T18208" s="226"/>
      <c r="U18208" s="226"/>
    </row>
    <row r="18209" spans="16:21" x14ac:dyDescent="0.35">
      <c r="P18209" s="226"/>
      <c r="Q18209" s="226"/>
      <c r="R18209" s="226"/>
      <c r="S18209" s="226"/>
      <c r="T18209" s="226"/>
      <c r="U18209" s="226"/>
    </row>
    <row r="18210" spans="16:21" x14ac:dyDescent="0.35">
      <c r="P18210" s="226"/>
      <c r="Q18210" s="226"/>
      <c r="R18210" s="226"/>
      <c r="S18210" s="226"/>
      <c r="T18210" s="226"/>
      <c r="U18210" s="226"/>
    </row>
    <row r="18211" spans="16:21" x14ac:dyDescent="0.35">
      <c r="P18211" s="226"/>
      <c r="Q18211" s="226"/>
      <c r="R18211" s="226"/>
      <c r="S18211" s="226"/>
      <c r="T18211" s="226"/>
      <c r="U18211" s="226"/>
    </row>
    <row r="18212" spans="16:21" x14ac:dyDescent="0.35">
      <c r="P18212" s="226"/>
      <c r="Q18212" s="226"/>
      <c r="R18212" s="226"/>
      <c r="S18212" s="226"/>
      <c r="T18212" s="226"/>
      <c r="U18212" s="226"/>
    </row>
    <row r="18213" spans="16:21" x14ac:dyDescent="0.35">
      <c r="P18213" s="226"/>
      <c r="Q18213" s="226"/>
      <c r="R18213" s="226"/>
      <c r="S18213" s="226"/>
      <c r="T18213" s="226"/>
      <c r="U18213" s="226"/>
    </row>
    <row r="18214" spans="16:21" x14ac:dyDescent="0.35">
      <c r="P18214" s="226"/>
      <c r="Q18214" s="226"/>
      <c r="R18214" s="226"/>
      <c r="S18214" s="226"/>
      <c r="T18214" s="226"/>
      <c r="U18214" s="226"/>
    </row>
    <row r="18215" spans="16:21" x14ac:dyDescent="0.35">
      <c r="P18215" s="226"/>
      <c r="Q18215" s="226"/>
      <c r="R18215" s="226"/>
      <c r="S18215" s="226"/>
      <c r="T18215" s="226"/>
      <c r="U18215" s="226"/>
    </row>
    <row r="18216" spans="16:21" x14ac:dyDescent="0.35">
      <c r="P18216" s="226"/>
      <c r="Q18216" s="226"/>
      <c r="R18216" s="226"/>
      <c r="S18216" s="226"/>
      <c r="T18216" s="226"/>
      <c r="U18216" s="226"/>
    </row>
    <row r="18217" spans="16:21" x14ac:dyDescent="0.35">
      <c r="P18217" s="226"/>
      <c r="Q18217" s="226"/>
      <c r="R18217" s="226"/>
      <c r="S18217" s="226"/>
      <c r="T18217" s="226"/>
      <c r="U18217" s="226"/>
    </row>
    <row r="18218" spans="16:21" x14ac:dyDescent="0.35">
      <c r="P18218" s="226"/>
      <c r="Q18218" s="226"/>
      <c r="R18218" s="226"/>
      <c r="S18218" s="226"/>
      <c r="T18218" s="226"/>
      <c r="U18218" s="226"/>
    </row>
    <row r="18219" spans="16:21" x14ac:dyDescent="0.35">
      <c r="P18219" s="226"/>
      <c r="Q18219" s="226"/>
      <c r="R18219" s="226"/>
      <c r="S18219" s="226"/>
      <c r="T18219" s="226"/>
      <c r="U18219" s="226"/>
    </row>
    <row r="18220" spans="16:21" x14ac:dyDescent="0.35">
      <c r="P18220" s="226"/>
      <c r="Q18220" s="226"/>
      <c r="R18220" s="226"/>
      <c r="S18220" s="226"/>
      <c r="T18220" s="226"/>
      <c r="U18220" s="226"/>
    </row>
    <row r="18221" spans="16:21" x14ac:dyDescent="0.35">
      <c r="P18221" s="226"/>
      <c r="Q18221" s="226"/>
      <c r="R18221" s="226"/>
      <c r="S18221" s="226"/>
      <c r="T18221" s="226"/>
      <c r="U18221" s="226"/>
    </row>
    <row r="18222" spans="16:21" x14ac:dyDescent="0.35">
      <c r="P18222" s="226"/>
      <c r="Q18222" s="226"/>
      <c r="R18222" s="226"/>
      <c r="S18222" s="226"/>
      <c r="T18222" s="226"/>
      <c r="U18222" s="226"/>
    </row>
    <row r="18223" spans="16:21" x14ac:dyDescent="0.35">
      <c r="P18223" s="226"/>
      <c r="Q18223" s="226"/>
      <c r="R18223" s="226"/>
      <c r="S18223" s="226"/>
      <c r="T18223" s="226"/>
      <c r="U18223" s="226"/>
    </row>
    <row r="18224" spans="16:21" x14ac:dyDescent="0.35">
      <c r="P18224" s="226"/>
      <c r="Q18224" s="226"/>
      <c r="R18224" s="226"/>
      <c r="S18224" s="226"/>
      <c r="T18224" s="226"/>
      <c r="U18224" s="226"/>
    </row>
    <row r="18225" spans="16:21" x14ac:dyDescent="0.35">
      <c r="P18225" s="226"/>
      <c r="Q18225" s="226"/>
      <c r="R18225" s="226"/>
      <c r="S18225" s="226"/>
      <c r="T18225" s="226"/>
      <c r="U18225" s="226"/>
    </row>
    <row r="18226" spans="16:21" x14ac:dyDescent="0.35">
      <c r="P18226" s="226"/>
      <c r="Q18226" s="226"/>
      <c r="R18226" s="226"/>
      <c r="S18226" s="226"/>
      <c r="T18226" s="226"/>
      <c r="U18226" s="226"/>
    </row>
    <row r="18227" spans="16:21" x14ac:dyDescent="0.35">
      <c r="P18227" s="226"/>
      <c r="Q18227" s="226"/>
      <c r="R18227" s="226"/>
      <c r="S18227" s="226"/>
      <c r="T18227" s="226"/>
      <c r="U18227" s="226"/>
    </row>
    <row r="18228" spans="16:21" x14ac:dyDescent="0.35">
      <c r="P18228" s="226"/>
      <c r="Q18228" s="226"/>
      <c r="R18228" s="226"/>
      <c r="S18228" s="226"/>
      <c r="T18228" s="226"/>
      <c r="U18228" s="226"/>
    </row>
    <row r="18229" spans="16:21" x14ac:dyDescent="0.35">
      <c r="P18229" s="226"/>
      <c r="Q18229" s="226"/>
      <c r="R18229" s="226"/>
      <c r="S18229" s="226"/>
      <c r="T18229" s="226"/>
      <c r="U18229" s="226"/>
    </row>
    <row r="18230" spans="16:21" x14ac:dyDescent="0.35">
      <c r="P18230" s="226"/>
      <c r="Q18230" s="226"/>
      <c r="R18230" s="226"/>
      <c r="S18230" s="226"/>
      <c r="T18230" s="226"/>
      <c r="U18230" s="226"/>
    </row>
    <row r="18231" spans="16:21" x14ac:dyDescent="0.35">
      <c r="P18231" s="226"/>
      <c r="Q18231" s="226"/>
      <c r="R18231" s="226"/>
      <c r="S18231" s="226"/>
      <c r="T18231" s="226"/>
      <c r="U18231" s="226"/>
    </row>
    <row r="18232" spans="16:21" x14ac:dyDescent="0.35">
      <c r="P18232" s="226"/>
      <c r="Q18232" s="226"/>
      <c r="R18232" s="226"/>
      <c r="S18232" s="226"/>
      <c r="T18232" s="226"/>
      <c r="U18232" s="226"/>
    </row>
    <row r="18233" spans="16:21" x14ac:dyDescent="0.35">
      <c r="P18233" s="226"/>
      <c r="Q18233" s="226"/>
      <c r="R18233" s="226"/>
      <c r="S18233" s="226"/>
      <c r="T18233" s="226"/>
      <c r="U18233" s="226"/>
    </row>
    <row r="18234" spans="16:21" x14ac:dyDescent="0.35">
      <c r="P18234" s="226"/>
      <c r="Q18234" s="226"/>
      <c r="R18234" s="226"/>
      <c r="S18234" s="226"/>
      <c r="T18234" s="226"/>
      <c r="U18234" s="226"/>
    </row>
    <row r="18235" spans="16:21" x14ac:dyDescent="0.35">
      <c r="P18235" s="226"/>
      <c r="Q18235" s="226"/>
      <c r="R18235" s="226"/>
      <c r="S18235" s="226"/>
      <c r="T18235" s="226"/>
      <c r="U18235" s="226"/>
    </row>
    <row r="18236" spans="16:21" x14ac:dyDescent="0.35">
      <c r="P18236" s="226"/>
      <c r="Q18236" s="226"/>
      <c r="R18236" s="226"/>
      <c r="S18236" s="226"/>
      <c r="T18236" s="226"/>
      <c r="U18236" s="226"/>
    </row>
    <row r="18237" spans="16:21" x14ac:dyDescent="0.35">
      <c r="P18237" s="226"/>
      <c r="Q18237" s="226"/>
      <c r="R18237" s="226"/>
      <c r="S18237" s="226"/>
      <c r="T18237" s="226"/>
      <c r="U18237" s="226"/>
    </row>
    <row r="18238" spans="16:21" x14ac:dyDescent="0.35">
      <c r="P18238" s="226"/>
      <c r="Q18238" s="226"/>
      <c r="R18238" s="226"/>
      <c r="S18238" s="226"/>
      <c r="T18238" s="226"/>
      <c r="U18238" s="226"/>
    </row>
    <row r="18239" spans="16:21" x14ac:dyDescent="0.35">
      <c r="P18239" s="226"/>
      <c r="Q18239" s="226"/>
      <c r="R18239" s="226"/>
      <c r="S18239" s="226"/>
      <c r="T18239" s="226"/>
      <c r="U18239" s="226"/>
    </row>
    <row r="18240" spans="16:21" x14ac:dyDescent="0.35">
      <c r="P18240" s="226"/>
      <c r="Q18240" s="226"/>
      <c r="R18240" s="226"/>
      <c r="S18240" s="226"/>
      <c r="T18240" s="226"/>
      <c r="U18240" s="226"/>
    </row>
    <row r="18241" spans="16:21" x14ac:dyDescent="0.35">
      <c r="P18241" s="226"/>
      <c r="Q18241" s="226"/>
      <c r="R18241" s="226"/>
      <c r="S18241" s="226"/>
      <c r="T18241" s="226"/>
      <c r="U18241" s="226"/>
    </row>
    <row r="18242" spans="16:21" x14ac:dyDescent="0.35">
      <c r="P18242" s="226"/>
      <c r="Q18242" s="226"/>
      <c r="R18242" s="226"/>
      <c r="S18242" s="226"/>
      <c r="T18242" s="226"/>
      <c r="U18242" s="226"/>
    </row>
    <row r="18243" spans="16:21" x14ac:dyDescent="0.35">
      <c r="P18243" s="226"/>
      <c r="Q18243" s="226"/>
      <c r="R18243" s="226"/>
      <c r="S18243" s="226"/>
      <c r="T18243" s="226"/>
      <c r="U18243" s="226"/>
    </row>
    <row r="18244" spans="16:21" x14ac:dyDescent="0.35">
      <c r="P18244" s="226"/>
      <c r="Q18244" s="226"/>
      <c r="R18244" s="226"/>
      <c r="S18244" s="226"/>
      <c r="T18244" s="226"/>
      <c r="U18244" s="226"/>
    </row>
    <row r="18245" spans="16:21" x14ac:dyDescent="0.35">
      <c r="P18245" s="226"/>
      <c r="Q18245" s="226"/>
      <c r="R18245" s="226"/>
      <c r="S18245" s="226"/>
      <c r="T18245" s="226"/>
      <c r="U18245" s="226"/>
    </row>
    <row r="18246" spans="16:21" x14ac:dyDescent="0.35">
      <c r="P18246" s="226"/>
      <c r="Q18246" s="226"/>
      <c r="R18246" s="226"/>
      <c r="S18246" s="226"/>
      <c r="T18246" s="226"/>
      <c r="U18246" s="226"/>
    </row>
    <row r="18247" spans="16:21" x14ac:dyDescent="0.35">
      <c r="P18247" s="226"/>
      <c r="Q18247" s="226"/>
      <c r="R18247" s="226"/>
      <c r="S18247" s="226"/>
      <c r="T18247" s="226"/>
      <c r="U18247" s="226"/>
    </row>
    <row r="18248" spans="16:21" x14ac:dyDescent="0.35">
      <c r="P18248" s="226"/>
      <c r="Q18248" s="226"/>
      <c r="R18248" s="226"/>
      <c r="S18248" s="226"/>
      <c r="T18248" s="226"/>
      <c r="U18248" s="226"/>
    </row>
    <row r="18249" spans="16:21" x14ac:dyDescent="0.35">
      <c r="P18249" s="226"/>
      <c r="Q18249" s="226"/>
      <c r="R18249" s="226"/>
      <c r="S18249" s="226"/>
      <c r="T18249" s="226"/>
      <c r="U18249" s="226"/>
    </row>
    <row r="18250" spans="16:21" x14ac:dyDescent="0.35">
      <c r="P18250" s="226"/>
      <c r="Q18250" s="226"/>
      <c r="R18250" s="226"/>
      <c r="S18250" s="226"/>
      <c r="T18250" s="226"/>
      <c r="U18250" s="226"/>
    </row>
    <row r="18251" spans="16:21" x14ac:dyDescent="0.35">
      <c r="P18251" s="226"/>
      <c r="Q18251" s="226"/>
      <c r="R18251" s="226"/>
      <c r="S18251" s="226"/>
      <c r="T18251" s="226"/>
      <c r="U18251" s="226"/>
    </row>
    <row r="18252" spans="16:21" x14ac:dyDescent="0.35">
      <c r="P18252" s="226"/>
      <c r="Q18252" s="226"/>
      <c r="R18252" s="226"/>
      <c r="S18252" s="226"/>
      <c r="T18252" s="226"/>
      <c r="U18252" s="226"/>
    </row>
    <row r="18253" spans="16:21" x14ac:dyDescent="0.35">
      <c r="P18253" s="226"/>
      <c r="Q18253" s="226"/>
      <c r="R18253" s="226"/>
      <c r="S18253" s="226"/>
      <c r="T18253" s="226"/>
      <c r="U18253" s="226"/>
    </row>
    <row r="18254" spans="16:21" x14ac:dyDescent="0.35">
      <c r="P18254" s="226"/>
      <c r="Q18254" s="226"/>
      <c r="R18254" s="226"/>
      <c r="S18254" s="226"/>
      <c r="T18254" s="226"/>
      <c r="U18254" s="226"/>
    </row>
    <row r="18255" spans="16:21" x14ac:dyDescent="0.35">
      <c r="P18255" s="226"/>
      <c r="Q18255" s="226"/>
      <c r="R18255" s="226"/>
      <c r="S18255" s="226"/>
      <c r="T18255" s="226"/>
      <c r="U18255" s="226"/>
    </row>
    <row r="18256" spans="16:21" x14ac:dyDescent="0.35">
      <c r="P18256" s="226"/>
      <c r="Q18256" s="226"/>
      <c r="R18256" s="226"/>
      <c r="S18256" s="226"/>
      <c r="T18256" s="226"/>
      <c r="U18256" s="226"/>
    </row>
    <row r="18257" spans="16:21" x14ac:dyDescent="0.35">
      <c r="P18257" s="226"/>
      <c r="Q18257" s="226"/>
      <c r="R18257" s="226"/>
      <c r="S18257" s="226"/>
      <c r="T18257" s="226"/>
      <c r="U18257" s="226"/>
    </row>
    <row r="18258" spans="16:21" x14ac:dyDescent="0.35">
      <c r="P18258" s="226"/>
      <c r="Q18258" s="226"/>
      <c r="R18258" s="226"/>
      <c r="S18258" s="226"/>
      <c r="T18258" s="226"/>
      <c r="U18258" s="226"/>
    </row>
    <row r="18259" spans="16:21" x14ac:dyDescent="0.35">
      <c r="P18259" s="226"/>
      <c r="Q18259" s="226"/>
      <c r="R18259" s="226"/>
      <c r="S18259" s="226"/>
      <c r="T18259" s="226"/>
      <c r="U18259" s="226"/>
    </row>
    <row r="18260" spans="16:21" x14ac:dyDescent="0.35">
      <c r="P18260" s="226"/>
      <c r="Q18260" s="226"/>
      <c r="R18260" s="226"/>
      <c r="S18260" s="226"/>
      <c r="T18260" s="226"/>
      <c r="U18260" s="226"/>
    </row>
    <row r="18261" spans="16:21" x14ac:dyDescent="0.35">
      <c r="P18261" s="226"/>
      <c r="Q18261" s="226"/>
      <c r="R18261" s="226"/>
      <c r="S18261" s="226"/>
      <c r="T18261" s="226"/>
      <c r="U18261" s="226"/>
    </row>
    <row r="18262" spans="16:21" x14ac:dyDescent="0.35">
      <c r="P18262" s="226"/>
      <c r="Q18262" s="226"/>
      <c r="R18262" s="226"/>
      <c r="S18262" s="226"/>
      <c r="T18262" s="226"/>
      <c r="U18262" s="226"/>
    </row>
    <row r="18263" spans="16:21" x14ac:dyDescent="0.35">
      <c r="P18263" s="226"/>
      <c r="Q18263" s="226"/>
      <c r="R18263" s="226"/>
      <c r="S18263" s="226"/>
      <c r="T18263" s="226"/>
      <c r="U18263" s="226"/>
    </row>
    <row r="18264" spans="16:21" x14ac:dyDescent="0.35">
      <c r="P18264" s="226"/>
      <c r="Q18264" s="226"/>
      <c r="R18264" s="226"/>
      <c r="S18264" s="226"/>
      <c r="T18264" s="226"/>
      <c r="U18264" s="226"/>
    </row>
    <row r="18265" spans="16:21" x14ac:dyDescent="0.35">
      <c r="P18265" s="226"/>
      <c r="Q18265" s="226"/>
      <c r="R18265" s="226"/>
      <c r="S18265" s="226"/>
      <c r="T18265" s="226"/>
      <c r="U18265" s="226"/>
    </row>
    <row r="18266" spans="16:21" x14ac:dyDescent="0.35">
      <c r="P18266" s="226"/>
      <c r="Q18266" s="226"/>
      <c r="R18266" s="226"/>
      <c r="S18266" s="226"/>
      <c r="T18266" s="226"/>
      <c r="U18266" s="226"/>
    </row>
    <row r="18267" spans="16:21" x14ac:dyDescent="0.35">
      <c r="P18267" s="226"/>
      <c r="Q18267" s="226"/>
      <c r="R18267" s="226"/>
      <c r="S18267" s="226"/>
      <c r="T18267" s="226"/>
      <c r="U18267" s="226"/>
    </row>
    <row r="18268" spans="16:21" x14ac:dyDescent="0.35">
      <c r="P18268" s="226"/>
      <c r="Q18268" s="226"/>
      <c r="R18268" s="226"/>
      <c r="S18268" s="226"/>
      <c r="T18268" s="226"/>
      <c r="U18268" s="226"/>
    </row>
    <row r="18269" spans="16:21" x14ac:dyDescent="0.35">
      <c r="P18269" s="226"/>
      <c r="Q18269" s="226"/>
      <c r="R18269" s="226"/>
      <c r="S18269" s="226"/>
      <c r="T18269" s="226"/>
      <c r="U18269" s="226"/>
    </row>
    <row r="18270" spans="16:21" x14ac:dyDescent="0.35">
      <c r="P18270" s="226"/>
      <c r="Q18270" s="226"/>
      <c r="R18270" s="226"/>
      <c r="S18270" s="226"/>
      <c r="T18270" s="226"/>
      <c r="U18270" s="226"/>
    </row>
    <row r="18271" spans="16:21" x14ac:dyDescent="0.35">
      <c r="P18271" s="226"/>
      <c r="Q18271" s="226"/>
      <c r="R18271" s="226"/>
      <c r="S18271" s="226"/>
      <c r="T18271" s="226"/>
      <c r="U18271" s="226"/>
    </row>
    <row r="18272" spans="16:21" x14ac:dyDescent="0.35">
      <c r="P18272" s="226"/>
      <c r="Q18272" s="226"/>
      <c r="R18272" s="226"/>
      <c r="S18272" s="226"/>
      <c r="T18272" s="226"/>
      <c r="U18272" s="226"/>
    </row>
    <row r="18273" spans="16:21" x14ac:dyDescent="0.35">
      <c r="P18273" s="226"/>
      <c r="Q18273" s="226"/>
      <c r="R18273" s="226"/>
      <c r="S18273" s="226"/>
      <c r="T18273" s="226"/>
      <c r="U18273" s="226"/>
    </row>
    <row r="18274" spans="16:21" x14ac:dyDescent="0.35">
      <c r="P18274" s="226"/>
      <c r="Q18274" s="226"/>
      <c r="R18274" s="226"/>
      <c r="S18274" s="226"/>
      <c r="T18274" s="226"/>
      <c r="U18274" s="226"/>
    </row>
    <row r="18275" spans="16:21" x14ac:dyDescent="0.35">
      <c r="P18275" s="226"/>
      <c r="Q18275" s="226"/>
      <c r="R18275" s="226"/>
      <c r="S18275" s="226"/>
      <c r="T18275" s="226"/>
      <c r="U18275" s="226"/>
    </row>
    <row r="18276" spans="16:21" x14ac:dyDescent="0.35">
      <c r="P18276" s="226"/>
      <c r="Q18276" s="226"/>
      <c r="R18276" s="226"/>
      <c r="S18276" s="226"/>
      <c r="T18276" s="226"/>
      <c r="U18276" s="226"/>
    </row>
    <row r="18277" spans="16:21" x14ac:dyDescent="0.35">
      <c r="P18277" s="226"/>
      <c r="Q18277" s="226"/>
      <c r="R18277" s="226"/>
      <c r="S18277" s="226"/>
      <c r="T18277" s="226"/>
      <c r="U18277" s="226"/>
    </row>
    <row r="18278" spans="16:21" x14ac:dyDescent="0.35">
      <c r="P18278" s="226"/>
      <c r="Q18278" s="226"/>
      <c r="R18278" s="226"/>
      <c r="S18278" s="226"/>
      <c r="T18278" s="226"/>
      <c r="U18278" s="226"/>
    </row>
    <row r="18279" spans="16:21" x14ac:dyDescent="0.35">
      <c r="P18279" s="226"/>
      <c r="Q18279" s="226"/>
      <c r="R18279" s="226"/>
      <c r="S18279" s="226"/>
      <c r="T18279" s="226"/>
      <c r="U18279" s="226"/>
    </row>
    <row r="18280" spans="16:21" x14ac:dyDescent="0.35">
      <c r="P18280" s="226"/>
      <c r="Q18280" s="226"/>
      <c r="R18280" s="226"/>
      <c r="S18280" s="226"/>
      <c r="T18280" s="226"/>
      <c r="U18280" s="226"/>
    </row>
    <row r="18281" spans="16:21" x14ac:dyDescent="0.35">
      <c r="P18281" s="226"/>
      <c r="Q18281" s="226"/>
      <c r="R18281" s="226"/>
      <c r="S18281" s="226"/>
      <c r="T18281" s="226"/>
      <c r="U18281" s="226"/>
    </row>
    <row r="18282" spans="16:21" x14ac:dyDescent="0.35">
      <c r="P18282" s="226"/>
      <c r="Q18282" s="226"/>
      <c r="R18282" s="226"/>
      <c r="S18282" s="226"/>
      <c r="T18282" s="226"/>
      <c r="U18282" s="226"/>
    </row>
    <row r="18283" spans="16:21" x14ac:dyDescent="0.35">
      <c r="P18283" s="226"/>
      <c r="Q18283" s="226"/>
      <c r="R18283" s="226"/>
      <c r="S18283" s="226"/>
      <c r="T18283" s="226"/>
      <c r="U18283" s="226"/>
    </row>
    <row r="18284" spans="16:21" x14ac:dyDescent="0.35">
      <c r="P18284" s="226"/>
      <c r="Q18284" s="226"/>
      <c r="R18284" s="226"/>
      <c r="S18284" s="226"/>
      <c r="T18284" s="226"/>
      <c r="U18284" s="226"/>
    </row>
    <row r="18285" spans="16:21" x14ac:dyDescent="0.35">
      <c r="P18285" s="226"/>
      <c r="Q18285" s="226"/>
      <c r="R18285" s="226"/>
      <c r="S18285" s="226"/>
      <c r="T18285" s="226"/>
      <c r="U18285" s="226"/>
    </row>
    <row r="18286" spans="16:21" x14ac:dyDescent="0.35">
      <c r="P18286" s="226"/>
      <c r="Q18286" s="226"/>
      <c r="R18286" s="226"/>
      <c r="S18286" s="226"/>
      <c r="T18286" s="226"/>
      <c r="U18286" s="226"/>
    </row>
    <row r="18287" spans="16:21" x14ac:dyDescent="0.35">
      <c r="P18287" s="226"/>
      <c r="Q18287" s="226"/>
      <c r="R18287" s="226"/>
      <c r="S18287" s="226"/>
      <c r="T18287" s="226"/>
      <c r="U18287" s="226"/>
    </row>
    <row r="18288" spans="16:21" x14ac:dyDescent="0.35">
      <c r="P18288" s="226"/>
      <c r="Q18288" s="226"/>
      <c r="R18288" s="226"/>
      <c r="S18288" s="226"/>
      <c r="T18288" s="226"/>
      <c r="U18288" s="226"/>
    </row>
    <row r="18289" spans="16:21" x14ac:dyDescent="0.35">
      <c r="P18289" s="226"/>
      <c r="Q18289" s="226"/>
      <c r="R18289" s="226"/>
      <c r="S18289" s="226"/>
      <c r="T18289" s="226"/>
      <c r="U18289" s="226"/>
    </row>
    <row r="18290" spans="16:21" x14ac:dyDescent="0.35">
      <c r="P18290" s="226"/>
      <c r="Q18290" s="226"/>
      <c r="R18290" s="226"/>
      <c r="S18290" s="226"/>
      <c r="T18290" s="226"/>
      <c r="U18290" s="226"/>
    </row>
    <row r="18291" spans="16:21" x14ac:dyDescent="0.35">
      <c r="P18291" s="226"/>
      <c r="Q18291" s="226"/>
      <c r="R18291" s="226"/>
      <c r="S18291" s="226"/>
      <c r="T18291" s="226"/>
      <c r="U18291" s="226"/>
    </row>
    <row r="18292" spans="16:21" x14ac:dyDescent="0.35">
      <c r="P18292" s="226"/>
      <c r="Q18292" s="226"/>
      <c r="R18292" s="226"/>
      <c r="S18292" s="226"/>
      <c r="T18292" s="226"/>
      <c r="U18292" s="226"/>
    </row>
    <row r="18293" spans="16:21" x14ac:dyDescent="0.35">
      <c r="P18293" s="226"/>
      <c r="Q18293" s="226"/>
      <c r="R18293" s="226"/>
      <c r="S18293" s="226"/>
      <c r="T18293" s="226"/>
      <c r="U18293" s="226"/>
    </row>
    <row r="18294" spans="16:21" x14ac:dyDescent="0.35">
      <c r="P18294" s="226"/>
      <c r="Q18294" s="226"/>
      <c r="R18294" s="226"/>
      <c r="S18294" s="226"/>
      <c r="T18294" s="226"/>
      <c r="U18294" s="226"/>
    </row>
    <row r="18295" spans="16:21" x14ac:dyDescent="0.35">
      <c r="P18295" s="226"/>
      <c r="Q18295" s="226"/>
      <c r="R18295" s="226"/>
      <c r="S18295" s="226"/>
      <c r="T18295" s="226"/>
      <c r="U18295" s="226"/>
    </row>
    <row r="18296" spans="16:21" x14ac:dyDescent="0.35">
      <c r="P18296" s="226"/>
      <c r="Q18296" s="226"/>
      <c r="R18296" s="226"/>
      <c r="S18296" s="226"/>
      <c r="T18296" s="226"/>
      <c r="U18296" s="226"/>
    </row>
    <row r="18297" spans="16:21" x14ac:dyDescent="0.35">
      <c r="P18297" s="226"/>
      <c r="Q18297" s="226"/>
      <c r="R18297" s="226"/>
      <c r="S18297" s="226"/>
      <c r="T18297" s="226"/>
      <c r="U18297" s="226"/>
    </row>
    <row r="18298" spans="16:21" x14ac:dyDescent="0.35">
      <c r="P18298" s="226"/>
      <c r="Q18298" s="226"/>
      <c r="R18298" s="226"/>
      <c r="S18298" s="226"/>
      <c r="T18298" s="226"/>
      <c r="U18298" s="226"/>
    </row>
    <row r="18299" spans="16:21" x14ac:dyDescent="0.35">
      <c r="P18299" s="226"/>
      <c r="Q18299" s="226"/>
      <c r="R18299" s="226"/>
      <c r="S18299" s="226"/>
      <c r="T18299" s="226"/>
      <c r="U18299" s="226"/>
    </row>
    <row r="18300" spans="16:21" x14ac:dyDescent="0.35">
      <c r="P18300" s="226"/>
      <c r="Q18300" s="226"/>
      <c r="R18300" s="226"/>
      <c r="S18300" s="226"/>
      <c r="T18300" s="226"/>
      <c r="U18300" s="226"/>
    </row>
    <row r="18301" spans="16:21" x14ac:dyDescent="0.35">
      <c r="P18301" s="226"/>
      <c r="Q18301" s="226"/>
      <c r="R18301" s="226"/>
      <c r="S18301" s="226"/>
      <c r="T18301" s="226"/>
      <c r="U18301" s="226"/>
    </row>
    <row r="18302" spans="16:21" x14ac:dyDescent="0.35">
      <c r="P18302" s="226"/>
      <c r="Q18302" s="226"/>
      <c r="R18302" s="226"/>
      <c r="S18302" s="226"/>
      <c r="T18302" s="226"/>
      <c r="U18302" s="226"/>
    </row>
    <row r="18303" spans="16:21" x14ac:dyDescent="0.35">
      <c r="P18303" s="226"/>
      <c r="Q18303" s="226"/>
      <c r="R18303" s="226"/>
      <c r="S18303" s="226"/>
      <c r="T18303" s="226"/>
      <c r="U18303" s="226"/>
    </row>
    <row r="18304" spans="16:21" x14ac:dyDescent="0.35">
      <c r="P18304" s="226"/>
      <c r="Q18304" s="226"/>
      <c r="R18304" s="226"/>
      <c r="S18304" s="226"/>
      <c r="T18304" s="226"/>
      <c r="U18304" s="226"/>
    </row>
    <row r="18305" spans="16:21" x14ac:dyDescent="0.35">
      <c r="P18305" s="226"/>
      <c r="Q18305" s="226"/>
      <c r="R18305" s="226"/>
      <c r="S18305" s="226"/>
      <c r="T18305" s="226"/>
      <c r="U18305" s="226"/>
    </row>
    <row r="18306" spans="16:21" x14ac:dyDescent="0.35">
      <c r="P18306" s="226"/>
      <c r="Q18306" s="226"/>
      <c r="R18306" s="226"/>
      <c r="S18306" s="226"/>
      <c r="T18306" s="226"/>
      <c r="U18306" s="226"/>
    </row>
    <row r="18307" spans="16:21" x14ac:dyDescent="0.35">
      <c r="P18307" s="226"/>
      <c r="Q18307" s="226"/>
      <c r="R18307" s="226"/>
      <c r="S18307" s="226"/>
      <c r="T18307" s="226"/>
      <c r="U18307" s="226"/>
    </row>
    <row r="18308" spans="16:21" x14ac:dyDescent="0.35">
      <c r="P18308" s="226"/>
      <c r="Q18308" s="226"/>
      <c r="R18308" s="226"/>
      <c r="S18308" s="226"/>
      <c r="T18308" s="226"/>
      <c r="U18308" s="226"/>
    </row>
    <row r="18309" spans="16:21" x14ac:dyDescent="0.35">
      <c r="P18309" s="226"/>
      <c r="Q18309" s="226"/>
      <c r="R18309" s="226"/>
      <c r="S18309" s="226"/>
      <c r="T18309" s="226"/>
      <c r="U18309" s="226"/>
    </row>
    <row r="18310" spans="16:21" x14ac:dyDescent="0.35">
      <c r="P18310" s="226"/>
      <c r="Q18310" s="226"/>
      <c r="R18310" s="226"/>
      <c r="S18310" s="226"/>
      <c r="T18310" s="226"/>
      <c r="U18310" s="226"/>
    </row>
    <row r="18311" spans="16:21" x14ac:dyDescent="0.35">
      <c r="P18311" s="226"/>
      <c r="Q18311" s="226"/>
      <c r="R18311" s="226"/>
      <c r="S18311" s="226"/>
      <c r="T18311" s="226"/>
      <c r="U18311" s="226"/>
    </row>
    <row r="18312" spans="16:21" x14ac:dyDescent="0.35">
      <c r="P18312" s="226"/>
      <c r="Q18312" s="226"/>
      <c r="R18312" s="226"/>
      <c r="S18312" s="226"/>
      <c r="T18312" s="226"/>
      <c r="U18312" s="226"/>
    </row>
    <row r="18313" spans="16:21" x14ac:dyDescent="0.35">
      <c r="P18313" s="226"/>
      <c r="Q18313" s="226"/>
      <c r="R18313" s="226"/>
      <c r="S18313" s="226"/>
      <c r="T18313" s="226"/>
      <c r="U18313" s="226"/>
    </row>
    <row r="18314" spans="16:21" x14ac:dyDescent="0.35">
      <c r="P18314" s="226"/>
      <c r="Q18314" s="226"/>
      <c r="R18314" s="226"/>
      <c r="S18314" s="226"/>
      <c r="T18314" s="226"/>
      <c r="U18314" s="226"/>
    </row>
    <row r="18315" spans="16:21" x14ac:dyDescent="0.35">
      <c r="P18315" s="226"/>
      <c r="Q18315" s="226"/>
      <c r="R18315" s="226"/>
      <c r="S18315" s="226"/>
      <c r="T18315" s="226"/>
      <c r="U18315" s="226"/>
    </row>
    <row r="18316" spans="16:21" x14ac:dyDescent="0.35">
      <c r="P18316" s="226"/>
      <c r="Q18316" s="226"/>
      <c r="R18316" s="226"/>
      <c r="S18316" s="226"/>
      <c r="T18316" s="226"/>
      <c r="U18316" s="226"/>
    </row>
    <row r="18317" spans="16:21" x14ac:dyDescent="0.35">
      <c r="P18317" s="226"/>
      <c r="Q18317" s="226"/>
      <c r="R18317" s="226"/>
      <c r="S18317" s="226"/>
      <c r="T18317" s="226"/>
      <c r="U18317" s="226"/>
    </row>
    <row r="18318" spans="16:21" x14ac:dyDescent="0.35">
      <c r="P18318" s="226"/>
      <c r="Q18318" s="226"/>
      <c r="R18318" s="226"/>
      <c r="S18318" s="226"/>
      <c r="T18318" s="226"/>
      <c r="U18318" s="226"/>
    </row>
    <row r="18319" spans="16:21" x14ac:dyDescent="0.35">
      <c r="P18319" s="226"/>
      <c r="Q18319" s="226"/>
      <c r="R18319" s="226"/>
      <c r="S18319" s="226"/>
      <c r="T18319" s="226"/>
      <c r="U18319" s="226"/>
    </row>
    <row r="18320" spans="16:21" x14ac:dyDescent="0.35">
      <c r="P18320" s="226"/>
      <c r="Q18320" s="226"/>
      <c r="R18320" s="226"/>
      <c r="S18320" s="226"/>
      <c r="T18320" s="226"/>
      <c r="U18320" s="226"/>
    </row>
    <row r="18321" spans="16:21" x14ac:dyDescent="0.35">
      <c r="P18321" s="226"/>
      <c r="Q18321" s="226"/>
      <c r="R18321" s="226"/>
      <c r="S18321" s="226"/>
      <c r="T18321" s="226"/>
      <c r="U18321" s="226"/>
    </row>
    <row r="18322" spans="16:21" x14ac:dyDescent="0.35">
      <c r="P18322" s="226"/>
      <c r="Q18322" s="226"/>
      <c r="R18322" s="226"/>
      <c r="S18322" s="226"/>
      <c r="T18322" s="226"/>
      <c r="U18322" s="226"/>
    </row>
    <row r="18323" spans="16:21" x14ac:dyDescent="0.35">
      <c r="P18323" s="226"/>
      <c r="Q18323" s="226"/>
      <c r="R18323" s="226"/>
      <c r="S18323" s="226"/>
      <c r="T18323" s="226"/>
      <c r="U18323" s="226"/>
    </row>
    <row r="18324" spans="16:21" x14ac:dyDescent="0.35">
      <c r="P18324" s="226"/>
      <c r="Q18324" s="226"/>
      <c r="R18324" s="226"/>
      <c r="S18324" s="226"/>
      <c r="T18324" s="226"/>
      <c r="U18324" s="226"/>
    </row>
    <row r="18325" spans="16:21" x14ac:dyDescent="0.35">
      <c r="P18325" s="226"/>
      <c r="Q18325" s="226"/>
      <c r="R18325" s="226"/>
      <c r="S18325" s="226"/>
      <c r="T18325" s="226"/>
      <c r="U18325" s="226"/>
    </row>
    <row r="18326" spans="16:21" x14ac:dyDescent="0.35">
      <c r="P18326" s="226"/>
      <c r="Q18326" s="226"/>
      <c r="R18326" s="226"/>
      <c r="S18326" s="226"/>
      <c r="T18326" s="226"/>
      <c r="U18326" s="226"/>
    </row>
    <row r="18327" spans="16:21" x14ac:dyDescent="0.35">
      <c r="P18327" s="226"/>
      <c r="Q18327" s="226"/>
      <c r="R18327" s="226"/>
      <c r="S18327" s="226"/>
      <c r="T18327" s="226"/>
      <c r="U18327" s="226"/>
    </row>
    <row r="18328" spans="16:21" x14ac:dyDescent="0.35">
      <c r="P18328" s="226"/>
      <c r="Q18328" s="226"/>
      <c r="R18328" s="226"/>
      <c r="S18328" s="226"/>
      <c r="T18328" s="226"/>
      <c r="U18328" s="226"/>
    </row>
    <row r="18329" spans="16:21" x14ac:dyDescent="0.35">
      <c r="P18329" s="226"/>
      <c r="Q18329" s="226"/>
      <c r="R18329" s="226"/>
      <c r="S18329" s="226"/>
      <c r="T18329" s="226"/>
      <c r="U18329" s="226"/>
    </row>
    <row r="18330" spans="16:21" x14ac:dyDescent="0.35">
      <c r="P18330" s="226"/>
      <c r="Q18330" s="226"/>
      <c r="R18330" s="226"/>
      <c r="S18330" s="226"/>
      <c r="T18330" s="226"/>
      <c r="U18330" s="226"/>
    </row>
    <row r="18331" spans="16:21" x14ac:dyDescent="0.35">
      <c r="P18331" s="226"/>
      <c r="Q18331" s="226"/>
      <c r="R18331" s="226"/>
      <c r="S18331" s="226"/>
      <c r="T18331" s="226"/>
      <c r="U18331" s="226"/>
    </row>
    <row r="18332" spans="16:21" x14ac:dyDescent="0.35">
      <c r="P18332" s="226"/>
      <c r="Q18332" s="226"/>
      <c r="R18332" s="226"/>
      <c r="S18332" s="226"/>
      <c r="T18332" s="226"/>
      <c r="U18332" s="226"/>
    </row>
    <row r="18333" spans="16:21" x14ac:dyDescent="0.35">
      <c r="P18333" s="226"/>
      <c r="Q18333" s="226"/>
      <c r="R18333" s="226"/>
      <c r="S18333" s="226"/>
      <c r="T18333" s="226"/>
      <c r="U18333" s="226"/>
    </row>
    <row r="18334" spans="16:21" x14ac:dyDescent="0.35">
      <c r="P18334" s="226"/>
      <c r="Q18334" s="226"/>
      <c r="R18334" s="226"/>
      <c r="S18334" s="226"/>
      <c r="T18334" s="226"/>
      <c r="U18334" s="226"/>
    </row>
    <row r="18335" spans="16:21" x14ac:dyDescent="0.35">
      <c r="P18335" s="226"/>
      <c r="Q18335" s="226"/>
      <c r="R18335" s="226"/>
      <c r="S18335" s="226"/>
      <c r="T18335" s="226"/>
      <c r="U18335" s="226"/>
    </row>
    <row r="18336" spans="16:21" x14ac:dyDescent="0.35">
      <c r="P18336" s="226"/>
      <c r="Q18336" s="226"/>
      <c r="R18336" s="226"/>
      <c r="S18336" s="226"/>
      <c r="T18336" s="226"/>
      <c r="U18336" s="226"/>
    </row>
    <row r="18337" spans="16:21" x14ac:dyDescent="0.35">
      <c r="P18337" s="226"/>
      <c r="Q18337" s="226"/>
      <c r="R18337" s="226"/>
      <c r="S18337" s="226"/>
      <c r="T18337" s="226"/>
      <c r="U18337" s="226"/>
    </row>
    <row r="18338" spans="16:21" x14ac:dyDescent="0.35">
      <c r="P18338" s="226"/>
      <c r="Q18338" s="226"/>
      <c r="R18338" s="226"/>
      <c r="S18338" s="226"/>
      <c r="T18338" s="226"/>
      <c r="U18338" s="226"/>
    </row>
    <row r="18339" spans="16:21" x14ac:dyDescent="0.35">
      <c r="P18339" s="226"/>
      <c r="Q18339" s="226"/>
      <c r="R18339" s="226"/>
      <c r="S18339" s="226"/>
      <c r="T18339" s="226"/>
      <c r="U18339" s="226"/>
    </row>
    <row r="18340" spans="16:21" x14ac:dyDescent="0.35">
      <c r="P18340" s="226"/>
      <c r="Q18340" s="226"/>
      <c r="R18340" s="226"/>
      <c r="S18340" s="226"/>
      <c r="T18340" s="226"/>
      <c r="U18340" s="226"/>
    </row>
    <row r="18341" spans="16:21" x14ac:dyDescent="0.35">
      <c r="P18341" s="226"/>
      <c r="Q18341" s="226"/>
      <c r="R18341" s="226"/>
      <c r="S18341" s="226"/>
      <c r="T18341" s="226"/>
      <c r="U18341" s="226"/>
    </row>
    <row r="18342" spans="16:21" x14ac:dyDescent="0.35">
      <c r="P18342" s="226"/>
      <c r="Q18342" s="226"/>
      <c r="R18342" s="226"/>
      <c r="S18342" s="226"/>
      <c r="T18342" s="226"/>
      <c r="U18342" s="226"/>
    </row>
    <row r="18343" spans="16:21" x14ac:dyDescent="0.35">
      <c r="P18343" s="226"/>
      <c r="Q18343" s="226"/>
      <c r="R18343" s="226"/>
      <c r="S18343" s="226"/>
      <c r="T18343" s="226"/>
      <c r="U18343" s="226"/>
    </row>
    <row r="18344" spans="16:21" x14ac:dyDescent="0.35">
      <c r="P18344" s="226"/>
      <c r="Q18344" s="226"/>
      <c r="R18344" s="226"/>
      <c r="S18344" s="226"/>
      <c r="T18344" s="226"/>
      <c r="U18344" s="226"/>
    </row>
    <row r="18345" spans="16:21" x14ac:dyDescent="0.35">
      <c r="P18345" s="226"/>
      <c r="Q18345" s="226"/>
      <c r="R18345" s="226"/>
      <c r="S18345" s="226"/>
      <c r="T18345" s="226"/>
      <c r="U18345" s="226"/>
    </row>
    <row r="18346" spans="16:21" x14ac:dyDescent="0.35">
      <c r="P18346" s="226"/>
      <c r="Q18346" s="226"/>
      <c r="R18346" s="226"/>
      <c r="S18346" s="226"/>
      <c r="T18346" s="226"/>
      <c r="U18346" s="226"/>
    </row>
    <row r="18347" spans="16:21" x14ac:dyDescent="0.35">
      <c r="P18347" s="226"/>
      <c r="Q18347" s="226"/>
      <c r="R18347" s="226"/>
      <c r="S18347" s="226"/>
      <c r="T18347" s="226"/>
      <c r="U18347" s="226"/>
    </row>
    <row r="18348" spans="16:21" x14ac:dyDescent="0.35">
      <c r="P18348" s="226"/>
      <c r="Q18348" s="226"/>
      <c r="R18348" s="226"/>
      <c r="S18348" s="226"/>
      <c r="T18348" s="226"/>
      <c r="U18348" s="226"/>
    </row>
    <row r="18349" spans="16:21" x14ac:dyDescent="0.35">
      <c r="P18349" s="226"/>
      <c r="Q18349" s="226"/>
      <c r="R18349" s="226"/>
      <c r="S18349" s="226"/>
      <c r="T18349" s="226"/>
      <c r="U18349" s="226"/>
    </row>
    <row r="18350" spans="16:21" x14ac:dyDescent="0.35">
      <c r="P18350" s="226"/>
      <c r="Q18350" s="226"/>
      <c r="R18350" s="226"/>
      <c r="S18350" s="226"/>
      <c r="T18350" s="226"/>
      <c r="U18350" s="226"/>
    </row>
    <row r="18351" spans="16:21" x14ac:dyDescent="0.35">
      <c r="P18351" s="226"/>
      <c r="Q18351" s="226"/>
      <c r="R18351" s="226"/>
      <c r="S18351" s="226"/>
      <c r="T18351" s="226"/>
      <c r="U18351" s="226"/>
    </row>
    <row r="18352" spans="16:21" x14ac:dyDescent="0.35">
      <c r="P18352" s="226"/>
      <c r="Q18352" s="226"/>
      <c r="R18352" s="226"/>
      <c r="S18352" s="226"/>
      <c r="T18352" s="226"/>
      <c r="U18352" s="226"/>
    </row>
    <row r="18353" spans="16:21" x14ac:dyDescent="0.35">
      <c r="P18353" s="226"/>
      <c r="Q18353" s="226"/>
      <c r="R18353" s="226"/>
      <c r="S18353" s="226"/>
      <c r="T18353" s="226"/>
      <c r="U18353" s="226"/>
    </row>
    <row r="18354" spans="16:21" x14ac:dyDescent="0.35">
      <c r="P18354" s="226"/>
      <c r="Q18354" s="226"/>
      <c r="R18354" s="226"/>
      <c r="S18354" s="226"/>
      <c r="T18354" s="226"/>
      <c r="U18354" s="226"/>
    </row>
    <row r="18355" spans="16:21" x14ac:dyDescent="0.35">
      <c r="P18355" s="226"/>
      <c r="Q18355" s="226"/>
      <c r="R18355" s="226"/>
      <c r="S18355" s="226"/>
      <c r="T18355" s="226"/>
      <c r="U18355" s="226"/>
    </row>
    <row r="18356" spans="16:21" x14ac:dyDescent="0.35">
      <c r="P18356" s="226"/>
      <c r="Q18356" s="226"/>
      <c r="R18356" s="226"/>
      <c r="S18356" s="226"/>
      <c r="T18356" s="226"/>
      <c r="U18356" s="226"/>
    </row>
    <row r="18357" spans="16:21" x14ac:dyDescent="0.35">
      <c r="P18357" s="226"/>
      <c r="Q18357" s="226"/>
      <c r="R18357" s="226"/>
      <c r="S18357" s="226"/>
      <c r="T18357" s="226"/>
      <c r="U18357" s="226"/>
    </row>
    <row r="18358" spans="16:21" x14ac:dyDescent="0.35">
      <c r="P18358" s="226"/>
      <c r="Q18358" s="226"/>
      <c r="R18358" s="226"/>
      <c r="S18358" s="226"/>
      <c r="T18358" s="226"/>
      <c r="U18358" s="226"/>
    </row>
    <row r="18359" spans="16:21" x14ac:dyDescent="0.35">
      <c r="P18359" s="226"/>
      <c r="Q18359" s="226"/>
      <c r="R18359" s="226"/>
      <c r="S18359" s="226"/>
      <c r="T18359" s="226"/>
      <c r="U18359" s="226"/>
    </row>
    <row r="18360" spans="16:21" x14ac:dyDescent="0.35">
      <c r="P18360" s="226"/>
      <c r="Q18360" s="226"/>
      <c r="R18360" s="226"/>
      <c r="S18360" s="226"/>
      <c r="T18360" s="226"/>
      <c r="U18360" s="226"/>
    </row>
    <row r="18361" spans="16:21" x14ac:dyDescent="0.35">
      <c r="P18361" s="226"/>
      <c r="Q18361" s="226"/>
      <c r="R18361" s="226"/>
      <c r="S18361" s="226"/>
      <c r="T18361" s="226"/>
      <c r="U18361" s="226"/>
    </row>
    <row r="18362" spans="16:21" x14ac:dyDescent="0.35">
      <c r="P18362" s="226"/>
      <c r="Q18362" s="226"/>
      <c r="R18362" s="226"/>
      <c r="S18362" s="226"/>
      <c r="T18362" s="226"/>
      <c r="U18362" s="226"/>
    </row>
    <row r="18363" spans="16:21" x14ac:dyDescent="0.35">
      <c r="P18363" s="226"/>
      <c r="Q18363" s="226"/>
      <c r="R18363" s="226"/>
      <c r="S18363" s="226"/>
      <c r="T18363" s="226"/>
      <c r="U18363" s="226"/>
    </row>
    <row r="18364" spans="16:21" x14ac:dyDescent="0.35">
      <c r="P18364" s="226"/>
      <c r="Q18364" s="226"/>
      <c r="R18364" s="226"/>
      <c r="S18364" s="226"/>
      <c r="T18364" s="226"/>
      <c r="U18364" s="226"/>
    </row>
    <row r="18365" spans="16:21" x14ac:dyDescent="0.35">
      <c r="P18365" s="226"/>
      <c r="Q18365" s="226"/>
      <c r="R18365" s="226"/>
      <c r="S18365" s="226"/>
      <c r="T18365" s="226"/>
      <c r="U18365" s="226"/>
    </row>
    <row r="18366" spans="16:21" x14ac:dyDescent="0.35">
      <c r="P18366" s="226"/>
      <c r="Q18366" s="226"/>
      <c r="R18366" s="226"/>
      <c r="S18366" s="226"/>
      <c r="T18366" s="226"/>
      <c r="U18366" s="226"/>
    </row>
    <row r="18367" spans="16:21" x14ac:dyDescent="0.35">
      <c r="P18367" s="226"/>
      <c r="Q18367" s="226"/>
      <c r="R18367" s="226"/>
      <c r="S18367" s="226"/>
      <c r="T18367" s="226"/>
      <c r="U18367" s="226"/>
    </row>
    <row r="18368" spans="16:21" x14ac:dyDescent="0.35">
      <c r="P18368" s="226"/>
      <c r="Q18368" s="226"/>
      <c r="R18368" s="226"/>
      <c r="S18368" s="226"/>
      <c r="T18368" s="226"/>
      <c r="U18368" s="226"/>
    </row>
    <row r="18369" spans="16:21" x14ac:dyDescent="0.35">
      <c r="P18369" s="226"/>
      <c r="Q18369" s="226"/>
      <c r="R18369" s="226"/>
      <c r="S18369" s="226"/>
      <c r="T18369" s="226"/>
      <c r="U18369" s="226"/>
    </row>
    <row r="18370" spans="16:21" x14ac:dyDescent="0.35">
      <c r="P18370" s="226"/>
      <c r="Q18370" s="226"/>
      <c r="R18370" s="226"/>
      <c r="S18370" s="226"/>
      <c r="T18370" s="226"/>
      <c r="U18370" s="226"/>
    </row>
    <row r="18371" spans="16:21" x14ac:dyDescent="0.35">
      <c r="P18371" s="226"/>
      <c r="Q18371" s="226"/>
      <c r="R18371" s="226"/>
      <c r="S18371" s="226"/>
      <c r="T18371" s="226"/>
      <c r="U18371" s="226"/>
    </row>
    <row r="18372" spans="16:21" x14ac:dyDescent="0.35">
      <c r="P18372" s="226"/>
      <c r="Q18372" s="226"/>
      <c r="R18372" s="226"/>
      <c r="S18372" s="226"/>
      <c r="T18372" s="226"/>
      <c r="U18372" s="226"/>
    </row>
    <row r="18373" spans="16:21" x14ac:dyDescent="0.35">
      <c r="P18373" s="226"/>
      <c r="Q18373" s="226"/>
      <c r="R18373" s="226"/>
      <c r="S18373" s="226"/>
      <c r="T18373" s="226"/>
      <c r="U18373" s="226"/>
    </row>
    <row r="18374" spans="16:21" x14ac:dyDescent="0.35">
      <c r="P18374" s="226"/>
      <c r="Q18374" s="226"/>
      <c r="R18374" s="226"/>
      <c r="S18374" s="226"/>
      <c r="T18374" s="226"/>
      <c r="U18374" s="226"/>
    </row>
    <row r="18375" spans="16:21" x14ac:dyDescent="0.35">
      <c r="P18375" s="226"/>
      <c r="Q18375" s="226"/>
      <c r="R18375" s="226"/>
      <c r="S18375" s="226"/>
      <c r="T18375" s="226"/>
      <c r="U18375" s="226"/>
    </row>
    <row r="18376" spans="16:21" x14ac:dyDescent="0.35">
      <c r="P18376" s="226"/>
      <c r="Q18376" s="226"/>
      <c r="R18376" s="226"/>
      <c r="S18376" s="226"/>
      <c r="T18376" s="226"/>
      <c r="U18376" s="226"/>
    </row>
    <row r="18377" spans="16:21" x14ac:dyDescent="0.35">
      <c r="P18377" s="226"/>
      <c r="Q18377" s="226"/>
      <c r="R18377" s="226"/>
      <c r="S18377" s="226"/>
      <c r="T18377" s="226"/>
      <c r="U18377" s="226"/>
    </row>
    <row r="18378" spans="16:21" x14ac:dyDescent="0.35">
      <c r="P18378" s="226"/>
      <c r="Q18378" s="226"/>
      <c r="R18378" s="226"/>
      <c r="S18378" s="226"/>
      <c r="T18378" s="226"/>
      <c r="U18378" s="226"/>
    </row>
    <row r="18379" spans="16:21" x14ac:dyDescent="0.35">
      <c r="P18379" s="226"/>
      <c r="Q18379" s="226"/>
      <c r="R18379" s="226"/>
      <c r="S18379" s="226"/>
      <c r="T18379" s="226"/>
      <c r="U18379" s="226"/>
    </row>
    <row r="18380" spans="16:21" x14ac:dyDescent="0.35">
      <c r="P18380" s="226"/>
      <c r="Q18380" s="226"/>
      <c r="R18380" s="226"/>
      <c r="S18380" s="226"/>
      <c r="T18380" s="226"/>
      <c r="U18380" s="226"/>
    </row>
    <row r="18381" spans="16:21" x14ac:dyDescent="0.35">
      <c r="P18381" s="226"/>
      <c r="Q18381" s="226"/>
      <c r="R18381" s="226"/>
      <c r="S18381" s="226"/>
      <c r="T18381" s="226"/>
      <c r="U18381" s="226"/>
    </row>
    <row r="18382" spans="16:21" x14ac:dyDescent="0.35">
      <c r="P18382" s="226"/>
      <c r="Q18382" s="226"/>
      <c r="R18382" s="226"/>
      <c r="S18382" s="226"/>
      <c r="T18382" s="226"/>
      <c r="U18382" s="226"/>
    </row>
    <row r="18383" spans="16:21" x14ac:dyDescent="0.35">
      <c r="P18383" s="226"/>
      <c r="Q18383" s="226"/>
      <c r="R18383" s="226"/>
      <c r="S18383" s="226"/>
      <c r="T18383" s="226"/>
      <c r="U18383" s="226"/>
    </row>
    <row r="18384" spans="16:21" x14ac:dyDescent="0.35">
      <c r="P18384" s="226"/>
      <c r="Q18384" s="226"/>
      <c r="R18384" s="226"/>
      <c r="S18384" s="226"/>
      <c r="T18384" s="226"/>
      <c r="U18384" s="226"/>
    </row>
    <row r="18385" spans="16:21" x14ac:dyDescent="0.35">
      <c r="P18385" s="226"/>
      <c r="Q18385" s="226"/>
      <c r="R18385" s="226"/>
      <c r="S18385" s="226"/>
      <c r="T18385" s="226"/>
      <c r="U18385" s="226"/>
    </row>
    <row r="18386" spans="16:21" x14ac:dyDescent="0.35">
      <c r="P18386" s="226"/>
      <c r="Q18386" s="226"/>
      <c r="R18386" s="226"/>
      <c r="S18386" s="226"/>
      <c r="T18386" s="226"/>
      <c r="U18386" s="226"/>
    </row>
    <row r="18387" spans="16:21" x14ac:dyDescent="0.35">
      <c r="P18387" s="226"/>
      <c r="Q18387" s="226"/>
      <c r="R18387" s="226"/>
      <c r="S18387" s="226"/>
      <c r="T18387" s="226"/>
      <c r="U18387" s="226"/>
    </row>
    <row r="18388" spans="16:21" x14ac:dyDescent="0.35">
      <c r="P18388" s="226"/>
      <c r="Q18388" s="226"/>
      <c r="R18388" s="226"/>
      <c r="S18388" s="226"/>
      <c r="T18388" s="226"/>
      <c r="U18388" s="226"/>
    </row>
    <row r="18389" spans="16:21" x14ac:dyDescent="0.35">
      <c r="P18389" s="226"/>
      <c r="Q18389" s="226"/>
      <c r="R18389" s="226"/>
      <c r="S18389" s="226"/>
      <c r="T18389" s="226"/>
      <c r="U18389" s="226"/>
    </row>
    <row r="18390" spans="16:21" x14ac:dyDescent="0.35">
      <c r="P18390" s="226"/>
      <c r="Q18390" s="226"/>
      <c r="R18390" s="226"/>
      <c r="S18390" s="226"/>
      <c r="T18390" s="226"/>
      <c r="U18390" s="226"/>
    </row>
    <row r="18391" spans="16:21" x14ac:dyDescent="0.35">
      <c r="P18391" s="226"/>
      <c r="Q18391" s="226"/>
      <c r="R18391" s="226"/>
      <c r="S18391" s="226"/>
      <c r="T18391" s="226"/>
      <c r="U18391" s="226"/>
    </row>
    <row r="18392" spans="16:21" x14ac:dyDescent="0.35">
      <c r="P18392" s="226"/>
      <c r="Q18392" s="226"/>
      <c r="R18392" s="226"/>
      <c r="S18392" s="226"/>
      <c r="T18392" s="226"/>
      <c r="U18392" s="226"/>
    </row>
    <row r="18393" spans="16:21" x14ac:dyDescent="0.35">
      <c r="P18393" s="226"/>
      <c r="Q18393" s="226"/>
      <c r="R18393" s="226"/>
      <c r="S18393" s="226"/>
      <c r="T18393" s="226"/>
      <c r="U18393" s="226"/>
    </row>
    <row r="18394" spans="16:21" x14ac:dyDescent="0.35">
      <c r="P18394" s="226"/>
      <c r="Q18394" s="226"/>
      <c r="R18394" s="226"/>
      <c r="S18394" s="226"/>
      <c r="T18394" s="226"/>
      <c r="U18394" s="226"/>
    </row>
    <row r="18395" spans="16:21" x14ac:dyDescent="0.35">
      <c r="P18395" s="226"/>
      <c r="Q18395" s="226"/>
      <c r="R18395" s="226"/>
      <c r="S18395" s="226"/>
      <c r="T18395" s="226"/>
      <c r="U18395" s="226"/>
    </row>
    <row r="18396" spans="16:21" x14ac:dyDescent="0.35">
      <c r="P18396" s="226"/>
      <c r="Q18396" s="226"/>
      <c r="R18396" s="226"/>
      <c r="S18396" s="226"/>
      <c r="T18396" s="226"/>
      <c r="U18396" s="226"/>
    </row>
    <row r="18397" spans="16:21" x14ac:dyDescent="0.35">
      <c r="P18397" s="226"/>
      <c r="Q18397" s="226"/>
      <c r="R18397" s="226"/>
      <c r="S18397" s="226"/>
      <c r="T18397" s="226"/>
      <c r="U18397" s="226"/>
    </row>
    <row r="18398" spans="16:21" x14ac:dyDescent="0.35">
      <c r="P18398" s="226"/>
      <c r="Q18398" s="226"/>
      <c r="R18398" s="226"/>
      <c r="S18398" s="226"/>
      <c r="T18398" s="226"/>
      <c r="U18398" s="226"/>
    </row>
    <row r="18399" spans="16:21" x14ac:dyDescent="0.35">
      <c r="P18399" s="226"/>
      <c r="Q18399" s="226"/>
      <c r="R18399" s="226"/>
      <c r="S18399" s="226"/>
      <c r="T18399" s="226"/>
      <c r="U18399" s="226"/>
    </row>
    <row r="18400" spans="16:21" x14ac:dyDescent="0.35">
      <c r="P18400" s="226"/>
      <c r="Q18400" s="226"/>
      <c r="R18400" s="226"/>
      <c r="S18400" s="226"/>
      <c r="T18400" s="226"/>
      <c r="U18400" s="226"/>
    </row>
    <row r="18401" spans="16:21" x14ac:dyDescent="0.35">
      <c r="P18401" s="226"/>
      <c r="Q18401" s="226"/>
      <c r="R18401" s="226"/>
      <c r="S18401" s="226"/>
      <c r="T18401" s="226"/>
      <c r="U18401" s="226"/>
    </row>
    <row r="18402" spans="16:21" x14ac:dyDescent="0.35">
      <c r="P18402" s="226"/>
      <c r="Q18402" s="226"/>
      <c r="R18402" s="226"/>
      <c r="S18402" s="226"/>
      <c r="T18402" s="226"/>
      <c r="U18402" s="226"/>
    </row>
    <row r="18403" spans="16:21" x14ac:dyDescent="0.35">
      <c r="P18403" s="226"/>
      <c r="Q18403" s="226"/>
      <c r="R18403" s="226"/>
      <c r="S18403" s="226"/>
      <c r="T18403" s="226"/>
      <c r="U18403" s="226"/>
    </row>
    <row r="18404" spans="16:21" x14ac:dyDescent="0.35">
      <c r="P18404" s="226"/>
      <c r="Q18404" s="226"/>
      <c r="R18404" s="226"/>
      <c r="S18404" s="226"/>
      <c r="T18404" s="226"/>
      <c r="U18404" s="226"/>
    </row>
    <row r="18405" spans="16:21" x14ac:dyDescent="0.35">
      <c r="P18405" s="226"/>
      <c r="Q18405" s="226"/>
      <c r="R18405" s="226"/>
      <c r="S18405" s="226"/>
      <c r="T18405" s="226"/>
      <c r="U18405" s="226"/>
    </row>
    <row r="18406" spans="16:21" x14ac:dyDescent="0.35">
      <c r="P18406" s="226"/>
      <c r="Q18406" s="226"/>
      <c r="R18406" s="226"/>
      <c r="S18406" s="226"/>
      <c r="T18406" s="226"/>
      <c r="U18406" s="226"/>
    </row>
    <row r="18407" spans="16:21" x14ac:dyDescent="0.35">
      <c r="P18407" s="226"/>
      <c r="Q18407" s="226"/>
      <c r="R18407" s="226"/>
      <c r="S18407" s="226"/>
      <c r="T18407" s="226"/>
      <c r="U18407" s="226"/>
    </row>
    <row r="18408" spans="16:21" x14ac:dyDescent="0.35">
      <c r="P18408" s="226"/>
      <c r="Q18408" s="226"/>
      <c r="R18408" s="226"/>
      <c r="S18408" s="226"/>
      <c r="T18408" s="226"/>
      <c r="U18408" s="226"/>
    </row>
    <row r="18409" spans="16:21" x14ac:dyDescent="0.35">
      <c r="P18409" s="226"/>
      <c r="Q18409" s="226"/>
      <c r="R18409" s="226"/>
      <c r="S18409" s="226"/>
      <c r="T18409" s="226"/>
      <c r="U18409" s="226"/>
    </row>
    <row r="18410" spans="16:21" x14ac:dyDescent="0.35">
      <c r="P18410" s="226"/>
      <c r="Q18410" s="226"/>
      <c r="R18410" s="226"/>
      <c r="S18410" s="226"/>
      <c r="T18410" s="226"/>
      <c r="U18410" s="226"/>
    </row>
    <row r="18411" spans="16:21" x14ac:dyDescent="0.35">
      <c r="P18411" s="226"/>
      <c r="Q18411" s="226"/>
      <c r="R18411" s="226"/>
      <c r="S18411" s="226"/>
      <c r="T18411" s="226"/>
      <c r="U18411" s="226"/>
    </row>
    <row r="18412" spans="16:21" x14ac:dyDescent="0.35">
      <c r="P18412" s="226"/>
      <c r="Q18412" s="226"/>
      <c r="R18412" s="226"/>
      <c r="S18412" s="226"/>
      <c r="T18412" s="226"/>
      <c r="U18412" s="226"/>
    </row>
    <row r="18413" spans="16:21" x14ac:dyDescent="0.35">
      <c r="P18413" s="226"/>
      <c r="Q18413" s="226"/>
      <c r="R18413" s="226"/>
      <c r="S18413" s="226"/>
      <c r="T18413" s="226"/>
      <c r="U18413" s="226"/>
    </row>
    <row r="18414" spans="16:21" x14ac:dyDescent="0.35">
      <c r="P18414" s="226"/>
      <c r="Q18414" s="226"/>
      <c r="R18414" s="226"/>
      <c r="S18414" s="226"/>
      <c r="T18414" s="226"/>
      <c r="U18414" s="226"/>
    </row>
    <row r="18415" spans="16:21" x14ac:dyDescent="0.35">
      <c r="P18415" s="226"/>
      <c r="Q18415" s="226"/>
      <c r="R18415" s="226"/>
      <c r="S18415" s="226"/>
      <c r="T18415" s="226"/>
      <c r="U18415" s="226"/>
    </row>
    <row r="18416" spans="16:21" x14ac:dyDescent="0.35">
      <c r="P18416" s="226"/>
      <c r="Q18416" s="226"/>
      <c r="R18416" s="226"/>
      <c r="S18416" s="226"/>
      <c r="T18416" s="226"/>
      <c r="U18416" s="226"/>
    </row>
    <row r="18417" spans="16:21" x14ac:dyDescent="0.35">
      <c r="P18417" s="226"/>
      <c r="Q18417" s="226"/>
      <c r="R18417" s="226"/>
      <c r="S18417" s="226"/>
      <c r="T18417" s="226"/>
      <c r="U18417" s="226"/>
    </row>
    <row r="18418" spans="16:21" x14ac:dyDescent="0.35">
      <c r="P18418" s="226"/>
      <c r="Q18418" s="226"/>
      <c r="R18418" s="226"/>
      <c r="S18418" s="226"/>
      <c r="T18418" s="226"/>
      <c r="U18418" s="226"/>
    </row>
    <row r="18419" spans="16:21" x14ac:dyDescent="0.35">
      <c r="P18419" s="226"/>
      <c r="Q18419" s="226"/>
      <c r="R18419" s="226"/>
      <c r="S18419" s="226"/>
      <c r="T18419" s="226"/>
      <c r="U18419" s="226"/>
    </row>
    <row r="18420" spans="16:21" x14ac:dyDescent="0.35">
      <c r="P18420" s="226"/>
      <c r="Q18420" s="226"/>
      <c r="R18420" s="226"/>
      <c r="S18420" s="226"/>
      <c r="T18420" s="226"/>
      <c r="U18420" s="226"/>
    </row>
    <row r="18421" spans="16:21" x14ac:dyDescent="0.35">
      <c r="P18421" s="226"/>
      <c r="Q18421" s="226"/>
      <c r="R18421" s="226"/>
      <c r="S18421" s="226"/>
      <c r="T18421" s="226"/>
      <c r="U18421" s="226"/>
    </row>
    <row r="18422" spans="16:21" x14ac:dyDescent="0.35">
      <c r="P18422" s="226"/>
      <c r="Q18422" s="226"/>
      <c r="R18422" s="226"/>
      <c r="S18422" s="226"/>
      <c r="T18422" s="226"/>
      <c r="U18422" s="226"/>
    </row>
    <row r="18423" spans="16:21" x14ac:dyDescent="0.35">
      <c r="P18423" s="226"/>
      <c r="Q18423" s="226"/>
      <c r="R18423" s="226"/>
      <c r="S18423" s="226"/>
      <c r="T18423" s="226"/>
      <c r="U18423" s="226"/>
    </row>
    <row r="18424" spans="16:21" x14ac:dyDescent="0.35">
      <c r="P18424" s="226"/>
      <c r="Q18424" s="226"/>
      <c r="R18424" s="226"/>
      <c r="S18424" s="226"/>
      <c r="T18424" s="226"/>
      <c r="U18424" s="226"/>
    </row>
    <row r="18425" spans="16:21" x14ac:dyDescent="0.35">
      <c r="P18425" s="226"/>
      <c r="Q18425" s="226"/>
      <c r="R18425" s="226"/>
      <c r="S18425" s="226"/>
      <c r="T18425" s="226"/>
      <c r="U18425" s="226"/>
    </row>
    <row r="18426" spans="16:21" x14ac:dyDescent="0.35">
      <c r="P18426" s="226"/>
      <c r="Q18426" s="226"/>
      <c r="R18426" s="226"/>
      <c r="S18426" s="226"/>
      <c r="T18426" s="226"/>
      <c r="U18426" s="226"/>
    </row>
    <row r="18427" spans="16:21" x14ac:dyDescent="0.35">
      <c r="P18427" s="226"/>
      <c r="Q18427" s="226"/>
      <c r="R18427" s="226"/>
      <c r="S18427" s="226"/>
      <c r="T18427" s="226"/>
      <c r="U18427" s="226"/>
    </row>
    <row r="18428" spans="16:21" x14ac:dyDescent="0.35">
      <c r="P18428" s="226"/>
      <c r="Q18428" s="226"/>
      <c r="R18428" s="226"/>
      <c r="S18428" s="226"/>
      <c r="T18428" s="226"/>
      <c r="U18428" s="226"/>
    </row>
    <row r="18429" spans="16:21" x14ac:dyDescent="0.35">
      <c r="P18429" s="226"/>
      <c r="Q18429" s="226"/>
      <c r="R18429" s="226"/>
      <c r="S18429" s="226"/>
      <c r="T18429" s="226"/>
      <c r="U18429" s="226"/>
    </row>
    <row r="18430" spans="16:21" x14ac:dyDescent="0.35">
      <c r="P18430" s="226"/>
      <c r="Q18430" s="226"/>
      <c r="R18430" s="226"/>
      <c r="S18430" s="226"/>
      <c r="T18430" s="226"/>
      <c r="U18430" s="226"/>
    </row>
    <row r="18431" spans="16:21" x14ac:dyDescent="0.35">
      <c r="P18431" s="226"/>
      <c r="Q18431" s="226"/>
      <c r="R18431" s="226"/>
      <c r="S18431" s="226"/>
      <c r="T18431" s="226"/>
      <c r="U18431" s="226"/>
    </row>
    <row r="18432" spans="16:21" x14ac:dyDescent="0.35">
      <c r="P18432" s="226"/>
      <c r="Q18432" s="226"/>
      <c r="R18432" s="226"/>
      <c r="S18432" s="226"/>
      <c r="T18432" s="226"/>
      <c r="U18432" s="226"/>
    </row>
    <row r="18433" spans="16:21" x14ac:dyDescent="0.35">
      <c r="P18433" s="226"/>
      <c r="Q18433" s="226"/>
      <c r="R18433" s="226"/>
      <c r="S18433" s="226"/>
      <c r="T18433" s="226"/>
      <c r="U18433" s="226"/>
    </row>
    <row r="18434" spans="16:21" x14ac:dyDescent="0.35">
      <c r="P18434" s="226"/>
      <c r="Q18434" s="226"/>
      <c r="R18434" s="226"/>
      <c r="S18434" s="226"/>
      <c r="T18434" s="226"/>
      <c r="U18434" s="226"/>
    </row>
    <row r="18435" spans="16:21" x14ac:dyDescent="0.35">
      <c r="P18435" s="226"/>
      <c r="Q18435" s="226"/>
      <c r="R18435" s="226"/>
      <c r="S18435" s="226"/>
      <c r="T18435" s="226"/>
      <c r="U18435" s="226"/>
    </row>
    <row r="18436" spans="16:21" x14ac:dyDescent="0.35">
      <c r="P18436" s="226"/>
      <c r="Q18436" s="226"/>
      <c r="R18436" s="226"/>
      <c r="S18436" s="226"/>
      <c r="T18436" s="226"/>
      <c r="U18436" s="226"/>
    </row>
    <row r="18437" spans="16:21" x14ac:dyDescent="0.35">
      <c r="P18437" s="226"/>
      <c r="Q18437" s="226"/>
      <c r="R18437" s="226"/>
      <c r="S18437" s="226"/>
      <c r="T18437" s="226"/>
      <c r="U18437" s="226"/>
    </row>
    <row r="18438" spans="16:21" x14ac:dyDescent="0.35">
      <c r="P18438" s="226"/>
      <c r="Q18438" s="226"/>
      <c r="R18438" s="226"/>
      <c r="S18438" s="226"/>
      <c r="T18438" s="226"/>
      <c r="U18438" s="226"/>
    </row>
    <row r="18439" spans="16:21" x14ac:dyDescent="0.35">
      <c r="P18439" s="226"/>
      <c r="Q18439" s="226"/>
      <c r="R18439" s="226"/>
      <c r="S18439" s="226"/>
      <c r="T18439" s="226"/>
      <c r="U18439" s="226"/>
    </row>
    <row r="18440" spans="16:21" x14ac:dyDescent="0.35">
      <c r="P18440" s="226"/>
      <c r="Q18440" s="226"/>
      <c r="R18440" s="226"/>
      <c r="S18440" s="226"/>
      <c r="T18440" s="226"/>
      <c r="U18440" s="226"/>
    </row>
    <row r="18441" spans="16:21" x14ac:dyDescent="0.35">
      <c r="P18441" s="226"/>
      <c r="Q18441" s="226"/>
      <c r="R18441" s="226"/>
      <c r="S18441" s="226"/>
      <c r="T18441" s="226"/>
      <c r="U18441" s="226"/>
    </row>
    <row r="18442" spans="16:21" x14ac:dyDescent="0.35">
      <c r="P18442" s="226"/>
      <c r="Q18442" s="226"/>
      <c r="R18442" s="226"/>
      <c r="S18442" s="226"/>
      <c r="T18442" s="226"/>
      <c r="U18442" s="226"/>
    </row>
    <row r="18443" spans="16:21" x14ac:dyDescent="0.35">
      <c r="P18443" s="226"/>
      <c r="Q18443" s="226"/>
      <c r="R18443" s="226"/>
      <c r="S18443" s="226"/>
      <c r="T18443" s="226"/>
      <c r="U18443" s="226"/>
    </row>
    <row r="18444" spans="16:21" x14ac:dyDescent="0.35">
      <c r="P18444" s="226"/>
      <c r="Q18444" s="226"/>
      <c r="R18444" s="226"/>
      <c r="S18444" s="226"/>
      <c r="T18444" s="226"/>
      <c r="U18444" s="226"/>
    </row>
    <row r="18445" spans="16:21" x14ac:dyDescent="0.35">
      <c r="P18445" s="226"/>
      <c r="Q18445" s="226"/>
      <c r="R18445" s="226"/>
      <c r="S18445" s="226"/>
      <c r="T18445" s="226"/>
      <c r="U18445" s="226"/>
    </row>
    <row r="18446" spans="16:21" x14ac:dyDescent="0.35">
      <c r="P18446" s="226"/>
      <c r="Q18446" s="226"/>
      <c r="R18446" s="226"/>
      <c r="S18446" s="226"/>
      <c r="T18446" s="226"/>
      <c r="U18446" s="226"/>
    </row>
    <row r="18447" spans="16:21" x14ac:dyDescent="0.35">
      <c r="P18447" s="226"/>
      <c r="Q18447" s="226"/>
      <c r="R18447" s="226"/>
      <c r="S18447" s="226"/>
      <c r="T18447" s="226"/>
      <c r="U18447" s="226"/>
    </row>
    <row r="18448" spans="16:21" x14ac:dyDescent="0.35">
      <c r="P18448" s="226"/>
      <c r="Q18448" s="226"/>
      <c r="R18448" s="226"/>
      <c r="S18448" s="226"/>
      <c r="T18448" s="226"/>
      <c r="U18448" s="226"/>
    </row>
    <row r="18449" spans="16:21" x14ac:dyDescent="0.35">
      <c r="P18449" s="226"/>
      <c r="Q18449" s="226"/>
      <c r="R18449" s="226"/>
      <c r="S18449" s="226"/>
      <c r="T18449" s="226"/>
      <c r="U18449" s="226"/>
    </row>
    <row r="18450" spans="16:21" x14ac:dyDescent="0.35">
      <c r="P18450" s="226"/>
      <c r="Q18450" s="226"/>
      <c r="R18450" s="226"/>
      <c r="S18450" s="226"/>
      <c r="T18450" s="226"/>
      <c r="U18450" s="226"/>
    </row>
    <row r="18451" spans="16:21" x14ac:dyDescent="0.35">
      <c r="P18451" s="226"/>
      <c r="Q18451" s="226"/>
      <c r="R18451" s="226"/>
      <c r="S18451" s="226"/>
      <c r="T18451" s="226"/>
      <c r="U18451" s="226"/>
    </row>
    <row r="18452" spans="16:21" x14ac:dyDescent="0.35">
      <c r="P18452" s="226"/>
      <c r="Q18452" s="226"/>
      <c r="R18452" s="226"/>
      <c r="S18452" s="226"/>
      <c r="T18452" s="226"/>
      <c r="U18452" s="226"/>
    </row>
    <row r="18453" spans="16:21" x14ac:dyDescent="0.35">
      <c r="P18453" s="226"/>
      <c r="Q18453" s="226"/>
      <c r="R18453" s="226"/>
      <c r="S18453" s="226"/>
      <c r="T18453" s="226"/>
      <c r="U18453" s="226"/>
    </row>
    <row r="18454" spans="16:21" x14ac:dyDescent="0.35">
      <c r="P18454" s="226"/>
      <c r="Q18454" s="226"/>
      <c r="R18454" s="226"/>
      <c r="S18454" s="226"/>
      <c r="T18454" s="226"/>
      <c r="U18454" s="226"/>
    </row>
    <row r="18455" spans="16:21" x14ac:dyDescent="0.35">
      <c r="P18455" s="226"/>
      <c r="Q18455" s="226"/>
      <c r="R18455" s="226"/>
      <c r="S18455" s="226"/>
      <c r="T18455" s="226"/>
      <c r="U18455" s="226"/>
    </row>
    <row r="18456" spans="16:21" x14ac:dyDescent="0.35">
      <c r="P18456" s="226"/>
      <c r="Q18456" s="226"/>
      <c r="R18456" s="226"/>
      <c r="S18456" s="226"/>
      <c r="T18456" s="226"/>
      <c r="U18456" s="226"/>
    </row>
    <row r="18457" spans="16:21" x14ac:dyDescent="0.35">
      <c r="P18457" s="226"/>
      <c r="Q18457" s="226"/>
      <c r="R18457" s="226"/>
      <c r="S18457" s="226"/>
      <c r="T18457" s="226"/>
      <c r="U18457" s="226"/>
    </row>
    <row r="18458" spans="16:21" x14ac:dyDescent="0.35">
      <c r="P18458" s="226"/>
      <c r="Q18458" s="226"/>
      <c r="R18458" s="226"/>
      <c r="S18458" s="226"/>
      <c r="T18458" s="226"/>
      <c r="U18458" s="226"/>
    </row>
    <row r="18459" spans="16:21" x14ac:dyDescent="0.35">
      <c r="P18459" s="226"/>
      <c r="Q18459" s="226"/>
      <c r="R18459" s="226"/>
      <c r="S18459" s="226"/>
      <c r="T18459" s="226"/>
      <c r="U18459" s="226"/>
    </row>
    <row r="18460" spans="16:21" x14ac:dyDescent="0.35">
      <c r="P18460" s="226"/>
      <c r="Q18460" s="226"/>
      <c r="R18460" s="226"/>
      <c r="S18460" s="226"/>
      <c r="T18460" s="226"/>
      <c r="U18460" s="226"/>
    </row>
    <row r="18461" spans="16:21" x14ac:dyDescent="0.35">
      <c r="P18461" s="226"/>
      <c r="Q18461" s="226"/>
      <c r="R18461" s="226"/>
      <c r="S18461" s="226"/>
      <c r="T18461" s="226"/>
      <c r="U18461" s="226"/>
    </row>
    <row r="18462" spans="16:21" x14ac:dyDescent="0.35">
      <c r="P18462" s="226"/>
      <c r="Q18462" s="226"/>
      <c r="R18462" s="226"/>
      <c r="S18462" s="226"/>
      <c r="T18462" s="226"/>
      <c r="U18462" s="226"/>
    </row>
    <row r="18463" spans="16:21" x14ac:dyDescent="0.35">
      <c r="P18463" s="226"/>
      <c r="Q18463" s="226"/>
      <c r="R18463" s="226"/>
      <c r="S18463" s="226"/>
      <c r="T18463" s="226"/>
      <c r="U18463" s="226"/>
    </row>
    <row r="18464" spans="16:21" x14ac:dyDescent="0.35">
      <c r="P18464" s="226"/>
      <c r="Q18464" s="226"/>
      <c r="R18464" s="226"/>
      <c r="S18464" s="226"/>
      <c r="T18464" s="226"/>
      <c r="U18464" s="226"/>
    </row>
    <row r="18465" spans="16:21" x14ac:dyDescent="0.35">
      <c r="P18465" s="226"/>
      <c r="Q18465" s="226"/>
      <c r="R18465" s="226"/>
      <c r="S18465" s="226"/>
      <c r="T18465" s="226"/>
      <c r="U18465" s="226"/>
    </row>
    <row r="18466" spans="16:21" x14ac:dyDescent="0.35">
      <c r="P18466" s="226"/>
      <c r="Q18466" s="226"/>
      <c r="R18466" s="226"/>
      <c r="S18466" s="226"/>
      <c r="T18466" s="226"/>
      <c r="U18466" s="226"/>
    </row>
    <row r="18467" spans="16:21" x14ac:dyDescent="0.35">
      <c r="P18467" s="226"/>
      <c r="Q18467" s="226"/>
      <c r="R18467" s="226"/>
      <c r="S18467" s="226"/>
      <c r="T18467" s="226"/>
      <c r="U18467" s="226"/>
    </row>
    <row r="18468" spans="16:21" x14ac:dyDescent="0.35">
      <c r="P18468" s="226"/>
      <c r="Q18468" s="226"/>
      <c r="R18468" s="226"/>
      <c r="S18468" s="226"/>
      <c r="T18468" s="226"/>
      <c r="U18468" s="226"/>
    </row>
    <row r="18469" spans="16:21" x14ac:dyDescent="0.35">
      <c r="P18469" s="226"/>
      <c r="Q18469" s="226"/>
      <c r="R18469" s="226"/>
      <c r="S18469" s="226"/>
      <c r="T18469" s="226"/>
      <c r="U18469" s="226"/>
    </row>
    <row r="18470" spans="16:21" x14ac:dyDescent="0.35">
      <c r="P18470" s="226"/>
      <c r="Q18470" s="226"/>
      <c r="R18470" s="226"/>
      <c r="S18470" s="226"/>
      <c r="T18470" s="226"/>
      <c r="U18470" s="226"/>
    </row>
    <row r="18471" spans="16:21" x14ac:dyDescent="0.35">
      <c r="P18471" s="226"/>
      <c r="Q18471" s="226"/>
      <c r="R18471" s="226"/>
      <c r="S18471" s="226"/>
      <c r="T18471" s="226"/>
      <c r="U18471" s="226"/>
    </row>
    <row r="18472" spans="16:21" x14ac:dyDescent="0.35">
      <c r="P18472" s="226"/>
      <c r="Q18472" s="226"/>
      <c r="R18472" s="226"/>
      <c r="S18472" s="226"/>
      <c r="T18472" s="226"/>
      <c r="U18472" s="226"/>
    </row>
    <row r="18473" spans="16:21" x14ac:dyDescent="0.35">
      <c r="P18473" s="226"/>
      <c r="Q18473" s="226"/>
      <c r="R18473" s="226"/>
      <c r="S18473" s="226"/>
      <c r="T18473" s="226"/>
      <c r="U18473" s="226"/>
    </row>
    <row r="18474" spans="16:21" x14ac:dyDescent="0.35">
      <c r="P18474" s="226"/>
      <c r="Q18474" s="226"/>
      <c r="R18474" s="226"/>
      <c r="S18474" s="226"/>
      <c r="T18474" s="226"/>
      <c r="U18474" s="226"/>
    </row>
    <row r="18475" spans="16:21" x14ac:dyDescent="0.35">
      <c r="P18475" s="226"/>
      <c r="Q18475" s="226"/>
      <c r="R18475" s="226"/>
      <c r="S18475" s="226"/>
      <c r="T18475" s="226"/>
      <c r="U18475" s="226"/>
    </row>
    <row r="18476" spans="16:21" x14ac:dyDescent="0.35">
      <c r="P18476" s="226"/>
      <c r="Q18476" s="226"/>
      <c r="R18476" s="226"/>
      <c r="S18476" s="226"/>
      <c r="T18476" s="226"/>
      <c r="U18476" s="226"/>
    </row>
    <row r="18477" spans="16:21" x14ac:dyDescent="0.35">
      <c r="P18477" s="226"/>
      <c r="Q18477" s="226"/>
      <c r="R18477" s="226"/>
      <c r="S18477" s="226"/>
      <c r="T18477" s="226"/>
      <c r="U18477" s="226"/>
    </row>
    <row r="18478" spans="16:21" x14ac:dyDescent="0.35">
      <c r="P18478" s="226"/>
      <c r="Q18478" s="226"/>
      <c r="R18478" s="226"/>
      <c r="S18478" s="226"/>
      <c r="T18478" s="226"/>
      <c r="U18478" s="226"/>
    </row>
    <row r="18479" spans="16:21" x14ac:dyDescent="0.35">
      <c r="P18479" s="226"/>
      <c r="Q18479" s="226"/>
      <c r="R18479" s="226"/>
      <c r="S18479" s="226"/>
      <c r="T18479" s="226"/>
      <c r="U18479" s="226"/>
    </row>
    <row r="18480" spans="16:21" x14ac:dyDescent="0.35">
      <c r="P18480" s="226"/>
      <c r="Q18480" s="226"/>
      <c r="R18480" s="226"/>
      <c r="S18480" s="226"/>
      <c r="T18480" s="226"/>
      <c r="U18480" s="226"/>
    </row>
    <row r="18481" spans="16:21" x14ac:dyDescent="0.35">
      <c r="P18481" s="226"/>
      <c r="Q18481" s="226"/>
      <c r="R18481" s="226"/>
      <c r="S18481" s="226"/>
      <c r="T18481" s="226"/>
      <c r="U18481" s="226"/>
    </row>
    <row r="18482" spans="16:21" x14ac:dyDescent="0.35">
      <c r="P18482" s="226"/>
      <c r="Q18482" s="226"/>
      <c r="R18482" s="226"/>
      <c r="S18482" s="226"/>
      <c r="T18482" s="226"/>
      <c r="U18482" s="226"/>
    </row>
    <row r="18483" spans="16:21" x14ac:dyDescent="0.35">
      <c r="P18483" s="226"/>
      <c r="Q18483" s="226"/>
      <c r="R18483" s="226"/>
      <c r="S18483" s="226"/>
      <c r="T18483" s="226"/>
      <c r="U18483" s="226"/>
    </row>
    <row r="18484" spans="16:21" x14ac:dyDescent="0.35">
      <c r="P18484" s="226"/>
      <c r="Q18484" s="226"/>
      <c r="R18484" s="226"/>
      <c r="S18484" s="226"/>
      <c r="T18484" s="226"/>
      <c r="U18484" s="226"/>
    </row>
    <row r="18485" spans="16:21" x14ac:dyDescent="0.35">
      <c r="P18485" s="226"/>
      <c r="Q18485" s="226"/>
      <c r="R18485" s="226"/>
      <c r="S18485" s="226"/>
      <c r="T18485" s="226"/>
      <c r="U18485" s="226"/>
    </row>
    <row r="18486" spans="16:21" x14ac:dyDescent="0.35">
      <c r="P18486" s="226"/>
      <c r="Q18486" s="226"/>
      <c r="R18486" s="226"/>
      <c r="S18486" s="226"/>
      <c r="T18486" s="226"/>
      <c r="U18486" s="226"/>
    </row>
    <row r="18487" spans="16:21" x14ac:dyDescent="0.35">
      <c r="P18487" s="226"/>
      <c r="Q18487" s="226"/>
      <c r="R18487" s="226"/>
      <c r="S18487" s="226"/>
      <c r="T18487" s="226"/>
      <c r="U18487" s="226"/>
    </row>
    <row r="18488" spans="16:21" x14ac:dyDescent="0.35">
      <c r="P18488" s="226"/>
      <c r="Q18488" s="226"/>
      <c r="R18488" s="226"/>
      <c r="S18488" s="226"/>
      <c r="T18488" s="226"/>
      <c r="U18488" s="226"/>
    </row>
    <row r="18489" spans="16:21" x14ac:dyDescent="0.35">
      <c r="P18489" s="226"/>
      <c r="Q18489" s="226"/>
      <c r="R18489" s="226"/>
      <c r="S18489" s="226"/>
      <c r="T18489" s="226"/>
      <c r="U18489" s="226"/>
    </row>
    <row r="18490" spans="16:21" x14ac:dyDescent="0.35">
      <c r="P18490" s="226"/>
      <c r="Q18490" s="226"/>
      <c r="R18490" s="226"/>
      <c r="S18490" s="226"/>
      <c r="T18490" s="226"/>
      <c r="U18490" s="226"/>
    </row>
    <row r="18491" spans="16:21" x14ac:dyDescent="0.35">
      <c r="P18491" s="226"/>
      <c r="Q18491" s="226"/>
      <c r="R18491" s="226"/>
      <c r="S18491" s="226"/>
      <c r="T18491" s="226"/>
      <c r="U18491" s="226"/>
    </row>
    <row r="18492" spans="16:21" x14ac:dyDescent="0.35">
      <c r="P18492" s="226"/>
      <c r="Q18492" s="226"/>
      <c r="R18492" s="226"/>
      <c r="S18492" s="226"/>
      <c r="T18492" s="226"/>
      <c r="U18492" s="226"/>
    </row>
    <row r="18493" spans="16:21" x14ac:dyDescent="0.35">
      <c r="P18493" s="226"/>
      <c r="Q18493" s="226"/>
      <c r="R18493" s="226"/>
      <c r="S18493" s="226"/>
      <c r="T18493" s="226"/>
      <c r="U18493" s="226"/>
    </row>
    <row r="18494" spans="16:21" x14ac:dyDescent="0.35">
      <c r="P18494" s="226"/>
      <c r="Q18494" s="226"/>
      <c r="R18494" s="226"/>
      <c r="S18494" s="226"/>
      <c r="T18494" s="226"/>
      <c r="U18494" s="226"/>
    </row>
    <row r="18495" spans="16:21" x14ac:dyDescent="0.35">
      <c r="P18495" s="226"/>
      <c r="Q18495" s="226"/>
      <c r="R18495" s="226"/>
      <c r="S18495" s="226"/>
      <c r="T18495" s="226"/>
      <c r="U18495" s="226"/>
    </row>
    <row r="18496" spans="16:21" x14ac:dyDescent="0.35">
      <c r="P18496" s="226"/>
      <c r="Q18496" s="226"/>
      <c r="R18496" s="226"/>
      <c r="S18496" s="226"/>
      <c r="T18496" s="226"/>
      <c r="U18496" s="226"/>
    </row>
    <row r="18497" spans="16:21" x14ac:dyDescent="0.35">
      <c r="P18497" s="226"/>
      <c r="Q18497" s="226"/>
      <c r="R18497" s="226"/>
      <c r="S18497" s="226"/>
      <c r="T18497" s="226"/>
      <c r="U18497" s="226"/>
    </row>
    <row r="18498" spans="16:21" x14ac:dyDescent="0.35">
      <c r="P18498" s="226"/>
      <c r="Q18498" s="226"/>
      <c r="R18498" s="226"/>
      <c r="S18498" s="226"/>
      <c r="T18498" s="226"/>
      <c r="U18498" s="226"/>
    </row>
    <row r="18499" spans="16:21" x14ac:dyDescent="0.35">
      <c r="P18499" s="226"/>
      <c r="Q18499" s="226"/>
      <c r="R18499" s="226"/>
      <c r="S18499" s="226"/>
      <c r="T18499" s="226"/>
      <c r="U18499" s="226"/>
    </row>
    <row r="18500" spans="16:21" x14ac:dyDescent="0.35">
      <c r="P18500" s="226"/>
      <c r="Q18500" s="226"/>
      <c r="R18500" s="226"/>
      <c r="S18500" s="226"/>
      <c r="T18500" s="226"/>
      <c r="U18500" s="226"/>
    </row>
    <row r="18501" spans="16:21" x14ac:dyDescent="0.35">
      <c r="P18501" s="226"/>
      <c r="Q18501" s="226"/>
      <c r="R18501" s="226"/>
      <c r="S18501" s="226"/>
      <c r="T18501" s="226"/>
      <c r="U18501" s="226"/>
    </row>
    <row r="18502" spans="16:21" x14ac:dyDescent="0.35">
      <c r="P18502" s="226"/>
      <c r="Q18502" s="226"/>
      <c r="R18502" s="226"/>
      <c r="S18502" s="226"/>
      <c r="T18502" s="226"/>
      <c r="U18502" s="226"/>
    </row>
    <row r="18503" spans="16:21" x14ac:dyDescent="0.35">
      <c r="P18503" s="226"/>
      <c r="Q18503" s="226"/>
      <c r="R18503" s="226"/>
      <c r="S18503" s="226"/>
      <c r="T18503" s="226"/>
      <c r="U18503" s="226"/>
    </row>
    <row r="18504" spans="16:21" x14ac:dyDescent="0.35">
      <c r="P18504" s="226"/>
      <c r="Q18504" s="226"/>
      <c r="R18504" s="226"/>
      <c r="S18504" s="226"/>
      <c r="T18504" s="226"/>
      <c r="U18504" s="226"/>
    </row>
    <row r="18505" spans="16:21" x14ac:dyDescent="0.35">
      <c r="P18505" s="226"/>
      <c r="Q18505" s="226"/>
      <c r="R18505" s="226"/>
      <c r="S18505" s="226"/>
      <c r="T18505" s="226"/>
      <c r="U18505" s="226"/>
    </row>
    <row r="18506" spans="16:21" x14ac:dyDescent="0.35">
      <c r="P18506" s="226"/>
      <c r="Q18506" s="226"/>
      <c r="R18506" s="226"/>
      <c r="S18506" s="226"/>
      <c r="T18506" s="226"/>
      <c r="U18506" s="226"/>
    </row>
    <row r="18507" spans="16:21" x14ac:dyDescent="0.35">
      <c r="P18507" s="226"/>
      <c r="Q18507" s="226"/>
      <c r="R18507" s="226"/>
      <c r="S18507" s="226"/>
      <c r="T18507" s="226"/>
      <c r="U18507" s="226"/>
    </row>
    <row r="18508" spans="16:21" x14ac:dyDescent="0.35">
      <c r="P18508" s="226"/>
      <c r="Q18508" s="226"/>
      <c r="R18508" s="226"/>
      <c r="S18508" s="226"/>
      <c r="T18508" s="226"/>
      <c r="U18508" s="226"/>
    </row>
    <row r="18509" spans="16:21" x14ac:dyDescent="0.35">
      <c r="P18509" s="226"/>
      <c r="Q18509" s="226"/>
      <c r="R18509" s="226"/>
      <c r="S18509" s="226"/>
      <c r="T18509" s="226"/>
      <c r="U18509" s="226"/>
    </row>
    <row r="18510" spans="16:21" x14ac:dyDescent="0.35">
      <c r="P18510" s="226"/>
      <c r="Q18510" s="226"/>
      <c r="R18510" s="226"/>
      <c r="S18510" s="226"/>
      <c r="T18510" s="226"/>
      <c r="U18510" s="226"/>
    </row>
    <row r="18511" spans="16:21" x14ac:dyDescent="0.35">
      <c r="P18511" s="226"/>
      <c r="Q18511" s="226"/>
      <c r="R18511" s="226"/>
      <c r="S18511" s="226"/>
      <c r="T18511" s="226"/>
      <c r="U18511" s="226"/>
    </row>
    <row r="18512" spans="16:21" x14ac:dyDescent="0.35">
      <c r="P18512" s="226"/>
      <c r="Q18512" s="226"/>
      <c r="R18512" s="226"/>
      <c r="S18512" s="226"/>
      <c r="T18512" s="226"/>
      <c r="U18512" s="226"/>
    </row>
    <row r="18513" spans="16:21" x14ac:dyDescent="0.35">
      <c r="P18513" s="226"/>
      <c r="Q18513" s="226"/>
      <c r="R18513" s="226"/>
      <c r="S18513" s="226"/>
      <c r="T18513" s="226"/>
      <c r="U18513" s="226"/>
    </row>
    <row r="18514" spans="16:21" x14ac:dyDescent="0.35">
      <c r="P18514" s="226"/>
      <c r="Q18514" s="226"/>
      <c r="R18514" s="226"/>
      <c r="S18514" s="226"/>
      <c r="T18514" s="226"/>
      <c r="U18514" s="226"/>
    </row>
    <row r="18515" spans="16:21" x14ac:dyDescent="0.35">
      <c r="P18515" s="226"/>
      <c r="Q18515" s="226"/>
      <c r="R18515" s="226"/>
      <c r="S18515" s="226"/>
      <c r="T18515" s="226"/>
      <c r="U18515" s="226"/>
    </row>
    <row r="18516" spans="16:21" x14ac:dyDescent="0.35">
      <c r="P18516" s="226"/>
      <c r="Q18516" s="226"/>
      <c r="R18516" s="226"/>
      <c r="S18516" s="226"/>
      <c r="T18516" s="226"/>
      <c r="U18516" s="226"/>
    </row>
    <row r="18517" spans="16:21" x14ac:dyDescent="0.35">
      <c r="P18517" s="226"/>
      <c r="Q18517" s="226"/>
      <c r="R18517" s="226"/>
      <c r="S18517" s="226"/>
      <c r="T18517" s="226"/>
      <c r="U18517" s="226"/>
    </row>
    <row r="18518" spans="16:21" x14ac:dyDescent="0.35">
      <c r="P18518" s="226"/>
      <c r="Q18518" s="226"/>
      <c r="R18518" s="226"/>
      <c r="S18518" s="226"/>
      <c r="T18518" s="226"/>
      <c r="U18518" s="226"/>
    </row>
    <row r="18519" spans="16:21" x14ac:dyDescent="0.35">
      <c r="P18519" s="226"/>
      <c r="Q18519" s="226"/>
      <c r="R18519" s="226"/>
      <c r="S18519" s="226"/>
      <c r="T18519" s="226"/>
      <c r="U18519" s="226"/>
    </row>
    <row r="18520" spans="16:21" x14ac:dyDescent="0.35">
      <c r="P18520" s="226"/>
      <c r="Q18520" s="226"/>
      <c r="R18520" s="226"/>
      <c r="S18520" s="226"/>
      <c r="T18520" s="226"/>
      <c r="U18520" s="226"/>
    </row>
    <row r="18521" spans="16:21" x14ac:dyDescent="0.35">
      <c r="P18521" s="226"/>
      <c r="Q18521" s="226"/>
      <c r="R18521" s="226"/>
      <c r="S18521" s="226"/>
      <c r="T18521" s="226"/>
      <c r="U18521" s="226"/>
    </row>
    <row r="18522" spans="16:21" x14ac:dyDescent="0.35">
      <c r="P18522" s="226"/>
      <c r="Q18522" s="226"/>
      <c r="R18522" s="226"/>
      <c r="S18522" s="226"/>
      <c r="T18522" s="226"/>
      <c r="U18522" s="226"/>
    </row>
    <row r="18523" spans="16:21" x14ac:dyDescent="0.35">
      <c r="P18523" s="226"/>
      <c r="Q18523" s="226"/>
      <c r="R18523" s="226"/>
      <c r="S18523" s="226"/>
      <c r="T18523" s="226"/>
      <c r="U18523" s="226"/>
    </row>
    <row r="18524" spans="16:21" x14ac:dyDescent="0.35">
      <c r="P18524" s="226"/>
      <c r="Q18524" s="226"/>
      <c r="R18524" s="226"/>
      <c r="S18524" s="226"/>
      <c r="T18524" s="226"/>
      <c r="U18524" s="226"/>
    </row>
    <row r="18525" spans="16:21" x14ac:dyDescent="0.35">
      <c r="P18525" s="226"/>
      <c r="Q18525" s="226"/>
      <c r="R18525" s="226"/>
      <c r="S18525" s="226"/>
      <c r="T18525" s="226"/>
      <c r="U18525" s="226"/>
    </row>
    <row r="18526" spans="16:21" x14ac:dyDescent="0.35">
      <c r="P18526" s="226"/>
      <c r="Q18526" s="226"/>
      <c r="R18526" s="226"/>
      <c r="S18526" s="226"/>
      <c r="T18526" s="226"/>
      <c r="U18526" s="226"/>
    </row>
    <row r="18527" spans="16:21" x14ac:dyDescent="0.35">
      <c r="P18527" s="226"/>
      <c r="Q18527" s="226"/>
      <c r="R18527" s="226"/>
      <c r="S18527" s="226"/>
      <c r="T18527" s="226"/>
      <c r="U18527" s="226"/>
    </row>
    <row r="18528" spans="16:21" x14ac:dyDescent="0.35">
      <c r="P18528" s="226"/>
      <c r="Q18528" s="226"/>
      <c r="R18528" s="226"/>
      <c r="S18528" s="226"/>
      <c r="T18528" s="226"/>
      <c r="U18528" s="226"/>
    </row>
    <row r="18529" spans="16:21" x14ac:dyDescent="0.35">
      <c r="P18529" s="226"/>
      <c r="Q18529" s="226"/>
      <c r="R18529" s="226"/>
      <c r="S18529" s="226"/>
      <c r="T18529" s="226"/>
      <c r="U18529" s="226"/>
    </row>
    <row r="18530" spans="16:21" x14ac:dyDescent="0.35">
      <c r="P18530" s="226"/>
      <c r="Q18530" s="226"/>
      <c r="R18530" s="226"/>
      <c r="S18530" s="226"/>
      <c r="T18530" s="226"/>
      <c r="U18530" s="226"/>
    </row>
    <row r="18531" spans="16:21" x14ac:dyDescent="0.35">
      <c r="P18531" s="226"/>
      <c r="Q18531" s="226"/>
      <c r="R18531" s="226"/>
      <c r="S18531" s="226"/>
      <c r="T18531" s="226"/>
      <c r="U18531" s="226"/>
    </row>
    <row r="18532" spans="16:21" x14ac:dyDescent="0.35">
      <c r="P18532" s="226"/>
      <c r="Q18532" s="226"/>
      <c r="R18532" s="226"/>
      <c r="S18532" s="226"/>
      <c r="T18532" s="226"/>
      <c r="U18532" s="226"/>
    </row>
    <row r="18533" spans="16:21" x14ac:dyDescent="0.35">
      <c r="P18533" s="226"/>
      <c r="Q18533" s="226"/>
      <c r="R18533" s="226"/>
      <c r="S18533" s="226"/>
      <c r="T18533" s="226"/>
      <c r="U18533" s="226"/>
    </row>
    <row r="18534" spans="16:21" x14ac:dyDescent="0.35">
      <c r="P18534" s="226"/>
      <c r="Q18534" s="226"/>
      <c r="R18534" s="226"/>
      <c r="S18534" s="226"/>
      <c r="T18534" s="226"/>
      <c r="U18534" s="226"/>
    </row>
    <row r="18535" spans="16:21" x14ac:dyDescent="0.35">
      <c r="P18535" s="226"/>
      <c r="Q18535" s="226"/>
      <c r="R18535" s="226"/>
      <c r="S18535" s="226"/>
      <c r="T18535" s="226"/>
      <c r="U18535" s="226"/>
    </row>
    <row r="18536" spans="16:21" x14ac:dyDescent="0.35">
      <c r="P18536" s="226"/>
      <c r="Q18536" s="226"/>
      <c r="R18536" s="226"/>
      <c r="S18536" s="226"/>
      <c r="T18536" s="226"/>
      <c r="U18536" s="226"/>
    </row>
    <row r="18537" spans="16:21" x14ac:dyDescent="0.35">
      <c r="P18537" s="226"/>
      <c r="Q18537" s="226"/>
      <c r="R18537" s="226"/>
      <c r="S18537" s="226"/>
      <c r="T18537" s="226"/>
      <c r="U18537" s="226"/>
    </row>
    <row r="18538" spans="16:21" x14ac:dyDescent="0.35">
      <c r="P18538" s="226"/>
      <c r="Q18538" s="226"/>
      <c r="R18538" s="226"/>
      <c r="S18538" s="226"/>
      <c r="T18538" s="226"/>
      <c r="U18538" s="226"/>
    </row>
    <row r="18539" spans="16:21" x14ac:dyDescent="0.35">
      <c r="P18539" s="226"/>
      <c r="Q18539" s="226"/>
      <c r="R18539" s="226"/>
      <c r="S18539" s="226"/>
      <c r="T18539" s="226"/>
      <c r="U18539" s="226"/>
    </row>
    <row r="18540" spans="16:21" x14ac:dyDescent="0.35">
      <c r="P18540" s="226"/>
      <c r="Q18540" s="226"/>
      <c r="R18540" s="226"/>
      <c r="S18540" s="226"/>
      <c r="T18540" s="226"/>
      <c r="U18540" s="226"/>
    </row>
    <row r="18541" spans="16:21" x14ac:dyDescent="0.35">
      <c r="P18541" s="226"/>
      <c r="Q18541" s="226"/>
      <c r="R18541" s="226"/>
      <c r="S18541" s="226"/>
      <c r="T18541" s="226"/>
      <c r="U18541" s="226"/>
    </row>
    <row r="18542" spans="16:21" x14ac:dyDescent="0.35">
      <c r="P18542" s="226"/>
      <c r="Q18542" s="226"/>
      <c r="R18542" s="226"/>
      <c r="S18542" s="226"/>
      <c r="T18542" s="226"/>
      <c r="U18542" s="226"/>
    </row>
    <row r="18543" spans="16:21" x14ac:dyDescent="0.35">
      <c r="P18543" s="226"/>
      <c r="Q18543" s="226"/>
      <c r="R18543" s="226"/>
      <c r="S18543" s="226"/>
      <c r="T18543" s="226"/>
      <c r="U18543" s="226"/>
    </row>
    <row r="18544" spans="16:21" x14ac:dyDescent="0.35">
      <c r="P18544" s="226"/>
      <c r="Q18544" s="226"/>
      <c r="R18544" s="226"/>
      <c r="S18544" s="226"/>
      <c r="T18544" s="226"/>
      <c r="U18544" s="226"/>
    </row>
    <row r="18545" spans="16:21" x14ac:dyDescent="0.35">
      <c r="P18545" s="226"/>
      <c r="Q18545" s="226"/>
      <c r="R18545" s="226"/>
      <c r="S18545" s="226"/>
      <c r="T18545" s="226"/>
      <c r="U18545" s="226"/>
    </row>
    <row r="18546" spans="16:21" x14ac:dyDescent="0.35">
      <c r="P18546" s="226"/>
      <c r="Q18546" s="226"/>
      <c r="R18546" s="226"/>
      <c r="S18546" s="226"/>
      <c r="T18546" s="226"/>
      <c r="U18546" s="226"/>
    </row>
    <row r="18547" spans="16:21" x14ac:dyDescent="0.35">
      <c r="P18547" s="226"/>
      <c r="Q18547" s="226"/>
      <c r="R18547" s="226"/>
      <c r="S18547" s="226"/>
      <c r="T18547" s="226"/>
      <c r="U18547" s="226"/>
    </row>
    <row r="18548" spans="16:21" x14ac:dyDescent="0.35">
      <c r="P18548" s="226"/>
      <c r="Q18548" s="226"/>
      <c r="R18548" s="226"/>
      <c r="S18548" s="226"/>
      <c r="T18548" s="226"/>
      <c r="U18548" s="226"/>
    </row>
    <row r="18549" spans="16:21" x14ac:dyDescent="0.35">
      <c r="P18549" s="226"/>
      <c r="Q18549" s="226"/>
      <c r="R18549" s="226"/>
      <c r="S18549" s="226"/>
      <c r="T18549" s="226"/>
      <c r="U18549" s="226"/>
    </row>
    <row r="18550" spans="16:21" x14ac:dyDescent="0.35">
      <c r="P18550" s="226"/>
      <c r="Q18550" s="226"/>
      <c r="R18550" s="226"/>
      <c r="S18550" s="226"/>
      <c r="T18550" s="226"/>
      <c r="U18550" s="226"/>
    </row>
    <row r="18551" spans="16:21" x14ac:dyDescent="0.35">
      <c r="P18551" s="226"/>
      <c r="Q18551" s="226"/>
      <c r="R18551" s="226"/>
      <c r="S18551" s="226"/>
      <c r="T18551" s="226"/>
      <c r="U18551" s="226"/>
    </row>
    <row r="18552" spans="16:21" x14ac:dyDescent="0.35">
      <c r="P18552" s="226"/>
      <c r="Q18552" s="226"/>
      <c r="R18552" s="226"/>
      <c r="S18552" s="226"/>
      <c r="T18552" s="226"/>
      <c r="U18552" s="226"/>
    </row>
    <row r="18553" spans="16:21" x14ac:dyDescent="0.35">
      <c r="P18553" s="226"/>
      <c r="Q18553" s="226"/>
      <c r="R18553" s="226"/>
      <c r="S18553" s="226"/>
      <c r="T18553" s="226"/>
      <c r="U18553" s="226"/>
    </row>
    <row r="18554" spans="16:21" x14ac:dyDescent="0.35">
      <c r="P18554" s="226"/>
      <c r="Q18554" s="226"/>
      <c r="R18554" s="226"/>
      <c r="S18554" s="226"/>
      <c r="T18554" s="226"/>
      <c r="U18554" s="226"/>
    </row>
    <row r="18555" spans="16:21" x14ac:dyDescent="0.35">
      <c r="P18555" s="226"/>
      <c r="Q18555" s="226"/>
      <c r="R18555" s="226"/>
      <c r="S18555" s="226"/>
      <c r="T18555" s="226"/>
      <c r="U18555" s="226"/>
    </row>
    <row r="18556" spans="16:21" x14ac:dyDescent="0.35">
      <c r="P18556" s="226"/>
      <c r="Q18556" s="226"/>
      <c r="R18556" s="226"/>
      <c r="S18556" s="226"/>
      <c r="T18556" s="226"/>
      <c r="U18556" s="226"/>
    </row>
    <row r="18557" spans="16:21" x14ac:dyDescent="0.35">
      <c r="P18557" s="226"/>
      <c r="Q18557" s="226"/>
      <c r="R18557" s="226"/>
      <c r="S18557" s="226"/>
      <c r="T18557" s="226"/>
      <c r="U18557" s="226"/>
    </row>
    <row r="18558" spans="16:21" x14ac:dyDescent="0.35">
      <c r="P18558" s="226"/>
      <c r="Q18558" s="226"/>
      <c r="R18558" s="226"/>
      <c r="S18558" s="226"/>
      <c r="T18558" s="226"/>
      <c r="U18558" s="226"/>
    </row>
    <row r="18559" spans="16:21" x14ac:dyDescent="0.35">
      <c r="P18559" s="226"/>
      <c r="Q18559" s="226"/>
      <c r="R18559" s="226"/>
      <c r="S18559" s="226"/>
      <c r="T18559" s="226"/>
      <c r="U18559" s="226"/>
    </row>
    <row r="18560" spans="16:21" x14ac:dyDescent="0.35">
      <c r="P18560" s="226"/>
      <c r="Q18560" s="226"/>
      <c r="R18560" s="226"/>
      <c r="S18560" s="226"/>
      <c r="T18560" s="226"/>
      <c r="U18560" s="226"/>
    </row>
    <row r="18561" spans="16:21" x14ac:dyDescent="0.35">
      <c r="P18561" s="226"/>
      <c r="Q18561" s="226"/>
      <c r="R18561" s="226"/>
      <c r="S18561" s="226"/>
      <c r="T18561" s="226"/>
      <c r="U18561" s="226"/>
    </row>
    <row r="18562" spans="16:21" x14ac:dyDescent="0.35">
      <c r="P18562" s="226"/>
      <c r="Q18562" s="226"/>
      <c r="R18562" s="226"/>
      <c r="S18562" s="226"/>
      <c r="T18562" s="226"/>
      <c r="U18562" s="226"/>
    </row>
    <row r="18563" spans="16:21" x14ac:dyDescent="0.35">
      <c r="P18563" s="226"/>
      <c r="Q18563" s="226"/>
      <c r="R18563" s="226"/>
      <c r="S18563" s="226"/>
      <c r="T18563" s="226"/>
      <c r="U18563" s="226"/>
    </row>
    <row r="18564" spans="16:21" x14ac:dyDescent="0.35">
      <c r="P18564" s="226"/>
      <c r="Q18564" s="226"/>
      <c r="R18564" s="226"/>
      <c r="S18564" s="226"/>
      <c r="T18564" s="226"/>
      <c r="U18564" s="226"/>
    </row>
    <row r="18565" spans="16:21" x14ac:dyDescent="0.35">
      <c r="P18565" s="226"/>
      <c r="Q18565" s="226"/>
      <c r="R18565" s="226"/>
      <c r="S18565" s="226"/>
      <c r="T18565" s="226"/>
      <c r="U18565" s="226"/>
    </row>
    <row r="18566" spans="16:21" x14ac:dyDescent="0.35">
      <c r="P18566" s="226"/>
      <c r="Q18566" s="226"/>
      <c r="R18566" s="226"/>
      <c r="S18566" s="226"/>
      <c r="T18566" s="226"/>
      <c r="U18566" s="226"/>
    </row>
    <row r="18567" spans="16:21" x14ac:dyDescent="0.35">
      <c r="P18567" s="226"/>
      <c r="Q18567" s="226"/>
      <c r="R18567" s="226"/>
      <c r="S18567" s="226"/>
      <c r="T18567" s="226"/>
      <c r="U18567" s="226"/>
    </row>
    <row r="18568" spans="16:21" x14ac:dyDescent="0.35">
      <c r="P18568" s="226"/>
      <c r="Q18568" s="226"/>
      <c r="R18568" s="226"/>
      <c r="S18568" s="226"/>
      <c r="T18568" s="226"/>
      <c r="U18568" s="226"/>
    </row>
    <row r="18569" spans="16:21" x14ac:dyDescent="0.35">
      <c r="P18569" s="226"/>
      <c r="Q18569" s="226"/>
      <c r="R18569" s="226"/>
      <c r="S18569" s="226"/>
      <c r="T18569" s="226"/>
      <c r="U18569" s="226"/>
    </row>
    <row r="18570" spans="16:21" x14ac:dyDescent="0.35">
      <c r="P18570" s="226"/>
      <c r="Q18570" s="226"/>
      <c r="R18570" s="226"/>
      <c r="S18570" s="226"/>
      <c r="T18570" s="226"/>
      <c r="U18570" s="226"/>
    </row>
    <row r="18571" spans="16:21" x14ac:dyDescent="0.35">
      <c r="P18571" s="226"/>
      <c r="Q18571" s="226"/>
      <c r="R18571" s="226"/>
      <c r="S18571" s="226"/>
      <c r="T18571" s="226"/>
      <c r="U18571" s="226"/>
    </row>
    <row r="18572" spans="16:21" x14ac:dyDescent="0.35">
      <c r="P18572" s="226"/>
      <c r="Q18572" s="226"/>
      <c r="R18572" s="226"/>
      <c r="S18572" s="226"/>
      <c r="T18572" s="226"/>
      <c r="U18572" s="226"/>
    </row>
    <row r="18573" spans="16:21" x14ac:dyDescent="0.35">
      <c r="P18573" s="226"/>
      <c r="Q18573" s="226"/>
      <c r="R18573" s="226"/>
      <c r="S18573" s="226"/>
      <c r="T18573" s="226"/>
      <c r="U18573" s="226"/>
    </row>
    <row r="18574" spans="16:21" x14ac:dyDescent="0.35">
      <c r="P18574" s="226"/>
      <c r="Q18574" s="226"/>
      <c r="R18574" s="226"/>
      <c r="S18574" s="226"/>
      <c r="T18574" s="226"/>
      <c r="U18574" s="226"/>
    </row>
    <row r="18575" spans="16:21" x14ac:dyDescent="0.35">
      <c r="P18575" s="226"/>
      <c r="Q18575" s="226"/>
      <c r="R18575" s="226"/>
      <c r="S18575" s="226"/>
      <c r="T18575" s="226"/>
      <c r="U18575" s="226"/>
    </row>
    <row r="18576" spans="16:21" x14ac:dyDescent="0.35">
      <c r="P18576" s="226"/>
      <c r="Q18576" s="226"/>
      <c r="R18576" s="226"/>
      <c r="S18576" s="226"/>
      <c r="T18576" s="226"/>
      <c r="U18576" s="226"/>
    </row>
    <row r="18577" spans="16:21" x14ac:dyDescent="0.35">
      <c r="P18577" s="226"/>
      <c r="Q18577" s="226"/>
      <c r="R18577" s="226"/>
      <c r="S18577" s="226"/>
      <c r="T18577" s="226"/>
      <c r="U18577" s="226"/>
    </row>
    <row r="18578" spans="16:21" x14ac:dyDescent="0.35">
      <c r="P18578" s="226"/>
      <c r="Q18578" s="226"/>
      <c r="R18578" s="226"/>
      <c r="S18578" s="226"/>
      <c r="T18578" s="226"/>
      <c r="U18578" s="226"/>
    </row>
    <row r="18579" spans="16:21" x14ac:dyDescent="0.35">
      <c r="P18579" s="226"/>
      <c r="Q18579" s="226"/>
      <c r="R18579" s="226"/>
      <c r="S18579" s="226"/>
      <c r="T18579" s="226"/>
      <c r="U18579" s="226"/>
    </row>
    <row r="18580" spans="16:21" x14ac:dyDescent="0.35">
      <c r="P18580" s="226"/>
      <c r="Q18580" s="226"/>
      <c r="R18580" s="226"/>
      <c r="S18580" s="226"/>
      <c r="T18580" s="226"/>
      <c r="U18580" s="226"/>
    </row>
    <row r="18581" spans="16:21" x14ac:dyDescent="0.35">
      <c r="P18581" s="226"/>
      <c r="Q18581" s="226"/>
      <c r="R18581" s="226"/>
      <c r="S18581" s="226"/>
      <c r="T18581" s="226"/>
      <c r="U18581" s="226"/>
    </row>
    <row r="18582" spans="16:21" x14ac:dyDescent="0.35">
      <c r="P18582" s="226"/>
      <c r="Q18582" s="226"/>
      <c r="R18582" s="226"/>
      <c r="S18582" s="226"/>
      <c r="T18582" s="226"/>
      <c r="U18582" s="226"/>
    </row>
    <row r="18583" spans="16:21" x14ac:dyDescent="0.35">
      <c r="P18583" s="226"/>
      <c r="Q18583" s="226"/>
      <c r="R18583" s="226"/>
      <c r="S18583" s="226"/>
      <c r="T18583" s="226"/>
      <c r="U18583" s="226"/>
    </row>
    <row r="18584" spans="16:21" x14ac:dyDescent="0.35">
      <c r="P18584" s="226"/>
      <c r="Q18584" s="226"/>
      <c r="R18584" s="226"/>
      <c r="S18584" s="226"/>
      <c r="T18584" s="226"/>
      <c r="U18584" s="226"/>
    </row>
    <row r="18585" spans="16:21" x14ac:dyDescent="0.35">
      <c r="P18585" s="226"/>
      <c r="Q18585" s="226"/>
      <c r="R18585" s="226"/>
      <c r="S18585" s="226"/>
      <c r="T18585" s="226"/>
      <c r="U18585" s="226"/>
    </row>
    <row r="18586" spans="16:21" x14ac:dyDescent="0.35">
      <c r="P18586" s="226"/>
      <c r="Q18586" s="226"/>
      <c r="R18586" s="226"/>
      <c r="S18586" s="226"/>
      <c r="T18586" s="226"/>
      <c r="U18586" s="226"/>
    </row>
    <row r="18587" spans="16:21" x14ac:dyDescent="0.35">
      <c r="P18587" s="226"/>
      <c r="Q18587" s="226"/>
      <c r="R18587" s="226"/>
      <c r="S18587" s="226"/>
      <c r="T18587" s="226"/>
      <c r="U18587" s="226"/>
    </row>
    <row r="18588" spans="16:21" x14ac:dyDescent="0.35">
      <c r="P18588" s="226"/>
      <c r="Q18588" s="226"/>
      <c r="R18588" s="226"/>
      <c r="S18588" s="226"/>
      <c r="T18588" s="226"/>
      <c r="U18588" s="226"/>
    </row>
    <row r="18589" spans="16:21" x14ac:dyDescent="0.35">
      <c r="P18589" s="226"/>
      <c r="Q18589" s="226"/>
      <c r="R18589" s="226"/>
      <c r="S18589" s="226"/>
      <c r="T18589" s="226"/>
      <c r="U18589" s="226"/>
    </row>
    <row r="18590" spans="16:21" x14ac:dyDescent="0.35">
      <c r="P18590" s="226"/>
      <c r="Q18590" s="226"/>
      <c r="R18590" s="226"/>
      <c r="S18590" s="226"/>
      <c r="T18590" s="226"/>
      <c r="U18590" s="226"/>
    </row>
    <row r="18591" spans="16:21" x14ac:dyDescent="0.35">
      <c r="P18591" s="226"/>
      <c r="Q18591" s="226"/>
      <c r="R18591" s="226"/>
      <c r="S18591" s="226"/>
      <c r="T18591" s="226"/>
      <c r="U18591" s="226"/>
    </row>
    <row r="18592" spans="16:21" x14ac:dyDescent="0.35">
      <c r="P18592" s="226"/>
      <c r="Q18592" s="226"/>
      <c r="R18592" s="226"/>
      <c r="S18592" s="226"/>
      <c r="T18592" s="226"/>
      <c r="U18592" s="226"/>
    </row>
    <row r="18593" spans="16:21" x14ac:dyDescent="0.35">
      <c r="P18593" s="226"/>
      <c r="Q18593" s="226"/>
      <c r="R18593" s="226"/>
      <c r="S18593" s="226"/>
      <c r="T18593" s="226"/>
      <c r="U18593" s="226"/>
    </row>
    <row r="18594" spans="16:21" x14ac:dyDescent="0.35">
      <c r="P18594" s="226"/>
      <c r="Q18594" s="226"/>
      <c r="R18594" s="226"/>
      <c r="S18594" s="226"/>
      <c r="T18594" s="226"/>
      <c r="U18594" s="226"/>
    </row>
    <row r="18595" spans="16:21" x14ac:dyDescent="0.35">
      <c r="P18595" s="226"/>
      <c r="Q18595" s="226"/>
      <c r="R18595" s="226"/>
      <c r="S18595" s="226"/>
      <c r="T18595" s="226"/>
      <c r="U18595" s="226"/>
    </row>
    <row r="18596" spans="16:21" x14ac:dyDescent="0.35">
      <c r="P18596" s="226"/>
      <c r="Q18596" s="226"/>
      <c r="R18596" s="226"/>
      <c r="S18596" s="226"/>
      <c r="T18596" s="226"/>
      <c r="U18596" s="226"/>
    </row>
    <row r="18597" spans="16:21" x14ac:dyDescent="0.35">
      <c r="P18597" s="226"/>
      <c r="Q18597" s="226"/>
      <c r="R18597" s="226"/>
      <c r="S18597" s="226"/>
      <c r="T18597" s="226"/>
      <c r="U18597" s="226"/>
    </row>
    <row r="18598" spans="16:21" x14ac:dyDescent="0.35">
      <c r="P18598" s="226"/>
      <c r="Q18598" s="226"/>
      <c r="R18598" s="226"/>
      <c r="S18598" s="226"/>
      <c r="T18598" s="226"/>
      <c r="U18598" s="226"/>
    </row>
    <row r="18599" spans="16:21" x14ac:dyDescent="0.35">
      <c r="P18599" s="226"/>
      <c r="Q18599" s="226"/>
      <c r="R18599" s="226"/>
      <c r="S18599" s="226"/>
      <c r="T18599" s="226"/>
      <c r="U18599" s="226"/>
    </row>
    <row r="18600" spans="16:21" x14ac:dyDescent="0.35">
      <c r="P18600" s="226"/>
      <c r="Q18600" s="226"/>
      <c r="R18600" s="226"/>
      <c r="S18600" s="226"/>
      <c r="T18600" s="226"/>
      <c r="U18600" s="226"/>
    </row>
    <row r="18601" spans="16:21" x14ac:dyDescent="0.35">
      <c r="P18601" s="226"/>
      <c r="Q18601" s="226"/>
      <c r="R18601" s="226"/>
      <c r="S18601" s="226"/>
      <c r="T18601" s="226"/>
      <c r="U18601" s="226"/>
    </row>
    <row r="18602" spans="16:21" x14ac:dyDescent="0.35">
      <c r="P18602" s="226"/>
      <c r="Q18602" s="226"/>
      <c r="R18602" s="226"/>
      <c r="S18602" s="226"/>
      <c r="T18602" s="226"/>
      <c r="U18602" s="226"/>
    </row>
    <row r="18603" spans="16:21" x14ac:dyDescent="0.35">
      <c r="P18603" s="226"/>
      <c r="Q18603" s="226"/>
      <c r="R18603" s="226"/>
      <c r="S18603" s="226"/>
      <c r="T18603" s="226"/>
      <c r="U18603" s="226"/>
    </row>
    <row r="18604" spans="16:21" x14ac:dyDescent="0.35">
      <c r="P18604" s="226"/>
      <c r="Q18604" s="226"/>
      <c r="R18604" s="226"/>
      <c r="S18604" s="226"/>
      <c r="T18604" s="226"/>
      <c r="U18604" s="226"/>
    </row>
    <row r="18605" spans="16:21" x14ac:dyDescent="0.35">
      <c r="P18605" s="226"/>
      <c r="Q18605" s="226"/>
      <c r="R18605" s="226"/>
      <c r="S18605" s="226"/>
      <c r="T18605" s="226"/>
      <c r="U18605" s="226"/>
    </row>
    <row r="18606" spans="16:21" x14ac:dyDescent="0.35">
      <c r="P18606" s="226"/>
      <c r="Q18606" s="226"/>
      <c r="R18606" s="226"/>
      <c r="S18606" s="226"/>
      <c r="T18606" s="226"/>
      <c r="U18606" s="226"/>
    </row>
    <row r="18607" spans="16:21" x14ac:dyDescent="0.35">
      <c r="P18607" s="226"/>
      <c r="Q18607" s="226"/>
      <c r="R18607" s="226"/>
      <c r="S18607" s="226"/>
      <c r="T18607" s="226"/>
      <c r="U18607" s="226"/>
    </row>
    <row r="18608" spans="16:21" x14ac:dyDescent="0.35">
      <c r="P18608" s="226"/>
      <c r="Q18608" s="226"/>
      <c r="R18608" s="226"/>
      <c r="S18608" s="226"/>
      <c r="T18608" s="226"/>
      <c r="U18608" s="226"/>
    </row>
    <row r="18609" spans="16:21" x14ac:dyDescent="0.35">
      <c r="P18609" s="226"/>
      <c r="Q18609" s="226"/>
      <c r="R18609" s="226"/>
      <c r="S18609" s="226"/>
      <c r="T18609" s="226"/>
      <c r="U18609" s="226"/>
    </row>
    <row r="18610" spans="16:21" x14ac:dyDescent="0.35">
      <c r="P18610" s="226"/>
      <c r="Q18610" s="226"/>
      <c r="R18610" s="226"/>
      <c r="S18610" s="226"/>
      <c r="T18610" s="226"/>
      <c r="U18610" s="226"/>
    </row>
    <row r="18611" spans="16:21" x14ac:dyDescent="0.35">
      <c r="P18611" s="226"/>
      <c r="Q18611" s="226"/>
      <c r="R18611" s="226"/>
      <c r="S18611" s="226"/>
      <c r="T18611" s="226"/>
      <c r="U18611" s="226"/>
    </row>
    <row r="18612" spans="16:21" x14ac:dyDescent="0.35">
      <c r="P18612" s="226"/>
      <c r="Q18612" s="226"/>
      <c r="R18612" s="226"/>
      <c r="S18612" s="226"/>
      <c r="T18612" s="226"/>
      <c r="U18612" s="226"/>
    </row>
    <row r="18613" spans="16:21" x14ac:dyDescent="0.35">
      <c r="P18613" s="226"/>
      <c r="Q18613" s="226"/>
      <c r="R18613" s="226"/>
      <c r="S18613" s="226"/>
      <c r="T18613" s="226"/>
      <c r="U18613" s="226"/>
    </row>
    <row r="18614" spans="16:21" x14ac:dyDescent="0.35">
      <c r="P18614" s="226"/>
      <c r="Q18614" s="226"/>
      <c r="R18614" s="226"/>
      <c r="S18614" s="226"/>
      <c r="T18614" s="226"/>
      <c r="U18614" s="226"/>
    </row>
    <row r="18615" spans="16:21" x14ac:dyDescent="0.35">
      <c r="P18615" s="226"/>
      <c r="Q18615" s="226"/>
      <c r="R18615" s="226"/>
      <c r="S18615" s="226"/>
      <c r="T18615" s="226"/>
      <c r="U18615" s="226"/>
    </row>
    <row r="18616" spans="16:21" x14ac:dyDescent="0.35">
      <c r="P18616" s="226"/>
      <c r="Q18616" s="226"/>
      <c r="R18616" s="226"/>
      <c r="S18616" s="226"/>
      <c r="T18616" s="226"/>
      <c r="U18616" s="226"/>
    </row>
    <row r="18617" spans="16:21" x14ac:dyDescent="0.35">
      <c r="P18617" s="226"/>
      <c r="Q18617" s="226"/>
      <c r="R18617" s="226"/>
      <c r="S18617" s="226"/>
      <c r="T18617" s="226"/>
      <c r="U18617" s="226"/>
    </row>
    <row r="18618" spans="16:21" x14ac:dyDescent="0.35">
      <c r="P18618" s="226"/>
      <c r="Q18618" s="226"/>
      <c r="R18618" s="226"/>
      <c r="S18618" s="226"/>
      <c r="T18618" s="226"/>
      <c r="U18618" s="226"/>
    </row>
    <row r="18619" spans="16:21" x14ac:dyDescent="0.35">
      <c r="P18619" s="226"/>
      <c r="Q18619" s="226"/>
      <c r="R18619" s="226"/>
      <c r="S18619" s="226"/>
      <c r="T18619" s="226"/>
      <c r="U18619" s="226"/>
    </row>
    <row r="18620" spans="16:21" x14ac:dyDescent="0.35">
      <c r="P18620" s="226"/>
      <c r="Q18620" s="226"/>
      <c r="R18620" s="226"/>
      <c r="S18620" s="226"/>
      <c r="T18620" s="226"/>
      <c r="U18620" s="226"/>
    </row>
    <row r="18621" spans="16:21" x14ac:dyDescent="0.35">
      <c r="P18621" s="226"/>
      <c r="Q18621" s="226"/>
      <c r="R18621" s="226"/>
      <c r="S18621" s="226"/>
      <c r="T18621" s="226"/>
      <c r="U18621" s="226"/>
    </row>
    <row r="18622" spans="16:21" x14ac:dyDescent="0.35">
      <c r="P18622" s="226"/>
      <c r="Q18622" s="226"/>
      <c r="R18622" s="226"/>
      <c r="S18622" s="226"/>
      <c r="T18622" s="226"/>
      <c r="U18622" s="226"/>
    </row>
    <row r="18623" spans="16:21" x14ac:dyDescent="0.35">
      <c r="P18623" s="226"/>
      <c r="Q18623" s="226"/>
      <c r="R18623" s="226"/>
      <c r="S18623" s="226"/>
      <c r="T18623" s="226"/>
      <c r="U18623" s="226"/>
    </row>
    <row r="18624" spans="16:21" x14ac:dyDescent="0.35">
      <c r="P18624" s="226"/>
      <c r="Q18624" s="226"/>
      <c r="R18624" s="226"/>
      <c r="S18624" s="226"/>
      <c r="T18624" s="226"/>
      <c r="U18624" s="226"/>
    </row>
    <row r="18625" spans="16:21" x14ac:dyDescent="0.35">
      <c r="P18625" s="226"/>
      <c r="Q18625" s="226"/>
      <c r="R18625" s="226"/>
      <c r="S18625" s="226"/>
      <c r="T18625" s="226"/>
      <c r="U18625" s="226"/>
    </row>
    <row r="18626" spans="16:21" x14ac:dyDescent="0.35">
      <c r="P18626" s="226"/>
      <c r="Q18626" s="226"/>
      <c r="R18626" s="226"/>
      <c r="S18626" s="226"/>
      <c r="T18626" s="226"/>
      <c r="U18626" s="226"/>
    </row>
    <row r="18627" spans="16:21" x14ac:dyDescent="0.35">
      <c r="P18627" s="226"/>
      <c r="Q18627" s="226"/>
      <c r="R18627" s="226"/>
      <c r="S18627" s="226"/>
      <c r="T18627" s="226"/>
      <c r="U18627" s="226"/>
    </row>
    <row r="18628" spans="16:21" x14ac:dyDescent="0.35">
      <c r="P18628" s="226"/>
      <c r="Q18628" s="226"/>
      <c r="R18628" s="226"/>
      <c r="S18628" s="226"/>
      <c r="T18628" s="226"/>
      <c r="U18628" s="226"/>
    </row>
    <row r="18629" spans="16:21" x14ac:dyDescent="0.35">
      <c r="P18629" s="226"/>
      <c r="Q18629" s="226"/>
      <c r="R18629" s="226"/>
      <c r="S18629" s="226"/>
      <c r="T18629" s="226"/>
      <c r="U18629" s="226"/>
    </row>
    <row r="18630" spans="16:21" x14ac:dyDescent="0.35">
      <c r="P18630" s="226"/>
      <c r="Q18630" s="226"/>
      <c r="R18630" s="226"/>
      <c r="S18630" s="226"/>
      <c r="T18630" s="226"/>
      <c r="U18630" s="226"/>
    </row>
    <row r="18631" spans="16:21" x14ac:dyDescent="0.35">
      <c r="P18631" s="226"/>
      <c r="Q18631" s="226"/>
      <c r="R18631" s="226"/>
      <c r="S18631" s="226"/>
      <c r="T18631" s="226"/>
      <c r="U18631" s="226"/>
    </row>
    <row r="18632" spans="16:21" x14ac:dyDescent="0.35">
      <c r="P18632" s="226"/>
      <c r="Q18632" s="226"/>
      <c r="R18632" s="226"/>
      <c r="S18632" s="226"/>
      <c r="T18632" s="226"/>
      <c r="U18632" s="226"/>
    </row>
    <row r="18633" spans="16:21" x14ac:dyDescent="0.35">
      <c r="P18633" s="226"/>
      <c r="Q18633" s="226"/>
      <c r="R18633" s="226"/>
      <c r="S18633" s="226"/>
      <c r="T18633" s="226"/>
      <c r="U18633" s="226"/>
    </row>
    <row r="18634" spans="16:21" x14ac:dyDescent="0.35">
      <c r="P18634" s="226"/>
      <c r="Q18634" s="226"/>
      <c r="R18634" s="226"/>
      <c r="S18634" s="226"/>
      <c r="T18634" s="226"/>
      <c r="U18634" s="226"/>
    </row>
    <row r="18635" spans="16:21" x14ac:dyDescent="0.35">
      <c r="P18635" s="226"/>
      <c r="Q18635" s="226"/>
      <c r="R18635" s="226"/>
      <c r="S18635" s="226"/>
      <c r="T18635" s="226"/>
      <c r="U18635" s="226"/>
    </row>
    <row r="18636" spans="16:21" x14ac:dyDescent="0.35">
      <c r="P18636" s="226"/>
      <c r="Q18636" s="226"/>
      <c r="R18636" s="226"/>
      <c r="S18636" s="226"/>
      <c r="T18636" s="226"/>
      <c r="U18636" s="226"/>
    </row>
    <row r="18637" spans="16:21" x14ac:dyDescent="0.35">
      <c r="P18637" s="226"/>
      <c r="Q18637" s="226"/>
      <c r="R18637" s="226"/>
      <c r="S18637" s="226"/>
      <c r="T18637" s="226"/>
      <c r="U18637" s="226"/>
    </row>
    <row r="18638" spans="16:21" x14ac:dyDescent="0.35">
      <c r="P18638" s="226"/>
      <c r="Q18638" s="226"/>
      <c r="R18638" s="226"/>
      <c r="S18638" s="226"/>
      <c r="T18638" s="226"/>
      <c r="U18638" s="226"/>
    </row>
    <row r="18639" spans="16:21" x14ac:dyDescent="0.35">
      <c r="P18639" s="226"/>
      <c r="Q18639" s="226"/>
      <c r="R18639" s="226"/>
      <c r="S18639" s="226"/>
      <c r="T18639" s="226"/>
      <c r="U18639" s="226"/>
    </row>
    <row r="18640" spans="16:21" x14ac:dyDescent="0.35">
      <c r="P18640" s="226"/>
      <c r="Q18640" s="226"/>
      <c r="R18640" s="226"/>
      <c r="S18640" s="226"/>
      <c r="T18640" s="226"/>
      <c r="U18640" s="226"/>
    </row>
    <row r="18641" spans="16:21" x14ac:dyDescent="0.35">
      <c r="P18641" s="226"/>
      <c r="Q18641" s="226"/>
      <c r="R18641" s="226"/>
      <c r="S18641" s="226"/>
      <c r="T18641" s="226"/>
      <c r="U18641" s="226"/>
    </row>
    <row r="18642" spans="16:21" x14ac:dyDescent="0.35">
      <c r="P18642" s="226"/>
      <c r="Q18642" s="226"/>
      <c r="R18642" s="226"/>
      <c r="S18642" s="226"/>
      <c r="T18642" s="226"/>
      <c r="U18642" s="226"/>
    </row>
    <row r="18643" spans="16:21" x14ac:dyDescent="0.35">
      <c r="P18643" s="226"/>
      <c r="Q18643" s="226"/>
      <c r="R18643" s="226"/>
      <c r="S18643" s="226"/>
      <c r="T18643" s="226"/>
      <c r="U18643" s="226"/>
    </row>
    <row r="18644" spans="16:21" x14ac:dyDescent="0.35">
      <c r="P18644" s="226"/>
      <c r="Q18644" s="226"/>
      <c r="R18644" s="226"/>
      <c r="S18644" s="226"/>
      <c r="T18644" s="226"/>
      <c r="U18644" s="226"/>
    </row>
    <row r="18645" spans="16:21" x14ac:dyDescent="0.35">
      <c r="P18645" s="226"/>
      <c r="Q18645" s="226"/>
      <c r="R18645" s="226"/>
      <c r="S18645" s="226"/>
      <c r="T18645" s="226"/>
      <c r="U18645" s="226"/>
    </row>
    <row r="18646" spans="16:21" x14ac:dyDescent="0.35">
      <c r="P18646" s="226"/>
      <c r="Q18646" s="226"/>
      <c r="R18646" s="226"/>
      <c r="S18646" s="226"/>
      <c r="T18646" s="226"/>
      <c r="U18646" s="226"/>
    </row>
    <row r="18647" spans="16:21" x14ac:dyDescent="0.35">
      <c r="P18647" s="226"/>
      <c r="Q18647" s="226"/>
      <c r="R18647" s="226"/>
      <c r="S18647" s="226"/>
      <c r="T18647" s="226"/>
      <c r="U18647" s="226"/>
    </row>
    <row r="18648" spans="16:21" x14ac:dyDescent="0.35">
      <c r="P18648" s="226"/>
      <c r="Q18648" s="226"/>
      <c r="R18648" s="226"/>
      <c r="S18648" s="226"/>
      <c r="T18648" s="226"/>
      <c r="U18648" s="226"/>
    </row>
    <row r="18649" spans="16:21" x14ac:dyDescent="0.35">
      <c r="P18649" s="226"/>
      <c r="Q18649" s="226"/>
      <c r="R18649" s="226"/>
      <c r="S18649" s="226"/>
      <c r="T18649" s="226"/>
      <c r="U18649" s="226"/>
    </row>
    <row r="18650" spans="16:21" x14ac:dyDescent="0.35">
      <c r="P18650" s="226"/>
      <c r="Q18650" s="226"/>
      <c r="R18650" s="226"/>
      <c r="S18650" s="226"/>
      <c r="T18650" s="226"/>
      <c r="U18650" s="226"/>
    </row>
    <row r="18651" spans="16:21" x14ac:dyDescent="0.35">
      <c r="P18651" s="226"/>
      <c r="Q18651" s="226"/>
      <c r="R18651" s="226"/>
      <c r="S18651" s="226"/>
      <c r="T18651" s="226"/>
      <c r="U18651" s="226"/>
    </row>
    <row r="18652" spans="16:21" x14ac:dyDescent="0.35">
      <c r="P18652" s="226"/>
      <c r="Q18652" s="226"/>
      <c r="R18652" s="226"/>
      <c r="S18652" s="226"/>
      <c r="T18652" s="226"/>
      <c r="U18652" s="226"/>
    </row>
    <row r="18653" spans="16:21" x14ac:dyDescent="0.35">
      <c r="P18653" s="226"/>
      <c r="Q18653" s="226"/>
      <c r="R18653" s="226"/>
      <c r="S18653" s="226"/>
      <c r="T18653" s="226"/>
      <c r="U18653" s="226"/>
    </row>
    <row r="18654" spans="16:21" x14ac:dyDescent="0.35">
      <c r="P18654" s="226"/>
      <c r="Q18654" s="226"/>
      <c r="R18654" s="226"/>
      <c r="S18654" s="226"/>
      <c r="T18654" s="226"/>
      <c r="U18654" s="226"/>
    </row>
    <row r="18655" spans="16:21" x14ac:dyDescent="0.35">
      <c r="P18655" s="226"/>
      <c r="Q18655" s="226"/>
      <c r="R18655" s="226"/>
      <c r="S18655" s="226"/>
      <c r="T18655" s="226"/>
      <c r="U18655" s="226"/>
    </row>
    <row r="18656" spans="16:21" x14ac:dyDescent="0.35">
      <c r="P18656" s="226"/>
      <c r="Q18656" s="226"/>
      <c r="R18656" s="226"/>
      <c r="S18656" s="226"/>
      <c r="T18656" s="226"/>
      <c r="U18656" s="226"/>
    </row>
    <row r="18657" spans="16:21" x14ac:dyDescent="0.35">
      <c r="P18657" s="226"/>
      <c r="Q18657" s="226"/>
      <c r="R18657" s="226"/>
      <c r="S18657" s="226"/>
      <c r="T18657" s="226"/>
      <c r="U18657" s="226"/>
    </row>
    <row r="18658" spans="16:21" x14ac:dyDescent="0.35">
      <c r="P18658" s="226"/>
      <c r="Q18658" s="226"/>
      <c r="R18658" s="226"/>
      <c r="S18658" s="226"/>
      <c r="T18658" s="226"/>
      <c r="U18658" s="226"/>
    </row>
    <row r="18659" spans="16:21" x14ac:dyDescent="0.35">
      <c r="P18659" s="226"/>
      <c r="Q18659" s="226"/>
      <c r="R18659" s="226"/>
      <c r="S18659" s="226"/>
      <c r="T18659" s="226"/>
      <c r="U18659" s="226"/>
    </row>
    <row r="18660" spans="16:21" x14ac:dyDescent="0.35">
      <c r="P18660" s="226"/>
      <c r="Q18660" s="226"/>
      <c r="R18660" s="226"/>
      <c r="S18660" s="226"/>
      <c r="T18660" s="226"/>
      <c r="U18660" s="226"/>
    </row>
    <row r="18661" spans="16:21" x14ac:dyDescent="0.35">
      <c r="P18661" s="226"/>
      <c r="Q18661" s="226"/>
      <c r="R18661" s="226"/>
      <c r="S18661" s="226"/>
      <c r="T18661" s="226"/>
      <c r="U18661" s="226"/>
    </row>
    <row r="18662" spans="16:21" x14ac:dyDescent="0.35">
      <c r="P18662" s="226"/>
      <c r="Q18662" s="226"/>
      <c r="R18662" s="226"/>
      <c r="S18662" s="226"/>
      <c r="T18662" s="226"/>
      <c r="U18662" s="226"/>
    </row>
    <row r="18663" spans="16:21" x14ac:dyDescent="0.35">
      <c r="P18663" s="226"/>
      <c r="Q18663" s="226"/>
      <c r="R18663" s="226"/>
      <c r="S18663" s="226"/>
      <c r="T18663" s="226"/>
      <c r="U18663" s="226"/>
    </row>
    <row r="18664" spans="16:21" x14ac:dyDescent="0.35">
      <c r="P18664" s="226"/>
      <c r="Q18664" s="226"/>
      <c r="R18664" s="226"/>
      <c r="S18664" s="226"/>
      <c r="T18664" s="226"/>
      <c r="U18664" s="226"/>
    </row>
    <row r="18665" spans="16:21" x14ac:dyDescent="0.35">
      <c r="P18665" s="226"/>
      <c r="Q18665" s="226"/>
      <c r="R18665" s="226"/>
      <c r="S18665" s="226"/>
      <c r="T18665" s="226"/>
      <c r="U18665" s="226"/>
    </row>
    <row r="18666" spans="16:21" x14ac:dyDescent="0.35">
      <c r="P18666" s="226"/>
      <c r="Q18666" s="226"/>
      <c r="R18666" s="226"/>
      <c r="S18666" s="226"/>
      <c r="T18666" s="226"/>
      <c r="U18666" s="226"/>
    </row>
    <row r="18667" spans="16:21" x14ac:dyDescent="0.35">
      <c r="P18667" s="226"/>
      <c r="Q18667" s="226"/>
      <c r="R18667" s="226"/>
      <c r="S18667" s="226"/>
      <c r="T18667" s="226"/>
      <c r="U18667" s="226"/>
    </row>
    <row r="18668" spans="16:21" x14ac:dyDescent="0.35">
      <c r="P18668" s="226"/>
      <c r="Q18668" s="226"/>
      <c r="R18668" s="226"/>
      <c r="S18668" s="226"/>
      <c r="T18668" s="226"/>
      <c r="U18668" s="226"/>
    </row>
    <row r="18669" spans="16:21" x14ac:dyDescent="0.35">
      <c r="P18669" s="226"/>
      <c r="Q18669" s="226"/>
      <c r="R18669" s="226"/>
      <c r="S18669" s="226"/>
      <c r="T18669" s="226"/>
      <c r="U18669" s="226"/>
    </row>
    <row r="18670" spans="16:21" x14ac:dyDescent="0.35">
      <c r="P18670" s="226"/>
      <c r="Q18670" s="226"/>
      <c r="R18670" s="226"/>
      <c r="S18670" s="226"/>
      <c r="T18670" s="226"/>
      <c r="U18670" s="226"/>
    </row>
    <row r="18671" spans="16:21" x14ac:dyDescent="0.35">
      <c r="P18671" s="226"/>
      <c r="Q18671" s="226"/>
      <c r="R18671" s="226"/>
      <c r="S18671" s="226"/>
      <c r="T18671" s="226"/>
      <c r="U18671" s="226"/>
    </row>
    <row r="18672" spans="16:21" x14ac:dyDescent="0.35">
      <c r="P18672" s="226"/>
      <c r="Q18672" s="226"/>
      <c r="R18672" s="226"/>
      <c r="S18672" s="226"/>
      <c r="T18672" s="226"/>
      <c r="U18672" s="226"/>
    </row>
    <row r="18673" spans="16:21" x14ac:dyDescent="0.35">
      <c r="P18673" s="226"/>
      <c r="Q18673" s="226"/>
      <c r="R18673" s="226"/>
      <c r="S18673" s="226"/>
      <c r="T18673" s="226"/>
      <c r="U18673" s="226"/>
    </row>
    <row r="18674" spans="16:21" x14ac:dyDescent="0.35">
      <c r="P18674" s="226"/>
      <c r="Q18674" s="226"/>
      <c r="R18674" s="226"/>
      <c r="S18674" s="226"/>
      <c r="T18674" s="226"/>
      <c r="U18674" s="226"/>
    </row>
    <row r="18675" spans="16:21" x14ac:dyDescent="0.35">
      <c r="P18675" s="226"/>
      <c r="Q18675" s="226"/>
      <c r="R18675" s="226"/>
      <c r="S18675" s="226"/>
      <c r="T18675" s="226"/>
      <c r="U18675" s="226"/>
    </row>
    <row r="18676" spans="16:21" x14ac:dyDescent="0.35">
      <c r="P18676" s="226"/>
      <c r="Q18676" s="226"/>
      <c r="R18676" s="226"/>
      <c r="S18676" s="226"/>
      <c r="T18676" s="226"/>
      <c r="U18676" s="226"/>
    </row>
    <row r="18677" spans="16:21" x14ac:dyDescent="0.35">
      <c r="P18677" s="226"/>
      <c r="Q18677" s="226"/>
      <c r="R18677" s="226"/>
      <c r="S18677" s="226"/>
      <c r="T18677" s="226"/>
      <c r="U18677" s="226"/>
    </row>
    <row r="18678" spans="16:21" x14ac:dyDescent="0.35">
      <c r="P18678" s="226"/>
      <c r="Q18678" s="226"/>
      <c r="R18678" s="226"/>
      <c r="S18678" s="226"/>
      <c r="T18678" s="226"/>
      <c r="U18678" s="226"/>
    </row>
    <row r="18679" spans="16:21" x14ac:dyDescent="0.35">
      <c r="P18679" s="226"/>
      <c r="Q18679" s="226"/>
      <c r="R18679" s="226"/>
      <c r="S18679" s="226"/>
      <c r="T18679" s="226"/>
      <c r="U18679" s="226"/>
    </row>
    <row r="18680" spans="16:21" x14ac:dyDescent="0.35">
      <c r="P18680" s="226"/>
      <c r="Q18680" s="226"/>
      <c r="R18680" s="226"/>
      <c r="S18680" s="226"/>
      <c r="T18680" s="226"/>
      <c r="U18680" s="226"/>
    </row>
    <row r="18681" spans="16:21" x14ac:dyDescent="0.35">
      <c r="P18681" s="226"/>
      <c r="Q18681" s="226"/>
      <c r="R18681" s="226"/>
      <c r="S18681" s="226"/>
      <c r="T18681" s="226"/>
      <c r="U18681" s="226"/>
    </row>
    <row r="18682" spans="16:21" x14ac:dyDescent="0.35">
      <c r="P18682" s="226"/>
      <c r="Q18682" s="226"/>
      <c r="R18682" s="226"/>
      <c r="S18682" s="226"/>
      <c r="T18682" s="226"/>
      <c r="U18682" s="226"/>
    </row>
    <row r="18683" spans="16:21" x14ac:dyDescent="0.35">
      <c r="P18683" s="226"/>
      <c r="Q18683" s="226"/>
      <c r="R18683" s="226"/>
      <c r="S18683" s="226"/>
      <c r="T18683" s="226"/>
      <c r="U18683" s="226"/>
    </row>
    <row r="18684" spans="16:21" x14ac:dyDescent="0.35">
      <c r="P18684" s="226"/>
      <c r="Q18684" s="226"/>
      <c r="R18684" s="226"/>
      <c r="S18684" s="226"/>
      <c r="T18684" s="226"/>
      <c r="U18684" s="226"/>
    </row>
    <row r="18685" spans="16:21" x14ac:dyDescent="0.35">
      <c r="P18685" s="226"/>
      <c r="Q18685" s="226"/>
      <c r="R18685" s="226"/>
      <c r="S18685" s="226"/>
      <c r="T18685" s="226"/>
      <c r="U18685" s="226"/>
    </row>
    <row r="18686" spans="16:21" x14ac:dyDescent="0.35">
      <c r="P18686" s="226"/>
      <c r="Q18686" s="226"/>
      <c r="R18686" s="226"/>
      <c r="S18686" s="226"/>
      <c r="T18686" s="226"/>
      <c r="U18686" s="226"/>
    </row>
    <row r="18687" spans="16:21" x14ac:dyDescent="0.35">
      <c r="P18687" s="226"/>
      <c r="Q18687" s="226"/>
      <c r="R18687" s="226"/>
      <c r="S18687" s="226"/>
      <c r="T18687" s="226"/>
      <c r="U18687" s="226"/>
    </row>
    <row r="18688" spans="16:21" x14ac:dyDescent="0.35">
      <c r="P18688" s="226"/>
      <c r="Q18688" s="226"/>
      <c r="R18688" s="226"/>
      <c r="S18688" s="226"/>
      <c r="T18688" s="226"/>
      <c r="U18688" s="226"/>
    </row>
    <row r="18689" spans="16:21" x14ac:dyDescent="0.35">
      <c r="P18689" s="226"/>
      <c r="Q18689" s="226"/>
      <c r="R18689" s="226"/>
      <c r="S18689" s="226"/>
      <c r="T18689" s="226"/>
      <c r="U18689" s="226"/>
    </row>
    <row r="18690" spans="16:21" x14ac:dyDescent="0.35">
      <c r="P18690" s="226"/>
      <c r="Q18690" s="226"/>
      <c r="R18690" s="226"/>
      <c r="S18690" s="226"/>
      <c r="T18690" s="226"/>
      <c r="U18690" s="226"/>
    </row>
    <row r="18691" spans="16:21" x14ac:dyDescent="0.35">
      <c r="P18691" s="226"/>
      <c r="Q18691" s="226"/>
      <c r="R18691" s="226"/>
      <c r="S18691" s="226"/>
      <c r="T18691" s="226"/>
      <c r="U18691" s="226"/>
    </row>
    <row r="18692" spans="16:21" x14ac:dyDescent="0.35">
      <c r="P18692" s="226"/>
      <c r="Q18692" s="226"/>
      <c r="R18692" s="226"/>
      <c r="S18692" s="226"/>
      <c r="T18692" s="226"/>
      <c r="U18692" s="226"/>
    </row>
    <row r="18693" spans="16:21" x14ac:dyDescent="0.35">
      <c r="P18693" s="226"/>
      <c r="Q18693" s="226"/>
      <c r="R18693" s="226"/>
      <c r="S18693" s="226"/>
      <c r="T18693" s="226"/>
      <c r="U18693" s="226"/>
    </row>
    <row r="18694" spans="16:21" x14ac:dyDescent="0.35">
      <c r="P18694" s="226"/>
      <c r="Q18694" s="226"/>
      <c r="R18694" s="226"/>
      <c r="S18694" s="226"/>
      <c r="T18694" s="226"/>
      <c r="U18694" s="226"/>
    </row>
    <row r="18695" spans="16:21" x14ac:dyDescent="0.35">
      <c r="P18695" s="226"/>
      <c r="Q18695" s="226"/>
      <c r="R18695" s="226"/>
      <c r="S18695" s="226"/>
      <c r="T18695" s="226"/>
      <c r="U18695" s="226"/>
    </row>
    <row r="18696" spans="16:21" x14ac:dyDescent="0.35">
      <c r="P18696" s="226"/>
      <c r="Q18696" s="226"/>
      <c r="R18696" s="226"/>
      <c r="S18696" s="226"/>
      <c r="T18696" s="226"/>
      <c r="U18696" s="226"/>
    </row>
    <row r="18697" spans="16:21" x14ac:dyDescent="0.35">
      <c r="P18697" s="226"/>
      <c r="Q18697" s="226"/>
      <c r="R18697" s="226"/>
      <c r="S18697" s="226"/>
      <c r="T18697" s="226"/>
      <c r="U18697" s="226"/>
    </row>
    <row r="18698" spans="16:21" x14ac:dyDescent="0.35">
      <c r="P18698" s="226"/>
      <c r="Q18698" s="226"/>
      <c r="R18698" s="226"/>
      <c r="S18698" s="226"/>
      <c r="T18698" s="226"/>
      <c r="U18698" s="226"/>
    </row>
    <row r="18699" spans="16:21" x14ac:dyDescent="0.35">
      <c r="P18699" s="226"/>
      <c r="Q18699" s="226"/>
      <c r="R18699" s="226"/>
      <c r="S18699" s="226"/>
      <c r="T18699" s="226"/>
      <c r="U18699" s="226"/>
    </row>
    <row r="18700" spans="16:21" x14ac:dyDescent="0.35">
      <c r="P18700" s="226"/>
      <c r="Q18700" s="226"/>
      <c r="R18700" s="226"/>
      <c r="S18700" s="226"/>
      <c r="T18700" s="226"/>
      <c r="U18700" s="226"/>
    </row>
    <row r="18701" spans="16:21" x14ac:dyDescent="0.35">
      <c r="P18701" s="226"/>
      <c r="Q18701" s="226"/>
      <c r="R18701" s="226"/>
      <c r="S18701" s="226"/>
      <c r="T18701" s="226"/>
      <c r="U18701" s="226"/>
    </row>
    <row r="18702" spans="16:21" x14ac:dyDescent="0.35">
      <c r="P18702" s="226"/>
      <c r="Q18702" s="226"/>
      <c r="R18702" s="226"/>
      <c r="S18702" s="226"/>
      <c r="T18702" s="226"/>
      <c r="U18702" s="226"/>
    </row>
    <row r="18703" spans="16:21" x14ac:dyDescent="0.35">
      <c r="P18703" s="226"/>
      <c r="Q18703" s="226"/>
      <c r="R18703" s="226"/>
      <c r="S18703" s="226"/>
      <c r="T18703" s="226"/>
      <c r="U18703" s="226"/>
    </row>
    <row r="18704" spans="16:21" x14ac:dyDescent="0.35">
      <c r="P18704" s="226"/>
      <c r="Q18704" s="226"/>
      <c r="R18704" s="226"/>
      <c r="S18704" s="226"/>
      <c r="T18704" s="226"/>
      <c r="U18704" s="226"/>
    </row>
    <row r="18705" spans="16:21" x14ac:dyDescent="0.35">
      <c r="P18705" s="226"/>
      <c r="Q18705" s="226"/>
      <c r="R18705" s="226"/>
      <c r="S18705" s="226"/>
      <c r="T18705" s="226"/>
      <c r="U18705" s="226"/>
    </row>
    <row r="18706" spans="16:21" x14ac:dyDescent="0.35">
      <c r="P18706" s="226"/>
      <c r="Q18706" s="226"/>
      <c r="R18706" s="226"/>
      <c r="S18706" s="226"/>
      <c r="T18706" s="226"/>
      <c r="U18706" s="226"/>
    </row>
    <row r="18707" spans="16:21" x14ac:dyDescent="0.35">
      <c r="P18707" s="226"/>
      <c r="Q18707" s="226"/>
      <c r="R18707" s="226"/>
      <c r="S18707" s="226"/>
      <c r="T18707" s="226"/>
      <c r="U18707" s="226"/>
    </row>
    <row r="18708" spans="16:21" x14ac:dyDescent="0.35">
      <c r="P18708" s="226"/>
      <c r="Q18708" s="226"/>
      <c r="R18708" s="226"/>
      <c r="S18708" s="226"/>
      <c r="T18708" s="226"/>
      <c r="U18708" s="226"/>
    </row>
    <row r="18709" spans="16:21" x14ac:dyDescent="0.35">
      <c r="P18709" s="226"/>
      <c r="Q18709" s="226"/>
      <c r="R18709" s="226"/>
      <c r="S18709" s="226"/>
      <c r="T18709" s="226"/>
      <c r="U18709" s="226"/>
    </row>
    <row r="18710" spans="16:21" x14ac:dyDescent="0.35">
      <c r="P18710" s="226"/>
      <c r="Q18710" s="226"/>
      <c r="R18710" s="226"/>
      <c r="S18710" s="226"/>
      <c r="T18710" s="226"/>
      <c r="U18710" s="226"/>
    </row>
    <row r="18711" spans="16:21" x14ac:dyDescent="0.35">
      <c r="P18711" s="226"/>
      <c r="Q18711" s="226"/>
      <c r="R18711" s="226"/>
      <c r="S18711" s="226"/>
      <c r="T18711" s="226"/>
      <c r="U18711" s="226"/>
    </row>
    <row r="18712" spans="16:21" x14ac:dyDescent="0.35">
      <c r="P18712" s="226"/>
      <c r="Q18712" s="226"/>
      <c r="R18712" s="226"/>
      <c r="S18712" s="226"/>
      <c r="T18712" s="226"/>
      <c r="U18712" s="226"/>
    </row>
    <row r="18713" spans="16:21" x14ac:dyDescent="0.35">
      <c r="P18713" s="226"/>
      <c r="Q18713" s="226"/>
      <c r="R18713" s="226"/>
      <c r="S18713" s="226"/>
      <c r="T18713" s="226"/>
      <c r="U18713" s="226"/>
    </row>
    <row r="18714" spans="16:21" x14ac:dyDescent="0.35">
      <c r="P18714" s="226"/>
      <c r="Q18714" s="226"/>
      <c r="R18714" s="226"/>
      <c r="S18714" s="226"/>
      <c r="T18714" s="226"/>
      <c r="U18714" s="226"/>
    </row>
    <row r="18715" spans="16:21" x14ac:dyDescent="0.35">
      <c r="P18715" s="226"/>
      <c r="Q18715" s="226"/>
      <c r="R18715" s="226"/>
      <c r="S18715" s="226"/>
      <c r="T18715" s="226"/>
      <c r="U18715" s="226"/>
    </row>
    <row r="18716" spans="16:21" x14ac:dyDescent="0.35">
      <c r="P18716" s="226"/>
      <c r="Q18716" s="226"/>
      <c r="R18716" s="226"/>
      <c r="S18716" s="226"/>
      <c r="T18716" s="226"/>
      <c r="U18716" s="226"/>
    </row>
    <row r="18717" spans="16:21" x14ac:dyDescent="0.35">
      <c r="P18717" s="226"/>
      <c r="Q18717" s="226"/>
      <c r="R18717" s="226"/>
      <c r="S18717" s="226"/>
      <c r="T18717" s="226"/>
      <c r="U18717" s="226"/>
    </row>
    <row r="18718" spans="16:21" x14ac:dyDescent="0.35">
      <c r="P18718" s="226"/>
      <c r="Q18718" s="226"/>
      <c r="R18718" s="226"/>
      <c r="S18718" s="226"/>
      <c r="T18718" s="226"/>
      <c r="U18718" s="226"/>
    </row>
    <row r="18719" spans="16:21" x14ac:dyDescent="0.35">
      <c r="P18719" s="226"/>
      <c r="Q18719" s="226"/>
      <c r="R18719" s="226"/>
      <c r="S18719" s="226"/>
      <c r="T18719" s="226"/>
      <c r="U18719" s="226"/>
    </row>
    <row r="18720" spans="16:21" x14ac:dyDescent="0.35">
      <c r="P18720" s="226"/>
      <c r="Q18720" s="226"/>
      <c r="R18720" s="226"/>
      <c r="S18720" s="226"/>
      <c r="T18720" s="226"/>
      <c r="U18720" s="226"/>
    </row>
    <row r="18721" spans="16:21" x14ac:dyDescent="0.35">
      <c r="P18721" s="226"/>
      <c r="Q18721" s="226"/>
      <c r="R18721" s="226"/>
      <c r="S18721" s="226"/>
      <c r="T18721" s="226"/>
      <c r="U18721" s="226"/>
    </row>
    <row r="18722" spans="16:21" x14ac:dyDescent="0.35">
      <c r="P18722" s="226"/>
      <c r="Q18722" s="226"/>
      <c r="R18722" s="226"/>
      <c r="S18722" s="226"/>
      <c r="T18722" s="226"/>
      <c r="U18722" s="226"/>
    </row>
    <row r="18723" spans="16:21" x14ac:dyDescent="0.35">
      <c r="P18723" s="226"/>
      <c r="Q18723" s="226"/>
      <c r="R18723" s="226"/>
      <c r="S18723" s="226"/>
      <c r="T18723" s="226"/>
      <c r="U18723" s="226"/>
    </row>
    <row r="18724" spans="16:21" x14ac:dyDescent="0.35">
      <c r="P18724" s="226"/>
      <c r="Q18724" s="226"/>
      <c r="R18724" s="226"/>
      <c r="S18724" s="226"/>
      <c r="T18724" s="226"/>
      <c r="U18724" s="226"/>
    </row>
    <row r="18725" spans="16:21" x14ac:dyDescent="0.35">
      <c r="P18725" s="226"/>
      <c r="Q18725" s="226"/>
      <c r="R18725" s="226"/>
      <c r="S18725" s="226"/>
      <c r="T18725" s="226"/>
      <c r="U18725" s="226"/>
    </row>
    <row r="18726" spans="16:21" x14ac:dyDescent="0.35">
      <c r="P18726" s="226"/>
      <c r="Q18726" s="226"/>
      <c r="R18726" s="226"/>
      <c r="S18726" s="226"/>
      <c r="T18726" s="226"/>
      <c r="U18726" s="226"/>
    </row>
    <row r="18727" spans="16:21" x14ac:dyDescent="0.35">
      <c r="P18727" s="226"/>
      <c r="Q18727" s="226"/>
      <c r="R18727" s="226"/>
      <c r="S18727" s="226"/>
      <c r="T18727" s="226"/>
      <c r="U18727" s="226"/>
    </row>
    <row r="18728" spans="16:21" x14ac:dyDescent="0.35">
      <c r="P18728" s="226"/>
      <c r="Q18728" s="226"/>
      <c r="R18728" s="226"/>
      <c r="S18728" s="226"/>
      <c r="T18728" s="226"/>
      <c r="U18728" s="226"/>
    </row>
    <row r="18729" spans="16:21" x14ac:dyDescent="0.35">
      <c r="P18729" s="226"/>
      <c r="Q18729" s="226"/>
      <c r="R18729" s="226"/>
      <c r="S18729" s="226"/>
      <c r="T18729" s="226"/>
      <c r="U18729" s="226"/>
    </row>
    <row r="18730" spans="16:21" x14ac:dyDescent="0.35">
      <c r="P18730" s="226"/>
      <c r="Q18730" s="226"/>
      <c r="R18730" s="226"/>
      <c r="S18730" s="226"/>
      <c r="T18730" s="226"/>
      <c r="U18730" s="226"/>
    </row>
    <row r="18731" spans="16:21" x14ac:dyDescent="0.35">
      <c r="P18731" s="226"/>
      <c r="Q18731" s="226"/>
      <c r="R18731" s="226"/>
      <c r="S18731" s="226"/>
      <c r="T18731" s="226"/>
      <c r="U18731" s="226"/>
    </row>
    <row r="18732" spans="16:21" x14ac:dyDescent="0.35">
      <c r="P18732" s="226"/>
      <c r="Q18732" s="226"/>
      <c r="R18732" s="226"/>
      <c r="S18732" s="226"/>
      <c r="T18732" s="226"/>
      <c r="U18732" s="226"/>
    </row>
    <row r="18733" spans="16:21" x14ac:dyDescent="0.35">
      <c r="P18733" s="226"/>
      <c r="Q18733" s="226"/>
      <c r="R18733" s="226"/>
      <c r="S18733" s="226"/>
      <c r="T18733" s="226"/>
      <c r="U18733" s="226"/>
    </row>
    <row r="18734" spans="16:21" x14ac:dyDescent="0.35">
      <c r="P18734" s="226"/>
      <c r="Q18734" s="226"/>
      <c r="R18734" s="226"/>
      <c r="S18734" s="226"/>
      <c r="T18734" s="226"/>
      <c r="U18734" s="226"/>
    </row>
    <row r="18735" spans="16:21" x14ac:dyDescent="0.35">
      <c r="P18735" s="226"/>
      <c r="Q18735" s="226"/>
      <c r="R18735" s="226"/>
      <c r="S18735" s="226"/>
      <c r="T18735" s="226"/>
      <c r="U18735" s="226"/>
    </row>
    <row r="18736" spans="16:21" x14ac:dyDescent="0.35">
      <c r="P18736" s="226"/>
      <c r="Q18736" s="226"/>
      <c r="R18736" s="226"/>
      <c r="S18736" s="226"/>
      <c r="T18736" s="226"/>
      <c r="U18736" s="226"/>
    </row>
    <row r="18737" spans="16:21" x14ac:dyDescent="0.35">
      <c r="P18737" s="226"/>
      <c r="Q18737" s="226"/>
      <c r="R18737" s="226"/>
      <c r="S18737" s="226"/>
      <c r="T18737" s="226"/>
      <c r="U18737" s="226"/>
    </row>
    <row r="18738" spans="16:21" x14ac:dyDescent="0.35">
      <c r="P18738" s="226"/>
      <c r="Q18738" s="226"/>
      <c r="R18738" s="226"/>
      <c r="S18738" s="226"/>
      <c r="T18738" s="226"/>
      <c r="U18738" s="226"/>
    </row>
    <row r="18739" spans="16:21" x14ac:dyDescent="0.35">
      <c r="P18739" s="226"/>
      <c r="Q18739" s="226"/>
      <c r="R18739" s="226"/>
      <c r="S18739" s="226"/>
      <c r="T18739" s="226"/>
      <c r="U18739" s="226"/>
    </row>
    <row r="18740" spans="16:21" x14ac:dyDescent="0.35">
      <c r="P18740" s="226"/>
      <c r="Q18740" s="226"/>
      <c r="R18740" s="226"/>
      <c r="S18740" s="226"/>
      <c r="T18740" s="226"/>
      <c r="U18740" s="226"/>
    </row>
    <row r="18741" spans="16:21" x14ac:dyDescent="0.35">
      <c r="P18741" s="226"/>
      <c r="Q18741" s="226"/>
      <c r="R18741" s="226"/>
      <c r="S18741" s="226"/>
      <c r="T18741" s="226"/>
      <c r="U18741" s="226"/>
    </row>
    <row r="18742" spans="16:21" x14ac:dyDescent="0.35">
      <c r="P18742" s="226"/>
      <c r="Q18742" s="226"/>
      <c r="R18742" s="226"/>
      <c r="S18742" s="226"/>
      <c r="T18742" s="226"/>
      <c r="U18742" s="226"/>
    </row>
    <row r="18743" spans="16:21" x14ac:dyDescent="0.35">
      <c r="P18743" s="226"/>
      <c r="Q18743" s="226"/>
      <c r="R18743" s="226"/>
      <c r="S18743" s="226"/>
      <c r="T18743" s="226"/>
      <c r="U18743" s="226"/>
    </row>
    <row r="18744" spans="16:21" x14ac:dyDescent="0.35">
      <c r="P18744" s="226"/>
      <c r="Q18744" s="226"/>
      <c r="R18744" s="226"/>
      <c r="S18744" s="226"/>
      <c r="T18744" s="226"/>
      <c r="U18744" s="226"/>
    </row>
    <row r="18745" spans="16:21" x14ac:dyDescent="0.35">
      <c r="P18745" s="226"/>
      <c r="Q18745" s="226"/>
      <c r="R18745" s="226"/>
      <c r="S18745" s="226"/>
      <c r="T18745" s="226"/>
      <c r="U18745" s="226"/>
    </row>
    <row r="18746" spans="16:21" x14ac:dyDescent="0.35">
      <c r="P18746" s="226"/>
      <c r="Q18746" s="226"/>
      <c r="R18746" s="226"/>
      <c r="S18746" s="226"/>
      <c r="T18746" s="226"/>
      <c r="U18746" s="226"/>
    </row>
    <row r="18747" spans="16:21" x14ac:dyDescent="0.35">
      <c r="P18747" s="226"/>
      <c r="Q18747" s="226"/>
      <c r="R18747" s="226"/>
      <c r="S18747" s="226"/>
      <c r="T18747" s="226"/>
      <c r="U18747" s="226"/>
    </row>
    <row r="18748" spans="16:21" x14ac:dyDescent="0.35">
      <c r="P18748" s="226"/>
      <c r="Q18748" s="226"/>
      <c r="R18748" s="226"/>
      <c r="S18748" s="226"/>
      <c r="T18748" s="226"/>
      <c r="U18748" s="226"/>
    </row>
    <row r="18749" spans="16:21" x14ac:dyDescent="0.35">
      <c r="P18749" s="226"/>
      <c r="Q18749" s="226"/>
      <c r="R18749" s="226"/>
      <c r="S18749" s="226"/>
      <c r="T18749" s="226"/>
      <c r="U18749" s="226"/>
    </row>
    <row r="18750" spans="16:21" x14ac:dyDescent="0.35">
      <c r="P18750" s="226"/>
      <c r="Q18750" s="226"/>
      <c r="R18750" s="226"/>
      <c r="S18750" s="226"/>
      <c r="T18750" s="226"/>
      <c r="U18750" s="226"/>
    </row>
    <row r="18751" spans="16:21" x14ac:dyDescent="0.35">
      <c r="P18751" s="226"/>
      <c r="Q18751" s="226"/>
      <c r="R18751" s="226"/>
      <c r="S18751" s="226"/>
      <c r="T18751" s="226"/>
      <c r="U18751" s="226"/>
    </row>
    <row r="18752" spans="16:21" x14ac:dyDescent="0.35">
      <c r="P18752" s="226"/>
      <c r="Q18752" s="226"/>
      <c r="R18752" s="226"/>
      <c r="S18752" s="226"/>
      <c r="T18752" s="226"/>
      <c r="U18752" s="226"/>
    </row>
    <row r="18753" spans="16:21" x14ac:dyDescent="0.35">
      <c r="P18753" s="226"/>
      <c r="Q18753" s="226"/>
      <c r="R18753" s="226"/>
      <c r="S18753" s="226"/>
      <c r="T18753" s="226"/>
      <c r="U18753" s="226"/>
    </row>
    <row r="18754" spans="16:21" x14ac:dyDescent="0.35">
      <c r="P18754" s="226"/>
      <c r="Q18754" s="226"/>
      <c r="R18754" s="226"/>
      <c r="S18754" s="226"/>
      <c r="T18754" s="226"/>
      <c r="U18754" s="226"/>
    </row>
    <row r="18755" spans="16:21" x14ac:dyDescent="0.35">
      <c r="P18755" s="226"/>
      <c r="Q18755" s="226"/>
      <c r="R18755" s="226"/>
      <c r="S18755" s="226"/>
      <c r="T18755" s="226"/>
      <c r="U18755" s="226"/>
    </row>
    <row r="18756" spans="16:21" x14ac:dyDescent="0.35">
      <c r="P18756" s="226"/>
      <c r="Q18756" s="226"/>
      <c r="R18756" s="226"/>
      <c r="S18756" s="226"/>
      <c r="T18756" s="226"/>
      <c r="U18756" s="226"/>
    </row>
    <row r="18757" spans="16:21" x14ac:dyDescent="0.35">
      <c r="P18757" s="226"/>
      <c r="Q18757" s="226"/>
      <c r="R18757" s="226"/>
      <c r="S18757" s="226"/>
      <c r="T18757" s="226"/>
      <c r="U18757" s="226"/>
    </row>
    <row r="18758" spans="16:21" x14ac:dyDescent="0.35">
      <c r="P18758" s="226"/>
      <c r="Q18758" s="226"/>
      <c r="R18758" s="226"/>
      <c r="S18758" s="226"/>
      <c r="T18758" s="226"/>
      <c r="U18758" s="226"/>
    </row>
    <row r="18759" spans="16:21" x14ac:dyDescent="0.35">
      <c r="P18759" s="226"/>
      <c r="Q18759" s="226"/>
      <c r="R18759" s="226"/>
      <c r="S18759" s="226"/>
      <c r="T18759" s="226"/>
      <c r="U18759" s="226"/>
    </row>
    <row r="18760" spans="16:21" x14ac:dyDescent="0.35">
      <c r="P18760" s="226"/>
      <c r="Q18760" s="226"/>
      <c r="R18760" s="226"/>
      <c r="S18760" s="226"/>
      <c r="T18760" s="226"/>
      <c r="U18760" s="226"/>
    </row>
    <row r="18761" spans="16:21" x14ac:dyDescent="0.35">
      <c r="P18761" s="226"/>
      <c r="Q18761" s="226"/>
      <c r="R18761" s="226"/>
      <c r="S18761" s="226"/>
      <c r="T18761" s="226"/>
      <c r="U18761" s="226"/>
    </row>
    <row r="18762" spans="16:21" x14ac:dyDescent="0.35">
      <c r="P18762" s="226"/>
      <c r="Q18762" s="226"/>
      <c r="R18762" s="226"/>
      <c r="S18762" s="226"/>
      <c r="T18762" s="226"/>
      <c r="U18762" s="226"/>
    </row>
    <row r="18763" spans="16:21" x14ac:dyDescent="0.35">
      <c r="P18763" s="226"/>
      <c r="Q18763" s="226"/>
      <c r="R18763" s="226"/>
      <c r="S18763" s="226"/>
      <c r="T18763" s="226"/>
      <c r="U18763" s="226"/>
    </row>
    <row r="18764" spans="16:21" x14ac:dyDescent="0.35">
      <c r="P18764" s="226"/>
      <c r="Q18764" s="226"/>
      <c r="R18764" s="226"/>
      <c r="S18764" s="226"/>
      <c r="T18764" s="226"/>
      <c r="U18764" s="226"/>
    </row>
    <row r="18765" spans="16:21" x14ac:dyDescent="0.35">
      <c r="P18765" s="226"/>
      <c r="Q18765" s="226"/>
      <c r="R18765" s="226"/>
      <c r="S18765" s="226"/>
      <c r="T18765" s="226"/>
      <c r="U18765" s="226"/>
    </row>
    <row r="18766" spans="16:21" x14ac:dyDescent="0.35">
      <c r="P18766" s="226"/>
      <c r="Q18766" s="226"/>
      <c r="R18766" s="226"/>
      <c r="S18766" s="226"/>
      <c r="T18766" s="226"/>
      <c r="U18766" s="226"/>
    </row>
    <row r="18767" spans="16:21" x14ac:dyDescent="0.35">
      <c r="P18767" s="226"/>
      <c r="Q18767" s="226"/>
      <c r="R18767" s="226"/>
      <c r="S18767" s="226"/>
      <c r="T18767" s="226"/>
      <c r="U18767" s="226"/>
    </row>
    <row r="18768" spans="16:21" x14ac:dyDescent="0.35">
      <c r="P18768" s="226"/>
      <c r="Q18768" s="226"/>
      <c r="R18768" s="226"/>
      <c r="S18768" s="226"/>
      <c r="T18768" s="226"/>
      <c r="U18768" s="226"/>
    </row>
    <row r="18769" spans="16:21" x14ac:dyDescent="0.35">
      <c r="P18769" s="226"/>
      <c r="Q18769" s="226"/>
      <c r="R18769" s="226"/>
      <c r="S18769" s="226"/>
      <c r="T18769" s="226"/>
      <c r="U18769" s="226"/>
    </row>
    <row r="18770" spans="16:21" x14ac:dyDescent="0.35">
      <c r="P18770" s="226"/>
      <c r="Q18770" s="226"/>
      <c r="R18770" s="226"/>
      <c r="S18770" s="226"/>
      <c r="T18770" s="226"/>
      <c r="U18770" s="226"/>
    </row>
    <row r="18771" spans="16:21" x14ac:dyDescent="0.35">
      <c r="P18771" s="226"/>
      <c r="Q18771" s="226"/>
      <c r="R18771" s="226"/>
      <c r="S18771" s="226"/>
      <c r="T18771" s="226"/>
      <c r="U18771" s="226"/>
    </row>
    <row r="18772" spans="16:21" x14ac:dyDescent="0.35">
      <c r="P18772" s="226"/>
      <c r="Q18772" s="226"/>
      <c r="R18772" s="226"/>
      <c r="S18772" s="226"/>
      <c r="T18772" s="226"/>
      <c r="U18772" s="226"/>
    </row>
    <row r="18773" spans="16:21" x14ac:dyDescent="0.35">
      <c r="P18773" s="226"/>
      <c r="Q18773" s="226"/>
      <c r="R18773" s="226"/>
      <c r="S18773" s="226"/>
      <c r="T18773" s="226"/>
      <c r="U18773" s="226"/>
    </row>
    <row r="18774" spans="16:21" x14ac:dyDescent="0.35">
      <c r="P18774" s="226"/>
      <c r="Q18774" s="226"/>
      <c r="R18774" s="226"/>
      <c r="S18774" s="226"/>
      <c r="T18774" s="226"/>
      <c r="U18774" s="226"/>
    </row>
    <row r="18775" spans="16:21" x14ac:dyDescent="0.35">
      <c r="P18775" s="226"/>
      <c r="Q18775" s="226"/>
      <c r="R18775" s="226"/>
      <c r="S18775" s="226"/>
      <c r="T18775" s="226"/>
      <c r="U18775" s="226"/>
    </row>
    <row r="18776" spans="16:21" x14ac:dyDescent="0.35">
      <c r="P18776" s="226"/>
      <c r="Q18776" s="226"/>
      <c r="R18776" s="226"/>
      <c r="S18776" s="226"/>
      <c r="T18776" s="226"/>
      <c r="U18776" s="226"/>
    </row>
    <row r="18777" spans="16:21" x14ac:dyDescent="0.35">
      <c r="P18777" s="226"/>
      <c r="Q18777" s="226"/>
      <c r="R18777" s="226"/>
      <c r="S18777" s="226"/>
      <c r="T18777" s="226"/>
      <c r="U18777" s="226"/>
    </row>
    <row r="18778" spans="16:21" x14ac:dyDescent="0.35">
      <c r="P18778" s="226"/>
      <c r="Q18778" s="226"/>
      <c r="R18778" s="226"/>
      <c r="S18778" s="226"/>
      <c r="T18778" s="226"/>
      <c r="U18778" s="226"/>
    </row>
    <row r="18779" spans="16:21" x14ac:dyDescent="0.35">
      <c r="P18779" s="226"/>
      <c r="Q18779" s="226"/>
      <c r="R18779" s="226"/>
      <c r="S18779" s="226"/>
      <c r="T18779" s="226"/>
      <c r="U18779" s="226"/>
    </row>
    <row r="18780" spans="16:21" x14ac:dyDescent="0.35">
      <c r="P18780" s="226"/>
      <c r="Q18780" s="226"/>
      <c r="R18780" s="226"/>
      <c r="S18780" s="226"/>
      <c r="T18780" s="226"/>
      <c r="U18780" s="226"/>
    </row>
    <row r="18781" spans="16:21" x14ac:dyDescent="0.35">
      <c r="P18781" s="226"/>
      <c r="Q18781" s="226"/>
      <c r="R18781" s="226"/>
      <c r="S18781" s="226"/>
      <c r="T18781" s="226"/>
      <c r="U18781" s="226"/>
    </row>
    <row r="18782" spans="16:21" x14ac:dyDescent="0.35">
      <c r="P18782" s="226"/>
      <c r="Q18782" s="226"/>
      <c r="R18782" s="226"/>
      <c r="S18782" s="226"/>
      <c r="T18782" s="226"/>
      <c r="U18782" s="226"/>
    </row>
    <row r="18783" spans="16:21" x14ac:dyDescent="0.35">
      <c r="P18783" s="226"/>
      <c r="Q18783" s="226"/>
      <c r="R18783" s="226"/>
      <c r="S18783" s="226"/>
      <c r="T18783" s="226"/>
      <c r="U18783" s="226"/>
    </row>
    <row r="18784" spans="16:21" x14ac:dyDescent="0.35">
      <c r="P18784" s="226"/>
      <c r="Q18784" s="226"/>
      <c r="R18784" s="226"/>
      <c r="S18784" s="226"/>
      <c r="T18784" s="226"/>
      <c r="U18784" s="226"/>
    </row>
    <row r="18785" spans="16:21" x14ac:dyDescent="0.35">
      <c r="P18785" s="226"/>
      <c r="Q18785" s="226"/>
      <c r="R18785" s="226"/>
      <c r="S18785" s="226"/>
      <c r="T18785" s="226"/>
      <c r="U18785" s="226"/>
    </row>
    <row r="18786" spans="16:21" x14ac:dyDescent="0.35">
      <c r="P18786" s="226"/>
      <c r="Q18786" s="226"/>
      <c r="R18786" s="226"/>
      <c r="S18786" s="226"/>
      <c r="T18786" s="226"/>
      <c r="U18786" s="226"/>
    </row>
    <row r="18787" spans="16:21" x14ac:dyDescent="0.35">
      <c r="P18787" s="226"/>
      <c r="Q18787" s="226"/>
      <c r="R18787" s="226"/>
      <c r="S18787" s="226"/>
      <c r="T18787" s="226"/>
      <c r="U18787" s="226"/>
    </row>
    <row r="18788" spans="16:21" x14ac:dyDescent="0.35">
      <c r="P18788" s="226"/>
      <c r="Q18788" s="226"/>
      <c r="R18788" s="226"/>
      <c r="S18788" s="226"/>
      <c r="T18788" s="226"/>
      <c r="U18788" s="226"/>
    </row>
    <row r="18789" spans="16:21" x14ac:dyDescent="0.35">
      <c r="P18789" s="226"/>
      <c r="Q18789" s="226"/>
      <c r="R18789" s="226"/>
      <c r="S18789" s="226"/>
      <c r="T18789" s="226"/>
      <c r="U18789" s="226"/>
    </row>
    <row r="18790" spans="16:21" x14ac:dyDescent="0.35">
      <c r="P18790" s="226"/>
      <c r="Q18790" s="226"/>
      <c r="R18790" s="226"/>
      <c r="S18790" s="226"/>
      <c r="T18790" s="226"/>
      <c r="U18790" s="226"/>
    </row>
    <row r="18791" spans="16:21" x14ac:dyDescent="0.35">
      <c r="P18791" s="226"/>
      <c r="Q18791" s="226"/>
      <c r="R18791" s="226"/>
      <c r="S18791" s="226"/>
      <c r="T18791" s="226"/>
      <c r="U18791" s="226"/>
    </row>
    <row r="18792" spans="16:21" x14ac:dyDescent="0.35">
      <c r="P18792" s="226"/>
      <c r="Q18792" s="226"/>
      <c r="R18792" s="226"/>
      <c r="S18792" s="226"/>
      <c r="T18792" s="226"/>
      <c r="U18792" s="226"/>
    </row>
    <row r="18793" spans="16:21" x14ac:dyDescent="0.35">
      <c r="P18793" s="226"/>
      <c r="Q18793" s="226"/>
      <c r="R18793" s="226"/>
      <c r="S18793" s="226"/>
      <c r="T18793" s="226"/>
      <c r="U18793" s="226"/>
    </row>
    <row r="18794" spans="16:21" x14ac:dyDescent="0.35">
      <c r="P18794" s="226"/>
      <c r="Q18794" s="226"/>
      <c r="R18794" s="226"/>
      <c r="S18794" s="226"/>
      <c r="T18794" s="226"/>
      <c r="U18794" s="226"/>
    </row>
    <row r="18795" spans="16:21" x14ac:dyDescent="0.35">
      <c r="P18795" s="226"/>
      <c r="Q18795" s="226"/>
      <c r="R18795" s="226"/>
      <c r="S18795" s="226"/>
      <c r="T18795" s="226"/>
      <c r="U18795" s="226"/>
    </row>
    <row r="18796" spans="16:21" x14ac:dyDescent="0.35">
      <c r="P18796" s="226"/>
      <c r="Q18796" s="226"/>
      <c r="R18796" s="226"/>
      <c r="S18796" s="226"/>
      <c r="T18796" s="226"/>
      <c r="U18796" s="226"/>
    </row>
    <row r="18797" spans="16:21" x14ac:dyDescent="0.35">
      <c r="P18797" s="226"/>
      <c r="Q18797" s="226"/>
      <c r="R18797" s="226"/>
      <c r="S18797" s="226"/>
      <c r="T18797" s="226"/>
      <c r="U18797" s="226"/>
    </row>
    <row r="18798" spans="16:21" x14ac:dyDescent="0.35">
      <c r="P18798" s="226"/>
      <c r="Q18798" s="226"/>
      <c r="R18798" s="226"/>
      <c r="S18798" s="226"/>
      <c r="T18798" s="226"/>
      <c r="U18798" s="226"/>
    </row>
    <row r="18799" spans="16:21" x14ac:dyDescent="0.35">
      <c r="P18799" s="226"/>
      <c r="Q18799" s="226"/>
      <c r="R18799" s="226"/>
      <c r="S18799" s="226"/>
      <c r="T18799" s="226"/>
      <c r="U18799" s="226"/>
    </row>
    <row r="18800" spans="16:21" x14ac:dyDescent="0.35">
      <c r="P18800" s="226"/>
      <c r="Q18800" s="226"/>
      <c r="R18800" s="226"/>
      <c r="S18800" s="226"/>
      <c r="T18800" s="226"/>
      <c r="U18800" s="226"/>
    </row>
    <row r="18801" spans="16:21" x14ac:dyDescent="0.35">
      <c r="P18801" s="226"/>
      <c r="Q18801" s="226"/>
      <c r="R18801" s="226"/>
      <c r="S18801" s="226"/>
      <c r="T18801" s="226"/>
      <c r="U18801" s="226"/>
    </row>
    <row r="18802" spans="16:21" x14ac:dyDescent="0.35">
      <c r="P18802" s="226"/>
      <c r="Q18802" s="226"/>
      <c r="R18802" s="226"/>
      <c r="S18802" s="226"/>
      <c r="T18802" s="226"/>
      <c r="U18802" s="226"/>
    </row>
    <row r="18803" spans="16:21" x14ac:dyDescent="0.35">
      <c r="P18803" s="226"/>
      <c r="Q18803" s="226"/>
      <c r="R18803" s="226"/>
      <c r="S18803" s="226"/>
      <c r="T18803" s="226"/>
      <c r="U18803" s="226"/>
    </row>
    <row r="18804" spans="16:21" x14ac:dyDescent="0.35">
      <c r="P18804" s="226"/>
      <c r="Q18804" s="226"/>
      <c r="R18804" s="226"/>
      <c r="S18804" s="226"/>
      <c r="T18804" s="226"/>
      <c r="U18804" s="226"/>
    </row>
    <row r="18805" spans="16:21" x14ac:dyDescent="0.35">
      <c r="P18805" s="226"/>
      <c r="Q18805" s="226"/>
      <c r="R18805" s="226"/>
      <c r="S18805" s="226"/>
      <c r="T18805" s="226"/>
      <c r="U18805" s="226"/>
    </row>
    <row r="18806" spans="16:21" x14ac:dyDescent="0.35">
      <c r="P18806" s="226"/>
      <c r="Q18806" s="226"/>
      <c r="R18806" s="226"/>
      <c r="S18806" s="226"/>
      <c r="T18806" s="226"/>
      <c r="U18806" s="226"/>
    </row>
    <row r="18807" spans="16:21" x14ac:dyDescent="0.35">
      <c r="P18807" s="226"/>
      <c r="Q18807" s="226"/>
      <c r="R18807" s="226"/>
      <c r="S18807" s="226"/>
      <c r="T18807" s="226"/>
      <c r="U18807" s="226"/>
    </row>
    <row r="18808" spans="16:21" x14ac:dyDescent="0.35">
      <c r="P18808" s="226"/>
      <c r="Q18808" s="226"/>
      <c r="R18808" s="226"/>
      <c r="S18808" s="226"/>
      <c r="T18808" s="226"/>
      <c r="U18808" s="226"/>
    </row>
    <row r="18809" spans="16:21" x14ac:dyDescent="0.35">
      <c r="P18809" s="226"/>
      <c r="Q18809" s="226"/>
      <c r="R18809" s="226"/>
      <c r="S18809" s="226"/>
      <c r="T18809" s="226"/>
      <c r="U18809" s="226"/>
    </row>
    <row r="18810" spans="16:21" x14ac:dyDescent="0.35">
      <c r="P18810" s="226"/>
      <c r="Q18810" s="226"/>
      <c r="R18810" s="226"/>
      <c r="S18810" s="226"/>
      <c r="T18810" s="226"/>
      <c r="U18810" s="226"/>
    </row>
    <row r="18811" spans="16:21" x14ac:dyDescent="0.35">
      <c r="P18811" s="226"/>
      <c r="Q18811" s="226"/>
      <c r="R18811" s="226"/>
      <c r="S18811" s="226"/>
      <c r="T18811" s="226"/>
      <c r="U18811" s="226"/>
    </row>
    <row r="18812" spans="16:21" x14ac:dyDescent="0.35">
      <c r="P18812" s="226"/>
      <c r="Q18812" s="226"/>
      <c r="R18812" s="226"/>
      <c r="S18812" s="226"/>
      <c r="T18812" s="226"/>
      <c r="U18812" s="226"/>
    </row>
    <row r="18813" spans="16:21" x14ac:dyDescent="0.35">
      <c r="P18813" s="226"/>
      <c r="Q18813" s="226"/>
      <c r="R18813" s="226"/>
      <c r="S18813" s="226"/>
      <c r="T18813" s="226"/>
      <c r="U18813" s="226"/>
    </row>
    <row r="18814" spans="16:21" x14ac:dyDescent="0.35">
      <c r="P18814" s="226"/>
      <c r="Q18814" s="226"/>
      <c r="R18814" s="226"/>
      <c r="S18814" s="226"/>
      <c r="T18814" s="226"/>
      <c r="U18814" s="226"/>
    </row>
    <row r="18815" spans="16:21" x14ac:dyDescent="0.35">
      <c r="P18815" s="226"/>
      <c r="Q18815" s="226"/>
      <c r="R18815" s="226"/>
      <c r="S18815" s="226"/>
      <c r="T18815" s="226"/>
      <c r="U18815" s="226"/>
    </row>
    <row r="18816" spans="16:21" x14ac:dyDescent="0.35">
      <c r="P18816" s="226"/>
      <c r="Q18816" s="226"/>
      <c r="R18816" s="226"/>
      <c r="S18816" s="226"/>
      <c r="T18816" s="226"/>
      <c r="U18816" s="226"/>
    </row>
    <row r="18817" spans="16:21" x14ac:dyDescent="0.35">
      <c r="P18817" s="226"/>
      <c r="Q18817" s="226"/>
      <c r="R18817" s="226"/>
      <c r="S18817" s="226"/>
      <c r="T18817" s="226"/>
      <c r="U18817" s="226"/>
    </row>
    <row r="18818" spans="16:21" x14ac:dyDescent="0.35">
      <c r="P18818" s="226"/>
      <c r="Q18818" s="226"/>
      <c r="R18818" s="226"/>
      <c r="S18818" s="226"/>
      <c r="T18818" s="226"/>
      <c r="U18818" s="226"/>
    </row>
    <row r="18819" spans="16:21" x14ac:dyDescent="0.35">
      <c r="P18819" s="226"/>
      <c r="Q18819" s="226"/>
      <c r="R18819" s="226"/>
      <c r="S18819" s="226"/>
      <c r="T18819" s="226"/>
      <c r="U18819" s="226"/>
    </row>
    <row r="18820" spans="16:21" x14ac:dyDescent="0.35">
      <c r="P18820" s="226"/>
      <c r="Q18820" s="226"/>
      <c r="R18820" s="226"/>
      <c r="S18820" s="226"/>
      <c r="T18820" s="226"/>
      <c r="U18820" s="226"/>
    </row>
    <row r="18821" spans="16:21" x14ac:dyDescent="0.35">
      <c r="P18821" s="226"/>
      <c r="Q18821" s="226"/>
      <c r="R18821" s="226"/>
      <c r="S18821" s="226"/>
      <c r="T18821" s="226"/>
      <c r="U18821" s="226"/>
    </row>
    <row r="18822" spans="16:21" x14ac:dyDescent="0.35">
      <c r="P18822" s="226"/>
      <c r="Q18822" s="226"/>
      <c r="R18822" s="226"/>
      <c r="S18822" s="226"/>
      <c r="T18822" s="226"/>
      <c r="U18822" s="226"/>
    </row>
    <row r="18823" spans="16:21" x14ac:dyDescent="0.35">
      <c r="P18823" s="226"/>
      <c r="Q18823" s="226"/>
      <c r="R18823" s="226"/>
      <c r="S18823" s="226"/>
      <c r="T18823" s="226"/>
      <c r="U18823" s="226"/>
    </row>
    <row r="18824" spans="16:21" x14ac:dyDescent="0.35">
      <c r="P18824" s="226"/>
      <c r="Q18824" s="226"/>
      <c r="R18824" s="226"/>
      <c r="S18824" s="226"/>
      <c r="T18824" s="226"/>
      <c r="U18824" s="226"/>
    </row>
    <row r="18825" spans="16:21" x14ac:dyDescent="0.35">
      <c r="P18825" s="226"/>
      <c r="Q18825" s="226"/>
      <c r="R18825" s="226"/>
      <c r="S18825" s="226"/>
      <c r="T18825" s="226"/>
      <c r="U18825" s="226"/>
    </row>
    <row r="18826" spans="16:21" x14ac:dyDescent="0.35">
      <c r="P18826" s="226"/>
      <c r="Q18826" s="226"/>
      <c r="R18826" s="226"/>
      <c r="S18826" s="226"/>
      <c r="T18826" s="226"/>
      <c r="U18826" s="226"/>
    </row>
    <row r="18827" spans="16:21" x14ac:dyDescent="0.35">
      <c r="P18827" s="226"/>
      <c r="Q18827" s="226"/>
      <c r="R18827" s="226"/>
      <c r="S18827" s="226"/>
      <c r="T18827" s="226"/>
      <c r="U18827" s="226"/>
    </row>
    <row r="18828" spans="16:21" x14ac:dyDescent="0.35">
      <c r="P18828" s="226"/>
      <c r="Q18828" s="226"/>
      <c r="R18828" s="226"/>
      <c r="S18828" s="226"/>
      <c r="T18828" s="226"/>
      <c r="U18828" s="226"/>
    </row>
    <row r="18829" spans="16:21" x14ac:dyDescent="0.35">
      <c r="P18829" s="226"/>
      <c r="Q18829" s="226"/>
      <c r="R18829" s="226"/>
      <c r="S18829" s="226"/>
      <c r="T18829" s="226"/>
      <c r="U18829" s="226"/>
    </row>
    <row r="18830" spans="16:21" x14ac:dyDescent="0.35">
      <c r="P18830" s="226"/>
      <c r="Q18830" s="226"/>
      <c r="R18830" s="226"/>
      <c r="S18830" s="226"/>
      <c r="T18830" s="226"/>
      <c r="U18830" s="226"/>
    </row>
    <row r="18831" spans="16:21" x14ac:dyDescent="0.35">
      <c r="P18831" s="226"/>
      <c r="Q18831" s="226"/>
      <c r="R18831" s="226"/>
      <c r="S18831" s="226"/>
      <c r="T18831" s="226"/>
      <c r="U18831" s="226"/>
    </row>
    <row r="18832" spans="16:21" x14ac:dyDescent="0.35">
      <c r="P18832" s="226"/>
      <c r="Q18832" s="226"/>
      <c r="R18832" s="226"/>
      <c r="S18832" s="226"/>
      <c r="T18832" s="226"/>
      <c r="U18832" s="226"/>
    </row>
    <row r="18833" spans="16:21" x14ac:dyDescent="0.35">
      <c r="P18833" s="226"/>
      <c r="Q18833" s="226"/>
      <c r="R18833" s="226"/>
      <c r="S18833" s="226"/>
      <c r="T18833" s="226"/>
      <c r="U18833" s="226"/>
    </row>
    <row r="18834" spans="16:21" x14ac:dyDescent="0.35">
      <c r="P18834" s="226"/>
      <c r="Q18834" s="226"/>
      <c r="R18834" s="226"/>
      <c r="S18834" s="226"/>
      <c r="T18834" s="226"/>
      <c r="U18834" s="226"/>
    </row>
    <row r="18835" spans="16:21" x14ac:dyDescent="0.35">
      <c r="P18835" s="226"/>
      <c r="Q18835" s="226"/>
      <c r="R18835" s="226"/>
      <c r="S18835" s="226"/>
      <c r="T18835" s="226"/>
      <c r="U18835" s="226"/>
    </row>
    <row r="18836" spans="16:21" x14ac:dyDescent="0.35">
      <c r="P18836" s="226"/>
      <c r="Q18836" s="226"/>
      <c r="R18836" s="226"/>
      <c r="S18836" s="226"/>
      <c r="T18836" s="226"/>
      <c r="U18836" s="226"/>
    </row>
    <row r="18837" spans="16:21" x14ac:dyDescent="0.35">
      <c r="P18837" s="226"/>
      <c r="Q18837" s="226"/>
      <c r="R18837" s="226"/>
      <c r="S18837" s="226"/>
      <c r="T18837" s="226"/>
      <c r="U18837" s="226"/>
    </row>
    <row r="18838" spans="16:21" x14ac:dyDescent="0.35">
      <c r="P18838" s="226"/>
      <c r="Q18838" s="226"/>
      <c r="R18838" s="226"/>
      <c r="S18838" s="226"/>
      <c r="T18838" s="226"/>
      <c r="U18838" s="226"/>
    </row>
    <row r="18839" spans="16:21" x14ac:dyDescent="0.35">
      <c r="P18839" s="226"/>
      <c r="Q18839" s="226"/>
      <c r="R18839" s="226"/>
      <c r="S18839" s="226"/>
      <c r="T18839" s="226"/>
      <c r="U18839" s="226"/>
    </row>
    <row r="18840" spans="16:21" x14ac:dyDescent="0.35">
      <c r="P18840" s="226"/>
      <c r="Q18840" s="226"/>
      <c r="R18840" s="226"/>
      <c r="S18840" s="226"/>
      <c r="T18840" s="226"/>
      <c r="U18840" s="226"/>
    </row>
    <row r="18841" spans="16:21" x14ac:dyDescent="0.35">
      <c r="P18841" s="226"/>
      <c r="Q18841" s="226"/>
      <c r="R18841" s="226"/>
      <c r="S18841" s="226"/>
      <c r="T18841" s="226"/>
      <c r="U18841" s="226"/>
    </row>
    <row r="18842" spans="16:21" x14ac:dyDescent="0.35">
      <c r="P18842" s="226"/>
      <c r="Q18842" s="226"/>
      <c r="R18842" s="226"/>
      <c r="S18842" s="226"/>
      <c r="T18842" s="226"/>
      <c r="U18842" s="226"/>
    </row>
    <row r="18843" spans="16:21" x14ac:dyDescent="0.35">
      <c r="P18843" s="226"/>
      <c r="Q18843" s="226"/>
      <c r="R18843" s="226"/>
      <c r="S18843" s="226"/>
      <c r="T18843" s="226"/>
      <c r="U18843" s="226"/>
    </row>
    <row r="18844" spans="16:21" x14ac:dyDescent="0.35">
      <c r="P18844" s="226"/>
      <c r="Q18844" s="226"/>
      <c r="R18844" s="226"/>
      <c r="S18844" s="226"/>
      <c r="T18844" s="226"/>
      <c r="U18844" s="226"/>
    </row>
    <row r="18845" spans="16:21" x14ac:dyDescent="0.35">
      <c r="P18845" s="226"/>
      <c r="Q18845" s="226"/>
      <c r="R18845" s="226"/>
      <c r="S18845" s="226"/>
      <c r="T18845" s="226"/>
      <c r="U18845" s="226"/>
    </row>
    <row r="18846" spans="16:21" x14ac:dyDescent="0.35">
      <c r="P18846" s="226"/>
      <c r="Q18846" s="226"/>
      <c r="R18846" s="226"/>
      <c r="S18846" s="226"/>
      <c r="T18846" s="226"/>
      <c r="U18846" s="226"/>
    </row>
    <row r="18847" spans="16:21" x14ac:dyDescent="0.35">
      <c r="P18847" s="226"/>
      <c r="Q18847" s="226"/>
      <c r="R18847" s="226"/>
      <c r="S18847" s="226"/>
      <c r="T18847" s="226"/>
      <c r="U18847" s="226"/>
    </row>
    <row r="18848" spans="16:21" x14ac:dyDescent="0.35">
      <c r="P18848" s="226"/>
      <c r="Q18848" s="226"/>
      <c r="R18848" s="226"/>
      <c r="S18848" s="226"/>
      <c r="T18848" s="226"/>
      <c r="U18848" s="226"/>
    </row>
    <row r="18849" spans="16:21" x14ac:dyDescent="0.35">
      <c r="P18849" s="226"/>
      <c r="Q18849" s="226"/>
      <c r="R18849" s="226"/>
      <c r="S18849" s="226"/>
      <c r="T18849" s="226"/>
      <c r="U18849" s="226"/>
    </row>
    <row r="18850" spans="16:21" x14ac:dyDescent="0.35">
      <c r="P18850" s="226"/>
      <c r="Q18850" s="226"/>
      <c r="R18850" s="226"/>
      <c r="S18850" s="226"/>
      <c r="T18850" s="226"/>
      <c r="U18850" s="226"/>
    </row>
    <row r="18851" spans="16:21" x14ac:dyDescent="0.35">
      <c r="P18851" s="226"/>
      <c r="Q18851" s="226"/>
      <c r="R18851" s="226"/>
      <c r="S18851" s="226"/>
      <c r="T18851" s="226"/>
      <c r="U18851" s="226"/>
    </row>
    <row r="18852" spans="16:21" x14ac:dyDescent="0.35">
      <c r="P18852" s="226"/>
      <c r="Q18852" s="226"/>
      <c r="R18852" s="226"/>
      <c r="S18852" s="226"/>
      <c r="T18852" s="226"/>
      <c r="U18852" s="226"/>
    </row>
    <row r="18853" spans="16:21" x14ac:dyDescent="0.35">
      <c r="P18853" s="226"/>
      <c r="Q18853" s="226"/>
      <c r="R18853" s="226"/>
      <c r="S18853" s="226"/>
      <c r="T18853" s="226"/>
      <c r="U18853" s="226"/>
    </row>
    <row r="18854" spans="16:21" x14ac:dyDescent="0.35">
      <c r="P18854" s="226"/>
      <c r="Q18854" s="226"/>
      <c r="R18854" s="226"/>
      <c r="S18854" s="226"/>
      <c r="T18854" s="226"/>
      <c r="U18854" s="226"/>
    </row>
    <row r="18855" spans="16:21" x14ac:dyDescent="0.35">
      <c r="P18855" s="226"/>
      <c r="Q18855" s="226"/>
      <c r="R18855" s="226"/>
      <c r="S18855" s="226"/>
      <c r="T18855" s="226"/>
      <c r="U18855" s="226"/>
    </row>
    <row r="18856" spans="16:21" x14ac:dyDescent="0.35">
      <c r="P18856" s="226"/>
      <c r="Q18856" s="226"/>
      <c r="R18856" s="226"/>
      <c r="S18856" s="226"/>
      <c r="T18856" s="226"/>
      <c r="U18856" s="226"/>
    </row>
    <row r="18857" spans="16:21" x14ac:dyDescent="0.35">
      <c r="P18857" s="226"/>
      <c r="Q18857" s="226"/>
      <c r="R18857" s="226"/>
      <c r="S18857" s="226"/>
      <c r="T18857" s="226"/>
      <c r="U18857" s="226"/>
    </row>
    <row r="18858" spans="16:21" x14ac:dyDescent="0.35">
      <c r="P18858" s="226"/>
      <c r="Q18858" s="226"/>
      <c r="R18858" s="226"/>
      <c r="S18858" s="226"/>
      <c r="T18858" s="226"/>
      <c r="U18858" s="226"/>
    </row>
    <row r="18859" spans="16:21" x14ac:dyDescent="0.35">
      <c r="P18859" s="226"/>
      <c r="Q18859" s="226"/>
      <c r="R18859" s="226"/>
      <c r="S18859" s="226"/>
      <c r="T18859" s="226"/>
      <c r="U18859" s="226"/>
    </row>
    <row r="18860" spans="16:21" x14ac:dyDescent="0.35">
      <c r="P18860" s="226"/>
      <c r="Q18860" s="226"/>
      <c r="R18860" s="226"/>
      <c r="S18860" s="226"/>
      <c r="T18860" s="226"/>
      <c r="U18860" s="226"/>
    </row>
    <row r="18861" spans="16:21" x14ac:dyDescent="0.35">
      <c r="P18861" s="226"/>
      <c r="Q18861" s="226"/>
      <c r="R18861" s="226"/>
      <c r="S18861" s="226"/>
      <c r="T18861" s="226"/>
      <c r="U18861" s="226"/>
    </row>
    <row r="18862" spans="16:21" x14ac:dyDescent="0.35">
      <c r="P18862" s="226"/>
      <c r="Q18862" s="226"/>
      <c r="R18862" s="226"/>
      <c r="S18862" s="226"/>
      <c r="T18862" s="226"/>
      <c r="U18862" s="226"/>
    </row>
    <row r="18863" spans="16:21" x14ac:dyDescent="0.35">
      <c r="P18863" s="226"/>
      <c r="Q18863" s="226"/>
      <c r="R18863" s="226"/>
      <c r="S18863" s="226"/>
      <c r="T18863" s="226"/>
      <c r="U18863" s="226"/>
    </row>
    <row r="18864" spans="16:21" x14ac:dyDescent="0.35">
      <c r="P18864" s="226"/>
      <c r="Q18864" s="226"/>
      <c r="R18864" s="226"/>
      <c r="S18864" s="226"/>
      <c r="T18864" s="226"/>
      <c r="U18864" s="226"/>
    </row>
    <row r="18865" spans="16:21" x14ac:dyDescent="0.35">
      <c r="P18865" s="226"/>
      <c r="Q18865" s="226"/>
      <c r="R18865" s="226"/>
      <c r="S18865" s="226"/>
      <c r="T18865" s="226"/>
      <c r="U18865" s="226"/>
    </row>
    <row r="18866" spans="16:21" x14ac:dyDescent="0.35">
      <c r="P18866" s="226"/>
      <c r="Q18866" s="226"/>
      <c r="R18866" s="226"/>
      <c r="S18866" s="226"/>
      <c r="T18866" s="226"/>
      <c r="U18866" s="226"/>
    </row>
    <row r="18867" spans="16:21" x14ac:dyDescent="0.35">
      <c r="P18867" s="226"/>
      <c r="Q18867" s="226"/>
      <c r="R18867" s="226"/>
      <c r="S18867" s="226"/>
      <c r="T18867" s="226"/>
      <c r="U18867" s="226"/>
    </row>
    <row r="18868" spans="16:21" x14ac:dyDescent="0.35">
      <c r="P18868" s="226"/>
      <c r="Q18868" s="226"/>
      <c r="R18868" s="226"/>
      <c r="S18868" s="226"/>
      <c r="T18868" s="226"/>
      <c r="U18868" s="226"/>
    </row>
    <row r="18869" spans="16:21" x14ac:dyDescent="0.35">
      <c r="P18869" s="226"/>
      <c r="Q18869" s="226"/>
      <c r="R18869" s="226"/>
      <c r="S18869" s="226"/>
      <c r="T18869" s="226"/>
      <c r="U18869" s="226"/>
    </row>
    <row r="18870" spans="16:21" x14ac:dyDescent="0.35">
      <c r="P18870" s="226"/>
      <c r="Q18870" s="226"/>
      <c r="R18870" s="226"/>
      <c r="S18870" s="226"/>
      <c r="T18870" s="226"/>
      <c r="U18870" s="226"/>
    </row>
    <row r="18871" spans="16:21" x14ac:dyDescent="0.35">
      <c r="P18871" s="226"/>
      <c r="Q18871" s="226"/>
      <c r="R18871" s="226"/>
      <c r="S18871" s="226"/>
      <c r="T18871" s="226"/>
      <c r="U18871" s="226"/>
    </row>
    <row r="18872" spans="16:21" x14ac:dyDescent="0.35">
      <c r="P18872" s="226"/>
      <c r="Q18872" s="226"/>
      <c r="R18872" s="226"/>
      <c r="S18872" s="226"/>
      <c r="T18872" s="226"/>
      <c r="U18872" s="226"/>
    </row>
    <row r="18873" spans="16:21" x14ac:dyDescent="0.35">
      <c r="P18873" s="226"/>
      <c r="Q18873" s="226"/>
      <c r="R18873" s="226"/>
      <c r="S18873" s="226"/>
      <c r="T18873" s="226"/>
      <c r="U18873" s="226"/>
    </row>
    <row r="18874" spans="16:21" x14ac:dyDescent="0.35">
      <c r="P18874" s="226"/>
      <c r="Q18874" s="226"/>
      <c r="R18874" s="226"/>
      <c r="S18874" s="226"/>
      <c r="T18874" s="226"/>
      <c r="U18874" s="226"/>
    </row>
    <row r="18875" spans="16:21" x14ac:dyDescent="0.35">
      <c r="P18875" s="226"/>
      <c r="Q18875" s="226"/>
      <c r="R18875" s="226"/>
      <c r="S18875" s="226"/>
      <c r="T18875" s="226"/>
      <c r="U18875" s="226"/>
    </row>
    <row r="18876" spans="16:21" x14ac:dyDescent="0.35">
      <c r="P18876" s="226"/>
      <c r="Q18876" s="226"/>
      <c r="R18876" s="226"/>
      <c r="S18876" s="226"/>
      <c r="T18876" s="226"/>
      <c r="U18876" s="226"/>
    </row>
    <row r="18877" spans="16:21" x14ac:dyDescent="0.35">
      <c r="P18877" s="226"/>
      <c r="Q18877" s="226"/>
      <c r="R18877" s="226"/>
      <c r="S18877" s="226"/>
      <c r="T18877" s="226"/>
      <c r="U18877" s="226"/>
    </row>
    <row r="18878" spans="16:21" x14ac:dyDescent="0.35">
      <c r="P18878" s="226"/>
      <c r="Q18878" s="226"/>
      <c r="R18878" s="226"/>
      <c r="S18878" s="226"/>
      <c r="T18878" s="226"/>
      <c r="U18878" s="226"/>
    </row>
    <row r="18879" spans="16:21" x14ac:dyDescent="0.35">
      <c r="P18879" s="226"/>
      <c r="Q18879" s="226"/>
      <c r="R18879" s="226"/>
      <c r="S18879" s="226"/>
      <c r="T18879" s="226"/>
      <c r="U18879" s="226"/>
    </row>
    <row r="18880" spans="16:21" x14ac:dyDescent="0.35">
      <c r="P18880" s="226"/>
      <c r="Q18880" s="226"/>
      <c r="R18880" s="226"/>
      <c r="S18880" s="226"/>
      <c r="T18880" s="226"/>
      <c r="U18880" s="226"/>
    </row>
    <row r="18881" spans="16:21" x14ac:dyDescent="0.35">
      <c r="P18881" s="226"/>
      <c r="Q18881" s="226"/>
      <c r="R18881" s="226"/>
      <c r="S18881" s="226"/>
      <c r="T18881" s="226"/>
      <c r="U18881" s="226"/>
    </row>
    <row r="18882" spans="16:21" x14ac:dyDescent="0.35">
      <c r="P18882" s="226"/>
      <c r="Q18882" s="226"/>
      <c r="R18882" s="226"/>
      <c r="S18882" s="226"/>
      <c r="T18882" s="226"/>
      <c r="U18882" s="226"/>
    </row>
    <row r="18883" spans="16:21" x14ac:dyDescent="0.35">
      <c r="P18883" s="226"/>
      <c r="Q18883" s="226"/>
      <c r="R18883" s="226"/>
      <c r="S18883" s="226"/>
      <c r="T18883" s="226"/>
      <c r="U18883" s="226"/>
    </row>
    <row r="18884" spans="16:21" x14ac:dyDescent="0.35">
      <c r="P18884" s="226"/>
      <c r="Q18884" s="226"/>
      <c r="R18884" s="226"/>
      <c r="S18884" s="226"/>
      <c r="T18884" s="226"/>
      <c r="U18884" s="226"/>
    </row>
    <row r="18885" spans="16:21" x14ac:dyDescent="0.35">
      <c r="P18885" s="226"/>
      <c r="Q18885" s="226"/>
      <c r="R18885" s="226"/>
      <c r="S18885" s="226"/>
      <c r="T18885" s="226"/>
      <c r="U18885" s="226"/>
    </row>
    <row r="18886" spans="16:21" x14ac:dyDescent="0.35">
      <c r="P18886" s="226"/>
      <c r="Q18886" s="226"/>
      <c r="R18886" s="226"/>
      <c r="S18886" s="226"/>
      <c r="T18886" s="226"/>
      <c r="U18886" s="226"/>
    </row>
    <row r="18887" spans="16:21" x14ac:dyDescent="0.35">
      <c r="P18887" s="226"/>
      <c r="Q18887" s="226"/>
      <c r="R18887" s="226"/>
      <c r="S18887" s="226"/>
      <c r="T18887" s="226"/>
      <c r="U18887" s="226"/>
    </row>
    <row r="18888" spans="16:21" x14ac:dyDescent="0.35">
      <c r="P18888" s="226"/>
      <c r="Q18888" s="226"/>
      <c r="R18888" s="226"/>
      <c r="S18888" s="226"/>
      <c r="T18888" s="226"/>
      <c r="U18888" s="226"/>
    </row>
    <row r="18889" spans="16:21" x14ac:dyDescent="0.35">
      <c r="P18889" s="226"/>
      <c r="Q18889" s="226"/>
      <c r="R18889" s="226"/>
      <c r="S18889" s="226"/>
      <c r="T18889" s="226"/>
      <c r="U18889" s="226"/>
    </row>
    <row r="18890" spans="16:21" x14ac:dyDescent="0.35">
      <c r="P18890" s="226"/>
      <c r="Q18890" s="226"/>
      <c r="R18890" s="226"/>
      <c r="S18890" s="226"/>
      <c r="T18890" s="226"/>
      <c r="U18890" s="226"/>
    </row>
    <row r="18891" spans="16:21" x14ac:dyDescent="0.35">
      <c r="P18891" s="226"/>
      <c r="Q18891" s="226"/>
      <c r="R18891" s="226"/>
      <c r="S18891" s="226"/>
      <c r="T18891" s="226"/>
      <c r="U18891" s="226"/>
    </row>
    <row r="18892" spans="16:21" x14ac:dyDescent="0.35">
      <c r="P18892" s="226"/>
      <c r="Q18892" s="226"/>
      <c r="R18892" s="226"/>
      <c r="S18892" s="226"/>
      <c r="T18892" s="226"/>
      <c r="U18892" s="226"/>
    </row>
    <row r="18893" spans="16:21" x14ac:dyDescent="0.35">
      <c r="P18893" s="226"/>
      <c r="Q18893" s="226"/>
      <c r="R18893" s="226"/>
      <c r="S18893" s="226"/>
      <c r="T18893" s="226"/>
      <c r="U18893" s="226"/>
    </row>
    <row r="18894" spans="16:21" x14ac:dyDescent="0.35">
      <c r="P18894" s="226"/>
      <c r="Q18894" s="226"/>
      <c r="R18894" s="226"/>
      <c r="S18894" s="226"/>
      <c r="T18894" s="226"/>
      <c r="U18894" s="226"/>
    </row>
    <row r="18895" spans="16:21" x14ac:dyDescent="0.35">
      <c r="P18895" s="226"/>
      <c r="Q18895" s="226"/>
      <c r="R18895" s="226"/>
      <c r="S18895" s="226"/>
      <c r="T18895" s="226"/>
      <c r="U18895" s="226"/>
    </row>
    <row r="18896" spans="16:21" x14ac:dyDescent="0.35">
      <c r="P18896" s="226"/>
      <c r="Q18896" s="226"/>
      <c r="R18896" s="226"/>
      <c r="S18896" s="226"/>
      <c r="T18896" s="226"/>
      <c r="U18896" s="226"/>
    </row>
    <row r="18897" spans="16:21" x14ac:dyDescent="0.35">
      <c r="P18897" s="226"/>
      <c r="Q18897" s="226"/>
      <c r="R18897" s="226"/>
      <c r="S18897" s="226"/>
      <c r="T18897" s="226"/>
      <c r="U18897" s="226"/>
    </row>
    <row r="18898" spans="16:21" x14ac:dyDescent="0.35">
      <c r="P18898" s="226"/>
      <c r="Q18898" s="226"/>
      <c r="R18898" s="226"/>
      <c r="S18898" s="226"/>
      <c r="T18898" s="226"/>
      <c r="U18898" s="226"/>
    </row>
    <row r="18899" spans="16:21" x14ac:dyDescent="0.35">
      <c r="P18899" s="226"/>
      <c r="Q18899" s="226"/>
      <c r="R18899" s="226"/>
      <c r="S18899" s="226"/>
      <c r="T18899" s="226"/>
      <c r="U18899" s="226"/>
    </row>
    <row r="18900" spans="16:21" x14ac:dyDescent="0.35">
      <c r="P18900" s="226"/>
      <c r="Q18900" s="226"/>
      <c r="R18900" s="226"/>
      <c r="S18900" s="226"/>
      <c r="T18900" s="226"/>
      <c r="U18900" s="226"/>
    </row>
    <row r="18901" spans="16:21" x14ac:dyDescent="0.35">
      <c r="P18901" s="226"/>
      <c r="Q18901" s="226"/>
      <c r="R18901" s="226"/>
      <c r="S18901" s="226"/>
      <c r="T18901" s="226"/>
      <c r="U18901" s="226"/>
    </row>
    <row r="18902" spans="16:21" x14ac:dyDescent="0.35">
      <c r="P18902" s="226"/>
      <c r="Q18902" s="226"/>
      <c r="R18902" s="226"/>
      <c r="S18902" s="226"/>
      <c r="T18902" s="226"/>
      <c r="U18902" s="226"/>
    </row>
    <row r="18903" spans="16:21" x14ac:dyDescent="0.35">
      <c r="P18903" s="226"/>
      <c r="Q18903" s="226"/>
      <c r="R18903" s="226"/>
      <c r="S18903" s="226"/>
      <c r="T18903" s="226"/>
      <c r="U18903" s="226"/>
    </row>
    <row r="18904" spans="16:21" x14ac:dyDescent="0.35">
      <c r="P18904" s="226"/>
      <c r="Q18904" s="226"/>
      <c r="R18904" s="226"/>
      <c r="S18904" s="226"/>
      <c r="T18904" s="226"/>
      <c r="U18904" s="226"/>
    </row>
    <row r="18905" spans="16:21" x14ac:dyDescent="0.35">
      <c r="P18905" s="226"/>
      <c r="Q18905" s="226"/>
      <c r="R18905" s="226"/>
      <c r="S18905" s="226"/>
      <c r="T18905" s="226"/>
      <c r="U18905" s="226"/>
    </row>
    <row r="18906" spans="16:21" x14ac:dyDescent="0.35">
      <c r="P18906" s="226"/>
      <c r="Q18906" s="226"/>
      <c r="R18906" s="226"/>
      <c r="S18906" s="226"/>
      <c r="T18906" s="226"/>
      <c r="U18906" s="226"/>
    </row>
    <row r="18907" spans="16:21" x14ac:dyDescent="0.35">
      <c r="P18907" s="226"/>
      <c r="Q18907" s="226"/>
      <c r="R18907" s="226"/>
      <c r="S18907" s="226"/>
      <c r="T18907" s="226"/>
      <c r="U18907" s="226"/>
    </row>
    <row r="18908" spans="16:21" x14ac:dyDescent="0.35">
      <c r="P18908" s="226"/>
      <c r="Q18908" s="226"/>
      <c r="R18908" s="226"/>
      <c r="S18908" s="226"/>
      <c r="T18908" s="226"/>
      <c r="U18908" s="226"/>
    </row>
    <row r="18909" spans="16:21" x14ac:dyDescent="0.35">
      <c r="P18909" s="226"/>
      <c r="Q18909" s="226"/>
      <c r="R18909" s="226"/>
      <c r="S18909" s="226"/>
      <c r="T18909" s="226"/>
      <c r="U18909" s="226"/>
    </row>
    <row r="18910" spans="16:21" x14ac:dyDescent="0.35">
      <c r="P18910" s="226"/>
      <c r="Q18910" s="226"/>
      <c r="R18910" s="226"/>
      <c r="S18910" s="226"/>
      <c r="T18910" s="226"/>
      <c r="U18910" s="226"/>
    </row>
    <row r="18911" spans="16:21" x14ac:dyDescent="0.35">
      <c r="P18911" s="226"/>
      <c r="Q18911" s="226"/>
      <c r="R18911" s="226"/>
      <c r="S18911" s="226"/>
      <c r="T18911" s="226"/>
      <c r="U18911" s="226"/>
    </row>
    <row r="18912" spans="16:21" x14ac:dyDescent="0.35">
      <c r="P18912" s="226"/>
      <c r="Q18912" s="226"/>
      <c r="R18912" s="226"/>
      <c r="S18912" s="226"/>
      <c r="T18912" s="226"/>
      <c r="U18912" s="226"/>
    </row>
    <row r="18913" spans="16:21" x14ac:dyDescent="0.35">
      <c r="P18913" s="226"/>
      <c r="Q18913" s="226"/>
      <c r="R18913" s="226"/>
      <c r="S18913" s="226"/>
      <c r="T18913" s="226"/>
      <c r="U18913" s="226"/>
    </row>
    <row r="18914" spans="16:21" x14ac:dyDescent="0.35">
      <c r="P18914" s="226"/>
      <c r="Q18914" s="226"/>
      <c r="R18914" s="226"/>
      <c r="S18914" s="226"/>
      <c r="T18914" s="226"/>
      <c r="U18914" s="226"/>
    </row>
    <row r="18915" spans="16:21" x14ac:dyDescent="0.35">
      <c r="P18915" s="226"/>
      <c r="Q18915" s="226"/>
      <c r="R18915" s="226"/>
      <c r="S18915" s="226"/>
      <c r="T18915" s="226"/>
      <c r="U18915" s="226"/>
    </row>
    <row r="18916" spans="16:21" x14ac:dyDescent="0.35">
      <c r="P18916" s="226"/>
      <c r="Q18916" s="226"/>
      <c r="R18916" s="226"/>
      <c r="S18916" s="226"/>
      <c r="T18916" s="226"/>
      <c r="U18916" s="226"/>
    </row>
    <row r="18917" spans="16:21" x14ac:dyDescent="0.35">
      <c r="P18917" s="226"/>
      <c r="Q18917" s="226"/>
      <c r="R18917" s="226"/>
      <c r="S18917" s="226"/>
      <c r="T18917" s="226"/>
      <c r="U18917" s="226"/>
    </row>
    <row r="18918" spans="16:21" x14ac:dyDescent="0.35">
      <c r="P18918" s="226"/>
      <c r="Q18918" s="226"/>
      <c r="R18918" s="226"/>
      <c r="S18918" s="226"/>
      <c r="T18918" s="226"/>
      <c r="U18918" s="226"/>
    </row>
    <row r="18919" spans="16:21" x14ac:dyDescent="0.35">
      <c r="P18919" s="226"/>
      <c r="Q18919" s="226"/>
      <c r="R18919" s="226"/>
      <c r="S18919" s="226"/>
      <c r="T18919" s="226"/>
      <c r="U18919" s="226"/>
    </row>
    <row r="18920" spans="16:21" x14ac:dyDescent="0.35">
      <c r="P18920" s="226"/>
      <c r="Q18920" s="226"/>
      <c r="R18920" s="226"/>
      <c r="S18920" s="226"/>
      <c r="T18920" s="226"/>
      <c r="U18920" s="226"/>
    </row>
    <row r="18921" spans="16:21" x14ac:dyDescent="0.35">
      <c r="P18921" s="226"/>
      <c r="Q18921" s="226"/>
      <c r="R18921" s="226"/>
      <c r="S18921" s="226"/>
      <c r="T18921" s="226"/>
      <c r="U18921" s="226"/>
    </row>
    <row r="18922" spans="16:21" x14ac:dyDescent="0.35">
      <c r="P18922" s="226"/>
      <c r="Q18922" s="226"/>
      <c r="R18922" s="226"/>
      <c r="S18922" s="226"/>
      <c r="T18922" s="226"/>
      <c r="U18922" s="226"/>
    </row>
    <row r="18923" spans="16:21" x14ac:dyDescent="0.35">
      <c r="P18923" s="226"/>
      <c r="Q18923" s="226"/>
      <c r="R18923" s="226"/>
      <c r="S18923" s="226"/>
      <c r="T18923" s="226"/>
      <c r="U18923" s="226"/>
    </row>
    <row r="18924" spans="16:21" x14ac:dyDescent="0.35">
      <c r="P18924" s="226"/>
      <c r="Q18924" s="226"/>
      <c r="R18924" s="226"/>
      <c r="S18924" s="226"/>
      <c r="T18924" s="226"/>
      <c r="U18924" s="226"/>
    </row>
    <row r="18925" spans="16:21" x14ac:dyDescent="0.35">
      <c r="P18925" s="226"/>
      <c r="Q18925" s="226"/>
      <c r="R18925" s="226"/>
      <c r="S18925" s="226"/>
      <c r="T18925" s="226"/>
      <c r="U18925" s="226"/>
    </row>
    <row r="18926" spans="16:21" x14ac:dyDescent="0.35">
      <c r="P18926" s="226"/>
      <c r="Q18926" s="226"/>
      <c r="R18926" s="226"/>
      <c r="S18926" s="226"/>
      <c r="T18926" s="226"/>
      <c r="U18926" s="226"/>
    </row>
    <row r="18927" spans="16:21" x14ac:dyDescent="0.35">
      <c r="P18927" s="226"/>
      <c r="Q18927" s="226"/>
      <c r="R18927" s="226"/>
      <c r="S18927" s="226"/>
      <c r="T18927" s="226"/>
      <c r="U18927" s="226"/>
    </row>
    <row r="18928" spans="16:21" x14ac:dyDescent="0.35">
      <c r="P18928" s="226"/>
      <c r="Q18928" s="226"/>
      <c r="R18928" s="226"/>
      <c r="S18928" s="226"/>
      <c r="T18928" s="226"/>
      <c r="U18928" s="226"/>
    </row>
    <row r="18929" spans="16:21" x14ac:dyDescent="0.35">
      <c r="P18929" s="226"/>
      <c r="Q18929" s="226"/>
      <c r="R18929" s="226"/>
      <c r="S18929" s="226"/>
      <c r="T18929" s="226"/>
      <c r="U18929" s="226"/>
    </row>
    <row r="18930" spans="16:21" x14ac:dyDescent="0.35">
      <c r="P18930" s="226"/>
      <c r="Q18930" s="226"/>
      <c r="R18930" s="226"/>
      <c r="S18930" s="226"/>
      <c r="T18930" s="226"/>
      <c r="U18930" s="226"/>
    </row>
    <row r="18931" spans="16:21" x14ac:dyDescent="0.35">
      <c r="P18931" s="226"/>
      <c r="Q18931" s="226"/>
      <c r="R18931" s="226"/>
      <c r="S18931" s="226"/>
      <c r="T18931" s="226"/>
      <c r="U18931" s="226"/>
    </row>
    <row r="18932" spans="16:21" x14ac:dyDescent="0.35">
      <c r="P18932" s="226"/>
      <c r="Q18932" s="226"/>
      <c r="R18932" s="226"/>
      <c r="S18932" s="226"/>
      <c r="T18932" s="226"/>
      <c r="U18932" s="226"/>
    </row>
    <row r="18933" spans="16:21" x14ac:dyDescent="0.35">
      <c r="P18933" s="226"/>
      <c r="Q18933" s="226"/>
      <c r="R18933" s="226"/>
      <c r="S18933" s="226"/>
      <c r="T18933" s="226"/>
      <c r="U18933" s="226"/>
    </row>
    <row r="18934" spans="16:21" x14ac:dyDescent="0.35">
      <c r="P18934" s="226"/>
      <c r="Q18934" s="226"/>
      <c r="R18934" s="226"/>
      <c r="S18934" s="226"/>
      <c r="T18934" s="226"/>
      <c r="U18934" s="226"/>
    </row>
    <row r="18935" spans="16:21" x14ac:dyDescent="0.35">
      <c r="P18935" s="226"/>
      <c r="Q18935" s="226"/>
      <c r="R18935" s="226"/>
      <c r="S18935" s="226"/>
      <c r="T18935" s="226"/>
      <c r="U18935" s="226"/>
    </row>
    <row r="18936" spans="16:21" x14ac:dyDescent="0.35">
      <c r="P18936" s="226"/>
      <c r="Q18936" s="226"/>
      <c r="R18936" s="226"/>
      <c r="S18936" s="226"/>
      <c r="T18936" s="226"/>
      <c r="U18936" s="226"/>
    </row>
    <row r="18937" spans="16:21" x14ac:dyDescent="0.35">
      <c r="P18937" s="226"/>
      <c r="Q18937" s="226"/>
      <c r="R18937" s="226"/>
      <c r="S18937" s="226"/>
      <c r="T18937" s="226"/>
      <c r="U18937" s="226"/>
    </row>
    <row r="18938" spans="16:21" x14ac:dyDescent="0.35">
      <c r="P18938" s="226"/>
      <c r="Q18938" s="226"/>
      <c r="R18938" s="226"/>
      <c r="S18938" s="226"/>
      <c r="T18938" s="226"/>
      <c r="U18938" s="226"/>
    </row>
    <row r="18939" spans="16:21" x14ac:dyDescent="0.35">
      <c r="P18939" s="226"/>
      <c r="Q18939" s="226"/>
      <c r="R18939" s="226"/>
      <c r="S18939" s="226"/>
      <c r="T18939" s="226"/>
      <c r="U18939" s="226"/>
    </row>
    <row r="18940" spans="16:21" x14ac:dyDescent="0.35">
      <c r="P18940" s="226"/>
      <c r="Q18940" s="226"/>
      <c r="R18940" s="226"/>
      <c r="S18940" s="226"/>
      <c r="T18940" s="226"/>
      <c r="U18940" s="226"/>
    </row>
    <row r="18941" spans="16:21" x14ac:dyDescent="0.35">
      <c r="P18941" s="226"/>
      <c r="Q18941" s="226"/>
      <c r="R18941" s="226"/>
      <c r="S18941" s="226"/>
      <c r="T18941" s="226"/>
      <c r="U18941" s="226"/>
    </row>
    <row r="18942" spans="16:21" x14ac:dyDescent="0.35">
      <c r="P18942" s="226"/>
      <c r="Q18942" s="226"/>
      <c r="R18942" s="226"/>
      <c r="S18942" s="226"/>
      <c r="T18942" s="226"/>
      <c r="U18942" s="226"/>
    </row>
    <row r="18943" spans="16:21" x14ac:dyDescent="0.35">
      <c r="P18943" s="226"/>
      <c r="Q18943" s="226"/>
      <c r="R18943" s="226"/>
      <c r="S18943" s="226"/>
      <c r="T18943" s="226"/>
      <c r="U18943" s="226"/>
    </row>
    <row r="18944" spans="16:21" x14ac:dyDescent="0.35">
      <c r="P18944" s="226"/>
      <c r="Q18944" s="226"/>
      <c r="R18944" s="226"/>
      <c r="S18944" s="226"/>
      <c r="T18944" s="226"/>
      <c r="U18944" s="226"/>
    </row>
    <row r="18945" spans="16:21" x14ac:dyDescent="0.35">
      <c r="P18945" s="226"/>
      <c r="Q18945" s="226"/>
      <c r="R18945" s="226"/>
      <c r="S18945" s="226"/>
      <c r="T18945" s="226"/>
      <c r="U18945" s="226"/>
    </row>
    <row r="18946" spans="16:21" x14ac:dyDescent="0.35">
      <c r="P18946" s="226"/>
      <c r="Q18946" s="226"/>
      <c r="R18946" s="226"/>
      <c r="S18946" s="226"/>
      <c r="T18946" s="226"/>
      <c r="U18946" s="226"/>
    </row>
    <row r="18947" spans="16:21" x14ac:dyDescent="0.35">
      <c r="P18947" s="226"/>
      <c r="Q18947" s="226"/>
      <c r="R18947" s="226"/>
      <c r="S18947" s="226"/>
      <c r="T18947" s="226"/>
      <c r="U18947" s="226"/>
    </row>
    <row r="18948" spans="16:21" x14ac:dyDescent="0.35">
      <c r="P18948" s="226"/>
      <c r="Q18948" s="226"/>
      <c r="R18948" s="226"/>
      <c r="S18948" s="226"/>
      <c r="T18948" s="226"/>
      <c r="U18948" s="226"/>
    </row>
    <row r="18949" spans="16:21" x14ac:dyDescent="0.35">
      <c r="P18949" s="226"/>
      <c r="Q18949" s="226"/>
      <c r="R18949" s="226"/>
      <c r="S18949" s="226"/>
      <c r="T18949" s="226"/>
      <c r="U18949" s="226"/>
    </row>
    <row r="18950" spans="16:21" x14ac:dyDescent="0.35">
      <c r="P18950" s="226"/>
      <c r="Q18950" s="226"/>
      <c r="R18950" s="226"/>
      <c r="S18950" s="226"/>
      <c r="T18950" s="226"/>
      <c r="U18950" s="226"/>
    </row>
    <row r="18951" spans="16:21" x14ac:dyDescent="0.35">
      <c r="P18951" s="226"/>
      <c r="Q18951" s="226"/>
      <c r="R18951" s="226"/>
      <c r="S18951" s="226"/>
      <c r="T18951" s="226"/>
      <c r="U18951" s="226"/>
    </row>
    <row r="18952" spans="16:21" x14ac:dyDescent="0.35">
      <c r="P18952" s="226"/>
      <c r="Q18952" s="226"/>
      <c r="R18952" s="226"/>
      <c r="S18952" s="226"/>
      <c r="T18952" s="226"/>
      <c r="U18952" s="226"/>
    </row>
    <row r="18953" spans="16:21" x14ac:dyDescent="0.35">
      <c r="P18953" s="226"/>
      <c r="Q18953" s="226"/>
      <c r="R18953" s="226"/>
      <c r="S18953" s="226"/>
      <c r="T18953" s="226"/>
      <c r="U18953" s="226"/>
    </row>
    <row r="18954" spans="16:21" x14ac:dyDescent="0.35">
      <c r="P18954" s="226"/>
      <c r="Q18954" s="226"/>
      <c r="R18954" s="226"/>
      <c r="S18954" s="226"/>
      <c r="T18954" s="226"/>
      <c r="U18954" s="226"/>
    </row>
    <row r="18955" spans="16:21" x14ac:dyDescent="0.35">
      <c r="P18955" s="226"/>
      <c r="Q18955" s="226"/>
      <c r="R18955" s="226"/>
      <c r="S18955" s="226"/>
      <c r="T18955" s="226"/>
      <c r="U18955" s="226"/>
    </row>
    <row r="18956" spans="16:21" x14ac:dyDescent="0.35">
      <c r="P18956" s="226"/>
      <c r="Q18956" s="226"/>
      <c r="R18956" s="226"/>
      <c r="S18956" s="226"/>
      <c r="T18956" s="226"/>
      <c r="U18956" s="226"/>
    </row>
    <row r="18957" spans="16:21" x14ac:dyDescent="0.35">
      <c r="P18957" s="226"/>
      <c r="Q18957" s="226"/>
      <c r="R18957" s="226"/>
      <c r="S18957" s="226"/>
      <c r="T18957" s="226"/>
      <c r="U18957" s="226"/>
    </row>
    <row r="18958" spans="16:21" x14ac:dyDescent="0.35">
      <c r="P18958" s="226"/>
      <c r="Q18958" s="226"/>
      <c r="R18958" s="226"/>
      <c r="S18958" s="226"/>
      <c r="T18958" s="226"/>
      <c r="U18958" s="226"/>
    </row>
    <row r="18959" spans="16:21" x14ac:dyDescent="0.35">
      <c r="P18959" s="226"/>
      <c r="Q18959" s="226"/>
      <c r="R18959" s="226"/>
      <c r="S18959" s="226"/>
      <c r="T18959" s="226"/>
      <c r="U18959" s="226"/>
    </row>
    <row r="18960" spans="16:21" x14ac:dyDescent="0.35">
      <c r="P18960" s="226"/>
      <c r="Q18960" s="226"/>
      <c r="R18960" s="226"/>
      <c r="S18960" s="226"/>
      <c r="T18960" s="226"/>
      <c r="U18960" s="226"/>
    </row>
    <row r="18961" spans="16:21" x14ac:dyDescent="0.35">
      <c r="P18961" s="226"/>
      <c r="Q18961" s="226"/>
      <c r="R18961" s="226"/>
      <c r="S18961" s="226"/>
      <c r="T18961" s="226"/>
      <c r="U18961" s="226"/>
    </row>
    <row r="18962" spans="16:21" x14ac:dyDescent="0.35">
      <c r="P18962" s="226"/>
      <c r="Q18962" s="226"/>
      <c r="R18962" s="226"/>
      <c r="S18962" s="226"/>
      <c r="T18962" s="226"/>
      <c r="U18962" s="226"/>
    </row>
    <row r="18963" spans="16:21" x14ac:dyDescent="0.35">
      <c r="P18963" s="226"/>
      <c r="Q18963" s="226"/>
      <c r="R18963" s="226"/>
      <c r="S18963" s="226"/>
      <c r="T18963" s="226"/>
      <c r="U18963" s="226"/>
    </row>
    <row r="18964" spans="16:21" x14ac:dyDescent="0.35">
      <c r="P18964" s="226"/>
      <c r="Q18964" s="226"/>
      <c r="R18964" s="226"/>
      <c r="S18964" s="226"/>
      <c r="T18964" s="226"/>
      <c r="U18964" s="226"/>
    </row>
    <row r="18965" spans="16:21" x14ac:dyDescent="0.35">
      <c r="P18965" s="226"/>
      <c r="Q18965" s="226"/>
      <c r="R18965" s="226"/>
      <c r="S18965" s="226"/>
      <c r="T18965" s="226"/>
      <c r="U18965" s="226"/>
    </row>
    <row r="18966" spans="16:21" x14ac:dyDescent="0.35">
      <c r="P18966" s="226"/>
      <c r="Q18966" s="226"/>
      <c r="R18966" s="226"/>
      <c r="S18966" s="226"/>
      <c r="T18966" s="226"/>
      <c r="U18966" s="226"/>
    </row>
    <row r="18967" spans="16:21" x14ac:dyDescent="0.35">
      <c r="P18967" s="226"/>
      <c r="Q18967" s="226"/>
      <c r="R18967" s="226"/>
      <c r="S18967" s="226"/>
      <c r="T18967" s="226"/>
      <c r="U18967" s="226"/>
    </row>
    <row r="18968" spans="16:21" x14ac:dyDescent="0.35">
      <c r="P18968" s="226"/>
      <c r="Q18968" s="226"/>
      <c r="R18968" s="226"/>
      <c r="S18968" s="226"/>
      <c r="T18968" s="226"/>
      <c r="U18968" s="226"/>
    </row>
    <row r="18969" spans="16:21" x14ac:dyDescent="0.35">
      <c r="P18969" s="226"/>
      <c r="Q18969" s="226"/>
      <c r="R18969" s="226"/>
      <c r="S18969" s="226"/>
      <c r="T18969" s="226"/>
      <c r="U18969" s="226"/>
    </row>
    <row r="18970" spans="16:21" x14ac:dyDescent="0.35">
      <c r="P18970" s="226"/>
      <c r="Q18970" s="226"/>
      <c r="R18970" s="226"/>
      <c r="S18970" s="226"/>
      <c r="T18970" s="226"/>
      <c r="U18970" s="226"/>
    </row>
    <row r="18971" spans="16:21" x14ac:dyDescent="0.35">
      <c r="P18971" s="226"/>
      <c r="Q18971" s="226"/>
      <c r="R18971" s="226"/>
      <c r="S18971" s="226"/>
      <c r="T18971" s="226"/>
      <c r="U18971" s="226"/>
    </row>
    <row r="18972" spans="16:21" x14ac:dyDescent="0.35">
      <c r="P18972" s="226"/>
      <c r="Q18972" s="226"/>
      <c r="R18972" s="226"/>
      <c r="S18972" s="226"/>
      <c r="T18972" s="226"/>
      <c r="U18972" s="226"/>
    </row>
    <row r="18973" spans="16:21" x14ac:dyDescent="0.35">
      <c r="P18973" s="226"/>
      <c r="Q18973" s="226"/>
      <c r="R18973" s="226"/>
      <c r="S18973" s="226"/>
      <c r="T18973" s="226"/>
      <c r="U18973" s="226"/>
    </row>
    <row r="18974" spans="16:21" x14ac:dyDescent="0.35">
      <c r="P18974" s="226"/>
      <c r="Q18974" s="226"/>
      <c r="R18974" s="226"/>
      <c r="S18974" s="226"/>
      <c r="T18974" s="226"/>
      <c r="U18974" s="226"/>
    </row>
    <row r="18975" spans="16:21" x14ac:dyDescent="0.35">
      <c r="P18975" s="226"/>
      <c r="Q18975" s="226"/>
      <c r="R18975" s="226"/>
      <c r="S18975" s="226"/>
      <c r="T18975" s="226"/>
      <c r="U18975" s="226"/>
    </row>
    <row r="18976" spans="16:21" x14ac:dyDescent="0.35">
      <c r="P18976" s="226"/>
      <c r="Q18976" s="226"/>
      <c r="R18976" s="226"/>
      <c r="S18976" s="226"/>
      <c r="T18976" s="226"/>
      <c r="U18976" s="226"/>
    </row>
    <row r="18977" spans="16:21" x14ac:dyDescent="0.35">
      <c r="P18977" s="226"/>
      <c r="Q18977" s="226"/>
      <c r="R18977" s="226"/>
      <c r="S18977" s="226"/>
      <c r="T18977" s="226"/>
      <c r="U18977" s="226"/>
    </row>
    <row r="18978" spans="16:21" x14ac:dyDescent="0.35">
      <c r="P18978" s="226"/>
      <c r="Q18978" s="226"/>
      <c r="R18978" s="226"/>
      <c r="S18978" s="226"/>
      <c r="T18978" s="226"/>
      <c r="U18978" s="226"/>
    </row>
    <row r="18979" spans="16:21" x14ac:dyDescent="0.35">
      <c r="P18979" s="226"/>
      <c r="Q18979" s="226"/>
      <c r="R18979" s="226"/>
      <c r="S18979" s="226"/>
      <c r="T18979" s="226"/>
      <c r="U18979" s="226"/>
    </row>
    <row r="18980" spans="16:21" x14ac:dyDescent="0.35">
      <c r="P18980" s="226"/>
      <c r="Q18980" s="226"/>
      <c r="R18980" s="226"/>
      <c r="S18980" s="226"/>
      <c r="T18980" s="226"/>
      <c r="U18980" s="226"/>
    </row>
    <row r="18981" spans="16:21" x14ac:dyDescent="0.35">
      <c r="P18981" s="226"/>
      <c r="Q18981" s="226"/>
      <c r="R18981" s="226"/>
      <c r="S18981" s="226"/>
      <c r="T18981" s="226"/>
      <c r="U18981" s="226"/>
    </row>
    <row r="18982" spans="16:21" x14ac:dyDescent="0.35">
      <c r="P18982" s="226"/>
      <c r="Q18982" s="226"/>
      <c r="R18982" s="226"/>
      <c r="S18982" s="226"/>
      <c r="T18982" s="226"/>
      <c r="U18982" s="226"/>
    </row>
    <row r="18983" spans="16:21" x14ac:dyDescent="0.35">
      <c r="P18983" s="226"/>
      <c r="Q18983" s="226"/>
      <c r="R18983" s="226"/>
      <c r="S18983" s="226"/>
      <c r="T18983" s="226"/>
      <c r="U18983" s="226"/>
    </row>
    <row r="18984" spans="16:21" x14ac:dyDescent="0.35">
      <c r="P18984" s="226"/>
      <c r="Q18984" s="226"/>
      <c r="R18984" s="226"/>
      <c r="S18984" s="226"/>
      <c r="T18984" s="226"/>
      <c r="U18984" s="226"/>
    </row>
    <row r="18985" spans="16:21" x14ac:dyDescent="0.35">
      <c r="P18985" s="226"/>
      <c r="Q18985" s="226"/>
      <c r="R18985" s="226"/>
      <c r="S18985" s="226"/>
      <c r="T18985" s="226"/>
      <c r="U18985" s="226"/>
    </row>
    <row r="18986" spans="16:21" x14ac:dyDescent="0.35">
      <c r="P18986" s="226"/>
      <c r="Q18986" s="226"/>
      <c r="R18986" s="226"/>
      <c r="S18986" s="226"/>
      <c r="T18986" s="226"/>
      <c r="U18986" s="226"/>
    </row>
    <row r="18987" spans="16:21" x14ac:dyDescent="0.35">
      <c r="P18987" s="226"/>
      <c r="Q18987" s="226"/>
      <c r="R18987" s="226"/>
      <c r="S18987" s="226"/>
      <c r="T18987" s="226"/>
      <c r="U18987" s="226"/>
    </row>
    <row r="18988" spans="16:21" x14ac:dyDescent="0.35">
      <c r="P18988" s="226"/>
      <c r="Q18988" s="226"/>
      <c r="R18988" s="226"/>
      <c r="S18988" s="226"/>
      <c r="T18988" s="226"/>
      <c r="U18988" s="226"/>
    </row>
    <row r="18989" spans="16:21" x14ac:dyDescent="0.35">
      <c r="P18989" s="226"/>
      <c r="Q18989" s="226"/>
      <c r="R18989" s="226"/>
      <c r="S18989" s="226"/>
      <c r="T18989" s="226"/>
      <c r="U18989" s="226"/>
    </row>
    <row r="18990" spans="16:21" x14ac:dyDescent="0.35">
      <c r="P18990" s="226"/>
      <c r="Q18990" s="226"/>
      <c r="R18990" s="226"/>
      <c r="S18990" s="226"/>
      <c r="T18990" s="226"/>
      <c r="U18990" s="226"/>
    </row>
    <row r="18991" spans="16:21" x14ac:dyDescent="0.35">
      <c r="P18991" s="226"/>
      <c r="Q18991" s="226"/>
      <c r="R18991" s="226"/>
      <c r="S18991" s="226"/>
      <c r="T18991" s="226"/>
      <c r="U18991" s="226"/>
    </row>
    <row r="18992" spans="16:21" x14ac:dyDescent="0.35">
      <c r="P18992" s="226"/>
      <c r="Q18992" s="226"/>
      <c r="R18992" s="226"/>
      <c r="S18992" s="226"/>
      <c r="T18992" s="226"/>
      <c r="U18992" s="226"/>
    </row>
    <row r="18993" spans="16:21" x14ac:dyDescent="0.35">
      <c r="P18993" s="226"/>
      <c r="Q18993" s="226"/>
      <c r="R18993" s="226"/>
      <c r="S18993" s="226"/>
      <c r="T18993" s="226"/>
      <c r="U18993" s="226"/>
    </row>
    <row r="18994" spans="16:21" x14ac:dyDescent="0.35">
      <c r="P18994" s="226"/>
      <c r="Q18994" s="226"/>
      <c r="R18994" s="226"/>
      <c r="S18994" s="226"/>
      <c r="T18994" s="226"/>
      <c r="U18994" s="226"/>
    </row>
    <row r="18995" spans="16:21" x14ac:dyDescent="0.35">
      <c r="P18995" s="226"/>
      <c r="Q18995" s="226"/>
      <c r="R18995" s="226"/>
      <c r="S18995" s="226"/>
      <c r="T18995" s="226"/>
      <c r="U18995" s="226"/>
    </row>
    <row r="18996" spans="16:21" x14ac:dyDescent="0.35">
      <c r="P18996" s="226"/>
      <c r="Q18996" s="226"/>
      <c r="R18996" s="226"/>
      <c r="S18996" s="226"/>
      <c r="T18996" s="226"/>
      <c r="U18996" s="226"/>
    </row>
    <row r="18997" spans="16:21" x14ac:dyDescent="0.35">
      <c r="P18997" s="226"/>
      <c r="Q18997" s="226"/>
      <c r="R18997" s="226"/>
      <c r="S18997" s="226"/>
      <c r="T18997" s="226"/>
      <c r="U18997" s="226"/>
    </row>
    <row r="18998" spans="16:21" x14ac:dyDescent="0.35">
      <c r="P18998" s="226"/>
      <c r="Q18998" s="226"/>
      <c r="R18998" s="226"/>
      <c r="S18998" s="226"/>
      <c r="T18998" s="226"/>
      <c r="U18998" s="226"/>
    </row>
    <row r="18999" spans="16:21" x14ac:dyDescent="0.35">
      <c r="P18999" s="226"/>
      <c r="Q18999" s="226"/>
      <c r="R18999" s="226"/>
      <c r="S18999" s="226"/>
      <c r="T18999" s="226"/>
      <c r="U18999" s="226"/>
    </row>
    <row r="19000" spans="16:21" x14ac:dyDescent="0.35">
      <c r="P19000" s="226"/>
      <c r="Q19000" s="226"/>
      <c r="R19000" s="226"/>
      <c r="S19000" s="226"/>
      <c r="T19000" s="226"/>
      <c r="U19000" s="226"/>
    </row>
    <row r="19001" spans="16:21" x14ac:dyDescent="0.35">
      <c r="P19001" s="226"/>
      <c r="Q19001" s="226"/>
      <c r="R19001" s="226"/>
      <c r="S19001" s="226"/>
      <c r="T19001" s="226"/>
      <c r="U19001" s="226"/>
    </row>
    <row r="19002" spans="16:21" x14ac:dyDescent="0.35">
      <c r="P19002" s="226"/>
      <c r="Q19002" s="226"/>
      <c r="R19002" s="226"/>
      <c r="S19002" s="226"/>
      <c r="T19002" s="226"/>
      <c r="U19002" s="226"/>
    </row>
    <row r="19003" spans="16:21" x14ac:dyDescent="0.35">
      <c r="P19003" s="226"/>
      <c r="Q19003" s="226"/>
      <c r="R19003" s="226"/>
      <c r="S19003" s="226"/>
      <c r="T19003" s="226"/>
      <c r="U19003" s="226"/>
    </row>
    <row r="19004" spans="16:21" x14ac:dyDescent="0.35">
      <c r="P19004" s="226"/>
      <c r="Q19004" s="226"/>
      <c r="R19004" s="226"/>
      <c r="S19004" s="226"/>
      <c r="T19004" s="226"/>
      <c r="U19004" s="226"/>
    </row>
    <row r="19005" spans="16:21" x14ac:dyDescent="0.35">
      <c r="P19005" s="226"/>
      <c r="Q19005" s="226"/>
      <c r="R19005" s="226"/>
      <c r="S19005" s="226"/>
      <c r="T19005" s="226"/>
      <c r="U19005" s="226"/>
    </row>
    <row r="19006" spans="16:21" x14ac:dyDescent="0.35">
      <c r="P19006" s="226"/>
      <c r="Q19006" s="226"/>
      <c r="R19006" s="226"/>
      <c r="S19006" s="226"/>
      <c r="T19006" s="226"/>
      <c r="U19006" s="226"/>
    </row>
    <row r="19007" spans="16:21" x14ac:dyDescent="0.35">
      <c r="P19007" s="226"/>
      <c r="Q19007" s="226"/>
      <c r="R19007" s="226"/>
      <c r="S19007" s="226"/>
      <c r="T19007" s="226"/>
      <c r="U19007" s="226"/>
    </row>
    <row r="19008" spans="16:21" x14ac:dyDescent="0.35">
      <c r="P19008" s="226"/>
      <c r="Q19008" s="226"/>
      <c r="R19008" s="226"/>
      <c r="S19008" s="226"/>
      <c r="T19008" s="226"/>
      <c r="U19008" s="226"/>
    </row>
    <row r="19009" spans="16:21" x14ac:dyDescent="0.35">
      <c r="P19009" s="226"/>
      <c r="Q19009" s="226"/>
      <c r="R19009" s="226"/>
      <c r="S19009" s="226"/>
      <c r="T19009" s="226"/>
      <c r="U19009" s="226"/>
    </row>
    <row r="19010" spans="16:21" x14ac:dyDescent="0.35">
      <c r="P19010" s="226"/>
      <c r="Q19010" s="226"/>
      <c r="R19010" s="226"/>
      <c r="S19010" s="226"/>
      <c r="T19010" s="226"/>
      <c r="U19010" s="226"/>
    </row>
    <row r="19011" spans="16:21" x14ac:dyDescent="0.35">
      <c r="P19011" s="226"/>
      <c r="Q19011" s="226"/>
      <c r="R19011" s="226"/>
      <c r="S19011" s="226"/>
      <c r="T19011" s="226"/>
      <c r="U19011" s="226"/>
    </row>
    <row r="19012" spans="16:21" x14ac:dyDescent="0.35">
      <c r="P19012" s="226"/>
      <c r="Q19012" s="226"/>
      <c r="R19012" s="226"/>
      <c r="S19012" s="226"/>
      <c r="T19012" s="226"/>
      <c r="U19012" s="226"/>
    </row>
    <row r="19013" spans="16:21" x14ac:dyDescent="0.35">
      <c r="P19013" s="226"/>
      <c r="Q19013" s="226"/>
      <c r="R19013" s="226"/>
      <c r="S19013" s="226"/>
      <c r="T19013" s="226"/>
      <c r="U19013" s="226"/>
    </row>
    <row r="19014" spans="16:21" x14ac:dyDescent="0.35">
      <c r="P19014" s="226"/>
      <c r="Q19014" s="226"/>
      <c r="R19014" s="226"/>
      <c r="S19014" s="226"/>
      <c r="T19014" s="226"/>
      <c r="U19014" s="226"/>
    </row>
    <row r="19015" spans="16:21" x14ac:dyDescent="0.35">
      <c r="P19015" s="226"/>
      <c r="Q19015" s="226"/>
      <c r="R19015" s="226"/>
      <c r="S19015" s="226"/>
      <c r="T19015" s="226"/>
      <c r="U19015" s="226"/>
    </row>
    <row r="19016" spans="16:21" x14ac:dyDescent="0.35">
      <c r="P19016" s="226"/>
      <c r="Q19016" s="226"/>
      <c r="R19016" s="226"/>
      <c r="S19016" s="226"/>
      <c r="T19016" s="226"/>
      <c r="U19016" s="226"/>
    </row>
    <row r="19017" spans="16:21" x14ac:dyDescent="0.35">
      <c r="P19017" s="226"/>
      <c r="Q19017" s="226"/>
      <c r="R19017" s="226"/>
      <c r="S19017" s="226"/>
      <c r="T19017" s="226"/>
      <c r="U19017" s="226"/>
    </row>
    <row r="19018" spans="16:21" x14ac:dyDescent="0.35">
      <c r="P19018" s="226"/>
      <c r="Q19018" s="226"/>
      <c r="R19018" s="226"/>
      <c r="S19018" s="226"/>
      <c r="T19018" s="226"/>
      <c r="U19018" s="226"/>
    </row>
    <row r="19019" spans="16:21" x14ac:dyDescent="0.35">
      <c r="P19019" s="226"/>
      <c r="Q19019" s="226"/>
      <c r="R19019" s="226"/>
      <c r="S19019" s="226"/>
      <c r="T19019" s="226"/>
      <c r="U19019" s="226"/>
    </row>
    <row r="19020" spans="16:21" x14ac:dyDescent="0.35">
      <c r="P19020" s="226"/>
      <c r="Q19020" s="226"/>
      <c r="R19020" s="226"/>
      <c r="S19020" s="226"/>
      <c r="T19020" s="226"/>
      <c r="U19020" s="226"/>
    </row>
    <row r="19021" spans="16:21" x14ac:dyDescent="0.35">
      <c r="P19021" s="226"/>
      <c r="Q19021" s="226"/>
      <c r="R19021" s="226"/>
      <c r="S19021" s="226"/>
      <c r="T19021" s="226"/>
      <c r="U19021" s="226"/>
    </row>
    <row r="19022" spans="16:21" x14ac:dyDescent="0.35">
      <c r="P19022" s="226"/>
      <c r="Q19022" s="226"/>
      <c r="R19022" s="226"/>
      <c r="S19022" s="226"/>
      <c r="T19022" s="226"/>
      <c r="U19022" s="226"/>
    </row>
    <row r="19023" spans="16:21" x14ac:dyDescent="0.35">
      <c r="P19023" s="226"/>
      <c r="Q19023" s="226"/>
      <c r="R19023" s="226"/>
      <c r="S19023" s="226"/>
      <c r="T19023" s="226"/>
      <c r="U19023" s="226"/>
    </row>
    <row r="19024" spans="16:21" x14ac:dyDescent="0.35">
      <c r="P19024" s="226"/>
      <c r="Q19024" s="226"/>
      <c r="R19024" s="226"/>
      <c r="S19024" s="226"/>
      <c r="T19024" s="226"/>
      <c r="U19024" s="226"/>
    </row>
    <row r="19025" spans="16:21" x14ac:dyDescent="0.35">
      <c r="P19025" s="226"/>
      <c r="Q19025" s="226"/>
      <c r="R19025" s="226"/>
      <c r="S19025" s="226"/>
      <c r="T19025" s="226"/>
      <c r="U19025" s="226"/>
    </row>
    <row r="19026" spans="16:21" x14ac:dyDescent="0.35">
      <c r="P19026" s="226"/>
      <c r="Q19026" s="226"/>
      <c r="R19026" s="226"/>
      <c r="S19026" s="226"/>
      <c r="T19026" s="226"/>
      <c r="U19026" s="226"/>
    </row>
    <row r="19027" spans="16:21" x14ac:dyDescent="0.35">
      <c r="P19027" s="226"/>
      <c r="Q19027" s="226"/>
      <c r="R19027" s="226"/>
      <c r="S19027" s="226"/>
      <c r="T19027" s="226"/>
      <c r="U19027" s="226"/>
    </row>
    <row r="19028" spans="16:21" x14ac:dyDescent="0.35">
      <c r="P19028" s="226"/>
      <c r="Q19028" s="226"/>
      <c r="R19028" s="226"/>
      <c r="S19028" s="226"/>
      <c r="T19028" s="226"/>
      <c r="U19028" s="226"/>
    </row>
    <row r="19029" spans="16:21" x14ac:dyDescent="0.35">
      <c r="P19029" s="226"/>
      <c r="Q19029" s="226"/>
      <c r="R19029" s="226"/>
      <c r="S19029" s="226"/>
      <c r="T19029" s="226"/>
      <c r="U19029" s="226"/>
    </row>
    <row r="19030" spans="16:21" x14ac:dyDescent="0.35">
      <c r="P19030" s="226"/>
      <c r="Q19030" s="226"/>
      <c r="R19030" s="226"/>
      <c r="S19030" s="226"/>
      <c r="T19030" s="226"/>
      <c r="U19030" s="226"/>
    </row>
    <row r="19031" spans="16:21" x14ac:dyDescent="0.35">
      <c r="P19031" s="226"/>
      <c r="Q19031" s="226"/>
      <c r="R19031" s="226"/>
      <c r="S19031" s="226"/>
      <c r="T19031" s="226"/>
      <c r="U19031" s="226"/>
    </row>
    <row r="19032" spans="16:21" x14ac:dyDescent="0.35">
      <c r="P19032" s="226"/>
      <c r="Q19032" s="226"/>
      <c r="R19032" s="226"/>
      <c r="S19032" s="226"/>
      <c r="T19032" s="226"/>
      <c r="U19032" s="226"/>
    </row>
    <row r="19033" spans="16:21" x14ac:dyDescent="0.35">
      <c r="P19033" s="226"/>
      <c r="Q19033" s="226"/>
      <c r="R19033" s="226"/>
      <c r="S19033" s="226"/>
      <c r="T19033" s="226"/>
      <c r="U19033" s="226"/>
    </row>
    <row r="19034" spans="16:21" x14ac:dyDescent="0.35">
      <c r="P19034" s="226"/>
      <c r="Q19034" s="226"/>
      <c r="R19034" s="226"/>
      <c r="S19034" s="226"/>
      <c r="T19034" s="226"/>
      <c r="U19034" s="226"/>
    </row>
    <row r="19035" spans="16:21" x14ac:dyDescent="0.35">
      <c r="P19035" s="226"/>
      <c r="Q19035" s="226"/>
      <c r="R19035" s="226"/>
      <c r="S19035" s="226"/>
      <c r="T19035" s="226"/>
      <c r="U19035" s="226"/>
    </row>
    <row r="19036" spans="16:21" x14ac:dyDescent="0.35">
      <c r="P19036" s="226"/>
      <c r="Q19036" s="226"/>
      <c r="R19036" s="226"/>
      <c r="S19036" s="226"/>
      <c r="T19036" s="226"/>
      <c r="U19036" s="226"/>
    </row>
    <row r="19037" spans="16:21" x14ac:dyDescent="0.35">
      <c r="P19037" s="226"/>
      <c r="Q19037" s="226"/>
      <c r="R19037" s="226"/>
      <c r="S19037" s="226"/>
      <c r="T19037" s="226"/>
      <c r="U19037" s="226"/>
    </row>
    <row r="19038" spans="16:21" x14ac:dyDescent="0.35">
      <c r="P19038" s="226"/>
      <c r="Q19038" s="226"/>
      <c r="R19038" s="226"/>
      <c r="S19038" s="226"/>
      <c r="T19038" s="226"/>
      <c r="U19038" s="226"/>
    </row>
    <row r="19039" spans="16:21" x14ac:dyDescent="0.35">
      <c r="P19039" s="226"/>
      <c r="Q19039" s="226"/>
      <c r="R19039" s="226"/>
      <c r="S19039" s="226"/>
      <c r="T19039" s="226"/>
      <c r="U19039" s="226"/>
    </row>
    <row r="19040" spans="16:21" x14ac:dyDescent="0.35">
      <c r="P19040" s="226"/>
      <c r="Q19040" s="226"/>
      <c r="R19040" s="226"/>
      <c r="S19040" s="226"/>
      <c r="T19040" s="226"/>
      <c r="U19040" s="226"/>
    </row>
    <row r="19041" spans="16:21" x14ac:dyDescent="0.35">
      <c r="P19041" s="226"/>
      <c r="Q19041" s="226"/>
      <c r="R19041" s="226"/>
      <c r="S19041" s="226"/>
      <c r="T19041" s="226"/>
      <c r="U19041" s="226"/>
    </row>
    <row r="19042" spans="16:21" x14ac:dyDescent="0.35">
      <c r="P19042" s="226"/>
      <c r="Q19042" s="226"/>
      <c r="R19042" s="226"/>
      <c r="S19042" s="226"/>
      <c r="T19042" s="226"/>
      <c r="U19042" s="226"/>
    </row>
    <row r="19043" spans="16:21" x14ac:dyDescent="0.35">
      <c r="P19043" s="226"/>
      <c r="Q19043" s="226"/>
      <c r="R19043" s="226"/>
      <c r="S19043" s="226"/>
      <c r="T19043" s="226"/>
      <c r="U19043" s="226"/>
    </row>
    <row r="19044" spans="16:21" x14ac:dyDescent="0.35">
      <c r="P19044" s="226"/>
      <c r="Q19044" s="226"/>
      <c r="R19044" s="226"/>
      <c r="S19044" s="226"/>
      <c r="T19044" s="226"/>
      <c r="U19044" s="226"/>
    </row>
    <row r="19045" spans="16:21" x14ac:dyDescent="0.35">
      <c r="P19045" s="226"/>
      <c r="Q19045" s="226"/>
      <c r="R19045" s="226"/>
      <c r="S19045" s="226"/>
      <c r="T19045" s="226"/>
      <c r="U19045" s="226"/>
    </row>
    <row r="19046" spans="16:21" x14ac:dyDescent="0.35">
      <c r="P19046" s="226"/>
      <c r="Q19046" s="226"/>
      <c r="R19046" s="226"/>
      <c r="S19046" s="226"/>
      <c r="T19046" s="226"/>
      <c r="U19046" s="226"/>
    </row>
    <row r="19047" spans="16:21" x14ac:dyDescent="0.35">
      <c r="P19047" s="226"/>
      <c r="Q19047" s="226"/>
      <c r="R19047" s="226"/>
      <c r="S19047" s="226"/>
      <c r="T19047" s="226"/>
      <c r="U19047" s="226"/>
    </row>
    <row r="19048" spans="16:21" x14ac:dyDescent="0.35">
      <c r="P19048" s="226"/>
      <c r="Q19048" s="226"/>
      <c r="R19048" s="226"/>
      <c r="S19048" s="226"/>
      <c r="T19048" s="226"/>
      <c r="U19048" s="226"/>
    </row>
    <row r="19049" spans="16:21" x14ac:dyDescent="0.35">
      <c r="P19049" s="226"/>
      <c r="Q19049" s="226"/>
      <c r="R19049" s="226"/>
      <c r="S19049" s="226"/>
      <c r="T19049" s="226"/>
      <c r="U19049" s="226"/>
    </row>
    <row r="19050" spans="16:21" x14ac:dyDescent="0.35">
      <c r="P19050" s="226"/>
      <c r="Q19050" s="226"/>
      <c r="R19050" s="226"/>
      <c r="S19050" s="226"/>
      <c r="T19050" s="226"/>
      <c r="U19050" s="226"/>
    </row>
    <row r="19051" spans="16:21" x14ac:dyDescent="0.35">
      <c r="P19051" s="226"/>
      <c r="Q19051" s="226"/>
      <c r="R19051" s="226"/>
      <c r="S19051" s="226"/>
      <c r="T19051" s="226"/>
      <c r="U19051" s="226"/>
    </row>
    <row r="19052" spans="16:21" x14ac:dyDescent="0.35">
      <c r="P19052" s="226"/>
      <c r="Q19052" s="226"/>
      <c r="R19052" s="226"/>
      <c r="S19052" s="226"/>
      <c r="T19052" s="226"/>
      <c r="U19052" s="226"/>
    </row>
    <row r="19053" spans="16:21" x14ac:dyDescent="0.35">
      <c r="P19053" s="226"/>
      <c r="Q19053" s="226"/>
      <c r="R19053" s="226"/>
      <c r="S19053" s="226"/>
      <c r="T19053" s="226"/>
      <c r="U19053" s="226"/>
    </row>
    <row r="19054" spans="16:21" x14ac:dyDescent="0.35">
      <c r="P19054" s="226"/>
      <c r="Q19054" s="226"/>
      <c r="R19054" s="226"/>
      <c r="S19054" s="226"/>
      <c r="T19054" s="226"/>
      <c r="U19054" s="226"/>
    </row>
    <row r="19055" spans="16:21" x14ac:dyDescent="0.35">
      <c r="P19055" s="226"/>
      <c r="Q19055" s="226"/>
      <c r="R19055" s="226"/>
      <c r="S19055" s="226"/>
      <c r="T19055" s="226"/>
      <c r="U19055" s="226"/>
    </row>
    <row r="19056" spans="16:21" x14ac:dyDescent="0.35">
      <c r="P19056" s="226"/>
      <c r="Q19056" s="226"/>
      <c r="R19056" s="226"/>
      <c r="S19056" s="226"/>
      <c r="T19056" s="226"/>
      <c r="U19056" s="226"/>
    </row>
    <row r="19057" spans="16:21" x14ac:dyDescent="0.35">
      <c r="P19057" s="226"/>
      <c r="Q19057" s="226"/>
      <c r="R19057" s="226"/>
      <c r="S19057" s="226"/>
      <c r="T19057" s="226"/>
      <c r="U19057" s="226"/>
    </row>
    <row r="19058" spans="16:21" x14ac:dyDescent="0.35">
      <c r="P19058" s="226"/>
      <c r="Q19058" s="226"/>
      <c r="R19058" s="226"/>
      <c r="S19058" s="226"/>
      <c r="T19058" s="226"/>
      <c r="U19058" s="226"/>
    </row>
    <row r="19059" spans="16:21" x14ac:dyDescent="0.35">
      <c r="P19059" s="226"/>
      <c r="Q19059" s="226"/>
      <c r="R19059" s="226"/>
      <c r="S19059" s="226"/>
      <c r="T19059" s="226"/>
      <c r="U19059" s="226"/>
    </row>
    <row r="19060" spans="16:21" x14ac:dyDescent="0.35">
      <c r="P19060" s="226"/>
      <c r="Q19060" s="226"/>
      <c r="R19060" s="226"/>
      <c r="S19060" s="226"/>
      <c r="T19060" s="226"/>
      <c r="U19060" s="226"/>
    </row>
    <row r="19061" spans="16:21" x14ac:dyDescent="0.35">
      <c r="P19061" s="226"/>
      <c r="Q19061" s="226"/>
      <c r="R19061" s="226"/>
      <c r="S19061" s="226"/>
      <c r="T19061" s="226"/>
      <c r="U19061" s="226"/>
    </row>
    <row r="19062" spans="16:21" x14ac:dyDescent="0.35">
      <c r="P19062" s="226"/>
      <c r="Q19062" s="226"/>
      <c r="R19062" s="226"/>
      <c r="S19062" s="226"/>
      <c r="T19062" s="226"/>
      <c r="U19062" s="226"/>
    </row>
    <row r="19063" spans="16:21" x14ac:dyDescent="0.35">
      <c r="P19063" s="226"/>
      <c r="Q19063" s="226"/>
      <c r="R19063" s="226"/>
      <c r="S19063" s="226"/>
      <c r="T19063" s="226"/>
      <c r="U19063" s="226"/>
    </row>
    <row r="19064" spans="16:21" x14ac:dyDescent="0.35">
      <c r="P19064" s="226"/>
      <c r="Q19064" s="226"/>
      <c r="R19064" s="226"/>
      <c r="S19064" s="226"/>
      <c r="T19064" s="226"/>
      <c r="U19064" s="226"/>
    </row>
    <row r="19065" spans="16:21" x14ac:dyDescent="0.35">
      <c r="P19065" s="226"/>
      <c r="Q19065" s="226"/>
      <c r="R19065" s="226"/>
      <c r="S19065" s="226"/>
      <c r="T19065" s="226"/>
      <c r="U19065" s="226"/>
    </row>
    <row r="19066" spans="16:21" x14ac:dyDescent="0.35">
      <c r="P19066" s="226"/>
      <c r="Q19066" s="226"/>
      <c r="R19066" s="226"/>
      <c r="S19066" s="226"/>
      <c r="T19066" s="226"/>
      <c r="U19066" s="226"/>
    </row>
    <row r="19067" spans="16:21" x14ac:dyDescent="0.35">
      <c r="P19067" s="226"/>
      <c r="Q19067" s="226"/>
      <c r="R19067" s="226"/>
      <c r="S19067" s="226"/>
      <c r="T19067" s="226"/>
      <c r="U19067" s="226"/>
    </row>
    <row r="19068" spans="16:21" x14ac:dyDescent="0.35">
      <c r="P19068" s="226"/>
      <c r="Q19068" s="226"/>
      <c r="R19068" s="226"/>
      <c r="S19068" s="226"/>
      <c r="T19068" s="226"/>
      <c r="U19068" s="226"/>
    </row>
    <row r="19069" spans="16:21" x14ac:dyDescent="0.35">
      <c r="P19069" s="226"/>
      <c r="Q19069" s="226"/>
      <c r="R19069" s="226"/>
      <c r="S19069" s="226"/>
      <c r="T19069" s="226"/>
      <c r="U19069" s="226"/>
    </row>
    <row r="19070" spans="16:21" x14ac:dyDescent="0.35">
      <c r="P19070" s="226"/>
      <c r="Q19070" s="226"/>
      <c r="R19070" s="226"/>
      <c r="S19070" s="226"/>
      <c r="T19070" s="226"/>
      <c r="U19070" s="226"/>
    </row>
    <row r="19071" spans="16:21" x14ac:dyDescent="0.35">
      <c r="P19071" s="226"/>
      <c r="Q19071" s="226"/>
      <c r="R19071" s="226"/>
      <c r="S19071" s="226"/>
      <c r="T19071" s="226"/>
      <c r="U19071" s="226"/>
    </row>
    <row r="19072" spans="16:21" x14ac:dyDescent="0.35">
      <c r="P19072" s="226"/>
      <c r="Q19072" s="226"/>
      <c r="R19072" s="226"/>
      <c r="S19072" s="226"/>
      <c r="T19072" s="226"/>
      <c r="U19072" s="226"/>
    </row>
    <row r="19073" spans="16:21" x14ac:dyDescent="0.35">
      <c r="P19073" s="226"/>
      <c r="Q19073" s="226"/>
      <c r="R19073" s="226"/>
      <c r="S19073" s="226"/>
      <c r="T19073" s="226"/>
      <c r="U19073" s="226"/>
    </row>
    <row r="19074" spans="16:21" x14ac:dyDescent="0.35">
      <c r="P19074" s="226"/>
      <c r="Q19074" s="226"/>
      <c r="R19074" s="226"/>
      <c r="S19074" s="226"/>
      <c r="T19074" s="226"/>
      <c r="U19074" s="226"/>
    </row>
    <row r="19075" spans="16:21" x14ac:dyDescent="0.35">
      <c r="P19075" s="226"/>
      <c r="Q19075" s="226"/>
      <c r="R19075" s="226"/>
      <c r="S19075" s="226"/>
      <c r="T19075" s="226"/>
      <c r="U19075" s="226"/>
    </row>
    <row r="19076" spans="16:21" x14ac:dyDescent="0.35">
      <c r="P19076" s="226"/>
      <c r="Q19076" s="226"/>
      <c r="R19076" s="226"/>
      <c r="S19076" s="226"/>
      <c r="T19076" s="226"/>
      <c r="U19076" s="226"/>
    </row>
    <row r="19077" spans="16:21" x14ac:dyDescent="0.35">
      <c r="P19077" s="226"/>
      <c r="Q19077" s="226"/>
      <c r="R19077" s="226"/>
      <c r="S19077" s="226"/>
      <c r="T19077" s="226"/>
      <c r="U19077" s="226"/>
    </row>
    <row r="19078" spans="16:21" x14ac:dyDescent="0.35">
      <c r="P19078" s="226"/>
      <c r="Q19078" s="226"/>
      <c r="R19078" s="226"/>
      <c r="S19078" s="226"/>
      <c r="T19078" s="226"/>
      <c r="U19078" s="226"/>
    </row>
    <row r="19079" spans="16:21" x14ac:dyDescent="0.35">
      <c r="P19079" s="226"/>
      <c r="Q19079" s="226"/>
      <c r="R19079" s="226"/>
      <c r="S19079" s="226"/>
      <c r="T19079" s="226"/>
      <c r="U19079" s="226"/>
    </row>
    <row r="19080" spans="16:21" x14ac:dyDescent="0.35">
      <c r="P19080" s="226"/>
      <c r="Q19080" s="226"/>
      <c r="R19080" s="226"/>
      <c r="S19080" s="226"/>
      <c r="T19080" s="226"/>
      <c r="U19080" s="226"/>
    </row>
    <row r="19081" spans="16:21" x14ac:dyDescent="0.35">
      <c r="P19081" s="226"/>
      <c r="Q19081" s="226"/>
      <c r="R19081" s="226"/>
      <c r="S19081" s="226"/>
      <c r="T19081" s="226"/>
      <c r="U19081" s="226"/>
    </row>
    <row r="19082" spans="16:21" x14ac:dyDescent="0.35">
      <c r="P19082" s="226"/>
      <c r="Q19082" s="226"/>
      <c r="R19082" s="226"/>
      <c r="S19082" s="226"/>
      <c r="T19082" s="226"/>
      <c r="U19082" s="226"/>
    </row>
    <row r="19083" spans="16:21" x14ac:dyDescent="0.35">
      <c r="P19083" s="226"/>
      <c r="Q19083" s="226"/>
      <c r="R19083" s="226"/>
      <c r="S19083" s="226"/>
      <c r="T19083" s="226"/>
      <c r="U19083" s="226"/>
    </row>
    <row r="19084" spans="16:21" x14ac:dyDescent="0.35">
      <c r="P19084" s="226"/>
      <c r="Q19084" s="226"/>
      <c r="R19084" s="226"/>
      <c r="S19084" s="226"/>
      <c r="T19084" s="226"/>
      <c r="U19084" s="226"/>
    </row>
    <row r="19085" spans="16:21" x14ac:dyDescent="0.35">
      <c r="P19085" s="226"/>
      <c r="Q19085" s="226"/>
      <c r="R19085" s="226"/>
      <c r="S19085" s="226"/>
      <c r="T19085" s="226"/>
      <c r="U19085" s="226"/>
    </row>
    <row r="19086" spans="16:21" x14ac:dyDescent="0.35">
      <c r="P19086" s="226"/>
      <c r="Q19086" s="226"/>
      <c r="R19086" s="226"/>
      <c r="S19086" s="226"/>
      <c r="T19086" s="226"/>
      <c r="U19086" s="226"/>
    </row>
    <row r="19087" spans="16:21" x14ac:dyDescent="0.35">
      <c r="P19087" s="226"/>
      <c r="Q19087" s="226"/>
      <c r="R19087" s="226"/>
      <c r="S19087" s="226"/>
      <c r="T19087" s="226"/>
      <c r="U19087" s="226"/>
    </row>
    <row r="19088" spans="16:21" x14ac:dyDescent="0.35">
      <c r="P19088" s="226"/>
      <c r="Q19088" s="226"/>
      <c r="R19088" s="226"/>
      <c r="S19088" s="226"/>
      <c r="T19088" s="226"/>
      <c r="U19088" s="226"/>
    </row>
    <row r="19089" spans="16:21" x14ac:dyDescent="0.35">
      <c r="P19089" s="226"/>
      <c r="Q19089" s="226"/>
      <c r="R19089" s="226"/>
      <c r="S19089" s="226"/>
      <c r="T19089" s="226"/>
      <c r="U19089" s="226"/>
    </row>
    <row r="19090" spans="16:21" x14ac:dyDescent="0.35">
      <c r="P19090" s="226"/>
      <c r="Q19090" s="226"/>
      <c r="R19090" s="226"/>
      <c r="S19090" s="226"/>
      <c r="T19090" s="226"/>
      <c r="U19090" s="226"/>
    </row>
    <row r="19091" spans="16:21" x14ac:dyDescent="0.35">
      <c r="P19091" s="226"/>
      <c r="Q19091" s="226"/>
      <c r="R19091" s="226"/>
      <c r="S19091" s="226"/>
      <c r="T19091" s="226"/>
      <c r="U19091" s="226"/>
    </row>
    <row r="19092" spans="16:21" x14ac:dyDescent="0.35">
      <c r="P19092" s="226"/>
      <c r="Q19092" s="226"/>
      <c r="R19092" s="226"/>
      <c r="S19092" s="226"/>
      <c r="T19092" s="226"/>
      <c r="U19092" s="226"/>
    </row>
    <row r="19093" spans="16:21" x14ac:dyDescent="0.35">
      <c r="P19093" s="226"/>
      <c r="Q19093" s="226"/>
      <c r="R19093" s="226"/>
      <c r="S19093" s="226"/>
      <c r="T19093" s="226"/>
      <c r="U19093" s="226"/>
    </row>
    <row r="19094" spans="16:21" x14ac:dyDescent="0.35">
      <c r="P19094" s="226"/>
      <c r="Q19094" s="226"/>
      <c r="R19094" s="226"/>
      <c r="S19094" s="226"/>
      <c r="T19094" s="226"/>
      <c r="U19094" s="226"/>
    </row>
    <row r="19095" spans="16:21" x14ac:dyDescent="0.35">
      <c r="P19095" s="226"/>
      <c r="Q19095" s="226"/>
      <c r="R19095" s="226"/>
      <c r="S19095" s="226"/>
      <c r="T19095" s="226"/>
      <c r="U19095" s="226"/>
    </row>
    <row r="19096" spans="16:21" x14ac:dyDescent="0.35">
      <c r="P19096" s="226"/>
      <c r="Q19096" s="226"/>
      <c r="R19096" s="226"/>
      <c r="S19096" s="226"/>
      <c r="T19096" s="226"/>
      <c r="U19096" s="226"/>
    </row>
    <row r="19097" spans="16:21" x14ac:dyDescent="0.35">
      <c r="P19097" s="226"/>
      <c r="Q19097" s="226"/>
      <c r="R19097" s="226"/>
      <c r="S19097" s="226"/>
      <c r="T19097" s="226"/>
      <c r="U19097" s="226"/>
    </row>
    <row r="19098" spans="16:21" x14ac:dyDescent="0.35">
      <c r="P19098" s="226"/>
      <c r="Q19098" s="226"/>
      <c r="R19098" s="226"/>
      <c r="S19098" s="226"/>
      <c r="T19098" s="226"/>
      <c r="U19098" s="226"/>
    </row>
    <row r="19099" spans="16:21" x14ac:dyDescent="0.35">
      <c r="P19099" s="226"/>
      <c r="Q19099" s="226"/>
      <c r="R19099" s="226"/>
      <c r="S19099" s="226"/>
      <c r="T19099" s="226"/>
      <c r="U19099" s="226"/>
    </row>
    <row r="19100" spans="16:21" x14ac:dyDescent="0.35">
      <c r="P19100" s="226"/>
      <c r="Q19100" s="226"/>
      <c r="R19100" s="226"/>
      <c r="S19100" s="226"/>
      <c r="T19100" s="226"/>
      <c r="U19100" s="226"/>
    </row>
    <row r="19101" spans="16:21" x14ac:dyDescent="0.35">
      <c r="P19101" s="226"/>
      <c r="Q19101" s="226"/>
      <c r="R19101" s="226"/>
      <c r="S19101" s="226"/>
      <c r="T19101" s="226"/>
      <c r="U19101" s="226"/>
    </row>
    <row r="19102" spans="16:21" x14ac:dyDescent="0.35">
      <c r="P19102" s="226"/>
      <c r="Q19102" s="226"/>
      <c r="R19102" s="226"/>
      <c r="S19102" s="226"/>
      <c r="T19102" s="226"/>
      <c r="U19102" s="226"/>
    </row>
    <row r="19103" spans="16:21" x14ac:dyDescent="0.35">
      <c r="P19103" s="226"/>
      <c r="Q19103" s="226"/>
      <c r="R19103" s="226"/>
      <c r="S19103" s="226"/>
      <c r="T19103" s="226"/>
      <c r="U19103" s="226"/>
    </row>
    <row r="19104" spans="16:21" x14ac:dyDescent="0.35">
      <c r="P19104" s="226"/>
      <c r="Q19104" s="226"/>
      <c r="R19104" s="226"/>
      <c r="S19104" s="226"/>
      <c r="T19104" s="226"/>
      <c r="U19104" s="226"/>
    </row>
    <row r="19105" spans="16:21" x14ac:dyDescent="0.35">
      <c r="P19105" s="226"/>
      <c r="Q19105" s="226"/>
      <c r="R19105" s="226"/>
      <c r="S19105" s="226"/>
      <c r="T19105" s="226"/>
      <c r="U19105" s="226"/>
    </row>
    <row r="19106" spans="16:21" x14ac:dyDescent="0.35">
      <c r="P19106" s="226"/>
      <c r="Q19106" s="226"/>
      <c r="R19106" s="226"/>
      <c r="S19106" s="226"/>
      <c r="T19106" s="226"/>
      <c r="U19106" s="226"/>
    </row>
    <row r="19107" spans="16:21" x14ac:dyDescent="0.35">
      <c r="P19107" s="226"/>
      <c r="Q19107" s="226"/>
      <c r="R19107" s="226"/>
      <c r="S19107" s="226"/>
      <c r="T19107" s="226"/>
      <c r="U19107" s="226"/>
    </row>
    <row r="19108" spans="16:21" x14ac:dyDescent="0.35">
      <c r="P19108" s="226"/>
      <c r="Q19108" s="226"/>
      <c r="R19108" s="226"/>
      <c r="S19108" s="226"/>
      <c r="T19108" s="226"/>
      <c r="U19108" s="226"/>
    </row>
    <row r="19109" spans="16:21" x14ac:dyDescent="0.35">
      <c r="P19109" s="226"/>
      <c r="Q19109" s="226"/>
      <c r="R19109" s="226"/>
      <c r="S19109" s="226"/>
      <c r="T19109" s="226"/>
      <c r="U19109" s="226"/>
    </row>
    <row r="19110" spans="16:21" x14ac:dyDescent="0.35">
      <c r="P19110" s="226"/>
      <c r="Q19110" s="226"/>
      <c r="R19110" s="226"/>
      <c r="S19110" s="226"/>
      <c r="T19110" s="226"/>
      <c r="U19110" s="226"/>
    </row>
    <row r="19111" spans="16:21" x14ac:dyDescent="0.35">
      <c r="P19111" s="226"/>
      <c r="Q19111" s="226"/>
      <c r="R19111" s="226"/>
      <c r="S19111" s="226"/>
      <c r="T19111" s="226"/>
      <c r="U19111" s="226"/>
    </row>
    <row r="19112" spans="16:21" x14ac:dyDescent="0.35">
      <c r="P19112" s="226"/>
      <c r="Q19112" s="226"/>
      <c r="R19112" s="226"/>
      <c r="S19112" s="226"/>
      <c r="T19112" s="226"/>
      <c r="U19112" s="226"/>
    </row>
    <row r="19113" spans="16:21" x14ac:dyDescent="0.35">
      <c r="P19113" s="226"/>
      <c r="Q19113" s="226"/>
      <c r="R19113" s="226"/>
      <c r="S19113" s="226"/>
      <c r="T19113" s="226"/>
      <c r="U19113" s="226"/>
    </row>
    <row r="19114" spans="16:21" x14ac:dyDescent="0.35">
      <c r="P19114" s="226"/>
      <c r="Q19114" s="226"/>
      <c r="R19114" s="226"/>
      <c r="S19114" s="226"/>
      <c r="T19114" s="226"/>
      <c r="U19114" s="226"/>
    </row>
    <row r="19115" spans="16:21" x14ac:dyDescent="0.35">
      <c r="P19115" s="226"/>
      <c r="Q19115" s="226"/>
      <c r="R19115" s="226"/>
      <c r="S19115" s="226"/>
      <c r="T19115" s="226"/>
      <c r="U19115" s="226"/>
    </row>
    <row r="19116" spans="16:21" x14ac:dyDescent="0.35">
      <c r="P19116" s="226"/>
      <c r="Q19116" s="226"/>
      <c r="R19116" s="226"/>
      <c r="S19116" s="226"/>
      <c r="T19116" s="226"/>
      <c r="U19116" s="226"/>
    </row>
    <row r="19117" spans="16:21" x14ac:dyDescent="0.35">
      <c r="P19117" s="226"/>
      <c r="Q19117" s="226"/>
      <c r="R19117" s="226"/>
      <c r="S19117" s="226"/>
      <c r="T19117" s="226"/>
      <c r="U19117" s="226"/>
    </row>
    <row r="19118" spans="16:21" x14ac:dyDescent="0.35">
      <c r="P19118" s="226"/>
      <c r="Q19118" s="226"/>
      <c r="R19118" s="226"/>
      <c r="S19118" s="226"/>
      <c r="T19118" s="226"/>
      <c r="U19118" s="226"/>
    </row>
    <row r="19119" spans="16:21" x14ac:dyDescent="0.35">
      <c r="P19119" s="226"/>
      <c r="Q19119" s="226"/>
      <c r="R19119" s="226"/>
      <c r="S19119" s="226"/>
      <c r="T19119" s="226"/>
      <c r="U19119" s="226"/>
    </row>
    <row r="19120" spans="16:21" x14ac:dyDescent="0.35">
      <c r="P19120" s="226"/>
      <c r="Q19120" s="226"/>
      <c r="R19120" s="226"/>
      <c r="S19120" s="226"/>
      <c r="T19120" s="226"/>
      <c r="U19120" s="226"/>
    </row>
    <row r="19121" spans="16:21" x14ac:dyDescent="0.35">
      <c r="P19121" s="226"/>
      <c r="Q19121" s="226"/>
      <c r="R19121" s="226"/>
      <c r="S19121" s="226"/>
      <c r="T19121" s="226"/>
      <c r="U19121" s="226"/>
    </row>
    <row r="19122" spans="16:21" x14ac:dyDescent="0.35">
      <c r="P19122" s="226"/>
      <c r="Q19122" s="226"/>
      <c r="R19122" s="226"/>
      <c r="S19122" s="226"/>
      <c r="T19122" s="226"/>
      <c r="U19122" s="226"/>
    </row>
    <row r="19123" spans="16:21" x14ac:dyDescent="0.35">
      <c r="P19123" s="226"/>
      <c r="Q19123" s="226"/>
      <c r="R19123" s="226"/>
      <c r="S19123" s="226"/>
      <c r="T19123" s="226"/>
      <c r="U19123" s="226"/>
    </row>
    <row r="19124" spans="16:21" x14ac:dyDescent="0.35">
      <c r="P19124" s="226"/>
      <c r="Q19124" s="226"/>
      <c r="R19124" s="226"/>
      <c r="S19124" s="226"/>
      <c r="T19124" s="226"/>
      <c r="U19124" s="226"/>
    </row>
    <row r="19125" spans="16:21" x14ac:dyDescent="0.35">
      <c r="P19125" s="226"/>
      <c r="Q19125" s="226"/>
      <c r="R19125" s="226"/>
      <c r="S19125" s="226"/>
      <c r="T19125" s="226"/>
      <c r="U19125" s="226"/>
    </row>
    <row r="19126" spans="16:21" x14ac:dyDescent="0.35">
      <c r="P19126" s="226"/>
      <c r="Q19126" s="226"/>
      <c r="R19126" s="226"/>
      <c r="S19126" s="226"/>
      <c r="T19126" s="226"/>
      <c r="U19126" s="226"/>
    </row>
    <row r="19127" spans="16:21" x14ac:dyDescent="0.35">
      <c r="P19127" s="226"/>
      <c r="Q19127" s="226"/>
      <c r="R19127" s="226"/>
      <c r="S19127" s="226"/>
      <c r="T19127" s="226"/>
      <c r="U19127" s="226"/>
    </row>
    <row r="19128" spans="16:21" x14ac:dyDescent="0.35">
      <c r="P19128" s="226"/>
      <c r="Q19128" s="226"/>
      <c r="R19128" s="226"/>
      <c r="S19128" s="226"/>
      <c r="T19128" s="226"/>
      <c r="U19128" s="226"/>
    </row>
    <row r="19129" spans="16:21" x14ac:dyDescent="0.35">
      <c r="P19129" s="226"/>
      <c r="Q19129" s="226"/>
      <c r="R19129" s="226"/>
      <c r="S19129" s="226"/>
      <c r="T19129" s="226"/>
      <c r="U19129" s="226"/>
    </row>
    <row r="19130" spans="16:21" x14ac:dyDescent="0.35">
      <c r="P19130" s="226"/>
      <c r="Q19130" s="226"/>
      <c r="R19130" s="226"/>
      <c r="S19130" s="226"/>
      <c r="T19130" s="226"/>
      <c r="U19130" s="226"/>
    </row>
    <row r="19131" spans="16:21" x14ac:dyDescent="0.35">
      <c r="P19131" s="226"/>
      <c r="Q19131" s="226"/>
      <c r="R19131" s="226"/>
      <c r="S19131" s="226"/>
      <c r="T19131" s="226"/>
      <c r="U19131" s="226"/>
    </row>
    <row r="19132" spans="16:21" x14ac:dyDescent="0.35">
      <c r="P19132" s="226"/>
      <c r="Q19132" s="226"/>
      <c r="R19132" s="226"/>
      <c r="S19132" s="226"/>
      <c r="T19132" s="226"/>
      <c r="U19132" s="226"/>
    </row>
    <row r="19133" spans="16:21" x14ac:dyDescent="0.35">
      <c r="P19133" s="226"/>
      <c r="Q19133" s="226"/>
      <c r="R19133" s="226"/>
      <c r="S19133" s="226"/>
      <c r="T19133" s="226"/>
      <c r="U19133" s="226"/>
    </row>
    <row r="19134" spans="16:21" x14ac:dyDescent="0.35">
      <c r="P19134" s="226"/>
      <c r="Q19134" s="226"/>
      <c r="R19134" s="226"/>
      <c r="S19134" s="226"/>
      <c r="T19134" s="226"/>
      <c r="U19134" s="226"/>
    </row>
    <row r="19135" spans="16:21" x14ac:dyDescent="0.35">
      <c r="P19135" s="226"/>
      <c r="Q19135" s="226"/>
      <c r="R19135" s="226"/>
      <c r="S19135" s="226"/>
      <c r="T19135" s="226"/>
      <c r="U19135" s="226"/>
    </row>
    <row r="19136" spans="16:21" x14ac:dyDescent="0.35">
      <c r="P19136" s="226"/>
      <c r="Q19136" s="226"/>
      <c r="R19136" s="226"/>
      <c r="S19136" s="226"/>
      <c r="T19136" s="226"/>
      <c r="U19136" s="226"/>
    </row>
    <row r="19137" spans="16:21" x14ac:dyDescent="0.35">
      <c r="P19137" s="226"/>
      <c r="Q19137" s="226"/>
      <c r="R19137" s="226"/>
      <c r="S19137" s="226"/>
      <c r="T19137" s="226"/>
      <c r="U19137" s="226"/>
    </row>
    <row r="19138" spans="16:21" x14ac:dyDescent="0.35">
      <c r="P19138" s="226"/>
      <c r="Q19138" s="226"/>
      <c r="R19138" s="226"/>
      <c r="S19138" s="226"/>
      <c r="T19138" s="226"/>
      <c r="U19138" s="226"/>
    </row>
    <row r="19139" spans="16:21" x14ac:dyDescent="0.35">
      <c r="P19139" s="226"/>
      <c r="Q19139" s="226"/>
      <c r="R19139" s="226"/>
      <c r="S19139" s="226"/>
      <c r="T19139" s="226"/>
      <c r="U19139" s="226"/>
    </row>
    <row r="19140" spans="16:21" x14ac:dyDescent="0.35">
      <c r="P19140" s="226"/>
      <c r="Q19140" s="226"/>
      <c r="R19140" s="226"/>
      <c r="S19140" s="226"/>
      <c r="T19140" s="226"/>
      <c r="U19140" s="226"/>
    </row>
    <row r="19141" spans="16:21" x14ac:dyDescent="0.35">
      <c r="P19141" s="226"/>
      <c r="Q19141" s="226"/>
      <c r="R19141" s="226"/>
      <c r="S19141" s="226"/>
      <c r="T19141" s="226"/>
      <c r="U19141" s="226"/>
    </row>
    <row r="19142" spans="16:21" x14ac:dyDescent="0.35">
      <c r="P19142" s="226"/>
      <c r="Q19142" s="226"/>
      <c r="R19142" s="226"/>
      <c r="S19142" s="226"/>
      <c r="T19142" s="226"/>
      <c r="U19142" s="226"/>
    </row>
    <row r="19143" spans="16:21" x14ac:dyDescent="0.35">
      <c r="P19143" s="226"/>
      <c r="Q19143" s="226"/>
      <c r="R19143" s="226"/>
      <c r="S19143" s="226"/>
      <c r="T19143" s="226"/>
      <c r="U19143" s="226"/>
    </row>
    <row r="19144" spans="16:21" x14ac:dyDescent="0.35">
      <c r="P19144" s="226"/>
      <c r="Q19144" s="226"/>
      <c r="R19144" s="226"/>
      <c r="S19144" s="226"/>
      <c r="T19144" s="226"/>
      <c r="U19144" s="226"/>
    </row>
    <row r="19145" spans="16:21" x14ac:dyDescent="0.35">
      <c r="P19145" s="226"/>
      <c r="Q19145" s="226"/>
      <c r="R19145" s="226"/>
      <c r="S19145" s="226"/>
      <c r="T19145" s="226"/>
      <c r="U19145" s="226"/>
    </row>
    <row r="19146" spans="16:21" x14ac:dyDescent="0.35">
      <c r="P19146" s="226"/>
      <c r="Q19146" s="226"/>
      <c r="R19146" s="226"/>
      <c r="S19146" s="226"/>
      <c r="T19146" s="226"/>
      <c r="U19146" s="226"/>
    </row>
    <row r="19147" spans="16:21" x14ac:dyDescent="0.35">
      <c r="P19147" s="226"/>
      <c r="Q19147" s="226"/>
      <c r="R19147" s="226"/>
      <c r="S19147" s="226"/>
      <c r="T19147" s="226"/>
      <c r="U19147" s="226"/>
    </row>
    <row r="19148" spans="16:21" x14ac:dyDescent="0.35">
      <c r="P19148" s="226"/>
      <c r="Q19148" s="226"/>
      <c r="R19148" s="226"/>
      <c r="S19148" s="226"/>
      <c r="T19148" s="226"/>
      <c r="U19148" s="226"/>
    </row>
    <row r="19149" spans="16:21" x14ac:dyDescent="0.35">
      <c r="P19149" s="226"/>
      <c r="Q19149" s="226"/>
      <c r="R19149" s="226"/>
      <c r="S19149" s="226"/>
      <c r="T19149" s="226"/>
      <c r="U19149" s="226"/>
    </row>
    <row r="19150" spans="16:21" x14ac:dyDescent="0.35">
      <c r="P19150" s="226"/>
      <c r="Q19150" s="226"/>
      <c r="R19150" s="226"/>
      <c r="S19150" s="226"/>
      <c r="T19150" s="226"/>
      <c r="U19150" s="226"/>
    </row>
    <row r="19151" spans="16:21" x14ac:dyDescent="0.35">
      <c r="P19151" s="226"/>
      <c r="Q19151" s="226"/>
      <c r="R19151" s="226"/>
      <c r="S19151" s="226"/>
      <c r="T19151" s="226"/>
      <c r="U19151" s="226"/>
    </row>
    <row r="19152" spans="16:21" x14ac:dyDescent="0.35">
      <c r="P19152" s="226"/>
      <c r="Q19152" s="226"/>
      <c r="R19152" s="226"/>
      <c r="S19152" s="226"/>
      <c r="T19152" s="226"/>
      <c r="U19152" s="226"/>
    </row>
    <row r="19153" spans="16:21" x14ac:dyDescent="0.35">
      <c r="P19153" s="226"/>
      <c r="Q19153" s="226"/>
      <c r="R19153" s="226"/>
      <c r="S19153" s="226"/>
      <c r="T19153" s="226"/>
      <c r="U19153" s="226"/>
    </row>
    <row r="19154" spans="16:21" x14ac:dyDescent="0.35">
      <c r="P19154" s="226"/>
      <c r="Q19154" s="226"/>
      <c r="R19154" s="226"/>
      <c r="S19154" s="226"/>
      <c r="T19154" s="226"/>
      <c r="U19154" s="226"/>
    </row>
    <row r="19155" spans="16:21" x14ac:dyDescent="0.35">
      <c r="P19155" s="226"/>
      <c r="Q19155" s="226"/>
      <c r="R19155" s="226"/>
      <c r="S19155" s="226"/>
      <c r="T19155" s="226"/>
      <c r="U19155" s="226"/>
    </row>
    <row r="19156" spans="16:21" x14ac:dyDescent="0.35">
      <c r="P19156" s="226"/>
      <c r="Q19156" s="226"/>
      <c r="R19156" s="226"/>
      <c r="S19156" s="226"/>
      <c r="T19156" s="226"/>
      <c r="U19156" s="226"/>
    </row>
    <row r="19157" spans="16:21" x14ac:dyDescent="0.35">
      <c r="P19157" s="226"/>
      <c r="Q19157" s="226"/>
      <c r="R19157" s="226"/>
      <c r="S19157" s="226"/>
      <c r="T19157" s="226"/>
      <c r="U19157" s="226"/>
    </row>
    <row r="19158" spans="16:21" x14ac:dyDescent="0.35">
      <c r="P19158" s="226"/>
      <c r="Q19158" s="226"/>
      <c r="R19158" s="226"/>
      <c r="S19158" s="226"/>
      <c r="T19158" s="226"/>
      <c r="U19158" s="226"/>
    </row>
    <row r="19159" spans="16:21" x14ac:dyDescent="0.35">
      <c r="P19159" s="226"/>
      <c r="Q19159" s="226"/>
      <c r="R19159" s="226"/>
      <c r="S19159" s="226"/>
      <c r="T19159" s="226"/>
      <c r="U19159" s="226"/>
    </row>
    <row r="19160" spans="16:21" x14ac:dyDescent="0.35">
      <c r="P19160" s="226"/>
      <c r="Q19160" s="226"/>
      <c r="R19160" s="226"/>
      <c r="S19160" s="226"/>
      <c r="T19160" s="226"/>
      <c r="U19160" s="226"/>
    </row>
    <row r="19161" spans="16:21" x14ac:dyDescent="0.35">
      <c r="P19161" s="226"/>
      <c r="Q19161" s="226"/>
      <c r="R19161" s="226"/>
      <c r="S19161" s="226"/>
      <c r="T19161" s="226"/>
      <c r="U19161" s="226"/>
    </row>
    <row r="19162" spans="16:21" x14ac:dyDescent="0.35">
      <c r="P19162" s="226"/>
      <c r="Q19162" s="226"/>
      <c r="R19162" s="226"/>
      <c r="S19162" s="226"/>
      <c r="T19162" s="226"/>
      <c r="U19162" s="226"/>
    </row>
    <row r="19163" spans="16:21" x14ac:dyDescent="0.35">
      <c r="P19163" s="226"/>
      <c r="Q19163" s="226"/>
      <c r="R19163" s="226"/>
      <c r="S19163" s="226"/>
      <c r="T19163" s="226"/>
      <c r="U19163" s="226"/>
    </row>
    <row r="19164" spans="16:21" x14ac:dyDescent="0.35">
      <c r="P19164" s="226"/>
      <c r="Q19164" s="226"/>
      <c r="R19164" s="226"/>
      <c r="S19164" s="226"/>
      <c r="T19164" s="226"/>
      <c r="U19164" s="226"/>
    </row>
    <row r="19165" spans="16:21" x14ac:dyDescent="0.35">
      <c r="P19165" s="226"/>
      <c r="Q19165" s="226"/>
      <c r="R19165" s="226"/>
      <c r="S19165" s="226"/>
      <c r="T19165" s="226"/>
      <c r="U19165" s="226"/>
    </row>
    <row r="19166" spans="16:21" x14ac:dyDescent="0.35">
      <c r="P19166" s="226"/>
      <c r="Q19166" s="226"/>
      <c r="R19166" s="226"/>
      <c r="S19166" s="226"/>
      <c r="T19166" s="226"/>
      <c r="U19166" s="226"/>
    </row>
    <row r="19167" spans="16:21" x14ac:dyDescent="0.35">
      <c r="P19167" s="226"/>
      <c r="Q19167" s="226"/>
      <c r="R19167" s="226"/>
      <c r="S19167" s="226"/>
      <c r="T19167" s="226"/>
      <c r="U19167" s="226"/>
    </row>
    <row r="19168" spans="16:21" x14ac:dyDescent="0.35">
      <c r="P19168" s="226"/>
      <c r="Q19168" s="226"/>
      <c r="R19168" s="226"/>
      <c r="S19168" s="226"/>
      <c r="T19168" s="226"/>
      <c r="U19168" s="226"/>
    </row>
    <row r="19169" spans="16:21" x14ac:dyDescent="0.35">
      <c r="P19169" s="226"/>
      <c r="Q19169" s="226"/>
      <c r="R19169" s="226"/>
      <c r="S19169" s="226"/>
      <c r="T19169" s="226"/>
      <c r="U19169" s="226"/>
    </row>
    <row r="19170" spans="16:21" x14ac:dyDescent="0.35">
      <c r="P19170" s="226"/>
      <c r="Q19170" s="226"/>
      <c r="R19170" s="226"/>
      <c r="S19170" s="226"/>
      <c r="T19170" s="226"/>
      <c r="U19170" s="226"/>
    </row>
    <row r="19171" spans="16:21" x14ac:dyDescent="0.35">
      <c r="P19171" s="226"/>
      <c r="Q19171" s="226"/>
      <c r="R19171" s="226"/>
      <c r="S19171" s="226"/>
      <c r="T19171" s="226"/>
      <c r="U19171" s="226"/>
    </row>
    <row r="19172" spans="16:21" x14ac:dyDescent="0.35">
      <c r="P19172" s="226"/>
      <c r="Q19172" s="226"/>
      <c r="R19172" s="226"/>
      <c r="S19172" s="226"/>
      <c r="T19172" s="226"/>
      <c r="U19172" s="226"/>
    </row>
    <row r="19173" spans="16:21" x14ac:dyDescent="0.35">
      <c r="P19173" s="226"/>
      <c r="Q19173" s="226"/>
      <c r="R19173" s="226"/>
      <c r="S19173" s="226"/>
      <c r="T19173" s="226"/>
      <c r="U19173" s="226"/>
    </row>
    <row r="19174" spans="16:21" x14ac:dyDescent="0.35">
      <c r="P19174" s="226"/>
      <c r="Q19174" s="226"/>
      <c r="R19174" s="226"/>
      <c r="S19174" s="226"/>
      <c r="T19174" s="226"/>
      <c r="U19174" s="226"/>
    </row>
    <row r="19175" spans="16:21" x14ac:dyDescent="0.35">
      <c r="P19175" s="226"/>
      <c r="Q19175" s="226"/>
      <c r="R19175" s="226"/>
      <c r="S19175" s="226"/>
      <c r="T19175" s="226"/>
      <c r="U19175" s="226"/>
    </row>
    <row r="19176" spans="16:21" x14ac:dyDescent="0.35">
      <c r="P19176" s="226"/>
      <c r="Q19176" s="226"/>
      <c r="R19176" s="226"/>
      <c r="S19176" s="226"/>
      <c r="T19176" s="226"/>
      <c r="U19176" s="226"/>
    </row>
    <row r="19177" spans="16:21" x14ac:dyDescent="0.35">
      <c r="P19177" s="226"/>
      <c r="Q19177" s="226"/>
      <c r="R19177" s="226"/>
      <c r="S19177" s="226"/>
      <c r="T19177" s="226"/>
      <c r="U19177" s="226"/>
    </row>
    <row r="19178" spans="16:21" x14ac:dyDescent="0.35">
      <c r="P19178" s="226"/>
      <c r="Q19178" s="226"/>
      <c r="R19178" s="226"/>
      <c r="S19178" s="226"/>
      <c r="T19178" s="226"/>
      <c r="U19178" s="226"/>
    </row>
    <row r="19179" spans="16:21" x14ac:dyDescent="0.35">
      <c r="P19179" s="226"/>
      <c r="Q19179" s="226"/>
      <c r="R19179" s="226"/>
      <c r="S19179" s="226"/>
      <c r="T19179" s="226"/>
      <c r="U19179" s="226"/>
    </row>
    <row r="19180" spans="16:21" x14ac:dyDescent="0.35">
      <c r="P19180" s="226"/>
      <c r="Q19180" s="226"/>
      <c r="R19180" s="226"/>
      <c r="S19180" s="226"/>
      <c r="T19180" s="226"/>
      <c r="U19180" s="226"/>
    </row>
    <row r="19181" spans="16:21" x14ac:dyDescent="0.35">
      <c r="P19181" s="226"/>
      <c r="Q19181" s="226"/>
      <c r="R19181" s="226"/>
      <c r="S19181" s="226"/>
      <c r="T19181" s="226"/>
      <c r="U19181" s="226"/>
    </row>
    <row r="19182" spans="16:21" x14ac:dyDescent="0.35">
      <c r="P19182" s="226"/>
      <c r="Q19182" s="226"/>
      <c r="R19182" s="226"/>
      <c r="S19182" s="226"/>
      <c r="T19182" s="226"/>
      <c r="U19182" s="226"/>
    </row>
    <row r="19183" spans="16:21" x14ac:dyDescent="0.35">
      <c r="P19183" s="226"/>
      <c r="Q19183" s="226"/>
      <c r="R19183" s="226"/>
      <c r="S19183" s="226"/>
      <c r="T19183" s="226"/>
      <c r="U19183" s="226"/>
    </row>
    <row r="19184" spans="16:21" x14ac:dyDescent="0.35">
      <c r="P19184" s="226"/>
      <c r="Q19184" s="226"/>
      <c r="R19184" s="226"/>
      <c r="S19184" s="226"/>
      <c r="T19184" s="226"/>
      <c r="U19184" s="226"/>
    </row>
    <row r="19185" spans="16:21" x14ac:dyDescent="0.35">
      <c r="P19185" s="226"/>
      <c r="Q19185" s="226"/>
      <c r="R19185" s="226"/>
      <c r="S19185" s="226"/>
      <c r="T19185" s="226"/>
      <c r="U19185" s="226"/>
    </row>
    <row r="19186" spans="16:21" x14ac:dyDescent="0.35">
      <c r="P19186" s="226"/>
      <c r="Q19186" s="226"/>
      <c r="R19186" s="226"/>
      <c r="S19186" s="226"/>
      <c r="T19186" s="226"/>
      <c r="U19186" s="226"/>
    </row>
    <row r="19187" spans="16:21" x14ac:dyDescent="0.35">
      <c r="P19187" s="226"/>
      <c r="Q19187" s="226"/>
      <c r="R19187" s="226"/>
      <c r="S19187" s="226"/>
      <c r="T19187" s="226"/>
      <c r="U19187" s="226"/>
    </row>
    <row r="19188" spans="16:21" x14ac:dyDescent="0.35">
      <c r="P19188" s="226"/>
      <c r="Q19188" s="226"/>
      <c r="R19188" s="226"/>
      <c r="S19188" s="226"/>
      <c r="T19188" s="226"/>
      <c r="U19188" s="226"/>
    </row>
    <row r="19189" spans="16:21" x14ac:dyDescent="0.35">
      <c r="P19189" s="226"/>
      <c r="Q19189" s="226"/>
      <c r="R19189" s="226"/>
      <c r="S19189" s="226"/>
      <c r="T19189" s="226"/>
      <c r="U19189" s="226"/>
    </row>
    <row r="19190" spans="16:21" x14ac:dyDescent="0.35">
      <c r="P19190" s="226"/>
      <c r="Q19190" s="226"/>
      <c r="R19190" s="226"/>
      <c r="S19190" s="226"/>
      <c r="T19190" s="226"/>
      <c r="U19190" s="226"/>
    </row>
    <row r="19191" spans="16:21" x14ac:dyDescent="0.35">
      <c r="P19191" s="226"/>
      <c r="Q19191" s="226"/>
      <c r="R19191" s="226"/>
      <c r="S19191" s="226"/>
      <c r="T19191" s="226"/>
      <c r="U19191" s="226"/>
    </row>
    <row r="19192" spans="16:21" x14ac:dyDescent="0.35">
      <c r="P19192" s="226"/>
      <c r="Q19192" s="226"/>
      <c r="R19192" s="226"/>
      <c r="S19192" s="226"/>
      <c r="T19192" s="226"/>
      <c r="U19192" s="226"/>
    </row>
    <row r="19193" spans="16:21" x14ac:dyDescent="0.35">
      <c r="P19193" s="226"/>
      <c r="Q19193" s="226"/>
      <c r="R19193" s="226"/>
      <c r="S19193" s="226"/>
      <c r="T19193" s="226"/>
      <c r="U19193" s="226"/>
    </row>
    <row r="19194" spans="16:21" x14ac:dyDescent="0.35">
      <c r="P19194" s="226"/>
      <c r="Q19194" s="226"/>
      <c r="R19194" s="226"/>
      <c r="S19194" s="226"/>
      <c r="T19194" s="226"/>
      <c r="U19194" s="226"/>
    </row>
    <row r="19195" spans="16:21" x14ac:dyDescent="0.35">
      <c r="P19195" s="226"/>
      <c r="Q19195" s="226"/>
      <c r="R19195" s="226"/>
      <c r="S19195" s="226"/>
      <c r="T19195" s="226"/>
      <c r="U19195" s="226"/>
    </row>
    <row r="19196" spans="16:21" x14ac:dyDescent="0.35">
      <c r="P19196" s="226"/>
      <c r="Q19196" s="226"/>
      <c r="R19196" s="226"/>
      <c r="S19196" s="226"/>
      <c r="T19196" s="226"/>
      <c r="U19196" s="226"/>
    </row>
    <row r="19197" spans="16:21" x14ac:dyDescent="0.35">
      <c r="P19197" s="226"/>
      <c r="Q19197" s="226"/>
      <c r="R19197" s="226"/>
      <c r="S19197" s="226"/>
      <c r="T19197" s="226"/>
      <c r="U19197" s="226"/>
    </row>
    <row r="19198" spans="16:21" x14ac:dyDescent="0.35">
      <c r="P19198" s="226"/>
      <c r="Q19198" s="226"/>
      <c r="R19198" s="226"/>
      <c r="S19198" s="226"/>
      <c r="T19198" s="226"/>
      <c r="U19198" s="226"/>
    </row>
    <row r="19199" spans="16:21" x14ac:dyDescent="0.35">
      <c r="P19199" s="226"/>
      <c r="Q19199" s="226"/>
      <c r="R19199" s="226"/>
      <c r="S19199" s="226"/>
      <c r="T19199" s="226"/>
      <c r="U19199" s="226"/>
    </row>
    <row r="19200" spans="16:21" x14ac:dyDescent="0.35">
      <c r="P19200" s="226"/>
      <c r="Q19200" s="226"/>
      <c r="R19200" s="226"/>
      <c r="S19200" s="226"/>
      <c r="T19200" s="226"/>
      <c r="U19200" s="226"/>
    </row>
    <row r="19201" spans="16:21" x14ac:dyDescent="0.35">
      <c r="P19201" s="226"/>
      <c r="Q19201" s="226"/>
      <c r="R19201" s="226"/>
      <c r="S19201" s="226"/>
      <c r="T19201" s="226"/>
      <c r="U19201" s="226"/>
    </row>
    <row r="19202" spans="16:21" x14ac:dyDescent="0.35">
      <c r="P19202" s="226"/>
      <c r="Q19202" s="226"/>
      <c r="R19202" s="226"/>
      <c r="S19202" s="226"/>
      <c r="T19202" s="226"/>
      <c r="U19202" s="226"/>
    </row>
    <row r="19203" spans="16:21" x14ac:dyDescent="0.35">
      <c r="P19203" s="226"/>
      <c r="Q19203" s="226"/>
      <c r="R19203" s="226"/>
      <c r="S19203" s="226"/>
      <c r="T19203" s="226"/>
      <c r="U19203" s="226"/>
    </row>
    <row r="19204" spans="16:21" x14ac:dyDescent="0.35">
      <c r="P19204" s="226"/>
      <c r="Q19204" s="226"/>
      <c r="R19204" s="226"/>
      <c r="S19204" s="226"/>
      <c r="T19204" s="226"/>
      <c r="U19204" s="226"/>
    </row>
    <row r="19205" spans="16:21" x14ac:dyDescent="0.35">
      <c r="P19205" s="226"/>
      <c r="Q19205" s="226"/>
      <c r="R19205" s="226"/>
      <c r="S19205" s="226"/>
      <c r="T19205" s="226"/>
      <c r="U19205" s="226"/>
    </row>
    <row r="19206" spans="16:21" x14ac:dyDescent="0.35">
      <c r="P19206" s="226"/>
      <c r="Q19206" s="226"/>
      <c r="R19206" s="226"/>
      <c r="S19206" s="226"/>
      <c r="T19206" s="226"/>
      <c r="U19206" s="226"/>
    </row>
    <row r="19207" spans="16:21" x14ac:dyDescent="0.35">
      <c r="P19207" s="226"/>
      <c r="Q19207" s="226"/>
      <c r="R19207" s="226"/>
      <c r="S19207" s="226"/>
      <c r="T19207" s="226"/>
      <c r="U19207" s="226"/>
    </row>
    <row r="19208" spans="16:21" x14ac:dyDescent="0.35">
      <c r="P19208" s="226"/>
      <c r="Q19208" s="226"/>
      <c r="R19208" s="226"/>
      <c r="S19208" s="226"/>
      <c r="T19208" s="226"/>
      <c r="U19208" s="226"/>
    </row>
    <row r="19209" spans="16:21" x14ac:dyDescent="0.35">
      <c r="P19209" s="226"/>
      <c r="Q19209" s="226"/>
      <c r="R19209" s="226"/>
      <c r="S19209" s="226"/>
      <c r="T19209" s="226"/>
      <c r="U19209" s="226"/>
    </row>
    <row r="19210" spans="16:21" x14ac:dyDescent="0.35">
      <c r="P19210" s="226"/>
      <c r="Q19210" s="226"/>
      <c r="R19210" s="226"/>
      <c r="S19210" s="226"/>
      <c r="T19210" s="226"/>
      <c r="U19210" s="226"/>
    </row>
    <row r="19211" spans="16:21" x14ac:dyDescent="0.35">
      <c r="P19211" s="226"/>
      <c r="Q19211" s="226"/>
      <c r="R19211" s="226"/>
      <c r="S19211" s="226"/>
      <c r="T19211" s="226"/>
      <c r="U19211" s="226"/>
    </row>
    <row r="19212" spans="16:21" x14ac:dyDescent="0.35">
      <c r="P19212" s="226"/>
      <c r="Q19212" s="226"/>
      <c r="R19212" s="226"/>
      <c r="S19212" s="226"/>
      <c r="T19212" s="226"/>
      <c r="U19212" s="226"/>
    </row>
    <row r="19213" spans="16:21" x14ac:dyDescent="0.35">
      <c r="P19213" s="226"/>
      <c r="Q19213" s="226"/>
      <c r="R19213" s="226"/>
      <c r="S19213" s="226"/>
      <c r="T19213" s="226"/>
      <c r="U19213" s="226"/>
    </row>
    <row r="19214" spans="16:21" x14ac:dyDescent="0.35">
      <c r="P19214" s="226"/>
      <c r="Q19214" s="226"/>
      <c r="R19214" s="226"/>
      <c r="S19214" s="226"/>
      <c r="T19214" s="226"/>
      <c r="U19214" s="226"/>
    </row>
    <row r="19215" spans="16:21" x14ac:dyDescent="0.35">
      <c r="P19215" s="226"/>
      <c r="Q19215" s="226"/>
      <c r="R19215" s="226"/>
      <c r="S19215" s="226"/>
      <c r="T19215" s="226"/>
      <c r="U19215" s="226"/>
    </row>
    <row r="19216" spans="16:21" x14ac:dyDescent="0.35">
      <c r="P19216" s="226"/>
      <c r="Q19216" s="226"/>
      <c r="R19216" s="226"/>
      <c r="S19216" s="226"/>
      <c r="T19216" s="226"/>
      <c r="U19216" s="226"/>
    </row>
    <row r="19217" spans="16:21" x14ac:dyDescent="0.35">
      <c r="P19217" s="226"/>
      <c r="Q19217" s="226"/>
      <c r="R19217" s="226"/>
      <c r="S19217" s="226"/>
      <c r="T19217" s="226"/>
      <c r="U19217" s="226"/>
    </row>
    <row r="19218" spans="16:21" x14ac:dyDescent="0.35">
      <c r="P19218" s="226"/>
      <c r="Q19218" s="226"/>
      <c r="R19218" s="226"/>
      <c r="S19218" s="226"/>
      <c r="T19218" s="226"/>
      <c r="U19218" s="226"/>
    </row>
    <row r="19219" spans="16:21" x14ac:dyDescent="0.35">
      <c r="P19219" s="226"/>
      <c r="Q19219" s="226"/>
      <c r="R19219" s="226"/>
      <c r="S19219" s="226"/>
      <c r="T19219" s="226"/>
      <c r="U19219" s="226"/>
    </row>
    <row r="19220" spans="16:21" x14ac:dyDescent="0.35">
      <c r="P19220" s="226"/>
      <c r="Q19220" s="226"/>
      <c r="R19220" s="226"/>
      <c r="S19220" s="226"/>
      <c r="T19220" s="226"/>
      <c r="U19220" s="226"/>
    </row>
    <row r="19221" spans="16:21" x14ac:dyDescent="0.35">
      <c r="P19221" s="226"/>
      <c r="Q19221" s="226"/>
      <c r="R19221" s="226"/>
      <c r="S19221" s="226"/>
      <c r="T19221" s="226"/>
      <c r="U19221" s="226"/>
    </row>
    <row r="19222" spans="16:21" x14ac:dyDescent="0.35">
      <c r="P19222" s="226"/>
      <c r="Q19222" s="226"/>
      <c r="R19222" s="226"/>
      <c r="S19222" s="226"/>
      <c r="T19222" s="226"/>
      <c r="U19222" s="226"/>
    </row>
    <row r="19223" spans="16:21" x14ac:dyDescent="0.35">
      <c r="P19223" s="226"/>
      <c r="Q19223" s="226"/>
      <c r="R19223" s="226"/>
      <c r="S19223" s="226"/>
      <c r="T19223" s="226"/>
      <c r="U19223" s="226"/>
    </row>
    <row r="19224" spans="16:21" x14ac:dyDescent="0.35">
      <c r="P19224" s="226"/>
      <c r="Q19224" s="226"/>
      <c r="R19224" s="226"/>
      <c r="S19224" s="226"/>
      <c r="T19224" s="226"/>
      <c r="U19224" s="226"/>
    </row>
    <row r="19225" spans="16:21" x14ac:dyDescent="0.35">
      <c r="P19225" s="226"/>
      <c r="Q19225" s="226"/>
      <c r="R19225" s="226"/>
      <c r="S19225" s="226"/>
      <c r="T19225" s="226"/>
      <c r="U19225" s="226"/>
    </row>
    <row r="19226" spans="16:21" x14ac:dyDescent="0.35">
      <c r="P19226" s="226"/>
      <c r="Q19226" s="226"/>
      <c r="R19226" s="226"/>
      <c r="S19226" s="226"/>
      <c r="T19226" s="226"/>
      <c r="U19226" s="226"/>
    </row>
    <row r="19227" spans="16:21" x14ac:dyDescent="0.35">
      <c r="P19227" s="226"/>
      <c r="Q19227" s="226"/>
      <c r="R19227" s="226"/>
      <c r="S19227" s="226"/>
      <c r="T19227" s="226"/>
      <c r="U19227" s="226"/>
    </row>
    <row r="19228" spans="16:21" x14ac:dyDescent="0.35">
      <c r="P19228" s="226"/>
      <c r="Q19228" s="226"/>
      <c r="R19228" s="226"/>
      <c r="S19228" s="226"/>
      <c r="T19228" s="226"/>
      <c r="U19228" s="226"/>
    </row>
    <row r="19229" spans="16:21" x14ac:dyDescent="0.35">
      <c r="P19229" s="226"/>
      <c r="Q19229" s="226"/>
      <c r="R19229" s="226"/>
      <c r="S19229" s="226"/>
      <c r="T19229" s="226"/>
      <c r="U19229" s="226"/>
    </row>
    <row r="19230" spans="16:21" x14ac:dyDescent="0.35">
      <c r="P19230" s="226"/>
      <c r="Q19230" s="226"/>
      <c r="R19230" s="226"/>
      <c r="S19230" s="226"/>
      <c r="T19230" s="226"/>
      <c r="U19230" s="226"/>
    </row>
    <row r="19231" spans="16:21" x14ac:dyDescent="0.35">
      <c r="P19231" s="226"/>
      <c r="Q19231" s="226"/>
      <c r="R19231" s="226"/>
      <c r="S19231" s="226"/>
      <c r="T19231" s="226"/>
      <c r="U19231" s="226"/>
    </row>
    <row r="19232" spans="16:21" x14ac:dyDescent="0.35">
      <c r="P19232" s="226"/>
      <c r="Q19232" s="226"/>
      <c r="R19232" s="226"/>
      <c r="S19232" s="226"/>
      <c r="T19232" s="226"/>
      <c r="U19232" s="226"/>
    </row>
    <row r="19233" spans="16:21" x14ac:dyDescent="0.35">
      <c r="P19233" s="226"/>
      <c r="Q19233" s="226"/>
      <c r="R19233" s="226"/>
      <c r="S19233" s="226"/>
      <c r="T19233" s="226"/>
      <c r="U19233" s="226"/>
    </row>
    <row r="19234" spans="16:21" x14ac:dyDescent="0.35">
      <c r="P19234" s="226"/>
      <c r="Q19234" s="226"/>
      <c r="R19234" s="226"/>
      <c r="S19234" s="226"/>
      <c r="T19234" s="226"/>
      <c r="U19234" s="226"/>
    </row>
    <row r="19235" spans="16:21" x14ac:dyDescent="0.35">
      <c r="P19235" s="226"/>
      <c r="Q19235" s="226"/>
      <c r="R19235" s="226"/>
      <c r="S19235" s="226"/>
      <c r="T19235" s="226"/>
      <c r="U19235" s="226"/>
    </row>
    <row r="19236" spans="16:21" x14ac:dyDescent="0.35">
      <c r="P19236" s="226"/>
      <c r="Q19236" s="226"/>
      <c r="R19236" s="226"/>
      <c r="S19236" s="226"/>
      <c r="T19236" s="226"/>
      <c r="U19236" s="226"/>
    </row>
    <row r="19237" spans="16:21" x14ac:dyDescent="0.35">
      <c r="P19237" s="226"/>
      <c r="Q19237" s="226"/>
      <c r="R19237" s="226"/>
      <c r="S19237" s="226"/>
      <c r="T19237" s="226"/>
      <c r="U19237" s="226"/>
    </row>
    <row r="19238" spans="16:21" x14ac:dyDescent="0.35">
      <c r="P19238" s="226"/>
      <c r="Q19238" s="226"/>
      <c r="R19238" s="226"/>
      <c r="S19238" s="226"/>
      <c r="T19238" s="226"/>
      <c r="U19238" s="226"/>
    </row>
    <row r="19239" spans="16:21" x14ac:dyDescent="0.35">
      <c r="P19239" s="226"/>
      <c r="Q19239" s="226"/>
      <c r="R19239" s="226"/>
      <c r="S19239" s="226"/>
      <c r="T19239" s="226"/>
      <c r="U19239" s="226"/>
    </row>
    <row r="19240" spans="16:21" x14ac:dyDescent="0.35">
      <c r="P19240" s="226"/>
      <c r="Q19240" s="226"/>
      <c r="R19240" s="226"/>
      <c r="S19240" s="226"/>
      <c r="T19240" s="226"/>
      <c r="U19240" s="226"/>
    </row>
    <row r="19241" spans="16:21" x14ac:dyDescent="0.35">
      <c r="P19241" s="226"/>
      <c r="Q19241" s="226"/>
      <c r="R19241" s="226"/>
      <c r="S19241" s="226"/>
      <c r="T19241" s="226"/>
      <c r="U19241" s="226"/>
    </row>
    <row r="19242" spans="16:21" x14ac:dyDescent="0.35">
      <c r="P19242" s="226"/>
      <c r="Q19242" s="226"/>
      <c r="R19242" s="226"/>
      <c r="S19242" s="226"/>
      <c r="T19242" s="226"/>
      <c r="U19242" s="226"/>
    </row>
    <row r="19243" spans="16:21" x14ac:dyDescent="0.35">
      <c r="P19243" s="226"/>
      <c r="Q19243" s="226"/>
      <c r="R19243" s="226"/>
      <c r="S19243" s="226"/>
      <c r="T19243" s="226"/>
      <c r="U19243" s="226"/>
    </row>
    <row r="19244" spans="16:21" x14ac:dyDescent="0.35">
      <c r="P19244" s="226"/>
      <c r="Q19244" s="226"/>
      <c r="R19244" s="226"/>
      <c r="S19244" s="226"/>
      <c r="T19244" s="226"/>
      <c r="U19244" s="226"/>
    </row>
    <row r="19245" spans="16:21" x14ac:dyDescent="0.35">
      <c r="P19245" s="226"/>
      <c r="Q19245" s="226"/>
      <c r="R19245" s="226"/>
      <c r="S19245" s="226"/>
      <c r="T19245" s="226"/>
      <c r="U19245" s="226"/>
    </row>
    <row r="19246" spans="16:21" x14ac:dyDescent="0.35">
      <c r="P19246" s="226"/>
      <c r="Q19246" s="226"/>
      <c r="R19246" s="226"/>
      <c r="S19246" s="226"/>
      <c r="T19246" s="226"/>
      <c r="U19246" s="226"/>
    </row>
    <row r="19247" spans="16:21" x14ac:dyDescent="0.35">
      <c r="P19247" s="226"/>
      <c r="Q19247" s="226"/>
      <c r="R19247" s="226"/>
      <c r="S19247" s="226"/>
      <c r="T19247" s="226"/>
      <c r="U19247" s="226"/>
    </row>
    <row r="19248" spans="16:21" x14ac:dyDescent="0.35">
      <c r="P19248" s="226"/>
      <c r="Q19248" s="226"/>
      <c r="R19248" s="226"/>
      <c r="S19248" s="226"/>
      <c r="T19248" s="226"/>
      <c r="U19248" s="226"/>
    </row>
    <row r="19249" spans="16:21" x14ac:dyDescent="0.35">
      <c r="P19249" s="226"/>
      <c r="Q19249" s="226"/>
      <c r="R19249" s="226"/>
      <c r="S19249" s="226"/>
      <c r="T19249" s="226"/>
      <c r="U19249" s="226"/>
    </row>
    <row r="19250" spans="16:21" x14ac:dyDescent="0.35">
      <c r="P19250" s="226"/>
      <c r="Q19250" s="226"/>
      <c r="R19250" s="226"/>
      <c r="S19250" s="226"/>
      <c r="T19250" s="226"/>
      <c r="U19250" s="226"/>
    </row>
    <row r="19251" spans="16:21" x14ac:dyDescent="0.35">
      <c r="P19251" s="226"/>
      <c r="Q19251" s="226"/>
      <c r="R19251" s="226"/>
      <c r="S19251" s="226"/>
      <c r="T19251" s="226"/>
      <c r="U19251" s="226"/>
    </row>
    <row r="19252" spans="16:21" x14ac:dyDescent="0.35">
      <c r="P19252" s="226"/>
      <c r="Q19252" s="226"/>
      <c r="R19252" s="226"/>
      <c r="S19252" s="226"/>
      <c r="T19252" s="226"/>
      <c r="U19252" s="226"/>
    </row>
    <row r="19253" spans="16:21" x14ac:dyDescent="0.35">
      <c r="P19253" s="226"/>
      <c r="Q19253" s="226"/>
      <c r="R19253" s="226"/>
      <c r="S19253" s="226"/>
      <c r="T19253" s="226"/>
      <c r="U19253" s="226"/>
    </row>
    <row r="19254" spans="16:21" x14ac:dyDescent="0.35">
      <c r="P19254" s="226"/>
      <c r="Q19254" s="226"/>
      <c r="R19254" s="226"/>
      <c r="S19254" s="226"/>
      <c r="T19254" s="226"/>
      <c r="U19254" s="226"/>
    </row>
    <row r="19255" spans="16:21" x14ac:dyDescent="0.35">
      <c r="P19255" s="226"/>
      <c r="Q19255" s="226"/>
      <c r="R19255" s="226"/>
      <c r="S19255" s="226"/>
      <c r="T19255" s="226"/>
      <c r="U19255" s="226"/>
    </row>
    <row r="19256" spans="16:21" x14ac:dyDescent="0.35">
      <c r="P19256" s="226"/>
      <c r="Q19256" s="226"/>
      <c r="R19256" s="226"/>
      <c r="S19256" s="226"/>
      <c r="T19256" s="226"/>
      <c r="U19256" s="226"/>
    </row>
    <row r="19257" spans="16:21" x14ac:dyDescent="0.35">
      <c r="P19257" s="226"/>
      <c r="Q19257" s="226"/>
      <c r="R19257" s="226"/>
      <c r="S19257" s="226"/>
      <c r="T19257" s="226"/>
      <c r="U19257" s="226"/>
    </row>
    <row r="19258" spans="16:21" x14ac:dyDescent="0.35">
      <c r="P19258" s="226"/>
      <c r="Q19258" s="226"/>
      <c r="R19258" s="226"/>
      <c r="S19258" s="226"/>
      <c r="T19258" s="226"/>
      <c r="U19258" s="226"/>
    </row>
    <row r="19259" spans="16:21" x14ac:dyDescent="0.35">
      <c r="P19259" s="226"/>
      <c r="Q19259" s="226"/>
      <c r="R19259" s="226"/>
      <c r="S19259" s="226"/>
      <c r="T19259" s="226"/>
      <c r="U19259" s="226"/>
    </row>
    <row r="19260" spans="16:21" x14ac:dyDescent="0.35">
      <c r="P19260" s="226"/>
      <c r="Q19260" s="226"/>
      <c r="R19260" s="226"/>
      <c r="S19260" s="226"/>
      <c r="T19260" s="226"/>
      <c r="U19260" s="226"/>
    </row>
    <row r="19261" spans="16:21" x14ac:dyDescent="0.35">
      <c r="P19261" s="226"/>
      <c r="Q19261" s="226"/>
      <c r="R19261" s="226"/>
      <c r="S19261" s="226"/>
      <c r="T19261" s="226"/>
      <c r="U19261" s="226"/>
    </row>
    <row r="19262" spans="16:21" x14ac:dyDescent="0.35">
      <c r="P19262" s="226"/>
      <c r="Q19262" s="226"/>
      <c r="R19262" s="226"/>
      <c r="S19262" s="226"/>
      <c r="T19262" s="226"/>
      <c r="U19262" s="226"/>
    </row>
    <row r="19263" spans="16:21" x14ac:dyDescent="0.35">
      <c r="P19263" s="226"/>
      <c r="Q19263" s="226"/>
      <c r="R19263" s="226"/>
      <c r="S19263" s="226"/>
      <c r="T19263" s="226"/>
      <c r="U19263" s="226"/>
    </row>
    <row r="19264" spans="16:21" x14ac:dyDescent="0.35">
      <c r="P19264" s="226"/>
      <c r="Q19264" s="226"/>
      <c r="R19264" s="226"/>
      <c r="S19264" s="226"/>
      <c r="T19264" s="226"/>
      <c r="U19264" s="226"/>
    </row>
    <row r="19265" spans="16:21" x14ac:dyDescent="0.35">
      <c r="P19265" s="226"/>
      <c r="Q19265" s="226"/>
      <c r="R19265" s="226"/>
      <c r="S19265" s="226"/>
      <c r="T19265" s="226"/>
      <c r="U19265" s="226"/>
    </row>
    <row r="19266" spans="16:21" x14ac:dyDescent="0.35">
      <c r="P19266" s="226"/>
      <c r="Q19266" s="226"/>
      <c r="R19266" s="226"/>
      <c r="S19266" s="226"/>
      <c r="T19266" s="226"/>
      <c r="U19266" s="226"/>
    </row>
    <row r="19267" spans="16:21" x14ac:dyDescent="0.35">
      <c r="P19267" s="226"/>
      <c r="Q19267" s="226"/>
      <c r="R19267" s="226"/>
      <c r="S19267" s="226"/>
      <c r="T19267" s="226"/>
      <c r="U19267" s="226"/>
    </row>
    <row r="19268" spans="16:21" x14ac:dyDescent="0.35">
      <c r="P19268" s="226"/>
      <c r="Q19268" s="226"/>
      <c r="R19268" s="226"/>
      <c r="S19268" s="226"/>
      <c r="T19268" s="226"/>
      <c r="U19268" s="226"/>
    </row>
    <row r="19269" spans="16:21" x14ac:dyDescent="0.35">
      <c r="P19269" s="226"/>
      <c r="Q19269" s="226"/>
      <c r="R19269" s="226"/>
      <c r="S19269" s="226"/>
      <c r="T19269" s="226"/>
      <c r="U19269" s="226"/>
    </row>
    <row r="19270" spans="16:21" x14ac:dyDescent="0.35">
      <c r="P19270" s="226"/>
      <c r="Q19270" s="226"/>
      <c r="R19270" s="226"/>
      <c r="S19270" s="226"/>
      <c r="T19270" s="226"/>
      <c r="U19270" s="226"/>
    </row>
    <row r="19271" spans="16:21" x14ac:dyDescent="0.35">
      <c r="P19271" s="226"/>
      <c r="Q19271" s="226"/>
      <c r="R19271" s="226"/>
      <c r="S19271" s="226"/>
      <c r="T19271" s="226"/>
      <c r="U19271" s="226"/>
    </row>
    <row r="19272" spans="16:21" x14ac:dyDescent="0.35">
      <c r="P19272" s="226"/>
      <c r="Q19272" s="226"/>
      <c r="R19272" s="226"/>
      <c r="S19272" s="226"/>
      <c r="T19272" s="226"/>
      <c r="U19272" s="226"/>
    </row>
    <row r="19273" spans="16:21" x14ac:dyDescent="0.35">
      <c r="P19273" s="226"/>
      <c r="Q19273" s="226"/>
      <c r="R19273" s="226"/>
      <c r="S19273" s="226"/>
      <c r="T19273" s="226"/>
      <c r="U19273" s="226"/>
    </row>
    <row r="19274" spans="16:21" x14ac:dyDescent="0.35">
      <c r="P19274" s="226"/>
      <c r="Q19274" s="226"/>
      <c r="R19274" s="226"/>
      <c r="S19274" s="226"/>
      <c r="T19274" s="226"/>
      <c r="U19274" s="226"/>
    </row>
    <row r="19275" spans="16:21" x14ac:dyDescent="0.35">
      <c r="P19275" s="226"/>
      <c r="Q19275" s="226"/>
      <c r="R19275" s="226"/>
      <c r="S19275" s="226"/>
      <c r="T19275" s="226"/>
      <c r="U19275" s="226"/>
    </row>
    <row r="19276" spans="16:21" x14ac:dyDescent="0.35">
      <c r="P19276" s="226"/>
      <c r="Q19276" s="226"/>
      <c r="R19276" s="226"/>
      <c r="S19276" s="226"/>
      <c r="T19276" s="226"/>
      <c r="U19276" s="226"/>
    </row>
    <row r="19277" spans="16:21" x14ac:dyDescent="0.35">
      <c r="P19277" s="226"/>
      <c r="Q19277" s="226"/>
      <c r="R19277" s="226"/>
      <c r="S19277" s="226"/>
      <c r="T19277" s="226"/>
      <c r="U19277" s="226"/>
    </row>
    <row r="19278" spans="16:21" x14ac:dyDescent="0.35">
      <c r="P19278" s="226"/>
      <c r="Q19278" s="226"/>
      <c r="R19278" s="226"/>
      <c r="S19278" s="226"/>
      <c r="T19278" s="226"/>
      <c r="U19278" s="226"/>
    </row>
    <row r="19279" spans="16:21" x14ac:dyDescent="0.35">
      <c r="P19279" s="226"/>
      <c r="Q19279" s="226"/>
      <c r="R19279" s="226"/>
      <c r="S19279" s="226"/>
      <c r="T19279" s="226"/>
      <c r="U19279" s="226"/>
    </row>
    <row r="19280" spans="16:21" x14ac:dyDescent="0.35">
      <c r="P19280" s="226"/>
      <c r="Q19280" s="226"/>
      <c r="R19280" s="226"/>
      <c r="S19280" s="226"/>
      <c r="T19280" s="226"/>
      <c r="U19280" s="226"/>
    </row>
    <row r="19281" spans="16:21" x14ac:dyDescent="0.35">
      <c r="P19281" s="226"/>
      <c r="Q19281" s="226"/>
      <c r="R19281" s="226"/>
      <c r="S19281" s="226"/>
      <c r="T19281" s="226"/>
      <c r="U19281" s="226"/>
    </row>
    <row r="19282" spans="16:21" x14ac:dyDescent="0.35">
      <c r="P19282" s="226"/>
      <c r="Q19282" s="226"/>
      <c r="R19282" s="226"/>
      <c r="S19282" s="226"/>
      <c r="T19282" s="226"/>
      <c r="U19282" s="226"/>
    </row>
    <row r="19283" spans="16:21" x14ac:dyDescent="0.35">
      <c r="P19283" s="226"/>
      <c r="Q19283" s="226"/>
      <c r="R19283" s="226"/>
      <c r="S19283" s="226"/>
      <c r="T19283" s="226"/>
      <c r="U19283" s="226"/>
    </row>
    <row r="19284" spans="16:21" x14ac:dyDescent="0.35">
      <c r="P19284" s="226"/>
      <c r="Q19284" s="226"/>
      <c r="R19284" s="226"/>
      <c r="S19284" s="226"/>
      <c r="T19284" s="226"/>
      <c r="U19284" s="226"/>
    </row>
    <row r="19285" spans="16:21" x14ac:dyDescent="0.35">
      <c r="P19285" s="226"/>
      <c r="Q19285" s="226"/>
      <c r="R19285" s="226"/>
      <c r="S19285" s="226"/>
      <c r="T19285" s="226"/>
      <c r="U19285" s="226"/>
    </row>
    <row r="19286" spans="16:21" x14ac:dyDescent="0.35">
      <c r="P19286" s="226"/>
      <c r="Q19286" s="226"/>
      <c r="R19286" s="226"/>
      <c r="S19286" s="226"/>
      <c r="T19286" s="226"/>
      <c r="U19286" s="226"/>
    </row>
    <row r="19287" spans="16:21" x14ac:dyDescent="0.35">
      <c r="P19287" s="226"/>
      <c r="Q19287" s="226"/>
      <c r="R19287" s="226"/>
      <c r="S19287" s="226"/>
      <c r="T19287" s="226"/>
      <c r="U19287" s="226"/>
    </row>
    <row r="19288" spans="16:21" x14ac:dyDescent="0.35">
      <c r="P19288" s="226"/>
      <c r="Q19288" s="226"/>
      <c r="R19288" s="226"/>
      <c r="S19288" s="226"/>
      <c r="T19288" s="226"/>
      <c r="U19288" s="226"/>
    </row>
    <row r="19289" spans="16:21" x14ac:dyDescent="0.35">
      <c r="P19289" s="226"/>
      <c r="Q19289" s="226"/>
      <c r="R19289" s="226"/>
      <c r="S19289" s="226"/>
      <c r="T19289" s="226"/>
      <c r="U19289" s="226"/>
    </row>
    <row r="19290" spans="16:21" x14ac:dyDescent="0.35">
      <c r="P19290" s="226"/>
      <c r="Q19290" s="226"/>
      <c r="R19290" s="226"/>
      <c r="S19290" s="226"/>
      <c r="T19290" s="226"/>
      <c r="U19290" s="226"/>
    </row>
    <row r="19291" spans="16:21" x14ac:dyDescent="0.35">
      <c r="P19291" s="226"/>
      <c r="Q19291" s="226"/>
      <c r="R19291" s="226"/>
      <c r="S19291" s="226"/>
      <c r="T19291" s="226"/>
      <c r="U19291" s="226"/>
    </row>
    <row r="19292" spans="16:21" x14ac:dyDescent="0.35">
      <c r="P19292" s="226"/>
      <c r="Q19292" s="226"/>
      <c r="R19292" s="226"/>
      <c r="S19292" s="226"/>
      <c r="T19292" s="226"/>
      <c r="U19292" s="226"/>
    </row>
    <row r="19293" spans="16:21" x14ac:dyDescent="0.35">
      <c r="P19293" s="226"/>
      <c r="Q19293" s="226"/>
      <c r="R19293" s="226"/>
      <c r="S19293" s="226"/>
      <c r="T19293" s="226"/>
      <c r="U19293" s="226"/>
    </row>
    <row r="19294" spans="16:21" x14ac:dyDescent="0.35">
      <c r="P19294" s="226"/>
      <c r="Q19294" s="226"/>
      <c r="R19294" s="226"/>
      <c r="S19294" s="226"/>
      <c r="T19294" s="226"/>
      <c r="U19294" s="226"/>
    </row>
    <row r="19295" spans="16:21" x14ac:dyDescent="0.35">
      <c r="P19295" s="226"/>
      <c r="Q19295" s="226"/>
      <c r="R19295" s="226"/>
      <c r="S19295" s="226"/>
      <c r="T19295" s="226"/>
      <c r="U19295" s="226"/>
    </row>
    <row r="19296" spans="16:21" x14ac:dyDescent="0.35">
      <c r="P19296" s="226"/>
      <c r="Q19296" s="226"/>
      <c r="R19296" s="226"/>
      <c r="S19296" s="226"/>
      <c r="T19296" s="226"/>
      <c r="U19296" s="226"/>
    </row>
    <row r="19297" spans="16:21" x14ac:dyDescent="0.35">
      <c r="P19297" s="226"/>
      <c r="Q19297" s="226"/>
      <c r="R19297" s="226"/>
      <c r="S19297" s="226"/>
      <c r="T19297" s="226"/>
      <c r="U19297" s="226"/>
    </row>
    <row r="19298" spans="16:21" x14ac:dyDescent="0.35">
      <c r="P19298" s="226"/>
      <c r="Q19298" s="226"/>
      <c r="R19298" s="226"/>
      <c r="S19298" s="226"/>
      <c r="T19298" s="226"/>
      <c r="U19298" s="226"/>
    </row>
    <row r="19299" spans="16:21" x14ac:dyDescent="0.35">
      <c r="P19299" s="226"/>
      <c r="Q19299" s="226"/>
      <c r="R19299" s="226"/>
      <c r="S19299" s="226"/>
      <c r="T19299" s="226"/>
      <c r="U19299" s="226"/>
    </row>
    <row r="19300" spans="16:21" x14ac:dyDescent="0.35">
      <c r="P19300" s="226"/>
      <c r="Q19300" s="226"/>
      <c r="R19300" s="226"/>
      <c r="S19300" s="226"/>
      <c r="T19300" s="226"/>
      <c r="U19300" s="226"/>
    </row>
    <row r="19301" spans="16:21" x14ac:dyDescent="0.35">
      <c r="P19301" s="226"/>
      <c r="Q19301" s="226"/>
      <c r="R19301" s="226"/>
      <c r="S19301" s="226"/>
      <c r="T19301" s="226"/>
      <c r="U19301" s="226"/>
    </row>
    <row r="19302" spans="16:21" x14ac:dyDescent="0.35">
      <c r="P19302" s="226"/>
      <c r="Q19302" s="226"/>
      <c r="R19302" s="226"/>
      <c r="S19302" s="226"/>
      <c r="T19302" s="226"/>
      <c r="U19302" s="226"/>
    </row>
    <row r="19303" spans="16:21" x14ac:dyDescent="0.35">
      <c r="P19303" s="226"/>
      <c r="Q19303" s="226"/>
      <c r="R19303" s="226"/>
      <c r="S19303" s="226"/>
      <c r="T19303" s="226"/>
      <c r="U19303" s="226"/>
    </row>
    <row r="19304" spans="16:21" x14ac:dyDescent="0.35">
      <c r="P19304" s="226"/>
      <c r="Q19304" s="226"/>
      <c r="R19304" s="226"/>
      <c r="S19304" s="226"/>
      <c r="T19304" s="226"/>
      <c r="U19304" s="226"/>
    </row>
    <row r="19305" spans="16:21" x14ac:dyDescent="0.35">
      <c r="P19305" s="226"/>
      <c r="Q19305" s="226"/>
      <c r="R19305" s="226"/>
      <c r="S19305" s="226"/>
      <c r="T19305" s="226"/>
      <c r="U19305" s="226"/>
    </row>
    <row r="19306" spans="16:21" x14ac:dyDescent="0.35">
      <c r="P19306" s="226"/>
      <c r="Q19306" s="226"/>
      <c r="R19306" s="226"/>
      <c r="S19306" s="226"/>
      <c r="T19306" s="226"/>
      <c r="U19306" s="226"/>
    </row>
    <row r="19307" spans="16:21" x14ac:dyDescent="0.35">
      <c r="P19307" s="226"/>
      <c r="Q19307" s="226"/>
      <c r="R19307" s="226"/>
      <c r="S19307" s="226"/>
      <c r="T19307" s="226"/>
      <c r="U19307" s="226"/>
    </row>
    <row r="19308" spans="16:21" x14ac:dyDescent="0.35">
      <c r="P19308" s="226"/>
      <c r="Q19308" s="226"/>
      <c r="R19308" s="226"/>
      <c r="S19308" s="226"/>
      <c r="T19308" s="226"/>
      <c r="U19308" s="226"/>
    </row>
    <row r="19309" spans="16:21" x14ac:dyDescent="0.35">
      <c r="P19309" s="226"/>
      <c r="Q19309" s="226"/>
      <c r="R19309" s="226"/>
      <c r="S19309" s="226"/>
      <c r="T19309" s="226"/>
      <c r="U19309" s="226"/>
    </row>
    <row r="19310" spans="16:21" x14ac:dyDescent="0.35">
      <c r="P19310" s="226"/>
      <c r="Q19310" s="226"/>
      <c r="R19310" s="226"/>
      <c r="S19310" s="226"/>
      <c r="T19310" s="226"/>
      <c r="U19310" s="226"/>
    </row>
    <row r="19311" spans="16:21" x14ac:dyDescent="0.35">
      <c r="P19311" s="226"/>
      <c r="Q19311" s="226"/>
      <c r="R19311" s="226"/>
      <c r="S19311" s="226"/>
      <c r="T19311" s="226"/>
      <c r="U19311" s="226"/>
    </row>
    <row r="19312" spans="16:21" x14ac:dyDescent="0.35">
      <c r="P19312" s="226"/>
      <c r="Q19312" s="226"/>
      <c r="R19312" s="226"/>
      <c r="S19312" s="226"/>
      <c r="T19312" s="226"/>
      <c r="U19312" s="226"/>
    </row>
    <row r="19313" spans="16:21" x14ac:dyDescent="0.35">
      <c r="P19313" s="226"/>
      <c r="Q19313" s="226"/>
      <c r="R19313" s="226"/>
      <c r="S19313" s="226"/>
      <c r="T19313" s="226"/>
      <c r="U19313" s="226"/>
    </row>
    <row r="19314" spans="16:21" x14ac:dyDescent="0.35">
      <c r="P19314" s="226"/>
      <c r="Q19314" s="226"/>
      <c r="R19314" s="226"/>
      <c r="S19314" s="226"/>
      <c r="T19314" s="226"/>
      <c r="U19314" s="226"/>
    </row>
    <row r="19315" spans="16:21" x14ac:dyDescent="0.35">
      <c r="P19315" s="226"/>
      <c r="Q19315" s="226"/>
      <c r="R19315" s="226"/>
      <c r="S19315" s="226"/>
      <c r="T19315" s="226"/>
      <c r="U19315" s="226"/>
    </row>
    <row r="19316" spans="16:21" x14ac:dyDescent="0.35">
      <c r="P19316" s="226"/>
      <c r="Q19316" s="226"/>
      <c r="R19316" s="226"/>
      <c r="S19316" s="226"/>
      <c r="T19316" s="226"/>
      <c r="U19316" s="226"/>
    </row>
    <row r="19317" spans="16:21" x14ac:dyDescent="0.35">
      <c r="P19317" s="226"/>
      <c r="Q19317" s="226"/>
      <c r="R19317" s="226"/>
      <c r="S19317" s="226"/>
      <c r="T19317" s="226"/>
      <c r="U19317" s="226"/>
    </row>
    <row r="19318" spans="16:21" x14ac:dyDescent="0.35">
      <c r="P19318" s="226"/>
      <c r="Q19318" s="226"/>
      <c r="R19318" s="226"/>
      <c r="S19318" s="226"/>
      <c r="T19318" s="226"/>
      <c r="U19318" s="226"/>
    </row>
    <row r="19319" spans="16:21" x14ac:dyDescent="0.35">
      <c r="P19319" s="226"/>
      <c r="Q19319" s="226"/>
      <c r="R19319" s="226"/>
      <c r="S19319" s="226"/>
      <c r="T19319" s="226"/>
      <c r="U19319" s="226"/>
    </row>
    <row r="19320" spans="16:21" x14ac:dyDescent="0.35">
      <c r="P19320" s="226"/>
      <c r="Q19320" s="226"/>
      <c r="R19320" s="226"/>
      <c r="S19320" s="226"/>
      <c r="T19320" s="226"/>
      <c r="U19320" s="226"/>
    </row>
    <row r="19321" spans="16:21" x14ac:dyDescent="0.35">
      <c r="P19321" s="226"/>
      <c r="Q19321" s="226"/>
      <c r="R19321" s="226"/>
      <c r="S19321" s="226"/>
      <c r="T19321" s="226"/>
      <c r="U19321" s="226"/>
    </row>
    <row r="19322" spans="16:21" x14ac:dyDescent="0.35">
      <c r="P19322" s="226"/>
      <c r="Q19322" s="226"/>
      <c r="R19322" s="226"/>
      <c r="S19322" s="226"/>
      <c r="T19322" s="226"/>
      <c r="U19322" s="226"/>
    </row>
    <row r="19323" spans="16:21" x14ac:dyDescent="0.35">
      <c r="P19323" s="226"/>
      <c r="Q19323" s="226"/>
      <c r="R19323" s="226"/>
      <c r="S19323" s="226"/>
      <c r="T19323" s="226"/>
      <c r="U19323" s="226"/>
    </row>
    <row r="19324" spans="16:21" x14ac:dyDescent="0.35">
      <c r="P19324" s="226"/>
      <c r="Q19324" s="226"/>
      <c r="R19324" s="226"/>
      <c r="S19324" s="226"/>
      <c r="T19324" s="226"/>
      <c r="U19324" s="226"/>
    </row>
    <row r="19325" spans="16:21" x14ac:dyDescent="0.35">
      <c r="P19325" s="226"/>
      <c r="Q19325" s="226"/>
      <c r="R19325" s="226"/>
      <c r="S19325" s="226"/>
      <c r="T19325" s="226"/>
      <c r="U19325" s="226"/>
    </row>
    <row r="19326" spans="16:21" x14ac:dyDescent="0.35">
      <c r="P19326" s="226"/>
      <c r="Q19326" s="226"/>
      <c r="R19326" s="226"/>
      <c r="S19326" s="226"/>
      <c r="T19326" s="226"/>
      <c r="U19326" s="226"/>
    </row>
    <row r="19327" spans="16:21" x14ac:dyDescent="0.35">
      <c r="P19327" s="226"/>
      <c r="Q19327" s="226"/>
      <c r="R19327" s="226"/>
      <c r="S19327" s="226"/>
      <c r="T19327" s="226"/>
      <c r="U19327" s="226"/>
    </row>
    <row r="19328" spans="16:21" x14ac:dyDescent="0.35">
      <c r="P19328" s="226"/>
      <c r="Q19328" s="226"/>
      <c r="R19328" s="226"/>
      <c r="S19328" s="226"/>
      <c r="T19328" s="226"/>
      <c r="U19328" s="226"/>
    </row>
    <row r="19329" spans="16:21" x14ac:dyDescent="0.35">
      <c r="P19329" s="226"/>
      <c r="Q19329" s="226"/>
      <c r="R19329" s="226"/>
      <c r="S19329" s="226"/>
      <c r="T19329" s="226"/>
      <c r="U19329" s="226"/>
    </row>
    <row r="19330" spans="16:21" x14ac:dyDescent="0.35">
      <c r="P19330" s="226"/>
      <c r="Q19330" s="226"/>
      <c r="R19330" s="226"/>
      <c r="S19330" s="226"/>
      <c r="T19330" s="226"/>
      <c r="U19330" s="226"/>
    </row>
    <row r="19331" spans="16:21" x14ac:dyDescent="0.35">
      <c r="P19331" s="226"/>
      <c r="Q19331" s="226"/>
      <c r="R19331" s="226"/>
      <c r="S19331" s="226"/>
      <c r="T19331" s="226"/>
      <c r="U19331" s="226"/>
    </row>
    <row r="19332" spans="16:21" x14ac:dyDescent="0.35">
      <c r="P19332" s="226"/>
      <c r="Q19332" s="226"/>
      <c r="R19332" s="226"/>
      <c r="S19332" s="226"/>
      <c r="T19332" s="226"/>
      <c r="U19332" s="226"/>
    </row>
    <row r="19333" spans="16:21" x14ac:dyDescent="0.35">
      <c r="P19333" s="226"/>
      <c r="Q19333" s="226"/>
      <c r="R19333" s="226"/>
      <c r="S19333" s="226"/>
      <c r="T19333" s="226"/>
      <c r="U19333" s="226"/>
    </row>
    <row r="19334" spans="16:21" x14ac:dyDescent="0.35">
      <c r="P19334" s="226"/>
      <c r="Q19334" s="226"/>
      <c r="R19334" s="226"/>
      <c r="S19334" s="226"/>
      <c r="T19334" s="226"/>
      <c r="U19334" s="226"/>
    </row>
    <row r="19335" spans="16:21" x14ac:dyDescent="0.35">
      <c r="P19335" s="226"/>
      <c r="Q19335" s="226"/>
      <c r="R19335" s="226"/>
      <c r="S19335" s="226"/>
      <c r="T19335" s="226"/>
      <c r="U19335" s="226"/>
    </row>
    <row r="19336" spans="16:21" x14ac:dyDescent="0.35">
      <c r="P19336" s="226"/>
      <c r="Q19336" s="226"/>
      <c r="R19336" s="226"/>
      <c r="S19336" s="226"/>
      <c r="T19336" s="226"/>
      <c r="U19336" s="226"/>
    </row>
    <row r="19337" spans="16:21" x14ac:dyDescent="0.35">
      <c r="P19337" s="226"/>
      <c r="Q19337" s="226"/>
      <c r="R19337" s="226"/>
      <c r="S19337" s="226"/>
      <c r="T19337" s="226"/>
      <c r="U19337" s="226"/>
    </row>
    <row r="19338" spans="16:21" x14ac:dyDescent="0.35">
      <c r="P19338" s="226"/>
      <c r="Q19338" s="226"/>
      <c r="R19338" s="226"/>
      <c r="S19338" s="226"/>
      <c r="T19338" s="226"/>
      <c r="U19338" s="226"/>
    </row>
    <row r="19339" spans="16:21" x14ac:dyDescent="0.35">
      <c r="P19339" s="226"/>
      <c r="Q19339" s="226"/>
      <c r="R19339" s="226"/>
      <c r="S19339" s="226"/>
      <c r="T19339" s="226"/>
      <c r="U19339" s="226"/>
    </row>
    <row r="19340" spans="16:21" x14ac:dyDescent="0.35">
      <c r="P19340" s="226"/>
      <c r="Q19340" s="226"/>
      <c r="R19340" s="226"/>
      <c r="S19340" s="226"/>
      <c r="T19340" s="226"/>
      <c r="U19340" s="226"/>
    </row>
    <row r="19341" spans="16:21" x14ac:dyDescent="0.35">
      <c r="P19341" s="226"/>
      <c r="Q19341" s="226"/>
      <c r="R19341" s="226"/>
      <c r="S19341" s="226"/>
      <c r="T19341" s="226"/>
      <c r="U19341" s="226"/>
    </row>
    <row r="19342" spans="16:21" x14ac:dyDescent="0.35">
      <c r="P19342" s="226"/>
      <c r="Q19342" s="226"/>
      <c r="R19342" s="226"/>
      <c r="S19342" s="226"/>
      <c r="T19342" s="226"/>
      <c r="U19342" s="226"/>
    </row>
    <row r="19343" spans="16:21" x14ac:dyDescent="0.35">
      <c r="P19343" s="226"/>
      <c r="Q19343" s="226"/>
      <c r="R19343" s="226"/>
      <c r="S19343" s="226"/>
      <c r="T19343" s="226"/>
      <c r="U19343" s="226"/>
    </row>
    <row r="19344" spans="16:21" x14ac:dyDescent="0.35">
      <c r="P19344" s="226"/>
      <c r="Q19344" s="226"/>
      <c r="R19344" s="226"/>
      <c r="S19344" s="226"/>
      <c r="T19344" s="226"/>
      <c r="U19344" s="226"/>
    </row>
    <row r="19345" spans="16:21" x14ac:dyDescent="0.35">
      <c r="P19345" s="226"/>
      <c r="Q19345" s="226"/>
      <c r="R19345" s="226"/>
      <c r="S19345" s="226"/>
      <c r="T19345" s="226"/>
      <c r="U19345" s="226"/>
    </row>
    <row r="19346" spans="16:21" x14ac:dyDescent="0.35">
      <c r="P19346" s="226"/>
      <c r="Q19346" s="226"/>
      <c r="R19346" s="226"/>
      <c r="S19346" s="226"/>
      <c r="T19346" s="226"/>
      <c r="U19346" s="226"/>
    </row>
    <row r="19347" spans="16:21" x14ac:dyDescent="0.35">
      <c r="P19347" s="226"/>
      <c r="Q19347" s="226"/>
      <c r="R19347" s="226"/>
      <c r="S19347" s="226"/>
      <c r="T19347" s="226"/>
      <c r="U19347" s="226"/>
    </row>
    <row r="19348" spans="16:21" x14ac:dyDescent="0.35">
      <c r="P19348" s="226"/>
      <c r="Q19348" s="226"/>
      <c r="R19348" s="226"/>
      <c r="S19348" s="226"/>
      <c r="T19348" s="226"/>
      <c r="U19348" s="226"/>
    </row>
    <row r="19349" spans="16:21" x14ac:dyDescent="0.35">
      <c r="P19349" s="226"/>
      <c r="Q19349" s="226"/>
      <c r="R19349" s="226"/>
      <c r="S19349" s="226"/>
      <c r="T19349" s="226"/>
      <c r="U19349" s="226"/>
    </row>
    <row r="19350" spans="16:21" x14ac:dyDescent="0.35">
      <c r="P19350" s="226"/>
      <c r="Q19350" s="226"/>
      <c r="R19350" s="226"/>
      <c r="S19350" s="226"/>
      <c r="T19350" s="226"/>
      <c r="U19350" s="226"/>
    </row>
    <row r="19351" spans="16:21" x14ac:dyDescent="0.35">
      <c r="P19351" s="226"/>
      <c r="Q19351" s="226"/>
      <c r="R19351" s="226"/>
      <c r="S19351" s="226"/>
      <c r="T19351" s="226"/>
      <c r="U19351" s="226"/>
    </row>
    <row r="19352" spans="16:21" x14ac:dyDescent="0.35">
      <c r="P19352" s="226"/>
      <c r="Q19352" s="226"/>
      <c r="R19352" s="226"/>
      <c r="S19352" s="226"/>
      <c r="T19352" s="226"/>
      <c r="U19352" s="226"/>
    </row>
    <row r="19353" spans="16:21" x14ac:dyDescent="0.35">
      <c r="P19353" s="226"/>
      <c r="Q19353" s="226"/>
      <c r="R19353" s="226"/>
      <c r="S19353" s="226"/>
      <c r="T19353" s="226"/>
      <c r="U19353" s="226"/>
    </row>
    <row r="19354" spans="16:21" x14ac:dyDescent="0.35">
      <c r="P19354" s="226"/>
      <c r="Q19354" s="226"/>
      <c r="R19354" s="226"/>
      <c r="S19354" s="226"/>
      <c r="T19354" s="226"/>
      <c r="U19354" s="226"/>
    </row>
    <row r="19355" spans="16:21" x14ac:dyDescent="0.35">
      <c r="P19355" s="226"/>
      <c r="Q19355" s="226"/>
      <c r="R19355" s="226"/>
      <c r="S19355" s="226"/>
      <c r="T19355" s="226"/>
      <c r="U19355" s="226"/>
    </row>
    <row r="19356" spans="16:21" x14ac:dyDescent="0.35">
      <c r="P19356" s="226"/>
      <c r="Q19356" s="226"/>
      <c r="R19356" s="226"/>
      <c r="S19356" s="226"/>
      <c r="T19356" s="226"/>
      <c r="U19356" s="226"/>
    </row>
    <row r="19357" spans="16:21" x14ac:dyDescent="0.35">
      <c r="P19357" s="226"/>
      <c r="Q19357" s="226"/>
      <c r="R19357" s="226"/>
      <c r="S19357" s="226"/>
      <c r="T19357" s="226"/>
      <c r="U19357" s="226"/>
    </row>
    <row r="19358" spans="16:21" x14ac:dyDescent="0.35">
      <c r="P19358" s="226"/>
      <c r="Q19358" s="226"/>
      <c r="R19358" s="226"/>
      <c r="S19358" s="226"/>
      <c r="T19358" s="226"/>
      <c r="U19358" s="226"/>
    </row>
    <row r="19359" spans="16:21" x14ac:dyDescent="0.35">
      <c r="P19359" s="226"/>
      <c r="Q19359" s="226"/>
      <c r="R19359" s="226"/>
      <c r="S19359" s="226"/>
      <c r="T19359" s="226"/>
      <c r="U19359" s="226"/>
    </row>
    <row r="19360" spans="16:21" x14ac:dyDescent="0.35">
      <c r="P19360" s="226"/>
      <c r="Q19360" s="226"/>
      <c r="R19360" s="226"/>
      <c r="S19360" s="226"/>
      <c r="T19360" s="226"/>
      <c r="U19360" s="226"/>
    </row>
    <row r="19361" spans="16:21" x14ac:dyDescent="0.35">
      <c r="P19361" s="226"/>
      <c r="Q19361" s="226"/>
      <c r="R19361" s="226"/>
      <c r="S19361" s="226"/>
      <c r="T19361" s="226"/>
      <c r="U19361" s="226"/>
    </row>
    <row r="19362" spans="16:21" x14ac:dyDescent="0.35">
      <c r="P19362" s="226"/>
      <c r="Q19362" s="226"/>
      <c r="R19362" s="226"/>
      <c r="S19362" s="226"/>
      <c r="T19362" s="226"/>
      <c r="U19362" s="226"/>
    </row>
    <row r="19363" spans="16:21" x14ac:dyDescent="0.35">
      <c r="P19363" s="226"/>
      <c r="Q19363" s="226"/>
      <c r="R19363" s="226"/>
      <c r="S19363" s="226"/>
      <c r="T19363" s="226"/>
      <c r="U19363" s="226"/>
    </row>
    <row r="19364" spans="16:21" x14ac:dyDescent="0.35">
      <c r="P19364" s="226"/>
      <c r="Q19364" s="226"/>
      <c r="R19364" s="226"/>
      <c r="S19364" s="226"/>
      <c r="T19364" s="226"/>
      <c r="U19364" s="226"/>
    </row>
    <row r="19365" spans="16:21" x14ac:dyDescent="0.35">
      <c r="P19365" s="226"/>
      <c r="Q19365" s="226"/>
      <c r="R19365" s="226"/>
      <c r="S19365" s="226"/>
      <c r="T19365" s="226"/>
      <c r="U19365" s="226"/>
    </row>
    <row r="19366" spans="16:21" x14ac:dyDescent="0.35">
      <c r="P19366" s="226"/>
      <c r="Q19366" s="226"/>
      <c r="R19366" s="226"/>
      <c r="S19366" s="226"/>
      <c r="T19366" s="226"/>
      <c r="U19366" s="226"/>
    </row>
    <row r="19367" spans="16:21" x14ac:dyDescent="0.35">
      <c r="P19367" s="226"/>
      <c r="Q19367" s="226"/>
      <c r="R19367" s="226"/>
      <c r="S19367" s="226"/>
      <c r="T19367" s="226"/>
      <c r="U19367" s="226"/>
    </row>
    <row r="19368" spans="16:21" x14ac:dyDescent="0.35">
      <c r="P19368" s="226"/>
      <c r="Q19368" s="226"/>
      <c r="R19368" s="226"/>
      <c r="S19368" s="226"/>
      <c r="T19368" s="226"/>
      <c r="U19368" s="226"/>
    </row>
    <row r="19369" spans="16:21" x14ac:dyDescent="0.35">
      <c r="P19369" s="226"/>
      <c r="Q19369" s="226"/>
      <c r="R19369" s="226"/>
      <c r="S19369" s="226"/>
      <c r="T19369" s="226"/>
      <c r="U19369" s="226"/>
    </row>
    <row r="19370" spans="16:21" x14ac:dyDescent="0.35">
      <c r="P19370" s="226"/>
      <c r="Q19370" s="226"/>
      <c r="R19370" s="226"/>
      <c r="S19370" s="226"/>
      <c r="T19370" s="226"/>
      <c r="U19370" s="226"/>
    </row>
    <row r="19371" spans="16:21" x14ac:dyDescent="0.35">
      <c r="P19371" s="226"/>
      <c r="Q19371" s="226"/>
      <c r="R19371" s="226"/>
      <c r="S19371" s="226"/>
      <c r="T19371" s="226"/>
      <c r="U19371" s="226"/>
    </row>
    <row r="19372" spans="16:21" x14ac:dyDescent="0.35">
      <c r="P19372" s="226"/>
      <c r="Q19372" s="226"/>
      <c r="R19372" s="226"/>
      <c r="S19372" s="226"/>
      <c r="T19372" s="226"/>
      <c r="U19372" s="226"/>
    </row>
    <row r="19373" spans="16:21" x14ac:dyDescent="0.35">
      <c r="P19373" s="226"/>
      <c r="Q19373" s="226"/>
      <c r="R19373" s="226"/>
      <c r="S19373" s="226"/>
      <c r="T19373" s="226"/>
      <c r="U19373" s="226"/>
    </row>
    <row r="19374" spans="16:21" x14ac:dyDescent="0.35">
      <c r="P19374" s="226"/>
      <c r="Q19374" s="226"/>
      <c r="R19374" s="226"/>
      <c r="S19374" s="226"/>
      <c r="T19374" s="226"/>
      <c r="U19374" s="226"/>
    </row>
    <row r="19375" spans="16:21" x14ac:dyDescent="0.35">
      <c r="P19375" s="226"/>
      <c r="Q19375" s="226"/>
      <c r="R19375" s="226"/>
      <c r="S19375" s="226"/>
      <c r="T19375" s="226"/>
      <c r="U19375" s="226"/>
    </row>
    <row r="19376" spans="16:21" x14ac:dyDescent="0.35">
      <c r="P19376" s="226"/>
      <c r="Q19376" s="226"/>
      <c r="R19376" s="226"/>
      <c r="S19376" s="226"/>
      <c r="T19376" s="226"/>
      <c r="U19376" s="226"/>
    </row>
    <row r="19377" spans="16:21" x14ac:dyDescent="0.35">
      <c r="P19377" s="226"/>
      <c r="Q19377" s="226"/>
      <c r="R19377" s="226"/>
      <c r="S19377" s="226"/>
      <c r="T19377" s="226"/>
      <c r="U19377" s="226"/>
    </row>
    <row r="19378" spans="16:21" x14ac:dyDescent="0.35">
      <c r="P19378" s="226"/>
      <c r="Q19378" s="226"/>
      <c r="R19378" s="226"/>
      <c r="S19378" s="226"/>
      <c r="T19378" s="226"/>
      <c r="U19378" s="226"/>
    </row>
    <row r="19379" spans="16:21" x14ac:dyDescent="0.35">
      <c r="P19379" s="226"/>
      <c r="Q19379" s="226"/>
      <c r="R19379" s="226"/>
      <c r="S19379" s="226"/>
      <c r="T19379" s="226"/>
      <c r="U19379" s="226"/>
    </row>
    <row r="19380" spans="16:21" x14ac:dyDescent="0.35">
      <c r="P19380" s="226"/>
      <c r="Q19380" s="226"/>
      <c r="R19380" s="226"/>
      <c r="S19380" s="226"/>
      <c r="T19380" s="226"/>
      <c r="U19380" s="226"/>
    </row>
    <row r="19381" spans="16:21" x14ac:dyDescent="0.35">
      <c r="P19381" s="226"/>
      <c r="Q19381" s="226"/>
      <c r="R19381" s="226"/>
      <c r="S19381" s="226"/>
      <c r="T19381" s="226"/>
      <c r="U19381" s="226"/>
    </row>
    <row r="19382" spans="16:21" x14ac:dyDescent="0.35">
      <c r="P19382" s="226"/>
      <c r="Q19382" s="226"/>
      <c r="R19382" s="226"/>
      <c r="S19382" s="226"/>
      <c r="T19382" s="226"/>
      <c r="U19382" s="226"/>
    </row>
    <row r="19383" spans="16:21" x14ac:dyDescent="0.35">
      <c r="P19383" s="226"/>
      <c r="Q19383" s="226"/>
      <c r="R19383" s="226"/>
      <c r="S19383" s="226"/>
      <c r="T19383" s="226"/>
      <c r="U19383" s="226"/>
    </row>
    <row r="19384" spans="16:21" x14ac:dyDescent="0.35">
      <c r="P19384" s="226"/>
      <c r="Q19384" s="226"/>
      <c r="R19384" s="226"/>
      <c r="S19384" s="226"/>
      <c r="T19384" s="226"/>
      <c r="U19384" s="226"/>
    </row>
    <row r="19385" spans="16:21" x14ac:dyDescent="0.35">
      <c r="P19385" s="226"/>
      <c r="Q19385" s="226"/>
      <c r="R19385" s="226"/>
      <c r="S19385" s="226"/>
      <c r="T19385" s="226"/>
      <c r="U19385" s="226"/>
    </row>
    <row r="19386" spans="16:21" x14ac:dyDescent="0.35">
      <c r="P19386" s="226"/>
      <c r="Q19386" s="226"/>
      <c r="R19386" s="226"/>
      <c r="S19386" s="226"/>
      <c r="T19386" s="226"/>
      <c r="U19386" s="226"/>
    </row>
    <row r="19387" spans="16:21" x14ac:dyDescent="0.35">
      <c r="P19387" s="226"/>
      <c r="Q19387" s="226"/>
      <c r="R19387" s="226"/>
      <c r="S19387" s="226"/>
      <c r="T19387" s="226"/>
      <c r="U19387" s="226"/>
    </row>
    <row r="19388" spans="16:21" x14ac:dyDescent="0.35">
      <c r="P19388" s="226"/>
      <c r="Q19388" s="226"/>
      <c r="R19388" s="226"/>
      <c r="S19388" s="226"/>
      <c r="T19388" s="226"/>
      <c r="U19388" s="226"/>
    </row>
    <row r="19389" spans="16:21" x14ac:dyDescent="0.35">
      <c r="P19389" s="226"/>
      <c r="Q19389" s="226"/>
      <c r="R19389" s="226"/>
      <c r="S19389" s="226"/>
      <c r="T19389" s="226"/>
      <c r="U19389" s="226"/>
    </row>
    <row r="19390" spans="16:21" x14ac:dyDescent="0.35">
      <c r="P19390" s="226"/>
      <c r="Q19390" s="226"/>
      <c r="R19390" s="226"/>
      <c r="S19390" s="226"/>
      <c r="T19390" s="226"/>
      <c r="U19390" s="226"/>
    </row>
    <row r="19391" spans="16:21" x14ac:dyDescent="0.35">
      <c r="P19391" s="226"/>
      <c r="Q19391" s="226"/>
      <c r="R19391" s="226"/>
      <c r="S19391" s="226"/>
      <c r="T19391" s="226"/>
      <c r="U19391" s="226"/>
    </row>
    <row r="19392" spans="16:21" x14ac:dyDescent="0.35">
      <c r="P19392" s="226"/>
      <c r="Q19392" s="226"/>
      <c r="R19392" s="226"/>
      <c r="S19392" s="226"/>
      <c r="T19392" s="226"/>
      <c r="U19392" s="226"/>
    </row>
    <row r="19393" spans="16:21" x14ac:dyDescent="0.35">
      <c r="P19393" s="226"/>
      <c r="Q19393" s="226"/>
      <c r="R19393" s="226"/>
      <c r="S19393" s="226"/>
      <c r="T19393" s="226"/>
      <c r="U19393" s="226"/>
    </row>
    <row r="19394" spans="16:21" x14ac:dyDescent="0.35">
      <c r="P19394" s="226"/>
      <c r="Q19394" s="226"/>
      <c r="R19394" s="226"/>
      <c r="S19394" s="226"/>
      <c r="T19394" s="226"/>
      <c r="U19394" s="226"/>
    </row>
    <row r="19395" spans="16:21" x14ac:dyDescent="0.35">
      <c r="P19395" s="226"/>
      <c r="Q19395" s="226"/>
      <c r="R19395" s="226"/>
      <c r="S19395" s="226"/>
      <c r="T19395" s="226"/>
      <c r="U19395" s="226"/>
    </row>
    <row r="19396" spans="16:21" x14ac:dyDescent="0.35">
      <c r="P19396" s="226"/>
      <c r="Q19396" s="226"/>
      <c r="R19396" s="226"/>
      <c r="S19396" s="226"/>
      <c r="T19396" s="226"/>
      <c r="U19396" s="226"/>
    </row>
    <row r="19397" spans="16:21" x14ac:dyDescent="0.35">
      <c r="P19397" s="226"/>
      <c r="Q19397" s="226"/>
      <c r="R19397" s="226"/>
      <c r="S19397" s="226"/>
      <c r="T19397" s="226"/>
      <c r="U19397" s="226"/>
    </row>
    <row r="19398" spans="16:21" x14ac:dyDescent="0.35">
      <c r="P19398" s="226"/>
      <c r="Q19398" s="226"/>
      <c r="R19398" s="226"/>
      <c r="S19398" s="226"/>
      <c r="T19398" s="226"/>
      <c r="U19398" s="226"/>
    </row>
    <row r="19399" spans="16:21" x14ac:dyDescent="0.35">
      <c r="P19399" s="226"/>
      <c r="Q19399" s="226"/>
      <c r="R19399" s="226"/>
      <c r="S19399" s="226"/>
      <c r="T19399" s="226"/>
      <c r="U19399" s="226"/>
    </row>
    <row r="19400" spans="16:21" x14ac:dyDescent="0.35">
      <c r="P19400" s="226"/>
      <c r="Q19400" s="226"/>
      <c r="R19400" s="226"/>
      <c r="S19400" s="226"/>
      <c r="T19400" s="226"/>
      <c r="U19400" s="226"/>
    </row>
    <row r="19401" spans="16:21" x14ac:dyDescent="0.35">
      <c r="P19401" s="226"/>
      <c r="Q19401" s="226"/>
      <c r="R19401" s="226"/>
      <c r="S19401" s="226"/>
      <c r="T19401" s="226"/>
      <c r="U19401" s="226"/>
    </row>
    <row r="19402" spans="16:21" x14ac:dyDescent="0.35">
      <c r="P19402" s="226"/>
      <c r="Q19402" s="226"/>
      <c r="R19402" s="226"/>
      <c r="S19402" s="226"/>
      <c r="T19402" s="226"/>
      <c r="U19402" s="226"/>
    </row>
    <row r="19403" spans="16:21" x14ac:dyDescent="0.35">
      <c r="P19403" s="226"/>
      <c r="Q19403" s="226"/>
      <c r="R19403" s="226"/>
      <c r="S19403" s="226"/>
      <c r="T19403" s="226"/>
      <c r="U19403" s="226"/>
    </row>
    <row r="19404" spans="16:21" x14ac:dyDescent="0.35">
      <c r="P19404" s="226"/>
      <c r="Q19404" s="226"/>
      <c r="R19404" s="226"/>
      <c r="S19404" s="226"/>
      <c r="T19404" s="226"/>
      <c r="U19404" s="226"/>
    </row>
    <row r="19405" spans="16:21" x14ac:dyDescent="0.35">
      <c r="P19405" s="226"/>
      <c r="Q19405" s="226"/>
      <c r="R19405" s="226"/>
      <c r="S19405" s="226"/>
      <c r="T19405" s="226"/>
      <c r="U19405" s="226"/>
    </row>
    <row r="19406" spans="16:21" x14ac:dyDescent="0.35">
      <c r="P19406" s="226"/>
      <c r="Q19406" s="226"/>
      <c r="R19406" s="226"/>
      <c r="S19406" s="226"/>
      <c r="T19406" s="226"/>
      <c r="U19406" s="226"/>
    </row>
    <row r="19407" spans="16:21" x14ac:dyDescent="0.35">
      <c r="P19407" s="226"/>
      <c r="Q19407" s="226"/>
      <c r="R19407" s="226"/>
      <c r="S19407" s="226"/>
      <c r="T19407" s="226"/>
      <c r="U19407" s="226"/>
    </row>
    <row r="19408" spans="16:21" x14ac:dyDescent="0.35">
      <c r="P19408" s="226"/>
      <c r="Q19408" s="226"/>
      <c r="R19408" s="226"/>
      <c r="S19408" s="226"/>
      <c r="T19408" s="226"/>
      <c r="U19408" s="226"/>
    </row>
    <row r="19409" spans="16:21" x14ac:dyDescent="0.35">
      <c r="P19409" s="226"/>
      <c r="Q19409" s="226"/>
      <c r="R19409" s="226"/>
      <c r="S19409" s="226"/>
      <c r="T19409" s="226"/>
      <c r="U19409" s="226"/>
    </row>
    <row r="19410" spans="16:21" x14ac:dyDescent="0.35">
      <c r="P19410" s="226"/>
      <c r="Q19410" s="226"/>
      <c r="R19410" s="226"/>
      <c r="S19410" s="226"/>
      <c r="T19410" s="226"/>
      <c r="U19410" s="226"/>
    </row>
    <row r="19411" spans="16:21" x14ac:dyDescent="0.35">
      <c r="P19411" s="226"/>
      <c r="Q19411" s="226"/>
      <c r="R19411" s="226"/>
      <c r="S19411" s="226"/>
      <c r="T19411" s="226"/>
      <c r="U19411" s="226"/>
    </row>
    <row r="19412" spans="16:21" x14ac:dyDescent="0.35">
      <c r="P19412" s="226"/>
      <c r="Q19412" s="226"/>
      <c r="R19412" s="226"/>
      <c r="S19412" s="226"/>
      <c r="T19412" s="226"/>
      <c r="U19412" s="226"/>
    </row>
    <row r="19413" spans="16:21" x14ac:dyDescent="0.35">
      <c r="P19413" s="226"/>
      <c r="Q19413" s="226"/>
      <c r="R19413" s="226"/>
      <c r="S19413" s="226"/>
      <c r="T19413" s="226"/>
      <c r="U19413" s="226"/>
    </row>
    <row r="19414" spans="16:21" x14ac:dyDescent="0.35">
      <c r="P19414" s="226"/>
      <c r="Q19414" s="226"/>
      <c r="R19414" s="226"/>
      <c r="S19414" s="226"/>
      <c r="T19414" s="226"/>
      <c r="U19414" s="226"/>
    </row>
    <row r="19415" spans="16:21" x14ac:dyDescent="0.35">
      <c r="P19415" s="226"/>
      <c r="Q19415" s="226"/>
      <c r="R19415" s="226"/>
      <c r="S19415" s="226"/>
      <c r="T19415" s="226"/>
      <c r="U19415" s="226"/>
    </row>
    <row r="19416" spans="16:21" x14ac:dyDescent="0.35">
      <c r="P19416" s="226"/>
      <c r="Q19416" s="226"/>
      <c r="R19416" s="226"/>
      <c r="S19416" s="226"/>
      <c r="T19416" s="226"/>
      <c r="U19416" s="226"/>
    </row>
    <row r="19417" spans="16:21" x14ac:dyDescent="0.35">
      <c r="P19417" s="226"/>
      <c r="Q19417" s="226"/>
      <c r="R19417" s="226"/>
      <c r="S19417" s="226"/>
      <c r="T19417" s="226"/>
      <c r="U19417" s="226"/>
    </row>
    <row r="19418" spans="16:21" x14ac:dyDescent="0.35">
      <c r="P19418" s="226"/>
      <c r="Q19418" s="226"/>
      <c r="R19418" s="226"/>
      <c r="S19418" s="226"/>
      <c r="T19418" s="226"/>
      <c r="U19418" s="226"/>
    </row>
    <row r="19419" spans="16:21" x14ac:dyDescent="0.35">
      <c r="P19419" s="226"/>
      <c r="Q19419" s="226"/>
      <c r="R19419" s="226"/>
      <c r="S19419" s="226"/>
      <c r="T19419" s="226"/>
      <c r="U19419" s="226"/>
    </row>
    <row r="19420" spans="16:21" x14ac:dyDescent="0.35">
      <c r="P19420" s="226"/>
      <c r="Q19420" s="226"/>
      <c r="R19420" s="226"/>
      <c r="S19420" s="226"/>
      <c r="T19420" s="226"/>
      <c r="U19420" s="226"/>
    </row>
    <row r="19421" spans="16:21" x14ac:dyDescent="0.35">
      <c r="P19421" s="226"/>
      <c r="Q19421" s="226"/>
      <c r="R19421" s="226"/>
      <c r="S19421" s="226"/>
      <c r="T19421" s="226"/>
      <c r="U19421" s="226"/>
    </row>
    <row r="19422" spans="16:21" x14ac:dyDescent="0.35">
      <c r="P19422" s="226"/>
      <c r="Q19422" s="226"/>
      <c r="R19422" s="226"/>
      <c r="S19422" s="226"/>
      <c r="T19422" s="226"/>
      <c r="U19422" s="226"/>
    </row>
    <row r="19423" spans="16:21" x14ac:dyDescent="0.35">
      <c r="P19423" s="226"/>
      <c r="Q19423" s="226"/>
      <c r="R19423" s="226"/>
      <c r="S19423" s="226"/>
      <c r="T19423" s="226"/>
      <c r="U19423" s="226"/>
    </row>
    <row r="19424" spans="16:21" x14ac:dyDescent="0.35">
      <c r="P19424" s="226"/>
      <c r="Q19424" s="226"/>
      <c r="R19424" s="226"/>
      <c r="S19424" s="226"/>
      <c r="T19424" s="226"/>
      <c r="U19424" s="226"/>
    </row>
    <row r="19425" spans="16:21" x14ac:dyDescent="0.35">
      <c r="P19425" s="226"/>
      <c r="Q19425" s="226"/>
      <c r="R19425" s="226"/>
      <c r="S19425" s="226"/>
      <c r="T19425" s="226"/>
      <c r="U19425" s="226"/>
    </row>
    <row r="19426" spans="16:21" x14ac:dyDescent="0.35">
      <c r="P19426" s="226"/>
      <c r="Q19426" s="226"/>
      <c r="R19426" s="226"/>
      <c r="S19426" s="226"/>
      <c r="T19426" s="226"/>
      <c r="U19426" s="226"/>
    </row>
    <row r="19427" spans="16:21" x14ac:dyDescent="0.35">
      <c r="P19427" s="226"/>
      <c r="Q19427" s="226"/>
      <c r="R19427" s="226"/>
      <c r="S19427" s="226"/>
      <c r="T19427" s="226"/>
      <c r="U19427" s="226"/>
    </row>
    <row r="19428" spans="16:21" x14ac:dyDescent="0.35">
      <c r="P19428" s="226"/>
      <c r="Q19428" s="226"/>
      <c r="R19428" s="226"/>
      <c r="S19428" s="226"/>
      <c r="T19428" s="226"/>
      <c r="U19428" s="226"/>
    </row>
    <row r="19429" spans="16:21" x14ac:dyDescent="0.35">
      <c r="P19429" s="226"/>
      <c r="Q19429" s="226"/>
      <c r="R19429" s="226"/>
      <c r="S19429" s="226"/>
      <c r="T19429" s="226"/>
      <c r="U19429" s="226"/>
    </row>
    <row r="19430" spans="16:21" x14ac:dyDescent="0.35">
      <c r="P19430" s="226"/>
      <c r="Q19430" s="226"/>
      <c r="R19430" s="226"/>
      <c r="S19430" s="226"/>
      <c r="T19430" s="226"/>
      <c r="U19430" s="226"/>
    </row>
    <row r="19431" spans="16:21" x14ac:dyDescent="0.35">
      <c r="P19431" s="226"/>
      <c r="Q19431" s="226"/>
      <c r="R19431" s="226"/>
      <c r="S19431" s="226"/>
      <c r="T19431" s="226"/>
      <c r="U19431" s="226"/>
    </row>
    <row r="19432" spans="16:21" x14ac:dyDescent="0.35">
      <c r="P19432" s="226"/>
      <c r="Q19432" s="226"/>
      <c r="R19432" s="226"/>
      <c r="S19432" s="226"/>
      <c r="T19432" s="226"/>
      <c r="U19432" s="226"/>
    </row>
    <row r="19433" spans="16:21" x14ac:dyDescent="0.35">
      <c r="P19433" s="226"/>
      <c r="Q19433" s="226"/>
      <c r="R19433" s="226"/>
      <c r="S19433" s="226"/>
      <c r="T19433" s="226"/>
      <c r="U19433" s="226"/>
    </row>
    <row r="19434" spans="16:21" x14ac:dyDescent="0.35">
      <c r="P19434" s="226"/>
      <c r="Q19434" s="226"/>
      <c r="R19434" s="226"/>
      <c r="S19434" s="226"/>
      <c r="T19434" s="226"/>
      <c r="U19434" s="226"/>
    </row>
    <row r="19435" spans="16:21" x14ac:dyDescent="0.35">
      <c r="P19435" s="226"/>
      <c r="Q19435" s="226"/>
      <c r="R19435" s="226"/>
      <c r="S19435" s="226"/>
      <c r="T19435" s="226"/>
      <c r="U19435" s="226"/>
    </row>
    <row r="19436" spans="16:21" x14ac:dyDescent="0.35">
      <c r="P19436" s="226"/>
      <c r="Q19436" s="226"/>
      <c r="R19436" s="226"/>
      <c r="S19436" s="226"/>
      <c r="T19436" s="226"/>
      <c r="U19436" s="226"/>
    </row>
    <row r="19437" spans="16:21" x14ac:dyDescent="0.35">
      <c r="P19437" s="226"/>
      <c r="Q19437" s="226"/>
      <c r="R19437" s="226"/>
      <c r="S19437" s="226"/>
      <c r="T19437" s="226"/>
      <c r="U19437" s="226"/>
    </row>
    <row r="19438" spans="16:21" x14ac:dyDescent="0.35">
      <c r="P19438" s="226"/>
      <c r="Q19438" s="226"/>
      <c r="R19438" s="226"/>
      <c r="S19438" s="226"/>
      <c r="T19438" s="226"/>
      <c r="U19438" s="226"/>
    </row>
    <row r="19439" spans="16:21" x14ac:dyDescent="0.35">
      <c r="P19439" s="226"/>
      <c r="Q19439" s="226"/>
      <c r="R19439" s="226"/>
      <c r="S19439" s="226"/>
      <c r="T19439" s="226"/>
      <c r="U19439" s="226"/>
    </row>
    <row r="19440" spans="16:21" x14ac:dyDescent="0.35">
      <c r="P19440" s="226"/>
      <c r="Q19440" s="226"/>
      <c r="R19440" s="226"/>
      <c r="S19440" s="226"/>
      <c r="T19440" s="226"/>
      <c r="U19440" s="226"/>
    </row>
    <row r="19441" spans="16:21" x14ac:dyDescent="0.35">
      <c r="P19441" s="226"/>
      <c r="Q19441" s="226"/>
      <c r="R19441" s="226"/>
      <c r="S19441" s="226"/>
      <c r="T19441" s="226"/>
      <c r="U19441" s="226"/>
    </row>
    <row r="19442" spans="16:21" x14ac:dyDescent="0.35">
      <c r="P19442" s="226"/>
      <c r="Q19442" s="226"/>
      <c r="R19442" s="226"/>
      <c r="S19442" s="226"/>
      <c r="T19442" s="226"/>
      <c r="U19442" s="226"/>
    </row>
    <row r="19443" spans="16:21" x14ac:dyDescent="0.35">
      <c r="P19443" s="226"/>
      <c r="Q19443" s="226"/>
      <c r="R19443" s="226"/>
      <c r="S19443" s="226"/>
      <c r="T19443" s="226"/>
      <c r="U19443" s="226"/>
    </row>
    <row r="19444" spans="16:21" x14ac:dyDescent="0.35">
      <c r="P19444" s="226"/>
      <c r="Q19444" s="226"/>
      <c r="R19444" s="226"/>
      <c r="S19444" s="226"/>
      <c r="T19444" s="226"/>
      <c r="U19444" s="226"/>
    </row>
    <row r="19445" spans="16:21" x14ac:dyDescent="0.35">
      <c r="P19445" s="226"/>
      <c r="Q19445" s="226"/>
      <c r="R19445" s="226"/>
      <c r="S19445" s="226"/>
      <c r="T19445" s="226"/>
      <c r="U19445" s="226"/>
    </row>
    <row r="19446" spans="16:21" x14ac:dyDescent="0.35">
      <c r="P19446" s="226"/>
      <c r="Q19446" s="226"/>
      <c r="R19446" s="226"/>
      <c r="S19446" s="226"/>
      <c r="T19446" s="226"/>
      <c r="U19446" s="226"/>
    </row>
    <row r="19447" spans="16:21" x14ac:dyDescent="0.35">
      <c r="P19447" s="226"/>
      <c r="Q19447" s="226"/>
      <c r="R19447" s="226"/>
      <c r="S19447" s="226"/>
      <c r="T19447" s="226"/>
      <c r="U19447" s="226"/>
    </row>
    <row r="19448" spans="16:21" x14ac:dyDescent="0.35">
      <c r="P19448" s="226"/>
      <c r="Q19448" s="226"/>
      <c r="R19448" s="226"/>
      <c r="S19448" s="226"/>
      <c r="T19448" s="226"/>
      <c r="U19448" s="226"/>
    </row>
    <row r="19449" spans="16:21" x14ac:dyDescent="0.35">
      <c r="P19449" s="226"/>
      <c r="Q19449" s="226"/>
      <c r="R19449" s="226"/>
      <c r="S19449" s="226"/>
      <c r="T19449" s="226"/>
      <c r="U19449" s="226"/>
    </row>
    <row r="19450" spans="16:21" x14ac:dyDescent="0.35">
      <c r="P19450" s="226"/>
      <c r="Q19450" s="226"/>
      <c r="R19450" s="226"/>
      <c r="S19450" s="226"/>
      <c r="T19450" s="226"/>
      <c r="U19450" s="226"/>
    </row>
    <row r="19451" spans="16:21" x14ac:dyDescent="0.35">
      <c r="P19451" s="226"/>
      <c r="Q19451" s="226"/>
      <c r="R19451" s="226"/>
      <c r="S19451" s="226"/>
      <c r="T19451" s="226"/>
      <c r="U19451" s="226"/>
    </row>
    <row r="19452" spans="16:21" x14ac:dyDescent="0.35">
      <c r="P19452" s="226"/>
      <c r="Q19452" s="226"/>
      <c r="R19452" s="226"/>
      <c r="S19452" s="226"/>
      <c r="T19452" s="226"/>
      <c r="U19452" s="226"/>
    </row>
    <row r="19453" spans="16:21" x14ac:dyDescent="0.35">
      <c r="P19453" s="226"/>
      <c r="Q19453" s="226"/>
      <c r="R19453" s="226"/>
      <c r="S19453" s="226"/>
      <c r="T19453" s="226"/>
      <c r="U19453" s="226"/>
    </row>
    <row r="19454" spans="16:21" x14ac:dyDescent="0.35">
      <c r="P19454" s="226"/>
      <c r="Q19454" s="226"/>
      <c r="R19454" s="226"/>
      <c r="S19454" s="226"/>
      <c r="T19454" s="226"/>
      <c r="U19454" s="226"/>
    </row>
    <row r="19455" spans="16:21" x14ac:dyDescent="0.35">
      <c r="P19455" s="226"/>
      <c r="Q19455" s="226"/>
      <c r="R19455" s="226"/>
      <c r="S19455" s="226"/>
      <c r="T19455" s="226"/>
      <c r="U19455" s="226"/>
    </row>
    <row r="19456" spans="16:21" x14ac:dyDescent="0.35">
      <c r="P19456" s="226"/>
      <c r="Q19456" s="226"/>
      <c r="R19456" s="226"/>
      <c r="S19456" s="226"/>
      <c r="T19456" s="226"/>
      <c r="U19456" s="226"/>
    </row>
    <row r="19457" spans="16:21" x14ac:dyDescent="0.35">
      <c r="P19457" s="226"/>
      <c r="Q19457" s="226"/>
      <c r="R19457" s="226"/>
      <c r="S19457" s="226"/>
      <c r="T19457" s="226"/>
      <c r="U19457" s="226"/>
    </row>
    <row r="19458" spans="16:21" x14ac:dyDescent="0.35">
      <c r="P19458" s="226"/>
      <c r="Q19458" s="226"/>
      <c r="R19458" s="226"/>
      <c r="S19458" s="226"/>
      <c r="T19458" s="226"/>
      <c r="U19458" s="226"/>
    </row>
    <row r="19459" spans="16:21" x14ac:dyDescent="0.35">
      <c r="P19459" s="226"/>
      <c r="Q19459" s="226"/>
      <c r="R19459" s="226"/>
      <c r="S19459" s="226"/>
      <c r="T19459" s="226"/>
      <c r="U19459" s="226"/>
    </row>
    <row r="19460" spans="16:21" x14ac:dyDescent="0.35">
      <c r="P19460" s="226"/>
      <c r="Q19460" s="226"/>
      <c r="R19460" s="226"/>
      <c r="S19460" s="226"/>
      <c r="T19460" s="226"/>
      <c r="U19460" s="226"/>
    </row>
    <row r="19461" spans="16:21" x14ac:dyDescent="0.35">
      <c r="P19461" s="226"/>
      <c r="Q19461" s="226"/>
      <c r="R19461" s="226"/>
      <c r="S19461" s="226"/>
      <c r="T19461" s="226"/>
      <c r="U19461" s="226"/>
    </row>
    <row r="19462" spans="16:21" x14ac:dyDescent="0.35">
      <c r="P19462" s="226"/>
      <c r="Q19462" s="226"/>
      <c r="R19462" s="226"/>
      <c r="S19462" s="226"/>
      <c r="T19462" s="226"/>
      <c r="U19462" s="226"/>
    </row>
    <row r="19463" spans="16:21" x14ac:dyDescent="0.35">
      <c r="P19463" s="226"/>
      <c r="Q19463" s="226"/>
      <c r="R19463" s="226"/>
      <c r="S19463" s="226"/>
      <c r="T19463" s="226"/>
      <c r="U19463" s="226"/>
    </row>
    <row r="19464" spans="16:21" x14ac:dyDescent="0.35">
      <c r="P19464" s="226"/>
      <c r="Q19464" s="226"/>
      <c r="R19464" s="226"/>
      <c r="S19464" s="226"/>
      <c r="T19464" s="226"/>
      <c r="U19464" s="226"/>
    </row>
    <row r="19465" spans="16:21" x14ac:dyDescent="0.35">
      <c r="P19465" s="226"/>
      <c r="Q19465" s="226"/>
      <c r="R19465" s="226"/>
      <c r="S19465" s="226"/>
      <c r="T19465" s="226"/>
      <c r="U19465" s="226"/>
    </row>
    <row r="19466" spans="16:21" x14ac:dyDescent="0.35">
      <c r="P19466" s="226"/>
      <c r="Q19466" s="226"/>
      <c r="R19466" s="226"/>
      <c r="S19466" s="226"/>
      <c r="T19466" s="226"/>
      <c r="U19466" s="226"/>
    </row>
    <row r="19467" spans="16:21" x14ac:dyDescent="0.35">
      <c r="P19467" s="226"/>
      <c r="Q19467" s="226"/>
      <c r="R19467" s="226"/>
      <c r="S19467" s="226"/>
      <c r="T19467" s="226"/>
      <c r="U19467" s="226"/>
    </row>
    <row r="19468" spans="16:21" x14ac:dyDescent="0.35">
      <c r="P19468" s="226"/>
      <c r="Q19468" s="226"/>
      <c r="R19468" s="226"/>
      <c r="S19468" s="226"/>
      <c r="T19468" s="226"/>
      <c r="U19468" s="226"/>
    </row>
    <row r="19469" spans="16:21" x14ac:dyDescent="0.35">
      <c r="P19469" s="226"/>
      <c r="Q19469" s="226"/>
      <c r="R19469" s="226"/>
      <c r="S19469" s="226"/>
      <c r="T19469" s="226"/>
      <c r="U19469" s="226"/>
    </row>
    <row r="19470" spans="16:21" x14ac:dyDescent="0.35">
      <c r="P19470" s="226"/>
      <c r="Q19470" s="226"/>
      <c r="R19470" s="226"/>
      <c r="S19470" s="226"/>
      <c r="T19470" s="226"/>
      <c r="U19470" s="226"/>
    </row>
    <row r="19471" spans="16:21" x14ac:dyDescent="0.35">
      <c r="P19471" s="226"/>
      <c r="Q19471" s="226"/>
      <c r="R19471" s="226"/>
      <c r="S19471" s="226"/>
      <c r="T19471" s="226"/>
      <c r="U19471" s="226"/>
    </row>
    <row r="19472" spans="16:21" x14ac:dyDescent="0.35">
      <c r="P19472" s="226"/>
      <c r="Q19472" s="226"/>
      <c r="R19472" s="226"/>
      <c r="S19472" s="226"/>
      <c r="T19472" s="226"/>
      <c r="U19472" s="226"/>
    </row>
    <row r="19473" spans="16:21" x14ac:dyDescent="0.35">
      <c r="P19473" s="226"/>
      <c r="Q19473" s="226"/>
      <c r="R19473" s="226"/>
      <c r="S19473" s="226"/>
      <c r="T19473" s="226"/>
      <c r="U19473" s="226"/>
    </row>
    <row r="19474" spans="16:21" x14ac:dyDescent="0.35">
      <c r="P19474" s="226"/>
      <c r="Q19474" s="226"/>
      <c r="R19474" s="226"/>
      <c r="S19474" s="226"/>
      <c r="T19474" s="226"/>
      <c r="U19474" s="226"/>
    </row>
    <row r="19475" spans="16:21" x14ac:dyDescent="0.35">
      <c r="P19475" s="226"/>
      <c r="Q19475" s="226"/>
      <c r="R19475" s="226"/>
      <c r="S19475" s="226"/>
      <c r="T19475" s="226"/>
      <c r="U19475" s="226"/>
    </row>
    <row r="19476" spans="16:21" x14ac:dyDescent="0.35">
      <c r="P19476" s="226"/>
      <c r="Q19476" s="226"/>
      <c r="R19476" s="226"/>
      <c r="S19476" s="226"/>
      <c r="T19476" s="226"/>
      <c r="U19476" s="226"/>
    </row>
    <row r="19477" spans="16:21" x14ac:dyDescent="0.35">
      <c r="P19477" s="226"/>
      <c r="Q19477" s="226"/>
      <c r="R19477" s="226"/>
      <c r="S19477" s="226"/>
      <c r="T19477" s="226"/>
      <c r="U19477" s="226"/>
    </row>
    <row r="19478" spans="16:21" x14ac:dyDescent="0.35">
      <c r="P19478" s="226"/>
      <c r="Q19478" s="226"/>
      <c r="R19478" s="226"/>
      <c r="S19478" s="226"/>
      <c r="T19478" s="226"/>
      <c r="U19478" s="226"/>
    </row>
    <row r="19479" spans="16:21" x14ac:dyDescent="0.35">
      <c r="P19479" s="226"/>
      <c r="Q19479" s="226"/>
      <c r="R19479" s="226"/>
      <c r="S19479" s="226"/>
      <c r="T19479" s="226"/>
      <c r="U19479" s="226"/>
    </row>
    <row r="19480" spans="16:21" x14ac:dyDescent="0.35">
      <c r="P19480" s="226"/>
      <c r="Q19480" s="226"/>
      <c r="R19480" s="226"/>
      <c r="S19480" s="226"/>
      <c r="T19480" s="226"/>
      <c r="U19480" s="226"/>
    </row>
    <row r="19481" spans="16:21" x14ac:dyDescent="0.35">
      <c r="P19481" s="226"/>
      <c r="Q19481" s="226"/>
      <c r="R19481" s="226"/>
      <c r="S19481" s="226"/>
      <c r="T19481" s="226"/>
      <c r="U19481" s="226"/>
    </row>
    <row r="19482" spans="16:21" x14ac:dyDescent="0.35">
      <c r="P19482" s="226"/>
      <c r="Q19482" s="226"/>
      <c r="R19482" s="226"/>
      <c r="S19482" s="226"/>
      <c r="T19482" s="226"/>
      <c r="U19482" s="226"/>
    </row>
    <row r="19483" spans="16:21" x14ac:dyDescent="0.35">
      <c r="P19483" s="226"/>
      <c r="Q19483" s="226"/>
      <c r="R19483" s="226"/>
      <c r="S19483" s="226"/>
      <c r="T19483" s="226"/>
      <c r="U19483" s="226"/>
    </row>
    <row r="19484" spans="16:21" x14ac:dyDescent="0.35">
      <c r="P19484" s="226"/>
      <c r="Q19484" s="226"/>
      <c r="R19484" s="226"/>
      <c r="S19484" s="226"/>
      <c r="T19484" s="226"/>
      <c r="U19484" s="226"/>
    </row>
    <row r="19485" spans="16:21" x14ac:dyDescent="0.35">
      <c r="P19485" s="226"/>
      <c r="Q19485" s="226"/>
      <c r="R19485" s="226"/>
      <c r="S19485" s="226"/>
      <c r="T19485" s="226"/>
      <c r="U19485" s="226"/>
    </row>
    <row r="19486" spans="16:21" x14ac:dyDescent="0.35">
      <c r="P19486" s="226"/>
      <c r="Q19486" s="226"/>
      <c r="R19486" s="226"/>
      <c r="S19486" s="226"/>
      <c r="T19486" s="226"/>
      <c r="U19486" s="226"/>
    </row>
    <row r="19487" spans="16:21" x14ac:dyDescent="0.35">
      <c r="P19487" s="226"/>
      <c r="Q19487" s="226"/>
      <c r="R19487" s="226"/>
      <c r="S19487" s="226"/>
      <c r="T19487" s="226"/>
      <c r="U19487" s="226"/>
    </row>
    <row r="19488" spans="16:21" x14ac:dyDescent="0.35">
      <c r="P19488" s="226"/>
      <c r="Q19488" s="226"/>
      <c r="R19488" s="226"/>
      <c r="S19488" s="226"/>
      <c r="T19488" s="226"/>
      <c r="U19488" s="226"/>
    </row>
    <row r="19489" spans="16:21" x14ac:dyDescent="0.35">
      <c r="P19489" s="226"/>
      <c r="Q19489" s="226"/>
      <c r="R19489" s="226"/>
      <c r="S19489" s="226"/>
      <c r="T19489" s="226"/>
      <c r="U19489" s="226"/>
    </row>
    <row r="19490" spans="16:21" x14ac:dyDescent="0.35">
      <c r="P19490" s="226"/>
      <c r="Q19490" s="226"/>
      <c r="R19490" s="226"/>
      <c r="S19490" s="226"/>
      <c r="T19490" s="226"/>
      <c r="U19490" s="226"/>
    </row>
    <row r="19491" spans="16:21" x14ac:dyDescent="0.35">
      <c r="P19491" s="226"/>
      <c r="Q19491" s="226"/>
      <c r="R19491" s="226"/>
      <c r="S19491" s="226"/>
      <c r="T19491" s="226"/>
      <c r="U19491" s="226"/>
    </row>
    <row r="19492" spans="16:21" x14ac:dyDescent="0.35">
      <c r="P19492" s="226"/>
      <c r="Q19492" s="226"/>
      <c r="R19492" s="226"/>
      <c r="S19492" s="226"/>
      <c r="T19492" s="226"/>
      <c r="U19492" s="226"/>
    </row>
    <row r="19493" spans="16:21" x14ac:dyDescent="0.35">
      <c r="P19493" s="226"/>
      <c r="Q19493" s="226"/>
      <c r="R19493" s="226"/>
      <c r="S19493" s="226"/>
      <c r="T19493" s="226"/>
      <c r="U19493" s="226"/>
    </row>
    <row r="19494" spans="16:21" x14ac:dyDescent="0.35">
      <c r="P19494" s="226"/>
      <c r="Q19494" s="226"/>
      <c r="R19494" s="226"/>
      <c r="S19494" s="226"/>
      <c r="T19494" s="226"/>
      <c r="U19494" s="226"/>
    </row>
    <row r="19495" spans="16:21" x14ac:dyDescent="0.35">
      <c r="P19495" s="226"/>
      <c r="Q19495" s="226"/>
      <c r="R19495" s="226"/>
      <c r="S19495" s="226"/>
      <c r="T19495" s="226"/>
      <c r="U19495" s="226"/>
    </row>
    <row r="19496" spans="16:21" x14ac:dyDescent="0.35">
      <c r="P19496" s="226"/>
      <c r="Q19496" s="226"/>
      <c r="R19496" s="226"/>
      <c r="S19496" s="226"/>
      <c r="T19496" s="226"/>
      <c r="U19496" s="226"/>
    </row>
    <row r="19497" spans="16:21" x14ac:dyDescent="0.35">
      <c r="P19497" s="226"/>
      <c r="Q19497" s="226"/>
      <c r="R19497" s="226"/>
      <c r="S19497" s="226"/>
      <c r="T19497" s="226"/>
      <c r="U19497" s="226"/>
    </row>
    <row r="19498" spans="16:21" x14ac:dyDescent="0.35">
      <c r="P19498" s="226"/>
      <c r="Q19498" s="226"/>
      <c r="R19498" s="226"/>
      <c r="S19498" s="226"/>
      <c r="T19498" s="226"/>
      <c r="U19498" s="226"/>
    </row>
    <row r="19499" spans="16:21" x14ac:dyDescent="0.35">
      <c r="P19499" s="226"/>
      <c r="Q19499" s="226"/>
      <c r="R19499" s="226"/>
      <c r="S19499" s="226"/>
      <c r="T19499" s="226"/>
      <c r="U19499" s="226"/>
    </row>
    <row r="19500" spans="16:21" x14ac:dyDescent="0.35">
      <c r="P19500" s="226"/>
      <c r="Q19500" s="226"/>
      <c r="R19500" s="226"/>
      <c r="S19500" s="226"/>
      <c r="T19500" s="226"/>
      <c r="U19500" s="226"/>
    </row>
    <row r="19501" spans="16:21" x14ac:dyDescent="0.35">
      <c r="P19501" s="226"/>
      <c r="Q19501" s="226"/>
      <c r="R19501" s="226"/>
      <c r="S19501" s="226"/>
      <c r="T19501" s="226"/>
      <c r="U19501" s="226"/>
    </row>
    <row r="19502" spans="16:21" x14ac:dyDescent="0.35">
      <c r="P19502" s="226"/>
      <c r="Q19502" s="226"/>
      <c r="R19502" s="226"/>
      <c r="S19502" s="226"/>
      <c r="T19502" s="226"/>
      <c r="U19502" s="226"/>
    </row>
    <row r="19503" spans="16:21" x14ac:dyDescent="0.35">
      <c r="P19503" s="226"/>
      <c r="Q19503" s="226"/>
      <c r="R19503" s="226"/>
      <c r="S19503" s="226"/>
      <c r="T19503" s="226"/>
      <c r="U19503" s="226"/>
    </row>
    <row r="19504" spans="16:21" x14ac:dyDescent="0.35">
      <c r="P19504" s="226"/>
      <c r="Q19504" s="226"/>
      <c r="R19504" s="226"/>
      <c r="S19504" s="226"/>
      <c r="T19504" s="226"/>
      <c r="U19504" s="226"/>
    </row>
    <row r="19505" spans="16:21" x14ac:dyDescent="0.35">
      <c r="P19505" s="226"/>
      <c r="Q19505" s="226"/>
      <c r="R19505" s="226"/>
      <c r="S19505" s="226"/>
      <c r="T19505" s="226"/>
      <c r="U19505" s="226"/>
    </row>
    <row r="19506" spans="16:21" x14ac:dyDescent="0.35">
      <c r="P19506" s="226"/>
      <c r="Q19506" s="226"/>
      <c r="R19506" s="226"/>
      <c r="S19506" s="226"/>
      <c r="T19506" s="226"/>
      <c r="U19506" s="226"/>
    </row>
    <row r="19507" spans="16:21" x14ac:dyDescent="0.35">
      <c r="P19507" s="226"/>
      <c r="Q19507" s="226"/>
      <c r="R19507" s="226"/>
      <c r="S19507" s="226"/>
      <c r="T19507" s="226"/>
      <c r="U19507" s="226"/>
    </row>
    <row r="19508" spans="16:21" x14ac:dyDescent="0.35">
      <c r="P19508" s="226"/>
      <c r="Q19508" s="226"/>
      <c r="R19508" s="226"/>
      <c r="S19508" s="226"/>
      <c r="T19508" s="226"/>
      <c r="U19508" s="226"/>
    </row>
    <row r="19509" spans="16:21" x14ac:dyDescent="0.35">
      <c r="P19509" s="226"/>
      <c r="Q19509" s="226"/>
      <c r="R19509" s="226"/>
      <c r="S19509" s="226"/>
      <c r="T19509" s="226"/>
      <c r="U19509" s="226"/>
    </row>
    <row r="19510" spans="16:21" x14ac:dyDescent="0.35">
      <c r="P19510" s="226"/>
      <c r="Q19510" s="226"/>
      <c r="R19510" s="226"/>
      <c r="S19510" s="226"/>
      <c r="T19510" s="226"/>
      <c r="U19510" s="226"/>
    </row>
    <row r="19511" spans="16:21" x14ac:dyDescent="0.35">
      <c r="P19511" s="226"/>
      <c r="Q19511" s="226"/>
      <c r="R19511" s="226"/>
      <c r="S19511" s="226"/>
      <c r="T19511" s="226"/>
      <c r="U19511" s="226"/>
    </row>
    <row r="19512" spans="16:21" x14ac:dyDescent="0.35">
      <c r="P19512" s="226"/>
      <c r="Q19512" s="226"/>
      <c r="R19512" s="226"/>
      <c r="S19512" s="226"/>
      <c r="T19512" s="226"/>
      <c r="U19512" s="226"/>
    </row>
    <row r="19513" spans="16:21" x14ac:dyDescent="0.35">
      <c r="P19513" s="226"/>
      <c r="Q19513" s="226"/>
      <c r="R19513" s="226"/>
      <c r="S19513" s="226"/>
      <c r="T19513" s="226"/>
      <c r="U19513" s="226"/>
    </row>
    <row r="19514" spans="16:21" x14ac:dyDescent="0.35">
      <c r="P19514" s="226"/>
      <c r="Q19514" s="226"/>
      <c r="R19514" s="226"/>
      <c r="S19514" s="226"/>
      <c r="T19514" s="226"/>
      <c r="U19514" s="226"/>
    </row>
    <row r="19515" spans="16:21" x14ac:dyDescent="0.35">
      <c r="P19515" s="226"/>
      <c r="Q19515" s="226"/>
      <c r="R19515" s="226"/>
      <c r="S19515" s="226"/>
      <c r="T19515" s="226"/>
      <c r="U19515" s="226"/>
    </row>
    <row r="19516" spans="16:21" x14ac:dyDescent="0.35">
      <c r="P19516" s="226"/>
      <c r="Q19516" s="226"/>
      <c r="R19516" s="226"/>
      <c r="S19516" s="226"/>
      <c r="T19516" s="226"/>
      <c r="U19516" s="226"/>
    </row>
    <row r="19517" spans="16:21" x14ac:dyDescent="0.35">
      <c r="P19517" s="226"/>
      <c r="Q19517" s="226"/>
      <c r="R19517" s="226"/>
      <c r="S19517" s="226"/>
      <c r="T19517" s="226"/>
      <c r="U19517" s="226"/>
    </row>
    <row r="19518" spans="16:21" x14ac:dyDescent="0.35">
      <c r="P19518" s="226"/>
      <c r="Q19518" s="226"/>
      <c r="R19518" s="226"/>
      <c r="S19518" s="226"/>
      <c r="T19518" s="226"/>
      <c r="U19518" s="226"/>
    </row>
    <row r="19519" spans="16:21" x14ac:dyDescent="0.35">
      <c r="P19519" s="226"/>
      <c r="Q19519" s="226"/>
      <c r="R19519" s="226"/>
      <c r="S19519" s="226"/>
      <c r="T19519" s="226"/>
      <c r="U19519" s="226"/>
    </row>
    <row r="19520" spans="16:21" x14ac:dyDescent="0.35">
      <c r="P19520" s="226"/>
      <c r="Q19520" s="226"/>
      <c r="R19520" s="226"/>
      <c r="S19520" s="226"/>
      <c r="T19520" s="226"/>
      <c r="U19520" s="226"/>
    </row>
    <row r="19521" spans="16:21" x14ac:dyDescent="0.35">
      <c r="P19521" s="226"/>
      <c r="Q19521" s="226"/>
      <c r="R19521" s="226"/>
      <c r="S19521" s="226"/>
      <c r="T19521" s="226"/>
      <c r="U19521" s="226"/>
    </row>
    <row r="19522" spans="16:21" x14ac:dyDescent="0.35">
      <c r="P19522" s="226"/>
      <c r="Q19522" s="226"/>
      <c r="R19522" s="226"/>
      <c r="S19522" s="226"/>
      <c r="T19522" s="226"/>
      <c r="U19522" s="226"/>
    </row>
    <row r="19523" spans="16:21" x14ac:dyDescent="0.35">
      <c r="P19523" s="226"/>
      <c r="Q19523" s="226"/>
      <c r="R19523" s="226"/>
      <c r="S19523" s="226"/>
      <c r="T19523" s="226"/>
      <c r="U19523" s="226"/>
    </row>
    <row r="19524" spans="16:21" x14ac:dyDescent="0.35">
      <c r="P19524" s="226"/>
      <c r="Q19524" s="226"/>
      <c r="R19524" s="226"/>
      <c r="S19524" s="226"/>
      <c r="T19524" s="226"/>
      <c r="U19524" s="226"/>
    </row>
    <row r="19525" spans="16:21" x14ac:dyDescent="0.35">
      <c r="P19525" s="226"/>
      <c r="Q19525" s="226"/>
      <c r="R19525" s="226"/>
      <c r="S19525" s="226"/>
      <c r="T19525" s="226"/>
      <c r="U19525" s="226"/>
    </row>
    <row r="19526" spans="16:21" x14ac:dyDescent="0.35">
      <c r="P19526" s="226"/>
      <c r="Q19526" s="226"/>
      <c r="R19526" s="226"/>
      <c r="S19526" s="226"/>
      <c r="T19526" s="226"/>
      <c r="U19526" s="226"/>
    </row>
    <row r="19527" spans="16:21" x14ac:dyDescent="0.35">
      <c r="P19527" s="226"/>
      <c r="Q19527" s="226"/>
      <c r="R19527" s="226"/>
      <c r="S19527" s="226"/>
      <c r="T19527" s="226"/>
      <c r="U19527" s="226"/>
    </row>
    <row r="19528" spans="16:21" x14ac:dyDescent="0.35">
      <c r="P19528" s="226"/>
      <c r="Q19528" s="226"/>
      <c r="R19528" s="226"/>
      <c r="S19528" s="226"/>
      <c r="T19528" s="226"/>
      <c r="U19528" s="226"/>
    </row>
    <row r="19529" spans="16:21" x14ac:dyDescent="0.35">
      <c r="P19529" s="226"/>
      <c r="Q19529" s="226"/>
      <c r="R19529" s="226"/>
      <c r="S19529" s="226"/>
      <c r="T19529" s="226"/>
      <c r="U19529" s="226"/>
    </row>
    <row r="19530" spans="16:21" x14ac:dyDescent="0.35">
      <c r="P19530" s="226"/>
      <c r="Q19530" s="226"/>
      <c r="R19530" s="226"/>
      <c r="S19530" s="226"/>
      <c r="T19530" s="226"/>
      <c r="U19530" s="226"/>
    </row>
    <row r="19531" spans="16:21" x14ac:dyDescent="0.35">
      <c r="P19531" s="226"/>
      <c r="Q19531" s="226"/>
      <c r="R19531" s="226"/>
      <c r="S19531" s="226"/>
      <c r="T19531" s="226"/>
      <c r="U19531" s="226"/>
    </row>
    <row r="19532" spans="16:21" x14ac:dyDescent="0.35">
      <c r="P19532" s="226"/>
      <c r="Q19532" s="226"/>
      <c r="R19532" s="226"/>
      <c r="S19532" s="226"/>
      <c r="T19532" s="226"/>
      <c r="U19532" s="226"/>
    </row>
    <row r="19533" spans="16:21" x14ac:dyDescent="0.35">
      <c r="P19533" s="226"/>
      <c r="Q19533" s="226"/>
      <c r="R19533" s="226"/>
      <c r="S19533" s="226"/>
      <c r="T19533" s="226"/>
      <c r="U19533" s="226"/>
    </row>
    <row r="19534" spans="16:21" x14ac:dyDescent="0.35">
      <c r="P19534" s="226"/>
      <c r="Q19534" s="226"/>
      <c r="R19534" s="226"/>
      <c r="S19534" s="226"/>
      <c r="T19534" s="226"/>
      <c r="U19534" s="226"/>
    </row>
    <row r="19535" spans="16:21" x14ac:dyDescent="0.35">
      <c r="P19535" s="226"/>
      <c r="Q19535" s="226"/>
      <c r="R19535" s="226"/>
      <c r="S19535" s="226"/>
      <c r="T19535" s="226"/>
      <c r="U19535" s="226"/>
    </row>
    <row r="19536" spans="16:21" x14ac:dyDescent="0.35">
      <c r="P19536" s="226"/>
      <c r="Q19536" s="226"/>
      <c r="R19536" s="226"/>
      <c r="S19536" s="226"/>
      <c r="T19536" s="226"/>
      <c r="U19536" s="226"/>
    </row>
    <row r="19537" spans="16:21" x14ac:dyDescent="0.35">
      <c r="P19537" s="226"/>
      <c r="Q19537" s="226"/>
      <c r="R19537" s="226"/>
      <c r="S19537" s="226"/>
      <c r="T19537" s="226"/>
      <c r="U19537" s="226"/>
    </row>
    <row r="19538" spans="16:21" x14ac:dyDescent="0.35">
      <c r="P19538" s="226"/>
      <c r="Q19538" s="226"/>
      <c r="R19538" s="226"/>
      <c r="S19538" s="226"/>
      <c r="T19538" s="226"/>
      <c r="U19538" s="226"/>
    </row>
    <row r="19539" spans="16:21" x14ac:dyDescent="0.35">
      <c r="P19539" s="226"/>
      <c r="Q19539" s="226"/>
      <c r="R19539" s="226"/>
      <c r="S19539" s="226"/>
      <c r="T19539" s="226"/>
      <c r="U19539" s="226"/>
    </row>
    <row r="19540" spans="16:21" x14ac:dyDescent="0.35">
      <c r="P19540" s="226"/>
      <c r="Q19540" s="226"/>
      <c r="R19540" s="226"/>
      <c r="S19540" s="226"/>
      <c r="T19540" s="226"/>
      <c r="U19540" s="226"/>
    </row>
    <row r="19541" spans="16:21" x14ac:dyDescent="0.35">
      <c r="P19541" s="226"/>
      <c r="Q19541" s="226"/>
      <c r="R19541" s="226"/>
      <c r="S19541" s="226"/>
      <c r="T19541" s="226"/>
      <c r="U19541" s="226"/>
    </row>
    <row r="19542" spans="16:21" x14ac:dyDescent="0.35">
      <c r="P19542" s="226"/>
      <c r="Q19542" s="226"/>
      <c r="R19542" s="226"/>
      <c r="S19542" s="226"/>
      <c r="T19542" s="226"/>
      <c r="U19542" s="226"/>
    </row>
    <row r="19543" spans="16:21" x14ac:dyDescent="0.35">
      <c r="P19543" s="226"/>
      <c r="Q19543" s="226"/>
      <c r="R19543" s="226"/>
      <c r="S19543" s="226"/>
      <c r="T19543" s="226"/>
      <c r="U19543" s="226"/>
    </row>
    <row r="19544" spans="16:21" x14ac:dyDescent="0.35">
      <c r="P19544" s="226"/>
      <c r="Q19544" s="226"/>
      <c r="R19544" s="226"/>
      <c r="S19544" s="226"/>
      <c r="T19544" s="226"/>
      <c r="U19544" s="226"/>
    </row>
    <row r="19545" spans="16:21" x14ac:dyDescent="0.35">
      <c r="P19545" s="226"/>
      <c r="Q19545" s="226"/>
      <c r="R19545" s="226"/>
      <c r="S19545" s="226"/>
      <c r="T19545" s="226"/>
      <c r="U19545" s="226"/>
    </row>
    <row r="19546" spans="16:21" x14ac:dyDescent="0.35">
      <c r="P19546" s="226"/>
      <c r="Q19546" s="226"/>
      <c r="R19546" s="226"/>
      <c r="S19546" s="226"/>
      <c r="T19546" s="226"/>
      <c r="U19546" s="226"/>
    </row>
    <row r="19547" spans="16:21" x14ac:dyDescent="0.35">
      <c r="P19547" s="226"/>
      <c r="Q19547" s="226"/>
      <c r="R19547" s="226"/>
      <c r="S19547" s="226"/>
      <c r="T19547" s="226"/>
      <c r="U19547" s="226"/>
    </row>
    <row r="19548" spans="16:21" x14ac:dyDescent="0.35">
      <c r="P19548" s="226"/>
      <c r="Q19548" s="226"/>
      <c r="R19548" s="226"/>
      <c r="S19548" s="226"/>
      <c r="T19548" s="226"/>
      <c r="U19548" s="226"/>
    </row>
    <row r="19549" spans="16:21" x14ac:dyDescent="0.35">
      <c r="P19549" s="226"/>
      <c r="Q19549" s="226"/>
      <c r="R19549" s="226"/>
      <c r="S19549" s="226"/>
      <c r="T19549" s="226"/>
      <c r="U19549" s="226"/>
    </row>
    <row r="19550" spans="16:21" x14ac:dyDescent="0.35">
      <c r="P19550" s="226"/>
      <c r="Q19550" s="226"/>
      <c r="R19550" s="226"/>
      <c r="S19550" s="226"/>
      <c r="T19550" s="226"/>
      <c r="U19550" s="226"/>
    </row>
    <row r="19551" spans="16:21" x14ac:dyDescent="0.35">
      <c r="P19551" s="226"/>
      <c r="Q19551" s="226"/>
      <c r="R19551" s="226"/>
      <c r="S19551" s="226"/>
      <c r="T19551" s="226"/>
      <c r="U19551" s="226"/>
    </row>
    <row r="19552" spans="16:21" x14ac:dyDescent="0.35">
      <c r="P19552" s="226"/>
      <c r="Q19552" s="226"/>
      <c r="R19552" s="226"/>
      <c r="S19552" s="226"/>
      <c r="T19552" s="226"/>
      <c r="U19552" s="226"/>
    </row>
    <row r="19553" spans="16:21" x14ac:dyDescent="0.35">
      <c r="P19553" s="226"/>
      <c r="Q19553" s="226"/>
      <c r="R19553" s="226"/>
      <c r="S19553" s="226"/>
      <c r="T19553" s="226"/>
      <c r="U19553" s="226"/>
    </row>
    <row r="19554" spans="16:21" x14ac:dyDescent="0.35">
      <c r="P19554" s="226"/>
      <c r="Q19554" s="226"/>
      <c r="R19554" s="226"/>
      <c r="S19554" s="226"/>
      <c r="T19554" s="226"/>
      <c r="U19554" s="226"/>
    </row>
    <row r="19555" spans="16:21" x14ac:dyDescent="0.35">
      <c r="P19555" s="226"/>
      <c r="Q19555" s="226"/>
      <c r="R19555" s="226"/>
      <c r="S19555" s="226"/>
      <c r="T19555" s="226"/>
      <c r="U19555" s="226"/>
    </row>
    <row r="19556" spans="16:21" x14ac:dyDescent="0.35">
      <c r="P19556" s="226"/>
      <c r="Q19556" s="226"/>
      <c r="R19556" s="226"/>
      <c r="S19556" s="226"/>
      <c r="T19556" s="226"/>
      <c r="U19556" s="226"/>
    </row>
    <row r="19557" spans="16:21" x14ac:dyDescent="0.35">
      <c r="P19557" s="226"/>
      <c r="Q19557" s="226"/>
      <c r="R19557" s="226"/>
      <c r="S19557" s="226"/>
      <c r="T19557" s="226"/>
      <c r="U19557" s="226"/>
    </row>
    <row r="19558" spans="16:21" x14ac:dyDescent="0.35">
      <c r="P19558" s="226"/>
      <c r="Q19558" s="226"/>
      <c r="R19558" s="226"/>
      <c r="S19558" s="226"/>
      <c r="T19558" s="226"/>
      <c r="U19558" s="226"/>
    </row>
    <row r="19559" spans="16:21" x14ac:dyDescent="0.35">
      <c r="P19559" s="226"/>
      <c r="Q19559" s="226"/>
      <c r="R19559" s="226"/>
      <c r="S19559" s="226"/>
      <c r="T19559" s="226"/>
      <c r="U19559" s="226"/>
    </row>
    <row r="19560" spans="16:21" x14ac:dyDescent="0.35">
      <c r="P19560" s="226"/>
      <c r="Q19560" s="226"/>
      <c r="R19560" s="226"/>
      <c r="S19560" s="226"/>
      <c r="T19560" s="226"/>
      <c r="U19560" s="226"/>
    </row>
    <row r="19561" spans="16:21" x14ac:dyDescent="0.35">
      <c r="P19561" s="226"/>
      <c r="Q19561" s="226"/>
      <c r="R19561" s="226"/>
      <c r="S19561" s="226"/>
      <c r="T19561" s="226"/>
      <c r="U19561" s="226"/>
    </row>
    <row r="19562" spans="16:21" x14ac:dyDescent="0.35">
      <c r="P19562" s="226"/>
      <c r="Q19562" s="226"/>
      <c r="R19562" s="226"/>
      <c r="S19562" s="226"/>
      <c r="T19562" s="226"/>
      <c r="U19562" s="226"/>
    </row>
    <row r="19563" spans="16:21" x14ac:dyDescent="0.35">
      <c r="P19563" s="226"/>
      <c r="Q19563" s="226"/>
      <c r="R19563" s="226"/>
      <c r="S19563" s="226"/>
      <c r="T19563" s="226"/>
      <c r="U19563" s="226"/>
    </row>
    <row r="19564" spans="16:21" x14ac:dyDescent="0.35">
      <c r="P19564" s="226"/>
      <c r="Q19564" s="226"/>
      <c r="R19564" s="226"/>
      <c r="S19564" s="226"/>
      <c r="T19564" s="226"/>
      <c r="U19564" s="226"/>
    </row>
    <row r="19565" spans="16:21" x14ac:dyDescent="0.35">
      <c r="P19565" s="226"/>
      <c r="Q19565" s="226"/>
      <c r="R19565" s="226"/>
      <c r="S19565" s="226"/>
      <c r="T19565" s="226"/>
      <c r="U19565" s="226"/>
    </row>
    <row r="19566" spans="16:21" x14ac:dyDescent="0.35">
      <c r="P19566" s="226"/>
      <c r="Q19566" s="226"/>
      <c r="R19566" s="226"/>
      <c r="S19566" s="226"/>
      <c r="T19566" s="226"/>
      <c r="U19566" s="226"/>
    </row>
    <row r="19567" spans="16:21" x14ac:dyDescent="0.35">
      <c r="P19567" s="226"/>
      <c r="Q19567" s="226"/>
      <c r="R19567" s="226"/>
      <c r="S19567" s="226"/>
      <c r="T19567" s="226"/>
      <c r="U19567" s="226"/>
    </row>
    <row r="19568" spans="16:21" x14ac:dyDescent="0.35">
      <c r="P19568" s="226"/>
      <c r="Q19568" s="226"/>
      <c r="R19568" s="226"/>
      <c r="S19568" s="226"/>
      <c r="T19568" s="226"/>
      <c r="U19568" s="226"/>
    </row>
    <row r="19569" spans="16:21" x14ac:dyDescent="0.35">
      <c r="P19569" s="226"/>
      <c r="Q19569" s="226"/>
      <c r="R19569" s="226"/>
      <c r="S19569" s="226"/>
      <c r="T19569" s="226"/>
      <c r="U19569" s="226"/>
    </row>
    <row r="19570" spans="16:21" x14ac:dyDescent="0.35">
      <c r="P19570" s="226"/>
      <c r="Q19570" s="226"/>
      <c r="R19570" s="226"/>
      <c r="S19570" s="226"/>
      <c r="T19570" s="226"/>
      <c r="U19570" s="226"/>
    </row>
    <row r="19571" spans="16:21" x14ac:dyDescent="0.35">
      <c r="P19571" s="226"/>
      <c r="Q19571" s="226"/>
      <c r="R19571" s="226"/>
      <c r="S19571" s="226"/>
      <c r="T19571" s="226"/>
      <c r="U19571" s="226"/>
    </row>
    <row r="19572" spans="16:21" x14ac:dyDescent="0.35">
      <c r="P19572" s="226"/>
      <c r="Q19572" s="226"/>
      <c r="R19572" s="226"/>
      <c r="S19572" s="226"/>
      <c r="T19572" s="226"/>
      <c r="U19572" s="226"/>
    </row>
    <row r="19573" spans="16:21" x14ac:dyDescent="0.35">
      <c r="P19573" s="226"/>
      <c r="Q19573" s="226"/>
      <c r="R19573" s="226"/>
      <c r="S19573" s="226"/>
      <c r="T19573" s="226"/>
      <c r="U19573" s="226"/>
    </row>
    <row r="19574" spans="16:21" x14ac:dyDescent="0.35">
      <c r="P19574" s="226"/>
      <c r="Q19574" s="226"/>
      <c r="R19574" s="226"/>
      <c r="S19574" s="226"/>
      <c r="T19574" s="226"/>
      <c r="U19574" s="226"/>
    </row>
    <row r="19575" spans="16:21" x14ac:dyDescent="0.35">
      <c r="P19575" s="226"/>
      <c r="Q19575" s="226"/>
      <c r="R19575" s="226"/>
      <c r="S19575" s="226"/>
      <c r="T19575" s="226"/>
      <c r="U19575" s="226"/>
    </row>
    <row r="19576" spans="16:21" x14ac:dyDescent="0.35">
      <c r="P19576" s="226"/>
      <c r="Q19576" s="226"/>
      <c r="R19576" s="226"/>
      <c r="S19576" s="226"/>
      <c r="T19576" s="226"/>
      <c r="U19576" s="226"/>
    </row>
    <row r="19577" spans="16:21" x14ac:dyDescent="0.35">
      <c r="P19577" s="226"/>
      <c r="Q19577" s="226"/>
      <c r="R19577" s="226"/>
      <c r="S19577" s="226"/>
      <c r="T19577" s="226"/>
      <c r="U19577" s="226"/>
    </row>
    <row r="19578" spans="16:21" x14ac:dyDescent="0.35">
      <c r="P19578" s="226"/>
      <c r="Q19578" s="226"/>
      <c r="R19578" s="226"/>
      <c r="S19578" s="226"/>
      <c r="T19578" s="226"/>
      <c r="U19578" s="226"/>
    </row>
    <row r="19579" spans="16:21" x14ac:dyDescent="0.35">
      <c r="P19579" s="226"/>
      <c r="Q19579" s="226"/>
      <c r="R19579" s="226"/>
      <c r="S19579" s="226"/>
      <c r="T19579" s="226"/>
      <c r="U19579" s="226"/>
    </row>
    <row r="19580" spans="16:21" x14ac:dyDescent="0.35">
      <c r="P19580" s="226"/>
      <c r="Q19580" s="226"/>
      <c r="R19580" s="226"/>
      <c r="S19580" s="226"/>
      <c r="T19580" s="226"/>
      <c r="U19580" s="226"/>
    </row>
    <row r="19581" spans="16:21" x14ac:dyDescent="0.35">
      <c r="P19581" s="226"/>
      <c r="Q19581" s="226"/>
      <c r="R19581" s="226"/>
      <c r="S19581" s="226"/>
      <c r="T19581" s="226"/>
      <c r="U19581" s="226"/>
    </row>
    <row r="19582" spans="16:21" x14ac:dyDescent="0.35">
      <c r="P19582" s="226"/>
      <c r="Q19582" s="226"/>
      <c r="R19582" s="226"/>
      <c r="S19582" s="226"/>
      <c r="T19582" s="226"/>
      <c r="U19582" s="226"/>
    </row>
    <row r="19583" spans="16:21" x14ac:dyDescent="0.35">
      <c r="P19583" s="226"/>
      <c r="Q19583" s="226"/>
      <c r="R19583" s="226"/>
      <c r="S19583" s="226"/>
      <c r="T19583" s="226"/>
      <c r="U19583" s="226"/>
    </row>
    <row r="19584" spans="16:21" x14ac:dyDescent="0.35">
      <c r="P19584" s="226"/>
      <c r="Q19584" s="226"/>
      <c r="R19584" s="226"/>
      <c r="S19584" s="226"/>
      <c r="T19584" s="226"/>
      <c r="U19584" s="226"/>
    </row>
    <row r="19585" spans="16:21" x14ac:dyDescent="0.35">
      <c r="P19585" s="226"/>
      <c r="Q19585" s="226"/>
      <c r="R19585" s="226"/>
      <c r="S19585" s="226"/>
      <c r="T19585" s="226"/>
      <c r="U19585" s="226"/>
    </row>
    <row r="19586" spans="16:21" x14ac:dyDescent="0.35">
      <c r="P19586" s="226"/>
      <c r="Q19586" s="226"/>
      <c r="R19586" s="226"/>
      <c r="S19586" s="226"/>
      <c r="T19586" s="226"/>
      <c r="U19586" s="226"/>
    </row>
    <row r="19587" spans="16:21" x14ac:dyDescent="0.35">
      <c r="P19587" s="226"/>
      <c r="Q19587" s="226"/>
      <c r="R19587" s="226"/>
      <c r="S19587" s="226"/>
      <c r="T19587" s="226"/>
      <c r="U19587" s="226"/>
    </row>
    <row r="19588" spans="16:21" x14ac:dyDescent="0.35">
      <c r="P19588" s="226"/>
      <c r="Q19588" s="226"/>
      <c r="R19588" s="226"/>
      <c r="S19588" s="226"/>
      <c r="T19588" s="226"/>
      <c r="U19588" s="226"/>
    </row>
    <row r="19589" spans="16:21" x14ac:dyDescent="0.35">
      <c r="P19589" s="226"/>
      <c r="Q19589" s="226"/>
      <c r="R19589" s="226"/>
      <c r="S19589" s="226"/>
      <c r="T19589" s="226"/>
      <c r="U19589" s="226"/>
    </row>
    <row r="19590" spans="16:21" x14ac:dyDescent="0.35">
      <c r="P19590" s="226"/>
      <c r="Q19590" s="226"/>
      <c r="R19590" s="226"/>
      <c r="S19590" s="226"/>
      <c r="T19590" s="226"/>
      <c r="U19590" s="226"/>
    </row>
    <row r="19591" spans="16:21" x14ac:dyDescent="0.35">
      <c r="P19591" s="226"/>
      <c r="Q19591" s="226"/>
      <c r="R19591" s="226"/>
      <c r="S19591" s="226"/>
      <c r="T19591" s="226"/>
      <c r="U19591" s="226"/>
    </row>
    <row r="19592" spans="16:21" x14ac:dyDescent="0.35">
      <c r="P19592" s="226"/>
      <c r="Q19592" s="226"/>
      <c r="R19592" s="226"/>
      <c r="S19592" s="226"/>
      <c r="T19592" s="226"/>
      <c r="U19592" s="226"/>
    </row>
    <row r="19593" spans="16:21" x14ac:dyDescent="0.35">
      <c r="P19593" s="226"/>
      <c r="Q19593" s="226"/>
      <c r="R19593" s="226"/>
      <c r="S19593" s="226"/>
      <c r="T19593" s="226"/>
      <c r="U19593" s="226"/>
    </row>
    <row r="19594" spans="16:21" x14ac:dyDescent="0.35">
      <c r="P19594" s="226"/>
      <c r="Q19594" s="226"/>
      <c r="R19594" s="226"/>
      <c r="S19594" s="226"/>
      <c r="T19594" s="226"/>
      <c r="U19594" s="226"/>
    </row>
    <row r="19595" spans="16:21" x14ac:dyDescent="0.35">
      <c r="P19595" s="226"/>
      <c r="Q19595" s="226"/>
      <c r="R19595" s="226"/>
      <c r="S19595" s="226"/>
      <c r="T19595" s="226"/>
      <c r="U19595" s="226"/>
    </row>
    <row r="19596" spans="16:21" x14ac:dyDescent="0.35">
      <c r="P19596" s="226"/>
      <c r="Q19596" s="226"/>
      <c r="R19596" s="226"/>
      <c r="S19596" s="226"/>
      <c r="T19596" s="226"/>
      <c r="U19596" s="226"/>
    </row>
    <row r="19597" spans="16:21" x14ac:dyDescent="0.35">
      <c r="P19597" s="226"/>
      <c r="Q19597" s="226"/>
      <c r="R19597" s="226"/>
      <c r="S19597" s="226"/>
      <c r="T19597" s="226"/>
      <c r="U19597" s="226"/>
    </row>
    <row r="19598" spans="16:21" x14ac:dyDescent="0.35">
      <c r="P19598" s="226"/>
      <c r="Q19598" s="226"/>
      <c r="R19598" s="226"/>
      <c r="S19598" s="226"/>
      <c r="T19598" s="226"/>
      <c r="U19598" s="226"/>
    </row>
    <row r="19599" spans="16:21" x14ac:dyDescent="0.35">
      <c r="P19599" s="226"/>
      <c r="Q19599" s="226"/>
      <c r="R19599" s="226"/>
      <c r="S19599" s="226"/>
      <c r="T19599" s="226"/>
      <c r="U19599" s="226"/>
    </row>
    <row r="19600" spans="16:21" x14ac:dyDescent="0.35">
      <c r="P19600" s="226"/>
      <c r="Q19600" s="226"/>
      <c r="R19600" s="226"/>
      <c r="S19600" s="226"/>
      <c r="T19600" s="226"/>
      <c r="U19600" s="226"/>
    </row>
    <row r="19601" spans="16:21" x14ac:dyDescent="0.35">
      <c r="P19601" s="226"/>
      <c r="Q19601" s="226"/>
      <c r="R19601" s="226"/>
      <c r="S19601" s="226"/>
      <c r="T19601" s="226"/>
      <c r="U19601" s="226"/>
    </row>
    <row r="19602" spans="16:21" x14ac:dyDescent="0.35">
      <c r="P19602" s="226"/>
      <c r="Q19602" s="226"/>
      <c r="R19602" s="226"/>
      <c r="S19602" s="226"/>
      <c r="T19602" s="226"/>
      <c r="U19602" s="226"/>
    </row>
    <row r="19603" spans="16:21" x14ac:dyDescent="0.35">
      <c r="P19603" s="226"/>
      <c r="Q19603" s="226"/>
      <c r="R19603" s="226"/>
      <c r="S19603" s="226"/>
      <c r="T19603" s="226"/>
      <c r="U19603" s="226"/>
    </row>
    <row r="19604" spans="16:21" x14ac:dyDescent="0.35">
      <c r="P19604" s="226"/>
      <c r="Q19604" s="226"/>
      <c r="R19604" s="226"/>
      <c r="S19604" s="226"/>
      <c r="T19604" s="226"/>
      <c r="U19604" s="226"/>
    </row>
    <row r="19605" spans="16:21" x14ac:dyDescent="0.35">
      <c r="P19605" s="226"/>
      <c r="Q19605" s="226"/>
      <c r="R19605" s="226"/>
      <c r="S19605" s="226"/>
      <c r="T19605" s="226"/>
      <c r="U19605" s="226"/>
    </row>
    <row r="19606" spans="16:21" x14ac:dyDescent="0.35">
      <c r="P19606" s="226"/>
      <c r="Q19606" s="226"/>
      <c r="R19606" s="226"/>
      <c r="S19606" s="226"/>
      <c r="T19606" s="226"/>
      <c r="U19606" s="226"/>
    </row>
    <row r="19607" spans="16:21" x14ac:dyDescent="0.35">
      <c r="P19607" s="226"/>
      <c r="Q19607" s="226"/>
      <c r="R19607" s="226"/>
      <c r="S19607" s="226"/>
      <c r="T19607" s="226"/>
      <c r="U19607" s="226"/>
    </row>
    <row r="19608" spans="16:21" x14ac:dyDescent="0.35">
      <c r="P19608" s="226"/>
      <c r="Q19608" s="226"/>
      <c r="R19608" s="226"/>
      <c r="S19608" s="226"/>
      <c r="T19608" s="226"/>
      <c r="U19608" s="226"/>
    </row>
    <row r="19609" spans="16:21" x14ac:dyDescent="0.35">
      <c r="P19609" s="226"/>
      <c r="Q19609" s="226"/>
      <c r="R19609" s="226"/>
      <c r="S19609" s="226"/>
      <c r="T19609" s="226"/>
      <c r="U19609" s="226"/>
    </row>
    <row r="19610" spans="16:21" x14ac:dyDescent="0.35">
      <c r="P19610" s="226"/>
      <c r="Q19610" s="226"/>
      <c r="R19610" s="226"/>
      <c r="S19610" s="226"/>
      <c r="T19610" s="226"/>
      <c r="U19610" s="226"/>
    </row>
    <row r="19611" spans="16:21" x14ac:dyDescent="0.35">
      <c r="P19611" s="226"/>
      <c r="Q19611" s="226"/>
      <c r="R19611" s="226"/>
      <c r="S19611" s="226"/>
      <c r="T19611" s="226"/>
      <c r="U19611" s="226"/>
    </row>
    <row r="19612" spans="16:21" x14ac:dyDescent="0.35">
      <c r="P19612" s="226"/>
      <c r="Q19612" s="226"/>
      <c r="R19612" s="226"/>
      <c r="S19612" s="226"/>
      <c r="T19612" s="226"/>
      <c r="U19612" s="226"/>
    </row>
    <row r="19613" spans="16:21" x14ac:dyDescent="0.35">
      <c r="P19613" s="226"/>
      <c r="Q19613" s="226"/>
      <c r="R19613" s="226"/>
      <c r="S19613" s="226"/>
      <c r="T19613" s="226"/>
      <c r="U19613" s="226"/>
    </row>
    <row r="19614" spans="16:21" x14ac:dyDescent="0.35">
      <c r="P19614" s="226"/>
      <c r="Q19614" s="226"/>
      <c r="R19614" s="226"/>
      <c r="S19614" s="226"/>
      <c r="T19614" s="226"/>
      <c r="U19614" s="226"/>
    </row>
    <row r="19615" spans="16:21" x14ac:dyDescent="0.35">
      <c r="P19615" s="226"/>
      <c r="Q19615" s="226"/>
      <c r="R19615" s="226"/>
      <c r="S19615" s="226"/>
      <c r="T19615" s="226"/>
      <c r="U19615" s="226"/>
    </row>
    <row r="19616" spans="16:21" x14ac:dyDescent="0.35">
      <c r="P19616" s="226"/>
      <c r="Q19616" s="226"/>
      <c r="R19616" s="226"/>
      <c r="S19616" s="226"/>
      <c r="T19616" s="226"/>
      <c r="U19616" s="226"/>
    </row>
    <row r="19617" spans="16:21" x14ac:dyDescent="0.35">
      <c r="P19617" s="226"/>
      <c r="Q19617" s="226"/>
      <c r="R19617" s="226"/>
      <c r="S19617" s="226"/>
      <c r="T19617" s="226"/>
      <c r="U19617" s="226"/>
    </row>
    <row r="19618" spans="16:21" x14ac:dyDescent="0.35">
      <c r="P19618" s="226"/>
      <c r="Q19618" s="226"/>
      <c r="R19618" s="226"/>
      <c r="S19618" s="226"/>
      <c r="T19618" s="226"/>
      <c r="U19618" s="226"/>
    </row>
    <row r="19619" spans="16:21" x14ac:dyDescent="0.35">
      <c r="P19619" s="226"/>
      <c r="Q19619" s="226"/>
      <c r="R19619" s="226"/>
      <c r="S19619" s="226"/>
      <c r="T19619" s="226"/>
      <c r="U19619" s="226"/>
    </row>
    <row r="19620" spans="16:21" x14ac:dyDescent="0.35">
      <c r="P19620" s="226"/>
      <c r="Q19620" s="226"/>
      <c r="R19620" s="226"/>
      <c r="S19620" s="226"/>
      <c r="T19620" s="226"/>
      <c r="U19620" s="226"/>
    </row>
    <row r="19621" spans="16:21" x14ac:dyDescent="0.35">
      <c r="P19621" s="226"/>
      <c r="Q19621" s="226"/>
      <c r="R19621" s="226"/>
      <c r="S19621" s="226"/>
      <c r="T19621" s="226"/>
      <c r="U19621" s="226"/>
    </row>
    <row r="19622" spans="16:21" x14ac:dyDescent="0.35">
      <c r="P19622" s="226"/>
      <c r="Q19622" s="226"/>
      <c r="R19622" s="226"/>
      <c r="S19622" s="226"/>
      <c r="T19622" s="226"/>
      <c r="U19622" s="226"/>
    </row>
    <row r="19623" spans="16:21" x14ac:dyDescent="0.35">
      <c r="P19623" s="226"/>
      <c r="Q19623" s="226"/>
      <c r="R19623" s="226"/>
      <c r="S19623" s="226"/>
      <c r="T19623" s="226"/>
      <c r="U19623" s="226"/>
    </row>
    <row r="19624" spans="16:21" x14ac:dyDescent="0.35">
      <c r="P19624" s="226"/>
      <c r="Q19624" s="226"/>
      <c r="R19624" s="226"/>
      <c r="S19624" s="226"/>
      <c r="T19624" s="226"/>
      <c r="U19624" s="226"/>
    </row>
    <row r="19625" spans="16:21" x14ac:dyDescent="0.35">
      <c r="P19625" s="226"/>
      <c r="Q19625" s="226"/>
      <c r="R19625" s="226"/>
      <c r="S19625" s="226"/>
      <c r="T19625" s="226"/>
      <c r="U19625" s="226"/>
    </row>
    <row r="19626" spans="16:21" x14ac:dyDescent="0.35">
      <c r="P19626" s="226"/>
      <c r="Q19626" s="226"/>
      <c r="R19626" s="226"/>
      <c r="S19626" s="226"/>
      <c r="T19626" s="226"/>
      <c r="U19626" s="226"/>
    </row>
    <row r="19627" spans="16:21" x14ac:dyDescent="0.35">
      <c r="P19627" s="226"/>
      <c r="Q19627" s="226"/>
      <c r="R19627" s="226"/>
      <c r="S19627" s="226"/>
      <c r="T19627" s="226"/>
      <c r="U19627" s="226"/>
    </row>
    <row r="19628" spans="16:21" x14ac:dyDescent="0.35">
      <c r="P19628" s="226"/>
      <c r="Q19628" s="226"/>
      <c r="R19628" s="226"/>
      <c r="S19628" s="226"/>
      <c r="T19628" s="226"/>
      <c r="U19628" s="226"/>
    </row>
    <row r="19629" spans="16:21" x14ac:dyDescent="0.35">
      <c r="P19629" s="226"/>
      <c r="Q19629" s="226"/>
      <c r="R19629" s="226"/>
      <c r="S19629" s="226"/>
      <c r="T19629" s="226"/>
      <c r="U19629" s="226"/>
    </row>
    <row r="19630" spans="16:21" x14ac:dyDescent="0.35">
      <c r="P19630" s="226"/>
      <c r="Q19630" s="226"/>
      <c r="R19630" s="226"/>
      <c r="S19630" s="226"/>
      <c r="T19630" s="226"/>
      <c r="U19630" s="226"/>
    </row>
    <row r="19631" spans="16:21" x14ac:dyDescent="0.35">
      <c r="P19631" s="226"/>
      <c r="Q19631" s="226"/>
      <c r="R19631" s="226"/>
      <c r="S19631" s="226"/>
      <c r="T19631" s="226"/>
      <c r="U19631" s="226"/>
    </row>
    <row r="19632" spans="16:21" x14ac:dyDescent="0.35">
      <c r="P19632" s="226"/>
      <c r="Q19632" s="226"/>
      <c r="R19632" s="226"/>
      <c r="S19632" s="226"/>
      <c r="T19632" s="226"/>
      <c r="U19632" s="226"/>
    </row>
    <row r="19633" spans="16:21" x14ac:dyDescent="0.35">
      <c r="P19633" s="226"/>
      <c r="Q19633" s="226"/>
      <c r="R19633" s="226"/>
      <c r="S19633" s="226"/>
      <c r="T19633" s="226"/>
      <c r="U19633" s="226"/>
    </row>
    <row r="19634" spans="16:21" x14ac:dyDescent="0.35">
      <c r="P19634" s="226"/>
      <c r="Q19634" s="226"/>
      <c r="R19634" s="226"/>
      <c r="S19634" s="226"/>
      <c r="T19634" s="226"/>
      <c r="U19634" s="226"/>
    </row>
    <row r="19635" spans="16:21" x14ac:dyDescent="0.35">
      <c r="P19635" s="226"/>
      <c r="Q19635" s="226"/>
      <c r="R19635" s="226"/>
      <c r="S19635" s="226"/>
      <c r="T19635" s="226"/>
      <c r="U19635" s="226"/>
    </row>
    <row r="19636" spans="16:21" x14ac:dyDescent="0.35">
      <c r="P19636" s="226"/>
      <c r="Q19636" s="226"/>
      <c r="R19636" s="226"/>
      <c r="S19636" s="226"/>
      <c r="T19636" s="226"/>
      <c r="U19636" s="226"/>
    </row>
    <row r="19637" spans="16:21" x14ac:dyDescent="0.35">
      <c r="P19637" s="226"/>
      <c r="Q19637" s="226"/>
      <c r="R19637" s="226"/>
      <c r="S19637" s="226"/>
      <c r="T19637" s="226"/>
      <c r="U19637" s="226"/>
    </row>
    <row r="19638" spans="16:21" x14ac:dyDescent="0.35">
      <c r="P19638" s="226"/>
      <c r="Q19638" s="226"/>
      <c r="R19638" s="226"/>
      <c r="S19638" s="226"/>
      <c r="T19638" s="226"/>
      <c r="U19638" s="226"/>
    </row>
    <row r="19639" spans="16:21" x14ac:dyDescent="0.35">
      <c r="P19639" s="226"/>
      <c r="Q19639" s="226"/>
      <c r="R19639" s="226"/>
      <c r="S19639" s="226"/>
      <c r="T19639" s="226"/>
      <c r="U19639" s="226"/>
    </row>
    <row r="19640" spans="16:21" x14ac:dyDescent="0.35">
      <c r="P19640" s="226"/>
      <c r="Q19640" s="226"/>
      <c r="R19640" s="226"/>
      <c r="S19640" s="226"/>
      <c r="T19640" s="226"/>
      <c r="U19640" s="226"/>
    </row>
    <row r="19641" spans="16:21" x14ac:dyDescent="0.35">
      <c r="P19641" s="226"/>
      <c r="Q19641" s="226"/>
      <c r="R19641" s="226"/>
      <c r="S19641" s="226"/>
      <c r="T19641" s="226"/>
      <c r="U19641" s="226"/>
    </row>
    <row r="19642" spans="16:21" x14ac:dyDescent="0.35">
      <c r="P19642" s="226"/>
      <c r="Q19642" s="226"/>
      <c r="R19642" s="226"/>
      <c r="S19642" s="226"/>
      <c r="T19642" s="226"/>
      <c r="U19642" s="226"/>
    </row>
    <row r="19643" spans="16:21" x14ac:dyDescent="0.35">
      <c r="P19643" s="226"/>
      <c r="Q19643" s="226"/>
      <c r="R19643" s="226"/>
      <c r="S19643" s="226"/>
      <c r="T19643" s="226"/>
      <c r="U19643" s="226"/>
    </row>
    <row r="19644" spans="16:21" x14ac:dyDescent="0.35">
      <c r="P19644" s="226"/>
      <c r="Q19644" s="226"/>
      <c r="R19644" s="226"/>
      <c r="S19644" s="226"/>
      <c r="T19644" s="226"/>
      <c r="U19644" s="226"/>
    </row>
    <row r="19645" spans="16:21" x14ac:dyDescent="0.35">
      <c r="P19645" s="226"/>
      <c r="Q19645" s="226"/>
      <c r="R19645" s="226"/>
      <c r="S19645" s="226"/>
      <c r="T19645" s="226"/>
      <c r="U19645" s="226"/>
    </row>
    <row r="19646" spans="16:21" x14ac:dyDescent="0.35">
      <c r="P19646" s="226"/>
      <c r="Q19646" s="226"/>
      <c r="R19646" s="226"/>
      <c r="S19646" s="226"/>
      <c r="T19646" s="226"/>
      <c r="U19646" s="226"/>
    </row>
    <row r="19647" spans="16:21" x14ac:dyDescent="0.35">
      <c r="P19647" s="226"/>
      <c r="Q19647" s="226"/>
      <c r="R19647" s="226"/>
      <c r="S19647" s="226"/>
      <c r="T19647" s="226"/>
      <c r="U19647" s="226"/>
    </row>
    <row r="19648" spans="16:21" x14ac:dyDescent="0.35">
      <c r="P19648" s="226"/>
      <c r="Q19648" s="226"/>
      <c r="R19648" s="226"/>
      <c r="S19648" s="226"/>
      <c r="T19648" s="226"/>
      <c r="U19648" s="226"/>
    </row>
    <row r="19649" spans="16:21" x14ac:dyDescent="0.35">
      <c r="P19649" s="226"/>
      <c r="Q19649" s="226"/>
      <c r="R19649" s="226"/>
      <c r="S19649" s="226"/>
      <c r="T19649" s="226"/>
      <c r="U19649" s="226"/>
    </row>
    <row r="19650" spans="16:21" x14ac:dyDescent="0.35">
      <c r="P19650" s="226"/>
      <c r="Q19650" s="226"/>
      <c r="R19650" s="226"/>
      <c r="S19650" s="226"/>
      <c r="T19650" s="226"/>
      <c r="U19650" s="226"/>
    </row>
    <row r="19651" spans="16:21" x14ac:dyDescent="0.35">
      <c r="P19651" s="226"/>
      <c r="Q19651" s="226"/>
      <c r="R19651" s="226"/>
      <c r="S19651" s="226"/>
      <c r="T19651" s="226"/>
      <c r="U19651" s="226"/>
    </row>
    <row r="19652" spans="16:21" x14ac:dyDescent="0.35">
      <c r="P19652" s="226"/>
      <c r="Q19652" s="226"/>
      <c r="R19652" s="226"/>
      <c r="S19652" s="226"/>
      <c r="T19652" s="226"/>
      <c r="U19652" s="226"/>
    </row>
    <row r="19653" spans="16:21" x14ac:dyDescent="0.35">
      <c r="P19653" s="226"/>
      <c r="Q19653" s="226"/>
      <c r="R19653" s="226"/>
      <c r="S19653" s="226"/>
      <c r="T19653" s="226"/>
      <c r="U19653" s="226"/>
    </row>
    <row r="19654" spans="16:21" x14ac:dyDescent="0.35">
      <c r="P19654" s="226"/>
      <c r="Q19654" s="226"/>
      <c r="R19654" s="226"/>
      <c r="S19654" s="226"/>
      <c r="T19654" s="226"/>
      <c r="U19654" s="226"/>
    </row>
    <row r="19655" spans="16:21" x14ac:dyDescent="0.35">
      <c r="P19655" s="226"/>
      <c r="Q19655" s="226"/>
      <c r="R19655" s="226"/>
      <c r="S19655" s="226"/>
      <c r="T19655" s="226"/>
      <c r="U19655" s="226"/>
    </row>
    <row r="19656" spans="16:21" x14ac:dyDescent="0.35">
      <c r="P19656" s="226"/>
      <c r="Q19656" s="226"/>
      <c r="R19656" s="226"/>
      <c r="S19656" s="226"/>
      <c r="T19656" s="226"/>
      <c r="U19656" s="226"/>
    </row>
    <row r="19657" spans="16:21" x14ac:dyDescent="0.35">
      <c r="P19657" s="226"/>
      <c r="Q19657" s="226"/>
      <c r="R19657" s="226"/>
      <c r="S19657" s="226"/>
      <c r="T19657" s="226"/>
      <c r="U19657" s="226"/>
    </row>
    <row r="19658" spans="16:21" x14ac:dyDescent="0.35">
      <c r="P19658" s="226"/>
      <c r="Q19658" s="226"/>
      <c r="R19658" s="226"/>
      <c r="S19658" s="226"/>
      <c r="T19658" s="226"/>
      <c r="U19658" s="226"/>
    </row>
    <row r="19659" spans="16:21" x14ac:dyDescent="0.35">
      <c r="P19659" s="226"/>
      <c r="Q19659" s="226"/>
      <c r="R19659" s="226"/>
      <c r="S19659" s="226"/>
      <c r="T19659" s="226"/>
      <c r="U19659" s="226"/>
    </row>
    <row r="19660" spans="16:21" x14ac:dyDescent="0.35">
      <c r="P19660" s="226"/>
      <c r="Q19660" s="226"/>
      <c r="R19660" s="226"/>
      <c r="S19660" s="226"/>
      <c r="T19660" s="226"/>
      <c r="U19660" s="226"/>
    </row>
    <row r="19661" spans="16:21" x14ac:dyDescent="0.35">
      <c r="P19661" s="226"/>
      <c r="Q19661" s="226"/>
      <c r="R19661" s="226"/>
      <c r="S19661" s="226"/>
      <c r="T19661" s="226"/>
      <c r="U19661" s="226"/>
    </row>
    <row r="19662" spans="16:21" x14ac:dyDescent="0.35">
      <c r="P19662" s="226"/>
      <c r="Q19662" s="226"/>
      <c r="R19662" s="226"/>
      <c r="S19662" s="226"/>
      <c r="T19662" s="226"/>
      <c r="U19662" s="226"/>
    </row>
    <row r="19663" spans="16:21" x14ac:dyDescent="0.35">
      <c r="P19663" s="226"/>
      <c r="Q19663" s="226"/>
      <c r="R19663" s="226"/>
      <c r="S19663" s="226"/>
      <c r="T19663" s="226"/>
      <c r="U19663" s="226"/>
    </row>
    <row r="19664" spans="16:21" x14ac:dyDescent="0.35">
      <c r="P19664" s="226"/>
      <c r="Q19664" s="226"/>
      <c r="R19664" s="226"/>
      <c r="S19664" s="226"/>
      <c r="T19664" s="226"/>
      <c r="U19664" s="226"/>
    </row>
    <row r="19665" spans="16:21" x14ac:dyDescent="0.35">
      <c r="P19665" s="226"/>
      <c r="Q19665" s="226"/>
      <c r="R19665" s="226"/>
      <c r="S19665" s="226"/>
      <c r="T19665" s="226"/>
      <c r="U19665" s="226"/>
    </row>
    <row r="19666" spans="16:21" x14ac:dyDescent="0.35">
      <c r="P19666" s="226"/>
      <c r="Q19666" s="226"/>
      <c r="R19666" s="226"/>
      <c r="S19666" s="226"/>
      <c r="T19666" s="226"/>
      <c r="U19666" s="226"/>
    </row>
    <row r="19667" spans="16:21" x14ac:dyDescent="0.35">
      <c r="P19667" s="226"/>
      <c r="Q19667" s="226"/>
      <c r="R19667" s="226"/>
      <c r="S19667" s="226"/>
      <c r="T19667" s="226"/>
      <c r="U19667" s="226"/>
    </row>
    <row r="19668" spans="16:21" x14ac:dyDescent="0.35">
      <c r="P19668" s="226"/>
      <c r="Q19668" s="226"/>
      <c r="R19668" s="226"/>
      <c r="S19668" s="226"/>
      <c r="T19668" s="226"/>
      <c r="U19668" s="226"/>
    </row>
    <row r="19669" spans="16:21" x14ac:dyDescent="0.35">
      <c r="P19669" s="226"/>
      <c r="Q19669" s="226"/>
      <c r="R19669" s="226"/>
      <c r="S19669" s="226"/>
      <c r="T19669" s="226"/>
      <c r="U19669" s="226"/>
    </row>
    <row r="19670" spans="16:21" x14ac:dyDescent="0.35">
      <c r="P19670" s="226"/>
      <c r="Q19670" s="226"/>
      <c r="R19670" s="226"/>
      <c r="S19670" s="226"/>
      <c r="T19670" s="226"/>
      <c r="U19670" s="226"/>
    </row>
    <row r="19671" spans="16:21" x14ac:dyDescent="0.35">
      <c r="P19671" s="226"/>
      <c r="Q19671" s="226"/>
      <c r="R19671" s="226"/>
      <c r="S19671" s="226"/>
      <c r="T19671" s="226"/>
      <c r="U19671" s="226"/>
    </row>
    <row r="19672" spans="16:21" x14ac:dyDescent="0.35">
      <c r="P19672" s="226"/>
      <c r="Q19672" s="226"/>
      <c r="R19672" s="226"/>
      <c r="S19672" s="226"/>
      <c r="T19672" s="226"/>
      <c r="U19672" s="226"/>
    </row>
    <row r="19673" spans="16:21" x14ac:dyDescent="0.35">
      <c r="P19673" s="226"/>
      <c r="Q19673" s="226"/>
      <c r="R19673" s="226"/>
      <c r="S19673" s="226"/>
      <c r="T19673" s="226"/>
      <c r="U19673" s="226"/>
    </row>
    <row r="19674" spans="16:21" x14ac:dyDescent="0.35">
      <c r="P19674" s="226"/>
      <c r="Q19674" s="226"/>
      <c r="R19674" s="226"/>
      <c r="S19674" s="226"/>
      <c r="T19674" s="226"/>
      <c r="U19674" s="226"/>
    </row>
    <row r="19675" spans="16:21" x14ac:dyDescent="0.35">
      <c r="P19675" s="226"/>
      <c r="Q19675" s="226"/>
      <c r="R19675" s="226"/>
      <c r="S19675" s="226"/>
      <c r="T19675" s="226"/>
      <c r="U19675" s="226"/>
    </row>
    <row r="19676" spans="16:21" x14ac:dyDescent="0.35">
      <c r="P19676" s="226"/>
      <c r="Q19676" s="226"/>
      <c r="R19676" s="226"/>
      <c r="S19676" s="226"/>
      <c r="T19676" s="226"/>
      <c r="U19676" s="226"/>
    </row>
    <row r="19677" spans="16:21" x14ac:dyDescent="0.35">
      <c r="P19677" s="226"/>
      <c r="Q19677" s="226"/>
      <c r="R19677" s="226"/>
      <c r="S19677" s="226"/>
      <c r="T19677" s="226"/>
      <c r="U19677" s="226"/>
    </row>
    <row r="19678" spans="16:21" x14ac:dyDescent="0.35">
      <c r="P19678" s="226"/>
      <c r="Q19678" s="226"/>
      <c r="R19678" s="226"/>
      <c r="S19678" s="226"/>
      <c r="T19678" s="226"/>
      <c r="U19678" s="226"/>
    </row>
    <row r="19679" spans="16:21" x14ac:dyDescent="0.35">
      <c r="P19679" s="226"/>
      <c r="Q19679" s="226"/>
      <c r="R19679" s="226"/>
      <c r="S19679" s="226"/>
      <c r="T19679" s="226"/>
      <c r="U19679" s="226"/>
    </row>
    <row r="19680" spans="16:21" x14ac:dyDescent="0.35">
      <c r="P19680" s="226"/>
      <c r="Q19680" s="226"/>
      <c r="R19680" s="226"/>
      <c r="S19680" s="226"/>
      <c r="T19680" s="226"/>
      <c r="U19680" s="226"/>
    </row>
    <row r="19681" spans="16:21" x14ac:dyDescent="0.35">
      <c r="P19681" s="226"/>
      <c r="Q19681" s="226"/>
      <c r="R19681" s="226"/>
      <c r="S19681" s="226"/>
      <c r="T19681" s="226"/>
      <c r="U19681" s="226"/>
    </row>
    <row r="19682" spans="16:21" x14ac:dyDescent="0.35">
      <c r="P19682" s="226"/>
      <c r="Q19682" s="226"/>
      <c r="R19682" s="226"/>
      <c r="S19682" s="226"/>
      <c r="T19682" s="226"/>
      <c r="U19682" s="226"/>
    </row>
    <row r="19683" spans="16:21" x14ac:dyDescent="0.35">
      <c r="P19683" s="226"/>
      <c r="Q19683" s="226"/>
      <c r="R19683" s="226"/>
      <c r="S19683" s="226"/>
      <c r="T19683" s="226"/>
      <c r="U19683" s="226"/>
    </row>
    <row r="19684" spans="16:21" x14ac:dyDescent="0.35">
      <c r="P19684" s="226"/>
      <c r="Q19684" s="226"/>
      <c r="R19684" s="226"/>
      <c r="S19684" s="226"/>
      <c r="T19684" s="226"/>
      <c r="U19684" s="226"/>
    </row>
    <row r="19685" spans="16:21" x14ac:dyDescent="0.35">
      <c r="P19685" s="226"/>
      <c r="Q19685" s="226"/>
      <c r="R19685" s="226"/>
      <c r="S19685" s="226"/>
      <c r="T19685" s="226"/>
      <c r="U19685" s="226"/>
    </row>
    <row r="19686" spans="16:21" x14ac:dyDescent="0.35">
      <c r="P19686" s="226"/>
      <c r="Q19686" s="226"/>
      <c r="R19686" s="226"/>
      <c r="S19686" s="226"/>
      <c r="T19686" s="226"/>
      <c r="U19686" s="226"/>
    </row>
    <row r="19687" spans="16:21" x14ac:dyDescent="0.35">
      <c r="P19687" s="226"/>
      <c r="Q19687" s="226"/>
      <c r="R19687" s="226"/>
      <c r="S19687" s="226"/>
      <c r="T19687" s="226"/>
      <c r="U19687" s="226"/>
    </row>
    <row r="19688" spans="16:21" x14ac:dyDescent="0.35">
      <c r="P19688" s="226"/>
      <c r="Q19688" s="226"/>
      <c r="R19688" s="226"/>
      <c r="S19688" s="226"/>
      <c r="T19688" s="226"/>
      <c r="U19688" s="226"/>
    </row>
    <row r="19689" spans="16:21" x14ac:dyDescent="0.35">
      <c r="P19689" s="226"/>
      <c r="Q19689" s="226"/>
      <c r="R19689" s="226"/>
      <c r="S19689" s="226"/>
      <c r="T19689" s="226"/>
      <c r="U19689" s="226"/>
    </row>
    <row r="19690" spans="16:21" x14ac:dyDescent="0.35">
      <c r="P19690" s="226"/>
      <c r="Q19690" s="226"/>
      <c r="R19690" s="226"/>
      <c r="S19690" s="226"/>
      <c r="T19690" s="226"/>
      <c r="U19690" s="226"/>
    </row>
    <row r="19691" spans="16:21" x14ac:dyDescent="0.35">
      <c r="P19691" s="226"/>
      <c r="Q19691" s="226"/>
      <c r="R19691" s="226"/>
      <c r="S19691" s="226"/>
      <c r="T19691" s="226"/>
      <c r="U19691" s="226"/>
    </row>
    <row r="19692" spans="16:21" x14ac:dyDescent="0.35">
      <c r="P19692" s="226"/>
      <c r="Q19692" s="226"/>
      <c r="R19692" s="226"/>
      <c r="S19692" s="226"/>
      <c r="T19692" s="226"/>
      <c r="U19692" s="226"/>
    </row>
    <row r="19693" spans="16:21" x14ac:dyDescent="0.35">
      <c r="P19693" s="226"/>
      <c r="Q19693" s="226"/>
      <c r="R19693" s="226"/>
      <c r="S19693" s="226"/>
      <c r="T19693" s="226"/>
      <c r="U19693" s="226"/>
    </row>
    <row r="19694" spans="16:21" x14ac:dyDescent="0.35">
      <c r="P19694" s="226"/>
      <c r="Q19694" s="226"/>
      <c r="R19694" s="226"/>
      <c r="S19694" s="226"/>
      <c r="T19694" s="226"/>
      <c r="U19694" s="226"/>
    </row>
    <row r="19695" spans="16:21" x14ac:dyDescent="0.35">
      <c r="P19695" s="226"/>
      <c r="Q19695" s="226"/>
      <c r="R19695" s="226"/>
      <c r="S19695" s="226"/>
      <c r="T19695" s="226"/>
      <c r="U19695" s="226"/>
    </row>
    <row r="19696" spans="16:21" x14ac:dyDescent="0.35">
      <c r="P19696" s="226"/>
      <c r="Q19696" s="226"/>
      <c r="R19696" s="226"/>
      <c r="S19696" s="226"/>
      <c r="T19696" s="226"/>
      <c r="U19696" s="226"/>
    </row>
    <row r="19697" spans="16:21" x14ac:dyDescent="0.35">
      <c r="P19697" s="226"/>
      <c r="Q19697" s="226"/>
      <c r="R19697" s="226"/>
      <c r="S19697" s="226"/>
      <c r="T19697" s="226"/>
      <c r="U19697" s="226"/>
    </row>
    <row r="19698" spans="16:21" x14ac:dyDescent="0.35">
      <c r="P19698" s="226"/>
      <c r="Q19698" s="226"/>
      <c r="R19698" s="226"/>
      <c r="S19698" s="226"/>
      <c r="T19698" s="226"/>
      <c r="U19698" s="226"/>
    </row>
    <row r="19699" spans="16:21" x14ac:dyDescent="0.35">
      <c r="P19699" s="226"/>
      <c r="Q19699" s="226"/>
      <c r="R19699" s="226"/>
      <c r="S19699" s="226"/>
      <c r="T19699" s="226"/>
      <c r="U19699" s="226"/>
    </row>
    <row r="19700" spans="16:21" x14ac:dyDescent="0.35">
      <c r="P19700" s="226"/>
      <c r="Q19700" s="226"/>
      <c r="R19700" s="226"/>
      <c r="S19700" s="226"/>
      <c r="T19700" s="226"/>
      <c r="U19700" s="226"/>
    </row>
    <row r="19701" spans="16:21" x14ac:dyDescent="0.35">
      <c r="P19701" s="226"/>
      <c r="Q19701" s="226"/>
      <c r="R19701" s="226"/>
      <c r="S19701" s="226"/>
      <c r="T19701" s="226"/>
      <c r="U19701" s="226"/>
    </row>
    <row r="19702" spans="16:21" x14ac:dyDescent="0.35">
      <c r="P19702" s="226"/>
      <c r="Q19702" s="226"/>
      <c r="R19702" s="226"/>
      <c r="S19702" s="226"/>
      <c r="T19702" s="226"/>
      <c r="U19702" s="226"/>
    </row>
    <row r="19703" spans="16:21" x14ac:dyDescent="0.35">
      <c r="P19703" s="226"/>
      <c r="Q19703" s="226"/>
      <c r="R19703" s="226"/>
      <c r="S19703" s="226"/>
      <c r="T19703" s="226"/>
      <c r="U19703" s="226"/>
    </row>
    <row r="19704" spans="16:21" x14ac:dyDescent="0.35">
      <c r="P19704" s="226"/>
      <c r="Q19704" s="226"/>
      <c r="R19704" s="226"/>
      <c r="S19704" s="226"/>
      <c r="T19704" s="226"/>
      <c r="U19704" s="226"/>
    </row>
    <row r="19705" spans="16:21" x14ac:dyDescent="0.35">
      <c r="P19705" s="226"/>
      <c r="Q19705" s="226"/>
      <c r="R19705" s="226"/>
      <c r="S19705" s="226"/>
      <c r="T19705" s="226"/>
      <c r="U19705" s="226"/>
    </row>
    <row r="19706" spans="16:21" x14ac:dyDescent="0.35">
      <c r="P19706" s="226"/>
      <c r="Q19706" s="226"/>
      <c r="R19706" s="226"/>
      <c r="S19706" s="226"/>
      <c r="T19706" s="226"/>
      <c r="U19706" s="226"/>
    </row>
    <row r="19707" spans="16:21" x14ac:dyDescent="0.35">
      <c r="P19707" s="226"/>
      <c r="Q19707" s="226"/>
      <c r="R19707" s="226"/>
      <c r="S19707" s="226"/>
      <c r="T19707" s="226"/>
      <c r="U19707" s="226"/>
    </row>
    <row r="19708" spans="16:21" x14ac:dyDescent="0.35">
      <c r="P19708" s="226"/>
      <c r="Q19708" s="226"/>
      <c r="R19708" s="226"/>
      <c r="S19708" s="226"/>
      <c r="T19708" s="226"/>
      <c r="U19708" s="226"/>
    </row>
    <row r="19709" spans="16:21" x14ac:dyDescent="0.35">
      <c r="P19709" s="226"/>
      <c r="Q19709" s="226"/>
      <c r="R19709" s="226"/>
      <c r="S19709" s="226"/>
      <c r="T19709" s="226"/>
      <c r="U19709" s="226"/>
    </row>
    <row r="19710" spans="16:21" x14ac:dyDescent="0.35">
      <c r="P19710" s="226"/>
      <c r="Q19710" s="226"/>
      <c r="R19710" s="226"/>
      <c r="S19710" s="226"/>
      <c r="T19710" s="226"/>
      <c r="U19710" s="226"/>
    </row>
    <row r="19711" spans="16:21" x14ac:dyDescent="0.35">
      <c r="P19711" s="226"/>
      <c r="Q19711" s="226"/>
      <c r="R19711" s="226"/>
      <c r="S19711" s="226"/>
      <c r="T19711" s="226"/>
      <c r="U19711" s="226"/>
    </row>
    <row r="19712" spans="16:21" x14ac:dyDescent="0.35">
      <c r="P19712" s="226"/>
      <c r="Q19712" s="226"/>
      <c r="R19712" s="226"/>
      <c r="S19712" s="226"/>
      <c r="T19712" s="226"/>
      <c r="U19712" s="226"/>
    </row>
    <row r="19713" spans="16:21" x14ac:dyDescent="0.35">
      <c r="P19713" s="226"/>
      <c r="Q19713" s="226"/>
      <c r="R19713" s="226"/>
      <c r="S19713" s="226"/>
      <c r="T19713" s="226"/>
      <c r="U19713" s="226"/>
    </row>
    <row r="19714" spans="16:21" x14ac:dyDescent="0.35">
      <c r="P19714" s="226"/>
      <c r="Q19714" s="226"/>
      <c r="R19714" s="226"/>
      <c r="S19714" s="226"/>
      <c r="T19714" s="226"/>
      <c r="U19714" s="226"/>
    </row>
    <row r="19715" spans="16:21" x14ac:dyDescent="0.35">
      <c r="P19715" s="226"/>
      <c r="Q19715" s="226"/>
      <c r="R19715" s="226"/>
      <c r="S19715" s="226"/>
      <c r="T19715" s="226"/>
      <c r="U19715" s="226"/>
    </row>
    <row r="19716" spans="16:21" x14ac:dyDescent="0.35">
      <c r="P19716" s="226"/>
      <c r="Q19716" s="226"/>
      <c r="R19716" s="226"/>
      <c r="S19716" s="226"/>
      <c r="T19716" s="226"/>
      <c r="U19716" s="226"/>
    </row>
    <row r="19717" spans="16:21" x14ac:dyDescent="0.35">
      <c r="P19717" s="226"/>
      <c r="Q19717" s="226"/>
      <c r="R19717" s="226"/>
      <c r="S19717" s="226"/>
      <c r="T19717" s="226"/>
      <c r="U19717" s="226"/>
    </row>
    <row r="19718" spans="16:21" x14ac:dyDescent="0.35">
      <c r="P19718" s="226"/>
      <c r="Q19718" s="226"/>
      <c r="R19718" s="226"/>
      <c r="S19718" s="226"/>
      <c r="T19718" s="226"/>
      <c r="U19718" s="226"/>
    </row>
    <row r="19719" spans="16:21" x14ac:dyDescent="0.35">
      <c r="P19719" s="226"/>
      <c r="Q19719" s="226"/>
      <c r="R19719" s="226"/>
      <c r="S19719" s="226"/>
      <c r="T19719" s="226"/>
      <c r="U19719" s="226"/>
    </row>
    <row r="19720" spans="16:21" x14ac:dyDescent="0.35">
      <c r="P19720" s="226"/>
      <c r="Q19720" s="226"/>
      <c r="R19720" s="226"/>
      <c r="S19720" s="226"/>
      <c r="T19720" s="226"/>
      <c r="U19720" s="226"/>
    </row>
    <row r="19721" spans="16:21" x14ac:dyDescent="0.35">
      <c r="P19721" s="226"/>
      <c r="Q19721" s="226"/>
      <c r="R19721" s="226"/>
      <c r="S19721" s="226"/>
      <c r="T19721" s="226"/>
      <c r="U19721" s="226"/>
    </row>
    <row r="19722" spans="16:21" x14ac:dyDescent="0.35">
      <c r="P19722" s="226"/>
      <c r="Q19722" s="226"/>
      <c r="R19722" s="226"/>
      <c r="S19722" s="226"/>
      <c r="T19722" s="226"/>
      <c r="U19722" s="226"/>
    </row>
    <row r="19723" spans="16:21" x14ac:dyDescent="0.35">
      <c r="P19723" s="226"/>
      <c r="Q19723" s="226"/>
      <c r="R19723" s="226"/>
      <c r="S19723" s="226"/>
      <c r="T19723" s="226"/>
      <c r="U19723" s="226"/>
    </row>
    <row r="19724" spans="16:21" x14ac:dyDescent="0.35">
      <c r="P19724" s="226"/>
      <c r="Q19724" s="226"/>
      <c r="R19724" s="226"/>
      <c r="S19724" s="226"/>
      <c r="T19724" s="226"/>
      <c r="U19724" s="226"/>
    </row>
    <row r="19725" spans="16:21" x14ac:dyDescent="0.35">
      <c r="P19725" s="226"/>
      <c r="Q19725" s="226"/>
      <c r="R19725" s="226"/>
      <c r="S19725" s="226"/>
      <c r="T19725" s="226"/>
      <c r="U19725" s="226"/>
    </row>
    <row r="19726" spans="16:21" x14ac:dyDescent="0.35">
      <c r="P19726" s="226"/>
      <c r="Q19726" s="226"/>
      <c r="R19726" s="226"/>
      <c r="S19726" s="226"/>
      <c r="T19726" s="226"/>
      <c r="U19726" s="226"/>
    </row>
    <row r="19727" spans="16:21" x14ac:dyDescent="0.35">
      <c r="P19727" s="226"/>
      <c r="Q19727" s="226"/>
      <c r="R19727" s="226"/>
      <c r="S19727" s="226"/>
      <c r="T19727" s="226"/>
      <c r="U19727" s="226"/>
    </row>
    <row r="19728" spans="16:21" x14ac:dyDescent="0.35">
      <c r="P19728" s="226"/>
      <c r="Q19728" s="226"/>
      <c r="R19728" s="226"/>
      <c r="S19728" s="226"/>
      <c r="T19728" s="226"/>
      <c r="U19728" s="226"/>
    </row>
    <row r="19729" spans="16:21" x14ac:dyDescent="0.35">
      <c r="P19729" s="226"/>
      <c r="Q19729" s="226"/>
      <c r="R19729" s="226"/>
      <c r="S19729" s="226"/>
      <c r="T19729" s="226"/>
      <c r="U19729" s="226"/>
    </row>
    <row r="19730" spans="16:21" x14ac:dyDescent="0.35">
      <c r="P19730" s="226"/>
      <c r="Q19730" s="226"/>
      <c r="R19730" s="226"/>
      <c r="S19730" s="226"/>
      <c r="T19730" s="226"/>
      <c r="U19730" s="226"/>
    </row>
    <row r="19731" spans="16:21" x14ac:dyDescent="0.35">
      <c r="P19731" s="226"/>
      <c r="Q19731" s="226"/>
      <c r="R19731" s="226"/>
      <c r="S19731" s="226"/>
      <c r="T19731" s="226"/>
      <c r="U19731" s="226"/>
    </row>
    <row r="19732" spans="16:21" x14ac:dyDescent="0.35">
      <c r="P19732" s="226"/>
      <c r="Q19732" s="226"/>
      <c r="R19732" s="226"/>
      <c r="S19732" s="226"/>
      <c r="T19732" s="226"/>
      <c r="U19732" s="226"/>
    </row>
    <row r="19733" spans="16:21" x14ac:dyDescent="0.35">
      <c r="P19733" s="226"/>
      <c r="Q19733" s="226"/>
      <c r="R19733" s="226"/>
      <c r="S19733" s="226"/>
      <c r="T19733" s="226"/>
      <c r="U19733" s="226"/>
    </row>
    <row r="19734" spans="16:21" x14ac:dyDescent="0.35">
      <c r="P19734" s="226"/>
      <c r="Q19734" s="226"/>
      <c r="R19734" s="226"/>
      <c r="S19734" s="226"/>
      <c r="T19734" s="226"/>
      <c r="U19734" s="226"/>
    </row>
    <row r="19735" spans="16:21" x14ac:dyDescent="0.35">
      <c r="P19735" s="226"/>
      <c r="Q19735" s="226"/>
      <c r="R19735" s="226"/>
      <c r="S19735" s="226"/>
      <c r="T19735" s="226"/>
      <c r="U19735" s="226"/>
    </row>
    <row r="19736" spans="16:21" x14ac:dyDescent="0.35">
      <c r="P19736" s="226"/>
      <c r="Q19736" s="226"/>
      <c r="R19736" s="226"/>
      <c r="S19736" s="226"/>
      <c r="T19736" s="226"/>
      <c r="U19736" s="226"/>
    </row>
    <row r="19737" spans="16:21" x14ac:dyDescent="0.35">
      <c r="P19737" s="226"/>
      <c r="Q19737" s="226"/>
      <c r="R19737" s="226"/>
      <c r="S19737" s="226"/>
      <c r="T19737" s="226"/>
      <c r="U19737" s="226"/>
    </row>
    <row r="19738" spans="16:21" x14ac:dyDescent="0.35">
      <c r="P19738" s="226"/>
      <c r="Q19738" s="226"/>
      <c r="R19738" s="226"/>
      <c r="S19738" s="226"/>
      <c r="T19738" s="226"/>
      <c r="U19738" s="226"/>
    </row>
    <row r="19739" spans="16:21" x14ac:dyDescent="0.35">
      <c r="P19739" s="226"/>
      <c r="Q19739" s="226"/>
      <c r="R19739" s="226"/>
      <c r="S19739" s="226"/>
      <c r="T19739" s="226"/>
      <c r="U19739" s="226"/>
    </row>
    <row r="19740" spans="16:21" x14ac:dyDescent="0.35">
      <c r="P19740" s="226"/>
      <c r="Q19740" s="226"/>
      <c r="R19740" s="226"/>
      <c r="S19740" s="226"/>
      <c r="T19740" s="226"/>
      <c r="U19740" s="226"/>
    </row>
    <row r="19741" spans="16:21" x14ac:dyDescent="0.35">
      <c r="P19741" s="226"/>
      <c r="Q19741" s="226"/>
      <c r="R19741" s="226"/>
      <c r="S19741" s="226"/>
      <c r="T19741" s="226"/>
      <c r="U19741" s="226"/>
    </row>
    <row r="19742" spans="16:21" x14ac:dyDescent="0.35">
      <c r="P19742" s="226"/>
      <c r="Q19742" s="226"/>
      <c r="R19742" s="226"/>
      <c r="S19742" s="226"/>
      <c r="T19742" s="226"/>
      <c r="U19742" s="226"/>
    </row>
    <row r="19743" spans="16:21" x14ac:dyDescent="0.35">
      <c r="P19743" s="226"/>
      <c r="Q19743" s="226"/>
      <c r="R19743" s="226"/>
      <c r="S19743" s="226"/>
      <c r="T19743" s="226"/>
      <c r="U19743" s="226"/>
    </row>
    <row r="19744" spans="16:21" x14ac:dyDescent="0.35">
      <c r="P19744" s="226"/>
      <c r="Q19744" s="226"/>
      <c r="R19744" s="226"/>
      <c r="S19744" s="226"/>
      <c r="T19744" s="226"/>
      <c r="U19744" s="226"/>
    </row>
    <row r="19745" spans="16:21" x14ac:dyDescent="0.35">
      <c r="P19745" s="226"/>
      <c r="Q19745" s="226"/>
      <c r="R19745" s="226"/>
      <c r="S19745" s="226"/>
      <c r="T19745" s="226"/>
      <c r="U19745" s="226"/>
    </row>
    <row r="19746" spans="16:21" x14ac:dyDescent="0.35">
      <c r="P19746" s="226"/>
      <c r="Q19746" s="226"/>
      <c r="R19746" s="226"/>
      <c r="S19746" s="226"/>
      <c r="T19746" s="226"/>
      <c r="U19746" s="226"/>
    </row>
    <row r="19747" spans="16:21" x14ac:dyDescent="0.35">
      <c r="P19747" s="226"/>
      <c r="Q19747" s="226"/>
      <c r="R19747" s="226"/>
      <c r="S19747" s="226"/>
      <c r="T19747" s="226"/>
      <c r="U19747" s="226"/>
    </row>
    <row r="19748" spans="16:21" x14ac:dyDescent="0.35">
      <c r="P19748" s="226"/>
      <c r="Q19748" s="226"/>
      <c r="R19748" s="226"/>
      <c r="S19748" s="226"/>
      <c r="T19748" s="226"/>
      <c r="U19748" s="226"/>
    </row>
    <row r="19749" spans="16:21" x14ac:dyDescent="0.35">
      <c r="P19749" s="226"/>
      <c r="Q19749" s="226"/>
      <c r="R19749" s="226"/>
      <c r="S19749" s="226"/>
      <c r="T19749" s="226"/>
      <c r="U19749" s="226"/>
    </row>
    <row r="19750" spans="16:21" x14ac:dyDescent="0.35">
      <c r="P19750" s="226"/>
      <c r="Q19750" s="226"/>
      <c r="R19750" s="226"/>
      <c r="S19750" s="226"/>
      <c r="T19750" s="226"/>
      <c r="U19750" s="226"/>
    </row>
    <row r="19751" spans="16:21" x14ac:dyDescent="0.35">
      <c r="P19751" s="226"/>
      <c r="Q19751" s="226"/>
      <c r="R19751" s="226"/>
      <c r="S19751" s="226"/>
      <c r="T19751" s="226"/>
      <c r="U19751" s="226"/>
    </row>
    <row r="19752" spans="16:21" x14ac:dyDescent="0.35">
      <c r="P19752" s="226"/>
      <c r="Q19752" s="226"/>
      <c r="R19752" s="226"/>
      <c r="S19752" s="226"/>
      <c r="T19752" s="226"/>
      <c r="U19752" s="226"/>
    </row>
    <row r="19753" spans="16:21" x14ac:dyDescent="0.35">
      <c r="P19753" s="226"/>
      <c r="Q19753" s="226"/>
      <c r="R19753" s="226"/>
      <c r="S19753" s="226"/>
      <c r="T19753" s="226"/>
      <c r="U19753" s="226"/>
    </row>
    <row r="19754" spans="16:21" x14ac:dyDescent="0.35">
      <c r="P19754" s="226"/>
      <c r="Q19754" s="226"/>
      <c r="R19754" s="226"/>
      <c r="S19754" s="226"/>
      <c r="T19754" s="226"/>
      <c r="U19754" s="226"/>
    </row>
    <row r="19755" spans="16:21" x14ac:dyDescent="0.35">
      <c r="P19755" s="226"/>
      <c r="Q19755" s="226"/>
      <c r="R19755" s="226"/>
      <c r="S19755" s="226"/>
      <c r="T19755" s="226"/>
      <c r="U19755" s="226"/>
    </row>
    <row r="19756" spans="16:21" x14ac:dyDescent="0.35">
      <c r="P19756" s="226"/>
      <c r="Q19756" s="226"/>
      <c r="R19756" s="226"/>
      <c r="S19756" s="226"/>
      <c r="T19756" s="226"/>
      <c r="U19756" s="226"/>
    </row>
    <row r="19757" spans="16:21" x14ac:dyDescent="0.35">
      <c r="P19757" s="226"/>
      <c r="Q19757" s="226"/>
      <c r="R19757" s="226"/>
      <c r="S19757" s="226"/>
      <c r="T19757" s="226"/>
      <c r="U19757" s="226"/>
    </row>
    <row r="19758" spans="16:21" x14ac:dyDescent="0.35">
      <c r="P19758" s="226"/>
      <c r="Q19758" s="226"/>
      <c r="R19758" s="226"/>
      <c r="S19758" s="226"/>
      <c r="T19758" s="226"/>
      <c r="U19758" s="226"/>
    </row>
    <row r="19759" spans="16:21" x14ac:dyDescent="0.35">
      <c r="P19759" s="226"/>
      <c r="Q19759" s="226"/>
      <c r="R19759" s="226"/>
      <c r="S19759" s="226"/>
      <c r="T19759" s="226"/>
      <c r="U19759" s="226"/>
    </row>
    <row r="19760" spans="16:21" x14ac:dyDescent="0.35">
      <c r="P19760" s="226"/>
      <c r="Q19760" s="226"/>
      <c r="R19760" s="226"/>
      <c r="S19760" s="226"/>
      <c r="T19760" s="226"/>
      <c r="U19760" s="226"/>
    </row>
    <row r="19761" spans="16:21" x14ac:dyDescent="0.35">
      <c r="P19761" s="226"/>
      <c r="Q19761" s="226"/>
      <c r="R19761" s="226"/>
      <c r="S19761" s="226"/>
      <c r="T19761" s="226"/>
      <c r="U19761" s="226"/>
    </row>
    <row r="19762" spans="16:21" x14ac:dyDescent="0.35">
      <c r="P19762" s="226"/>
      <c r="Q19762" s="226"/>
      <c r="R19762" s="226"/>
      <c r="S19762" s="226"/>
      <c r="T19762" s="226"/>
      <c r="U19762" s="226"/>
    </row>
    <row r="19763" spans="16:21" x14ac:dyDescent="0.35">
      <c r="P19763" s="226"/>
      <c r="Q19763" s="226"/>
      <c r="R19763" s="226"/>
      <c r="S19763" s="226"/>
      <c r="T19763" s="226"/>
      <c r="U19763" s="226"/>
    </row>
    <row r="19764" spans="16:21" x14ac:dyDescent="0.35">
      <c r="P19764" s="226"/>
      <c r="Q19764" s="226"/>
      <c r="R19764" s="226"/>
      <c r="S19764" s="226"/>
      <c r="T19764" s="226"/>
      <c r="U19764" s="226"/>
    </row>
    <row r="19765" spans="16:21" x14ac:dyDescent="0.35">
      <c r="P19765" s="226"/>
      <c r="Q19765" s="226"/>
      <c r="R19765" s="226"/>
      <c r="S19765" s="226"/>
      <c r="T19765" s="226"/>
      <c r="U19765" s="226"/>
    </row>
    <row r="19766" spans="16:21" x14ac:dyDescent="0.35">
      <c r="P19766" s="226"/>
      <c r="Q19766" s="226"/>
      <c r="R19766" s="226"/>
      <c r="S19766" s="226"/>
      <c r="T19766" s="226"/>
      <c r="U19766" s="226"/>
    </row>
    <row r="19767" spans="16:21" x14ac:dyDescent="0.35">
      <c r="P19767" s="226"/>
      <c r="Q19767" s="226"/>
      <c r="R19767" s="226"/>
      <c r="S19767" s="226"/>
      <c r="T19767" s="226"/>
      <c r="U19767" s="226"/>
    </row>
    <row r="19768" spans="16:21" x14ac:dyDescent="0.35">
      <c r="P19768" s="226"/>
      <c r="Q19768" s="226"/>
      <c r="R19768" s="226"/>
      <c r="S19768" s="226"/>
      <c r="T19768" s="226"/>
      <c r="U19768" s="226"/>
    </row>
    <row r="19769" spans="16:21" x14ac:dyDescent="0.35">
      <c r="P19769" s="226"/>
      <c r="Q19769" s="226"/>
      <c r="R19769" s="226"/>
      <c r="S19769" s="226"/>
      <c r="T19769" s="226"/>
      <c r="U19769" s="226"/>
    </row>
    <row r="19770" spans="16:21" x14ac:dyDescent="0.35">
      <c r="P19770" s="226"/>
      <c r="Q19770" s="226"/>
      <c r="R19770" s="226"/>
      <c r="S19770" s="226"/>
      <c r="T19770" s="226"/>
      <c r="U19770" s="226"/>
    </row>
    <row r="19771" spans="16:21" x14ac:dyDescent="0.35">
      <c r="P19771" s="226"/>
      <c r="Q19771" s="226"/>
      <c r="R19771" s="226"/>
      <c r="S19771" s="226"/>
      <c r="T19771" s="226"/>
      <c r="U19771" s="226"/>
    </row>
    <row r="19772" spans="16:21" x14ac:dyDescent="0.35">
      <c r="P19772" s="226"/>
      <c r="Q19772" s="226"/>
      <c r="R19772" s="226"/>
      <c r="S19772" s="226"/>
      <c r="T19772" s="226"/>
      <c r="U19772" s="226"/>
    </row>
    <row r="19773" spans="16:21" x14ac:dyDescent="0.35">
      <c r="P19773" s="226"/>
      <c r="Q19773" s="226"/>
      <c r="R19773" s="226"/>
      <c r="S19773" s="226"/>
      <c r="T19773" s="226"/>
      <c r="U19773" s="226"/>
    </row>
    <row r="19774" spans="16:21" x14ac:dyDescent="0.35">
      <c r="P19774" s="226"/>
      <c r="Q19774" s="226"/>
      <c r="R19774" s="226"/>
      <c r="S19774" s="226"/>
      <c r="T19774" s="226"/>
      <c r="U19774" s="226"/>
    </row>
    <row r="19775" spans="16:21" x14ac:dyDescent="0.35">
      <c r="P19775" s="226"/>
      <c r="Q19775" s="226"/>
      <c r="R19775" s="226"/>
      <c r="S19775" s="226"/>
      <c r="T19775" s="226"/>
      <c r="U19775" s="226"/>
    </row>
    <row r="19776" spans="16:21" x14ac:dyDescent="0.35">
      <c r="P19776" s="226"/>
      <c r="Q19776" s="226"/>
      <c r="R19776" s="226"/>
      <c r="S19776" s="226"/>
      <c r="T19776" s="226"/>
      <c r="U19776" s="226"/>
    </row>
    <row r="19777" spans="16:21" x14ac:dyDescent="0.35">
      <c r="P19777" s="226"/>
      <c r="Q19777" s="226"/>
      <c r="R19777" s="226"/>
      <c r="S19777" s="226"/>
      <c r="T19777" s="226"/>
      <c r="U19777" s="226"/>
    </row>
    <row r="19778" spans="16:21" x14ac:dyDescent="0.35">
      <c r="P19778" s="226"/>
      <c r="Q19778" s="226"/>
      <c r="R19778" s="226"/>
      <c r="S19778" s="226"/>
      <c r="T19778" s="226"/>
      <c r="U19778" s="226"/>
    </row>
    <row r="19779" spans="16:21" x14ac:dyDescent="0.35">
      <c r="P19779" s="226"/>
      <c r="Q19779" s="226"/>
      <c r="R19779" s="226"/>
      <c r="S19779" s="226"/>
      <c r="T19779" s="226"/>
      <c r="U19779" s="226"/>
    </row>
    <row r="19780" spans="16:21" x14ac:dyDescent="0.35">
      <c r="P19780" s="226"/>
      <c r="Q19780" s="226"/>
      <c r="R19780" s="226"/>
      <c r="S19780" s="226"/>
      <c r="T19780" s="226"/>
      <c r="U19780" s="226"/>
    </row>
    <row r="19781" spans="16:21" x14ac:dyDescent="0.35">
      <c r="P19781" s="226"/>
      <c r="Q19781" s="226"/>
      <c r="R19781" s="226"/>
      <c r="S19781" s="226"/>
      <c r="T19781" s="226"/>
      <c r="U19781" s="226"/>
    </row>
    <row r="19782" spans="16:21" x14ac:dyDescent="0.35">
      <c r="P19782" s="226"/>
      <c r="Q19782" s="226"/>
      <c r="R19782" s="226"/>
      <c r="S19782" s="226"/>
      <c r="T19782" s="226"/>
      <c r="U19782" s="226"/>
    </row>
    <row r="19783" spans="16:21" x14ac:dyDescent="0.35">
      <c r="P19783" s="226"/>
      <c r="Q19783" s="226"/>
      <c r="R19783" s="226"/>
      <c r="S19783" s="226"/>
      <c r="T19783" s="226"/>
      <c r="U19783" s="226"/>
    </row>
    <row r="19784" spans="16:21" x14ac:dyDescent="0.35">
      <c r="P19784" s="226"/>
      <c r="Q19784" s="226"/>
      <c r="R19784" s="226"/>
      <c r="S19784" s="226"/>
      <c r="T19784" s="226"/>
      <c r="U19784" s="226"/>
    </row>
    <row r="19785" spans="16:21" x14ac:dyDescent="0.35">
      <c r="P19785" s="226"/>
      <c r="Q19785" s="226"/>
      <c r="R19785" s="226"/>
      <c r="S19785" s="226"/>
      <c r="T19785" s="226"/>
      <c r="U19785" s="226"/>
    </row>
    <row r="19786" spans="16:21" x14ac:dyDescent="0.35">
      <c r="P19786" s="226"/>
      <c r="Q19786" s="226"/>
      <c r="R19786" s="226"/>
      <c r="S19786" s="226"/>
      <c r="T19786" s="226"/>
      <c r="U19786" s="226"/>
    </row>
    <row r="19787" spans="16:21" x14ac:dyDescent="0.35">
      <c r="P19787" s="226"/>
      <c r="Q19787" s="226"/>
      <c r="R19787" s="226"/>
      <c r="S19787" s="226"/>
      <c r="T19787" s="226"/>
      <c r="U19787" s="226"/>
    </row>
    <row r="19788" spans="16:21" x14ac:dyDescent="0.35">
      <c r="P19788" s="226"/>
      <c r="Q19788" s="226"/>
      <c r="R19788" s="226"/>
      <c r="S19788" s="226"/>
      <c r="T19788" s="226"/>
      <c r="U19788" s="226"/>
    </row>
    <row r="19789" spans="16:21" x14ac:dyDescent="0.35">
      <c r="P19789" s="226"/>
      <c r="Q19789" s="226"/>
      <c r="R19789" s="226"/>
      <c r="S19789" s="226"/>
      <c r="T19789" s="226"/>
      <c r="U19789" s="226"/>
    </row>
    <row r="19790" spans="16:21" x14ac:dyDescent="0.35">
      <c r="P19790" s="226"/>
      <c r="Q19790" s="226"/>
      <c r="R19790" s="226"/>
      <c r="S19790" s="226"/>
      <c r="T19790" s="226"/>
      <c r="U19790" s="226"/>
    </row>
    <row r="19791" spans="16:21" x14ac:dyDescent="0.35">
      <c r="P19791" s="226"/>
      <c r="Q19791" s="226"/>
      <c r="R19791" s="226"/>
      <c r="S19791" s="226"/>
      <c r="T19791" s="226"/>
      <c r="U19791" s="226"/>
    </row>
    <row r="19792" spans="16:21" x14ac:dyDescent="0.35">
      <c r="P19792" s="226"/>
      <c r="Q19792" s="226"/>
      <c r="R19792" s="226"/>
      <c r="S19792" s="226"/>
      <c r="T19792" s="226"/>
      <c r="U19792" s="226"/>
    </row>
    <row r="19793" spans="16:21" x14ac:dyDescent="0.35">
      <c r="P19793" s="226"/>
      <c r="Q19793" s="226"/>
      <c r="R19793" s="226"/>
      <c r="S19793" s="226"/>
      <c r="T19793" s="226"/>
      <c r="U19793" s="226"/>
    </row>
    <row r="19794" spans="16:21" x14ac:dyDescent="0.35">
      <c r="P19794" s="226"/>
      <c r="Q19794" s="226"/>
      <c r="R19794" s="226"/>
      <c r="S19794" s="226"/>
      <c r="T19794" s="226"/>
      <c r="U19794" s="226"/>
    </row>
    <row r="19795" spans="16:21" x14ac:dyDescent="0.35">
      <c r="P19795" s="226"/>
      <c r="Q19795" s="226"/>
      <c r="R19795" s="226"/>
      <c r="S19795" s="226"/>
      <c r="T19795" s="226"/>
      <c r="U19795" s="226"/>
    </row>
    <row r="19796" spans="16:21" x14ac:dyDescent="0.35">
      <c r="P19796" s="226"/>
      <c r="Q19796" s="226"/>
      <c r="R19796" s="226"/>
      <c r="S19796" s="226"/>
      <c r="T19796" s="226"/>
      <c r="U19796" s="226"/>
    </row>
    <row r="19797" spans="16:21" x14ac:dyDescent="0.35">
      <c r="P19797" s="226"/>
      <c r="Q19797" s="226"/>
      <c r="R19797" s="226"/>
      <c r="S19797" s="226"/>
      <c r="T19797" s="226"/>
      <c r="U19797" s="226"/>
    </row>
    <row r="19798" spans="16:21" x14ac:dyDescent="0.35">
      <c r="P19798" s="226"/>
      <c r="Q19798" s="226"/>
      <c r="R19798" s="226"/>
      <c r="S19798" s="226"/>
      <c r="T19798" s="226"/>
      <c r="U19798" s="226"/>
    </row>
    <row r="19799" spans="16:21" x14ac:dyDescent="0.35">
      <c r="P19799" s="226"/>
      <c r="Q19799" s="226"/>
      <c r="R19799" s="226"/>
      <c r="S19799" s="226"/>
      <c r="T19799" s="226"/>
      <c r="U19799" s="226"/>
    </row>
    <row r="19800" spans="16:21" x14ac:dyDescent="0.35">
      <c r="P19800" s="226"/>
      <c r="Q19800" s="226"/>
      <c r="R19800" s="226"/>
      <c r="S19800" s="226"/>
      <c r="T19800" s="226"/>
      <c r="U19800" s="226"/>
    </row>
    <row r="19801" spans="16:21" x14ac:dyDescent="0.35">
      <c r="P19801" s="226"/>
      <c r="Q19801" s="226"/>
      <c r="R19801" s="226"/>
      <c r="S19801" s="226"/>
      <c r="T19801" s="226"/>
      <c r="U19801" s="226"/>
    </row>
    <row r="19802" spans="16:21" x14ac:dyDescent="0.35">
      <c r="P19802" s="226"/>
      <c r="Q19802" s="226"/>
      <c r="R19802" s="226"/>
      <c r="S19802" s="226"/>
      <c r="T19802" s="226"/>
      <c r="U19802" s="226"/>
    </row>
    <row r="19803" spans="16:21" x14ac:dyDescent="0.35">
      <c r="P19803" s="226"/>
      <c r="Q19803" s="226"/>
      <c r="R19803" s="226"/>
      <c r="S19803" s="226"/>
      <c r="T19803" s="226"/>
      <c r="U19803" s="226"/>
    </row>
    <row r="19804" spans="16:21" x14ac:dyDescent="0.35">
      <c r="P19804" s="226"/>
      <c r="Q19804" s="226"/>
      <c r="R19804" s="226"/>
      <c r="S19804" s="226"/>
      <c r="T19804" s="226"/>
      <c r="U19804" s="226"/>
    </row>
    <row r="19805" spans="16:21" x14ac:dyDescent="0.35">
      <c r="P19805" s="226"/>
      <c r="Q19805" s="226"/>
      <c r="R19805" s="226"/>
      <c r="S19805" s="226"/>
      <c r="T19805" s="226"/>
      <c r="U19805" s="226"/>
    </row>
    <row r="19806" spans="16:21" x14ac:dyDescent="0.35">
      <c r="P19806" s="226"/>
      <c r="Q19806" s="226"/>
      <c r="R19806" s="226"/>
      <c r="S19806" s="226"/>
      <c r="T19806" s="226"/>
      <c r="U19806" s="226"/>
    </row>
    <row r="19807" spans="16:21" x14ac:dyDescent="0.35">
      <c r="P19807" s="226"/>
      <c r="Q19807" s="226"/>
      <c r="R19807" s="226"/>
      <c r="S19807" s="226"/>
      <c r="T19807" s="226"/>
      <c r="U19807" s="226"/>
    </row>
    <row r="19808" spans="16:21" x14ac:dyDescent="0.35">
      <c r="P19808" s="226"/>
      <c r="Q19808" s="226"/>
      <c r="R19808" s="226"/>
      <c r="S19808" s="226"/>
      <c r="T19808" s="226"/>
      <c r="U19808" s="226"/>
    </row>
    <row r="19809" spans="16:21" x14ac:dyDescent="0.35">
      <c r="P19809" s="226"/>
      <c r="Q19809" s="226"/>
      <c r="R19809" s="226"/>
      <c r="S19809" s="226"/>
      <c r="T19809" s="226"/>
      <c r="U19809" s="226"/>
    </row>
    <row r="19810" spans="16:21" x14ac:dyDescent="0.35">
      <c r="P19810" s="226"/>
      <c r="Q19810" s="226"/>
      <c r="R19810" s="226"/>
      <c r="S19810" s="226"/>
      <c r="T19810" s="226"/>
      <c r="U19810" s="226"/>
    </row>
    <row r="19811" spans="16:21" x14ac:dyDescent="0.35">
      <c r="P19811" s="226"/>
      <c r="Q19811" s="226"/>
      <c r="R19811" s="226"/>
      <c r="S19811" s="226"/>
      <c r="T19811" s="226"/>
      <c r="U19811" s="226"/>
    </row>
    <row r="19812" spans="16:21" x14ac:dyDescent="0.35">
      <c r="P19812" s="226"/>
      <c r="Q19812" s="226"/>
      <c r="R19812" s="226"/>
      <c r="S19812" s="226"/>
      <c r="T19812" s="226"/>
      <c r="U19812" s="226"/>
    </row>
    <row r="19813" spans="16:21" x14ac:dyDescent="0.35">
      <c r="P19813" s="226"/>
      <c r="Q19813" s="226"/>
      <c r="R19813" s="226"/>
      <c r="S19813" s="226"/>
      <c r="T19813" s="226"/>
      <c r="U19813" s="226"/>
    </row>
    <row r="19814" spans="16:21" x14ac:dyDescent="0.35">
      <c r="P19814" s="226"/>
      <c r="Q19814" s="226"/>
      <c r="R19814" s="226"/>
      <c r="S19814" s="226"/>
      <c r="T19814" s="226"/>
      <c r="U19814" s="226"/>
    </row>
    <row r="19815" spans="16:21" x14ac:dyDescent="0.35">
      <c r="P19815" s="226"/>
      <c r="Q19815" s="226"/>
      <c r="R19815" s="226"/>
      <c r="S19815" s="226"/>
      <c r="T19815" s="226"/>
      <c r="U19815" s="226"/>
    </row>
    <row r="19816" spans="16:21" x14ac:dyDescent="0.35">
      <c r="P19816" s="226"/>
      <c r="Q19816" s="226"/>
      <c r="R19816" s="226"/>
      <c r="S19816" s="226"/>
      <c r="T19816" s="226"/>
      <c r="U19816" s="226"/>
    </row>
    <row r="19817" spans="16:21" x14ac:dyDescent="0.35">
      <c r="P19817" s="226"/>
      <c r="Q19817" s="226"/>
      <c r="R19817" s="226"/>
      <c r="S19817" s="226"/>
      <c r="T19817" s="226"/>
      <c r="U19817" s="226"/>
    </row>
    <row r="19818" spans="16:21" x14ac:dyDescent="0.35">
      <c r="P19818" s="226"/>
      <c r="Q19818" s="226"/>
      <c r="R19818" s="226"/>
      <c r="S19818" s="226"/>
      <c r="T19818" s="226"/>
      <c r="U19818" s="226"/>
    </row>
    <row r="19819" spans="16:21" x14ac:dyDescent="0.35">
      <c r="P19819" s="226"/>
      <c r="Q19819" s="226"/>
      <c r="R19819" s="226"/>
      <c r="S19819" s="226"/>
      <c r="T19819" s="226"/>
      <c r="U19819" s="226"/>
    </row>
    <row r="19820" spans="16:21" x14ac:dyDescent="0.35">
      <c r="P19820" s="226"/>
      <c r="Q19820" s="226"/>
      <c r="R19820" s="226"/>
      <c r="S19820" s="226"/>
      <c r="T19820" s="226"/>
      <c r="U19820" s="226"/>
    </row>
    <row r="19821" spans="16:21" x14ac:dyDescent="0.35">
      <c r="P19821" s="226"/>
      <c r="Q19821" s="226"/>
      <c r="R19821" s="226"/>
      <c r="S19821" s="226"/>
      <c r="T19821" s="226"/>
      <c r="U19821" s="226"/>
    </row>
    <row r="19822" spans="16:21" x14ac:dyDescent="0.35">
      <c r="P19822" s="226"/>
      <c r="Q19822" s="226"/>
      <c r="R19822" s="226"/>
      <c r="S19822" s="226"/>
      <c r="T19822" s="226"/>
      <c r="U19822" s="226"/>
    </row>
    <row r="19823" spans="16:21" x14ac:dyDescent="0.35">
      <c r="P19823" s="226"/>
      <c r="Q19823" s="226"/>
      <c r="R19823" s="226"/>
      <c r="S19823" s="226"/>
      <c r="T19823" s="226"/>
      <c r="U19823" s="226"/>
    </row>
    <row r="19824" spans="16:21" x14ac:dyDescent="0.35">
      <c r="P19824" s="226"/>
      <c r="Q19824" s="226"/>
      <c r="R19824" s="226"/>
      <c r="S19824" s="226"/>
      <c r="T19824" s="226"/>
      <c r="U19824" s="226"/>
    </row>
    <row r="19825" spans="16:21" x14ac:dyDescent="0.35">
      <c r="P19825" s="226"/>
      <c r="Q19825" s="226"/>
      <c r="R19825" s="226"/>
      <c r="S19825" s="226"/>
      <c r="T19825" s="226"/>
      <c r="U19825" s="226"/>
    </row>
    <row r="19826" spans="16:21" x14ac:dyDescent="0.35">
      <c r="P19826" s="226"/>
      <c r="Q19826" s="226"/>
      <c r="R19826" s="226"/>
      <c r="S19826" s="226"/>
      <c r="T19826" s="226"/>
      <c r="U19826" s="226"/>
    </row>
    <row r="19827" spans="16:21" x14ac:dyDescent="0.35">
      <c r="P19827" s="226"/>
      <c r="Q19827" s="226"/>
      <c r="R19827" s="226"/>
      <c r="S19827" s="226"/>
      <c r="T19827" s="226"/>
      <c r="U19827" s="226"/>
    </row>
    <row r="19828" spans="16:21" x14ac:dyDescent="0.35">
      <c r="P19828" s="226"/>
      <c r="Q19828" s="226"/>
      <c r="R19828" s="226"/>
      <c r="S19828" s="226"/>
      <c r="T19828" s="226"/>
      <c r="U19828" s="226"/>
    </row>
    <row r="19829" spans="16:21" x14ac:dyDescent="0.35">
      <c r="P19829" s="226"/>
      <c r="Q19829" s="226"/>
      <c r="R19829" s="226"/>
      <c r="S19829" s="226"/>
      <c r="T19829" s="226"/>
      <c r="U19829" s="226"/>
    </row>
    <row r="19830" spans="16:21" x14ac:dyDescent="0.35">
      <c r="P19830" s="226"/>
      <c r="Q19830" s="226"/>
      <c r="R19830" s="226"/>
      <c r="S19830" s="226"/>
      <c r="T19830" s="226"/>
      <c r="U19830" s="226"/>
    </row>
    <row r="19831" spans="16:21" x14ac:dyDescent="0.35">
      <c r="P19831" s="226"/>
      <c r="Q19831" s="226"/>
      <c r="R19831" s="226"/>
      <c r="S19831" s="226"/>
      <c r="T19831" s="226"/>
      <c r="U19831" s="226"/>
    </row>
    <row r="19832" spans="16:21" x14ac:dyDescent="0.35">
      <c r="P19832" s="226"/>
      <c r="Q19832" s="226"/>
      <c r="R19832" s="226"/>
      <c r="S19832" s="226"/>
      <c r="T19832" s="226"/>
      <c r="U19832" s="226"/>
    </row>
    <row r="19833" spans="16:21" x14ac:dyDescent="0.35">
      <c r="P19833" s="226"/>
      <c r="Q19833" s="226"/>
      <c r="R19833" s="226"/>
      <c r="S19833" s="226"/>
      <c r="T19833" s="226"/>
      <c r="U19833" s="226"/>
    </row>
    <row r="19834" spans="16:21" x14ac:dyDescent="0.35">
      <c r="P19834" s="226"/>
      <c r="Q19834" s="226"/>
      <c r="R19834" s="226"/>
      <c r="S19834" s="226"/>
      <c r="T19834" s="226"/>
      <c r="U19834" s="226"/>
    </row>
    <row r="19835" spans="16:21" x14ac:dyDescent="0.35">
      <c r="P19835" s="226"/>
      <c r="Q19835" s="226"/>
      <c r="R19835" s="226"/>
      <c r="S19835" s="226"/>
      <c r="T19835" s="226"/>
      <c r="U19835" s="226"/>
    </row>
    <row r="19836" spans="16:21" x14ac:dyDescent="0.35">
      <c r="P19836" s="226"/>
      <c r="Q19836" s="226"/>
      <c r="R19836" s="226"/>
      <c r="S19836" s="226"/>
      <c r="T19836" s="226"/>
      <c r="U19836" s="226"/>
    </row>
    <row r="19837" spans="16:21" x14ac:dyDescent="0.35">
      <c r="P19837" s="226"/>
      <c r="Q19837" s="226"/>
      <c r="R19837" s="226"/>
      <c r="S19837" s="226"/>
      <c r="T19837" s="226"/>
      <c r="U19837" s="226"/>
    </row>
    <row r="19838" spans="16:21" x14ac:dyDescent="0.35">
      <c r="P19838" s="226"/>
      <c r="Q19838" s="226"/>
      <c r="R19838" s="226"/>
      <c r="S19838" s="226"/>
      <c r="T19838" s="226"/>
      <c r="U19838" s="226"/>
    </row>
    <row r="19839" spans="16:21" x14ac:dyDescent="0.35">
      <c r="P19839" s="226"/>
      <c r="Q19839" s="226"/>
      <c r="R19839" s="226"/>
      <c r="S19839" s="226"/>
      <c r="T19839" s="226"/>
      <c r="U19839" s="226"/>
    </row>
    <row r="19840" spans="16:21" x14ac:dyDescent="0.35">
      <c r="P19840" s="226"/>
      <c r="Q19840" s="226"/>
      <c r="R19840" s="226"/>
      <c r="S19840" s="226"/>
      <c r="T19840" s="226"/>
      <c r="U19840" s="226"/>
    </row>
    <row r="19841" spans="16:21" x14ac:dyDescent="0.35">
      <c r="P19841" s="226"/>
      <c r="Q19841" s="226"/>
      <c r="R19841" s="226"/>
      <c r="S19841" s="226"/>
      <c r="T19841" s="226"/>
      <c r="U19841" s="226"/>
    </row>
    <row r="19842" spans="16:21" x14ac:dyDescent="0.35">
      <c r="P19842" s="226"/>
      <c r="Q19842" s="226"/>
      <c r="R19842" s="226"/>
      <c r="S19842" s="226"/>
      <c r="T19842" s="226"/>
      <c r="U19842" s="226"/>
    </row>
    <row r="19843" spans="16:21" x14ac:dyDescent="0.35">
      <c r="P19843" s="226"/>
      <c r="Q19843" s="226"/>
      <c r="R19843" s="226"/>
      <c r="S19843" s="226"/>
      <c r="T19843" s="226"/>
      <c r="U19843" s="226"/>
    </row>
    <row r="19844" spans="16:21" x14ac:dyDescent="0.35">
      <c r="P19844" s="226"/>
      <c r="Q19844" s="226"/>
      <c r="R19844" s="226"/>
      <c r="S19844" s="226"/>
      <c r="T19844" s="226"/>
      <c r="U19844" s="226"/>
    </row>
    <row r="19845" spans="16:21" x14ac:dyDescent="0.35">
      <c r="P19845" s="226"/>
      <c r="Q19845" s="226"/>
      <c r="R19845" s="226"/>
      <c r="S19845" s="226"/>
      <c r="T19845" s="226"/>
      <c r="U19845" s="226"/>
    </row>
    <row r="19846" spans="16:21" x14ac:dyDescent="0.35">
      <c r="P19846" s="226"/>
      <c r="Q19846" s="226"/>
      <c r="R19846" s="226"/>
      <c r="S19846" s="226"/>
      <c r="T19846" s="226"/>
      <c r="U19846" s="226"/>
    </row>
    <row r="19847" spans="16:21" x14ac:dyDescent="0.35">
      <c r="P19847" s="226"/>
      <c r="Q19847" s="226"/>
      <c r="R19847" s="226"/>
      <c r="S19847" s="226"/>
      <c r="T19847" s="226"/>
      <c r="U19847" s="226"/>
    </row>
    <row r="19848" spans="16:21" x14ac:dyDescent="0.35">
      <c r="P19848" s="226"/>
      <c r="Q19848" s="226"/>
      <c r="R19848" s="226"/>
      <c r="S19848" s="226"/>
      <c r="T19848" s="226"/>
      <c r="U19848" s="226"/>
    </row>
    <row r="19849" spans="16:21" x14ac:dyDescent="0.35">
      <c r="P19849" s="226"/>
      <c r="Q19849" s="226"/>
      <c r="R19849" s="226"/>
      <c r="S19849" s="226"/>
      <c r="T19849" s="226"/>
      <c r="U19849" s="226"/>
    </row>
    <row r="19850" spans="16:21" x14ac:dyDescent="0.35">
      <c r="P19850" s="226"/>
      <c r="Q19850" s="226"/>
      <c r="R19850" s="226"/>
      <c r="S19850" s="226"/>
      <c r="T19850" s="226"/>
      <c r="U19850" s="226"/>
    </row>
    <row r="19851" spans="16:21" x14ac:dyDescent="0.35">
      <c r="P19851" s="226"/>
      <c r="Q19851" s="226"/>
      <c r="R19851" s="226"/>
      <c r="S19851" s="226"/>
      <c r="T19851" s="226"/>
      <c r="U19851" s="226"/>
    </row>
    <row r="19852" spans="16:21" x14ac:dyDescent="0.35">
      <c r="P19852" s="226"/>
      <c r="Q19852" s="226"/>
      <c r="R19852" s="226"/>
      <c r="S19852" s="226"/>
      <c r="T19852" s="226"/>
      <c r="U19852" s="226"/>
    </row>
    <row r="19853" spans="16:21" x14ac:dyDescent="0.35">
      <c r="P19853" s="226"/>
      <c r="Q19853" s="226"/>
      <c r="R19853" s="226"/>
      <c r="S19853" s="226"/>
      <c r="T19853" s="226"/>
      <c r="U19853" s="226"/>
    </row>
    <row r="19854" spans="16:21" x14ac:dyDescent="0.35">
      <c r="P19854" s="226"/>
      <c r="Q19854" s="226"/>
      <c r="R19854" s="226"/>
      <c r="S19854" s="226"/>
      <c r="T19854" s="226"/>
      <c r="U19854" s="226"/>
    </row>
    <row r="19855" spans="16:21" x14ac:dyDescent="0.35">
      <c r="P19855" s="226"/>
      <c r="Q19855" s="226"/>
      <c r="R19855" s="226"/>
      <c r="S19855" s="226"/>
      <c r="T19855" s="226"/>
      <c r="U19855" s="226"/>
    </row>
    <row r="19856" spans="16:21" x14ac:dyDescent="0.35">
      <c r="P19856" s="226"/>
      <c r="Q19856" s="226"/>
      <c r="R19856" s="226"/>
      <c r="S19856" s="226"/>
      <c r="T19856" s="226"/>
      <c r="U19856" s="226"/>
    </row>
    <row r="19857" spans="16:21" x14ac:dyDescent="0.35">
      <c r="P19857" s="226"/>
      <c r="Q19857" s="226"/>
      <c r="R19857" s="226"/>
      <c r="S19857" s="226"/>
      <c r="T19857" s="226"/>
      <c r="U19857" s="226"/>
    </row>
    <row r="19858" spans="16:21" x14ac:dyDescent="0.35">
      <c r="P19858" s="226"/>
      <c r="Q19858" s="226"/>
      <c r="R19858" s="226"/>
      <c r="S19858" s="226"/>
      <c r="T19858" s="226"/>
      <c r="U19858" s="226"/>
    </row>
    <row r="19859" spans="16:21" x14ac:dyDescent="0.35">
      <c r="P19859" s="226"/>
      <c r="Q19859" s="226"/>
      <c r="R19859" s="226"/>
      <c r="S19859" s="226"/>
      <c r="T19859" s="226"/>
      <c r="U19859" s="226"/>
    </row>
    <row r="19860" spans="16:21" x14ac:dyDescent="0.35">
      <c r="P19860" s="226"/>
      <c r="Q19860" s="226"/>
      <c r="R19860" s="226"/>
      <c r="S19860" s="226"/>
      <c r="T19860" s="226"/>
      <c r="U19860" s="226"/>
    </row>
    <row r="19861" spans="16:21" x14ac:dyDescent="0.35">
      <c r="P19861" s="226"/>
      <c r="Q19861" s="226"/>
      <c r="R19861" s="226"/>
      <c r="S19861" s="226"/>
      <c r="T19861" s="226"/>
      <c r="U19861" s="226"/>
    </row>
    <row r="19862" spans="16:21" x14ac:dyDescent="0.35">
      <c r="P19862" s="226"/>
      <c r="Q19862" s="226"/>
      <c r="R19862" s="226"/>
      <c r="S19862" s="226"/>
      <c r="T19862" s="226"/>
      <c r="U19862" s="226"/>
    </row>
    <row r="19863" spans="16:21" x14ac:dyDescent="0.35">
      <c r="P19863" s="226"/>
      <c r="Q19863" s="226"/>
      <c r="R19863" s="226"/>
      <c r="S19863" s="226"/>
      <c r="T19863" s="226"/>
      <c r="U19863" s="226"/>
    </row>
    <row r="19864" spans="16:21" x14ac:dyDescent="0.35">
      <c r="P19864" s="226"/>
      <c r="Q19864" s="226"/>
      <c r="R19864" s="226"/>
      <c r="S19864" s="226"/>
      <c r="T19864" s="226"/>
      <c r="U19864" s="226"/>
    </row>
    <row r="19865" spans="16:21" x14ac:dyDescent="0.35">
      <c r="P19865" s="226"/>
      <c r="Q19865" s="226"/>
      <c r="R19865" s="226"/>
      <c r="S19865" s="226"/>
      <c r="T19865" s="226"/>
      <c r="U19865" s="226"/>
    </row>
    <row r="19866" spans="16:21" x14ac:dyDescent="0.35">
      <c r="P19866" s="226"/>
      <c r="Q19866" s="226"/>
      <c r="R19866" s="226"/>
      <c r="S19866" s="226"/>
      <c r="T19866" s="226"/>
      <c r="U19866" s="226"/>
    </row>
    <row r="19867" spans="16:21" x14ac:dyDescent="0.35">
      <c r="P19867" s="226"/>
      <c r="Q19867" s="226"/>
      <c r="R19867" s="226"/>
      <c r="S19867" s="226"/>
      <c r="T19867" s="226"/>
      <c r="U19867" s="226"/>
    </row>
    <row r="19868" spans="16:21" x14ac:dyDescent="0.35">
      <c r="P19868" s="226"/>
      <c r="Q19868" s="226"/>
      <c r="R19868" s="226"/>
      <c r="S19868" s="226"/>
      <c r="T19868" s="226"/>
      <c r="U19868" s="226"/>
    </row>
    <row r="19869" spans="16:21" x14ac:dyDescent="0.35">
      <c r="P19869" s="226"/>
      <c r="Q19869" s="226"/>
      <c r="R19869" s="226"/>
      <c r="S19869" s="226"/>
      <c r="T19869" s="226"/>
      <c r="U19869" s="226"/>
    </row>
    <row r="19870" spans="16:21" x14ac:dyDescent="0.35">
      <c r="P19870" s="226"/>
      <c r="Q19870" s="226"/>
      <c r="R19870" s="226"/>
      <c r="S19870" s="226"/>
      <c r="T19870" s="226"/>
      <c r="U19870" s="226"/>
    </row>
    <row r="19871" spans="16:21" x14ac:dyDescent="0.35">
      <c r="P19871" s="226"/>
      <c r="Q19871" s="226"/>
      <c r="R19871" s="226"/>
      <c r="S19871" s="226"/>
      <c r="T19871" s="226"/>
      <c r="U19871" s="226"/>
    </row>
    <row r="19872" spans="16:21" x14ac:dyDescent="0.35">
      <c r="P19872" s="226"/>
      <c r="Q19872" s="226"/>
      <c r="R19872" s="226"/>
      <c r="S19872" s="226"/>
      <c r="T19872" s="226"/>
      <c r="U19872" s="226"/>
    </row>
    <row r="19873" spans="16:21" x14ac:dyDescent="0.35">
      <c r="P19873" s="226"/>
      <c r="Q19873" s="226"/>
      <c r="R19873" s="226"/>
      <c r="S19873" s="226"/>
      <c r="T19873" s="226"/>
      <c r="U19873" s="226"/>
    </row>
    <row r="19874" spans="16:21" x14ac:dyDescent="0.35">
      <c r="P19874" s="226"/>
      <c r="Q19874" s="226"/>
      <c r="R19874" s="226"/>
      <c r="S19874" s="226"/>
      <c r="T19874" s="226"/>
      <c r="U19874" s="226"/>
    </row>
    <row r="19875" spans="16:21" x14ac:dyDescent="0.35">
      <c r="P19875" s="226"/>
      <c r="Q19875" s="226"/>
      <c r="R19875" s="226"/>
      <c r="S19875" s="226"/>
      <c r="T19875" s="226"/>
      <c r="U19875" s="226"/>
    </row>
    <row r="19876" spans="16:21" x14ac:dyDescent="0.35">
      <c r="P19876" s="226"/>
      <c r="Q19876" s="226"/>
      <c r="R19876" s="226"/>
      <c r="S19876" s="226"/>
      <c r="T19876" s="226"/>
      <c r="U19876" s="226"/>
    </row>
    <row r="19877" spans="16:21" x14ac:dyDescent="0.35">
      <c r="P19877" s="226"/>
      <c r="Q19877" s="226"/>
      <c r="R19877" s="226"/>
      <c r="S19877" s="226"/>
      <c r="T19877" s="226"/>
      <c r="U19877" s="226"/>
    </row>
    <row r="19878" spans="16:21" x14ac:dyDescent="0.35">
      <c r="P19878" s="226"/>
      <c r="Q19878" s="226"/>
      <c r="R19878" s="226"/>
      <c r="S19878" s="226"/>
      <c r="T19878" s="226"/>
      <c r="U19878" s="226"/>
    </row>
    <row r="19879" spans="16:21" x14ac:dyDescent="0.35">
      <c r="P19879" s="226"/>
      <c r="Q19879" s="226"/>
      <c r="R19879" s="226"/>
      <c r="S19879" s="226"/>
      <c r="T19879" s="226"/>
      <c r="U19879" s="226"/>
    </row>
    <row r="19880" spans="16:21" x14ac:dyDescent="0.35">
      <c r="P19880" s="226"/>
      <c r="Q19880" s="226"/>
      <c r="R19880" s="226"/>
      <c r="S19880" s="226"/>
      <c r="T19880" s="226"/>
      <c r="U19880" s="226"/>
    </row>
    <row r="19881" spans="16:21" x14ac:dyDescent="0.35">
      <c r="P19881" s="226"/>
      <c r="Q19881" s="226"/>
      <c r="R19881" s="226"/>
      <c r="S19881" s="226"/>
      <c r="T19881" s="226"/>
      <c r="U19881" s="226"/>
    </row>
    <row r="19882" spans="16:21" x14ac:dyDescent="0.35">
      <c r="P19882" s="226"/>
      <c r="Q19882" s="226"/>
      <c r="R19882" s="226"/>
      <c r="S19882" s="226"/>
      <c r="T19882" s="226"/>
      <c r="U19882" s="226"/>
    </row>
    <row r="19883" spans="16:21" x14ac:dyDescent="0.35">
      <c r="P19883" s="226"/>
      <c r="Q19883" s="226"/>
      <c r="R19883" s="226"/>
      <c r="S19883" s="226"/>
      <c r="T19883" s="226"/>
      <c r="U19883" s="226"/>
    </row>
    <row r="19884" spans="16:21" x14ac:dyDescent="0.35">
      <c r="P19884" s="226"/>
      <c r="Q19884" s="226"/>
      <c r="R19884" s="226"/>
      <c r="S19884" s="226"/>
      <c r="T19884" s="226"/>
      <c r="U19884" s="226"/>
    </row>
    <row r="19885" spans="16:21" x14ac:dyDescent="0.35">
      <c r="P19885" s="226"/>
      <c r="Q19885" s="226"/>
      <c r="R19885" s="226"/>
      <c r="S19885" s="226"/>
      <c r="T19885" s="226"/>
      <c r="U19885" s="226"/>
    </row>
    <row r="19886" spans="16:21" x14ac:dyDescent="0.35">
      <c r="P19886" s="226"/>
      <c r="Q19886" s="226"/>
      <c r="R19886" s="226"/>
      <c r="S19886" s="226"/>
      <c r="T19886" s="226"/>
      <c r="U19886" s="226"/>
    </row>
    <row r="19887" spans="16:21" x14ac:dyDescent="0.35">
      <c r="P19887" s="226"/>
      <c r="Q19887" s="226"/>
      <c r="R19887" s="226"/>
      <c r="S19887" s="226"/>
      <c r="T19887" s="226"/>
      <c r="U19887" s="226"/>
    </row>
    <row r="19888" spans="16:21" x14ac:dyDescent="0.35">
      <c r="P19888" s="226"/>
      <c r="Q19888" s="226"/>
      <c r="R19888" s="226"/>
      <c r="S19888" s="226"/>
      <c r="T19888" s="226"/>
      <c r="U19888" s="226"/>
    </row>
    <row r="19889" spans="16:21" x14ac:dyDescent="0.35">
      <c r="P19889" s="226"/>
      <c r="Q19889" s="226"/>
      <c r="R19889" s="226"/>
      <c r="S19889" s="226"/>
      <c r="T19889" s="226"/>
      <c r="U19889" s="226"/>
    </row>
    <row r="19890" spans="16:21" x14ac:dyDescent="0.35">
      <c r="P19890" s="226"/>
      <c r="Q19890" s="226"/>
      <c r="R19890" s="226"/>
      <c r="S19890" s="226"/>
      <c r="T19890" s="226"/>
      <c r="U19890" s="226"/>
    </row>
    <row r="19891" spans="16:21" x14ac:dyDescent="0.35">
      <c r="P19891" s="226"/>
      <c r="Q19891" s="226"/>
      <c r="R19891" s="226"/>
      <c r="S19891" s="226"/>
      <c r="T19891" s="226"/>
      <c r="U19891" s="226"/>
    </row>
    <row r="19892" spans="16:21" x14ac:dyDescent="0.35">
      <c r="P19892" s="226"/>
      <c r="Q19892" s="226"/>
      <c r="R19892" s="226"/>
      <c r="S19892" s="226"/>
      <c r="T19892" s="226"/>
      <c r="U19892" s="226"/>
    </row>
    <row r="19893" spans="16:21" x14ac:dyDescent="0.35">
      <c r="P19893" s="226"/>
      <c r="Q19893" s="226"/>
      <c r="R19893" s="226"/>
      <c r="S19893" s="226"/>
      <c r="T19893" s="226"/>
      <c r="U19893" s="226"/>
    </row>
    <row r="19894" spans="16:21" x14ac:dyDescent="0.35">
      <c r="P19894" s="226"/>
      <c r="Q19894" s="226"/>
      <c r="R19894" s="226"/>
      <c r="S19894" s="226"/>
      <c r="T19894" s="226"/>
      <c r="U19894" s="226"/>
    </row>
    <row r="19895" spans="16:21" x14ac:dyDescent="0.35">
      <c r="P19895" s="226"/>
      <c r="Q19895" s="226"/>
      <c r="R19895" s="226"/>
      <c r="S19895" s="226"/>
      <c r="T19895" s="226"/>
      <c r="U19895" s="226"/>
    </row>
    <row r="19896" spans="16:21" x14ac:dyDescent="0.35">
      <c r="P19896" s="226"/>
      <c r="Q19896" s="226"/>
      <c r="R19896" s="226"/>
      <c r="S19896" s="226"/>
      <c r="T19896" s="226"/>
      <c r="U19896" s="226"/>
    </row>
    <row r="19897" spans="16:21" x14ac:dyDescent="0.35">
      <c r="P19897" s="226"/>
      <c r="Q19897" s="226"/>
      <c r="R19897" s="226"/>
      <c r="S19897" s="226"/>
      <c r="T19897" s="226"/>
      <c r="U19897" s="226"/>
    </row>
    <row r="19898" spans="16:21" x14ac:dyDescent="0.35">
      <c r="P19898" s="226"/>
      <c r="Q19898" s="226"/>
      <c r="R19898" s="226"/>
      <c r="S19898" s="226"/>
      <c r="T19898" s="226"/>
      <c r="U19898" s="226"/>
    </row>
    <row r="19899" spans="16:21" x14ac:dyDescent="0.35">
      <c r="P19899" s="226"/>
      <c r="Q19899" s="226"/>
      <c r="R19899" s="226"/>
      <c r="S19899" s="226"/>
      <c r="T19899" s="226"/>
      <c r="U19899" s="226"/>
    </row>
    <row r="19900" spans="16:21" x14ac:dyDescent="0.35">
      <c r="P19900" s="226"/>
      <c r="Q19900" s="226"/>
      <c r="R19900" s="226"/>
      <c r="S19900" s="226"/>
      <c r="T19900" s="226"/>
      <c r="U19900" s="226"/>
    </row>
    <row r="19901" spans="16:21" x14ac:dyDescent="0.35">
      <c r="P19901" s="226"/>
      <c r="Q19901" s="226"/>
      <c r="R19901" s="226"/>
      <c r="S19901" s="226"/>
      <c r="T19901" s="226"/>
      <c r="U19901" s="226"/>
    </row>
    <row r="19902" spans="16:21" x14ac:dyDescent="0.35">
      <c r="P19902" s="226"/>
      <c r="Q19902" s="226"/>
      <c r="R19902" s="226"/>
      <c r="S19902" s="226"/>
      <c r="T19902" s="226"/>
      <c r="U19902" s="226"/>
    </row>
    <row r="19903" spans="16:21" x14ac:dyDescent="0.35">
      <c r="P19903" s="226"/>
      <c r="Q19903" s="226"/>
      <c r="R19903" s="226"/>
      <c r="S19903" s="226"/>
      <c r="T19903" s="226"/>
      <c r="U19903" s="226"/>
    </row>
    <row r="19904" spans="16:21" x14ac:dyDescent="0.35">
      <c r="P19904" s="226"/>
      <c r="Q19904" s="226"/>
      <c r="R19904" s="226"/>
      <c r="S19904" s="226"/>
      <c r="T19904" s="226"/>
      <c r="U19904" s="226"/>
    </row>
    <row r="19905" spans="16:21" x14ac:dyDescent="0.35">
      <c r="P19905" s="226"/>
      <c r="Q19905" s="226"/>
      <c r="R19905" s="226"/>
      <c r="S19905" s="226"/>
      <c r="T19905" s="226"/>
      <c r="U19905" s="226"/>
    </row>
    <row r="19906" spans="16:21" x14ac:dyDescent="0.35">
      <c r="P19906" s="226"/>
      <c r="Q19906" s="226"/>
      <c r="R19906" s="226"/>
      <c r="S19906" s="226"/>
      <c r="T19906" s="226"/>
      <c r="U19906" s="226"/>
    </row>
    <row r="19907" spans="16:21" x14ac:dyDescent="0.35">
      <c r="P19907" s="226"/>
      <c r="Q19907" s="226"/>
      <c r="R19907" s="226"/>
      <c r="S19907" s="226"/>
      <c r="T19907" s="226"/>
      <c r="U19907" s="226"/>
    </row>
    <row r="19908" spans="16:21" x14ac:dyDescent="0.35">
      <c r="P19908" s="226"/>
      <c r="Q19908" s="226"/>
      <c r="R19908" s="226"/>
      <c r="S19908" s="226"/>
      <c r="T19908" s="226"/>
      <c r="U19908" s="226"/>
    </row>
    <row r="19909" spans="16:21" x14ac:dyDescent="0.35">
      <c r="P19909" s="226"/>
      <c r="Q19909" s="226"/>
      <c r="R19909" s="226"/>
      <c r="S19909" s="226"/>
      <c r="T19909" s="226"/>
      <c r="U19909" s="226"/>
    </row>
    <row r="19910" spans="16:21" x14ac:dyDescent="0.35">
      <c r="P19910" s="226"/>
      <c r="Q19910" s="226"/>
      <c r="R19910" s="226"/>
      <c r="S19910" s="226"/>
      <c r="T19910" s="226"/>
      <c r="U19910" s="226"/>
    </row>
    <row r="19911" spans="16:21" x14ac:dyDescent="0.35">
      <c r="P19911" s="226"/>
      <c r="Q19911" s="226"/>
      <c r="R19911" s="226"/>
      <c r="S19911" s="226"/>
      <c r="T19911" s="226"/>
      <c r="U19911" s="226"/>
    </row>
    <row r="19912" spans="16:21" x14ac:dyDescent="0.35">
      <c r="P19912" s="226"/>
      <c r="Q19912" s="226"/>
      <c r="R19912" s="226"/>
      <c r="S19912" s="226"/>
      <c r="T19912" s="226"/>
      <c r="U19912" s="226"/>
    </row>
    <row r="19913" spans="16:21" x14ac:dyDescent="0.35">
      <c r="P19913" s="226"/>
      <c r="Q19913" s="226"/>
      <c r="R19913" s="226"/>
      <c r="S19913" s="226"/>
      <c r="T19913" s="226"/>
      <c r="U19913" s="226"/>
    </row>
    <row r="19914" spans="16:21" x14ac:dyDescent="0.35">
      <c r="P19914" s="226"/>
      <c r="Q19914" s="226"/>
      <c r="R19914" s="226"/>
      <c r="S19914" s="226"/>
      <c r="T19914" s="226"/>
      <c r="U19914" s="226"/>
    </row>
    <row r="19915" spans="16:21" x14ac:dyDescent="0.35">
      <c r="P19915" s="226"/>
      <c r="Q19915" s="226"/>
      <c r="R19915" s="226"/>
      <c r="S19915" s="226"/>
      <c r="T19915" s="226"/>
      <c r="U19915" s="226"/>
    </row>
    <row r="19916" spans="16:21" x14ac:dyDescent="0.35">
      <c r="P19916" s="226"/>
      <c r="Q19916" s="226"/>
      <c r="R19916" s="226"/>
      <c r="S19916" s="226"/>
      <c r="T19916" s="226"/>
      <c r="U19916" s="226"/>
    </row>
    <row r="19917" spans="16:21" x14ac:dyDescent="0.35">
      <c r="P19917" s="226"/>
      <c r="Q19917" s="226"/>
      <c r="R19917" s="226"/>
      <c r="S19917" s="226"/>
      <c r="T19917" s="226"/>
      <c r="U19917" s="226"/>
    </row>
    <row r="19918" spans="16:21" x14ac:dyDescent="0.35">
      <c r="P19918" s="226"/>
      <c r="Q19918" s="226"/>
      <c r="R19918" s="226"/>
      <c r="S19918" s="226"/>
      <c r="T19918" s="226"/>
      <c r="U19918" s="226"/>
    </row>
    <row r="19919" spans="16:21" x14ac:dyDescent="0.35">
      <c r="P19919" s="226"/>
      <c r="Q19919" s="226"/>
      <c r="R19919" s="226"/>
      <c r="S19919" s="226"/>
      <c r="T19919" s="226"/>
      <c r="U19919" s="226"/>
    </row>
    <row r="19920" spans="16:21" x14ac:dyDescent="0.35">
      <c r="P19920" s="226"/>
      <c r="Q19920" s="226"/>
      <c r="R19920" s="226"/>
      <c r="S19920" s="226"/>
      <c r="T19920" s="226"/>
      <c r="U19920" s="226"/>
    </row>
    <row r="19921" spans="16:21" x14ac:dyDescent="0.35">
      <c r="P19921" s="226"/>
      <c r="Q19921" s="226"/>
      <c r="R19921" s="226"/>
      <c r="S19921" s="226"/>
      <c r="T19921" s="226"/>
      <c r="U19921" s="226"/>
    </row>
    <row r="19922" spans="16:21" x14ac:dyDescent="0.35">
      <c r="P19922" s="226"/>
      <c r="Q19922" s="226"/>
      <c r="R19922" s="226"/>
      <c r="S19922" s="226"/>
      <c r="T19922" s="226"/>
      <c r="U19922" s="226"/>
    </row>
    <row r="19923" spans="16:21" x14ac:dyDescent="0.35">
      <c r="P19923" s="226"/>
      <c r="Q19923" s="226"/>
      <c r="R19923" s="226"/>
      <c r="S19923" s="226"/>
      <c r="T19923" s="226"/>
      <c r="U19923" s="226"/>
    </row>
    <row r="19924" spans="16:21" x14ac:dyDescent="0.35">
      <c r="P19924" s="226"/>
      <c r="Q19924" s="226"/>
      <c r="R19924" s="226"/>
      <c r="S19924" s="226"/>
      <c r="T19924" s="226"/>
      <c r="U19924" s="226"/>
    </row>
    <row r="19925" spans="16:21" x14ac:dyDescent="0.35">
      <c r="P19925" s="226"/>
      <c r="Q19925" s="226"/>
      <c r="R19925" s="226"/>
      <c r="S19925" s="226"/>
      <c r="T19925" s="226"/>
      <c r="U19925" s="226"/>
    </row>
    <row r="19926" spans="16:21" x14ac:dyDescent="0.35">
      <c r="P19926" s="226"/>
      <c r="Q19926" s="226"/>
      <c r="R19926" s="226"/>
      <c r="S19926" s="226"/>
      <c r="T19926" s="226"/>
      <c r="U19926" s="226"/>
    </row>
    <row r="19927" spans="16:21" x14ac:dyDescent="0.35">
      <c r="P19927" s="226"/>
      <c r="Q19927" s="226"/>
      <c r="R19927" s="226"/>
      <c r="S19927" s="226"/>
      <c r="T19927" s="226"/>
      <c r="U19927" s="226"/>
    </row>
    <row r="19928" spans="16:21" x14ac:dyDescent="0.35">
      <c r="P19928" s="226"/>
      <c r="Q19928" s="226"/>
      <c r="R19928" s="226"/>
      <c r="S19928" s="226"/>
      <c r="T19928" s="226"/>
      <c r="U19928" s="226"/>
    </row>
    <row r="19929" spans="16:21" x14ac:dyDescent="0.35">
      <c r="P19929" s="226"/>
      <c r="Q19929" s="226"/>
      <c r="R19929" s="226"/>
      <c r="S19929" s="226"/>
      <c r="T19929" s="226"/>
      <c r="U19929" s="226"/>
    </row>
    <row r="19930" spans="16:21" x14ac:dyDescent="0.35">
      <c r="P19930" s="226"/>
      <c r="Q19930" s="226"/>
      <c r="R19930" s="226"/>
      <c r="S19930" s="226"/>
      <c r="T19930" s="226"/>
      <c r="U19930" s="226"/>
    </row>
    <row r="19931" spans="16:21" x14ac:dyDescent="0.35">
      <c r="P19931" s="226"/>
      <c r="Q19931" s="226"/>
      <c r="R19931" s="226"/>
      <c r="S19931" s="226"/>
      <c r="T19931" s="226"/>
      <c r="U19931" s="226"/>
    </row>
    <row r="19932" spans="16:21" x14ac:dyDescent="0.35">
      <c r="P19932" s="226"/>
      <c r="Q19932" s="226"/>
      <c r="R19932" s="226"/>
      <c r="S19932" s="226"/>
      <c r="T19932" s="226"/>
      <c r="U19932" s="226"/>
    </row>
    <row r="19933" spans="16:21" x14ac:dyDescent="0.35">
      <c r="P19933" s="226"/>
      <c r="Q19933" s="226"/>
      <c r="R19933" s="226"/>
      <c r="S19933" s="226"/>
      <c r="T19933" s="226"/>
      <c r="U19933" s="226"/>
    </row>
    <row r="19934" spans="16:21" x14ac:dyDescent="0.35">
      <c r="P19934" s="226"/>
      <c r="Q19934" s="226"/>
      <c r="R19934" s="226"/>
      <c r="S19934" s="226"/>
      <c r="T19934" s="226"/>
      <c r="U19934" s="226"/>
    </row>
    <row r="19935" spans="16:21" x14ac:dyDescent="0.35">
      <c r="P19935" s="226"/>
      <c r="Q19935" s="226"/>
      <c r="R19935" s="226"/>
      <c r="S19935" s="226"/>
      <c r="T19935" s="226"/>
      <c r="U19935" s="226"/>
    </row>
    <row r="19936" spans="16:21" x14ac:dyDescent="0.35">
      <c r="P19936" s="226"/>
      <c r="Q19936" s="226"/>
      <c r="R19936" s="226"/>
      <c r="S19936" s="226"/>
      <c r="T19936" s="226"/>
      <c r="U19936" s="226"/>
    </row>
    <row r="19937" spans="16:21" x14ac:dyDescent="0.35">
      <c r="P19937" s="226"/>
      <c r="Q19937" s="226"/>
      <c r="R19937" s="226"/>
      <c r="S19937" s="226"/>
      <c r="T19937" s="226"/>
      <c r="U19937" s="226"/>
    </row>
    <row r="19938" spans="16:21" x14ac:dyDescent="0.35">
      <c r="P19938" s="226"/>
      <c r="Q19938" s="226"/>
      <c r="R19938" s="226"/>
      <c r="S19938" s="226"/>
      <c r="T19938" s="226"/>
      <c r="U19938" s="226"/>
    </row>
    <row r="19939" spans="16:21" x14ac:dyDescent="0.35">
      <c r="P19939" s="226"/>
      <c r="Q19939" s="226"/>
      <c r="R19939" s="226"/>
      <c r="S19939" s="226"/>
      <c r="T19939" s="226"/>
      <c r="U19939" s="226"/>
    </row>
    <row r="19940" spans="16:21" x14ac:dyDescent="0.35">
      <c r="P19940" s="226"/>
      <c r="Q19940" s="226"/>
      <c r="R19940" s="226"/>
      <c r="S19940" s="226"/>
      <c r="T19940" s="226"/>
      <c r="U19940" s="226"/>
    </row>
    <row r="19941" spans="16:21" x14ac:dyDescent="0.35">
      <c r="P19941" s="226"/>
      <c r="Q19941" s="226"/>
      <c r="R19941" s="226"/>
      <c r="S19941" s="226"/>
      <c r="T19941" s="226"/>
      <c r="U19941" s="226"/>
    </row>
    <row r="19942" spans="16:21" x14ac:dyDescent="0.35">
      <c r="P19942" s="226"/>
      <c r="Q19942" s="226"/>
      <c r="R19942" s="226"/>
      <c r="S19942" s="226"/>
      <c r="T19942" s="226"/>
      <c r="U19942" s="226"/>
    </row>
    <row r="19943" spans="16:21" x14ac:dyDescent="0.35">
      <c r="P19943" s="226"/>
      <c r="Q19943" s="226"/>
      <c r="R19943" s="226"/>
      <c r="S19943" s="226"/>
      <c r="T19943" s="226"/>
      <c r="U19943" s="226"/>
    </row>
    <row r="19944" spans="16:21" x14ac:dyDescent="0.35">
      <c r="P19944" s="226"/>
      <c r="Q19944" s="226"/>
      <c r="R19944" s="226"/>
      <c r="S19944" s="226"/>
      <c r="T19944" s="226"/>
      <c r="U19944" s="226"/>
    </row>
    <row r="19945" spans="16:21" x14ac:dyDescent="0.35">
      <c r="P19945" s="226"/>
      <c r="Q19945" s="226"/>
      <c r="R19945" s="226"/>
      <c r="S19945" s="226"/>
      <c r="T19945" s="226"/>
      <c r="U19945" s="226"/>
    </row>
    <row r="19946" spans="16:21" x14ac:dyDescent="0.35">
      <c r="P19946" s="226"/>
      <c r="Q19946" s="226"/>
      <c r="R19946" s="226"/>
      <c r="S19946" s="226"/>
      <c r="T19946" s="226"/>
      <c r="U19946" s="226"/>
    </row>
    <row r="19947" spans="16:21" x14ac:dyDescent="0.35">
      <c r="P19947" s="226"/>
      <c r="Q19947" s="226"/>
      <c r="R19947" s="226"/>
      <c r="S19947" s="226"/>
      <c r="T19947" s="226"/>
      <c r="U19947" s="226"/>
    </row>
    <row r="19948" spans="16:21" x14ac:dyDescent="0.35">
      <c r="P19948" s="226"/>
      <c r="Q19948" s="226"/>
      <c r="R19948" s="226"/>
      <c r="S19948" s="226"/>
      <c r="T19948" s="226"/>
      <c r="U19948" s="226"/>
    </row>
    <row r="19949" spans="16:21" x14ac:dyDescent="0.35">
      <c r="P19949" s="226"/>
      <c r="Q19949" s="226"/>
      <c r="R19949" s="226"/>
      <c r="S19949" s="226"/>
      <c r="T19949" s="226"/>
      <c r="U19949" s="226"/>
    </row>
    <row r="19950" spans="16:21" x14ac:dyDescent="0.35">
      <c r="P19950" s="226"/>
      <c r="Q19950" s="226"/>
      <c r="R19950" s="226"/>
      <c r="S19950" s="226"/>
      <c r="T19950" s="226"/>
      <c r="U19950" s="226"/>
    </row>
    <row r="19951" spans="16:21" x14ac:dyDescent="0.35">
      <c r="P19951" s="226"/>
      <c r="Q19951" s="226"/>
      <c r="R19951" s="226"/>
      <c r="S19951" s="226"/>
      <c r="T19951" s="226"/>
      <c r="U19951" s="226"/>
    </row>
    <row r="19952" spans="16:21" x14ac:dyDescent="0.35">
      <c r="P19952" s="226"/>
      <c r="Q19952" s="226"/>
      <c r="R19952" s="226"/>
      <c r="S19952" s="226"/>
      <c r="T19952" s="226"/>
      <c r="U19952" s="226"/>
    </row>
    <row r="19953" spans="16:21" x14ac:dyDescent="0.35">
      <c r="P19953" s="226"/>
      <c r="Q19953" s="226"/>
      <c r="R19953" s="226"/>
      <c r="S19953" s="226"/>
      <c r="T19953" s="226"/>
      <c r="U19953" s="226"/>
    </row>
    <row r="19954" spans="16:21" x14ac:dyDescent="0.35">
      <c r="P19954" s="226"/>
      <c r="Q19954" s="226"/>
      <c r="R19954" s="226"/>
      <c r="S19954" s="226"/>
      <c r="T19954" s="226"/>
      <c r="U19954" s="226"/>
    </row>
    <row r="19955" spans="16:21" x14ac:dyDescent="0.35">
      <c r="P19955" s="226"/>
      <c r="Q19955" s="226"/>
      <c r="R19955" s="226"/>
      <c r="S19955" s="226"/>
      <c r="T19955" s="226"/>
      <c r="U19955" s="226"/>
    </row>
    <row r="19956" spans="16:21" x14ac:dyDescent="0.35">
      <c r="P19956" s="226"/>
      <c r="Q19956" s="226"/>
      <c r="R19956" s="226"/>
      <c r="S19956" s="226"/>
      <c r="T19956" s="226"/>
      <c r="U19956" s="226"/>
    </row>
    <row r="19957" spans="16:21" x14ac:dyDescent="0.35">
      <c r="P19957" s="226"/>
      <c r="Q19957" s="226"/>
      <c r="R19957" s="226"/>
      <c r="S19957" s="226"/>
      <c r="T19957" s="226"/>
      <c r="U19957" s="226"/>
    </row>
    <row r="19958" spans="16:21" x14ac:dyDescent="0.35">
      <c r="P19958" s="226"/>
      <c r="Q19958" s="226"/>
      <c r="R19958" s="226"/>
      <c r="S19958" s="226"/>
      <c r="T19958" s="226"/>
      <c r="U19958" s="226"/>
    </row>
    <row r="19959" spans="16:21" x14ac:dyDescent="0.35">
      <c r="P19959" s="226"/>
      <c r="Q19959" s="226"/>
      <c r="R19959" s="226"/>
      <c r="S19959" s="226"/>
      <c r="T19959" s="226"/>
      <c r="U19959" s="226"/>
    </row>
    <row r="19960" spans="16:21" x14ac:dyDescent="0.35">
      <c r="P19960" s="226"/>
      <c r="Q19960" s="226"/>
      <c r="R19960" s="226"/>
      <c r="S19960" s="226"/>
      <c r="T19960" s="226"/>
      <c r="U19960" s="226"/>
    </row>
    <row r="19961" spans="16:21" x14ac:dyDescent="0.35">
      <c r="P19961" s="226"/>
      <c r="Q19961" s="226"/>
      <c r="R19961" s="226"/>
      <c r="S19961" s="226"/>
      <c r="T19961" s="226"/>
      <c r="U19961" s="226"/>
    </row>
    <row r="19962" spans="16:21" x14ac:dyDescent="0.35">
      <c r="P19962" s="226"/>
      <c r="Q19962" s="226"/>
      <c r="R19962" s="226"/>
      <c r="S19962" s="226"/>
      <c r="T19962" s="226"/>
      <c r="U19962" s="226"/>
    </row>
    <row r="19963" spans="16:21" x14ac:dyDescent="0.35">
      <c r="P19963" s="226"/>
      <c r="Q19963" s="226"/>
      <c r="R19963" s="226"/>
      <c r="S19963" s="226"/>
      <c r="T19963" s="226"/>
      <c r="U19963" s="226"/>
    </row>
    <row r="19964" spans="16:21" x14ac:dyDescent="0.35">
      <c r="P19964" s="226"/>
      <c r="Q19964" s="226"/>
      <c r="R19964" s="226"/>
      <c r="S19964" s="226"/>
      <c r="T19964" s="226"/>
      <c r="U19964" s="226"/>
    </row>
    <row r="19965" spans="16:21" x14ac:dyDescent="0.35">
      <c r="P19965" s="226"/>
      <c r="Q19965" s="226"/>
      <c r="R19965" s="226"/>
      <c r="S19965" s="226"/>
      <c r="T19965" s="226"/>
      <c r="U19965" s="226"/>
    </row>
    <row r="19966" spans="16:21" x14ac:dyDescent="0.35">
      <c r="P19966" s="226"/>
      <c r="Q19966" s="226"/>
      <c r="R19966" s="226"/>
      <c r="S19966" s="226"/>
      <c r="T19966" s="226"/>
      <c r="U19966" s="226"/>
    </row>
    <row r="19967" spans="16:21" x14ac:dyDescent="0.35">
      <c r="P19967" s="226"/>
      <c r="Q19967" s="226"/>
      <c r="R19967" s="226"/>
      <c r="S19967" s="226"/>
      <c r="T19967" s="226"/>
      <c r="U19967" s="226"/>
    </row>
    <row r="19968" spans="16:21" x14ac:dyDescent="0.35">
      <c r="P19968" s="226"/>
      <c r="Q19968" s="226"/>
      <c r="R19968" s="226"/>
      <c r="S19968" s="226"/>
      <c r="T19968" s="226"/>
      <c r="U19968" s="226"/>
    </row>
    <row r="19969" spans="16:21" x14ac:dyDescent="0.35">
      <c r="P19969" s="226"/>
      <c r="Q19969" s="226"/>
      <c r="R19969" s="226"/>
      <c r="S19969" s="226"/>
      <c r="T19969" s="226"/>
      <c r="U19969" s="226"/>
    </row>
    <row r="19970" spans="16:21" x14ac:dyDescent="0.35">
      <c r="P19970" s="226"/>
      <c r="Q19970" s="226"/>
      <c r="R19970" s="226"/>
      <c r="S19970" s="226"/>
      <c r="T19970" s="226"/>
      <c r="U19970" s="226"/>
    </row>
    <row r="19971" spans="16:21" x14ac:dyDescent="0.35">
      <c r="P19971" s="226"/>
      <c r="Q19971" s="226"/>
      <c r="R19971" s="226"/>
      <c r="S19971" s="226"/>
      <c r="T19971" s="226"/>
      <c r="U19971" s="226"/>
    </row>
    <row r="19972" spans="16:21" x14ac:dyDescent="0.35">
      <c r="P19972" s="226"/>
      <c r="Q19972" s="226"/>
      <c r="R19972" s="226"/>
      <c r="S19972" s="226"/>
      <c r="T19972" s="226"/>
      <c r="U19972" s="226"/>
    </row>
    <row r="19973" spans="16:21" x14ac:dyDescent="0.35">
      <c r="P19973" s="226"/>
      <c r="Q19973" s="226"/>
      <c r="R19973" s="226"/>
      <c r="S19973" s="226"/>
      <c r="T19973" s="226"/>
      <c r="U19973" s="226"/>
    </row>
    <row r="19974" spans="16:21" x14ac:dyDescent="0.35">
      <c r="P19974" s="226"/>
      <c r="Q19974" s="226"/>
      <c r="R19974" s="226"/>
      <c r="S19974" s="226"/>
      <c r="T19974" s="226"/>
      <c r="U19974" s="226"/>
    </row>
    <row r="19975" spans="16:21" x14ac:dyDescent="0.35">
      <c r="P19975" s="226"/>
      <c r="Q19975" s="226"/>
      <c r="R19975" s="226"/>
      <c r="S19975" s="226"/>
      <c r="T19975" s="226"/>
      <c r="U19975" s="226"/>
    </row>
    <row r="19976" spans="16:21" x14ac:dyDescent="0.35">
      <c r="P19976" s="226"/>
      <c r="Q19976" s="226"/>
      <c r="R19976" s="226"/>
      <c r="S19976" s="226"/>
      <c r="T19976" s="226"/>
      <c r="U19976" s="226"/>
    </row>
    <row r="19977" spans="16:21" x14ac:dyDescent="0.35">
      <c r="P19977" s="226"/>
      <c r="Q19977" s="226"/>
      <c r="R19977" s="226"/>
      <c r="S19977" s="226"/>
      <c r="T19977" s="226"/>
      <c r="U19977" s="226"/>
    </row>
    <row r="19978" spans="16:21" x14ac:dyDescent="0.35">
      <c r="P19978" s="226"/>
      <c r="Q19978" s="226"/>
      <c r="R19978" s="226"/>
      <c r="S19978" s="226"/>
      <c r="T19978" s="226"/>
      <c r="U19978" s="226"/>
    </row>
    <row r="19979" spans="16:21" x14ac:dyDescent="0.35">
      <c r="P19979" s="226"/>
      <c r="Q19979" s="226"/>
      <c r="R19979" s="226"/>
      <c r="S19979" s="226"/>
      <c r="T19979" s="226"/>
      <c r="U19979" s="226"/>
    </row>
    <row r="19980" spans="16:21" x14ac:dyDescent="0.35">
      <c r="P19980" s="226"/>
      <c r="Q19980" s="226"/>
      <c r="R19980" s="226"/>
      <c r="S19980" s="226"/>
      <c r="T19980" s="226"/>
      <c r="U19980" s="226"/>
    </row>
    <row r="19981" spans="16:21" x14ac:dyDescent="0.35">
      <c r="P19981" s="226"/>
      <c r="Q19981" s="226"/>
      <c r="R19981" s="226"/>
      <c r="S19981" s="226"/>
      <c r="T19981" s="226"/>
      <c r="U19981" s="226"/>
    </row>
    <row r="19982" spans="16:21" x14ac:dyDescent="0.35">
      <c r="P19982" s="226"/>
      <c r="Q19982" s="226"/>
      <c r="R19982" s="226"/>
      <c r="S19982" s="226"/>
      <c r="T19982" s="226"/>
      <c r="U19982" s="226"/>
    </row>
    <row r="19983" spans="16:21" x14ac:dyDescent="0.35">
      <c r="P19983" s="226"/>
      <c r="Q19983" s="226"/>
      <c r="R19983" s="226"/>
      <c r="S19983" s="226"/>
      <c r="T19983" s="226"/>
      <c r="U19983" s="226"/>
    </row>
    <row r="19984" spans="16:21" x14ac:dyDescent="0.35">
      <c r="P19984" s="226"/>
      <c r="Q19984" s="226"/>
      <c r="R19984" s="226"/>
      <c r="S19984" s="226"/>
      <c r="T19984" s="226"/>
      <c r="U19984" s="226"/>
    </row>
    <row r="19985" spans="16:21" x14ac:dyDescent="0.35">
      <c r="P19985" s="226"/>
      <c r="Q19985" s="226"/>
      <c r="R19985" s="226"/>
      <c r="S19985" s="226"/>
      <c r="T19985" s="226"/>
      <c r="U19985" s="226"/>
    </row>
    <row r="19986" spans="16:21" x14ac:dyDescent="0.35">
      <c r="P19986" s="226"/>
      <c r="Q19986" s="226"/>
      <c r="R19986" s="226"/>
      <c r="S19986" s="226"/>
      <c r="T19986" s="226"/>
      <c r="U19986" s="226"/>
    </row>
    <row r="19987" spans="16:21" x14ac:dyDescent="0.35">
      <c r="P19987" s="226"/>
      <c r="Q19987" s="226"/>
      <c r="R19987" s="226"/>
      <c r="S19987" s="226"/>
      <c r="T19987" s="226"/>
      <c r="U19987" s="226"/>
    </row>
    <row r="19988" spans="16:21" x14ac:dyDescent="0.35">
      <c r="P19988" s="226"/>
      <c r="Q19988" s="226"/>
      <c r="R19988" s="226"/>
      <c r="S19988" s="226"/>
      <c r="T19988" s="226"/>
      <c r="U19988" s="226"/>
    </row>
    <row r="19989" spans="16:21" x14ac:dyDescent="0.35">
      <c r="P19989" s="226"/>
      <c r="Q19989" s="226"/>
      <c r="R19989" s="226"/>
      <c r="S19989" s="226"/>
      <c r="T19989" s="226"/>
      <c r="U19989" s="226"/>
    </row>
    <row r="19990" spans="16:21" x14ac:dyDescent="0.35">
      <c r="P19990" s="226"/>
      <c r="Q19990" s="226"/>
      <c r="R19990" s="226"/>
      <c r="S19990" s="226"/>
      <c r="T19990" s="226"/>
      <c r="U19990" s="226"/>
    </row>
    <row r="19991" spans="16:21" x14ac:dyDescent="0.35">
      <c r="P19991" s="226"/>
      <c r="Q19991" s="226"/>
      <c r="R19991" s="226"/>
      <c r="S19991" s="226"/>
      <c r="T19991" s="226"/>
      <c r="U19991" s="226"/>
    </row>
    <row r="19992" spans="16:21" x14ac:dyDescent="0.35">
      <c r="P19992" s="226"/>
      <c r="Q19992" s="226"/>
      <c r="R19992" s="226"/>
      <c r="S19992" s="226"/>
      <c r="T19992" s="226"/>
      <c r="U19992" s="226"/>
    </row>
    <row r="19993" spans="16:21" x14ac:dyDescent="0.35">
      <c r="P19993" s="226"/>
      <c r="Q19993" s="226"/>
      <c r="R19993" s="226"/>
      <c r="S19993" s="226"/>
      <c r="T19993" s="226"/>
      <c r="U19993" s="226"/>
    </row>
    <row r="19994" spans="16:21" x14ac:dyDescent="0.35">
      <c r="P19994" s="226"/>
      <c r="Q19994" s="226"/>
      <c r="R19994" s="226"/>
      <c r="S19994" s="226"/>
      <c r="T19994" s="226"/>
      <c r="U19994" s="226"/>
    </row>
    <row r="19995" spans="16:21" x14ac:dyDescent="0.35">
      <c r="P19995" s="226"/>
      <c r="Q19995" s="226"/>
      <c r="R19995" s="226"/>
      <c r="S19995" s="226"/>
      <c r="T19995" s="226"/>
      <c r="U19995" s="226"/>
    </row>
    <row r="19996" spans="16:21" x14ac:dyDescent="0.35">
      <c r="P19996" s="226"/>
      <c r="Q19996" s="226"/>
      <c r="R19996" s="226"/>
      <c r="S19996" s="226"/>
      <c r="T19996" s="226"/>
      <c r="U19996" s="226"/>
    </row>
    <row r="19997" spans="16:21" x14ac:dyDescent="0.35">
      <c r="P19997" s="226"/>
      <c r="Q19997" s="226"/>
      <c r="R19997" s="226"/>
      <c r="S19997" s="226"/>
      <c r="T19997" s="226"/>
      <c r="U19997" s="226"/>
    </row>
    <row r="19998" spans="16:21" x14ac:dyDescent="0.35">
      <c r="P19998" s="226"/>
      <c r="Q19998" s="226"/>
      <c r="R19998" s="226"/>
      <c r="S19998" s="226"/>
      <c r="T19998" s="226"/>
      <c r="U19998" s="226"/>
    </row>
    <row r="19999" spans="16:21" x14ac:dyDescent="0.35">
      <c r="P19999" s="226"/>
      <c r="Q19999" s="226"/>
      <c r="R19999" s="226"/>
      <c r="S19999" s="226"/>
      <c r="T19999" s="226"/>
      <c r="U19999" s="226"/>
    </row>
    <row r="20000" spans="16:21" x14ac:dyDescent="0.35">
      <c r="P20000" s="226"/>
      <c r="Q20000" s="226"/>
      <c r="R20000" s="226"/>
      <c r="S20000" s="226"/>
      <c r="T20000" s="226"/>
      <c r="U20000" s="226"/>
    </row>
    <row r="20001" spans="16:16" x14ac:dyDescent="0.35">
      <c r="P20001">
        <v>1</v>
      </c>
    </row>
  </sheetData>
  <sheetProtection algorithmName="SHA-512" hashValue="s7pJ2gOq3QsIiSU56tBNU02q3yPVLU4XO3p2OZGuSkQ3bhjc7JHxdVgzrad+qFzvF6j1hBpIv1JqyFFVzr3Igw==" saltValue="Fg+bcgrEh8VhpFfgWsjMaA==" spinCount="100000" sheet="1" objects="1" scenarios="1" formatColumns="0" formatRows="0"/>
  <conditionalFormatting sqref="A1:AV20000">
    <cfRule type="expression" dxfId="16" priority="11">
      <formula>CELL("protect",A1)=0</formula>
    </cfRule>
    <cfRule type="expression" dxfId="15" priority="12">
      <formula>AND($A1&lt;&gt;"h",_xlfn.ISFORMULA(A1))</formula>
    </cfRule>
  </conditionalFormatting>
  <hyperlinks>
    <hyperlink ref="A14" r:id="rId1" xr:uid="{0B7CCCB3-AE2E-42BB-8DA5-31272A79E4B9}"/>
    <hyperlink ref="A16" r:id="rId2" xr:uid="{40DCEC0B-B1E2-42B8-95BB-6F1EC1B26B26}"/>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4C607-BC6C-4915-90DA-A84964AB1B68}">
  <sheetPr codeName="Sheet7">
    <tabColor theme="2" tint="-0.249977111117893"/>
  </sheetPr>
  <dimension ref="A1:L661"/>
  <sheetViews>
    <sheetView zoomScaleNormal="100" workbookViewId="0"/>
  </sheetViews>
  <sheetFormatPr defaultRowHeight="14.5" x14ac:dyDescent="0.35"/>
  <cols>
    <col min="1" max="1" width="22.08984375" bestFit="1" customWidth="1"/>
    <col min="2" max="2" width="8.6328125" bestFit="1" customWidth="1"/>
    <col min="3" max="3" width="18.6328125" bestFit="1" customWidth="1"/>
    <col min="4" max="4" width="12.453125" bestFit="1" customWidth="1"/>
    <col min="5" max="5" width="16.6328125" style="9" bestFit="1" customWidth="1"/>
    <col min="6" max="6" width="14.36328125" bestFit="1" customWidth="1"/>
    <col min="7" max="7" width="10.453125" bestFit="1" customWidth="1"/>
    <col min="8" max="8" width="13.54296875" bestFit="1" customWidth="1"/>
    <col min="11" max="11" width="22.08984375" bestFit="1" customWidth="1"/>
    <col min="12" max="12" width="3.36328125" bestFit="1" customWidth="1"/>
  </cols>
  <sheetData>
    <row r="1" spans="1:12" x14ac:dyDescent="0.35">
      <c r="A1" t="s">
        <v>8</v>
      </c>
      <c r="B1" t="s">
        <v>18</v>
      </c>
      <c r="C1" t="s">
        <v>13</v>
      </c>
      <c r="D1" t="s">
        <v>19</v>
      </c>
      <c r="E1" s="9" t="s">
        <v>1059</v>
      </c>
      <c r="F1" t="s">
        <v>7</v>
      </c>
      <c r="G1" t="s">
        <v>14</v>
      </c>
      <c r="H1" t="s">
        <v>15</v>
      </c>
    </row>
    <row r="2" spans="1:12" x14ac:dyDescent="0.35">
      <c r="A2" t="str">
        <f>Input!H$189</f>
        <v>Non-financial Corporates</v>
      </c>
      <c r="B2">
        <f>Input!C192</f>
        <v>0</v>
      </c>
      <c r="C2">
        <f>Input!C$191</f>
        <v>1</v>
      </c>
      <c r="D2" t="str">
        <f>Input!B$192</f>
        <v>Upto 1</v>
      </c>
      <c r="E2" s="9">
        <f>Input!E$189</f>
        <v>1</v>
      </c>
      <c r="F2" t="str">
        <f>IF(B2&lt;&gt;"",IF(C2="NA",Lists!$D$9,IFERROR(HLOOKUP(C2,Input!$C$312:$L$335,H2,FALSE),"NA")), "")</f>
        <v>BB</v>
      </c>
      <c r="G2">
        <f>IFERROR(MATCH(D2,lov_term_buckets,0),"")</f>
        <v>1</v>
      </c>
      <c r="H2">
        <f>INDEX($L$2:$L$8,MATCH(A2,$K$2:$K$8,0))</f>
        <v>4</v>
      </c>
      <c r="K2" t="str">
        <f>Lists!B3</f>
        <v>Non-financial Corporates</v>
      </c>
      <c r="L2">
        <v>4</v>
      </c>
    </row>
    <row r="3" spans="1:12" x14ac:dyDescent="0.35">
      <c r="A3" t="str">
        <f>Input!H$189</f>
        <v>Non-financial Corporates</v>
      </c>
      <c r="B3">
        <f>Input!C193</f>
        <v>0</v>
      </c>
      <c r="C3">
        <f>Input!C$191</f>
        <v>1</v>
      </c>
      <c r="D3" t="str">
        <f>Input!B$193</f>
        <v>1.01 to 5</v>
      </c>
      <c r="E3" s="9">
        <f>Input!E$189</f>
        <v>1</v>
      </c>
      <c r="F3" t="str">
        <f>IF(B3&lt;&gt;"",IF(C3="NA",Lists!$D$9,IFERROR(HLOOKUP(C3,Input!$C$312:$L$335,H3,FALSE),"NA")), "")</f>
        <v>BB</v>
      </c>
      <c r="G3">
        <f t="shared" ref="G3:G65" si="0">IFERROR(MATCH(D3,lov_term_buckets,0),"")</f>
        <v>2</v>
      </c>
      <c r="H3">
        <f t="shared" ref="H3:H66" si="1">INDEX($L$2:$L$8,MATCH(A3,$K$2:$K$8,0))</f>
        <v>4</v>
      </c>
      <c r="K3" t="str">
        <f>Lists!B4</f>
        <v>Financials</v>
      </c>
      <c r="L3">
        <v>8</v>
      </c>
    </row>
    <row r="4" spans="1:12" x14ac:dyDescent="0.35">
      <c r="A4" t="str">
        <f>Input!H$189</f>
        <v>Non-financial Corporates</v>
      </c>
      <c r="B4">
        <f>Input!C194</f>
        <v>0</v>
      </c>
      <c r="C4">
        <f>Input!C$191</f>
        <v>1</v>
      </c>
      <c r="D4" t="str">
        <f>Input!B$194</f>
        <v>5.01 to 10</v>
      </c>
      <c r="E4" s="9">
        <f>Input!E$189</f>
        <v>1</v>
      </c>
      <c r="F4" t="str">
        <f>IF(B4&lt;&gt;"",IF(C4="NA",Lists!$D$9,IFERROR(HLOOKUP(C4,Input!$C$312:$L$335,H4,FALSE),"NA")), "")</f>
        <v>BB</v>
      </c>
      <c r="G4">
        <f t="shared" si="0"/>
        <v>3</v>
      </c>
      <c r="H4">
        <f t="shared" si="1"/>
        <v>4</v>
      </c>
      <c r="K4" t="str">
        <f>Lists!B5</f>
        <v>Sovereign / Public Finance</v>
      </c>
      <c r="L4">
        <v>12</v>
      </c>
    </row>
    <row r="5" spans="1:12" x14ac:dyDescent="0.35">
      <c r="A5" t="str">
        <f>Input!H$189</f>
        <v>Non-financial Corporates</v>
      </c>
      <c r="B5">
        <f>Input!C195</f>
        <v>0</v>
      </c>
      <c r="C5">
        <f>Input!C$191</f>
        <v>1</v>
      </c>
      <c r="D5" t="str">
        <f>Input!B$195</f>
        <v>10.01 to 20</v>
      </c>
      <c r="E5" s="9">
        <f>Input!E$189</f>
        <v>1</v>
      </c>
      <c r="F5" t="str">
        <f>IF(B5&lt;&gt;"",IF(C5="NA",Lists!$D$9,IFERROR(HLOOKUP(C5,Input!$C$312:$L$335,H5,FALSE),"NA")), "")</f>
        <v>BB</v>
      </c>
      <c r="G5">
        <f t="shared" si="0"/>
        <v>4</v>
      </c>
      <c r="H5">
        <f t="shared" si="1"/>
        <v>4</v>
      </c>
      <c r="K5" t="str">
        <f>Lists!B6</f>
        <v>Structured Finance - Senior</v>
      </c>
      <c r="L5">
        <v>16</v>
      </c>
    </row>
    <row r="6" spans="1:12" x14ac:dyDescent="0.35">
      <c r="A6" t="str">
        <f>Input!H$189</f>
        <v>Non-financial Corporates</v>
      </c>
      <c r="B6">
        <f>Input!C196</f>
        <v>0</v>
      </c>
      <c r="C6">
        <f>Input!C$191</f>
        <v>1</v>
      </c>
      <c r="D6" t="str">
        <f>Input!B$196</f>
        <v>More than 20</v>
      </c>
      <c r="E6" s="9">
        <f>Input!E$189</f>
        <v>1</v>
      </c>
      <c r="F6" t="str">
        <f>IF(B6&lt;&gt;"",IF(C6="NA",Lists!$D$9,IFERROR(HLOOKUP(C6,Input!$C$312:$L$335,H6,FALSE),"NA")), "")</f>
        <v>BB</v>
      </c>
      <c r="G6">
        <f t="shared" si="0"/>
        <v>5</v>
      </c>
      <c r="H6">
        <f t="shared" si="1"/>
        <v>4</v>
      </c>
      <c r="K6" t="str">
        <f>Lists!B7</f>
        <v>Structured Finance - Mezz.</v>
      </c>
      <c r="L6">
        <v>20</v>
      </c>
    </row>
    <row r="7" spans="1:12" x14ac:dyDescent="0.35">
      <c r="A7" t="str">
        <f>Input!H$189</f>
        <v>Non-financial Corporates</v>
      </c>
      <c r="B7">
        <f>Input!D192</f>
        <v>0</v>
      </c>
      <c r="C7">
        <f>Input!D$191</f>
        <v>2</v>
      </c>
      <c r="D7" t="str">
        <f>Input!B$192</f>
        <v>Upto 1</v>
      </c>
      <c r="E7" s="9">
        <f>Input!E$189</f>
        <v>1</v>
      </c>
      <c r="F7" t="str">
        <f>IF(B7&lt;&gt;"",IF(C7="NA",Lists!$D$9,IFERROR(HLOOKUP(C7,Input!$C$312:$L$335,H7,FALSE),"NA")), "")</f>
        <v>BB</v>
      </c>
      <c r="G7">
        <f t="shared" si="0"/>
        <v>1</v>
      </c>
      <c r="H7">
        <f t="shared" si="1"/>
        <v>4</v>
      </c>
      <c r="K7" t="str">
        <f>Lists!B8</f>
        <v>Structured Finance - Junior</v>
      </c>
      <c r="L7">
        <v>24</v>
      </c>
    </row>
    <row r="8" spans="1:12" x14ac:dyDescent="0.35">
      <c r="A8" t="str">
        <f>Input!H$189</f>
        <v>Non-financial Corporates</v>
      </c>
      <c r="B8">
        <f>Input!D193</f>
        <v>0</v>
      </c>
      <c r="C8">
        <f>Input!D$191</f>
        <v>2</v>
      </c>
      <c r="D8" t="str">
        <f>Input!B$193</f>
        <v>1.01 to 5</v>
      </c>
      <c r="E8" s="9">
        <f>Input!E$189</f>
        <v>1</v>
      </c>
      <c r="F8" t="str">
        <f>IF(B8&lt;&gt;"",IF(C8="NA",Lists!$D$9,IFERROR(HLOOKUP(C8,Input!$C$312:$L$335,H8,FALSE),"NA")), "")</f>
        <v>BB</v>
      </c>
      <c r="G8">
        <f t="shared" si="0"/>
        <v>2</v>
      </c>
      <c r="H8">
        <f t="shared" si="1"/>
        <v>4</v>
      </c>
    </row>
    <row r="9" spans="1:12" x14ac:dyDescent="0.35">
      <c r="A9" t="str">
        <f>Input!H$189</f>
        <v>Non-financial Corporates</v>
      </c>
      <c r="B9">
        <f>Input!D194</f>
        <v>0</v>
      </c>
      <c r="C9">
        <f>Input!D$191</f>
        <v>2</v>
      </c>
      <c r="D9" t="str">
        <f>Input!B$194</f>
        <v>5.01 to 10</v>
      </c>
      <c r="E9" s="9">
        <f>Input!E$189</f>
        <v>1</v>
      </c>
      <c r="F9" t="str">
        <f>IF(B9&lt;&gt;"",IF(C9="NA",Lists!$D$9,IFERROR(HLOOKUP(C9,Input!$C$312:$L$335,H9,FALSE),"NA")), "")</f>
        <v>BB</v>
      </c>
      <c r="G9">
        <f t="shared" si="0"/>
        <v>3</v>
      </c>
      <c r="H9">
        <f t="shared" si="1"/>
        <v>4</v>
      </c>
    </row>
    <row r="10" spans="1:12" x14ac:dyDescent="0.35">
      <c r="A10" t="str">
        <f>Input!H$189</f>
        <v>Non-financial Corporates</v>
      </c>
      <c r="B10">
        <f>Input!D195</f>
        <v>0</v>
      </c>
      <c r="C10">
        <f>Input!D$191</f>
        <v>2</v>
      </c>
      <c r="D10" t="str">
        <f>Input!B$195</f>
        <v>10.01 to 20</v>
      </c>
      <c r="E10" s="9">
        <f>Input!E$189</f>
        <v>1</v>
      </c>
      <c r="F10" t="str">
        <f>IF(B10&lt;&gt;"",IF(C10="NA",Lists!$D$9,IFERROR(HLOOKUP(C10,Input!$C$312:$L$335,H10,FALSE),"NA")), "")</f>
        <v>BB</v>
      </c>
      <c r="G10">
        <f t="shared" si="0"/>
        <v>4</v>
      </c>
      <c r="H10">
        <f t="shared" si="1"/>
        <v>4</v>
      </c>
    </row>
    <row r="11" spans="1:12" x14ac:dyDescent="0.35">
      <c r="A11" t="str">
        <f>Input!H$189</f>
        <v>Non-financial Corporates</v>
      </c>
      <c r="B11">
        <f>Input!D196</f>
        <v>0</v>
      </c>
      <c r="C11">
        <f>Input!D$191</f>
        <v>2</v>
      </c>
      <c r="D11" t="str">
        <f>Input!B$196</f>
        <v>More than 20</v>
      </c>
      <c r="E11" s="9">
        <f>Input!E$189</f>
        <v>1</v>
      </c>
      <c r="F11" t="str">
        <f>IF(B11&lt;&gt;"",IF(C11="NA",Lists!$D$9,IFERROR(HLOOKUP(C11,Input!$C$312:$L$335,H11,FALSE),"NA")), "")</f>
        <v>BB</v>
      </c>
      <c r="G11">
        <f t="shared" si="0"/>
        <v>5</v>
      </c>
      <c r="H11">
        <f t="shared" si="1"/>
        <v>4</v>
      </c>
    </row>
    <row r="12" spans="1:12" x14ac:dyDescent="0.35">
      <c r="A12" t="str">
        <f>Input!H$189</f>
        <v>Non-financial Corporates</v>
      </c>
      <c r="B12">
        <f>Input!E192</f>
        <v>0</v>
      </c>
      <c r="C12">
        <f>Input!E$191</f>
        <v>3</v>
      </c>
      <c r="D12" t="str">
        <f>Input!B$192</f>
        <v>Upto 1</v>
      </c>
      <c r="E12" s="9">
        <f>Input!E$189</f>
        <v>1</v>
      </c>
      <c r="F12" t="str">
        <f>IF(B12&lt;&gt;"",IF(C12="NA",Lists!$D$9,IFERROR(HLOOKUP(C12,Input!$C$312:$L$335,H12,FALSE),"NA")), "")</f>
        <v>BB</v>
      </c>
      <c r="G12">
        <f t="shared" si="0"/>
        <v>1</v>
      </c>
      <c r="H12">
        <f t="shared" si="1"/>
        <v>4</v>
      </c>
    </row>
    <row r="13" spans="1:12" x14ac:dyDescent="0.35">
      <c r="A13" t="str">
        <f>Input!H$189</f>
        <v>Non-financial Corporates</v>
      </c>
      <c r="B13">
        <f>Input!E193</f>
        <v>0</v>
      </c>
      <c r="C13">
        <f>Input!E$191</f>
        <v>3</v>
      </c>
      <c r="D13" t="str">
        <f>Input!B$193</f>
        <v>1.01 to 5</v>
      </c>
      <c r="E13" s="9">
        <f>Input!E$189</f>
        <v>1</v>
      </c>
      <c r="F13" t="str">
        <f>IF(B13&lt;&gt;"",IF(C13="NA",Lists!$D$9,IFERROR(HLOOKUP(C13,Input!$C$312:$L$335,H13,FALSE),"NA")), "")</f>
        <v>BB</v>
      </c>
      <c r="G13">
        <f t="shared" si="0"/>
        <v>2</v>
      </c>
      <c r="H13">
        <f t="shared" si="1"/>
        <v>4</v>
      </c>
    </row>
    <row r="14" spans="1:12" x14ac:dyDescent="0.35">
      <c r="A14" t="str">
        <f>Input!H$189</f>
        <v>Non-financial Corporates</v>
      </c>
      <c r="B14">
        <f>Input!E194</f>
        <v>0</v>
      </c>
      <c r="C14">
        <f>Input!E$191</f>
        <v>3</v>
      </c>
      <c r="D14" t="str">
        <f>Input!B$194</f>
        <v>5.01 to 10</v>
      </c>
      <c r="E14" s="9">
        <f>Input!E$189</f>
        <v>1</v>
      </c>
      <c r="F14" t="str">
        <f>IF(B14&lt;&gt;"",IF(C14="NA",Lists!$D$9,IFERROR(HLOOKUP(C14,Input!$C$312:$L$335,H14,FALSE),"NA")), "")</f>
        <v>BB</v>
      </c>
      <c r="G14">
        <f t="shared" si="0"/>
        <v>3</v>
      </c>
      <c r="H14">
        <f t="shared" si="1"/>
        <v>4</v>
      </c>
    </row>
    <row r="15" spans="1:12" x14ac:dyDescent="0.35">
      <c r="A15" t="str">
        <f>Input!H$189</f>
        <v>Non-financial Corporates</v>
      </c>
      <c r="B15">
        <f>Input!E195</f>
        <v>0</v>
      </c>
      <c r="C15">
        <f>Input!E$191</f>
        <v>3</v>
      </c>
      <c r="D15" t="str">
        <f>Input!B$195</f>
        <v>10.01 to 20</v>
      </c>
      <c r="E15" s="9">
        <f>Input!E$189</f>
        <v>1</v>
      </c>
      <c r="F15" t="str">
        <f>IF(B15&lt;&gt;"",IF(C15="NA",Lists!$D$9,IFERROR(HLOOKUP(C15,Input!$C$312:$L$335,H15,FALSE),"NA")), "")</f>
        <v>BB</v>
      </c>
      <c r="G15">
        <f t="shared" si="0"/>
        <v>4</v>
      </c>
      <c r="H15">
        <f t="shared" si="1"/>
        <v>4</v>
      </c>
    </row>
    <row r="16" spans="1:12" x14ac:dyDescent="0.35">
      <c r="A16" t="str">
        <f>Input!H$189</f>
        <v>Non-financial Corporates</v>
      </c>
      <c r="B16">
        <f>Input!E196</f>
        <v>0</v>
      </c>
      <c r="C16">
        <f>Input!E$191</f>
        <v>3</v>
      </c>
      <c r="D16" t="str">
        <f>Input!B$196</f>
        <v>More than 20</v>
      </c>
      <c r="E16" s="9">
        <f>Input!E$189</f>
        <v>1</v>
      </c>
      <c r="F16" t="str">
        <f>IF(B16&lt;&gt;"",IF(C16="NA",Lists!$D$9,IFERROR(HLOOKUP(C16,Input!$C$312:$L$335,H16,FALSE),"NA")), "")</f>
        <v>BB</v>
      </c>
      <c r="G16">
        <f t="shared" si="0"/>
        <v>5</v>
      </c>
      <c r="H16">
        <f t="shared" si="1"/>
        <v>4</v>
      </c>
    </row>
    <row r="17" spans="1:8" x14ac:dyDescent="0.35">
      <c r="A17" t="str">
        <f>Input!H$189</f>
        <v>Non-financial Corporates</v>
      </c>
      <c r="B17">
        <f>Input!F192</f>
        <v>0</v>
      </c>
      <c r="C17">
        <f>Input!F$191</f>
        <v>4</v>
      </c>
      <c r="D17" t="str">
        <f>Input!B$192</f>
        <v>Upto 1</v>
      </c>
      <c r="E17" s="9">
        <f>Input!E$189</f>
        <v>1</v>
      </c>
      <c r="F17" t="str">
        <f>IF(B17&lt;&gt;"",IF(C17="NA",Lists!$D$9,IFERROR(HLOOKUP(C17,Input!$C$312:$L$335,H17,FALSE),"NA")), "")</f>
        <v>BB</v>
      </c>
      <c r="G17">
        <f t="shared" si="0"/>
        <v>1</v>
      </c>
      <c r="H17">
        <f t="shared" si="1"/>
        <v>4</v>
      </c>
    </row>
    <row r="18" spans="1:8" x14ac:dyDescent="0.35">
      <c r="A18" t="str">
        <f>Input!H$189</f>
        <v>Non-financial Corporates</v>
      </c>
      <c r="B18">
        <f>Input!F193</f>
        <v>0</v>
      </c>
      <c r="C18">
        <f>Input!F$191</f>
        <v>4</v>
      </c>
      <c r="D18" t="str">
        <f>Input!B$193</f>
        <v>1.01 to 5</v>
      </c>
      <c r="E18" s="9">
        <f>Input!E$189</f>
        <v>1</v>
      </c>
      <c r="F18" t="str">
        <f>IF(B18&lt;&gt;"",IF(C18="NA",Lists!$D$9,IFERROR(HLOOKUP(C18,Input!$C$312:$L$335,H18,FALSE),"NA")), "")</f>
        <v>BB</v>
      </c>
      <c r="G18">
        <f t="shared" si="0"/>
        <v>2</v>
      </c>
      <c r="H18">
        <f t="shared" si="1"/>
        <v>4</v>
      </c>
    </row>
    <row r="19" spans="1:8" x14ac:dyDescent="0.35">
      <c r="A19" t="str">
        <f>Input!H$189</f>
        <v>Non-financial Corporates</v>
      </c>
      <c r="B19">
        <f>Input!F194</f>
        <v>0</v>
      </c>
      <c r="C19">
        <f>Input!F$191</f>
        <v>4</v>
      </c>
      <c r="D19" t="str">
        <f>Input!B$194</f>
        <v>5.01 to 10</v>
      </c>
      <c r="E19" s="9">
        <f>Input!E$189</f>
        <v>1</v>
      </c>
      <c r="F19" t="str">
        <f>IF(B19&lt;&gt;"",IF(C19="NA",Lists!$D$9,IFERROR(HLOOKUP(C19,Input!$C$312:$L$335,H19,FALSE),"NA")), "")</f>
        <v>BB</v>
      </c>
      <c r="G19">
        <f t="shared" si="0"/>
        <v>3</v>
      </c>
      <c r="H19">
        <f t="shared" si="1"/>
        <v>4</v>
      </c>
    </row>
    <row r="20" spans="1:8" x14ac:dyDescent="0.35">
      <c r="A20" t="str">
        <f>Input!H$189</f>
        <v>Non-financial Corporates</v>
      </c>
      <c r="B20">
        <f>Input!F195</f>
        <v>0</v>
      </c>
      <c r="C20">
        <f>Input!F$191</f>
        <v>4</v>
      </c>
      <c r="D20" t="str">
        <f>Input!B$195</f>
        <v>10.01 to 20</v>
      </c>
      <c r="E20" s="9">
        <f>Input!E$189</f>
        <v>1</v>
      </c>
      <c r="F20" t="str">
        <f>IF(B20&lt;&gt;"",IF(C20="NA",Lists!$D$9,IFERROR(HLOOKUP(C20,Input!$C$312:$L$335,H20,FALSE),"NA")), "")</f>
        <v>BB</v>
      </c>
      <c r="G20">
        <f t="shared" si="0"/>
        <v>4</v>
      </c>
      <c r="H20">
        <f t="shared" si="1"/>
        <v>4</v>
      </c>
    </row>
    <row r="21" spans="1:8" x14ac:dyDescent="0.35">
      <c r="A21" t="str">
        <f>Input!H$189</f>
        <v>Non-financial Corporates</v>
      </c>
      <c r="B21">
        <f>Input!F196</f>
        <v>0</v>
      </c>
      <c r="C21">
        <f>Input!F$191</f>
        <v>4</v>
      </c>
      <c r="D21" t="str">
        <f>Input!B$196</f>
        <v>More than 20</v>
      </c>
      <c r="E21" s="9">
        <f>Input!E$189</f>
        <v>1</v>
      </c>
      <c r="F21" t="str">
        <f>IF(B21&lt;&gt;"",IF(C21="NA",Lists!$D$9,IFERROR(HLOOKUP(C21,Input!$C$312:$L$335,H21,FALSE),"NA")), "")</f>
        <v>BB</v>
      </c>
      <c r="G21">
        <f t="shared" si="0"/>
        <v>5</v>
      </c>
      <c r="H21">
        <f t="shared" si="1"/>
        <v>4</v>
      </c>
    </row>
    <row r="22" spans="1:8" x14ac:dyDescent="0.35">
      <c r="A22" t="str">
        <f>Input!H$189</f>
        <v>Non-financial Corporates</v>
      </c>
      <c r="B22">
        <f>Input!G192</f>
        <v>0</v>
      </c>
      <c r="C22">
        <f>Input!G$191</f>
        <v>5</v>
      </c>
      <c r="D22" t="str">
        <f>Input!B$192</f>
        <v>Upto 1</v>
      </c>
      <c r="E22" s="9">
        <f>Input!E$189</f>
        <v>1</v>
      </c>
      <c r="F22" t="str">
        <f>IF(B22&lt;&gt;"",IF(C22="NA",Lists!$D$9,IFERROR(HLOOKUP(C22,Input!$C$312:$L$335,H22,FALSE),"NA")), "")</f>
        <v>BB</v>
      </c>
      <c r="G22">
        <f t="shared" si="0"/>
        <v>1</v>
      </c>
      <c r="H22">
        <f t="shared" si="1"/>
        <v>4</v>
      </c>
    </row>
    <row r="23" spans="1:8" x14ac:dyDescent="0.35">
      <c r="A23" t="str">
        <f>Input!H$189</f>
        <v>Non-financial Corporates</v>
      </c>
      <c r="B23">
        <f>Input!G193</f>
        <v>0</v>
      </c>
      <c r="C23">
        <f>Input!G$191</f>
        <v>5</v>
      </c>
      <c r="D23" t="str">
        <f>Input!B$193</f>
        <v>1.01 to 5</v>
      </c>
      <c r="E23" s="9">
        <f>Input!E$189</f>
        <v>1</v>
      </c>
      <c r="F23" t="str">
        <f>IF(B23&lt;&gt;"",IF(C23="NA",Lists!$D$9,IFERROR(HLOOKUP(C23,Input!$C$312:$L$335,H23,FALSE),"NA")), "")</f>
        <v>BB</v>
      </c>
      <c r="G23">
        <f t="shared" si="0"/>
        <v>2</v>
      </c>
      <c r="H23">
        <f t="shared" si="1"/>
        <v>4</v>
      </c>
    </row>
    <row r="24" spans="1:8" x14ac:dyDescent="0.35">
      <c r="A24" t="str">
        <f>Input!H$189</f>
        <v>Non-financial Corporates</v>
      </c>
      <c r="B24">
        <f>Input!G194</f>
        <v>0</v>
      </c>
      <c r="C24">
        <f>Input!G$191</f>
        <v>5</v>
      </c>
      <c r="D24" t="str">
        <f>Input!B$194</f>
        <v>5.01 to 10</v>
      </c>
      <c r="E24" s="9">
        <f>Input!E$189</f>
        <v>1</v>
      </c>
      <c r="F24" t="str">
        <f>IF(B24&lt;&gt;"",IF(C24="NA",Lists!$D$9,IFERROR(HLOOKUP(C24,Input!$C$312:$L$335,H24,FALSE),"NA")), "")</f>
        <v>BB</v>
      </c>
      <c r="G24">
        <f t="shared" si="0"/>
        <v>3</v>
      </c>
      <c r="H24">
        <f t="shared" si="1"/>
        <v>4</v>
      </c>
    </row>
    <row r="25" spans="1:8" x14ac:dyDescent="0.35">
      <c r="A25" t="str">
        <f>Input!H$189</f>
        <v>Non-financial Corporates</v>
      </c>
      <c r="B25">
        <f>Input!G195</f>
        <v>0</v>
      </c>
      <c r="C25">
        <f>Input!G$191</f>
        <v>5</v>
      </c>
      <c r="D25" t="str">
        <f>Input!B$195</f>
        <v>10.01 to 20</v>
      </c>
      <c r="E25" s="9">
        <f>Input!E$189</f>
        <v>1</v>
      </c>
      <c r="F25" t="str">
        <f>IF(B25&lt;&gt;"",IF(C25="NA",Lists!$D$9,IFERROR(HLOOKUP(C25,Input!$C$312:$L$335,H25,FALSE),"NA")), "")</f>
        <v>BB</v>
      </c>
      <c r="G25">
        <f t="shared" si="0"/>
        <v>4</v>
      </c>
      <c r="H25">
        <f t="shared" si="1"/>
        <v>4</v>
      </c>
    </row>
    <row r="26" spans="1:8" x14ac:dyDescent="0.35">
      <c r="A26" t="str">
        <f>Input!H$189</f>
        <v>Non-financial Corporates</v>
      </c>
      <c r="B26">
        <f>Input!G196</f>
        <v>0</v>
      </c>
      <c r="C26">
        <f>Input!G$191</f>
        <v>5</v>
      </c>
      <c r="D26" t="str">
        <f>Input!B$196</f>
        <v>More than 20</v>
      </c>
      <c r="E26" s="9">
        <f>Input!E$189</f>
        <v>1</v>
      </c>
      <c r="F26" t="str">
        <f>IF(B26&lt;&gt;"",IF(C26="NA",Lists!$D$9,IFERROR(HLOOKUP(C26,Input!$C$312:$L$335,H26,FALSE),"NA")), "")</f>
        <v>BB</v>
      </c>
      <c r="G26">
        <f t="shared" si="0"/>
        <v>5</v>
      </c>
      <c r="H26">
        <f t="shared" si="1"/>
        <v>4</v>
      </c>
    </row>
    <row r="27" spans="1:8" x14ac:dyDescent="0.35">
      <c r="A27" t="str">
        <f>Input!H$189</f>
        <v>Non-financial Corporates</v>
      </c>
      <c r="B27">
        <f>Input!H192</f>
        <v>0</v>
      </c>
      <c r="C27">
        <f>Input!H$191</f>
        <v>6</v>
      </c>
      <c r="D27" t="str">
        <f>Input!B$192</f>
        <v>Upto 1</v>
      </c>
      <c r="E27" s="9">
        <f>Input!E$189</f>
        <v>1</v>
      </c>
      <c r="F27" t="str">
        <f>IF(B27&lt;&gt;"",IF(C27="NA",Lists!$D$9,IFERROR(HLOOKUP(C27,Input!$C$312:$L$335,H27,FALSE),"NA")), "")</f>
        <v>BB</v>
      </c>
      <c r="G27">
        <f t="shared" si="0"/>
        <v>1</v>
      </c>
      <c r="H27">
        <f t="shared" si="1"/>
        <v>4</v>
      </c>
    </row>
    <row r="28" spans="1:8" x14ac:dyDescent="0.35">
      <c r="A28" t="str">
        <f>Input!H$189</f>
        <v>Non-financial Corporates</v>
      </c>
      <c r="B28">
        <f>Input!H193</f>
        <v>0</v>
      </c>
      <c r="C28">
        <f>Input!H$191</f>
        <v>6</v>
      </c>
      <c r="D28" t="str">
        <f>Input!B$193</f>
        <v>1.01 to 5</v>
      </c>
      <c r="E28" s="9">
        <f>Input!E$189</f>
        <v>1</v>
      </c>
      <c r="F28" t="str">
        <f>IF(B28&lt;&gt;"",IF(C28="NA",Lists!$D$9,IFERROR(HLOOKUP(C28,Input!$C$312:$L$335,H28,FALSE),"NA")), "")</f>
        <v>BB</v>
      </c>
      <c r="G28">
        <f t="shared" si="0"/>
        <v>2</v>
      </c>
      <c r="H28">
        <f t="shared" si="1"/>
        <v>4</v>
      </c>
    </row>
    <row r="29" spans="1:8" x14ac:dyDescent="0.35">
      <c r="A29" t="str">
        <f>Input!H$189</f>
        <v>Non-financial Corporates</v>
      </c>
      <c r="B29">
        <f>Input!H194</f>
        <v>0</v>
      </c>
      <c r="C29">
        <f>Input!H$191</f>
        <v>6</v>
      </c>
      <c r="D29" t="str">
        <f>Input!B$194</f>
        <v>5.01 to 10</v>
      </c>
      <c r="E29" s="9">
        <f>Input!E$189</f>
        <v>1</v>
      </c>
      <c r="F29" t="str">
        <f>IF(B29&lt;&gt;"",IF(C29="NA",Lists!$D$9,IFERROR(HLOOKUP(C29,Input!$C$312:$L$335,H29,FALSE),"NA")), "")</f>
        <v>BB</v>
      </c>
      <c r="G29">
        <f t="shared" si="0"/>
        <v>3</v>
      </c>
      <c r="H29">
        <f t="shared" si="1"/>
        <v>4</v>
      </c>
    </row>
    <row r="30" spans="1:8" x14ac:dyDescent="0.35">
      <c r="A30" t="str">
        <f>Input!H$189</f>
        <v>Non-financial Corporates</v>
      </c>
      <c r="B30">
        <f>Input!H195</f>
        <v>0</v>
      </c>
      <c r="C30">
        <f>Input!H$191</f>
        <v>6</v>
      </c>
      <c r="D30" t="str">
        <f>Input!B$195</f>
        <v>10.01 to 20</v>
      </c>
      <c r="E30" s="9">
        <f>Input!E$189</f>
        <v>1</v>
      </c>
      <c r="F30" t="str">
        <f>IF(B30&lt;&gt;"",IF(C30="NA",Lists!$D$9,IFERROR(HLOOKUP(C30,Input!$C$312:$L$335,H30,FALSE),"NA")), "")</f>
        <v>BB</v>
      </c>
      <c r="G30">
        <f t="shared" si="0"/>
        <v>4</v>
      </c>
      <c r="H30">
        <f t="shared" si="1"/>
        <v>4</v>
      </c>
    </row>
    <row r="31" spans="1:8" x14ac:dyDescent="0.35">
      <c r="A31" t="str">
        <f>Input!H$189</f>
        <v>Non-financial Corporates</v>
      </c>
      <c r="B31">
        <f>Input!H196</f>
        <v>0</v>
      </c>
      <c r="C31">
        <f>Input!H$191</f>
        <v>6</v>
      </c>
      <c r="D31" t="str">
        <f>Input!B$196</f>
        <v>More than 20</v>
      </c>
      <c r="E31" s="9">
        <f>Input!E$189</f>
        <v>1</v>
      </c>
      <c r="F31" t="str">
        <f>IF(B31&lt;&gt;"",IF(C31="NA",Lists!$D$9,IFERROR(HLOOKUP(C31,Input!$C$312:$L$335,H31,FALSE),"NA")), "")</f>
        <v>BB</v>
      </c>
      <c r="G31">
        <f t="shared" si="0"/>
        <v>5</v>
      </c>
      <c r="H31">
        <f t="shared" si="1"/>
        <v>4</v>
      </c>
    </row>
    <row r="32" spans="1:8" x14ac:dyDescent="0.35">
      <c r="A32" t="str">
        <f>Input!H$189</f>
        <v>Non-financial Corporates</v>
      </c>
      <c r="B32">
        <f>Input!I192</f>
        <v>0</v>
      </c>
      <c r="C32">
        <f>Input!I$191</f>
        <v>7</v>
      </c>
      <c r="D32" t="str">
        <f>Input!B$192</f>
        <v>Upto 1</v>
      </c>
      <c r="E32" s="9">
        <f>Input!E$189</f>
        <v>1</v>
      </c>
      <c r="F32" t="str">
        <f>IF(B32&lt;&gt;"",IF(C32="NA",Lists!$D$9,IFERROR(HLOOKUP(C32,Input!$C$312:$L$335,H32,FALSE),"NA")), "")</f>
        <v>BB</v>
      </c>
      <c r="G32">
        <f t="shared" si="0"/>
        <v>1</v>
      </c>
      <c r="H32">
        <f t="shared" si="1"/>
        <v>4</v>
      </c>
    </row>
    <row r="33" spans="1:11" x14ac:dyDescent="0.35">
      <c r="A33" t="str">
        <f>Input!H$189</f>
        <v>Non-financial Corporates</v>
      </c>
      <c r="B33">
        <f>Input!I193</f>
        <v>0</v>
      </c>
      <c r="C33">
        <f>Input!I$191</f>
        <v>7</v>
      </c>
      <c r="D33" t="str">
        <f>Input!B$193</f>
        <v>1.01 to 5</v>
      </c>
      <c r="E33" s="9">
        <f>Input!E$189</f>
        <v>1</v>
      </c>
      <c r="F33" t="str">
        <f>IF(B33&lt;&gt;"",IF(C33="NA",Lists!$D$9,IFERROR(HLOOKUP(C33,Input!$C$312:$L$335,H33,FALSE),"NA")), "")</f>
        <v>BB</v>
      </c>
      <c r="G33">
        <f t="shared" si="0"/>
        <v>2</v>
      </c>
      <c r="H33">
        <f t="shared" si="1"/>
        <v>4</v>
      </c>
    </row>
    <row r="34" spans="1:11" x14ac:dyDescent="0.35">
      <c r="A34" t="str">
        <f>Input!H$189</f>
        <v>Non-financial Corporates</v>
      </c>
      <c r="B34">
        <f>Input!I194</f>
        <v>0</v>
      </c>
      <c r="C34">
        <f>Input!I$191</f>
        <v>7</v>
      </c>
      <c r="D34" t="str">
        <f>Input!B$194</f>
        <v>5.01 to 10</v>
      </c>
      <c r="E34" s="9">
        <f>Input!E$189</f>
        <v>1</v>
      </c>
      <c r="F34" t="str">
        <f>IF(B34&lt;&gt;"",IF(C34="NA",Lists!$D$9,IFERROR(HLOOKUP(C34,Input!$C$312:$L$335,H34,FALSE),"NA")), "")</f>
        <v>BB</v>
      </c>
      <c r="G34">
        <f t="shared" si="0"/>
        <v>3</v>
      </c>
      <c r="H34">
        <f t="shared" si="1"/>
        <v>4</v>
      </c>
    </row>
    <row r="35" spans="1:11" x14ac:dyDescent="0.35">
      <c r="A35" t="str">
        <f>Input!H$189</f>
        <v>Non-financial Corporates</v>
      </c>
      <c r="B35">
        <f>Input!I195</f>
        <v>0</v>
      </c>
      <c r="C35">
        <f>Input!I$191</f>
        <v>7</v>
      </c>
      <c r="D35" t="str">
        <f>Input!B$195</f>
        <v>10.01 to 20</v>
      </c>
      <c r="E35" s="9">
        <f>Input!E$189</f>
        <v>1</v>
      </c>
      <c r="F35" t="str">
        <f>IF(B35&lt;&gt;"",IF(C35="NA",Lists!$D$9,IFERROR(HLOOKUP(C35,Input!$C$312:$L$335,H35,FALSE),"NA")), "")</f>
        <v>BB</v>
      </c>
      <c r="G35">
        <f t="shared" si="0"/>
        <v>4</v>
      </c>
      <c r="H35">
        <f t="shared" si="1"/>
        <v>4</v>
      </c>
    </row>
    <row r="36" spans="1:11" x14ac:dyDescent="0.35">
      <c r="A36" t="str">
        <f>Input!H$189</f>
        <v>Non-financial Corporates</v>
      </c>
      <c r="B36">
        <f>Input!I196</f>
        <v>0</v>
      </c>
      <c r="C36">
        <f>Input!I$191</f>
        <v>7</v>
      </c>
      <c r="D36" t="str">
        <f>Input!B$196</f>
        <v>More than 20</v>
      </c>
      <c r="E36" s="9">
        <f>Input!E$189</f>
        <v>1</v>
      </c>
      <c r="F36" t="str">
        <f>IF(B36&lt;&gt;"",IF(C36="NA",Lists!$D$9,IFERROR(HLOOKUP(C36,Input!$C$312:$L$335,H36,FALSE),"NA")), "")</f>
        <v>BB</v>
      </c>
      <c r="G36">
        <f t="shared" si="0"/>
        <v>5</v>
      </c>
      <c r="H36">
        <f t="shared" si="1"/>
        <v>4</v>
      </c>
    </row>
    <row r="37" spans="1:11" x14ac:dyDescent="0.35">
      <c r="A37" t="str">
        <f>Input!H$189</f>
        <v>Non-financial Corporates</v>
      </c>
      <c r="B37">
        <f>Input!J192</f>
        <v>0</v>
      </c>
      <c r="C37">
        <f>Input!J$191</f>
        <v>8</v>
      </c>
      <c r="D37" t="str">
        <f>Input!B$192</f>
        <v>Upto 1</v>
      </c>
      <c r="E37" s="9">
        <f>Input!E$189</f>
        <v>1</v>
      </c>
      <c r="F37" t="str">
        <f>IF(B37&lt;&gt;"",IF(C37="NA",Lists!$D$9,IFERROR(HLOOKUP(C37,Input!$C$312:$L$335,H37,FALSE),"NA")), "")</f>
        <v>B</v>
      </c>
      <c r="G37">
        <f t="shared" si="0"/>
        <v>1</v>
      </c>
      <c r="H37">
        <f t="shared" si="1"/>
        <v>4</v>
      </c>
    </row>
    <row r="38" spans="1:11" x14ac:dyDescent="0.35">
      <c r="A38" t="str">
        <f>Input!H$189</f>
        <v>Non-financial Corporates</v>
      </c>
      <c r="B38">
        <f>Input!J193</f>
        <v>0</v>
      </c>
      <c r="C38">
        <f>Input!J$191</f>
        <v>8</v>
      </c>
      <c r="D38" t="str">
        <f>Input!B$193</f>
        <v>1.01 to 5</v>
      </c>
      <c r="E38" s="9">
        <f>Input!E$189</f>
        <v>1</v>
      </c>
      <c r="F38" t="str">
        <f>IF(B38&lt;&gt;"",IF(C38="NA",Lists!$D$9,IFERROR(HLOOKUP(C38,Input!$C$312:$L$335,H38,FALSE),"NA")), "")</f>
        <v>B</v>
      </c>
      <c r="G38">
        <f t="shared" si="0"/>
        <v>2</v>
      </c>
      <c r="H38">
        <f t="shared" si="1"/>
        <v>4</v>
      </c>
    </row>
    <row r="39" spans="1:11" x14ac:dyDescent="0.35">
      <c r="A39" t="str">
        <f>Input!H$189</f>
        <v>Non-financial Corporates</v>
      </c>
      <c r="B39">
        <f>Input!J194</f>
        <v>0</v>
      </c>
      <c r="C39">
        <f>Input!J$191</f>
        <v>8</v>
      </c>
      <c r="D39" t="str">
        <f>Input!B$194</f>
        <v>5.01 to 10</v>
      </c>
      <c r="E39" s="9">
        <f>Input!E$189</f>
        <v>1</v>
      </c>
      <c r="F39" t="str">
        <f>IF(B39&lt;&gt;"",IF(C39="NA",Lists!$D$9,IFERROR(HLOOKUP(C39,Input!$C$312:$L$335,H39,FALSE),"NA")), "")</f>
        <v>B</v>
      </c>
      <c r="G39">
        <f t="shared" si="0"/>
        <v>3</v>
      </c>
      <c r="H39">
        <f t="shared" si="1"/>
        <v>4</v>
      </c>
    </row>
    <row r="40" spans="1:11" x14ac:dyDescent="0.35">
      <c r="A40" t="str">
        <f>Input!H$189</f>
        <v>Non-financial Corporates</v>
      </c>
      <c r="B40">
        <f>Input!J195</f>
        <v>0</v>
      </c>
      <c r="C40">
        <f>Input!J$191</f>
        <v>8</v>
      </c>
      <c r="D40" t="str">
        <f>Input!B$195</f>
        <v>10.01 to 20</v>
      </c>
      <c r="E40" s="9">
        <f>Input!E$189</f>
        <v>1</v>
      </c>
      <c r="F40" t="str">
        <f>IF(B40&lt;&gt;"",IF(C40="NA",Lists!$D$9,IFERROR(HLOOKUP(C40,Input!$C$312:$L$335,H40,FALSE),"NA")), "")</f>
        <v>B</v>
      </c>
      <c r="G40">
        <f t="shared" si="0"/>
        <v>4</v>
      </c>
      <c r="H40">
        <f t="shared" si="1"/>
        <v>4</v>
      </c>
      <c r="K40" s="9"/>
    </row>
    <row r="41" spans="1:11" x14ac:dyDescent="0.35">
      <c r="A41" t="str">
        <f>Input!H$189</f>
        <v>Non-financial Corporates</v>
      </c>
      <c r="B41">
        <f>Input!J196</f>
        <v>0</v>
      </c>
      <c r="C41">
        <f>Input!J$191</f>
        <v>8</v>
      </c>
      <c r="D41" t="str">
        <f>Input!B$196</f>
        <v>More than 20</v>
      </c>
      <c r="E41" s="9">
        <f>Input!E$189</f>
        <v>1</v>
      </c>
      <c r="F41" t="str">
        <f>IF(B41&lt;&gt;"",IF(C41="NA",Lists!$D$9,IFERROR(HLOOKUP(C41,Input!$C$312:$L$335,H41,FALSE),"NA")), "")</f>
        <v>B</v>
      </c>
      <c r="G41">
        <f t="shared" si="0"/>
        <v>5</v>
      </c>
      <c r="H41">
        <f t="shared" si="1"/>
        <v>4</v>
      </c>
    </row>
    <row r="42" spans="1:11" x14ac:dyDescent="0.35">
      <c r="A42" t="str">
        <f>Input!H$189</f>
        <v>Non-financial Corporates</v>
      </c>
      <c r="B42">
        <f>Input!K192</f>
        <v>0</v>
      </c>
      <c r="C42">
        <f>Input!K$191</f>
        <v>9</v>
      </c>
      <c r="D42" t="str">
        <f>Input!B$192</f>
        <v>Upto 1</v>
      </c>
      <c r="E42" s="9">
        <f>Input!E$189</f>
        <v>1</v>
      </c>
      <c r="F42" t="str">
        <f>IF(B42&lt;&gt;"",IF(C42="NA",Lists!$D$9,IFERROR(HLOOKUP(C42,Input!$C$312:$L$335,H42,FALSE),"NA")), "")</f>
        <v>B</v>
      </c>
      <c r="G42">
        <f t="shared" si="0"/>
        <v>1</v>
      </c>
      <c r="H42">
        <f t="shared" si="1"/>
        <v>4</v>
      </c>
    </row>
    <row r="43" spans="1:11" x14ac:dyDescent="0.35">
      <c r="A43" t="str">
        <f>Input!H$189</f>
        <v>Non-financial Corporates</v>
      </c>
      <c r="B43">
        <f>Input!K193</f>
        <v>0</v>
      </c>
      <c r="C43">
        <f>Input!K$191</f>
        <v>9</v>
      </c>
      <c r="D43" t="str">
        <f>Input!B$193</f>
        <v>1.01 to 5</v>
      </c>
      <c r="E43" s="9">
        <f>Input!E$189</f>
        <v>1</v>
      </c>
      <c r="F43" t="str">
        <f>IF(B43&lt;&gt;"",IF(C43="NA",Lists!$D$9,IFERROR(HLOOKUP(C43,Input!$C$312:$L$335,H43,FALSE),"NA")), "")</f>
        <v>B</v>
      </c>
      <c r="G43">
        <f t="shared" si="0"/>
        <v>2</v>
      </c>
      <c r="H43">
        <f t="shared" si="1"/>
        <v>4</v>
      </c>
    </row>
    <row r="44" spans="1:11" x14ac:dyDescent="0.35">
      <c r="A44" t="str">
        <f>Input!H$189</f>
        <v>Non-financial Corporates</v>
      </c>
      <c r="B44">
        <f>Input!K194</f>
        <v>0</v>
      </c>
      <c r="C44">
        <f>Input!K$191</f>
        <v>9</v>
      </c>
      <c r="D44" t="str">
        <f>Input!B$194</f>
        <v>5.01 to 10</v>
      </c>
      <c r="E44" s="9">
        <f>Input!E$189</f>
        <v>1</v>
      </c>
      <c r="F44" t="str">
        <f>IF(B44&lt;&gt;"",IF(C44="NA",Lists!$D$9,IFERROR(HLOOKUP(C44,Input!$C$312:$L$335,H44,FALSE),"NA")), "")</f>
        <v>B</v>
      </c>
      <c r="G44">
        <f t="shared" si="0"/>
        <v>3</v>
      </c>
      <c r="H44">
        <f t="shared" si="1"/>
        <v>4</v>
      </c>
    </row>
    <row r="45" spans="1:11" x14ac:dyDescent="0.35">
      <c r="A45" t="str">
        <f>Input!H$189</f>
        <v>Non-financial Corporates</v>
      </c>
      <c r="B45">
        <f>Input!K195</f>
        <v>0</v>
      </c>
      <c r="C45">
        <f>Input!K$191</f>
        <v>9</v>
      </c>
      <c r="D45" t="str">
        <f>Input!B$195</f>
        <v>10.01 to 20</v>
      </c>
      <c r="E45" s="9">
        <f>Input!E$189</f>
        <v>1</v>
      </c>
      <c r="F45" t="str">
        <f>IF(B45&lt;&gt;"",IF(C45="NA",Lists!$D$9,IFERROR(HLOOKUP(C45,Input!$C$312:$L$335,H45,FALSE),"NA")), "")</f>
        <v>B</v>
      </c>
      <c r="G45">
        <f t="shared" si="0"/>
        <v>4</v>
      </c>
      <c r="H45">
        <f t="shared" si="1"/>
        <v>4</v>
      </c>
    </row>
    <row r="46" spans="1:11" x14ac:dyDescent="0.35">
      <c r="A46" t="str">
        <f>Input!H$189</f>
        <v>Non-financial Corporates</v>
      </c>
      <c r="B46">
        <f>Input!K196</f>
        <v>0</v>
      </c>
      <c r="C46">
        <f>Input!K$191</f>
        <v>9</v>
      </c>
      <c r="D46" t="str">
        <f>Input!B$196</f>
        <v>More than 20</v>
      </c>
      <c r="E46" s="9">
        <f>Input!E$189</f>
        <v>1</v>
      </c>
      <c r="F46" t="str">
        <f>IF(B46&lt;&gt;"",IF(C46="NA",Lists!$D$9,IFERROR(HLOOKUP(C46,Input!$C$312:$L$335,H46,FALSE),"NA")), "")</f>
        <v>B</v>
      </c>
      <c r="G46">
        <f t="shared" si="0"/>
        <v>5</v>
      </c>
      <c r="H46">
        <f t="shared" si="1"/>
        <v>4</v>
      </c>
    </row>
    <row r="47" spans="1:11" x14ac:dyDescent="0.35">
      <c r="A47" t="str">
        <f>Input!H$189</f>
        <v>Non-financial Corporates</v>
      </c>
      <c r="B47">
        <f>Input!L192</f>
        <v>0</v>
      </c>
      <c r="C47">
        <f>Input!L$191</f>
        <v>10</v>
      </c>
      <c r="D47" t="str">
        <f>Input!B$192</f>
        <v>Upto 1</v>
      </c>
      <c r="E47" s="9">
        <f>Input!E$189</f>
        <v>1</v>
      </c>
      <c r="F47" t="str">
        <f>IF(B47&lt;&gt;"",IF(C47="NA",Lists!$D$9,IFERROR(HLOOKUP(C47,Input!$C$312:$L$335,H47,FALSE),"NA")), "")</f>
        <v>CCC-C</v>
      </c>
      <c r="G47">
        <f t="shared" si="0"/>
        <v>1</v>
      </c>
      <c r="H47">
        <f t="shared" si="1"/>
        <v>4</v>
      </c>
    </row>
    <row r="48" spans="1:11" x14ac:dyDescent="0.35">
      <c r="A48" t="str">
        <f>Input!H$189</f>
        <v>Non-financial Corporates</v>
      </c>
      <c r="B48">
        <f>Input!L193</f>
        <v>0</v>
      </c>
      <c r="C48">
        <f>Input!L$191</f>
        <v>10</v>
      </c>
      <c r="D48" t="str">
        <f>Input!B$193</f>
        <v>1.01 to 5</v>
      </c>
      <c r="E48" s="9">
        <f>Input!E$189</f>
        <v>1</v>
      </c>
      <c r="F48" t="str">
        <f>IF(B48&lt;&gt;"",IF(C48="NA",Lists!$D$9,IFERROR(HLOOKUP(C48,Input!$C$312:$L$335,H48,FALSE),"NA")), "")</f>
        <v>CCC-C</v>
      </c>
      <c r="G48">
        <f t="shared" si="0"/>
        <v>2</v>
      </c>
      <c r="H48">
        <f t="shared" si="1"/>
        <v>4</v>
      </c>
    </row>
    <row r="49" spans="1:8" x14ac:dyDescent="0.35">
      <c r="A49" t="str">
        <f>Input!H$189</f>
        <v>Non-financial Corporates</v>
      </c>
      <c r="B49">
        <f>Input!L194</f>
        <v>0</v>
      </c>
      <c r="C49">
        <f>Input!L$191</f>
        <v>10</v>
      </c>
      <c r="D49" t="str">
        <f>Input!B$194</f>
        <v>5.01 to 10</v>
      </c>
      <c r="E49" s="9">
        <f>Input!E$189</f>
        <v>1</v>
      </c>
      <c r="F49" t="str">
        <f>IF(B49&lt;&gt;"",IF(C49="NA",Lists!$D$9,IFERROR(HLOOKUP(C49,Input!$C$312:$L$335,H49,FALSE),"NA")), "")</f>
        <v>CCC-C</v>
      </c>
      <c r="G49">
        <f t="shared" si="0"/>
        <v>3</v>
      </c>
      <c r="H49">
        <f t="shared" si="1"/>
        <v>4</v>
      </c>
    </row>
    <row r="50" spans="1:8" x14ac:dyDescent="0.35">
      <c r="A50" t="str">
        <f>Input!H$189</f>
        <v>Non-financial Corporates</v>
      </c>
      <c r="B50">
        <f>Input!L195</f>
        <v>0</v>
      </c>
      <c r="C50">
        <f>Input!L$191</f>
        <v>10</v>
      </c>
      <c r="D50" t="str">
        <f>Input!B$195</f>
        <v>10.01 to 20</v>
      </c>
      <c r="E50" s="9">
        <f>Input!E$189</f>
        <v>1</v>
      </c>
      <c r="F50" t="str">
        <f>IF(B50&lt;&gt;"",IF(C50="NA",Lists!$D$9,IFERROR(HLOOKUP(C50,Input!$C$312:$L$335,H50,FALSE),"NA")), "")</f>
        <v>CCC-C</v>
      </c>
      <c r="G50">
        <f t="shared" si="0"/>
        <v>4</v>
      </c>
      <c r="H50">
        <f t="shared" si="1"/>
        <v>4</v>
      </c>
    </row>
    <row r="51" spans="1:8" x14ac:dyDescent="0.35">
      <c r="A51" t="str">
        <f>Input!H$189</f>
        <v>Non-financial Corporates</v>
      </c>
      <c r="B51">
        <f>Input!L196</f>
        <v>0</v>
      </c>
      <c r="C51">
        <f>Input!L$191</f>
        <v>10</v>
      </c>
      <c r="D51" t="str">
        <f>Input!B$196</f>
        <v>More than 20</v>
      </c>
      <c r="E51" s="9">
        <f>Input!E$189</f>
        <v>1</v>
      </c>
      <c r="F51" t="str">
        <f>IF(B51&lt;&gt;"",IF(C51="NA",Lists!$D$9,IFERROR(HLOOKUP(C51,Input!$C$312:$L$335,H51,FALSE),"NA")), "")</f>
        <v>CCC-C</v>
      </c>
      <c r="G51">
        <f t="shared" si="0"/>
        <v>5</v>
      </c>
      <c r="H51">
        <f t="shared" si="1"/>
        <v>4</v>
      </c>
    </row>
    <row r="52" spans="1:8" x14ac:dyDescent="0.35">
      <c r="A52" t="str">
        <f>Input!H$189</f>
        <v>Non-financial Corporates</v>
      </c>
      <c r="B52">
        <f>Input!M192</f>
        <v>0</v>
      </c>
      <c r="C52" t="str">
        <f>Input!M$191</f>
        <v>NA</v>
      </c>
      <c r="D52" t="str">
        <f>Input!B$192</f>
        <v>Upto 1</v>
      </c>
      <c r="E52" s="9">
        <f>Input!E$189</f>
        <v>1</v>
      </c>
      <c r="F52" t="str">
        <f>IF(B52&lt;&gt;"",IF(C52="NA",Lists!$D$9,IFERROR(HLOOKUP(C52,Input!$C$312:$L$335,H52,FALSE),"NA")), "")</f>
        <v>CCC-C</v>
      </c>
      <c r="G52">
        <f t="shared" si="0"/>
        <v>1</v>
      </c>
      <c r="H52">
        <f t="shared" si="1"/>
        <v>4</v>
      </c>
    </row>
    <row r="53" spans="1:8" x14ac:dyDescent="0.35">
      <c r="A53" t="str">
        <f>Input!H$189</f>
        <v>Non-financial Corporates</v>
      </c>
      <c r="B53">
        <f>Input!M193</f>
        <v>0</v>
      </c>
      <c r="C53" t="str">
        <f>Input!M$191</f>
        <v>NA</v>
      </c>
      <c r="D53" t="str">
        <f>Input!B$193</f>
        <v>1.01 to 5</v>
      </c>
      <c r="E53" s="9">
        <f>Input!E$189</f>
        <v>1</v>
      </c>
      <c r="F53" t="str">
        <f>IF(B53&lt;&gt;"",IF(C53="NA",Lists!$D$9,IFERROR(HLOOKUP(C53,Input!$C$312:$L$335,H53,FALSE),"NA")), "")</f>
        <v>CCC-C</v>
      </c>
      <c r="G53">
        <f t="shared" si="0"/>
        <v>2</v>
      </c>
      <c r="H53">
        <f t="shared" si="1"/>
        <v>4</v>
      </c>
    </row>
    <row r="54" spans="1:8" x14ac:dyDescent="0.35">
      <c r="A54" t="str">
        <f>Input!H$189</f>
        <v>Non-financial Corporates</v>
      </c>
      <c r="B54">
        <f>Input!M194</f>
        <v>0</v>
      </c>
      <c r="C54" t="str">
        <f>Input!M$191</f>
        <v>NA</v>
      </c>
      <c r="D54" t="str">
        <f>Input!B$194</f>
        <v>5.01 to 10</v>
      </c>
      <c r="E54" s="9">
        <f>Input!E$189</f>
        <v>1</v>
      </c>
      <c r="F54" t="str">
        <f>IF(B54&lt;&gt;"",IF(C54="NA",Lists!$D$9,IFERROR(HLOOKUP(C54,Input!$C$312:$L$335,H54,FALSE),"NA")), "")</f>
        <v>CCC-C</v>
      </c>
      <c r="G54">
        <f t="shared" si="0"/>
        <v>3</v>
      </c>
      <c r="H54">
        <f t="shared" si="1"/>
        <v>4</v>
      </c>
    </row>
    <row r="55" spans="1:8" x14ac:dyDescent="0.35">
      <c r="A55" t="str">
        <f>Input!H$189</f>
        <v>Non-financial Corporates</v>
      </c>
      <c r="B55">
        <f>Input!M195</f>
        <v>0</v>
      </c>
      <c r="C55" t="str">
        <f>Input!M$191</f>
        <v>NA</v>
      </c>
      <c r="D55" t="str">
        <f>Input!B$195</f>
        <v>10.01 to 20</v>
      </c>
      <c r="E55" s="9">
        <f>Input!E$189</f>
        <v>1</v>
      </c>
      <c r="F55" t="str">
        <f>IF(B55&lt;&gt;"",IF(C55="NA",Lists!$D$9,IFERROR(HLOOKUP(C55,Input!$C$312:$L$335,H55,FALSE),"NA")), "")</f>
        <v>CCC-C</v>
      </c>
      <c r="G55">
        <f t="shared" si="0"/>
        <v>4</v>
      </c>
      <c r="H55">
        <f t="shared" si="1"/>
        <v>4</v>
      </c>
    </row>
    <row r="56" spans="1:8" x14ac:dyDescent="0.35">
      <c r="A56" t="str">
        <f>Input!H$189</f>
        <v>Non-financial Corporates</v>
      </c>
      <c r="B56">
        <f>Input!M196</f>
        <v>0</v>
      </c>
      <c r="C56" t="str">
        <f>Input!M$191</f>
        <v>NA</v>
      </c>
      <c r="D56" t="str">
        <f>Input!B$196</f>
        <v>More than 20</v>
      </c>
      <c r="E56" s="9">
        <f>Input!E$189</f>
        <v>1</v>
      </c>
      <c r="F56" t="str">
        <f>IF(B56&lt;&gt;"",IF(C56="NA",Lists!$D$9,IFERROR(HLOOKUP(C56,Input!$C$312:$L$335,H56,FALSE),"NA")), "")</f>
        <v>CCC-C</v>
      </c>
      <c r="G56">
        <f t="shared" si="0"/>
        <v>5</v>
      </c>
      <c r="H56">
        <f t="shared" si="1"/>
        <v>4</v>
      </c>
    </row>
    <row r="57" spans="1:8" x14ac:dyDescent="0.35">
      <c r="A57" t="str">
        <f>Input!H$199</f>
        <v>Non-financial Corporates</v>
      </c>
      <c r="B57">
        <f>Input!C202</f>
        <v>0</v>
      </c>
      <c r="C57">
        <f>Input!C$191</f>
        <v>1</v>
      </c>
      <c r="D57" t="str">
        <f>Input!B$202</f>
        <v>Upto 1</v>
      </c>
      <c r="E57" s="9">
        <f>Input!E$199</f>
        <v>2</v>
      </c>
      <c r="F57" t="str">
        <f>IF(B57&lt;&gt;"",IF(C57="NA",Lists!$D$9,IFERROR(HLOOKUP(C57,Input!$C$312:$L$335,H57,FALSE),"NA")), "")</f>
        <v>BB</v>
      </c>
      <c r="G57">
        <f t="shared" si="0"/>
        <v>1</v>
      </c>
      <c r="H57">
        <f t="shared" si="1"/>
        <v>4</v>
      </c>
    </row>
    <row r="58" spans="1:8" x14ac:dyDescent="0.35">
      <c r="A58" t="str">
        <f>Input!H$199</f>
        <v>Non-financial Corporates</v>
      </c>
      <c r="B58">
        <f>Input!C203</f>
        <v>0</v>
      </c>
      <c r="C58">
        <f>Input!C$191</f>
        <v>1</v>
      </c>
      <c r="D58" t="str">
        <f>Input!B$203</f>
        <v>1.01 to 5</v>
      </c>
      <c r="E58" s="9">
        <f>Input!E$199</f>
        <v>2</v>
      </c>
      <c r="F58" t="str">
        <f>IF(B58&lt;&gt;"",IF(C58="NA",Lists!$D$9,IFERROR(HLOOKUP(C58,Input!$C$312:$L$335,H58,FALSE),"NA")), "")</f>
        <v>BB</v>
      </c>
      <c r="G58">
        <f t="shared" si="0"/>
        <v>2</v>
      </c>
      <c r="H58">
        <f t="shared" si="1"/>
        <v>4</v>
      </c>
    </row>
    <row r="59" spans="1:8" x14ac:dyDescent="0.35">
      <c r="A59" t="str">
        <f>Input!H$199</f>
        <v>Non-financial Corporates</v>
      </c>
      <c r="B59">
        <f>Input!C204</f>
        <v>0</v>
      </c>
      <c r="C59">
        <f>Input!C$191</f>
        <v>1</v>
      </c>
      <c r="D59" t="str">
        <f>Input!B$204</f>
        <v>5.01 to 10</v>
      </c>
      <c r="E59" s="9">
        <f>Input!E$199</f>
        <v>2</v>
      </c>
      <c r="F59" t="str">
        <f>IF(B59&lt;&gt;"",IF(C59="NA",Lists!$D$9,IFERROR(HLOOKUP(C59,Input!$C$312:$L$335,H59,FALSE),"NA")), "")</f>
        <v>BB</v>
      </c>
      <c r="G59">
        <f t="shared" si="0"/>
        <v>3</v>
      </c>
      <c r="H59">
        <f t="shared" si="1"/>
        <v>4</v>
      </c>
    </row>
    <row r="60" spans="1:8" x14ac:dyDescent="0.35">
      <c r="A60" t="str">
        <f>Input!H$199</f>
        <v>Non-financial Corporates</v>
      </c>
      <c r="B60">
        <f>Input!C205</f>
        <v>0</v>
      </c>
      <c r="C60">
        <f>Input!C$191</f>
        <v>1</v>
      </c>
      <c r="D60" t="str">
        <f>Input!B$205</f>
        <v>10.01 to 20</v>
      </c>
      <c r="E60" s="9">
        <f>Input!E$199</f>
        <v>2</v>
      </c>
      <c r="F60" t="str">
        <f>IF(B60&lt;&gt;"",IF(C60="NA",Lists!$D$9,IFERROR(HLOOKUP(C60,Input!$C$312:$L$335,H60,FALSE),"NA")), "")</f>
        <v>BB</v>
      </c>
      <c r="G60">
        <f t="shared" si="0"/>
        <v>4</v>
      </c>
      <c r="H60">
        <f t="shared" si="1"/>
        <v>4</v>
      </c>
    </row>
    <row r="61" spans="1:8" x14ac:dyDescent="0.35">
      <c r="A61" t="str">
        <f>Input!H$199</f>
        <v>Non-financial Corporates</v>
      </c>
      <c r="B61">
        <f>Input!C206</f>
        <v>0</v>
      </c>
      <c r="C61">
        <f>Input!C$191</f>
        <v>1</v>
      </c>
      <c r="D61" t="str">
        <f>Input!B$206</f>
        <v>More than 20</v>
      </c>
      <c r="E61" s="9">
        <f>Input!E$199</f>
        <v>2</v>
      </c>
      <c r="F61" t="str">
        <f>IF(B61&lt;&gt;"",IF(C61="NA",Lists!$D$9,IFERROR(HLOOKUP(C61,Input!$C$312:$L$335,H61,FALSE),"NA")), "")</f>
        <v>BB</v>
      </c>
      <c r="G61">
        <f t="shared" si="0"/>
        <v>5</v>
      </c>
      <c r="H61">
        <f t="shared" si="1"/>
        <v>4</v>
      </c>
    </row>
    <row r="62" spans="1:8" x14ac:dyDescent="0.35">
      <c r="A62" t="str">
        <f>Input!H$199</f>
        <v>Non-financial Corporates</v>
      </c>
      <c r="B62">
        <f>Input!D202</f>
        <v>0</v>
      </c>
      <c r="C62">
        <f>Input!D$191</f>
        <v>2</v>
      </c>
      <c r="D62" t="str">
        <f>Input!B$202</f>
        <v>Upto 1</v>
      </c>
      <c r="E62" s="9">
        <f>Input!E$199</f>
        <v>2</v>
      </c>
      <c r="F62" t="str">
        <f>IF(B62&lt;&gt;"",IF(C62="NA",Lists!$D$9,IFERROR(HLOOKUP(C62,Input!$C$312:$L$335,H62,FALSE),"NA")), "")</f>
        <v>BB</v>
      </c>
      <c r="G62">
        <f t="shared" si="0"/>
        <v>1</v>
      </c>
      <c r="H62">
        <f t="shared" si="1"/>
        <v>4</v>
      </c>
    </row>
    <row r="63" spans="1:8" x14ac:dyDescent="0.35">
      <c r="A63" t="str">
        <f>Input!H$199</f>
        <v>Non-financial Corporates</v>
      </c>
      <c r="B63">
        <f>Input!D203</f>
        <v>0</v>
      </c>
      <c r="C63">
        <f>Input!D$191</f>
        <v>2</v>
      </c>
      <c r="D63" t="str">
        <f>Input!B$203</f>
        <v>1.01 to 5</v>
      </c>
      <c r="E63" s="9">
        <f>Input!E$199</f>
        <v>2</v>
      </c>
      <c r="F63" t="str">
        <f>IF(B63&lt;&gt;"",IF(C63="NA",Lists!$D$9,IFERROR(HLOOKUP(C63,Input!$C$312:$L$335,H63,FALSE),"NA")), "")</f>
        <v>BB</v>
      </c>
      <c r="G63">
        <f t="shared" si="0"/>
        <v>2</v>
      </c>
      <c r="H63">
        <f t="shared" si="1"/>
        <v>4</v>
      </c>
    </row>
    <row r="64" spans="1:8" x14ac:dyDescent="0.35">
      <c r="A64" t="str">
        <f>Input!H$199</f>
        <v>Non-financial Corporates</v>
      </c>
      <c r="B64">
        <f>Input!D204</f>
        <v>0</v>
      </c>
      <c r="C64">
        <f>Input!D$191</f>
        <v>2</v>
      </c>
      <c r="D64" t="str">
        <f>Input!B$204</f>
        <v>5.01 to 10</v>
      </c>
      <c r="E64" s="9">
        <f>Input!E$199</f>
        <v>2</v>
      </c>
      <c r="F64" t="str">
        <f>IF(B64&lt;&gt;"",IF(C64="NA",Lists!$D$9,IFERROR(HLOOKUP(C64,Input!$C$312:$L$335,H64,FALSE),"NA")), "")</f>
        <v>BB</v>
      </c>
      <c r="G64">
        <f t="shared" si="0"/>
        <v>3</v>
      </c>
      <c r="H64">
        <f t="shared" si="1"/>
        <v>4</v>
      </c>
    </row>
    <row r="65" spans="1:8" x14ac:dyDescent="0.35">
      <c r="A65" t="str">
        <f>Input!H$199</f>
        <v>Non-financial Corporates</v>
      </c>
      <c r="B65">
        <f>Input!D205</f>
        <v>0</v>
      </c>
      <c r="C65">
        <f>Input!D$191</f>
        <v>2</v>
      </c>
      <c r="D65" t="str">
        <f>Input!B$205</f>
        <v>10.01 to 20</v>
      </c>
      <c r="E65" s="9">
        <f>Input!E$199</f>
        <v>2</v>
      </c>
      <c r="F65" t="str">
        <f>IF(B65&lt;&gt;"",IF(C65="NA",Lists!$D$9,IFERROR(HLOOKUP(C65,Input!$C$312:$L$335,H65,FALSE),"NA")), "")</f>
        <v>BB</v>
      </c>
      <c r="G65">
        <f t="shared" si="0"/>
        <v>4</v>
      </c>
      <c r="H65">
        <f t="shared" si="1"/>
        <v>4</v>
      </c>
    </row>
    <row r="66" spans="1:8" x14ac:dyDescent="0.35">
      <c r="A66" t="str">
        <f>Input!H$199</f>
        <v>Non-financial Corporates</v>
      </c>
      <c r="B66">
        <f>Input!D206</f>
        <v>0</v>
      </c>
      <c r="C66">
        <f>Input!D$191</f>
        <v>2</v>
      </c>
      <c r="D66" t="str">
        <f>Input!B$206</f>
        <v>More than 20</v>
      </c>
      <c r="E66" s="9">
        <f>Input!E$199</f>
        <v>2</v>
      </c>
      <c r="F66" t="str">
        <f>IF(B66&lt;&gt;"",IF(C66="NA",Lists!$D$9,IFERROR(HLOOKUP(C66,Input!$C$312:$L$335,H66,FALSE),"NA")), "")</f>
        <v>BB</v>
      </c>
      <c r="G66">
        <f t="shared" ref="G66:G129" si="2">IFERROR(MATCH(D66,lov_term_buckets,0),"")</f>
        <v>5</v>
      </c>
      <c r="H66">
        <f t="shared" si="1"/>
        <v>4</v>
      </c>
    </row>
    <row r="67" spans="1:8" x14ac:dyDescent="0.35">
      <c r="A67" t="str">
        <f>Input!H$199</f>
        <v>Non-financial Corporates</v>
      </c>
      <c r="B67">
        <f>Input!E202</f>
        <v>0</v>
      </c>
      <c r="C67">
        <f>Input!E$191</f>
        <v>3</v>
      </c>
      <c r="D67" t="str">
        <f>Input!B$202</f>
        <v>Upto 1</v>
      </c>
      <c r="E67" s="9">
        <f>Input!E$199</f>
        <v>2</v>
      </c>
      <c r="F67" t="str">
        <f>IF(B67&lt;&gt;"",IF(C67="NA",Lists!$D$9,IFERROR(HLOOKUP(C67,Input!$C$312:$L$335,H67,FALSE),"NA")), "")</f>
        <v>BB</v>
      </c>
      <c r="G67">
        <f t="shared" si="2"/>
        <v>1</v>
      </c>
      <c r="H67">
        <f t="shared" ref="H67:H130" si="3">INDEX($L$2:$L$8,MATCH(A67,$K$2:$K$8,0))</f>
        <v>4</v>
      </c>
    </row>
    <row r="68" spans="1:8" x14ac:dyDescent="0.35">
      <c r="A68" t="str">
        <f>Input!H$199</f>
        <v>Non-financial Corporates</v>
      </c>
      <c r="B68">
        <f>Input!E203</f>
        <v>0</v>
      </c>
      <c r="C68">
        <f>Input!E$191</f>
        <v>3</v>
      </c>
      <c r="D68" t="str">
        <f>Input!B$203</f>
        <v>1.01 to 5</v>
      </c>
      <c r="E68" s="9">
        <f>Input!E$199</f>
        <v>2</v>
      </c>
      <c r="F68" t="str">
        <f>IF(B68&lt;&gt;"",IF(C68="NA",Lists!$D$9,IFERROR(HLOOKUP(C68,Input!$C$312:$L$335,H68,FALSE),"NA")), "")</f>
        <v>BB</v>
      </c>
      <c r="G68">
        <f t="shared" si="2"/>
        <v>2</v>
      </c>
      <c r="H68">
        <f t="shared" si="3"/>
        <v>4</v>
      </c>
    </row>
    <row r="69" spans="1:8" x14ac:dyDescent="0.35">
      <c r="A69" t="str">
        <f>Input!H$199</f>
        <v>Non-financial Corporates</v>
      </c>
      <c r="B69">
        <f>Input!E204</f>
        <v>0</v>
      </c>
      <c r="C69">
        <f>Input!E$191</f>
        <v>3</v>
      </c>
      <c r="D69" t="str">
        <f>Input!B$204</f>
        <v>5.01 to 10</v>
      </c>
      <c r="E69" s="9">
        <f>Input!E$199</f>
        <v>2</v>
      </c>
      <c r="F69" t="str">
        <f>IF(B69&lt;&gt;"",IF(C69="NA",Lists!$D$9,IFERROR(HLOOKUP(C69,Input!$C$312:$L$335,H69,FALSE),"NA")), "")</f>
        <v>BB</v>
      </c>
      <c r="G69">
        <f t="shared" si="2"/>
        <v>3</v>
      </c>
      <c r="H69">
        <f t="shared" si="3"/>
        <v>4</v>
      </c>
    </row>
    <row r="70" spans="1:8" x14ac:dyDescent="0.35">
      <c r="A70" t="str">
        <f>Input!H$199</f>
        <v>Non-financial Corporates</v>
      </c>
      <c r="B70">
        <f>Input!E205</f>
        <v>0</v>
      </c>
      <c r="C70">
        <f>Input!E$191</f>
        <v>3</v>
      </c>
      <c r="D70" t="str">
        <f>Input!B$205</f>
        <v>10.01 to 20</v>
      </c>
      <c r="E70" s="9">
        <f>Input!E$199</f>
        <v>2</v>
      </c>
      <c r="F70" t="str">
        <f>IF(B70&lt;&gt;"",IF(C70="NA",Lists!$D$9,IFERROR(HLOOKUP(C70,Input!$C$312:$L$335,H70,FALSE),"NA")), "")</f>
        <v>BB</v>
      </c>
      <c r="G70">
        <f t="shared" si="2"/>
        <v>4</v>
      </c>
      <c r="H70">
        <f t="shared" si="3"/>
        <v>4</v>
      </c>
    </row>
    <row r="71" spans="1:8" x14ac:dyDescent="0.35">
      <c r="A71" t="str">
        <f>Input!H$199</f>
        <v>Non-financial Corporates</v>
      </c>
      <c r="B71">
        <f>Input!E206</f>
        <v>0</v>
      </c>
      <c r="C71">
        <f>Input!E$191</f>
        <v>3</v>
      </c>
      <c r="D71" t="str">
        <f>Input!B$206</f>
        <v>More than 20</v>
      </c>
      <c r="E71" s="9">
        <f>Input!E$199</f>
        <v>2</v>
      </c>
      <c r="F71" t="str">
        <f>IF(B71&lt;&gt;"",IF(C71="NA",Lists!$D$9,IFERROR(HLOOKUP(C71,Input!$C$312:$L$335,H71,FALSE),"NA")), "")</f>
        <v>BB</v>
      </c>
      <c r="G71">
        <f t="shared" si="2"/>
        <v>5</v>
      </c>
      <c r="H71">
        <f t="shared" si="3"/>
        <v>4</v>
      </c>
    </row>
    <row r="72" spans="1:8" x14ac:dyDescent="0.35">
      <c r="A72" t="str">
        <f>Input!H$199</f>
        <v>Non-financial Corporates</v>
      </c>
      <c r="B72">
        <f>Input!F202</f>
        <v>0</v>
      </c>
      <c r="C72">
        <f>Input!F$191</f>
        <v>4</v>
      </c>
      <c r="D72" t="str">
        <f>Input!B$202</f>
        <v>Upto 1</v>
      </c>
      <c r="E72" s="9">
        <f>Input!E$199</f>
        <v>2</v>
      </c>
      <c r="F72" t="str">
        <f>IF(B72&lt;&gt;"",IF(C72="NA",Lists!$D$9,IFERROR(HLOOKUP(C72,Input!$C$312:$L$335,H72,FALSE),"NA")), "")</f>
        <v>BB</v>
      </c>
      <c r="G72">
        <f t="shared" si="2"/>
        <v>1</v>
      </c>
      <c r="H72">
        <f t="shared" si="3"/>
        <v>4</v>
      </c>
    </row>
    <row r="73" spans="1:8" x14ac:dyDescent="0.35">
      <c r="A73" t="str">
        <f>Input!H$199</f>
        <v>Non-financial Corporates</v>
      </c>
      <c r="B73">
        <f>Input!F203</f>
        <v>0</v>
      </c>
      <c r="C73">
        <f>Input!F$191</f>
        <v>4</v>
      </c>
      <c r="D73" t="str">
        <f>Input!B$203</f>
        <v>1.01 to 5</v>
      </c>
      <c r="E73" s="9">
        <f>Input!E$199</f>
        <v>2</v>
      </c>
      <c r="F73" t="str">
        <f>IF(B73&lt;&gt;"",IF(C73="NA",Lists!$D$9,IFERROR(HLOOKUP(C73,Input!$C$312:$L$335,H73,FALSE),"NA")), "")</f>
        <v>BB</v>
      </c>
      <c r="G73">
        <f t="shared" si="2"/>
        <v>2</v>
      </c>
      <c r="H73">
        <f t="shared" si="3"/>
        <v>4</v>
      </c>
    </row>
    <row r="74" spans="1:8" x14ac:dyDescent="0.35">
      <c r="A74" t="str">
        <f>Input!H$199</f>
        <v>Non-financial Corporates</v>
      </c>
      <c r="B74">
        <f>Input!F204</f>
        <v>0</v>
      </c>
      <c r="C74">
        <f>Input!F$191</f>
        <v>4</v>
      </c>
      <c r="D74" t="str">
        <f>Input!B$204</f>
        <v>5.01 to 10</v>
      </c>
      <c r="E74" s="9">
        <f>Input!E$199</f>
        <v>2</v>
      </c>
      <c r="F74" t="str">
        <f>IF(B74&lt;&gt;"",IF(C74="NA",Lists!$D$9,IFERROR(HLOOKUP(C74,Input!$C$312:$L$335,H74,FALSE),"NA")), "")</f>
        <v>BB</v>
      </c>
      <c r="G74">
        <f t="shared" si="2"/>
        <v>3</v>
      </c>
      <c r="H74">
        <f t="shared" si="3"/>
        <v>4</v>
      </c>
    </row>
    <row r="75" spans="1:8" x14ac:dyDescent="0.35">
      <c r="A75" t="str">
        <f>Input!H$199</f>
        <v>Non-financial Corporates</v>
      </c>
      <c r="B75">
        <f>Input!F205</f>
        <v>0</v>
      </c>
      <c r="C75">
        <f>Input!F$191</f>
        <v>4</v>
      </c>
      <c r="D75" t="str">
        <f>Input!B$205</f>
        <v>10.01 to 20</v>
      </c>
      <c r="E75" s="9">
        <f>Input!E$199</f>
        <v>2</v>
      </c>
      <c r="F75" t="str">
        <f>IF(B75&lt;&gt;"",IF(C75="NA",Lists!$D$9,IFERROR(HLOOKUP(C75,Input!$C$312:$L$335,H75,FALSE),"NA")), "")</f>
        <v>BB</v>
      </c>
      <c r="G75">
        <f t="shared" si="2"/>
        <v>4</v>
      </c>
      <c r="H75">
        <f t="shared" si="3"/>
        <v>4</v>
      </c>
    </row>
    <row r="76" spans="1:8" x14ac:dyDescent="0.35">
      <c r="A76" t="str">
        <f>Input!H$199</f>
        <v>Non-financial Corporates</v>
      </c>
      <c r="B76">
        <f>Input!F206</f>
        <v>0</v>
      </c>
      <c r="C76">
        <f>Input!F$191</f>
        <v>4</v>
      </c>
      <c r="D76" t="str">
        <f>Input!B$206</f>
        <v>More than 20</v>
      </c>
      <c r="E76" s="9">
        <f>Input!E$199</f>
        <v>2</v>
      </c>
      <c r="F76" t="str">
        <f>IF(B76&lt;&gt;"",IF(C76="NA",Lists!$D$9,IFERROR(HLOOKUP(C76,Input!$C$312:$L$335,H76,FALSE),"NA")), "")</f>
        <v>BB</v>
      </c>
      <c r="G76">
        <f t="shared" si="2"/>
        <v>5</v>
      </c>
      <c r="H76">
        <f t="shared" si="3"/>
        <v>4</v>
      </c>
    </row>
    <row r="77" spans="1:8" x14ac:dyDescent="0.35">
      <c r="A77" t="str">
        <f>Input!H$199</f>
        <v>Non-financial Corporates</v>
      </c>
      <c r="B77">
        <f>Input!G202</f>
        <v>0</v>
      </c>
      <c r="C77">
        <f>Input!G$191</f>
        <v>5</v>
      </c>
      <c r="D77" t="str">
        <f>Input!B$202</f>
        <v>Upto 1</v>
      </c>
      <c r="E77" s="9">
        <f>Input!E$199</f>
        <v>2</v>
      </c>
      <c r="F77" t="str">
        <f>IF(B77&lt;&gt;"",IF(C77="NA",Lists!$D$9,IFERROR(HLOOKUP(C77,Input!$C$312:$L$335,H77,FALSE),"NA")), "")</f>
        <v>BB</v>
      </c>
      <c r="G77">
        <f t="shared" si="2"/>
        <v>1</v>
      </c>
      <c r="H77">
        <f t="shared" si="3"/>
        <v>4</v>
      </c>
    </row>
    <row r="78" spans="1:8" x14ac:dyDescent="0.35">
      <c r="A78" t="str">
        <f>Input!H$199</f>
        <v>Non-financial Corporates</v>
      </c>
      <c r="B78">
        <f>Input!G203</f>
        <v>0</v>
      </c>
      <c r="C78">
        <f>Input!G$191</f>
        <v>5</v>
      </c>
      <c r="D78" t="str">
        <f>Input!B$203</f>
        <v>1.01 to 5</v>
      </c>
      <c r="E78" s="9">
        <f>Input!E$199</f>
        <v>2</v>
      </c>
      <c r="F78" t="str">
        <f>IF(B78&lt;&gt;"",IF(C78="NA",Lists!$D$9,IFERROR(HLOOKUP(C78,Input!$C$312:$L$335,H78,FALSE),"NA")), "")</f>
        <v>BB</v>
      </c>
      <c r="G78">
        <f t="shared" si="2"/>
        <v>2</v>
      </c>
      <c r="H78">
        <f t="shared" si="3"/>
        <v>4</v>
      </c>
    </row>
    <row r="79" spans="1:8" x14ac:dyDescent="0.35">
      <c r="A79" t="str">
        <f>Input!H$199</f>
        <v>Non-financial Corporates</v>
      </c>
      <c r="B79">
        <f>Input!G204</f>
        <v>0</v>
      </c>
      <c r="C79">
        <f>Input!G$191</f>
        <v>5</v>
      </c>
      <c r="D79" t="str">
        <f>Input!B$204</f>
        <v>5.01 to 10</v>
      </c>
      <c r="E79" s="9">
        <f>Input!E$199</f>
        <v>2</v>
      </c>
      <c r="F79" t="str">
        <f>IF(B79&lt;&gt;"",IF(C79="NA",Lists!$D$9,IFERROR(HLOOKUP(C79,Input!$C$312:$L$335,H79,FALSE),"NA")), "")</f>
        <v>BB</v>
      </c>
      <c r="G79">
        <f t="shared" si="2"/>
        <v>3</v>
      </c>
      <c r="H79">
        <f t="shared" si="3"/>
        <v>4</v>
      </c>
    </row>
    <row r="80" spans="1:8" x14ac:dyDescent="0.35">
      <c r="A80" t="str">
        <f>Input!H$199</f>
        <v>Non-financial Corporates</v>
      </c>
      <c r="B80">
        <f>Input!G205</f>
        <v>0</v>
      </c>
      <c r="C80">
        <f>Input!G$191</f>
        <v>5</v>
      </c>
      <c r="D80" t="str">
        <f>Input!B$205</f>
        <v>10.01 to 20</v>
      </c>
      <c r="E80" s="9">
        <f>Input!E$199</f>
        <v>2</v>
      </c>
      <c r="F80" t="str">
        <f>IF(B80&lt;&gt;"",IF(C80="NA",Lists!$D$9,IFERROR(HLOOKUP(C80,Input!$C$312:$L$335,H80,FALSE),"NA")), "")</f>
        <v>BB</v>
      </c>
      <c r="G80">
        <f t="shared" si="2"/>
        <v>4</v>
      </c>
      <c r="H80">
        <f t="shared" si="3"/>
        <v>4</v>
      </c>
    </row>
    <row r="81" spans="1:8" x14ac:dyDescent="0.35">
      <c r="A81" t="str">
        <f>Input!H$199</f>
        <v>Non-financial Corporates</v>
      </c>
      <c r="B81">
        <f>Input!G206</f>
        <v>0</v>
      </c>
      <c r="C81">
        <f>Input!G$191</f>
        <v>5</v>
      </c>
      <c r="D81" t="str">
        <f>Input!B$206</f>
        <v>More than 20</v>
      </c>
      <c r="E81" s="9">
        <f>Input!E$199</f>
        <v>2</v>
      </c>
      <c r="F81" t="str">
        <f>IF(B81&lt;&gt;"",IF(C81="NA",Lists!$D$9,IFERROR(HLOOKUP(C81,Input!$C$312:$L$335,H81,FALSE),"NA")), "")</f>
        <v>BB</v>
      </c>
      <c r="G81">
        <f t="shared" si="2"/>
        <v>5</v>
      </c>
      <c r="H81">
        <f t="shared" si="3"/>
        <v>4</v>
      </c>
    </row>
    <row r="82" spans="1:8" x14ac:dyDescent="0.35">
      <c r="A82" t="str">
        <f>Input!H$199</f>
        <v>Non-financial Corporates</v>
      </c>
      <c r="B82">
        <f>Input!H202</f>
        <v>0</v>
      </c>
      <c r="C82">
        <f>Input!H$191</f>
        <v>6</v>
      </c>
      <c r="D82" t="str">
        <f>Input!B$202</f>
        <v>Upto 1</v>
      </c>
      <c r="E82" s="9">
        <f>Input!E$199</f>
        <v>2</v>
      </c>
      <c r="F82" t="str">
        <f>IF(B82&lt;&gt;"",IF(C82="NA",Lists!$D$9,IFERROR(HLOOKUP(C82,Input!$C$312:$L$335,H82,FALSE),"NA")), "")</f>
        <v>BB</v>
      </c>
      <c r="G82">
        <f t="shared" si="2"/>
        <v>1</v>
      </c>
      <c r="H82">
        <f t="shared" si="3"/>
        <v>4</v>
      </c>
    </row>
    <row r="83" spans="1:8" x14ac:dyDescent="0.35">
      <c r="A83" t="str">
        <f>Input!H$199</f>
        <v>Non-financial Corporates</v>
      </c>
      <c r="B83">
        <f>Input!H203</f>
        <v>0</v>
      </c>
      <c r="C83">
        <f>Input!H$191</f>
        <v>6</v>
      </c>
      <c r="D83" t="str">
        <f>Input!B$203</f>
        <v>1.01 to 5</v>
      </c>
      <c r="E83" s="9">
        <f>Input!E$199</f>
        <v>2</v>
      </c>
      <c r="F83" t="str">
        <f>IF(B83&lt;&gt;"",IF(C83="NA",Lists!$D$9,IFERROR(HLOOKUP(C83,Input!$C$312:$L$335,H83,FALSE),"NA")), "")</f>
        <v>BB</v>
      </c>
      <c r="G83">
        <f t="shared" si="2"/>
        <v>2</v>
      </c>
      <c r="H83">
        <f t="shared" si="3"/>
        <v>4</v>
      </c>
    </row>
    <row r="84" spans="1:8" x14ac:dyDescent="0.35">
      <c r="A84" t="str">
        <f>Input!H$199</f>
        <v>Non-financial Corporates</v>
      </c>
      <c r="B84">
        <f>Input!H204</f>
        <v>0</v>
      </c>
      <c r="C84">
        <f>Input!H$191</f>
        <v>6</v>
      </c>
      <c r="D84" t="str">
        <f>Input!B$204</f>
        <v>5.01 to 10</v>
      </c>
      <c r="E84" s="9">
        <f>Input!E$199</f>
        <v>2</v>
      </c>
      <c r="F84" t="str">
        <f>IF(B84&lt;&gt;"",IF(C84="NA",Lists!$D$9,IFERROR(HLOOKUP(C84,Input!$C$312:$L$335,H84,FALSE),"NA")), "")</f>
        <v>BB</v>
      </c>
      <c r="G84">
        <f t="shared" si="2"/>
        <v>3</v>
      </c>
      <c r="H84">
        <f t="shared" si="3"/>
        <v>4</v>
      </c>
    </row>
    <row r="85" spans="1:8" x14ac:dyDescent="0.35">
      <c r="A85" t="str">
        <f>Input!H$199</f>
        <v>Non-financial Corporates</v>
      </c>
      <c r="B85">
        <f>Input!H205</f>
        <v>0</v>
      </c>
      <c r="C85">
        <f>Input!H$191</f>
        <v>6</v>
      </c>
      <c r="D85" t="str">
        <f>Input!B$205</f>
        <v>10.01 to 20</v>
      </c>
      <c r="E85" s="9">
        <f>Input!E$199</f>
        <v>2</v>
      </c>
      <c r="F85" t="str">
        <f>IF(B85&lt;&gt;"",IF(C85="NA",Lists!$D$9,IFERROR(HLOOKUP(C85,Input!$C$312:$L$335,H85,FALSE),"NA")), "")</f>
        <v>BB</v>
      </c>
      <c r="G85">
        <f t="shared" si="2"/>
        <v>4</v>
      </c>
      <c r="H85">
        <f t="shared" si="3"/>
        <v>4</v>
      </c>
    </row>
    <row r="86" spans="1:8" x14ac:dyDescent="0.35">
      <c r="A86" t="str">
        <f>Input!H$199</f>
        <v>Non-financial Corporates</v>
      </c>
      <c r="B86">
        <f>Input!H206</f>
        <v>0</v>
      </c>
      <c r="C86">
        <f>Input!H$191</f>
        <v>6</v>
      </c>
      <c r="D86" t="str">
        <f>Input!B$206</f>
        <v>More than 20</v>
      </c>
      <c r="E86" s="9">
        <f>Input!E$199</f>
        <v>2</v>
      </c>
      <c r="F86" t="str">
        <f>IF(B86&lt;&gt;"",IF(C86="NA",Lists!$D$9,IFERROR(HLOOKUP(C86,Input!$C$312:$L$335,H86,FALSE),"NA")), "")</f>
        <v>BB</v>
      </c>
      <c r="G86">
        <f t="shared" si="2"/>
        <v>5</v>
      </c>
      <c r="H86">
        <f t="shared" si="3"/>
        <v>4</v>
      </c>
    </row>
    <row r="87" spans="1:8" x14ac:dyDescent="0.35">
      <c r="A87" t="str">
        <f>Input!H$199</f>
        <v>Non-financial Corporates</v>
      </c>
      <c r="B87">
        <f>Input!I202</f>
        <v>0</v>
      </c>
      <c r="C87">
        <f>Input!I$191</f>
        <v>7</v>
      </c>
      <c r="D87" t="str">
        <f>Input!B$202</f>
        <v>Upto 1</v>
      </c>
      <c r="E87" s="9">
        <f>Input!E$199</f>
        <v>2</v>
      </c>
      <c r="F87" t="str">
        <f>IF(B87&lt;&gt;"",IF(C87="NA",Lists!$D$9,IFERROR(HLOOKUP(C87,Input!$C$312:$L$335,H87,FALSE),"NA")), "")</f>
        <v>BB</v>
      </c>
      <c r="G87">
        <f t="shared" si="2"/>
        <v>1</v>
      </c>
      <c r="H87">
        <f t="shared" si="3"/>
        <v>4</v>
      </c>
    </row>
    <row r="88" spans="1:8" x14ac:dyDescent="0.35">
      <c r="A88" t="str">
        <f>Input!H$199</f>
        <v>Non-financial Corporates</v>
      </c>
      <c r="B88">
        <f>Input!I203</f>
        <v>0</v>
      </c>
      <c r="C88">
        <f>Input!I$191</f>
        <v>7</v>
      </c>
      <c r="D88" t="str">
        <f>Input!B$203</f>
        <v>1.01 to 5</v>
      </c>
      <c r="E88" s="9">
        <f>Input!E$199</f>
        <v>2</v>
      </c>
      <c r="F88" t="str">
        <f>IF(B88&lt;&gt;"",IF(C88="NA",Lists!$D$9,IFERROR(HLOOKUP(C88,Input!$C$312:$L$335,H88,FALSE),"NA")), "")</f>
        <v>BB</v>
      </c>
      <c r="G88">
        <f t="shared" si="2"/>
        <v>2</v>
      </c>
      <c r="H88">
        <f t="shared" si="3"/>
        <v>4</v>
      </c>
    </row>
    <row r="89" spans="1:8" x14ac:dyDescent="0.35">
      <c r="A89" t="str">
        <f>Input!H$199</f>
        <v>Non-financial Corporates</v>
      </c>
      <c r="B89">
        <f>Input!I204</f>
        <v>0</v>
      </c>
      <c r="C89">
        <f>Input!I$191</f>
        <v>7</v>
      </c>
      <c r="D89" t="str">
        <f>Input!B$204</f>
        <v>5.01 to 10</v>
      </c>
      <c r="E89" s="9">
        <f>Input!E$199</f>
        <v>2</v>
      </c>
      <c r="F89" t="str">
        <f>IF(B89&lt;&gt;"",IF(C89="NA",Lists!$D$9,IFERROR(HLOOKUP(C89,Input!$C$312:$L$335,H89,FALSE),"NA")), "")</f>
        <v>BB</v>
      </c>
      <c r="G89">
        <f t="shared" si="2"/>
        <v>3</v>
      </c>
      <c r="H89">
        <f t="shared" si="3"/>
        <v>4</v>
      </c>
    </row>
    <row r="90" spans="1:8" x14ac:dyDescent="0.35">
      <c r="A90" t="str">
        <f>Input!H$199</f>
        <v>Non-financial Corporates</v>
      </c>
      <c r="B90">
        <f>Input!I205</f>
        <v>0</v>
      </c>
      <c r="C90">
        <f>Input!I$191</f>
        <v>7</v>
      </c>
      <c r="D90" t="str">
        <f>Input!B$205</f>
        <v>10.01 to 20</v>
      </c>
      <c r="E90" s="9">
        <f>Input!E$199</f>
        <v>2</v>
      </c>
      <c r="F90" t="str">
        <f>IF(B90&lt;&gt;"",IF(C90="NA",Lists!$D$9,IFERROR(HLOOKUP(C90,Input!$C$312:$L$335,H90,FALSE),"NA")), "")</f>
        <v>BB</v>
      </c>
      <c r="G90">
        <f t="shared" si="2"/>
        <v>4</v>
      </c>
      <c r="H90">
        <f t="shared" si="3"/>
        <v>4</v>
      </c>
    </row>
    <row r="91" spans="1:8" x14ac:dyDescent="0.35">
      <c r="A91" t="str">
        <f>Input!H$199</f>
        <v>Non-financial Corporates</v>
      </c>
      <c r="B91">
        <f>Input!I206</f>
        <v>0</v>
      </c>
      <c r="C91">
        <f>Input!I$191</f>
        <v>7</v>
      </c>
      <c r="D91" t="str">
        <f>Input!B$206</f>
        <v>More than 20</v>
      </c>
      <c r="E91" s="9">
        <f>Input!E$199</f>
        <v>2</v>
      </c>
      <c r="F91" t="str">
        <f>IF(B91&lt;&gt;"",IF(C91="NA",Lists!$D$9,IFERROR(HLOOKUP(C91,Input!$C$312:$L$335,H91,FALSE),"NA")), "")</f>
        <v>BB</v>
      </c>
      <c r="G91">
        <f t="shared" si="2"/>
        <v>5</v>
      </c>
      <c r="H91">
        <f t="shared" si="3"/>
        <v>4</v>
      </c>
    </row>
    <row r="92" spans="1:8" x14ac:dyDescent="0.35">
      <c r="A92" t="str">
        <f>Input!H$199</f>
        <v>Non-financial Corporates</v>
      </c>
      <c r="B92">
        <f>Input!J202</f>
        <v>0</v>
      </c>
      <c r="C92">
        <f>Input!J$191</f>
        <v>8</v>
      </c>
      <c r="D92" t="str">
        <f>Input!B$202</f>
        <v>Upto 1</v>
      </c>
      <c r="E92" s="9">
        <f>Input!E$199</f>
        <v>2</v>
      </c>
      <c r="F92" t="str">
        <f>IF(B92&lt;&gt;"",IF(C92="NA",Lists!$D$9,IFERROR(HLOOKUP(C92,Input!$C$312:$L$335,H92,FALSE),"NA")), "")</f>
        <v>B</v>
      </c>
      <c r="G92">
        <f t="shared" si="2"/>
        <v>1</v>
      </c>
      <c r="H92">
        <f t="shared" si="3"/>
        <v>4</v>
      </c>
    </row>
    <row r="93" spans="1:8" x14ac:dyDescent="0.35">
      <c r="A93" t="str">
        <f>Input!H$199</f>
        <v>Non-financial Corporates</v>
      </c>
      <c r="B93">
        <f>Input!J203</f>
        <v>0</v>
      </c>
      <c r="C93">
        <f>Input!J$191</f>
        <v>8</v>
      </c>
      <c r="D93" t="str">
        <f>Input!B$203</f>
        <v>1.01 to 5</v>
      </c>
      <c r="E93" s="9">
        <f>Input!E$199</f>
        <v>2</v>
      </c>
      <c r="F93" t="str">
        <f>IF(B93&lt;&gt;"",IF(C93="NA",Lists!$D$9,IFERROR(HLOOKUP(C93,Input!$C$312:$L$335,H93,FALSE),"NA")), "")</f>
        <v>B</v>
      </c>
      <c r="G93">
        <f t="shared" si="2"/>
        <v>2</v>
      </c>
      <c r="H93">
        <f t="shared" si="3"/>
        <v>4</v>
      </c>
    </row>
    <row r="94" spans="1:8" x14ac:dyDescent="0.35">
      <c r="A94" t="str">
        <f>Input!H$199</f>
        <v>Non-financial Corporates</v>
      </c>
      <c r="B94">
        <f>Input!J204</f>
        <v>0</v>
      </c>
      <c r="C94">
        <f>Input!J$191</f>
        <v>8</v>
      </c>
      <c r="D94" t="str">
        <f>Input!B$204</f>
        <v>5.01 to 10</v>
      </c>
      <c r="E94" s="9">
        <f>Input!E$199</f>
        <v>2</v>
      </c>
      <c r="F94" t="str">
        <f>IF(B94&lt;&gt;"",IF(C94="NA",Lists!$D$9,IFERROR(HLOOKUP(C94,Input!$C$312:$L$335,H94,FALSE),"NA")), "")</f>
        <v>B</v>
      </c>
      <c r="G94">
        <f t="shared" si="2"/>
        <v>3</v>
      </c>
      <c r="H94">
        <f t="shared" si="3"/>
        <v>4</v>
      </c>
    </row>
    <row r="95" spans="1:8" x14ac:dyDescent="0.35">
      <c r="A95" t="str">
        <f>Input!H$199</f>
        <v>Non-financial Corporates</v>
      </c>
      <c r="B95">
        <f>Input!J205</f>
        <v>0</v>
      </c>
      <c r="C95">
        <f>Input!J$191</f>
        <v>8</v>
      </c>
      <c r="D95" t="str">
        <f>Input!B$205</f>
        <v>10.01 to 20</v>
      </c>
      <c r="E95" s="9">
        <f>Input!E$199</f>
        <v>2</v>
      </c>
      <c r="F95" t="str">
        <f>IF(B95&lt;&gt;"",IF(C95="NA",Lists!$D$9,IFERROR(HLOOKUP(C95,Input!$C$312:$L$335,H95,FALSE),"NA")), "")</f>
        <v>B</v>
      </c>
      <c r="G95">
        <f t="shared" si="2"/>
        <v>4</v>
      </c>
      <c r="H95">
        <f t="shared" si="3"/>
        <v>4</v>
      </c>
    </row>
    <row r="96" spans="1:8" x14ac:dyDescent="0.35">
      <c r="A96" t="str">
        <f>Input!H$199</f>
        <v>Non-financial Corporates</v>
      </c>
      <c r="B96">
        <f>Input!J206</f>
        <v>0</v>
      </c>
      <c r="C96">
        <f>Input!J$191</f>
        <v>8</v>
      </c>
      <c r="D96" t="str">
        <f>Input!B$206</f>
        <v>More than 20</v>
      </c>
      <c r="E96" s="9">
        <f>Input!E$199</f>
        <v>2</v>
      </c>
      <c r="F96" t="str">
        <f>IF(B96&lt;&gt;"",IF(C96="NA",Lists!$D$9,IFERROR(HLOOKUP(C96,Input!$C$312:$L$335,H96,FALSE),"NA")), "")</f>
        <v>B</v>
      </c>
      <c r="G96">
        <f t="shared" si="2"/>
        <v>5</v>
      </c>
      <c r="H96">
        <f t="shared" si="3"/>
        <v>4</v>
      </c>
    </row>
    <row r="97" spans="1:8" x14ac:dyDescent="0.35">
      <c r="A97" t="str">
        <f>Input!H$199</f>
        <v>Non-financial Corporates</v>
      </c>
      <c r="B97">
        <f>Input!K202</f>
        <v>0</v>
      </c>
      <c r="C97">
        <f>Input!K$191</f>
        <v>9</v>
      </c>
      <c r="D97" t="str">
        <f>Input!B$202</f>
        <v>Upto 1</v>
      </c>
      <c r="E97" s="9">
        <f>Input!E$199</f>
        <v>2</v>
      </c>
      <c r="F97" t="str">
        <f>IF(B97&lt;&gt;"",IF(C97="NA",Lists!$D$9,IFERROR(HLOOKUP(C97,Input!$C$312:$L$335,H97,FALSE),"NA")), "")</f>
        <v>B</v>
      </c>
      <c r="G97">
        <f t="shared" si="2"/>
        <v>1</v>
      </c>
      <c r="H97">
        <f t="shared" si="3"/>
        <v>4</v>
      </c>
    </row>
    <row r="98" spans="1:8" x14ac:dyDescent="0.35">
      <c r="A98" t="str">
        <f>Input!H$199</f>
        <v>Non-financial Corporates</v>
      </c>
      <c r="B98">
        <f>Input!K203</f>
        <v>0</v>
      </c>
      <c r="C98">
        <f>Input!K$191</f>
        <v>9</v>
      </c>
      <c r="D98" t="str">
        <f>Input!B$203</f>
        <v>1.01 to 5</v>
      </c>
      <c r="E98" s="9">
        <f>Input!E$199</f>
        <v>2</v>
      </c>
      <c r="F98" t="str">
        <f>IF(B98&lt;&gt;"",IF(C98="NA",Lists!$D$9,IFERROR(HLOOKUP(C98,Input!$C$312:$L$335,H98,FALSE),"NA")), "")</f>
        <v>B</v>
      </c>
      <c r="G98">
        <f t="shared" si="2"/>
        <v>2</v>
      </c>
      <c r="H98">
        <f t="shared" si="3"/>
        <v>4</v>
      </c>
    </row>
    <row r="99" spans="1:8" x14ac:dyDescent="0.35">
      <c r="A99" t="str">
        <f>Input!H$199</f>
        <v>Non-financial Corporates</v>
      </c>
      <c r="B99">
        <f>Input!K204</f>
        <v>0</v>
      </c>
      <c r="C99">
        <f>Input!K$191</f>
        <v>9</v>
      </c>
      <c r="D99" t="str">
        <f>Input!B$204</f>
        <v>5.01 to 10</v>
      </c>
      <c r="E99" s="9">
        <f>Input!E$199</f>
        <v>2</v>
      </c>
      <c r="F99" t="str">
        <f>IF(B99&lt;&gt;"",IF(C99="NA",Lists!$D$9,IFERROR(HLOOKUP(C99,Input!$C$312:$L$335,H99,FALSE),"NA")), "")</f>
        <v>B</v>
      </c>
      <c r="G99">
        <f t="shared" si="2"/>
        <v>3</v>
      </c>
      <c r="H99">
        <f t="shared" si="3"/>
        <v>4</v>
      </c>
    </row>
    <row r="100" spans="1:8" x14ac:dyDescent="0.35">
      <c r="A100" t="str">
        <f>Input!H$199</f>
        <v>Non-financial Corporates</v>
      </c>
      <c r="B100">
        <f>Input!K205</f>
        <v>0</v>
      </c>
      <c r="C100">
        <f>Input!K$191</f>
        <v>9</v>
      </c>
      <c r="D100" t="str">
        <f>Input!B$205</f>
        <v>10.01 to 20</v>
      </c>
      <c r="E100" s="9">
        <f>Input!E$199</f>
        <v>2</v>
      </c>
      <c r="F100" t="str">
        <f>IF(B100&lt;&gt;"",IF(C100="NA",Lists!$D$9,IFERROR(HLOOKUP(C100,Input!$C$312:$L$335,H100,FALSE),"NA")), "")</f>
        <v>B</v>
      </c>
      <c r="G100">
        <f t="shared" si="2"/>
        <v>4</v>
      </c>
      <c r="H100">
        <f t="shared" si="3"/>
        <v>4</v>
      </c>
    </row>
    <row r="101" spans="1:8" x14ac:dyDescent="0.35">
      <c r="A101" t="str">
        <f>Input!H$199</f>
        <v>Non-financial Corporates</v>
      </c>
      <c r="B101">
        <f>Input!K206</f>
        <v>0</v>
      </c>
      <c r="C101">
        <f>Input!K$191</f>
        <v>9</v>
      </c>
      <c r="D101" t="str">
        <f>Input!B$206</f>
        <v>More than 20</v>
      </c>
      <c r="E101" s="9">
        <f>Input!E$199</f>
        <v>2</v>
      </c>
      <c r="F101" t="str">
        <f>IF(B101&lt;&gt;"",IF(C101="NA",Lists!$D$9,IFERROR(HLOOKUP(C101,Input!$C$312:$L$335,H101,FALSE),"NA")), "")</f>
        <v>B</v>
      </c>
      <c r="G101">
        <f t="shared" si="2"/>
        <v>5</v>
      </c>
      <c r="H101">
        <f t="shared" si="3"/>
        <v>4</v>
      </c>
    </row>
    <row r="102" spans="1:8" x14ac:dyDescent="0.35">
      <c r="A102" t="str">
        <f>Input!H$199</f>
        <v>Non-financial Corporates</v>
      </c>
      <c r="B102">
        <f>Input!L202</f>
        <v>0</v>
      </c>
      <c r="C102">
        <f>Input!L$191</f>
        <v>10</v>
      </c>
      <c r="D102" t="str">
        <f>Input!B$202</f>
        <v>Upto 1</v>
      </c>
      <c r="E102" s="9">
        <f>Input!E$199</f>
        <v>2</v>
      </c>
      <c r="F102" t="str">
        <f>IF(B102&lt;&gt;"",IF(C102="NA",Lists!$D$9,IFERROR(HLOOKUP(C102,Input!$C$312:$L$335,H102,FALSE),"NA")), "")</f>
        <v>CCC-C</v>
      </c>
      <c r="G102">
        <f t="shared" si="2"/>
        <v>1</v>
      </c>
      <c r="H102">
        <f t="shared" si="3"/>
        <v>4</v>
      </c>
    </row>
    <row r="103" spans="1:8" x14ac:dyDescent="0.35">
      <c r="A103" t="str">
        <f>Input!H$199</f>
        <v>Non-financial Corporates</v>
      </c>
      <c r="B103">
        <f>Input!L203</f>
        <v>0</v>
      </c>
      <c r="C103">
        <f>Input!L$191</f>
        <v>10</v>
      </c>
      <c r="D103" t="str">
        <f>Input!B$203</f>
        <v>1.01 to 5</v>
      </c>
      <c r="E103" s="9">
        <f>Input!E$199</f>
        <v>2</v>
      </c>
      <c r="F103" t="str">
        <f>IF(B103&lt;&gt;"",IF(C103="NA",Lists!$D$9,IFERROR(HLOOKUP(C103,Input!$C$312:$L$335,H103,FALSE),"NA")), "")</f>
        <v>CCC-C</v>
      </c>
      <c r="G103">
        <f t="shared" si="2"/>
        <v>2</v>
      </c>
      <c r="H103">
        <f t="shared" si="3"/>
        <v>4</v>
      </c>
    </row>
    <row r="104" spans="1:8" x14ac:dyDescent="0.35">
      <c r="A104" t="str">
        <f>Input!H$199</f>
        <v>Non-financial Corporates</v>
      </c>
      <c r="B104">
        <f>Input!L204</f>
        <v>0</v>
      </c>
      <c r="C104">
        <f>Input!L$191</f>
        <v>10</v>
      </c>
      <c r="D104" t="str">
        <f>Input!B$204</f>
        <v>5.01 to 10</v>
      </c>
      <c r="E104" s="9">
        <f>Input!E$199</f>
        <v>2</v>
      </c>
      <c r="F104" t="str">
        <f>IF(B104&lt;&gt;"",IF(C104="NA",Lists!$D$9,IFERROR(HLOOKUP(C104,Input!$C$312:$L$335,H104,FALSE),"NA")), "")</f>
        <v>CCC-C</v>
      </c>
      <c r="G104">
        <f t="shared" si="2"/>
        <v>3</v>
      </c>
      <c r="H104">
        <f t="shared" si="3"/>
        <v>4</v>
      </c>
    </row>
    <row r="105" spans="1:8" x14ac:dyDescent="0.35">
      <c r="A105" t="str">
        <f>Input!H$199</f>
        <v>Non-financial Corporates</v>
      </c>
      <c r="B105">
        <f>Input!L205</f>
        <v>0</v>
      </c>
      <c r="C105">
        <f>Input!L$191</f>
        <v>10</v>
      </c>
      <c r="D105" t="str">
        <f>Input!B$205</f>
        <v>10.01 to 20</v>
      </c>
      <c r="E105" s="9">
        <f>Input!E$199</f>
        <v>2</v>
      </c>
      <c r="F105" t="str">
        <f>IF(B105&lt;&gt;"",IF(C105="NA",Lists!$D$9,IFERROR(HLOOKUP(C105,Input!$C$312:$L$335,H105,FALSE),"NA")), "")</f>
        <v>CCC-C</v>
      </c>
      <c r="G105">
        <f t="shared" si="2"/>
        <v>4</v>
      </c>
      <c r="H105">
        <f t="shared" si="3"/>
        <v>4</v>
      </c>
    </row>
    <row r="106" spans="1:8" x14ac:dyDescent="0.35">
      <c r="A106" t="str">
        <f>Input!H$199</f>
        <v>Non-financial Corporates</v>
      </c>
      <c r="B106">
        <f>Input!L206</f>
        <v>0</v>
      </c>
      <c r="C106">
        <f>Input!L$191</f>
        <v>10</v>
      </c>
      <c r="D106" t="str">
        <f>Input!B$206</f>
        <v>More than 20</v>
      </c>
      <c r="E106" s="9">
        <f>Input!E$199</f>
        <v>2</v>
      </c>
      <c r="F106" t="str">
        <f>IF(B106&lt;&gt;"",IF(C106="NA",Lists!$D$9,IFERROR(HLOOKUP(C106,Input!$C$312:$L$335,H106,FALSE),"NA")), "")</f>
        <v>CCC-C</v>
      </c>
      <c r="G106">
        <f t="shared" si="2"/>
        <v>5</v>
      </c>
      <c r="H106">
        <f t="shared" si="3"/>
        <v>4</v>
      </c>
    </row>
    <row r="107" spans="1:8" x14ac:dyDescent="0.35">
      <c r="A107" t="str">
        <f>Input!H$199</f>
        <v>Non-financial Corporates</v>
      </c>
      <c r="B107">
        <f>Input!M202</f>
        <v>0</v>
      </c>
      <c r="C107" t="str">
        <f>Input!M$191</f>
        <v>NA</v>
      </c>
      <c r="D107" t="str">
        <f>Input!B$202</f>
        <v>Upto 1</v>
      </c>
      <c r="E107" s="9">
        <f>Input!E$199</f>
        <v>2</v>
      </c>
      <c r="F107" t="str">
        <f>IF(B107&lt;&gt;"",IF(C107="NA",Lists!$D$9,IFERROR(HLOOKUP(C107,Input!$C$312:$L$335,H107,FALSE),"NA")), "")</f>
        <v>CCC-C</v>
      </c>
      <c r="G107">
        <f t="shared" si="2"/>
        <v>1</v>
      </c>
      <c r="H107">
        <f t="shared" si="3"/>
        <v>4</v>
      </c>
    </row>
    <row r="108" spans="1:8" x14ac:dyDescent="0.35">
      <c r="A108" t="str">
        <f>Input!H$199</f>
        <v>Non-financial Corporates</v>
      </c>
      <c r="B108">
        <f>Input!M203</f>
        <v>0</v>
      </c>
      <c r="C108" t="str">
        <f>Input!M$191</f>
        <v>NA</v>
      </c>
      <c r="D108" t="str">
        <f>Input!B$203</f>
        <v>1.01 to 5</v>
      </c>
      <c r="E108" s="9">
        <f>Input!E$199</f>
        <v>2</v>
      </c>
      <c r="F108" t="str">
        <f>IF(B108&lt;&gt;"",IF(C108="NA",Lists!$D$9,IFERROR(HLOOKUP(C108,Input!$C$312:$L$335,H108,FALSE),"NA")), "")</f>
        <v>CCC-C</v>
      </c>
      <c r="G108">
        <f t="shared" si="2"/>
        <v>2</v>
      </c>
      <c r="H108">
        <f t="shared" si="3"/>
        <v>4</v>
      </c>
    </row>
    <row r="109" spans="1:8" x14ac:dyDescent="0.35">
      <c r="A109" t="str">
        <f>Input!H$199</f>
        <v>Non-financial Corporates</v>
      </c>
      <c r="B109">
        <f>Input!M204</f>
        <v>0</v>
      </c>
      <c r="C109" t="str">
        <f>Input!M$191</f>
        <v>NA</v>
      </c>
      <c r="D109" t="str">
        <f>Input!B$204</f>
        <v>5.01 to 10</v>
      </c>
      <c r="E109" s="9">
        <f>Input!E$199</f>
        <v>2</v>
      </c>
      <c r="F109" t="str">
        <f>IF(B109&lt;&gt;"",IF(C109="NA",Lists!$D$9,IFERROR(HLOOKUP(C109,Input!$C$312:$L$335,H109,FALSE),"NA")), "")</f>
        <v>CCC-C</v>
      </c>
      <c r="G109">
        <f t="shared" si="2"/>
        <v>3</v>
      </c>
      <c r="H109">
        <f t="shared" si="3"/>
        <v>4</v>
      </c>
    </row>
    <row r="110" spans="1:8" x14ac:dyDescent="0.35">
      <c r="A110" t="str">
        <f>Input!H$199</f>
        <v>Non-financial Corporates</v>
      </c>
      <c r="B110">
        <f>Input!M205</f>
        <v>0</v>
      </c>
      <c r="C110" t="str">
        <f>Input!M$191</f>
        <v>NA</v>
      </c>
      <c r="D110" t="str">
        <f>Input!B$205</f>
        <v>10.01 to 20</v>
      </c>
      <c r="E110" s="9">
        <f>Input!E$199</f>
        <v>2</v>
      </c>
      <c r="F110" t="str">
        <f>IF(B110&lt;&gt;"",IF(C110="NA",Lists!$D$9,IFERROR(HLOOKUP(C110,Input!$C$312:$L$335,H110,FALSE),"NA")), "")</f>
        <v>CCC-C</v>
      </c>
      <c r="G110">
        <f t="shared" si="2"/>
        <v>4</v>
      </c>
      <c r="H110">
        <f t="shared" si="3"/>
        <v>4</v>
      </c>
    </row>
    <row r="111" spans="1:8" x14ac:dyDescent="0.35">
      <c r="A111" t="str">
        <f>Input!H$199</f>
        <v>Non-financial Corporates</v>
      </c>
      <c r="B111">
        <f>Input!M206</f>
        <v>0</v>
      </c>
      <c r="C111" t="str">
        <f>Input!M$191</f>
        <v>NA</v>
      </c>
      <c r="D111" t="str">
        <f>Input!B$206</f>
        <v>More than 20</v>
      </c>
      <c r="E111" s="9">
        <f>Input!E$199</f>
        <v>2</v>
      </c>
      <c r="F111" t="str">
        <f>IF(B111&lt;&gt;"",IF(C111="NA",Lists!$D$9,IFERROR(HLOOKUP(C111,Input!$C$312:$L$335,H111,FALSE),"NA")), "")</f>
        <v>CCC-C</v>
      </c>
      <c r="G111">
        <f t="shared" si="2"/>
        <v>5</v>
      </c>
      <c r="H111">
        <f t="shared" si="3"/>
        <v>4</v>
      </c>
    </row>
    <row r="112" spans="1:8" x14ac:dyDescent="0.35">
      <c r="A112" t="str">
        <f>Input!H$209</f>
        <v>Non-financial Corporates</v>
      </c>
      <c r="B112">
        <f>Input!C212</f>
        <v>0</v>
      </c>
      <c r="C112">
        <f>Input!C$191</f>
        <v>1</v>
      </c>
      <c r="D112" t="str">
        <f>Input!B$192</f>
        <v>Upto 1</v>
      </c>
      <c r="E112" s="9">
        <f>Input!E$209</f>
        <v>3</v>
      </c>
      <c r="F112" t="str">
        <f>IF(B112&lt;&gt;"",IF(C112="NA",Lists!$D$9,IFERROR(HLOOKUP(C112,Input!$C$312:$L$335,H112,FALSE),"NA")), "")</f>
        <v>BB</v>
      </c>
      <c r="G112">
        <f t="shared" si="2"/>
        <v>1</v>
      </c>
      <c r="H112">
        <f t="shared" si="3"/>
        <v>4</v>
      </c>
    </row>
    <row r="113" spans="1:8" x14ac:dyDescent="0.35">
      <c r="A113" t="str">
        <f>Input!H$209</f>
        <v>Non-financial Corporates</v>
      </c>
      <c r="B113">
        <f>Input!C213</f>
        <v>0</v>
      </c>
      <c r="C113">
        <f>Input!C$191</f>
        <v>1</v>
      </c>
      <c r="D113" t="str">
        <f>Input!B$193</f>
        <v>1.01 to 5</v>
      </c>
      <c r="E113" s="9">
        <f>Input!E$209</f>
        <v>3</v>
      </c>
      <c r="F113" t="str">
        <f>IF(B113&lt;&gt;"",IF(C113="NA",Lists!$D$9,IFERROR(HLOOKUP(C113,Input!$C$312:$L$335,H113,FALSE),"NA")), "")</f>
        <v>BB</v>
      </c>
      <c r="G113">
        <f t="shared" si="2"/>
        <v>2</v>
      </c>
      <c r="H113">
        <f t="shared" si="3"/>
        <v>4</v>
      </c>
    </row>
    <row r="114" spans="1:8" x14ac:dyDescent="0.35">
      <c r="A114" t="str">
        <f>Input!H$209</f>
        <v>Non-financial Corporates</v>
      </c>
      <c r="B114">
        <f>Input!C214</f>
        <v>0</v>
      </c>
      <c r="C114">
        <f>Input!C$191</f>
        <v>1</v>
      </c>
      <c r="D114" t="str">
        <f>Input!B$194</f>
        <v>5.01 to 10</v>
      </c>
      <c r="E114" s="9">
        <f>Input!E$209</f>
        <v>3</v>
      </c>
      <c r="F114" t="str">
        <f>IF(B114&lt;&gt;"",IF(C114="NA",Lists!$D$9,IFERROR(HLOOKUP(C114,Input!$C$312:$L$335,H114,FALSE),"NA")), "")</f>
        <v>BB</v>
      </c>
      <c r="G114">
        <f t="shared" si="2"/>
        <v>3</v>
      </c>
      <c r="H114">
        <f t="shared" si="3"/>
        <v>4</v>
      </c>
    </row>
    <row r="115" spans="1:8" x14ac:dyDescent="0.35">
      <c r="A115" t="str">
        <f>Input!H$209</f>
        <v>Non-financial Corporates</v>
      </c>
      <c r="B115">
        <f>Input!C215</f>
        <v>0</v>
      </c>
      <c r="C115">
        <f>Input!C$191</f>
        <v>1</v>
      </c>
      <c r="D115" t="str">
        <f>Input!B$195</f>
        <v>10.01 to 20</v>
      </c>
      <c r="E115" s="9">
        <f>Input!E$209</f>
        <v>3</v>
      </c>
      <c r="F115" t="str">
        <f>IF(B115&lt;&gt;"",IF(C115="NA",Lists!$D$9,IFERROR(HLOOKUP(C115,Input!$C$312:$L$335,H115,FALSE),"NA")), "")</f>
        <v>BB</v>
      </c>
      <c r="G115">
        <f t="shared" si="2"/>
        <v>4</v>
      </c>
      <c r="H115">
        <f t="shared" si="3"/>
        <v>4</v>
      </c>
    </row>
    <row r="116" spans="1:8" x14ac:dyDescent="0.35">
      <c r="A116" t="str">
        <f>Input!H$209</f>
        <v>Non-financial Corporates</v>
      </c>
      <c r="B116">
        <f>Input!C216</f>
        <v>0</v>
      </c>
      <c r="C116">
        <f>Input!C$191</f>
        <v>1</v>
      </c>
      <c r="D116" t="str">
        <f>Input!B$196</f>
        <v>More than 20</v>
      </c>
      <c r="E116" s="9">
        <f>Input!E$209</f>
        <v>3</v>
      </c>
      <c r="F116" t="str">
        <f>IF(B116&lt;&gt;"",IF(C116="NA",Lists!$D$9,IFERROR(HLOOKUP(C116,Input!$C$312:$L$335,H116,FALSE),"NA")), "")</f>
        <v>BB</v>
      </c>
      <c r="G116">
        <f t="shared" si="2"/>
        <v>5</v>
      </c>
      <c r="H116">
        <f t="shared" si="3"/>
        <v>4</v>
      </c>
    </row>
    <row r="117" spans="1:8" x14ac:dyDescent="0.35">
      <c r="A117" t="str">
        <f>Input!H$209</f>
        <v>Non-financial Corporates</v>
      </c>
      <c r="B117">
        <f>Input!D212</f>
        <v>0</v>
      </c>
      <c r="C117">
        <f>Input!D$191</f>
        <v>2</v>
      </c>
      <c r="D117" t="str">
        <f>Input!B$192</f>
        <v>Upto 1</v>
      </c>
      <c r="E117" s="9">
        <f>Input!E$209</f>
        <v>3</v>
      </c>
      <c r="F117" t="str">
        <f>IF(B117&lt;&gt;"",IF(C117="NA",Lists!$D$9,IFERROR(HLOOKUP(C117,Input!$C$312:$L$335,H117,FALSE),"NA")), "")</f>
        <v>BB</v>
      </c>
      <c r="G117">
        <f t="shared" si="2"/>
        <v>1</v>
      </c>
      <c r="H117">
        <f t="shared" si="3"/>
        <v>4</v>
      </c>
    </row>
    <row r="118" spans="1:8" x14ac:dyDescent="0.35">
      <c r="A118" t="str">
        <f>Input!H$209</f>
        <v>Non-financial Corporates</v>
      </c>
      <c r="B118">
        <f>Input!D213</f>
        <v>0</v>
      </c>
      <c r="C118">
        <f>Input!D$191</f>
        <v>2</v>
      </c>
      <c r="D118" t="str">
        <f>Input!B$193</f>
        <v>1.01 to 5</v>
      </c>
      <c r="E118" s="9">
        <f>Input!E$209</f>
        <v>3</v>
      </c>
      <c r="F118" t="str">
        <f>IF(B118&lt;&gt;"",IF(C118="NA",Lists!$D$9,IFERROR(HLOOKUP(C118,Input!$C$312:$L$335,H118,FALSE),"NA")), "")</f>
        <v>BB</v>
      </c>
      <c r="G118">
        <f t="shared" si="2"/>
        <v>2</v>
      </c>
      <c r="H118">
        <f t="shared" si="3"/>
        <v>4</v>
      </c>
    </row>
    <row r="119" spans="1:8" x14ac:dyDescent="0.35">
      <c r="A119" t="str">
        <f>Input!H$209</f>
        <v>Non-financial Corporates</v>
      </c>
      <c r="B119">
        <f>Input!D214</f>
        <v>0</v>
      </c>
      <c r="C119">
        <f>Input!D$191</f>
        <v>2</v>
      </c>
      <c r="D119" t="str">
        <f>Input!B$194</f>
        <v>5.01 to 10</v>
      </c>
      <c r="E119" s="9">
        <f>Input!E$209</f>
        <v>3</v>
      </c>
      <c r="F119" t="str">
        <f>IF(B119&lt;&gt;"",IF(C119="NA",Lists!$D$9,IFERROR(HLOOKUP(C119,Input!$C$312:$L$335,H119,FALSE),"NA")), "")</f>
        <v>BB</v>
      </c>
      <c r="G119">
        <f t="shared" si="2"/>
        <v>3</v>
      </c>
      <c r="H119">
        <f t="shared" si="3"/>
        <v>4</v>
      </c>
    </row>
    <row r="120" spans="1:8" x14ac:dyDescent="0.35">
      <c r="A120" t="str">
        <f>Input!H$209</f>
        <v>Non-financial Corporates</v>
      </c>
      <c r="B120">
        <f>Input!D215</f>
        <v>0</v>
      </c>
      <c r="C120">
        <f>Input!D$191</f>
        <v>2</v>
      </c>
      <c r="D120" t="str">
        <f>Input!B$195</f>
        <v>10.01 to 20</v>
      </c>
      <c r="E120" s="9">
        <f>Input!E$209</f>
        <v>3</v>
      </c>
      <c r="F120" t="str">
        <f>IF(B120&lt;&gt;"",IF(C120="NA",Lists!$D$9,IFERROR(HLOOKUP(C120,Input!$C$312:$L$335,H120,FALSE),"NA")), "")</f>
        <v>BB</v>
      </c>
      <c r="G120">
        <f t="shared" si="2"/>
        <v>4</v>
      </c>
      <c r="H120">
        <f t="shared" si="3"/>
        <v>4</v>
      </c>
    </row>
    <row r="121" spans="1:8" x14ac:dyDescent="0.35">
      <c r="A121" t="str">
        <f>Input!H$209</f>
        <v>Non-financial Corporates</v>
      </c>
      <c r="B121">
        <f>Input!D216</f>
        <v>0</v>
      </c>
      <c r="C121">
        <f>Input!D$191</f>
        <v>2</v>
      </c>
      <c r="D121" t="str">
        <f>Input!B$196</f>
        <v>More than 20</v>
      </c>
      <c r="E121" s="9">
        <f>Input!E$209</f>
        <v>3</v>
      </c>
      <c r="F121" t="str">
        <f>IF(B121&lt;&gt;"",IF(C121="NA",Lists!$D$9,IFERROR(HLOOKUP(C121,Input!$C$312:$L$335,H121,FALSE),"NA")), "")</f>
        <v>BB</v>
      </c>
      <c r="G121">
        <f t="shared" si="2"/>
        <v>5</v>
      </c>
      <c r="H121">
        <f t="shared" si="3"/>
        <v>4</v>
      </c>
    </row>
    <row r="122" spans="1:8" x14ac:dyDescent="0.35">
      <c r="A122" t="str">
        <f>Input!H$209</f>
        <v>Non-financial Corporates</v>
      </c>
      <c r="B122">
        <f>Input!E212</f>
        <v>0</v>
      </c>
      <c r="C122">
        <f>Input!E$191</f>
        <v>3</v>
      </c>
      <c r="D122" t="str">
        <f>Input!B$192</f>
        <v>Upto 1</v>
      </c>
      <c r="E122" s="9">
        <f>Input!E$209</f>
        <v>3</v>
      </c>
      <c r="F122" t="str">
        <f>IF(B122&lt;&gt;"",IF(C122="NA",Lists!$D$9,IFERROR(HLOOKUP(C122,Input!$C$312:$L$335,H122,FALSE),"NA")), "")</f>
        <v>BB</v>
      </c>
      <c r="G122">
        <f t="shared" si="2"/>
        <v>1</v>
      </c>
      <c r="H122">
        <f t="shared" si="3"/>
        <v>4</v>
      </c>
    </row>
    <row r="123" spans="1:8" x14ac:dyDescent="0.35">
      <c r="A123" t="str">
        <f>Input!H$209</f>
        <v>Non-financial Corporates</v>
      </c>
      <c r="B123">
        <f>Input!E213</f>
        <v>0</v>
      </c>
      <c r="C123">
        <f>Input!E$191</f>
        <v>3</v>
      </c>
      <c r="D123" t="str">
        <f>Input!B$193</f>
        <v>1.01 to 5</v>
      </c>
      <c r="E123" s="9">
        <f>Input!E$209</f>
        <v>3</v>
      </c>
      <c r="F123" t="str">
        <f>IF(B123&lt;&gt;"",IF(C123="NA",Lists!$D$9,IFERROR(HLOOKUP(C123,Input!$C$312:$L$335,H123,FALSE),"NA")), "")</f>
        <v>BB</v>
      </c>
      <c r="G123">
        <f t="shared" si="2"/>
        <v>2</v>
      </c>
      <c r="H123">
        <f t="shared" si="3"/>
        <v>4</v>
      </c>
    </row>
    <row r="124" spans="1:8" x14ac:dyDescent="0.35">
      <c r="A124" t="str">
        <f>Input!H$209</f>
        <v>Non-financial Corporates</v>
      </c>
      <c r="B124">
        <f>Input!E214</f>
        <v>0</v>
      </c>
      <c r="C124">
        <f>Input!E$191</f>
        <v>3</v>
      </c>
      <c r="D124" t="str">
        <f>Input!B$194</f>
        <v>5.01 to 10</v>
      </c>
      <c r="E124" s="9">
        <f>Input!E$209</f>
        <v>3</v>
      </c>
      <c r="F124" t="str">
        <f>IF(B124&lt;&gt;"",IF(C124="NA",Lists!$D$9,IFERROR(HLOOKUP(C124,Input!$C$312:$L$335,H124,FALSE),"NA")), "")</f>
        <v>BB</v>
      </c>
      <c r="G124">
        <f t="shared" si="2"/>
        <v>3</v>
      </c>
      <c r="H124">
        <f t="shared" si="3"/>
        <v>4</v>
      </c>
    </row>
    <row r="125" spans="1:8" x14ac:dyDescent="0.35">
      <c r="A125" t="str">
        <f>Input!H$209</f>
        <v>Non-financial Corporates</v>
      </c>
      <c r="B125">
        <f>Input!E215</f>
        <v>0</v>
      </c>
      <c r="C125">
        <f>Input!E$191</f>
        <v>3</v>
      </c>
      <c r="D125" t="str">
        <f>Input!B$195</f>
        <v>10.01 to 20</v>
      </c>
      <c r="E125" s="9">
        <f>Input!E$209</f>
        <v>3</v>
      </c>
      <c r="F125" t="str">
        <f>IF(B125&lt;&gt;"",IF(C125="NA",Lists!$D$9,IFERROR(HLOOKUP(C125,Input!$C$312:$L$335,H125,FALSE),"NA")), "")</f>
        <v>BB</v>
      </c>
      <c r="G125">
        <f t="shared" si="2"/>
        <v>4</v>
      </c>
      <c r="H125">
        <f t="shared" si="3"/>
        <v>4</v>
      </c>
    </row>
    <row r="126" spans="1:8" x14ac:dyDescent="0.35">
      <c r="A126" t="str">
        <f>Input!H$209</f>
        <v>Non-financial Corporates</v>
      </c>
      <c r="B126">
        <f>Input!E216</f>
        <v>0</v>
      </c>
      <c r="C126">
        <f>Input!E$191</f>
        <v>3</v>
      </c>
      <c r="D126" t="str">
        <f>Input!B$196</f>
        <v>More than 20</v>
      </c>
      <c r="E126" s="9">
        <f>Input!E$209</f>
        <v>3</v>
      </c>
      <c r="F126" t="str">
        <f>IF(B126&lt;&gt;"",IF(C126="NA",Lists!$D$9,IFERROR(HLOOKUP(C126,Input!$C$312:$L$335,H126,FALSE),"NA")), "")</f>
        <v>BB</v>
      </c>
      <c r="G126">
        <f t="shared" si="2"/>
        <v>5</v>
      </c>
      <c r="H126">
        <f t="shared" si="3"/>
        <v>4</v>
      </c>
    </row>
    <row r="127" spans="1:8" x14ac:dyDescent="0.35">
      <c r="A127" t="str">
        <f>Input!H$209</f>
        <v>Non-financial Corporates</v>
      </c>
      <c r="B127">
        <f>Input!F212</f>
        <v>0</v>
      </c>
      <c r="C127">
        <f>Input!F$191</f>
        <v>4</v>
      </c>
      <c r="D127" t="str">
        <f>Input!B$192</f>
        <v>Upto 1</v>
      </c>
      <c r="E127" s="9">
        <f>Input!E$209</f>
        <v>3</v>
      </c>
      <c r="F127" t="str">
        <f>IF(B127&lt;&gt;"",IF(C127="NA",Lists!$D$9,IFERROR(HLOOKUP(C127,Input!$C$312:$L$335,H127,FALSE),"NA")), "")</f>
        <v>BB</v>
      </c>
      <c r="G127">
        <f t="shared" si="2"/>
        <v>1</v>
      </c>
      <c r="H127">
        <f t="shared" si="3"/>
        <v>4</v>
      </c>
    </row>
    <row r="128" spans="1:8" x14ac:dyDescent="0.35">
      <c r="A128" t="str">
        <f>Input!H$209</f>
        <v>Non-financial Corporates</v>
      </c>
      <c r="B128">
        <f>Input!F213</f>
        <v>0</v>
      </c>
      <c r="C128">
        <f>Input!F$191</f>
        <v>4</v>
      </c>
      <c r="D128" t="str">
        <f>Input!B$193</f>
        <v>1.01 to 5</v>
      </c>
      <c r="E128" s="9">
        <f>Input!E$209</f>
        <v>3</v>
      </c>
      <c r="F128" t="str">
        <f>IF(B128&lt;&gt;"",IF(C128="NA",Lists!$D$9,IFERROR(HLOOKUP(C128,Input!$C$312:$L$335,H128,FALSE),"NA")), "")</f>
        <v>BB</v>
      </c>
      <c r="G128">
        <f t="shared" si="2"/>
        <v>2</v>
      </c>
      <c r="H128">
        <f t="shared" si="3"/>
        <v>4</v>
      </c>
    </row>
    <row r="129" spans="1:8" x14ac:dyDescent="0.35">
      <c r="A129" t="str">
        <f>Input!H$209</f>
        <v>Non-financial Corporates</v>
      </c>
      <c r="B129">
        <f>Input!F214</f>
        <v>0</v>
      </c>
      <c r="C129">
        <f>Input!F$191</f>
        <v>4</v>
      </c>
      <c r="D129" t="str">
        <f>Input!B$194</f>
        <v>5.01 to 10</v>
      </c>
      <c r="E129" s="9">
        <f>Input!E$209</f>
        <v>3</v>
      </c>
      <c r="F129" t="str">
        <f>IF(B129&lt;&gt;"",IF(C129="NA",Lists!$D$9,IFERROR(HLOOKUP(C129,Input!$C$312:$L$335,H129,FALSE),"NA")), "")</f>
        <v>BB</v>
      </c>
      <c r="G129">
        <f t="shared" si="2"/>
        <v>3</v>
      </c>
      <c r="H129">
        <f t="shared" si="3"/>
        <v>4</v>
      </c>
    </row>
    <row r="130" spans="1:8" x14ac:dyDescent="0.35">
      <c r="A130" t="str">
        <f>Input!H$209</f>
        <v>Non-financial Corporates</v>
      </c>
      <c r="B130">
        <f>Input!F215</f>
        <v>0</v>
      </c>
      <c r="C130">
        <f>Input!F$191</f>
        <v>4</v>
      </c>
      <c r="D130" t="str">
        <f>Input!B$195</f>
        <v>10.01 to 20</v>
      </c>
      <c r="E130" s="9">
        <f>Input!E$209</f>
        <v>3</v>
      </c>
      <c r="F130" t="str">
        <f>IF(B130&lt;&gt;"",IF(C130="NA",Lists!$D$9,IFERROR(HLOOKUP(C130,Input!$C$312:$L$335,H130,FALSE),"NA")), "")</f>
        <v>BB</v>
      </c>
      <c r="G130">
        <f t="shared" ref="G130:G193" si="4">IFERROR(MATCH(D130,lov_term_buckets,0),"")</f>
        <v>4</v>
      </c>
      <c r="H130">
        <f t="shared" si="3"/>
        <v>4</v>
      </c>
    </row>
    <row r="131" spans="1:8" x14ac:dyDescent="0.35">
      <c r="A131" t="str">
        <f>Input!H$209</f>
        <v>Non-financial Corporates</v>
      </c>
      <c r="B131">
        <f>Input!F216</f>
        <v>0</v>
      </c>
      <c r="C131">
        <f>Input!F$191</f>
        <v>4</v>
      </c>
      <c r="D131" t="str">
        <f>Input!B$196</f>
        <v>More than 20</v>
      </c>
      <c r="E131" s="9">
        <f>Input!E$209</f>
        <v>3</v>
      </c>
      <c r="F131" t="str">
        <f>IF(B131&lt;&gt;"",IF(C131="NA",Lists!$D$9,IFERROR(HLOOKUP(C131,Input!$C$312:$L$335,H131,FALSE),"NA")), "")</f>
        <v>BB</v>
      </c>
      <c r="G131">
        <f t="shared" si="4"/>
        <v>5</v>
      </c>
      <c r="H131">
        <f t="shared" ref="H131:H194" si="5">INDEX($L$2:$L$8,MATCH(A131,$K$2:$K$8,0))</f>
        <v>4</v>
      </c>
    </row>
    <row r="132" spans="1:8" x14ac:dyDescent="0.35">
      <c r="A132" t="str">
        <f>Input!H$209</f>
        <v>Non-financial Corporates</v>
      </c>
      <c r="B132">
        <f>Input!G212</f>
        <v>0</v>
      </c>
      <c r="C132">
        <f>Input!G$191</f>
        <v>5</v>
      </c>
      <c r="D132" t="str">
        <f>Input!B$192</f>
        <v>Upto 1</v>
      </c>
      <c r="E132" s="9">
        <f>Input!E$209</f>
        <v>3</v>
      </c>
      <c r="F132" t="str">
        <f>IF(B132&lt;&gt;"",IF(C132="NA",Lists!$D$9,IFERROR(HLOOKUP(C132,Input!$C$312:$L$335,H132,FALSE),"NA")), "")</f>
        <v>BB</v>
      </c>
      <c r="G132">
        <f t="shared" si="4"/>
        <v>1</v>
      </c>
      <c r="H132">
        <f t="shared" si="5"/>
        <v>4</v>
      </c>
    </row>
    <row r="133" spans="1:8" x14ac:dyDescent="0.35">
      <c r="A133" t="str">
        <f>Input!H$209</f>
        <v>Non-financial Corporates</v>
      </c>
      <c r="B133">
        <f>Input!G213</f>
        <v>0</v>
      </c>
      <c r="C133">
        <f>Input!G$191</f>
        <v>5</v>
      </c>
      <c r="D133" t="str">
        <f>Input!B$193</f>
        <v>1.01 to 5</v>
      </c>
      <c r="E133" s="9">
        <f>Input!E$209</f>
        <v>3</v>
      </c>
      <c r="F133" t="str">
        <f>IF(B133&lt;&gt;"",IF(C133="NA",Lists!$D$9,IFERROR(HLOOKUP(C133,Input!$C$312:$L$335,H133,FALSE),"NA")), "")</f>
        <v>BB</v>
      </c>
      <c r="G133">
        <f t="shared" si="4"/>
        <v>2</v>
      </c>
      <c r="H133">
        <f t="shared" si="5"/>
        <v>4</v>
      </c>
    </row>
    <row r="134" spans="1:8" x14ac:dyDescent="0.35">
      <c r="A134" t="str">
        <f>Input!H$209</f>
        <v>Non-financial Corporates</v>
      </c>
      <c r="B134">
        <f>Input!G214</f>
        <v>0</v>
      </c>
      <c r="C134">
        <f>Input!G$191</f>
        <v>5</v>
      </c>
      <c r="D134" t="str">
        <f>Input!B$194</f>
        <v>5.01 to 10</v>
      </c>
      <c r="E134" s="9">
        <f>Input!E$209</f>
        <v>3</v>
      </c>
      <c r="F134" t="str">
        <f>IF(B134&lt;&gt;"",IF(C134="NA",Lists!$D$9,IFERROR(HLOOKUP(C134,Input!$C$312:$L$335,H134,FALSE),"NA")), "")</f>
        <v>BB</v>
      </c>
      <c r="G134">
        <f t="shared" si="4"/>
        <v>3</v>
      </c>
      <c r="H134">
        <f t="shared" si="5"/>
        <v>4</v>
      </c>
    </row>
    <row r="135" spans="1:8" x14ac:dyDescent="0.35">
      <c r="A135" t="str">
        <f>Input!H$209</f>
        <v>Non-financial Corporates</v>
      </c>
      <c r="B135">
        <f>Input!G215</f>
        <v>0</v>
      </c>
      <c r="C135">
        <f>Input!G$191</f>
        <v>5</v>
      </c>
      <c r="D135" t="str">
        <f>Input!B$195</f>
        <v>10.01 to 20</v>
      </c>
      <c r="E135" s="9">
        <f>Input!E$209</f>
        <v>3</v>
      </c>
      <c r="F135" t="str">
        <f>IF(B135&lt;&gt;"",IF(C135="NA",Lists!$D$9,IFERROR(HLOOKUP(C135,Input!$C$312:$L$335,H135,FALSE),"NA")), "")</f>
        <v>BB</v>
      </c>
      <c r="G135">
        <f t="shared" si="4"/>
        <v>4</v>
      </c>
      <c r="H135">
        <f t="shared" si="5"/>
        <v>4</v>
      </c>
    </row>
    <row r="136" spans="1:8" x14ac:dyDescent="0.35">
      <c r="A136" t="str">
        <f>Input!H$209</f>
        <v>Non-financial Corporates</v>
      </c>
      <c r="B136">
        <f>Input!G216</f>
        <v>0</v>
      </c>
      <c r="C136">
        <f>Input!G$191</f>
        <v>5</v>
      </c>
      <c r="D136" t="str">
        <f>Input!B$196</f>
        <v>More than 20</v>
      </c>
      <c r="E136" s="9">
        <f>Input!E$209</f>
        <v>3</v>
      </c>
      <c r="F136" t="str">
        <f>IF(B136&lt;&gt;"",IF(C136="NA",Lists!$D$9,IFERROR(HLOOKUP(C136,Input!$C$312:$L$335,H136,FALSE),"NA")), "")</f>
        <v>BB</v>
      </c>
      <c r="G136">
        <f t="shared" si="4"/>
        <v>5</v>
      </c>
      <c r="H136">
        <f t="shared" si="5"/>
        <v>4</v>
      </c>
    </row>
    <row r="137" spans="1:8" x14ac:dyDescent="0.35">
      <c r="A137" t="str">
        <f>Input!H$209</f>
        <v>Non-financial Corporates</v>
      </c>
      <c r="B137">
        <f>Input!H212</f>
        <v>0</v>
      </c>
      <c r="C137">
        <f>Input!H$191</f>
        <v>6</v>
      </c>
      <c r="D137" t="str">
        <f>Input!B$192</f>
        <v>Upto 1</v>
      </c>
      <c r="E137" s="9">
        <f>Input!E$209</f>
        <v>3</v>
      </c>
      <c r="F137" t="str">
        <f>IF(B137&lt;&gt;"",IF(C137="NA",Lists!$D$9,IFERROR(HLOOKUP(C137,Input!$C$312:$L$335,H137,FALSE),"NA")), "")</f>
        <v>BB</v>
      </c>
      <c r="G137">
        <f t="shared" si="4"/>
        <v>1</v>
      </c>
      <c r="H137">
        <f t="shared" si="5"/>
        <v>4</v>
      </c>
    </row>
    <row r="138" spans="1:8" x14ac:dyDescent="0.35">
      <c r="A138" t="str">
        <f>Input!H$209</f>
        <v>Non-financial Corporates</v>
      </c>
      <c r="B138">
        <f>Input!H213</f>
        <v>0</v>
      </c>
      <c r="C138">
        <f>Input!H$191</f>
        <v>6</v>
      </c>
      <c r="D138" t="str">
        <f>Input!B$193</f>
        <v>1.01 to 5</v>
      </c>
      <c r="E138" s="9">
        <f>Input!E$209</f>
        <v>3</v>
      </c>
      <c r="F138" t="str">
        <f>IF(B138&lt;&gt;"",IF(C138="NA",Lists!$D$9,IFERROR(HLOOKUP(C138,Input!$C$312:$L$335,H138,FALSE),"NA")), "")</f>
        <v>BB</v>
      </c>
      <c r="G138">
        <f t="shared" si="4"/>
        <v>2</v>
      </c>
      <c r="H138">
        <f t="shared" si="5"/>
        <v>4</v>
      </c>
    </row>
    <row r="139" spans="1:8" x14ac:dyDescent="0.35">
      <c r="A139" t="str">
        <f>Input!H$209</f>
        <v>Non-financial Corporates</v>
      </c>
      <c r="B139">
        <f>Input!H214</f>
        <v>0</v>
      </c>
      <c r="C139">
        <f>Input!H$191</f>
        <v>6</v>
      </c>
      <c r="D139" t="str">
        <f>Input!B$194</f>
        <v>5.01 to 10</v>
      </c>
      <c r="E139" s="9">
        <f>Input!E$209</f>
        <v>3</v>
      </c>
      <c r="F139" t="str">
        <f>IF(B139&lt;&gt;"",IF(C139="NA",Lists!$D$9,IFERROR(HLOOKUP(C139,Input!$C$312:$L$335,H139,FALSE),"NA")), "")</f>
        <v>BB</v>
      </c>
      <c r="G139">
        <f t="shared" si="4"/>
        <v>3</v>
      </c>
      <c r="H139">
        <f t="shared" si="5"/>
        <v>4</v>
      </c>
    </row>
    <row r="140" spans="1:8" x14ac:dyDescent="0.35">
      <c r="A140" t="str">
        <f>Input!H$209</f>
        <v>Non-financial Corporates</v>
      </c>
      <c r="B140">
        <f>Input!H215</f>
        <v>0</v>
      </c>
      <c r="C140">
        <f>Input!H$191</f>
        <v>6</v>
      </c>
      <c r="D140" t="str">
        <f>Input!B$195</f>
        <v>10.01 to 20</v>
      </c>
      <c r="E140" s="9">
        <f>Input!E$209</f>
        <v>3</v>
      </c>
      <c r="F140" t="str">
        <f>IF(B140&lt;&gt;"",IF(C140="NA",Lists!$D$9,IFERROR(HLOOKUP(C140,Input!$C$312:$L$335,H140,FALSE),"NA")), "")</f>
        <v>BB</v>
      </c>
      <c r="G140">
        <f t="shared" si="4"/>
        <v>4</v>
      </c>
      <c r="H140">
        <f t="shared" si="5"/>
        <v>4</v>
      </c>
    </row>
    <row r="141" spans="1:8" x14ac:dyDescent="0.35">
      <c r="A141" t="str">
        <f>Input!H$209</f>
        <v>Non-financial Corporates</v>
      </c>
      <c r="B141">
        <f>Input!H216</f>
        <v>0</v>
      </c>
      <c r="C141">
        <f>Input!H$191</f>
        <v>6</v>
      </c>
      <c r="D141" t="str">
        <f>Input!B$196</f>
        <v>More than 20</v>
      </c>
      <c r="E141" s="9">
        <f>Input!E$209</f>
        <v>3</v>
      </c>
      <c r="F141" t="str">
        <f>IF(B141&lt;&gt;"",IF(C141="NA",Lists!$D$9,IFERROR(HLOOKUP(C141,Input!$C$312:$L$335,H141,FALSE),"NA")), "")</f>
        <v>BB</v>
      </c>
      <c r="G141">
        <f t="shared" si="4"/>
        <v>5</v>
      </c>
      <c r="H141">
        <f t="shared" si="5"/>
        <v>4</v>
      </c>
    </row>
    <row r="142" spans="1:8" x14ac:dyDescent="0.35">
      <c r="A142" t="str">
        <f>Input!H$209</f>
        <v>Non-financial Corporates</v>
      </c>
      <c r="B142">
        <f>Input!I212</f>
        <v>0</v>
      </c>
      <c r="C142">
        <f>Input!I$191</f>
        <v>7</v>
      </c>
      <c r="D142" t="str">
        <f>Input!B$192</f>
        <v>Upto 1</v>
      </c>
      <c r="E142" s="9">
        <f>Input!E$209</f>
        <v>3</v>
      </c>
      <c r="F142" t="str">
        <f>IF(B142&lt;&gt;"",IF(C142="NA",Lists!$D$9,IFERROR(HLOOKUP(C142,Input!$C$312:$L$335,H142,FALSE),"NA")), "")</f>
        <v>BB</v>
      </c>
      <c r="G142">
        <f t="shared" si="4"/>
        <v>1</v>
      </c>
      <c r="H142">
        <f t="shared" si="5"/>
        <v>4</v>
      </c>
    </row>
    <row r="143" spans="1:8" x14ac:dyDescent="0.35">
      <c r="A143" t="str">
        <f>Input!H$209</f>
        <v>Non-financial Corporates</v>
      </c>
      <c r="B143">
        <f>Input!I213</f>
        <v>0</v>
      </c>
      <c r="C143">
        <f>Input!I$191</f>
        <v>7</v>
      </c>
      <c r="D143" t="str">
        <f>Input!B$193</f>
        <v>1.01 to 5</v>
      </c>
      <c r="E143" s="9">
        <f>Input!E$209</f>
        <v>3</v>
      </c>
      <c r="F143" t="str">
        <f>IF(B143&lt;&gt;"",IF(C143="NA",Lists!$D$9,IFERROR(HLOOKUP(C143,Input!$C$312:$L$335,H143,FALSE),"NA")), "")</f>
        <v>BB</v>
      </c>
      <c r="G143">
        <f t="shared" si="4"/>
        <v>2</v>
      </c>
      <c r="H143">
        <f t="shared" si="5"/>
        <v>4</v>
      </c>
    </row>
    <row r="144" spans="1:8" x14ac:dyDescent="0.35">
      <c r="A144" t="str">
        <f>Input!H$209</f>
        <v>Non-financial Corporates</v>
      </c>
      <c r="B144">
        <f>Input!I214</f>
        <v>0</v>
      </c>
      <c r="C144">
        <f>Input!I$191</f>
        <v>7</v>
      </c>
      <c r="D144" t="str">
        <f>Input!B$194</f>
        <v>5.01 to 10</v>
      </c>
      <c r="E144" s="9">
        <f>Input!E$209</f>
        <v>3</v>
      </c>
      <c r="F144" t="str">
        <f>IF(B144&lt;&gt;"",IF(C144="NA",Lists!$D$9,IFERROR(HLOOKUP(C144,Input!$C$312:$L$335,H144,FALSE),"NA")), "")</f>
        <v>BB</v>
      </c>
      <c r="G144">
        <f t="shared" si="4"/>
        <v>3</v>
      </c>
      <c r="H144">
        <f t="shared" si="5"/>
        <v>4</v>
      </c>
    </row>
    <row r="145" spans="1:8" x14ac:dyDescent="0.35">
      <c r="A145" t="str">
        <f>Input!H$209</f>
        <v>Non-financial Corporates</v>
      </c>
      <c r="B145">
        <f>Input!I215</f>
        <v>0</v>
      </c>
      <c r="C145">
        <f>Input!I$191</f>
        <v>7</v>
      </c>
      <c r="D145" t="str">
        <f>Input!B$195</f>
        <v>10.01 to 20</v>
      </c>
      <c r="E145" s="9">
        <f>Input!E$209</f>
        <v>3</v>
      </c>
      <c r="F145" t="str">
        <f>IF(B145&lt;&gt;"",IF(C145="NA",Lists!$D$9,IFERROR(HLOOKUP(C145,Input!$C$312:$L$335,H145,FALSE),"NA")), "")</f>
        <v>BB</v>
      </c>
      <c r="G145">
        <f t="shared" si="4"/>
        <v>4</v>
      </c>
      <c r="H145">
        <f t="shared" si="5"/>
        <v>4</v>
      </c>
    </row>
    <row r="146" spans="1:8" x14ac:dyDescent="0.35">
      <c r="A146" t="str">
        <f>Input!H$209</f>
        <v>Non-financial Corporates</v>
      </c>
      <c r="B146">
        <f>Input!I216</f>
        <v>0</v>
      </c>
      <c r="C146">
        <f>Input!I$191</f>
        <v>7</v>
      </c>
      <c r="D146" t="str">
        <f>Input!B$196</f>
        <v>More than 20</v>
      </c>
      <c r="E146" s="9">
        <f>Input!E$209</f>
        <v>3</v>
      </c>
      <c r="F146" t="str">
        <f>IF(B146&lt;&gt;"",IF(C146="NA",Lists!$D$9,IFERROR(HLOOKUP(C146,Input!$C$312:$L$335,H146,FALSE),"NA")), "")</f>
        <v>BB</v>
      </c>
      <c r="G146">
        <f t="shared" si="4"/>
        <v>5</v>
      </c>
      <c r="H146">
        <f t="shared" si="5"/>
        <v>4</v>
      </c>
    </row>
    <row r="147" spans="1:8" x14ac:dyDescent="0.35">
      <c r="A147" t="str">
        <f>Input!H$209</f>
        <v>Non-financial Corporates</v>
      </c>
      <c r="B147">
        <f>Input!J212</f>
        <v>0</v>
      </c>
      <c r="C147">
        <f>Input!J$191</f>
        <v>8</v>
      </c>
      <c r="D147" t="str">
        <f>Input!B$192</f>
        <v>Upto 1</v>
      </c>
      <c r="E147" s="9">
        <f>Input!E$209</f>
        <v>3</v>
      </c>
      <c r="F147" t="str">
        <f>IF(B147&lt;&gt;"",IF(C147="NA",Lists!$D$9,IFERROR(HLOOKUP(C147,Input!$C$312:$L$335,H147,FALSE),"NA")), "")</f>
        <v>B</v>
      </c>
      <c r="G147">
        <f t="shared" si="4"/>
        <v>1</v>
      </c>
      <c r="H147">
        <f t="shared" si="5"/>
        <v>4</v>
      </c>
    </row>
    <row r="148" spans="1:8" x14ac:dyDescent="0.35">
      <c r="A148" t="str">
        <f>Input!H$209</f>
        <v>Non-financial Corporates</v>
      </c>
      <c r="B148">
        <f>Input!J213</f>
        <v>0</v>
      </c>
      <c r="C148">
        <f>Input!J$191</f>
        <v>8</v>
      </c>
      <c r="D148" t="str">
        <f>Input!B$193</f>
        <v>1.01 to 5</v>
      </c>
      <c r="E148" s="9">
        <f>Input!E$209</f>
        <v>3</v>
      </c>
      <c r="F148" t="str">
        <f>IF(B148&lt;&gt;"",IF(C148="NA",Lists!$D$9,IFERROR(HLOOKUP(C148,Input!$C$312:$L$335,H148,FALSE),"NA")), "")</f>
        <v>B</v>
      </c>
      <c r="G148">
        <f t="shared" si="4"/>
        <v>2</v>
      </c>
      <c r="H148">
        <f t="shared" si="5"/>
        <v>4</v>
      </c>
    </row>
    <row r="149" spans="1:8" x14ac:dyDescent="0.35">
      <c r="A149" t="str">
        <f>Input!H$209</f>
        <v>Non-financial Corporates</v>
      </c>
      <c r="B149">
        <f>Input!J214</f>
        <v>0</v>
      </c>
      <c r="C149">
        <f>Input!J$191</f>
        <v>8</v>
      </c>
      <c r="D149" t="str">
        <f>Input!B$194</f>
        <v>5.01 to 10</v>
      </c>
      <c r="E149" s="9">
        <f>Input!E$209</f>
        <v>3</v>
      </c>
      <c r="F149" t="str">
        <f>IF(B149&lt;&gt;"",IF(C149="NA",Lists!$D$9,IFERROR(HLOOKUP(C149,Input!$C$312:$L$335,H149,FALSE),"NA")), "")</f>
        <v>B</v>
      </c>
      <c r="G149">
        <f t="shared" si="4"/>
        <v>3</v>
      </c>
      <c r="H149">
        <f t="shared" si="5"/>
        <v>4</v>
      </c>
    </row>
    <row r="150" spans="1:8" x14ac:dyDescent="0.35">
      <c r="A150" t="str">
        <f>Input!H$209</f>
        <v>Non-financial Corporates</v>
      </c>
      <c r="B150">
        <f>Input!J215</f>
        <v>0</v>
      </c>
      <c r="C150">
        <f>Input!J$191</f>
        <v>8</v>
      </c>
      <c r="D150" t="str">
        <f>Input!B$195</f>
        <v>10.01 to 20</v>
      </c>
      <c r="E150" s="9">
        <f>Input!E$209</f>
        <v>3</v>
      </c>
      <c r="F150" t="str">
        <f>IF(B150&lt;&gt;"",IF(C150="NA",Lists!$D$9,IFERROR(HLOOKUP(C150,Input!$C$312:$L$335,H150,FALSE),"NA")), "")</f>
        <v>B</v>
      </c>
      <c r="G150">
        <f t="shared" si="4"/>
        <v>4</v>
      </c>
      <c r="H150">
        <f t="shared" si="5"/>
        <v>4</v>
      </c>
    </row>
    <row r="151" spans="1:8" x14ac:dyDescent="0.35">
      <c r="A151" t="str">
        <f>Input!H$209</f>
        <v>Non-financial Corporates</v>
      </c>
      <c r="B151">
        <f>Input!J216</f>
        <v>0</v>
      </c>
      <c r="C151">
        <f>Input!J$191</f>
        <v>8</v>
      </c>
      <c r="D151" t="str">
        <f>Input!B$196</f>
        <v>More than 20</v>
      </c>
      <c r="E151" s="9">
        <f>Input!E$209</f>
        <v>3</v>
      </c>
      <c r="F151" t="str">
        <f>IF(B151&lt;&gt;"",IF(C151="NA",Lists!$D$9,IFERROR(HLOOKUP(C151,Input!$C$312:$L$335,H151,FALSE),"NA")), "")</f>
        <v>B</v>
      </c>
      <c r="G151">
        <f t="shared" si="4"/>
        <v>5</v>
      </c>
      <c r="H151">
        <f t="shared" si="5"/>
        <v>4</v>
      </c>
    </row>
    <row r="152" spans="1:8" x14ac:dyDescent="0.35">
      <c r="A152" t="str">
        <f>Input!H$209</f>
        <v>Non-financial Corporates</v>
      </c>
      <c r="B152">
        <f>Input!K212</f>
        <v>0</v>
      </c>
      <c r="C152">
        <f>Input!K$191</f>
        <v>9</v>
      </c>
      <c r="D152" t="str">
        <f>Input!B$192</f>
        <v>Upto 1</v>
      </c>
      <c r="E152" s="9">
        <f>Input!E$209</f>
        <v>3</v>
      </c>
      <c r="F152" t="str">
        <f>IF(B152&lt;&gt;"",IF(C152="NA",Lists!$D$9,IFERROR(HLOOKUP(C152,Input!$C$312:$L$335,H152,FALSE),"NA")), "")</f>
        <v>B</v>
      </c>
      <c r="G152">
        <f t="shared" si="4"/>
        <v>1</v>
      </c>
      <c r="H152">
        <f t="shared" si="5"/>
        <v>4</v>
      </c>
    </row>
    <row r="153" spans="1:8" x14ac:dyDescent="0.35">
      <c r="A153" t="str">
        <f>Input!H$209</f>
        <v>Non-financial Corporates</v>
      </c>
      <c r="B153">
        <f>Input!K213</f>
        <v>0</v>
      </c>
      <c r="C153">
        <f>Input!K$191</f>
        <v>9</v>
      </c>
      <c r="D153" t="str">
        <f>Input!B$193</f>
        <v>1.01 to 5</v>
      </c>
      <c r="E153" s="9">
        <f>Input!E$209</f>
        <v>3</v>
      </c>
      <c r="F153" t="str">
        <f>IF(B153&lt;&gt;"",IF(C153="NA",Lists!$D$9,IFERROR(HLOOKUP(C153,Input!$C$312:$L$335,H153,FALSE),"NA")), "")</f>
        <v>B</v>
      </c>
      <c r="G153">
        <f t="shared" si="4"/>
        <v>2</v>
      </c>
      <c r="H153">
        <f t="shared" si="5"/>
        <v>4</v>
      </c>
    </row>
    <row r="154" spans="1:8" x14ac:dyDescent="0.35">
      <c r="A154" t="str">
        <f>Input!H$209</f>
        <v>Non-financial Corporates</v>
      </c>
      <c r="B154">
        <f>Input!K214</f>
        <v>0</v>
      </c>
      <c r="C154">
        <f>Input!K$191</f>
        <v>9</v>
      </c>
      <c r="D154" t="str">
        <f>Input!B$194</f>
        <v>5.01 to 10</v>
      </c>
      <c r="E154" s="9">
        <f>Input!E$209</f>
        <v>3</v>
      </c>
      <c r="F154" t="str">
        <f>IF(B154&lt;&gt;"",IF(C154="NA",Lists!$D$9,IFERROR(HLOOKUP(C154,Input!$C$312:$L$335,H154,FALSE),"NA")), "")</f>
        <v>B</v>
      </c>
      <c r="G154">
        <f t="shared" si="4"/>
        <v>3</v>
      </c>
      <c r="H154">
        <f t="shared" si="5"/>
        <v>4</v>
      </c>
    </row>
    <row r="155" spans="1:8" x14ac:dyDescent="0.35">
      <c r="A155" t="str">
        <f>Input!H$209</f>
        <v>Non-financial Corporates</v>
      </c>
      <c r="B155">
        <f>Input!K215</f>
        <v>0</v>
      </c>
      <c r="C155">
        <f>Input!K$191</f>
        <v>9</v>
      </c>
      <c r="D155" t="str">
        <f>Input!B$195</f>
        <v>10.01 to 20</v>
      </c>
      <c r="E155" s="9">
        <f>Input!E$209</f>
        <v>3</v>
      </c>
      <c r="F155" t="str">
        <f>IF(B155&lt;&gt;"",IF(C155="NA",Lists!$D$9,IFERROR(HLOOKUP(C155,Input!$C$312:$L$335,H155,FALSE),"NA")), "")</f>
        <v>B</v>
      </c>
      <c r="G155">
        <f t="shared" si="4"/>
        <v>4</v>
      </c>
      <c r="H155">
        <f t="shared" si="5"/>
        <v>4</v>
      </c>
    </row>
    <row r="156" spans="1:8" x14ac:dyDescent="0.35">
      <c r="A156" t="str">
        <f>Input!H$209</f>
        <v>Non-financial Corporates</v>
      </c>
      <c r="B156">
        <f>Input!K216</f>
        <v>0</v>
      </c>
      <c r="C156">
        <f>Input!K$191</f>
        <v>9</v>
      </c>
      <c r="D156" t="str">
        <f>Input!B$196</f>
        <v>More than 20</v>
      </c>
      <c r="E156" s="9">
        <f>Input!E$209</f>
        <v>3</v>
      </c>
      <c r="F156" t="str">
        <f>IF(B156&lt;&gt;"",IF(C156="NA",Lists!$D$9,IFERROR(HLOOKUP(C156,Input!$C$312:$L$335,H156,FALSE),"NA")), "")</f>
        <v>B</v>
      </c>
      <c r="G156">
        <f t="shared" si="4"/>
        <v>5</v>
      </c>
      <c r="H156">
        <f t="shared" si="5"/>
        <v>4</v>
      </c>
    </row>
    <row r="157" spans="1:8" x14ac:dyDescent="0.35">
      <c r="A157" t="str">
        <f>Input!H$209</f>
        <v>Non-financial Corporates</v>
      </c>
      <c r="B157">
        <f>Input!L212</f>
        <v>0</v>
      </c>
      <c r="C157">
        <f>Input!L$191</f>
        <v>10</v>
      </c>
      <c r="D157" t="str">
        <f>Input!B$192</f>
        <v>Upto 1</v>
      </c>
      <c r="E157" s="9">
        <f>Input!E$209</f>
        <v>3</v>
      </c>
      <c r="F157" t="str">
        <f>IF(B157&lt;&gt;"",IF(C157="NA",Lists!$D$9,IFERROR(HLOOKUP(C157,Input!$C$312:$L$335,H157,FALSE),"NA")), "")</f>
        <v>CCC-C</v>
      </c>
      <c r="G157">
        <f t="shared" si="4"/>
        <v>1</v>
      </c>
      <c r="H157">
        <f t="shared" si="5"/>
        <v>4</v>
      </c>
    </row>
    <row r="158" spans="1:8" x14ac:dyDescent="0.35">
      <c r="A158" t="str">
        <f>Input!H$209</f>
        <v>Non-financial Corporates</v>
      </c>
      <c r="B158">
        <f>Input!L213</f>
        <v>0</v>
      </c>
      <c r="C158">
        <f>Input!L$191</f>
        <v>10</v>
      </c>
      <c r="D158" t="str">
        <f>Input!B$193</f>
        <v>1.01 to 5</v>
      </c>
      <c r="E158" s="9">
        <f>Input!E$209</f>
        <v>3</v>
      </c>
      <c r="F158" t="str">
        <f>IF(B158&lt;&gt;"",IF(C158="NA",Lists!$D$9,IFERROR(HLOOKUP(C158,Input!$C$312:$L$335,H158,FALSE),"NA")), "")</f>
        <v>CCC-C</v>
      </c>
      <c r="G158">
        <f t="shared" si="4"/>
        <v>2</v>
      </c>
      <c r="H158">
        <f t="shared" si="5"/>
        <v>4</v>
      </c>
    </row>
    <row r="159" spans="1:8" x14ac:dyDescent="0.35">
      <c r="A159" t="str">
        <f>Input!H$209</f>
        <v>Non-financial Corporates</v>
      </c>
      <c r="B159">
        <f>Input!L214</f>
        <v>0</v>
      </c>
      <c r="C159">
        <f>Input!L$191</f>
        <v>10</v>
      </c>
      <c r="D159" t="str">
        <f>Input!B$194</f>
        <v>5.01 to 10</v>
      </c>
      <c r="E159" s="9">
        <f>Input!E$209</f>
        <v>3</v>
      </c>
      <c r="F159" t="str">
        <f>IF(B159&lt;&gt;"",IF(C159="NA",Lists!$D$9,IFERROR(HLOOKUP(C159,Input!$C$312:$L$335,H159,FALSE),"NA")), "")</f>
        <v>CCC-C</v>
      </c>
      <c r="G159">
        <f t="shared" si="4"/>
        <v>3</v>
      </c>
      <c r="H159">
        <f t="shared" si="5"/>
        <v>4</v>
      </c>
    </row>
    <row r="160" spans="1:8" x14ac:dyDescent="0.35">
      <c r="A160" t="str">
        <f>Input!H$209</f>
        <v>Non-financial Corporates</v>
      </c>
      <c r="B160">
        <f>Input!L215</f>
        <v>0</v>
      </c>
      <c r="C160">
        <f>Input!L$191</f>
        <v>10</v>
      </c>
      <c r="D160" t="str">
        <f>Input!B$195</f>
        <v>10.01 to 20</v>
      </c>
      <c r="E160" s="9">
        <f>Input!E$209</f>
        <v>3</v>
      </c>
      <c r="F160" t="str">
        <f>IF(B160&lt;&gt;"",IF(C160="NA",Lists!$D$9,IFERROR(HLOOKUP(C160,Input!$C$312:$L$335,H160,FALSE),"NA")), "")</f>
        <v>CCC-C</v>
      </c>
      <c r="G160">
        <f t="shared" si="4"/>
        <v>4</v>
      </c>
      <c r="H160">
        <f t="shared" si="5"/>
        <v>4</v>
      </c>
    </row>
    <row r="161" spans="1:8" x14ac:dyDescent="0.35">
      <c r="A161" t="str">
        <f>Input!H$209</f>
        <v>Non-financial Corporates</v>
      </c>
      <c r="B161">
        <f>Input!L216</f>
        <v>0</v>
      </c>
      <c r="C161">
        <f>Input!L$191</f>
        <v>10</v>
      </c>
      <c r="D161" t="str">
        <f>Input!B$196</f>
        <v>More than 20</v>
      </c>
      <c r="E161" s="9">
        <f>Input!E$209</f>
        <v>3</v>
      </c>
      <c r="F161" t="str">
        <f>IF(B161&lt;&gt;"",IF(C161="NA",Lists!$D$9,IFERROR(HLOOKUP(C161,Input!$C$312:$L$335,H161,FALSE),"NA")), "")</f>
        <v>CCC-C</v>
      </c>
      <c r="G161">
        <f t="shared" si="4"/>
        <v>5</v>
      </c>
      <c r="H161">
        <f t="shared" si="5"/>
        <v>4</v>
      </c>
    </row>
    <row r="162" spans="1:8" x14ac:dyDescent="0.35">
      <c r="A162" t="str">
        <f>Input!H$209</f>
        <v>Non-financial Corporates</v>
      </c>
      <c r="B162">
        <f>Input!M212</f>
        <v>0</v>
      </c>
      <c r="C162" t="str">
        <f>Input!M$191</f>
        <v>NA</v>
      </c>
      <c r="D162" t="str">
        <f>Input!B$192</f>
        <v>Upto 1</v>
      </c>
      <c r="E162" s="9">
        <f>Input!E$209</f>
        <v>3</v>
      </c>
      <c r="F162" t="str">
        <f>IF(B162&lt;&gt;"",IF(C162="NA",Lists!$D$9,IFERROR(HLOOKUP(C162,Input!$C$312:$L$335,H162,FALSE),"NA")), "")</f>
        <v>CCC-C</v>
      </c>
      <c r="G162">
        <f t="shared" si="4"/>
        <v>1</v>
      </c>
      <c r="H162">
        <f t="shared" si="5"/>
        <v>4</v>
      </c>
    </row>
    <row r="163" spans="1:8" x14ac:dyDescent="0.35">
      <c r="A163" t="str">
        <f>Input!H$209</f>
        <v>Non-financial Corporates</v>
      </c>
      <c r="B163">
        <f>Input!M213</f>
        <v>0</v>
      </c>
      <c r="C163" t="str">
        <f>Input!M$191</f>
        <v>NA</v>
      </c>
      <c r="D163" t="str">
        <f>Input!B$193</f>
        <v>1.01 to 5</v>
      </c>
      <c r="E163" s="9">
        <f>Input!E$209</f>
        <v>3</v>
      </c>
      <c r="F163" t="str">
        <f>IF(B163&lt;&gt;"",IF(C163="NA",Lists!$D$9,IFERROR(HLOOKUP(C163,Input!$C$312:$L$335,H163,FALSE),"NA")), "")</f>
        <v>CCC-C</v>
      </c>
      <c r="G163">
        <f t="shared" si="4"/>
        <v>2</v>
      </c>
      <c r="H163">
        <f t="shared" si="5"/>
        <v>4</v>
      </c>
    </row>
    <row r="164" spans="1:8" x14ac:dyDescent="0.35">
      <c r="A164" t="str">
        <f>Input!H$209</f>
        <v>Non-financial Corporates</v>
      </c>
      <c r="B164">
        <f>Input!M214</f>
        <v>0</v>
      </c>
      <c r="C164" t="str">
        <f>Input!M$191</f>
        <v>NA</v>
      </c>
      <c r="D164" t="str">
        <f>Input!B$194</f>
        <v>5.01 to 10</v>
      </c>
      <c r="E164" s="9">
        <f>Input!E$209</f>
        <v>3</v>
      </c>
      <c r="F164" t="str">
        <f>IF(B164&lt;&gt;"",IF(C164="NA",Lists!$D$9,IFERROR(HLOOKUP(C164,Input!$C$312:$L$335,H164,FALSE),"NA")), "")</f>
        <v>CCC-C</v>
      </c>
      <c r="G164">
        <f t="shared" si="4"/>
        <v>3</v>
      </c>
      <c r="H164">
        <f t="shared" si="5"/>
        <v>4</v>
      </c>
    </row>
    <row r="165" spans="1:8" x14ac:dyDescent="0.35">
      <c r="A165" t="str">
        <f>Input!H$209</f>
        <v>Non-financial Corporates</v>
      </c>
      <c r="B165">
        <f>Input!M215</f>
        <v>0</v>
      </c>
      <c r="C165" t="str">
        <f>Input!M$191</f>
        <v>NA</v>
      </c>
      <c r="D165" t="str">
        <f>Input!B$195</f>
        <v>10.01 to 20</v>
      </c>
      <c r="E165" s="9">
        <f>Input!E$209</f>
        <v>3</v>
      </c>
      <c r="F165" t="str">
        <f>IF(B165&lt;&gt;"",IF(C165="NA",Lists!$D$9,IFERROR(HLOOKUP(C165,Input!$C$312:$L$335,H165,FALSE),"NA")), "")</f>
        <v>CCC-C</v>
      </c>
      <c r="G165">
        <f t="shared" si="4"/>
        <v>4</v>
      </c>
      <c r="H165">
        <f t="shared" si="5"/>
        <v>4</v>
      </c>
    </row>
    <row r="166" spans="1:8" x14ac:dyDescent="0.35">
      <c r="A166" t="str">
        <f>Input!H$209</f>
        <v>Non-financial Corporates</v>
      </c>
      <c r="B166">
        <f>Input!M216</f>
        <v>0</v>
      </c>
      <c r="C166" t="str">
        <f>Input!M$191</f>
        <v>NA</v>
      </c>
      <c r="D166" t="str">
        <f>Input!B$196</f>
        <v>More than 20</v>
      </c>
      <c r="E166" s="9">
        <f>Input!E$209</f>
        <v>3</v>
      </c>
      <c r="F166" t="str">
        <f>IF(B166&lt;&gt;"",IF(C166="NA",Lists!$D$9,IFERROR(HLOOKUP(C166,Input!$C$312:$L$335,H166,FALSE),"NA")), "")</f>
        <v>CCC-C</v>
      </c>
      <c r="G166">
        <f t="shared" si="4"/>
        <v>5</v>
      </c>
      <c r="H166">
        <f t="shared" si="5"/>
        <v>4</v>
      </c>
    </row>
    <row r="167" spans="1:8" x14ac:dyDescent="0.35">
      <c r="A167" t="str">
        <f>Input!H$219</f>
        <v>Financials</v>
      </c>
      <c r="B167">
        <f>Input!C222</f>
        <v>0</v>
      </c>
      <c r="C167">
        <f>Input!C$191</f>
        <v>1</v>
      </c>
      <c r="D167" t="str">
        <f>Input!B$192</f>
        <v>Upto 1</v>
      </c>
      <c r="E167" s="9">
        <f>Input!E$219</f>
        <v>1</v>
      </c>
      <c r="F167" t="str">
        <f>IF(B167&lt;&gt;"",IF(C167="NA",Lists!$D$9,IFERROR(HLOOKUP(C167,Input!$C$312:$L$335,H167,FALSE),"NA")), "")</f>
        <v>BBB</v>
      </c>
      <c r="G167">
        <f t="shared" si="4"/>
        <v>1</v>
      </c>
      <c r="H167">
        <f t="shared" si="5"/>
        <v>8</v>
      </c>
    </row>
    <row r="168" spans="1:8" x14ac:dyDescent="0.35">
      <c r="A168" t="str">
        <f>Input!H$219</f>
        <v>Financials</v>
      </c>
      <c r="B168">
        <f>Input!C223</f>
        <v>0</v>
      </c>
      <c r="C168">
        <f>Input!C$191</f>
        <v>1</v>
      </c>
      <c r="D168" t="str">
        <f>Input!B$193</f>
        <v>1.01 to 5</v>
      </c>
      <c r="E168" s="9">
        <f>Input!E$219</f>
        <v>1</v>
      </c>
      <c r="F168" t="str">
        <f>IF(B168&lt;&gt;"",IF(C168="NA",Lists!$D$9,IFERROR(HLOOKUP(C168,Input!$C$312:$L$335,H168,FALSE),"NA")), "")</f>
        <v>BBB</v>
      </c>
      <c r="G168">
        <f t="shared" si="4"/>
        <v>2</v>
      </c>
      <c r="H168">
        <f t="shared" si="5"/>
        <v>8</v>
      </c>
    </row>
    <row r="169" spans="1:8" x14ac:dyDescent="0.35">
      <c r="A169" t="str">
        <f>Input!H$219</f>
        <v>Financials</v>
      </c>
      <c r="B169">
        <f>Input!C224</f>
        <v>0</v>
      </c>
      <c r="C169">
        <f>Input!C$191</f>
        <v>1</v>
      </c>
      <c r="D169" t="str">
        <f>Input!B$194</f>
        <v>5.01 to 10</v>
      </c>
      <c r="E169" s="9">
        <f>Input!E$219</f>
        <v>1</v>
      </c>
      <c r="F169" t="str">
        <f>IF(B169&lt;&gt;"",IF(C169="NA",Lists!$D$9,IFERROR(HLOOKUP(C169,Input!$C$312:$L$335,H169,FALSE),"NA")), "")</f>
        <v>BBB</v>
      </c>
      <c r="G169">
        <f t="shared" si="4"/>
        <v>3</v>
      </c>
      <c r="H169">
        <f t="shared" si="5"/>
        <v>8</v>
      </c>
    </row>
    <row r="170" spans="1:8" x14ac:dyDescent="0.35">
      <c r="A170" t="str">
        <f>Input!H$219</f>
        <v>Financials</v>
      </c>
      <c r="B170">
        <f>Input!C225</f>
        <v>0</v>
      </c>
      <c r="C170">
        <f>Input!C$191</f>
        <v>1</v>
      </c>
      <c r="D170" t="str">
        <f>Input!B$195</f>
        <v>10.01 to 20</v>
      </c>
      <c r="E170" s="9">
        <f>Input!E$219</f>
        <v>1</v>
      </c>
      <c r="F170" t="str">
        <f>IF(B170&lt;&gt;"",IF(C170="NA",Lists!$D$9,IFERROR(HLOOKUP(C170,Input!$C$312:$L$335,H170,FALSE),"NA")), "")</f>
        <v>BBB</v>
      </c>
      <c r="G170">
        <f t="shared" si="4"/>
        <v>4</v>
      </c>
      <c r="H170">
        <f t="shared" si="5"/>
        <v>8</v>
      </c>
    </row>
    <row r="171" spans="1:8" x14ac:dyDescent="0.35">
      <c r="A171" t="str">
        <f>Input!H$219</f>
        <v>Financials</v>
      </c>
      <c r="B171">
        <f>Input!C226</f>
        <v>0</v>
      </c>
      <c r="C171">
        <f>Input!C$191</f>
        <v>1</v>
      </c>
      <c r="D171" t="str">
        <f>Input!B$196</f>
        <v>More than 20</v>
      </c>
      <c r="E171" s="9">
        <f>Input!E$219</f>
        <v>1</v>
      </c>
      <c r="F171" t="str">
        <f>IF(B171&lt;&gt;"",IF(C171="NA",Lists!$D$9,IFERROR(HLOOKUP(C171,Input!$C$312:$L$335,H171,FALSE),"NA")), "")</f>
        <v>BBB</v>
      </c>
      <c r="G171">
        <f t="shared" si="4"/>
        <v>5</v>
      </c>
      <c r="H171">
        <f t="shared" si="5"/>
        <v>8</v>
      </c>
    </row>
    <row r="172" spans="1:8" x14ac:dyDescent="0.35">
      <c r="A172" t="str">
        <f>Input!H$219</f>
        <v>Financials</v>
      </c>
      <c r="B172">
        <f>Input!D222</f>
        <v>0</v>
      </c>
      <c r="C172">
        <f>Input!D$191</f>
        <v>2</v>
      </c>
      <c r="D172" t="str">
        <f>Input!B$192</f>
        <v>Upto 1</v>
      </c>
      <c r="E172" s="9">
        <f>Input!E$219</f>
        <v>1</v>
      </c>
      <c r="F172" t="str">
        <f>IF(B172&lt;&gt;"",IF(C172="NA",Lists!$D$9,IFERROR(HLOOKUP(C172,Input!$C$312:$L$335,H172,FALSE),"NA")), "")</f>
        <v>BBB</v>
      </c>
      <c r="G172">
        <f t="shared" si="4"/>
        <v>1</v>
      </c>
      <c r="H172">
        <f t="shared" si="5"/>
        <v>8</v>
      </c>
    </row>
    <row r="173" spans="1:8" x14ac:dyDescent="0.35">
      <c r="A173" t="str">
        <f>Input!H$219</f>
        <v>Financials</v>
      </c>
      <c r="B173">
        <f>Input!D223</f>
        <v>0</v>
      </c>
      <c r="C173">
        <f>Input!D$191</f>
        <v>2</v>
      </c>
      <c r="D173" t="str">
        <f>Input!B$193</f>
        <v>1.01 to 5</v>
      </c>
      <c r="E173" s="9">
        <f>Input!E$219</f>
        <v>1</v>
      </c>
      <c r="F173" t="str">
        <f>IF(B173&lt;&gt;"",IF(C173="NA",Lists!$D$9,IFERROR(HLOOKUP(C173,Input!$C$312:$L$335,H173,FALSE),"NA")), "")</f>
        <v>BBB</v>
      </c>
      <c r="G173">
        <f t="shared" si="4"/>
        <v>2</v>
      </c>
      <c r="H173">
        <f t="shared" si="5"/>
        <v>8</v>
      </c>
    </row>
    <row r="174" spans="1:8" x14ac:dyDescent="0.35">
      <c r="A174" t="str">
        <f>Input!H$219</f>
        <v>Financials</v>
      </c>
      <c r="B174">
        <f>Input!D224</f>
        <v>0</v>
      </c>
      <c r="C174">
        <f>Input!D$191</f>
        <v>2</v>
      </c>
      <c r="D174" t="str">
        <f>Input!B$194</f>
        <v>5.01 to 10</v>
      </c>
      <c r="E174" s="9">
        <f>Input!E$219</f>
        <v>1</v>
      </c>
      <c r="F174" t="str">
        <f>IF(B174&lt;&gt;"",IF(C174="NA",Lists!$D$9,IFERROR(HLOOKUP(C174,Input!$C$312:$L$335,H174,FALSE),"NA")), "")</f>
        <v>BBB</v>
      </c>
      <c r="G174">
        <f t="shared" si="4"/>
        <v>3</v>
      </c>
      <c r="H174">
        <f t="shared" si="5"/>
        <v>8</v>
      </c>
    </row>
    <row r="175" spans="1:8" x14ac:dyDescent="0.35">
      <c r="A175" t="str">
        <f>Input!H$219</f>
        <v>Financials</v>
      </c>
      <c r="B175">
        <f>Input!D225</f>
        <v>0</v>
      </c>
      <c r="C175">
        <f>Input!D$191</f>
        <v>2</v>
      </c>
      <c r="D175" t="str">
        <f>Input!B$195</f>
        <v>10.01 to 20</v>
      </c>
      <c r="E175" s="9">
        <f>Input!E$219</f>
        <v>1</v>
      </c>
      <c r="F175" t="str">
        <f>IF(B175&lt;&gt;"",IF(C175="NA",Lists!$D$9,IFERROR(HLOOKUP(C175,Input!$C$312:$L$335,H175,FALSE),"NA")), "")</f>
        <v>BBB</v>
      </c>
      <c r="G175">
        <f t="shared" si="4"/>
        <v>4</v>
      </c>
      <c r="H175">
        <f t="shared" si="5"/>
        <v>8</v>
      </c>
    </row>
    <row r="176" spans="1:8" x14ac:dyDescent="0.35">
      <c r="A176" t="str">
        <f>Input!H$219</f>
        <v>Financials</v>
      </c>
      <c r="B176">
        <f>Input!D226</f>
        <v>0</v>
      </c>
      <c r="C176">
        <f>Input!D$191</f>
        <v>2</v>
      </c>
      <c r="D176" t="str">
        <f>Input!B$196</f>
        <v>More than 20</v>
      </c>
      <c r="E176" s="9">
        <f>Input!E$219</f>
        <v>1</v>
      </c>
      <c r="F176" t="str">
        <f>IF(B176&lt;&gt;"",IF(C176="NA",Lists!$D$9,IFERROR(HLOOKUP(C176,Input!$C$312:$L$335,H176,FALSE),"NA")), "")</f>
        <v>BBB</v>
      </c>
      <c r="G176">
        <f t="shared" si="4"/>
        <v>5</v>
      </c>
      <c r="H176">
        <f t="shared" si="5"/>
        <v>8</v>
      </c>
    </row>
    <row r="177" spans="1:8" x14ac:dyDescent="0.35">
      <c r="A177" t="str">
        <f>Input!H$219</f>
        <v>Financials</v>
      </c>
      <c r="B177">
        <f>Input!E222</f>
        <v>0</v>
      </c>
      <c r="C177">
        <f>Input!E$191</f>
        <v>3</v>
      </c>
      <c r="D177" t="str">
        <f>Input!B$192</f>
        <v>Upto 1</v>
      </c>
      <c r="E177" s="9">
        <f>Input!E$219</f>
        <v>1</v>
      </c>
      <c r="F177" t="str">
        <f>IF(B177&lt;&gt;"",IF(C177="NA",Lists!$D$9,IFERROR(HLOOKUP(C177,Input!$C$312:$L$335,H177,FALSE),"NA")), "")</f>
        <v>BBB</v>
      </c>
      <c r="G177">
        <f t="shared" si="4"/>
        <v>1</v>
      </c>
      <c r="H177">
        <f t="shared" si="5"/>
        <v>8</v>
      </c>
    </row>
    <row r="178" spans="1:8" x14ac:dyDescent="0.35">
      <c r="A178" t="str">
        <f>Input!H$219</f>
        <v>Financials</v>
      </c>
      <c r="B178">
        <f>Input!E223</f>
        <v>0</v>
      </c>
      <c r="C178">
        <f>Input!E$191</f>
        <v>3</v>
      </c>
      <c r="D178" t="str">
        <f>Input!B$193</f>
        <v>1.01 to 5</v>
      </c>
      <c r="E178" s="9">
        <f>Input!E$219</f>
        <v>1</v>
      </c>
      <c r="F178" t="str">
        <f>IF(B178&lt;&gt;"",IF(C178="NA",Lists!$D$9,IFERROR(HLOOKUP(C178,Input!$C$312:$L$335,H178,FALSE),"NA")), "")</f>
        <v>BBB</v>
      </c>
      <c r="G178">
        <f t="shared" si="4"/>
        <v>2</v>
      </c>
      <c r="H178">
        <f t="shared" si="5"/>
        <v>8</v>
      </c>
    </row>
    <row r="179" spans="1:8" x14ac:dyDescent="0.35">
      <c r="A179" t="str">
        <f>Input!H$219</f>
        <v>Financials</v>
      </c>
      <c r="B179">
        <f>Input!E224</f>
        <v>0</v>
      </c>
      <c r="C179">
        <f>Input!E$191</f>
        <v>3</v>
      </c>
      <c r="D179" t="str">
        <f>Input!B$194</f>
        <v>5.01 to 10</v>
      </c>
      <c r="E179" s="9">
        <f>Input!E$219</f>
        <v>1</v>
      </c>
      <c r="F179" t="str">
        <f>IF(B179&lt;&gt;"",IF(C179="NA",Lists!$D$9,IFERROR(HLOOKUP(C179,Input!$C$312:$L$335,H179,FALSE),"NA")), "")</f>
        <v>BBB</v>
      </c>
      <c r="G179">
        <f t="shared" si="4"/>
        <v>3</v>
      </c>
      <c r="H179">
        <f t="shared" si="5"/>
        <v>8</v>
      </c>
    </row>
    <row r="180" spans="1:8" x14ac:dyDescent="0.35">
      <c r="A180" t="str">
        <f>Input!H$219</f>
        <v>Financials</v>
      </c>
      <c r="B180">
        <f>Input!E225</f>
        <v>0</v>
      </c>
      <c r="C180">
        <f>Input!E$191</f>
        <v>3</v>
      </c>
      <c r="D180" t="str">
        <f>Input!B$195</f>
        <v>10.01 to 20</v>
      </c>
      <c r="E180" s="9">
        <f>Input!E$219</f>
        <v>1</v>
      </c>
      <c r="F180" t="str">
        <f>IF(B180&lt;&gt;"",IF(C180="NA",Lists!$D$9,IFERROR(HLOOKUP(C180,Input!$C$312:$L$335,H180,FALSE),"NA")), "")</f>
        <v>BBB</v>
      </c>
      <c r="G180">
        <f t="shared" si="4"/>
        <v>4</v>
      </c>
      <c r="H180">
        <f t="shared" si="5"/>
        <v>8</v>
      </c>
    </row>
    <row r="181" spans="1:8" x14ac:dyDescent="0.35">
      <c r="A181" t="str">
        <f>Input!H$219</f>
        <v>Financials</v>
      </c>
      <c r="B181">
        <f>Input!E226</f>
        <v>0</v>
      </c>
      <c r="C181">
        <f>Input!E$191</f>
        <v>3</v>
      </c>
      <c r="D181" t="str">
        <f>Input!B$196</f>
        <v>More than 20</v>
      </c>
      <c r="E181" s="9">
        <f>Input!E$219</f>
        <v>1</v>
      </c>
      <c r="F181" t="str">
        <f>IF(B181&lt;&gt;"",IF(C181="NA",Lists!$D$9,IFERROR(HLOOKUP(C181,Input!$C$312:$L$335,H181,FALSE),"NA")), "")</f>
        <v>BBB</v>
      </c>
      <c r="G181">
        <f t="shared" si="4"/>
        <v>5</v>
      </c>
      <c r="H181">
        <f t="shared" si="5"/>
        <v>8</v>
      </c>
    </row>
    <row r="182" spans="1:8" x14ac:dyDescent="0.35">
      <c r="A182" t="str">
        <f>Input!H$219</f>
        <v>Financials</v>
      </c>
      <c r="B182">
        <f>Input!F222</f>
        <v>0</v>
      </c>
      <c r="C182">
        <f>Input!F$191</f>
        <v>4</v>
      </c>
      <c r="D182" t="str">
        <f>Input!B$192</f>
        <v>Upto 1</v>
      </c>
      <c r="E182" s="9">
        <f>Input!E$219</f>
        <v>1</v>
      </c>
      <c r="F182" t="str">
        <f>IF(B182&lt;&gt;"",IF(C182="NA",Lists!$D$9,IFERROR(HLOOKUP(C182,Input!$C$312:$L$335,H182,FALSE),"NA")), "")</f>
        <v>BBB</v>
      </c>
      <c r="G182">
        <f t="shared" si="4"/>
        <v>1</v>
      </c>
      <c r="H182">
        <f t="shared" si="5"/>
        <v>8</v>
      </c>
    </row>
    <row r="183" spans="1:8" x14ac:dyDescent="0.35">
      <c r="A183" t="str">
        <f>Input!H$219</f>
        <v>Financials</v>
      </c>
      <c r="B183">
        <f>Input!F223</f>
        <v>0</v>
      </c>
      <c r="C183">
        <f>Input!F$191</f>
        <v>4</v>
      </c>
      <c r="D183" t="str">
        <f>Input!B$193</f>
        <v>1.01 to 5</v>
      </c>
      <c r="E183" s="9">
        <f>Input!E$219</f>
        <v>1</v>
      </c>
      <c r="F183" t="str">
        <f>IF(B183&lt;&gt;"",IF(C183="NA",Lists!$D$9,IFERROR(HLOOKUP(C183,Input!$C$312:$L$335,H183,FALSE),"NA")), "")</f>
        <v>BBB</v>
      </c>
      <c r="G183">
        <f t="shared" si="4"/>
        <v>2</v>
      </c>
      <c r="H183">
        <f t="shared" si="5"/>
        <v>8</v>
      </c>
    </row>
    <row r="184" spans="1:8" x14ac:dyDescent="0.35">
      <c r="A184" t="str">
        <f>Input!H$219</f>
        <v>Financials</v>
      </c>
      <c r="B184">
        <f>Input!F224</f>
        <v>0</v>
      </c>
      <c r="C184">
        <f>Input!F$191</f>
        <v>4</v>
      </c>
      <c r="D184" t="str">
        <f>Input!B$194</f>
        <v>5.01 to 10</v>
      </c>
      <c r="E184" s="9">
        <f>Input!E$219</f>
        <v>1</v>
      </c>
      <c r="F184" t="str">
        <f>IF(B184&lt;&gt;"",IF(C184="NA",Lists!$D$9,IFERROR(HLOOKUP(C184,Input!$C$312:$L$335,H184,FALSE),"NA")), "")</f>
        <v>BBB</v>
      </c>
      <c r="G184">
        <f t="shared" si="4"/>
        <v>3</v>
      </c>
      <c r="H184">
        <f t="shared" si="5"/>
        <v>8</v>
      </c>
    </row>
    <row r="185" spans="1:8" x14ac:dyDescent="0.35">
      <c r="A185" t="str">
        <f>Input!H$219</f>
        <v>Financials</v>
      </c>
      <c r="B185">
        <f>Input!F225</f>
        <v>0</v>
      </c>
      <c r="C185">
        <f>Input!F$191</f>
        <v>4</v>
      </c>
      <c r="D185" t="str">
        <f>Input!B$195</f>
        <v>10.01 to 20</v>
      </c>
      <c r="E185" s="9">
        <f>Input!E$219</f>
        <v>1</v>
      </c>
      <c r="F185" t="str">
        <f>IF(B185&lt;&gt;"",IF(C185="NA",Lists!$D$9,IFERROR(HLOOKUP(C185,Input!$C$312:$L$335,H185,FALSE),"NA")), "")</f>
        <v>BBB</v>
      </c>
      <c r="G185">
        <f t="shared" si="4"/>
        <v>4</v>
      </c>
      <c r="H185">
        <f t="shared" si="5"/>
        <v>8</v>
      </c>
    </row>
    <row r="186" spans="1:8" x14ac:dyDescent="0.35">
      <c r="A186" t="str">
        <f>Input!H$219</f>
        <v>Financials</v>
      </c>
      <c r="B186">
        <f>Input!F226</f>
        <v>0</v>
      </c>
      <c r="C186">
        <f>Input!F$191</f>
        <v>4</v>
      </c>
      <c r="D186" t="str">
        <f>Input!B$196</f>
        <v>More than 20</v>
      </c>
      <c r="E186" s="9">
        <f>Input!E$219</f>
        <v>1</v>
      </c>
      <c r="F186" t="str">
        <f>IF(B186&lt;&gt;"",IF(C186="NA",Lists!$D$9,IFERROR(HLOOKUP(C186,Input!$C$312:$L$335,H186,FALSE),"NA")), "")</f>
        <v>BBB</v>
      </c>
      <c r="G186">
        <f t="shared" si="4"/>
        <v>5</v>
      </c>
      <c r="H186">
        <f t="shared" si="5"/>
        <v>8</v>
      </c>
    </row>
    <row r="187" spans="1:8" x14ac:dyDescent="0.35">
      <c r="A187" t="str">
        <f>Input!H$219</f>
        <v>Financials</v>
      </c>
      <c r="B187">
        <f>Input!G222</f>
        <v>0</v>
      </c>
      <c r="C187">
        <f>Input!G$191</f>
        <v>5</v>
      </c>
      <c r="D187" t="str">
        <f>Input!B$192</f>
        <v>Upto 1</v>
      </c>
      <c r="E187" s="9">
        <f>Input!E$219</f>
        <v>1</v>
      </c>
      <c r="F187" t="str">
        <f>IF(B187&lt;&gt;"",IF(C187="NA",Lists!$D$9,IFERROR(HLOOKUP(C187,Input!$C$312:$L$335,H187,FALSE),"NA")), "")</f>
        <v>BBB</v>
      </c>
      <c r="G187">
        <f t="shared" si="4"/>
        <v>1</v>
      </c>
      <c r="H187">
        <f t="shared" si="5"/>
        <v>8</v>
      </c>
    </row>
    <row r="188" spans="1:8" x14ac:dyDescent="0.35">
      <c r="A188" t="str">
        <f>Input!H$219</f>
        <v>Financials</v>
      </c>
      <c r="B188">
        <f>Input!G223</f>
        <v>0</v>
      </c>
      <c r="C188">
        <f>Input!G$191</f>
        <v>5</v>
      </c>
      <c r="D188" t="str">
        <f>Input!B$193</f>
        <v>1.01 to 5</v>
      </c>
      <c r="E188" s="9">
        <f>Input!E$219</f>
        <v>1</v>
      </c>
      <c r="F188" t="str">
        <f>IF(B188&lt;&gt;"",IF(C188="NA",Lists!$D$9,IFERROR(HLOOKUP(C188,Input!$C$312:$L$335,H188,FALSE),"NA")), "")</f>
        <v>BBB</v>
      </c>
      <c r="G188">
        <f t="shared" si="4"/>
        <v>2</v>
      </c>
      <c r="H188">
        <f t="shared" si="5"/>
        <v>8</v>
      </c>
    </row>
    <row r="189" spans="1:8" x14ac:dyDescent="0.35">
      <c r="A189" t="str">
        <f>Input!H$219</f>
        <v>Financials</v>
      </c>
      <c r="B189">
        <f>Input!G224</f>
        <v>0</v>
      </c>
      <c r="C189">
        <f>Input!G$191</f>
        <v>5</v>
      </c>
      <c r="D189" t="str">
        <f>Input!B$194</f>
        <v>5.01 to 10</v>
      </c>
      <c r="E189" s="9">
        <f>Input!E$219</f>
        <v>1</v>
      </c>
      <c r="F189" t="str">
        <f>IF(B189&lt;&gt;"",IF(C189="NA",Lists!$D$9,IFERROR(HLOOKUP(C189,Input!$C$312:$L$335,H189,FALSE),"NA")), "")</f>
        <v>BBB</v>
      </c>
      <c r="G189">
        <f t="shared" si="4"/>
        <v>3</v>
      </c>
      <c r="H189">
        <f t="shared" si="5"/>
        <v>8</v>
      </c>
    </row>
    <row r="190" spans="1:8" x14ac:dyDescent="0.35">
      <c r="A190" t="str">
        <f>Input!H$219</f>
        <v>Financials</v>
      </c>
      <c r="B190">
        <f>Input!G225</f>
        <v>0</v>
      </c>
      <c r="C190">
        <f>Input!G$191</f>
        <v>5</v>
      </c>
      <c r="D190" t="str">
        <f>Input!B$195</f>
        <v>10.01 to 20</v>
      </c>
      <c r="E190" s="9">
        <f>Input!E$219</f>
        <v>1</v>
      </c>
      <c r="F190" t="str">
        <f>IF(B190&lt;&gt;"",IF(C190="NA",Lists!$D$9,IFERROR(HLOOKUP(C190,Input!$C$312:$L$335,H190,FALSE),"NA")), "")</f>
        <v>BBB</v>
      </c>
      <c r="G190">
        <f t="shared" si="4"/>
        <v>4</v>
      </c>
      <c r="H190">
        <f t="shared" si="5"/>
        <v>8</v>
      </c>
    </row>
    <row r="191" spans="1:8" x14ac:dyDescent="0.35">
      <c r="A191" t="str">
        <f>Input!H$219</f>
        <v>Financials</v>
      </c>
      <c r="B191">
        <f>Input!G226</f>
        <v>0</v>
      </c>
      <c r="C191">
        <f>Input!G$191</f>
        <v>5</v>
      </c>
      <c r="D191" t="str">
        <f>Input!B$196</f>
        <v>More than 20</v>
      </c>
      <c r="E191" s="9">
        <f>Input!E$219</f>
        <v>1</v>
      </c>
      <c r="F191" t="str">
        <f>IF(B191&lt;&gt;"",IF(C191="NA",Lists!$D$9,IFERROR(HLOOKUP(C191,Input!$C$312:$L$335,H191,FALSE),"NA")), "")</f>
        <v>BBB</v>
      </c>
      <c r="G191">
        <f t="shared" si="4"/>
        <v>5</v>
      </c>
      <c r="H191">
        <f t="shared" si="5"/>
        <v>8</v>
      </c>
    </row>
    <row r="192" spans="1:8" x14ac:dyDescent="0.35">
      <c r="A192" t="str">
        <f>Input!H$219</f>
        <v>Financials</v>
      </c>
      <c r="B192">
        <f>Input!H222</f>
        <v>0</v>
      </c>
      <c r="C192">
        <f>Input!H$191</f>
        <v>6</v>
      </c>
      <c r="D192" t="str">
        <f>Input!B$192</f>
        <v>Upto 1</v>
      </c>
      <c r="E192" s="9">
        <f>Input!E$219</f>
        <v>1</v>
      </c>
      <c r="F192" t="str">
        <f>IF(B192&lt;&gt;"",IF(C192="NA",Lists!$D$9,IFERROR(HLOOKUP(C192,Input!$C$312:$L$335,H192,FALSE),"NA")), "")</f>
        <v>BB</v>
      </c>
      <c r="G192">
        <f t="shared" si="4"/>
        <v>1</v>
      </c>
      <c r="H192">
        <f t="shared" si="5"/>
        <v>8</v>
      </c>
    </row>
    <row r="193" spans="1:8" x14ac:dyDescent="0.35">
      <c r="A193" t="str">
        <f>Input!H$219</f>
        <v>Financials</v>
      </c>
      <c r="B193">
        <f>Input!H223</f>
        <v>0</v>
      </c>
      <c r="C193">
        <f>Input!H$191</f>
        <v>6</v>
      </c>
      <c r="D193" t="str">
        <f>Input!B$193</f>
        <v>1.01 to 5</v>
      </c>
      <c r="E193" s="9">
        <f>Input!E$219</f>
        <v>1</v>
      </c>
      <c r="F193" t="str">
        <f>IF(B193&lt;&gt;"",IF(C193="NA",Lists!$D$9,IFERROR(HLOOKUP(C193,Input!$C$312:$L$335,H193,FALSE),"NA")), "")</f>
        <v>BB</v>
      </c>
      <c r="G193">
        <f t="shared" si="4"/>
        <v>2</v>
      </c>
      <c r="H193">
        <f t="shared" si="5"/>
        <v>8</v>
      </c>
    </row>
    <row r="194" spans="1:8" x14ac:dyDescent="0.35">
      <c r="A194" t="str">
        <f>Input!H$219</f>
        <v>Financials</v>
      </c>
      <c r="B194">
        <f>Input!H224</f>
        <v>0</v>
      </c>
      <c r="C194">
        <f>Input!H$191</f>
        <v>6</v>
      </c>
      <c r="D194" t="str">
        <f>Input!B$194</f>
        <v>5.01 to 10</v>
      </c>
      <c r="E194" s="9">
        <f>Input!E$219</f>
        <v>1</v>
      </c>
      <c r="F194" t="str">
        <f>IF(B194&lt;&gt;"",IF(C194="NA",Lists!$D$9,IFERROR(HLOOKUP(C194,Input!$C$312:$L$335,H194,FALSE),"NA")), "")</f>
        <v>BB</v>
      </c>
      <c r="G194">
        <f t="shared" ref="G194:G257" si="6">IFERROR(MATCH(D194,lov_term_buckets,0),"")</f>
        <v>3</v>
      </c>
      <c r="H194">
        <f t="shared" si="5"/>
        <v>8</v>
      </c>
    </row>
    <row r="195" spans="1:8" x14ac:dyDescent="0.35">
      <c r="A195" t="str">
        <f>Input!H$219</f>
        <v>Financials</v>
      </c>
      <c r="B195">
        <f>Input!H225</f>
        <v>0</v>
      </c>
      <c r="C195">
        <f>Input!H$191</f>
        <v>6</v>
      </c>
      <c r="D195" t="str">
        <f>Input!B$195</f>
        <v>10.01 to 20</v>
      </c>
      <c r="E195" s="9">
        <f>Input!E$219</f>
        <v>1</v>
      </c>
      <c r="F195" t="str">
        <f>IF(B195&lt;&gt;"",IF(C195="NA",Lists!$D$9,IFERROR(HLOOKUP(C195,Input!$C$312:$L$335,H195,FALSE),"NA")), "")</f>
        <v>BB</v>
      </c>
      <c r="G195">
        <f t="shared" si="6"/>
        <v>4</v>
      </c>
      <c r="H195">
        <f t="shared" ref="H195:H258" si="7">INDEX($L$2:$L$8,MATCH(A195,$K$2:$K$8,0))</f>
        <v>8</v>
      </c>
    </row>
    <row r="196" spans="1:8" x14ac:dyDescent="0.35">
      <c r="A196" t="str">
        <f>Input!H$219</f>
        <v>Financials</v>
      </c>
      <c r="B196">
        <f>Input!H226</f>
        <v>0</v>
      </c>
      <c r="C196">
        <f>Input!H$191</f>
        <v>6</v>
      </c>
      <c r="D196" t="str">
        <f>Input!B$196</f>
        <v>More than 20</v>
      </c>
      <c r="E196" s="9">
        <f>Input!E$219</f>
        <v>1</v>
      </c>
      <c r="F196" t="str">
        <f>IF(B196&lt;&gt;"",IF(C196="NA",Lists!$D$9,IFERROR(HLOOKUP(C196,Input!$C$312:$L$335,H196,FALSE),"NA")), "")</f>
        <v>BB</v>
      </c>
      <c r="G196">
        <f t="shared" si="6"/>
        <v>5</v>
      </c>
      <c r="H196">
        <f t="shared" si="7"/>
        <v>8</v>
      </c>
    </row>
    <row r="197" spans="1:8" x14ac:dyDescent="0.35">
      <c r="A197" t="str">
        <f>Input!H$219</f>
        <v>Financials</v>
      </c>
      <c r="B197">
        <f>Input!I222</f>
        <v>0</v>
      </c>
      <c r="C197">
        <f>Input!I$191</f>
        <v>7</v>
      </c>
      <c r="D197" t="str">
        <f>Input!B$192</f>
        <v>Upto 1</v>
      </c>
      <c r="E197" s="9">
        <f>Input!E$219</f>
        <v>1</v>
      </c>
      <c r="F197" t="str">
        <f>IF(B197&lt;&gt;"",IF(C197="NA",Lists!$D$9,IFERROR(HLOOKUP(C197,Input!$C$312:$L$335,H197,FALSE),"NA")), "")</f>
        <v>BB</v>
      </c>
      <c r="G197">
        <f t="shared" si="6"/>
        <v>1</v>
      </c>
      <c r="H197">
        <f t="shared" si="7"/>
        <v>8</v>
      </c>
    </row>
    <row r="198" spans="1:8" x14ac:dyDescent="0.35">
      <c r="A198" t="str">
        <f>Input!H$219</f>
        <v>Financials</v>
      </c>
      <c r="B198">
        <f>Input!I223</f>
        <v>0</v>
      </c>
      <c r="C198">
        <f>Input!I$191</f>
        <v>7</v>
      </c>
      <c r="D198" t="str">
        <f>Input!B$193</f>
        <v>1.01 to 5</v>
      </c>
      <c r="E198" s="9">
        <f>Input!E$219</f>
        <v>1</v>
      </c>
      <c r="F198" t="str">
        <f>IF(B198&lt;&gt;"",IF(C198="NA",Lists!$D$9,IFERROR(HLOOKUP(C198,Input!$C$312:$L$335,H198,FALSE),"NA")), "")</f>
        <v>BB</v>
      </c>
      <c r="G198">
        <f t="shared" si="6"/>
        <v>2</v>
      </c>
      <c r="H198">
        <f t="shared" si="7"/>
        <v>8</v>
      </c>
    </row>
    <row r="199" spans="1:8" x14ac:dyDescent="0.35">
      <c r="A199" t="str">
        <f>Input!H$219</f>
        <v>Financials</v>
      </c>
      <c r="B199">
        <f>Input!I224</f>
        <v>0</v>
      </c>
      <c r="C199">
        <f>Input!I$191</f>
        <v>7</v>
      </c>
      <c r="D199" t="str">
        <f>Input!B$194</f>
        <v>5.01 to 10</v>
      </c>
      <c r="E199" s="9">
        <f>Input!E$219</f>
        <v>1</v>
      </c>
      <c r="F199" t="str">
        <f>IF(B199&lt;&gt;"",IF(C199="NA",Lists!$D$9,IFERROR(HLOOKUP(C199,Input!$C$312:$L$335,H199,FALSE),"NA")), "")</f>
        <v>BB</v>
      </c>
      <c r="G199">
        <f t="shared" si="6"/>
        <v>3</v>
      </c>
      <c r="H199">
        <f t="shared" si="7"/>
        <v>8</v>
      </c>
    </row>
    <row r="200" spans="1:8" x14ac:dyDescent="0.35">
      <c r="A200" t="str">
        <f>Input!H$219</f>
        <v>Financials</v>
      </c>
      <c r="B200">
        <f>Input!I225</f>
        <v>0</v>
      </c>
      <c r="C200">
        <f>Input!I$191</f>
        <v>7</v>
      </c>
      <c r="D200" t="str">
        <f>Input!B$195</f>
        <v>10.01 to 20</v>
      </c>
      <c r="E200" s="9">
        <f>Input!E$219</f>
        <v>1</v>
      </c>
      <c r="F200" t="str">
        <f>IF(B200&lt;&gt;"",IF(C200="NA",Lists!$D$9,IFERROR(HLOOKUP(C200,Input!$C$312:$L$335,H200,FALSE),"NA")), "")</f>
        <v>BB</v>
      </c>
      <c r="G200">
        <f t="shared" si="6"/>
        <v>4</v>
      </c>
      <c r="H200">
        <f t="shared" si="7"/>
        <v>8</v>
      </c>
    </row>
    <row r="201" spans="1:8" x14ac:dyDescent="0.35">
      <c r="A201" t="str">
        <f>Input!H$219</f>
        <v>Financials</v>
      </c>
      <c r="B201">
        <f>Input!I226</f>
        <v>0</v>
      </c>
      <c r="C201">
        <f>Input!I$191</f>
        <v>7</v>
      </c>
      <c r="D201" t="str">
        <f>Input!B$196</f>
        <v>More than 20</v>
      </c>
      <c r="E201" s="9">
        <f>Input!E$219</f>
        <v>1</v>
      </c>
      <c r="F201" t="str">
        <f>IF(B201&lt;&gt;"",IF(C201="NA",Lists!$D$9,IFERROR(HLOOKUP(C201,Input!$C$312:$L$335,H201,FALSE),"NA")), "")</f>
        <v>BB</v>
      </c>
      <c r="G201">
        <f t="shared" si="6"/>
        <v>5</v>
      </c>
      <c r="H201">
        <f t="shared" si="7"/>
        <v>8</v>
      </c>
    </row>
    <row r="202" spans="1:8" x14ac:dyDescent="0.35">
      <c r="A202" t="str">
        <f>Input!H$219</f>
        <v>Financials</v>
      </c>
      <c r="B202">
        <f>Input!J222</f>
        <v>0</v>
      </c>
      <c r="C202">
        <f>Input!J$191</f>
        <v>8</v>
      </c>
      <c r="D202" t="str">
        <f>Input!B$192</f>
        <v>Upto 1</v>
      </c>
      <c r="E202" s="9">
        <f>Input!E$219</f>
        <v>1</v>
      </c>
      <c r="F202" t="str">
        <f>IF(B202&lt;&gt;"",IF(C202="NA",Lists!$D$9,IFERROR(HLOOKUP(C202,Input!$C$312:$L$335,H202,FALSE),"NA")), "")</f>
        <v>B</v>
      </c>
      <c r="G202">
        <f t="shared" si="6"/>
        <v>1</v>
      </c>
      <c r="H202">
        <f t="shared" si="7"/>
        <v>8</v>
      </c>
    </row>
    <row r="203" spans="1:8" x14ac:dyDescent="0.35">
      <c r="A203" t="str">
        <f>Input!H$219</f>
        <v>Financials</v>
      </c>
      <c r="B203">
        <f>Input!J223</f>
        <v>0</v>
      </c>
      <c r="C203">
        <f>Input!J$191</f>
        <v>8</v>
      </c>
      <c r="D203" t="str">
        <f>Input!B$193</f>
        <v>1.01 to 5</v>
      </c>
      <c r="E203" s="9">
        <f>Input!E$219</f>
        <v>1</v>
      </c>
      <c r="F203" t="str">
        <f>IF(B203&lt;&gt;"",IF(C203="NA",Lists!$D$9,IFERROR(HLOOKUP(C203,Input!$C$312:$L$335,H203,FALSE),"NA")), "")</f>
        <v>B</v>
      </c>
      <c r="G203">
        <f t="shared" si="6"/>
        <v>2</v>
      </c>
      <c r="H203">
        <f t="shared" si="7"/>
        <v>8</v>
      </c>
    </row>
    <row r="204" spans="1:8" x14ac:dyDescent="0.35">
      <c r="A204" t="str">
        <f>Input!H$219</f>
        <v>Financials</v>
      </c>
      <c r="B204">
        <f>Input!J224</f>
        <v>0</v>
      </c>
      <c r="C204">
        <f>Input!J$191</f>
        <v>8</v>
      </c>
      <c r="D204" t="str">
        <f>Input!B$194</f>
        <v>5.01 to 10</v>
      </c>
      <c r="E204" s="9">
        <f>Input!E$219</f>
        <v>1</v>
      </c>
      <c r="F204" t="str">
        <f>IF(B204&lt;&gt;"",IF(C204="NA",Lists!$D$9,IFERROR(HLOOKUP(C204,Input!$C$312:$L$335,H204,FALSE),"NA")), "")</f>
        <v>B</v>
      </c>
      <c r="G204">
        <f t="shared" si="6"/>
        <v>3</v>
      </c>
      <c r="H204">
        <f t="shared" si="7"/>
        <v>8</v>
      </c>
    </row>
    <row r="205" spans="1:8" x14ac:dyDescent="0.35">
      <c r="A205" t="str">
        <f>Input!H$219</f>
        <v>Financials</v>
      </c>
      <c r="B205">
        <f>Input!J225</f>
        <v>0</v>
      </c>
      <c r="C205">
        <f>Input!J$191</f>
        <v>8</v>
      </c>
      <c r="D205" t="str">
        <f>Input!B$195</f>
        <v>10.01 to 20</v>
      </c>
      <c r="E205" s="9">
        <f>Input!E$219</f>
        <v>1</v>
      </c>
      <c r="F205" t="str">
        <f>IF(B205&lt;&gt;"",IF(C205="NA",Lists!$D$9,IFERROR(HLOOKUP(C205,Input!$C$312:$L$335,H205,FALSE),"NA")), "")</f>
        <v>B</v>
      </c>
      <c r="G205">
        <f t="shared" si="6"/>
        <v>4</v>
      </c>
      <c r="H205">
        <f t="shared" si="7"/>
        <v>8</v>
      </c>
    </row>
    <row r="206" spans="1:8" x14ac:dyDescent="0.35">
      <c r="A206" t="str">
        <f>Input!H$219</f>
        <v>Financials</v>
      </c>
      <c r="B206">
        <f>Input!J226</f>
        <v>0</v>
      </c>
      <c r="C206">
        <f>Input!J$191</f>
        <v>8</v>
      </c>
      <c r="D206" t="str">
        <f>Input!B$196</f>
        <v>More than 20</v>
      </c>
      <c r="E206" s="9">
        <f>Input!E$219</f>
        <v>1</v>
      </c>
      <c r="F206" t="str">
        <f>IF(B206&lt;&gt;"",IF(C206="NA",Lists!$D$9,IFERROR(HLOOKUP(C206,Input!$C$312:$L$335,H206,FALSE),"NA")), "")</f>
        <v>B</v>
      </c>
      <c r="G206">
        <f t="shared" si="6"/>
        <v>5</v>
      </c>
      <c r="H206">
        <f t="shared" si="7"/>
        <v>8</v>
      </c>
    </row>
    <row r="207" spans="1:8" x14ac:dyDescent="0.35">
      <c r="A207" t="str">
        <f>Input!H$219</f>
        <v>Financials</v>
      </c>
      <c r="B207">
        <f>Input!K222</f>
        <v>0</v>
      </c>
      <c r="C207">
        <f>Input!K$191</f>
        <v>9</v>
      </c>
      <c r="D207" t="str">
        <f>Input!B$192</f>
        <v>Upto 1</v>
      </c>
      <c r="E207" s="9">
        <f>Input!E$219</f>
        <v>1</v>
      </c>
      <c r="F207" t="str">
        <f>IF(B207&lt;&gt;"",IF(C207="NA",Lists!$D$9,IFERROR(HLOOKUP(C207,Input!$C$312:$L$335,H207,FALSE),"NA")), "")</f>
        <v>B</v>
      </c>
      <c r="G207">
        <f t="shared" si="6"/>
        <v>1</v>
      </c>
      <c r="H207">
        <f t="shared" si="7"/>
        <v>8</v>
      </c>
    </row>
    <row r="208" spans="1:8" x14ac:dyDescent="0.35">
      <c r="A208" t="str">
        <f>Input!H$219</f>
        <v>Financials</v>
      </c>
      <c r="B208">
        <f>Input!K223</f>
        <v>0</v>
      </c>
      <c r="C208">
        <f>Input!K$191</f>
        <v>9</v>
      </c>
      <c r="D208" t="str">
        <f>Input!B$193</f>
        <v>1.01 to 5</v>
      </c>
      <c r="E208" s="9">
        <f>Input!E$219</f>
        <v>1</v>
      </c>
      <c r="F208" t="str">
        <f>IF(B208&lt;&gt;"",IF(C208="NA",Lists!$D$9,IFERROR(HLOOKUP(C208,Input!$C$312:$L$335,H208,FALSE),"NA")), "")</f>
        <v>B</v>
      </c>
      <c r="G208">
        <f t="shared" si="6"/>
        <v>2</v>
      </c>
      <c r="H208">
        <f t="shared" si="7"/>
        <v>8</v>
      </c>
    </row>
    <row r="209" spans="1:8" x14ac:dyDescent="0.35">
      <c r="A209" t="str">
        <f>Input!H$219</f>
        <v>Financials</v>
      </c>
      <c r="B209">
        <f>Input!K224</f>
        <v>0</v>
      </c>
      <c r="C209">
        <f>Input!K$191</f>
        <v>9</v>
      </c>
      <c r="D209" t="str">
        <f>Input!B$194</f>
        <v>5.01 to 10</v>
      </c>
      <c r="E209" s="9">
        <f>Input!E$219</f>
        <v>1</v>
      </c>
      <c r="F209" t="str">
        <f>IF(B209&lt;&gt;"",IF(C209="NA",Lists!$D$9,IFERROR(HLOOKUP(C209,Input!$C$312:$L$335,H209,FALSE),"NA")), "")</f>
        <v>B</v>
      </c>
      <c r="G209">
        <f t="shared" si="6"/>
        <v>3</v>
      </c>
      <c r="H209">
        <f t="shared" si="7"/>
        <v>8</v>
      </c>
    </row>
    <row r="210" spans="1:8" x14ac:dyDescent="0.35">
      <c r="A210" t="str">
        <f>Input!H$219</f>
        <v>Financials</v>
      </c>
      <c r="B210">
        <f>Input!K225</f>
        <v>0</v>
      </c>
      <c r="C210">
        <f>Input!K$191</f>
        <v>9</v>
      </c>
      <c r="D210" t="str">
        <f>Input!B$195</f>
        <v>10.01 to 20</v>
      </c>
      <c r="E210" s="9">
        <f>Input!E$219</f>
        <v>1</v>
      </c>
      <c r="F210" t="str">
        <f>IF(B210&lt;&gt;"",IF(C210="NA",Lists!$D$9,IFERROR(HLOOKUP(C210,Input!$C$312:$L$335,H210,FALSE),"NA")), "")</f>
        <v>B</v>
      </c>
      <c r="G210">
        <f t="shared" si="6"/>
        <v>4</v>
      </c>
      <c r="H210">
        <f t="shared" si="7"/>
        <v>8</v>
      </c>
    </row>
    <row r="211" spans="1:8" x14ac:dyDescent="0.35">
      <c r="A211" t="str">
        <f>Input!H$219</f>
        <v>Financials</v>
      </c>
      <c r="B211">
        <f>Input!K226</f>
        <v>0</v>
      </c>
      <c r="C211">
        <f>Input!K$191</f>
        <v>9</v>
      </c>
      <c r="D211" t="str">
        <f>Input!B$196</f>
        <v>More than 20</v>
      </c>
      <c r="E211" s="9">
        <f>Input!E$219</f>
        <v>1</v>
      </c>
      <c r="F211" t="str">
        <f>IF(B211&lt;&gt;"",IF(C211="NA",Lists!$D$9,IFERROR(HLOOKUP(C211,Input!$C$312:$L$335,H211,FALSE),"NA")), "")</f>
        <v>B</v>
      </c>
      <c r="G211">
        <f t="shared" si="6"/>
        <v>5</v>
      </c>
      <c r="H211">
        <f t="shared" si="7"/>
        <v>8</v>
      </c>
    </row>
    <row r="212" spans="1:8" x14ac:dyDescent="0.35">
      <c r="A212" t="str">
        <f>Input!H$219</f>
        <v>Financials</v>
      </c>
      <c r="B212">
        <f>Input!L222</f>
        <v>0</v>
      </c>
      <c r="C212">
        <f>Input!L$191</f>
        <v>10</v>
      </c>
      <c r="D212" t="str">
        <f>Input!B$192</f>
        <v>Upto 1</v>
      </c>
      <c r="E212" s="9">
        <f>Input!E$219</f>
        <v>1</v>
      </c>
      <c r="F212" t="str">
        <f>IF(B212&lt;&gt;"",IF(C212="NA",Lists!$D$9,IFERROR(HLOOKUP(C212,Input!$C$312:$L$335,H212,FALSE),"NA")), "")</f>
        <v>CCC-C</v>
      </c>
      <c r="G212">
        <f t="shared" si="6"/>
        <v>1</v>
      </c>
      <c r="H212">
        <f t="shared" si="7"/>
        <v>8</v>
      </c>
    </row>
    <row r="213" spans="1:8" x14ac:dyDescent="0.35">
      <c r="A213" t="str">
        <f>Input!H$219</f>
        <v>Financials</v>
      </c>
      <c r="B213">
        <f>Input!L223</f>
        <v>0</v>
      </c>
      <c r="C213">
        <f>Input!L$191</f>
        <v>10</v>
      </c>
      <c r="D213" t="str">
        <f>Input!B$193</f>
        <v>1.01 to 5</v>
      </c>
      <c r="E213" s="9">
        <f>Input!E$219</f>
        <v>1</v>
      </c>
      <c r="F213" t="str">
        <f>IF(B213&lt;&gt;"",IF(C213="NA",Lists!$D$9,IFERROR(HLOOKUP(C213,Input!$C$312:$L$335,H213,FALSE),"NA")), "")</f>
        <v>CCC-C</v>
      </c>
      <c r="G213">
        <f t="shared" si="6"/>
        <v>2</v>
      </c>
      <c r="H213">
        <f t="shared" si="7"/>
        <v>8</v>
      </c>
    </row>
    <row r="214" spans="1:8" x14ac:dyDescent="0.35">
      <c r="A214" t="str">
        <f>Input!H$219</f>
        <v>Financials</v>
      </c>
      <c r="B214">
        <f>Input!L224</f>
        <v>0</v>
      </c>
      <c r="C214">
        <f>Input!L$191</f>
        <v>10</v>
      </c>
      <c r="D214" t="str">
        <f>Input!B$194</f>
        <v>5.01 to 10</v>
      </c>
      <c r="E214" s="9">
        <f>Input!E$219</f>
        <v>1</v>
      </c>
      <c r="F214" t="str">
        <f>IF(B214&lt;&gt;"",IF(C214="NA",Lists!$D$9,IFERROR(HLOOKUP(C214,Input!$C$312:$L$335,H214,FALSE),"NA")), "")</f>
        <v>CCC-C</v>
      </c>
      <c r="G214">
        <f t="shared" si="6"/>
        <v>3</v>
      </c>
      <c r="H214">
        <f t="shared" si="7"/>
        <v>8</v>
      </c>
    </row>
    <row r="215" spans="1:8" x14ac:dyDescent="0.35">
      <c r="A215" t="str">
        <f>Input!H$219</f>
        <v>Financials</v>
      </c>
      <c r="B215">
        <f>Input!L225</f>
        <v>0</v>
      </c>
      <c r="C215">
        <f>Input!L$191</f>
        <v>10</v>
      </c>
      <c r="D215" t="str">
        <f>Input!B$195</f>
        <v>10.01 to 20</v>
      </c>
      <c r="E215" s="9">
        <f>Input!E$219</f>
        <v>1</v>
      </c>
      <c r="F215" t="str">
        <f>IF(B215&lt;&gt;"",IF(C215="NA",Lists!$D$9,IFERROR(HLOOKUP(C215,Input!$C$312:$L$335,H215,FALSE),"NA")), "")</f>
        <v>CCC-C</v>
      </c>
      <c r="G215">
        <f t="shared" si="6"/>
        <v>4</v>
      </c>
      <c r="H215">
        <f t="shared" si="7"/>
        <v>8</v>
      </c>
    </row>
    <row r="216" spans="1:8" x14ac:dyDescent="0.35">
      <c r="A216" t="str">
        <f>Input!H$219</f>
        <v>Financials</v>
      </c>
      <c r="B216">
        <f>Input!L226</f>
        <v>0</v>
      </c>
      <c r="C216">
        <f>Input!L$191</f>
        <v>10</v>
      </c>
      <c r="D216" t="str">
        <f>Input!B$196</f>
        <v>More than 20</v>
      </c>
      <c r="E216" s="9">
        <f>Input!E$219</f>
        <v>1</v>
      </c>
      <c r="F216" t="str">
        <f>IF(B216&lt;&gt;"",IF(C216="NA",Lists!$D$9,IFERROR(HLOOKUP(C216,Input!$C$312:$L$335,H216,FALSE),"NA")), "")</f>
        <v>CCC-C</v>
      </c>
      <c r="G216">
        <f t="shared" si="6"/>
        <v>5</v>
      </c>
      <c r="H216">
        <f t="shared" si="7"/>
        <v>8</v>
      </c>
    </row>
    <row r="217" spans="1:8" x14ac:dyDescent="0.35">
      <c r="A217" t="str">
        <f>Input!H$219</f>
        <v>Financials</v>
      </c>
      <c r="B217">
        <f>Input!M222</f>
        <v>0</v>
      </c>
      <c r="C217" t="str">
        <f>Input!M$191</f>
        <v>NA</v>
      </c>
      <c r="D217" t="str">
        <f>Input!B$192</f>
        <v>Upto 1</v>
      </c>
      <c r="E217" s="9">
        <f>Input!E$219</f>
        <v>1</v>
      </c>
      <c r="F217" t="str">
        <f>IF(B217&lt;&gt;"",IF(C217="NA",Lists!$D$9,IFERROR(HLOOKUP(C217,Input!$C$312:$L$335,H217,FALSE),"NA")), "")</f>
        <v>CCC-C</v>
      </c>
      <c r="G217">
        <f t="shared" si="6"/>
        <v>1</v>
      </c>
      <c r="H217">
        <f t="shared" si="7"/>
        <v>8</v>
      </c>
    </row>
    <row r="218" spans="1:8" x14ac:dyDescent="0.35">
      <c r="A218" t="str">
        <f>Input!H$219</f>
        <v>Financials</v>
      </c>
      <c r="B218">
        <f>Input!M223</f>
        <v>0</v>
      </c>
      <c r="C218" t="str">
        <f>Input!M$191</f>
        <v>NA</v>
      </c>
      <c r="D218" t="str">
        <f>Input!B$193</f>
        <v>1.01 to 5</v>
      </c>
      <c r="E218" s="9">
        <f>Input!E$219</f>
        <v>1</v>
      </c>
      <c r="F218" t="str">
        <f>IF(B218&lt;&gt;"",IF(C218="NA",Lists!$D$9,IFERROR(HLOOKUP(C218,Input!$C$312:$L$335,H218,FALSE),"NA")), "")</f>
        <v>CCC-C</v>
      </c>
      <c r="G218">
        <f t="shared" si="6"/>
        <v>2</v>
      </c>
      <c r="H218">
        <f t="shared" si="7"/>
        <v>8</v>
      </c>
    </row>
    <row r="219" spans="1:8" x14ac:dyDescent="0.35">
      <c r="A219" t="str">
        <f>Input!H$219</f>
        <v>Financials</v>
      </c>
      <c r="B219">
        <f>Input!M224</f>
        <v>0</v>
      </c>
      <c r="C219" t="str">
        <f>Input!M$191</f>
        <v>NA</v>
      </c>
      <c r="D219" t="str">
        <f>Input!B$194</f>
        <v>5.01 to 10</v>
      </c>
      <c r="E219" s="9">
        <f>Input!E$219</f>
        <v>1</v>
      </c>
      <c r="F219" t="str">
        <f>IF(B219&lt;&gt;"",IF(C219="NA",Lists!$D$9,IFERROR(HLOOKUP(C219,Input!$C$312:$L$335,H219,FALSE),"NA")), "")</f>
        <v>CCC-C</v>
      </c>
      <c r="G219">
        <f t="shared" si="6"/>
        <v>3</v>
      </c>
      <c r="H219">
        <f t="shared" si="7"/>
        <v>8</v>
      </c>
    </row>
    <row r="220" spans="1:8" x14ac:dyDescent="0.35">
      <c r="A220" t="str">
        <f>Input!H$219</f>
        <v>Financials</v>
      </c>
      <c r="B220">
        <f>Input!M225</f>
        <v>0</v>
      </c>
      <c r="C220" t="str">
        <f>Input!M$191</f>
        <v>NA</v>
      </c>
      <c r="D220" t="str">
        <f>Input!B$195</f>
        <v>10.01 to 20</v>
      </c>
      <c r="E220" s="9">
        <f>Input!E$219</f>
        <v>1</v>
      </c>
      <c r="F220" t="str">
        <f>IF(B220&lt;&gt;"",IF(C220="NA",Lists!$D$9,IFERROR(HLOOKUP(C220,Input!$C$312:$L$335,H220,FALSE),"NA")), "")</f>
        <v>CCC-C</v>
      </c>
      <c r="G220">
        <f t="shared" si="6"/>
        <v>4</v>
      </c>
      <c r="H220">
        <f t="shared" si="7"/>
        <v>8</v>
      </c>
    </row>
    <row r="221" spans="1:8" x14ac:dyDescent="0.35">
      <c r="A221" t="str">
        <f>Input!H$219</f>
        <v>Financials</v>
      </c>
      <c r="B221">
        <f>Input!M226</f>
        <v>0</v>
      </c>
      <c r="C221" t="str">
        <f>Input!M$191</f>
        <v>NA</v>
      </c>
      <c r="D221" t="str">
        <f>Input!B$196</f>
        <v>More than 20</v>
      </c>
      <c r="E221" s="9">
        <f>Input!E$219</f>
        <v>1</v>
      </c>
      <c r="F221" t="str">
        <f>IF(B221&lt;&gt;"",IF(C221="NA",Lists!$D$9,IFERROR(HLOOKUP(C221,Input!$C$312:$L$335,H221,FALSE),"NA")), "")</f>
        <v>CCC-C</v>
      </c>
      <c r="G221">
        <f t="shared" si="6"/>
        <v>5</v>
      </c>
      <c r="H221">
        <f t="shared" si="7"/>
        <v>8</v>
      </c>
    </row>
    <row r="222" spans="1:8" x14ac:dyDescent="0.35">
      <c r="A222" t="str">
        <f>Input!H$229</f>
        <v>Financials</v>
      </c>
      <c r="B222">
        <f>Input!C232</f>
        <v>0</v>
      </c>
      <c r="C222">
        <f>Input!C$191</f>
        <v>1</v>
      </c>
      <c r="D222" t="str">
        <f>Input!B$192</f>
        <v>Upto 1</v>
      </c>
      <c r="E222" s="9">
        <f>Input!E$229</f>
        <v>2</v>
      </c>
      <c r="F222" t="str">
        <f>IF(B222&lt;&gt;"",IF(C222="NA",Lists!$D$9,IFERROR(HLOOKUP(C222,Input!$C$312:$L$335,H222,FALSE),"NA")), "")</f>
        <v>BBB</v>
      </c>
      <c r="G222">
        <f t="shared" si="6"/>
        <v>1</v>
      </c>
      <c r="H222">
        <f t="shared" si="7"/>
        <v>8</v>
      </c>
    </row>
    <row r="223" spans="1:8" x14ac:dyDescent="0.35">
      <c r="A223" t="str">
        <f>Input!H$229</f>
        <v>Financials</v>
      </c>
      <c r="B223">
        <f>Input!C233</f>
        <v>0</v>
      </c>
      <c r="C223">
        <f>Input!C$191</f>
        <v>1</v>
      </c>
      <c r="D223" t="str">
        <f>Input!B$193</f>
        <v>1.01 to 5</v>
      </c>
      <c r="E223" s="9">
        <f>Input!E$229</f>
        <v>2</v>
      </c>
      <c r="F223" t="str">
        <f>IF(B223&lt;&gt;"",IF(C223="NA",Lists!$D$9,IFERROR(HLOOKUP(C223,Input!$C$312:$L$335,H223,FALSE),"NA")), "")</f>
        <v>BBB</v>
      </c>
      <c r="G223">
        <f t="shared" si="6"/>
        <v>2</v>
      </c>
      <c r="H223">
        <f t="shared" si="7"/>
        <v>8</v>
      </c>
    </row>
    <row r="224" spans="1:8" x14ac:dyDescent="0.35">
      <c r="A224" t="str">
        <f>Input!H$229</f>
        <v>Financials</v>
      </c>
      <c r="B224">
        <f>Input!C234</f>
        <v>0</v>
      </c>
      <c r="C224">
        <f>Input!C$191</f>
        <v>1</v>
      </c>
      <c r="D224" t="str">
        <f>Input!B$194</f>
        <v>5.01 to 10</v>
      </c>
      <c r="E224" s="9">
        <f>Input!E$229</f>
        <v>2</v>
      </c>
      <c r="F224" t="str">
        <f>IF(B224&lt;&gt;"",IF(C224="NA",Lists!$D$9,IFERROR(HLOOKUP(C224,Input!$C$312:$L$335,H224,FALSE),"NA")), "")</f>
        <v>BBB</v>
      </c>
      <c r="G224">
        <f t="shared" si="6"/>
        <v>3</v>
      </c>
      <c r="H224">
        <f t="shared" si="7"/>
        <v>8</v>
      </c>
    </row>
    <row r="225" spans="1:8" x14ac:dyDescent="0.35">
      <c r="A225" t="str">
        <f>Input!H$229</f>
        <v>Financials</v>
      </c>
      <c r="B225">
        <f>Input!C235</f>
        <v>0</v>
      </c>
      <c r="C225">
        <f>Input!C$191</f>
        <v>1</v>
      </c>
      <c r="D225" t="str">
        <f>Input!B$195</f>
        <v>10.01 to 20</v>
      </c>
      <c r="E225" s="9">
        <f>Input!E$229</f>
        <v>2</v>
      </c>
      <c r="F225" t="str">
        <f>IF(B225&lt;&gt;"",IF(C225="NA",Lists!$D$9,IFERROR(HLOOKUP(C225,Input!$C$312:$L$335,H225,FALSE),"NA")), "")</f>
        <v>BBB</v>
      </c>
      <c r="G225">
        <f t="shared" si="6"/>
        <v>4</v>
      </c>
      <c r="H225">
        <f t="shared" si="7"/>
        <v>8</v>
      </c>
    </row>
    <row r="226" spans="1:8" x14ac:dyDescent="0.35">
      <c r="A226" t="str">
        <f>Input!H$229</f>
        <v>Financials</v>
      </c>
      <c r="B226">
        <f>Input!C236</f>
        <v>0</v>
      </c>
      <c r="C226">
        <f>Input!C$191</f>
        <v>1</v>
      </c>
      <c r="D226" t="str">
        <f>Input!B$196</f>
        <v>More than 20</v>
      </c>
      <c r="E226" s="9">
        <f>Input!E$229</f>
        <v>2</v>
      </c>
      <c r="F226" t="str">
        <f>IF(B226&lt;&gt;"",IF(C226="NA",Lists!$D$9,IFERROR(HLOOKUP(C226,Input!$C$312:$L$335,H226,FALSE),"NA")), "")</f>
        <v>BBB</v>
      </c>
      <c r="G226">
        <f t="shared" si="6"/>
        <v>5</v>
      </c>
      <c r="H226">
        <f t="shared" si="7"/>
        <v>8</v>
      </c>
    </row>
    <row r="227" spans="1:8" x14ac:dyDescent="0.35">
      <c r="A227" t="str">
        <f>Input!H$229</f>
        <v>Financials</v>
      </c>
      <c r="B227">
        <f>Input!D232</f>
        <v>0</v>
      </c>
      <c r="C227">
        <f>Input!D$191</f>
        <v>2</v>
      </c>
      <c r="D227" t="str">
        <f>Input!B$192</f>
        <v>Upto 1</v>
      </c>
      <c r="E227" s="9">
        <f>Input!E$229</f>
        <v>2</v>
      </c>
      <c r="F227" t="str">
        <f>IF(B227&lt;&gt;"",IF(C227="NA",Lists!$D$9,IFERROR(HLOOKUP(C227,Input!$C$312:$L$335,H227,FALSE),"NA")), "")</f>
        <v>BBB</v>
      </c>
      <c r="G227">
        <f t="shared" si="6"/>
        <v>1</v>
      </c>
      <c r="H227">
        <f t="shared" si="7"/>
        <v>8</v>
      </c>
    </row>
    <row r="228" spans="1:8" x14ac:dyDescent="0.35">
      <c r="A228" t="str">
        <f>Input!H$229</f>
        <v>Financials</v>
      </c>
      <c r="B228">
        <f>Input!D233</f>
        <v>0</v>
      </c>
      <c r="C228">
        <f>Input!D$191</f>
        <v>2</v>
      </c>
      <c r="D228" t="str">
        <f>Input!B$193</f>
        <v>1.01 to 5</v>
      </c>
      <c r="E228" s="9">
        <f>Input!E$229</f>
        <v>2</v>
      </c>
      <c r="F228" t="str">
        <f>IF(B228&lt;&gt;"",IF(C228="NA",Lists!$D$9,IFERROR(HLOOKUP(C228,Input!$C$312:$L$335,H228,FALSE),"NA")), "")</f>
        <v>BBB</v>
      </c>
      <c r="G228">
        <f t="shared" si="6"/>
        <v>2</v>
      </c>
      <c r="H228">
        <f t="shared" si="7"/>
        <v>8</v>
      </c>
    </row>
    <row r="229" spans="1:8" x14ac:dyDescent="0.35">
      <c r="A229" t="str">
        <f>Input!H$229</f>
        <v>Financials</v>
      </c>
      <c r="B229">
        <f>Input!D234</f>
        <v>0</v>
      </c>
      <c r="C229">
        <f>Input!D$191</f>
        <v>2</v>
      </c>
      <c r="D229" t="str">
        <f>Input!B$194</f>
        <v>5.01 to 10</v>
      </c>
      <c r="E229" s="9">
        <f>Input!E$229</f>
        <v>2</v>
      </c>
      <c r="F229" t="str">
        <f>IF(B229&lt;&gt;"",IF(C229="NA",Lists!$D$9,IFERROR(HLOOKUP(C229,Input!$C$312:$L$335,H229,FALSE),"NA")), "")</f>
        <v>BBB</v>
      </c>
      <c r="G229">
        <f t="shared" si="6"/>
        <v>3</v>
      </c>
      <c r="H229">
        <f t="shared" si="7"/>
        <v>8</v>
      </c>
    </row>
    <row r="230" spans="1:8" x14ac:dyDescent="0.35">
      <c r="A230" t="str">
        <f>Input!H$229</f>
        <v>Financials</v>
      </c>
      <c r="B230">
        <f>Input!D235</f>
        <v>0</v>
      </c>
      <c r="C230">
        <f>Input!D$191</f>
        <v>2</v>
      </c>
      <c r="D230" t="str">
        <f>Input!B$195</f>
        <v>10.01 to 20</v>
      </c>
      <c r="E230" s="9">
        <f>Input!E$229</f>
        <v>2</v>
      </c>
      <c r="F230" t="str">
        <f>IF(B230&lt;&gt;"",IF(C230="NA",Lists!$D$9,IFERROR(HLOOKUP(C230,Input!$C$312:$L$335,H230,FALSE),"NA")), "")</f>
        <v>BBB</v>
      </c>
      <c r="G230">
        <f t="shared" si="6"/>
        <v>4</v>
      </c>
      <c r="H230">
        <f t="shared" si="7"/>
        <v>8</v>
      </c>
    </row>
    <row r="231" spans="1:8" x14ac:dyDescent="0.35">
      <c r="A231" t="str">
        <f>Input!H$229</f>
        <v>Financials</v>
      </c>
      <c r="B231">
        <f>Input!D236</f>
        <v>0</v>
      </c>
      <c r="C231">
        <f>Input!D$191</f>
        <v>2</v>
      </c>
      <c r="D231" t="str">
        <f>Input!B$196</f>
        <v>More than 20</v>
      </c>
      <c r="E231" s="9">
        <f>Input!E$229</f>
        <v>2</v>
      </c>
      <c r="F231" t="str">
        <f>IF(B231&lt;&gt;"",IF(C231="NA",Lists!$D$9,IFERROR(HLOOKUP(C231,Input!$C$312:$L$335,H231,FALSE),"NA")), "")</f>
        <v>BBB</v>
      </c>
      <c r="G231">
        <f t="shared" si="6"/>
        <v>5</v>
      </c>
      <c r="H231">
        <f t="shared" si="7"/>
        <v>8</v>
      </c>
    </row>
    <row r="232" spans="1:8" x14ac:dyDescent="0.35">
      <c r="A232" t="str">
        <f>Input!H$229</f>
        <v>Financials</v>
      </c>
      <c r="B232">
        <f>Input!E232</f>
        <v>0</v>
      </c>
      <c r="C232">
        <f>Input!E$191</f>
        <v>3</v>
      </c>
      <c r="D232" t="str">
        <f>Input!B$192</f>
        <v>Upto 1</v>
      </c>
      <c r="E232" s="9">
        <f>Input!E$229</f>
        <v>2</v>
      </c>
      <c r="F232" t="str">
        <f>IF(B232&lt;&gt;"",IF(C232="NA",Lists!$D$9,IFERROR(HLOOKUP(C232,Input!$C$312:$L$335,H232,FALSE),"NA")), "")</f>
        <v>BBB</v>
      </c>
      <c r="G232">
        <f t="shared" si="6"/>
        <v>1</v>
      </c>
      <c r="H232">
        <f t="shared" si="7"/>
        <v>8</v>
      </c>
    </row>
    <row r="233" spans="1:8" x14ac:dyDescent="0.35">
      <c r="A233" t="str">
        <f>Input!H$229</f>
        <v>Financials</v>
      </c>
      <c r="B233">
        <f>Input!E233</f>
        <v>0</v>
      </c>
      <c r="C233">
        <f>Input!E$191</f>
        <v>3</v>
      </c>
      <c r="D233" t="str">
        <f>Input!B$193</f>
        <v>1.01 to 5</v>
      </c>
      <c r="E233" s="9">
        <f>Input!E$229</f>
        <v>2</v>
      </c>
      <c r="F233" t="str">
        <f>IF(B233&lt;&gt;"",IF(C233="NA",Lists!$D$9,IFERROR(HLOOKUP(C233,Input!$C$312:$L$335,H233,FALSE),"NA")), "")</f>
        <v>BBB</v>
      </c>
      <c r="G233">
        <f t="shared" si="6"/>
        <v>2</v>
      </c>
      <c r="H233">
        <f t="shared" si="7"/>
        <v>8</v>
      </c>
    </row>
    <row r="234" spans="1:8" x14ac:dyDescent="0.35">
      <c r="A234" t="str">
        <f>Input!H$229</f>
        <v>Financials</v>
      </c>
      <c r="B234">
        <f>Input!E234</f>
        <v>0</v>
      </c>
      <c r="C234">
        <f>Input!E$191</f>
        <v>3</v>
      </c>
      <c r="D234" t="str">
        <f>Input!B$194</f>
        <v>5.01 to 10</v>
      </c>
      <c r="E234" s="9">
        <f>Input!E$229</f>
        <v>2</v>
      </c>
      <c r="F234" t="str">
        <f>IF(B234&lt;&gt;"",IF(C234="NA",Lists!$D$9,IFERROR(HLOOKUP(C234,Input!$C$312:$L$335,H234,FALSE),"NA")), "")</f>
        <v>BBB</v>
      </c>
      <c r="G234">
        <f t="shared" si="6"/>
        <v>3</v>
      </c>
      <c r="H234">
        <f t="shared" si="7"/>
        <v>8</v>
      </c>
    </row>
    <row r="235" spans="1:8" x14ac:dyDescent="0.35">
      <c r="A235" t="str">
        <f>Input!H$229</f>
        <v>Financials</v>
      </c>
      <c r="B235">
        <f>Input!E235</f>
        <v>0</v>
      </c>
      <c r="C235">
        <f>Input!E$191</f>
        <v>3</v>
      </c>
      <c r="D235" t="str">
        <f>Input!B$195</f>
        <v>10.01 to 20</v>
      </c>
      <c r="E235" s="9">
        <f>Input!E$229</f>
        <v>2</v>
      </c>
      <c r="F235" t="str">
        <f>IF(B235&lt;&gt;"",IF(C235="NA",Lists!$D$9,IFERROR(HLOOKUP(C235,Input!$C$312:$L$335,H235,FALSE),"NA")), "")</f>
        <v>BBB</v>
      </c>
      <c r="G235">
        <f t="shared" si="6"/>
        <v>4</v>
      </c>
      <c r="H235">
        <f t="shared" si="7"/>
        <v>8</v>
      </c>
    </row>
    <row r="236" spans="1:8" x14ac:dyDescent="0.35">
      <c r="A236" t="str">
        <f>Input!H$229</f>
        <v>Financials</v>
      </c>
      <c r="B236">
        <f>Input!E236</f>
        <v>0</v>
      </c>
      <c r="C236">
        <f>Input!E$191</f>
        <v>3</v>
      </c>
      <c r="D236" t="str">
        <f>Input!B$196</f>
        <v>More than 20</v>
      </c>
      <c r="E236" s="9">
        <f>Input!E$229</f>
        <v>2</v>
      </c>
      <c r="F236" t="str">
        <f>IF(B236&lt;&gt;"",IF(C236="NA",Lists!$D$9,IFERROR(HLOOKUP(C236,Input!$C$312:$L$335,H236,FALSE),"NA")), "")</f>
        <v>BBB</v>
      </c>
      <c r="G236">
        <f t="shared" si="6"/>
        <v>5</v>
      </c>
      <c r="H236">
        <f t="shared" si="7"/>
        <v>8</v>
      </c>
    </row>
    <row r="237" spans="1:8" x14ac:dyDescent="0.35">
      <c r="A237" t="str">
        <f>Input!H$229</f>
        <v>Financials</v>
      </c>
      <c r="B237">
        <f>Input!F232</f>
        <v>0</v>
      </c>
      <c r="C237">
        <f>Input!F$191</f>
        <v>4</v>
      </c>
      <c r="D237" t="str">
        <f>Input!B$192</f>
        <v>Upto 1</v>
      </c>
      <c r="E237" s="9">
        <f>Input!E$229</f>
        <v>2</v>
      </c>
      <c r="F237" t="str">
        <f>IF(B237&lt;&gt;"",IF(C237="NA",Lists!$D$9,IFERROR(HLOOKUP(C237,Input!$C$312:$L$335,H237,FALSE),"NA")), "")</f>
        <v>BBB</v>
      </c>
      <c r="G237">
        <f t="shared" si="6"/>
        <v>1</v>
      </c>
      <c r="H237">
        <f t="shared" si="7"/>
        <v>8</v>
      </c>
    </row>
    <row r="238" spans="1:8" x14ac:dyDescent="0.35">
      <c r="A238" t="str">
        <f>Input!H$229</f>
        <v>Financials</v>
      </c>
      <c r="B238">
        <f>Input!F233</f>
        <v>0</v>
      </c>
      <c r="C238">
        <f>Input!F$191</f>
        <v>4</v>
      </c>
      <c r="D238" t="str">
        <f>Input!B$193</f>
        <v>1.01 to 5</v>
      </c>
      <c r="E238" s="9">
        <f>Input!E$229</f>
        <v>2</v>
      </c>
      <c r="F238" t="str">
        <f>IF(B238&lt;&gt;"",IF(C238="NA",Lists!$D$9,IFERROR(HLOOKUP(C238,Input!$C$312:$L$335,H238,FALSE),"NA")), "")</f>
        <v>BBB</v>
      </c>
      <c r="G238">
        <f t="shared" si="6"/>
        <v>2</v>
      </c>
      <c r="H238">
        <f t="shared" si="7"/>
        <v>8</v>
      </c>
    </row>
    <row r="239" spans="1:8" x14ac:dyDescent="0.35">
      <c r="A239" t="str">
        <f>Input!H$229</f>
        <v>Financials</v>
      </c>
      <c r="B239">
        <f>Input!F234</f>
        <v>0</v>
      </c>
      <c r="C239">
        <f>Input!F$191</f>
        <v>4</v>
      </c>
      <c r="D239" t="str">
        <f>Input!B$194</f>
        <v>5.01 to 10</v>
      </c>
      <c r="E239" s="9">
        <f>Input!E$229</f>
        <v>2</v>
      </c>
      <c r="F239" t="str">
        <f>IF(B239&lt;&gt;"",IF(C239="NA",Lists!$D$9,IFERROR(HLOOKUP(C239,Input!$C$312:$L$335,H239,FALSE),"NA")), "")</f>
        <v>BBB</v>
      </c>
      <c r="G239">
        <f t="shared" si="6"/>
        <v>3</v>
      </c>
      <c r="H239">
        <f t="shared" si="7"/>
        <v>8</v>
      </c>
    </row>
    <row r="240" spans="1:8" x14ac:dyDescent="0.35">
      <c r="A240" t="str">
        <f>Input!H$229</f>
        <v>Financials</v>
      </c>
      <c r="B240">
        <f>Input!F235</f>
        <v>0</v>
      </c>
      <c r="C240">
        <f>Input!F$191</f>
        <v>4</v>
      </c>
      <c r="D240" t="str">
        <f>Input!B$195</f>
        <v>10.01 to 20</v>
      </c>
      <c r="E240" s="9">
        <f>Input!E$229</f>
        <v>2</v>
      </c>
      <c r="F240" t="str">
        <f>IF(B240&lt;&gt;"",IF(C240="NA",Lists!$D$9,IFERROR(HLOOKUP(C240,Input!$C$312:$L$335,H240,FALSE),"NA")), "")</f>
        <v>BBB</v>
      </c>
      <c r="G240">
        <f t="shared" si="6"/>
        <v>4</v>
      </c>
      <c r="H240">
        <f t="shared" si="7"/>
        <v>8</v>
      </c>
    </row>
    <row r="241" spans="1:8" x14ac:dyDescent="0.35">
      <c r="A241" t="str">
        <f>Input!H$229</f>
        <v>Financials</v>
      </c>
      <c r="B241">
        <f>Input!F236</f>
        <v>0</v>
      </c>
      <c r="C241">
        <f>Input!F$191</f>
        <v>4</v>
      </c>
      <c r="D241" t="str">
        <f>Input!B$196</f>
        <v>More than 20</v>
      </c>
      <c r="E241" s="9">
        <f>Input!E$229</f>
        <v>2</v>
      </c>
      <c r="F241" t="str">
        <f>IF(B241&lt;&gt;"",IF(C241="NA",Lists!$D$9,IFERROR(HLOOKUP(C241,Input!$C$312:$L$335,H241,FALSE),"NA")), "")</f>
        <v>BBB</v>
      </c>
      <c r="G241">
        <f t="shared" si="6"/>
        <v>5</v>
      </c>
      <c r="H241">
        <f t="shared" si="7"/>
        <v>8</v>
      </c>
    </row>
    <row r="242" spans="1:8" x14ac:dyDescent="0.35">
      <c r="A242" t="str">
        <f>Input!H$229</f>
        <v>Financials</v>
      </c>
      <c r="B242">
        <f>Input!G232</f>
        <v>0</v>
      </c>
      <c r="C242">
        <f>Input!G$191</f>
        <v>5</v>
      </c>
      <c r="D242" t="str">
        <f>Input!B$192</f>
        <v>Upto 1</v>
      </c>
      <c r="E242" s="9">
        <f>Input!E$229</f>
        <v>2</v>
      </c>
      <c r="F242" t="str">
        <f>IF(B242&lt;&gt;"",IF(C242="NA",Lists!$D$9,IFERROR(HLOOKUP(C242,Input!$C$312:$L$335,H242,FALSE),"NA")), "")</f>
        <v>BBB</v>
      </c>
      <c r="G242">
        <f t="shared" si="6"/>
        <v>1</v>
      </c>
      <c r="H242">
        <f t="shared" si="7"/>
        <v>8</v>
      </c>
    </row>
    <row r="243" spans="1:8" x14ac:dyDescent="0.35">
      <c r="A243" t="str">
        <f>Input!H$229</f>
        <v>Financials</v>
      </c>
      <c r="B243">
        <f>Input!G233</f>
        <v>0</v>
      </c>
      <c r="C243">
        <f>Input!G$191</f>
        <v>5</v>
      </c>
      <c r="D243" t="str">
        <f>Input!B$193</f>
        <v>1.01 to 5</v>
      </c>
      <c r="E243" s="9">
        <f>Input!E$229</f>
        <v>2</v>
      </c>
      <c r="F243" t="str">
        <f>IF(B243&lt;&gt;"",IF(C243="NA",Lists!$D$9,IFERROR(HLOOKUP(C243,Input!$C$312:$L$335,H243,FALSE),"NA")), "")</f>
        <v>BBB</v>
      </c>
      <c r="G243">
        <f t="shared" si="6"/>
        <v>2</v>
      </c>
      <c r="H243">
        <f t="shared" si="7"/>
        <v>8</v>
      </c>
    </row>
    <row r="244" spans="1:8" x14ac:dyDescent="0.35">
      <c r="A244" t="str">
        <f>Input!H$229</f>
        <v>Financials</v>
      </c>
      <c r="B244">
        <f>Input!G234</f>
        <v>0</v>
      </c>
      <c r="C244">
        <f>Input!G$191</f>
        <v>5</v>
      </c>
      <c r="D244" t="str">
        <f>Input!B$194</f>
        <v>5.01 to 10</v>
      </c>
      <c r="E244" s="9">
        <f>Input!E$229</f>
        <v>2</v>
      </c>
      <c r="F244" t="str">
        <f>IF(B244&lt;&gt;"",IF(C244="NA",Lists!$D$9,IFERROR(HLOOKUP(C244,Input!$C$312:$L$335,H244,FALSE),"NA")), "")</f>
        <v>BBB</v>
      </c>
      <c r="G244">
        <f t="shared" si="6"/>
        <v>3</v>
      </c>
      <c r="H244">
        <f t="shared" si="7"/>
        <v>8</v>
      </c>
    </row>
    <row r="245" spans="1:8" x14ac:dyDescent="0.35">
      <c r="A245" t="str">
        <f>Input!H$229</f>
        <v>Financials</v>
      </c>
      <c r="B245">
        <f>Input!G235</f>
        <v>0</v>
      </c>
      <c r="C245">
        <f>Input!G$191</f>
        <v>5</v>
      </c>
      <c r="D245" t="str">
        <f>Input!B$195</f>
        <v>10.01 to 20</v>
      </c>
      <c r="E245" s="9">
        <f>Input!E$229</f>
        <v>2</v>
      </c>
      <c r="F245" t="str">
        <f>IF(B245&lt;&gt;"",IF(C245="NA",Lists!$D$9,IFERROR(HLOOKUP(C245,Input!$C$312:$L$335,H245,FALSE),"NA")), "")</f>
        <v>BBB</v>
      </c>
      <c r="G245">
        <f t="shared" si="6"/>
        <v>4</v>
      </c>
      <c r="H245">
        <f t="shared" si="7"/>
        <v>8</v>
      </c>
    </row>
    <row r="246" spans="1:8" x14ac:dyDescent="0.35">
      <c r="A246" t="str">
        <f>Input!H$229</f>
        <v>Financials</v>
      </c>
      <c r="B246">
        <f>Input!G236</f>
        <v>0</v>
      </c>
      <c r="C246">
        <f>Input!G$191</f>
        <v>5</v>
      </c>
      <c r="D246" t="str">
        <f>Input!B$196</f>
        <v>More than 20</v>
      </c>
      <c r="E246" s="9">
        <f>Input!E$229</f>
        <v>2</v>
      </c>
      <c r="F246" t="str">
        <f>IF(B246&lt;&gt;"",IF(C246="NA",Lists!$D$9,IFERROR(HLOOKUP(C246,Input!$C$312:$L$335,H246,FALSE),"NA")), "")</f>
        <v>BBB</v>
      </c>
      <c r="G246">
        <f t="shared" si="6"/>
        <v>5</v>
      </c>
      <c r="H246">
        <f t="shared" si="7"/>
        <v>8</v>
      </c>
    </row>
    <row r="247" spans="1:8" x14ac:dyDescent="0.35">
      <c r="A247" t="str">
        <f>Input!H$229</f>
        <v>Financials</v>
      </c>
      <c r="B247">
        <f>Input!H232</f>
        <v>0</v>
      </c>
      <c r="C247">
        <f>Input!H$191</f>
        <v>6</v>
      </c>
      <c r="D247" t="str">
        <f>Input!B$192</f>
        <v>Upto 1</v>
      </c>
      <c r="E247" s="9">
        <f>Input!E$229</f>
        <v>2</v>
      </c>
      <c r="F247" t="str">
        <f>IF(B247&lt;&gt;"",IF(C247="NA",Lists!$D$9,IFERROR(HLOOKUP(C247,Input!$C$312:$L$335,H247,FALSE),"NA")), "")</f>
        <v>BB</v>
      </c>
      <c r="G247">
        <f t="shared" si="6"/>
        <v>1</v>
      </c>
      <c r="H247">
        <f t="shared" si="7"/>
        <v>8</v>
      </c>
    </row>
    <row r="248" spans="1:8" x14ac:dyDescent="0.35">
      <c r="A248" t="str">
        <f>Input!H$229</f>
        <v>Financials</v>
      </c>
      <c r="B248">
        <f>Input!H233</f>
        <v>0</v>
      </c>
      <c r="C248">
        <f>Input!H$191</f>
        <v>6</v>
      </c>
      <c r="D248" t="str">
        <f>Input!B$193</f>
        <v>1.01 to 5</v>
      </c>
      <c r="E248" s="9">
        <f>Input!E$229</f>
        <v>2</v>
      </c>
      <c r="F248" t="str">
        <f>IF(B248&lt;&gt;"",IF(C248="NA",Lists!$D$9,IFERROR(HLOOKUP(C248,Input!$C$312:$L$335,H248,FALSE),"NA")), "")</f>
        <v>BB</v>
      </c>
      <c r="G248">
        <f t="shared" si="6"/>
        <v>2</v>
      </c>
      <c r="H248">
        <f t="shared" si="7"/>
        <v>8</v>
      </c>
    </row>
    <row r="249" spans="1:8" x14ac:dyDescent="0.35">
      <c r="A249" t="str">
        <f>Input!H$229</f>
        <v>Financials</v>
      </c>
      <c r="B249">
        <f>Input!H234</f>
        <v>0</v>
      </c>
      <c r="C249">
        <f>Input!H$191</f>
        <v>6</v>
      </c>
      <c r="D249" t="str">
        <f>Input!B$194</f>
        <v>5.01 to 10</v>
      </c>
      <c r="E249" s="9">
        <f>Input!E$229</f>
        <v>2</v>
      </c>
      <c r="F249" t="str">
        <f>IF(B249&lt;&gt;"",IF(C249="NA",Lists!$D$9,IFERROR(HLOOKUP(C249,Input!$C$312:$L$335,H249,FALSE),"NA")), "")</f>
        <v>BB</v>
      </c>
      <c r="G249">
        <f t="shared" si="6"/>
        <v>3</v>
      </c>
      <c r="H249">
        <f t="shared" si="7"/>
        <v>8</v>
      </c>
    </row>
    <row r="250" spans="1:8" x14ac:dyDescent="0.35">
      <c r="A250" t="str">
        <f>Input!H$229</f>
        <v>Financials</v>
      </c>
      <c r="B250">
        <f>Input!H235</f>
        <v>0</v>
      </c>
      <c r="C250">
        <f>Input!H$191</f>
        <v>6</v>
      </c>
      <c r="D250" t="str">
        <f>Input!B$195</f>
        <v>10.01 to 20</v>
      </c>
      <c r="E250" s="9">
        <f>Input!E$229</f>
        <v>2</v>
      </c>
      <c r="F250" t="str">
        <f>IF(B250&lt;&gt;"",IF(C250="NA",Lists!$D$9,IFERROR(HLOOKUP(C250,Input!$C$312:$L$335,H250,FALSE),"NA")), "")</f>
        <v>BB</v>
      </c>
      <c r="G250">
        <f t="shared" si="6"/>
        <v>4</v>
      </c>
      <c r="H250">
        <f t="shared" si="7"/>
        <v>8</v>
      </c>
    </row>
    <row r="251" spans="1:8" x14ac:dyDescent="0.35">
      <c r="A251" t="str">
        <f>Input!H$229</f>
        <v>Financials</v>
      </c>
      <c r="B251">
        <f>Input!H236</f>
        <v>0</v>
      </c>
      <c r="C251">
        <f>Input!H$191</f>
        <v>6</v>
      </c>
      <c r="D251" t="str">
        <f>Input!B$196</f>
        <v>More than 20</v>
      </c>
      <c r="E251" s="9">
        <f>Input!E$229</f>
        <v>2</v>
      </c>
      <c r="F251" t="str">
        <f>IF(B251&lt;&gt;"",IF(C251="NA",Lists!$D$9,IFERROR(HLOOKUP(C251,Input!$C$312:$L$335,H251,FALSE),"NA")), "")</f>
        <v>BB</v>
      </c>
      <c r="G251">
        <f t="shared" si="6"/>
        <v>5</v>
      </c>
      <c r="H251">
        <f t="shared" si="7"/>
        <v>8</v>
      </c>
    </row>
    <row r="252" spans="1:8" x14ac:dyDescent="0.35">
      <c r="A252" t="str">
        <f>Input!H$229</f>
        <v>Financials</v>
      </c>
      <c r="B252">
        <f>Input!I232</f>
        <v>0</v>
      </c>
      <c r="C252">
        <f>Input!I$191</f>
        <v>7</v>
      </c>
      <c r="D252" t="str">
        <f>Input!B$192</f>
        <v>Upto 1</v>
      </c>
      <c r="E252" s="9">
        <f>Input!E$229</f>
        <v>2</v>
      </c>
      <c r="F252" t="str">
        <f>IF(B252&lt;&gt;"",IF(C252="NA",Lists!$D$9,IFERROR(HLOOKUP(C252,Input!$C$312:$L$335,H252,FALSE),"NA")), "")</f>
        <v>BB</v>
      </c>
      <c r="G252">
        <f t="shared" si="6"/>
        <v>1</v>
      </c>
      <c r="H252">
        <f t="shared" si="7"/>
        <v>8</v>
      </c>
    </row>
    <row r="253" spans="1:8" x14ac:dyDescent="0.35">
      <c r="A253" t="str">
        <f>Input!H$229</f>
        <v>Financials</v>
      </c>
      <c r="B253">
        <f>Input!I233</f>
        <v>0</v>
      </c>
      <c r="C253">
        <f>Input!I$191</f>
        <v>7</v>
      </c>
      <c r="D253" t="str">
        <f>Input!B$193</f>
        <v>1.01 to 5</v>
      </c>
      <c r="E253" s="9">
        <f>Input!E$229</f>
        <v>2</v>
      </c>
      <c r="F253" t="str">
        <f>IF(B253&lt;&gt;"",IF(C253="NA",Lists!$D$9,IFERROR(HLOOKUP(C253,Input!$C$312:$L$335,H253,FALSE),"NA")), "")</f>
        <v>BB</v>
      </c>
      <c r="G253">
        <f t="shared" si="6"/>
        <v>2</v>
      </c>
      <c r="H253">
        <f t="shared" si="7"/>
        <v>8</v>
      </c>
    </row>
    <row r="254" spans="1:8" x14ac:dyDescent="0.35">
      <c r="A254" t="str">
        <f>Input!H$229</f>
        <v>Financials</v>
      </c>
      <c r="B254">
        <f>Input!I234</f>
        <v>0</v>
      </c>
      <c r="C254">
        <f>Input!I$191</f>
        <v>7</v>
      </c>
      <c r="D254" t="str">
        <f>Input!B$194</f>
        <v>5.01 to 10</v>
      </c>
      <c r="E254" s="9">
        <f>Input!E$229</f>
        <v>2</v>
      </c>
      <c r="F254" t="str">
        <f>IF(B254&lt;&gt;"",IF(C254="NA",Lists!$D$9,IFERROR(HLOOKUP(C254,Input!$C$312:$L$335,H254,FALSE),"NA")), "")</f>
        <v>BB</v>
      </c>
      <c r="G254">
        <f t="shared" si="6"/>
        <v>3</v>
      </c>
      <c r="H254">
        <f t="shared" si="7"/>
        <v>8</v>
      </c>
    </row>
    <row r="255" spans="1:8" x14ac:dyDescent="0.35">
      <c r="A255" t="str">
        <f>Input!H$229</f>
        <v>Financials</v>
      </c>
      <c r="B255">
        <f>Input!I235</f>
        <v>0</v>
      </c>
      <c r="C255">
        <f>Input!I$191</f>
        <v>7</v>
      </c>
      <c r="D255" t="str">
        <f>Input!B$195</f>
        <v>10.01 to 20</v>
      </c>
      <c r="E255" s="9">
        <f>Input!E$229</f>
        <v>2</v>
      </c>
      <c r="F255" t="str">
        <f>IF(B255&lt;&gt;"",IF(C255="NA",Lists!$D$9,IFERROR(HLOOKUP(C255,Input!$C$312:$L$335,H255,FALSE),"NA")), "")</f>
        <v>BB</v>
      </c>
      <c r="G255">
        <f t="shared" si="6"/>
        <v>4</v>
      </c>
      <c r="H255">
        <f t="shared" si="7"/>
        <v>8</v>
      </c>
    </row>
    <row r="256" spans="1:8" x14ac:dyDescent="0.35">
      <c r="A256" t="str">
        <f>Input!H$229</f>
        <v>Financials</v>
      </c>
      <c r="B256">
        <f>Input!I236</f>
        <v>0</v>
      </c>
      <c r="C256">
        <f>Input!I$191</f>
        <v>7</v>
      </c>
      <c r="D256" t="str">
        <f>Input!B$196</f>
        <v>More than 20</v>
      </c>
      <c r="E256" s="9">
        <f>Input!E$229</f>
        <v>2</v>
      </c>
      <c r="F256" t="str">
        <f>IF(B256&lt;&gt;"",IF(C256="NA",Lists!$D$9,IFERROR(HLOOKUP(C256,Input!$C$312:$L$335,H256,FALSE),"NA")), "")</f>
        <v>BB</v>
      </c>
      <c r="G256">
        <f t="shared" si="6"/>
        <v>5</v>
      </c>
      <c r="H256">
        <f t="shared" si="7"/>
        <v>8</v>
      </c>
    </row>
    <row r="257" spans="1:8" x14ac:dyDescent="0.35">
      <c r="A257" t="str">
        <f>Input!H$229</f>
        <v>Financials</v>
      </c>
      <c r="B257">
        <f>Input!J232</f>
        <v>0</v>
      </c>
      <c r="C257">
        <f>Input!J$191</f>
        <v>8</v>
      </c>
      <c r="D257" t="str">
        <f>Input!B$192</f>
        <v>Upto 1</v>
      </c>
      <c r="E257" s="9">
        <f>Input!E$229</f>
        <v>2</v>
      </c>
      <c r="F257" t="str">
        <f>IF(B257&lt;&gt;"",IF(C257="NA",Lists!$D$9,IFERROR(HLOOKUP(C257,Input!$C$312:$L$335,H257,FALSE),"NA")), "")</f>
        <v>B</v>
      </c>
      <c r="G257">
        <f t="shared" si="6"/>
        <v>1</v>
      </c>
      <c r="H257">
        <f t="shared" si="7"/>
        <v>8</v>
      </c>
    </row>
    <row r="258" spans="1:8" x14ac:dyDescent="0.35">
      <c r="A258" t="str">
        <f>Input!H$229</f>
        <v>Financials</v>
      </c>
      <c r="B258">
        <f>Input!J233</f>
        <v>0</v>
      </c>
      <c r="C258">
        <f>Input!J$191</f>
        <v>8</v>
      </c>
      <c r="D258" t="str">
        <f>Input!B$193</f>
        <v>1.01 to 5</v>
      </c>
      <c r="E258" s="9">
        <f>Input!E$229</f>
        <v>2</v>
      </c>
      <c r="F258" t="str">
        <f>IF(B258&lt;&gt;"",IF(C258="NA",Lists!$D$9,IFERROR(HLOOKUP(C258,Input!$C$312:$L$335,H258,FALSE),"NA")), "")</f>
        <v>B</v>
      </c>
      <c r="G258">
        <f t="shared" ref="G258:G321" si="8">IFERROR(MATCH(D258,lov_term_buckets,0),"")</f>
        <v>2</v>
      </c>
      <c r="H258">
        <f t="shared" si="7"/>
        <v>8</v>
      </c>
    </row>
    <row r="259" spans="1:8" x14ac:dyDescent="0.35">
      <c r="A259" t="str">
        <f>Input!H$229</f>
        <v>Financials</v>
      </c>
      <c r="B259">
        <f>Input!J234</f>
        <v>0</v>
      </c>
      <c r="C259">
        <f>Input!J$191</f>
        <v>8</v>
      </c>
      <c r="D259" t="str">
        <f>Input!B$194</f>
        <v>5.01 to 10</v>
      </c>
      <c r="E259" s="9">
        <f>Input!E$229</f>
        <v>2</v>
      </c>
      <c r="F259" t="str">
        <f>IF(B259&lt;&gt;"",IF(C259="NA",Lists!$D$9,IFERROR(HLOOKUP(C259,Input!$C$312:$L$335,H259,FALSE),"NA")), "")</f>
        <v>B</v>
      </c>
      <c r="G259">
        <f t="shared" si="8"/>
        <v>3</v>
      </c>
      <c r="H259">
        <f t="shared" ref="H259:H322" si="9">INDEX($L$2:$L$8,MATCH(A259,$K$2:$K$8,0))</f>
        <v>8</v>
      </c>
    </row>
    <row r="260" spans="1:8" x14ac:dyDescent="0.35">
      <c r="A260" t="str">
        <f>Input!H$229</f>
        <v>Financials</v>
      </c>
      <c r="B260">
        <f>Input!J235</f>
        <v>0</v>
      </c>
      <c r="C260">
        <f>Input!J$191</f>
        <v>8</v>
      </c>
      <c r="D260" t="str">
        <f>Input!B$195</f>
        <v>10.01 to 20</v>
      </c>
      <c r="E260" s="9">
        <f>Input!E$229</f>
        <v>2</v>
      </c>
      <c r="F260" t="str">
        <f>IF(B260&lt;&gt;"",IF(C260="NA",Lists!$D$9,IFERROR(HLOOKUP(C260,Input!$C$312:$L$335,H260,FALSE),"NA")), "")</f>
        <v>B</v>
      </c>
      <c r="G260">
        <f t="shared" si="8"/>
        <v>4</v>
      </c>
      <c r="H260">
        <f t="shared" si="9"/>
        <v>8</v>
      </c>
    </row>
    <row r="261" spans="1:8" x14ac:dyDescent="0.35">
      <c r="A261" t="str">
        <f>Input!H$229</f>
        <v>Financials</v>
      </c>
      <c r="B261">
        <f>Input!J236</f>
        <v>0</v>
      </c>
      <c r="C261">
        <f>Input!J$191</f>
        <v>8</v>
      </c>
      <c r="D261" t="str">
        <f>Input!B$196</f>
        <v>More than 20</v>
      </c>
      <c r="E261" s="9">
        <f>Input!E$229</f>
        <v>2</v>
      </c>
      <c r="F261" t="str">
        <f>IF(B261&lt;&gt;"",IF(C261="NA",Lists!$D$9,IFERROR(HLOOKUP(C261,Input!$C$312:$L$335,H261,FALSE),"NA")), "")</f>
        <v>B</v>
      </c>
      <c r="G261">
        <f t="shared" si="8"/>
        <v>5</v>
      </c>
      <c r="H261">
        <f t="shared" si="9"/>
        <v>8</v>
      </c>
    </row>
    <row r="262" spans="1:8" x14ac:dyDescent="0.35">
      <c r="A262" t="str">
        <f>Input!H$229</f>
        <v>Financials</v>
      </c>
      <c r="B262">
        <f>Input!K232</f>
        <v>0</v>
      </c>
      <c r="C262">
        <f>Input!K$191</f>
        <v>9</v>
      </c>
      <c r="D262" t="str">
        <f>Input!B$192</f>
        <v>Upto 1</v>
      </c>
      <c r="E262" s="9">
        <f>Input!E$229</f>
        <v>2</v>
      </c>
      <c r="F262" t="str">
        <f>IF(B262&lt;&gt;"",IF(C262="NA",Lists!$D$9,IFERROR(HLOOKUP(C262,Input!$C$312:$L$335,H262,FALSE),"NA")), "")</f>
        <v>B</v>
      </c>
      <c r="G262">
        <f t="shared" si="8"/>
        <v>1</v>
      </c>
      <c r="H262">
        <f t="shared" si="9"/>
        <v>8</v>
      </c>
    </row>
    <row r="263" spans="1:8" x14ac:dyDescent="0.35">
      <c r="A263" t="str">
        <f>Input!H$229</f>
        <v>Financials</v>
      </c>
      <c r="B263">
        <f>Input!K233</f>
        <v>0</v>
      </c>
      <c r="C263">
        <f>Input!K$191</f>
        <v>9</v>
      </c>
      <c r="D263" t="str">
        <f>Input!B$193</f>
        <v>1.01 to 5</v>
      </c>
      <c r="E263" s="9">
        <f>Input!E$229</f>
        <v>2</v>
      </c>
      <c r="F263" t="str">
        <f>IF(B263&lt;&gt;"",IF(C263="NA",Lists!$D$9,IFERROR(HLOOKUP(C263,Input!$C$312:$L$335,H263,FALSE),"NA")), "")</f>
        <v>B</v>
      </c>
      <c r="G263">
        <f t="shared" si="8"/>
        <v>2</v>
      </c>
      <c r="H263">
        <f t="shared" si="9"/>
        <v>8</v>
      </c>
    </row>
    <row r="264" spans="1:8" x14ac:dyDescent="0.35">
      <c r="A264" t="str">
        <f>Input!H$229</f>
        <v>Financials</v>
      </c>
      <c r="B264">
        <f>Input!K234</f>
        <v>0</v>
      </c>
      <c r="C264">
        <f>Input!K$191</f>
        <v>9</v>
      </c>
      <c r="D264" t="str">
        <f>Input!B$194</f>
        <v>5.01 to 10</v>
      </c>
      <c r="E264" s="9">
        <f>Input!E$229</f>
        <v>2</v>
      </c>
      <c r="F264" t="str">
        <f>IF(B264&lt;&gt;"",IF(C264="NA",Lists!$D$9,IFERROR(HLOOKUP(C264,Input!$C$312:$L$335,H264,FALSE),"NA")), "")</f>
        <v>B</v>
      </c>
      <c r="G264">
        <f t="shared" si="8"/>
        <v>3</v>
      </c>
      <c r="H264">
        <f t="shared" si="9"/>
        <v>8</v>
      </c>
    </row>
    <row r="265" spans="1:8" x14ac:dyDescent="0.35">
      <c r="A265" t="str">
        <f>Input!H$229</f>
        <v>Financials</v>
      </c>
      <c r="B265">
        <f>Input!K235</f>
        <v>0</v>
      </c>
      <c r="C265">
        <f>Input!K$191</f>
        <v>9</v>
      </c>
      <c r="D265" t="str">
        <f>Input!B$195</f>
        <v>10.01 to 20</v>
      </c>
      <c r="E265" s="9">
        <f>Input!E$229</f>
        <v>2</v>
      </c>
      <c r="F265" t="str">
        <f>IF(B265&lt;&gt;"",IF(C265="NA",Lists!$D$9,IFERROR(HLOOKUP(C265,Input!$C$312:$L$335,H265,FALSE),"NA")), "")</f>
        <v>B</v>
      </c>
      <c r="G265">
        <f t="shared" si="8"/>
        <v>4</v>
      </c>
      <c r="H265">
        <f t="shared" si="9"/>
        <v>8</v>
      </c>
    </row>
    <row r="266" spans="1:8" x14ac:dyDescent="0.35">
      <c r="A266" t="str">
        <f>Input!H$229</f>
        <v>Financials</v>
      </c>
      <c r="B266">
        <f>Input!K236</f>
        <v>0</v>
      </c>
      <c r="C266">
        <f>Input!K$191</f>
        <v>9</v>
      </c>
      <c r="D266" t="str">
        <f>Input!B$196</f>
        <v>More than 20</v>
      </c>
      <c r="E266" s="9">
        <f>Input!E$229</f>
        <v>2</v>
      </c>
      <c r="F266" t="str">
        <f>IF(B266&lt;&gt;"",IF(C266="NA",Lists!$D$9,IFERROR(HLOOKUP(C266,Input!$C$312:$L$335,H266,FALSE),"NA")), "")</f>
        <v>B</v>
      </c>
      <c r="G266">
        <f t="shared" si="8"/>
        <v>5</v>
      </c>
      <c r="H266">
        <f t="shared" si="9"/>
        <v>8</v>
      </c>
    </row>
    <row r="267" spans="1:8" x14ac:dyDescent="0.35">
      <c r="A267" t="str">
        <f>Input!H$229</f>
        <v>Financials</v>
      </c>
      <c r="B267">
        <f>Input!L232</f>
        <v>0</v>
      </c>
      <c r="C267">
        <f>Input!L$191</f>
        <v>10</v>
      </c>
      <c r="D267" t="str">
        <f>Input!B$192</f>
        <v>Upto 1</v>
      </c>
      <c r="E267" s="9">
        <f>Input!E$229</f>
        <v>2</v>
      </c>
      <c r="F267" t="str">
        <f>IF(B267&lt;&gt;"",IF(C267="NA",Lists!$D$9,IFERROR(HLOOKUP(C267,Input!$C$312:$L$335,H267,FALSE),"NA")), "")</f>
        <v>CCC-C</v>
      </c>
      <c r="G267">
        <f t="shared" si="8"/>
        <v>1</v>
      </c>
      <c r="H267">
        <f t="shared" si="9"/>
        <v>8</v>
      </c>
    </row>
    <row r="268" spans="1:8" x14ac:dyDescent="0.35">
      <c r="A268" t="str">
        <f>Input!H$229</f>
        <v>Financials</v>
      </c>
      <c r="B268">
        <f>Input!L233</f>
        <v>0</v>
      </c>
      <c r="C268">
        <f>Input!L$191</f>
        <v>10</v>
      </c>
      <c r="D268" t="str">
        <f>Input!B$193</f>
        <v>1.01 to 5</v>
      </c>
      <c r="E268" s="9">
        <f>Input!E$229</f>
        <v>2</v>
      </c>
      <c r="F268" t="str">
        <f>IF(B268&lt;&gt;"",IF(C268="NA",Lists!$D$9,IFERROR(HLOOKUP(C268,Input!$C$312:$L$335,H268,FALSE),"NA")), "")</f>
        <v>CCC-C</v>
      </c>
      <c r="G268">
        <f t="shared" si="8"/>
        <v>2</v>
      </c>
      <c r="H268">
        <f t="shared" si="9"/>
        <v>8</v>
      </c>
    </row>
    <row r="269" spans="1:8" x14ac:dyDescent="0.35">
      <c r="A269" t="str">
        <f>Input!H$229</f>
        <v>Financials</v>
      </c>
      <c r="B269">
        <f>Input!L234</f>
        <v>0</v>
      </c>
      <c r="C269">
        <f>Input!L$191</f>
        <v>10</v>
      </c>
      <c r="D269" t="str">
        <f>Input!B$194</f>
        <v>5.01 to 10</v>
      </c>
      <c r="E269" s="9">
        <f>Input!E$229</f>
        <v>2</v>
      </c>
      <c r="F269" t="str">
        <f>IF(B269&lt;&gt;"",IF(C269="NA",Lists!$D$9,IFERROR(HLOOKUP(C269,Input!$C$312:$L$335,H269,FALSE),"NA")), "")</f>
        <v>CCC-C</v>
      </c>
      <c r="G269">
        <f t="shared" si="8"/>
        <v>3</v>
      </c>
      <c r="H269">
        <f t="shared" si="9"/>
        <v>8</v>
      </c>
    </row>
    <row r="270" spans="1:8" x14ac:dyDescent="0.35">
      <c r="A270" t="str">
        <f>Input!H$229</f>
        <v>Financials</v>
      </c>
      <c r="B270">
        <f>Input!L235</f>
        <v>0</v>
      </c>
      <c r="C270">
        <f>Input!L$191</f>
        <v>10</v>
      </c>
      <c r="D270" t="str">
        <f>Input!B$195</f>
        <v>10.01 to 20</v>
      </c>
      <c r="E270" s="9">
        <f>Input!E$229</f>
        <v>2</v>
      </c>
      <c r="F270" t="str">
        <f>IF(B270&lt;&gt;"",IF(C270="NA",Lists!$D$9,IFERROR(HLOOKUP(C270,Input!$C$312:$L$335,H270,FALSE),"NA")), "")</f>
        <v>CCC-C</v>
      </c>
      <c r="G270">
        <f t="shared" si="8"/>
        <v>4</v>
      </c>
      <c r="H270">
        <f t="shared" si="9"/>
        <v>8</v>
      </c>
    </row>
    <row r="271" spans="1:8" x14ac:dyDescent="0.35">
      <c r="A271" t="str">
        <f>Input!H$229</f>
        <v>Financials</v>
      </c>
      <c r="B271">
        <f>Input!L236</f>
        <v>0</v>
      </c>
      <c r="C271">
        <f>Input!L$191</f>
        <v>10</v>
      </c>
      <c r="D271" t="str">
        <f>Input!B$196</f>
        <v>More than 20</v>
      </c>
      <c r="E271" s="9">
        <f>Input!E$229</f>
        <v>2</v>
      </c>
      <c r="F271" t="str">
        <f>IF(B271&lt;&gt;"",IF(C271="NA",Lists!$D$9,IFERROR(HLOOKUP(C271,Input!$C$312:$L$335,H271,FALSE),"NA")), "")</f>
        <v>CCC-C</v>
      </c>
      <c r="G271">
        <f t="shared" si="8"/>
        <v>5</v>
      </c>
      <c r="H271">
        <f t="shared" si="9"/>
        <v>8</v>
      </c>
    </row>
    <row r="272" spans="1:8" x14ac:dyDescent="0.35">
      <c r="A272" t="str">
        <f>Input!H$229</f>
        <v>Financials</v>
      </c>
      <c r="B272">
        <f>Input!M232</f>
        <v>0</v>
      </c>
      <c r="C272" t="str">
        <f>Input!M$191</f>
        <v>NA</v>
      </c>
      <c r="D272" t="str">
        <f>Input!B$192</f>
        <v>Upto 1</v>
      </c>
      <c r="E272" s="9">
        <f>Input!E$229</f>
        <v>2</v>
      </c>
      <c r="F272" t="str">
        <f>IF(B272&lt;&gt;"",IF(C272="NA",Lists!$D$9,IFERROR(HLOOKUP(C272,Input!$C$312:$L$335,H272,FALSE),"NA")), "")</f>
        <v>CCC-C</v>
      </c>
      <c r="G272">
        <f t="shared" si="8"/>
        <v>1</v>
      </c>
      <c r="H272">
        <f t="shared" si="9"/>
        <v>8</v>
      </c>
    </row>
    <row r="273" spans="1:8" x14ac:dyDescent="0.35">
      <c r="A273" t="str">
        <f>Input!H$229</f>
        <v>Financials</v>
      </c>
      <c r="B273">
        <f>Input!M233</f>
        <v>0</v>
      </c>
      <c r="C273" t="str">
        <f>Input!M$191</f>
        <v>NA</v>
      </c>
      <c r="D273" t="str">
        <f>Input!B$193</f>
        <v>1.01 to 5</v>
      </c>
      <c r="E273" s="9">
        <f>Input!E$229</f>
        <v>2</v>
      </c>
      <c r="F273" t="str">
        <f>IF(B273&lt;&gt;"",IF(C273="NA",Lists!$D$9,IFERROR(HLOOKUP(C273,Input!$C$312:$L$335,H273,FALSE),"NA")), "")</f>
        <v>CCC-C</v>
      </c>
      <c r="G273">
        <f t="shared" si="8"/>
        <v>2</v>
      </c>
      <c r="H273">
        <f t="shared" si="9"/>
        <v>8</v>
      </c>
    </row>
    <row r="274" spans="1:8" x14ac:dyDescent="0.35">
      <c r="A274" t="str">
        <f>Input!H$229</f>
        <v>Financials</v>
      </c>
      <c r="B274">
        <f>Input!M234</f>
        <v>0</v>
      </c>
      <c r="C274" t="str">
        <f>Input!M$191</f>
        <v>NA</v>
      </c>
      <c r="D274" t="str">
        <f>Input!B$194</f>
        <v>5.01 to 10</v>
      </c>
      <c r="E274" s="9">
        <f>Input!E$229</f>
        <v>2</v>
      </c>
      <c r="F274" t="str">
        <f>IF(B274&lt;&gt;"",IF(C274="NA",Lists!$D$9,IFERROR(HLOOKUP(C274,Input!$C$312:$L$335,H274,FALSE),"NA")), "")</f>
        <v>CCC-C</v>
      </c>
      <c r="G274">
        <f t="shared" si="8"/>
        <v>3</v>
      </c>
      <c r="H274">
        <f t="shared" si="9"/>
        <v>8</v>
      </c>
    </row>
    <row r="275" spans="1:8" x14ac:dyDescent="0.35">
      <c r="A275" t="str">
        <f>Input!H$229</f>
        <v>Financials</v>
      </c>
      <c r="B275">
        <f>Input!M235</f>
        <v>0</v>
      </c>
      <c r="C275" t="str">
        <f>Input!M$191</f>
        <v>NA</v>
      </c>
      <c r="D275" t="str">
        <f>Input!B$195</f>
        <v>10.01 to 20</v>
      </c>
      <c r="E275" s="9">
        <f>Input!E$229</f>
        <v>2</v>
      </c>
      <c r="F275" t="str">
        <f>IF(B275&lt;&gt;"",IF(C275="NA",Lists!$D$9,IFERROR(HLOOKUP(C275,Input!$C$312:$L$335,H275,FALSE),"NA")), "")</f>
        <v>CCC-C</v>
      </c>
      <c r="G275">
        <f t="shared" si="8"/>
        <v>4</v>
      </c>
      <c r="H275">
        <f t="shared" si="9"/>
        <v>8</v>
      </c>
    </row>
    <row r="276" spans="1:8" x14ac:dyDescent="0.35">
      <c r="A276" t="str">
        <f>Input!H$229</f>
        <v>Financials</v>
      </c>
      <c r="B276">
        <f>Input!M236</f>
        <v>0</v>
      </c>
      <c r="C276" t="str">
        <f>Input!M$191</f>
        <v>NA</v>
      </c>
      <c r="D276" t="str">
        <f>Input!B$196</f>
        <v>More than 20</v>
      </c>
      <c r="E276" s="9">
        <f>Input!E$229</f>
        <v>2</v>
      </c>
      <c r="F276" t="str">
        <f>IF(B276&lt;&gt;"",IF(C276="NA",Lists!$D$9,IFERROR(HLOOKUP(C276,Input!$C$312:$L$335,H276,FALSE),"NA")), "")</f>
        <v>CCC-C</v>
      </c>
      <c r="G276">
        <f t="shared" si="8"/>
        <v>5</v>
      </c>
      <c r="H276">
        <f t="shared" si="9"/>
        <v>8</v>
      </c>
    </row>
    <row r="277" spans="1:8" x14ac:dyDescent="0.35">
      <c r="A277" t="str">
        <f>Input!H$239</f>
        <v>Financials</v>
      </c>
      <c r="B277">
        <f>Input!C242</f>
        <v>0</v>
      </c>
      <c r="C277">
        <f>Input!C$191</f>
        <v>1</v>
      </c>
      <c r="D277" t="str">
        <f>Input!B$192</f>
        <v>Upto 1</v>
      </c>
      <c r="E277" s="9">
        <f>Input!E$239</f>
        <v>3</v>
      </c>
      <c r="F277" t="str">
        <f>IF(B277&lt;&gt;"",IF(C277="NA",Lists!$D$9,IFERROR(HLOOKUP(C277,Input!$C$312:$L$335,H277,FALSE),"NA")), "")</f>
        <v>BBB</v>
      </c>
      <c r="G277">
        <f t="shared" si="8"/>
        <v>1</v>
      </c>
      <c r="H277">
        <f t="shared" si="9"/>
        <v>8</v>
      </c>
    </row>
    <row r="278" spans="1:8" x14ac:dyDescent="0.35">
      <c r="A278" t="str">
        <f>Input!H$239</f>
        <v>Financials</v>
      </c>
      <c r="B278">
        <f>Input!C243</f>
        <v>0</v>
      </c>
      <c r="C278">
        <f>Input!C$191</f>
        <v>1</v>
      </c>
      <c r="D278" t="str">
        <f>Input!B$193</f>
        <v>1.01 to 5</v>
      </c>
      <c r="E278" s="9">
        <f>Input!E$239</f>
        <v>3</v>
      </c>
      <c r="F278" t="str">
        <f>IF(B278&lt;&gt;"",IF(C278="NA",Lists!$D$9,IFERROR(HLOOKUP(C278,Input!$C$312:$L$335,H278,FALSE),"NA")), "")</f>
        <v>BBB</v>
      </c>
      <c r="G278">
        <f t="shared" si="8"/>
        <v>2</v>
      </c>
      <c r="H278">
        <f t="shared" si="9"/>
        <v>8</v>
      </c>
    </row>
    <row r="279" spans="1:8" x14ac:dyDescent="0.35">
      <c r="A279" t="str">
        <f>Input!H$239</f>
        <v>Financials</v>
      </c>
      <c r="B279">
        <f>Input!C244</f>
        <v>0</v>
      </c>
      <c r="C279">
        <f>Input!C$191</f>
        <v>1</v>
      </c>
      <c r="D279" t="str">
        <f>Input!B$194</f>
        <v>5.01 to 10</v>
      </c>
      <c r="E279" s="9">
        <f>Input!E$239</f>
        <v>3</v>
      </c>
      <c r="F279" t="str">
        <f>IF(B279&lt;&gt;"",IF(C279="NA",Lists!$D$9,IFERROR(HLOOKUP(C279,Input!$C$312:$L$335,H279,FALSE),"NA")), "")</f>
        <v>BBB</v>
      </c>
      <c r="G279">
        <f t="shared" si="8"/>
        <v>3</v>
      </c>
      <c r="H279">
        <f t="shared" si="9"/>
        <v>8</v>
      </c>
    </row>
    <row r="280" spans="1:8" x14ac:dyDescent="0.35">
      <c r="A280" t="str">
        <f>Input!H$239</f>
        <v>Financials</v>
      </c>
      <c r="B280">
        <f>Input!C245</f>
        <v>0</v>
      </c>
      <c r="C280">
        <f>Input!C$191</f>
        <v>1</v>
      </c>
      <c r="D280" t="str">
        <f>Input!B$195</f>
        <v>10.01 to 20</v>
      </c>
      <c r="E280" s="9">
        <f>Input!E$239</f>
        <v>3</v>
      </c>
      <c r="F280" t="str">
        <f>IF(B280&lt;&gt;"",IF(C280="NA",Lists!$D$9,IFERROR(HLOOKUP(C280,Input!$C$312:$L$335,H280,FALSE),"NA")), "")</f>
        <v>BBB</v>
      </c>
      <c r="G280">
        <f t="shared" si="8"/>
        <v>4</v>
      </c>
      <c r="H280">
        <f t="shared" si="9"/>
        <v>8</v>
      </c>
    </row>
    <row r="281" spans="1:8" x14ac:dyDescent="0.35">
      <c r="A281" t="str">
        <f>Input!H$239</f>
        <v>Financials</v>
      </c>
      <c r="B281">
        <f>Input!C246</f>
        <v>0</v>
      </c>
      <c r="C281">
        <f>Input!C$191</f>
        <v>1</v>
      </c>
      <c r="D281" t="str">
        <f>Input!B$196</f>
        <v>More than 20</v>
      </c>
      <c r="E281" s="9">
        <f>Input!E$239</f>
        <v>3</v>
      </c>
      <c r="F281" t="str">
        <f>IF(B281&lt;&gt;"",IF(C281="NA",Lists!$D$9,IFERROR(HLOOKUP(C281,Input!$C$312:$L$335,H281,FALSE),"NA")), "")</f>
        <v>BBB</v>
      </c>
      <c r="G281">
        <f t="shared" si="8"/>
        <v>5</v>
      </c>
      <c r="H281">
        <f t="shared" si="9"/>
        <v>8</v>
      </c>
    </row>
    <row r="282" spans="1:8" x14ac:dyDescent="0.35">
      <c r="A282" t="str">
        <f>Input!H$239</f>
        <v>Financials</v>
      </c>
      <c r="B282">
        <f>Input!D242</f>
        <v>0</v>
      </c>
      <c r="C282">
        <f>Input!D$191</f>
        <v>2</v>
      </c>
      <c r="D282" t="str">
        <f>Input!B$192</f>
        <v>Upto 1</v>
      </c>
      <c r="E282" s="9">
        <f>Input!E$239</f>
        <v>3</v>
      </c>
      <c r="F282" t="str">
        <f>IF(B282&lt;&gt;"",IF(C282="NA",Lists!$D$9,IFERROR(HLOOKUP(C282,Input!$C$312:$L$335,H282,FALSE),"NA")), "")</f>
        <v>BBB</v>
      </c>
      <c r="G282">
        <f t="shared" si="8"/>
        <v>1</v>
      </c>
      <c r="H282">
        <f t="shared" si="9"/>
        <v>8</v>
      </c>
    </row>
    <row r="283" spans="1:8" x14ac:dyDescent="0.35">
      <c r="A283" t="str">
        <f>Input!H$239</f>
        <v>Financials</v>
      </c>
      <c r="B283">
        <f>Input!D243</f>
        <v>0</v>
      </c>
      <c r="C283">
        <f>Input!D$191</f>
        <v>2</v>
      </c>
      <c r="D283" t="str">
        <f>Input!B$193</f>
        <v>1.01 to 5</v>
      </c>
      <c r="E283" s="9">
        <f>Input!E$239</f>
        <v>3</v>
      </c>
      <c r="F283" t="str">
        <f>IF(B283&lt;&gt;"",IF(C283="NA",Lists!$D$9,IFERROR(HLOOKUP(C283,Input!$C$312:$L$335,H283,FALSE),"NA")), "")</f>
        <v>BBB</v>
      </c>
      <c r="G283">
        <f t="shared" si="8"/>
        <v>2</v>
      </c>
      <c r="H283">
        <f t="shared" si="9"/>
        <v>8</v>
      </c>
    </row>
    <row r="284" spans="1:8" x14ac:dyDescent="0.35">
      <c r="A284" t="str">
        <f>Input!H$239</f>
        <v>Financials</v>
      </c>
      <c r="B284">
        <f>Input!D244</f>
        <v>0</v>
      </c>
      <c r="C284">
        <f>Input!D$191</f>
        <v>2</v>
      </c>
      <c r="D284" t="str">
        <f>Input!B$194</f>
        <v>5.01 to 10</v>
      </c>
      <c r="E284" s="9">
        <f>Input!E$239</f>
        <v>3</v>
      </c>
      <c r="F284" t="str">
        <f>IF(B284&lt;&gt;"",IF(C284="NA",Lists!$D$9,IFERROR(HLOOKUP(C284,Input!$C$312:$L$335,H284,FALSE),"NA")), "")</f>
        <v>BBB</v>
      </c>
      <c r="G284">
        <f t="shared" si="8"/>
        <v>3</v>
      </c>
      <c r="H284">
        <f t="shared" si="9"/>
        <v>8</v>
      </c>
    </row>
    <row r="285" spans="1:8" x14ac:dyDescent="0.35">
      <c r="A285" t="str">
        <f>Input!H$239</f>
        <v>Financials</v>
      </c>
      <c r="B285">
        <f>Input!D245</f>
        <v>0</v>
      </c>
      <c r="C285">
        <f>Input!D$191</f>
        <v>2</v>
      </c>
      <c r="D285" t="str">
        <f>Input!B$195</f>
        <v>10.01 to 20</v>
      </c>
      <c r="E285" s="9">
        <f>Input!E$239</f>
        <v>3</v>
      </c>
      <c r="F285" t="str">
        <f>IF(B285&lt;&gt;"",IF(C285="NA",Lists!$D$9,IFERROR(HLOOKUP(C285,Input!$C$312:$L$335,H285,FALSE),"NA")), "")</f>
        <v>BBB</v>
      </c>
      <c r="G285">
        <f t="shared" si="8"/>
        <v>4</v>
      </c>
      <c r="H285">
        <f t="shared" si="9"/>
        <v>8</v>
      </c>
    </row>
    <row r="286" spans="1:8" x14ac:dyDescent="0.35">
      <c r="A286" t="str">
        <f>Input!H$239</f>
        <v>Financials</v>
      </c>
      <c r="B286">
        <f>Input!D246</f>
        <v>0</v>
      </c>
      <c r="C286">
        <f>Input!D$191</f>
        <v>2</v>
      </c>
      <c r="D286" t="str">
        <f>Input!B$196</f>
        <v>More than 20</v>
      </c>
      <c r="E286" s="9">
        <f>Input!E$239</f>
        <v>3</v>
      </c>
      <c r="F286" t="str">
        <f>IF(B286&lt;&gt;"",IF(C286="NA",Lists!$D$9,IFERROR(HLOOKUP(C286,Input!$C$312:$L$335,H286,FALSE),"NA")), "")</f>
        <v>BBB</v>
      </c>
      <c r="G286">
        <f t="shared" si="8"/>
        <v>5</v>
      </c>
      <c r="H286">
        <f t="shared" si="9"/>
        <v>8</v>
      </c>
    </row>
    <row r="287" spans="1:8" x14ac:dyDescent="0.35">
      <c r="A287" t="str">
        <f>Input!H$239</f>
        <v>Financials</v>
      </c>
      <c r="B287">
        <f>Input!E242</f>
        <v>0</v>
      </c>
      <c r="C287">
        <f>Input!E$191</f>
        <v>3</v>
      </c>
      <c r="D287" t="str">
        <f>Input!B$192</f>
        <v>Upto 1</v>
      </c>
      <c r="E287" s="9">
        <f>Input!E$239</f>
        <v>3</v>
      </c>
      <c r="F287" t="str">
        <f>IF(B287&lt;&gt;"",IF(C287="NA",Lists!$D$9,IFERROR(HLOOKUP(C287,Input!$C$312:$L$335,H287,FALSE),"NA")), "")</f>
        <v>BBB</v>
      </c>
      <c r="G287">
        <f t="shared" si="8"/>
        <v>1</v>
      </c>
      <c r="H287">
        <f t="shared" si="9"/>
        <v>8</v>
      </c>
    </row>
    <row r="288" spans="1:8" x14ac:dyDescent="0.35">
      <c r="A288" t="str">
        <f>Input!H$239</f>
        <v>Financials</v>
      </c>
      <c r="B288">
        <f>Input!E243</f>
        <v>0</v>
      </c>
      <c r="C288">
        <f>Input!E$191</f>
        <v>3</v>
      </c>
      <c r="D288" t="str">
        <f>Input!B$193</f>
        <v>1.01 to 5</v>
      </c>
      <c r="E288" s="9">
        <f>Input!E$239</f>
        <v>3</v>
      </c>
      <c r="F288" t="str">
        <f>IF(B288&lt;&gt;"",IF(C288="NA",Lists!$D$9,IFERROR(HLOOKUP(C288,Input!$C$312:$L$335,H288,FALSE),"NA")), "")</f>
        <v>BBB</v>
      </c>
      <c r="G288">
        <f t="shared" si="8"/>
        <v>2</v>
      </c>
      <c r="H288">
        <f t="shared" si="9"/>
        <v>8</v>
      </c>
    </row>
    <row r="289" spans="1:8" x14ac:dyDescent="0.35">
      <c r="A289" t="str">
        <f>Input!H$239</f>
        <v>Financials</v>
      </c>
      <c r="B289">
        <f>Input!E244</f>
        <v>0</v>
      </c>
      <c r="C289">
        <f>Input!E$191</f>
        <v>3</v>
      </c>
      <c r="D289" t="str">
        <f>Input!B$194</f>
        <v>5.01 to 10</v>
      </c>
      <c r="E289" s="9">
        <f>Input!E$239</f>
        <v>3</v>
      </c>
      <c r="F289" t="str">
        <f>IF(B289&lt;&gt;"",IF(C289="NA",Lists!$D$9,IFERROR(HLOOKUP(C289,Input!$C$312:$L$335,H289,FALSE),"NA")), "")</f>
        <v>BBB</v>
      </c>
      <c r="G289">
        <f t="shared" si="8"/>
        <v>3</v>
      </c>
      <c r="H289">
        <f t="shared" si="9"/>
        <v>8</v>
      </c>
    </row>
    <row r="290" spans="1:8" x14ac:dyDescent="0.35">
      <c r="A290" t="str">
        <f>Input!H$239</f>
        <v>Financials</v>
      </c>
      <c r="B290">
        <f>Input!E245</f>
        <v>0</v>
      </c>
      <c r="C290">
        <f>Input!E$191</f>
        <v>3</v>
      </c>
      <c r="D290" t="str">
        <f>Input!B$195</f>
        <v>10.01 to 20</v>
      </c>
      <c r="E290" s="9">
        <f>Input!E$239</f>
        <v>3</v>
      </c>
      <c r="F290" t="str">
        <f>IF(B290&lt;&gt;"",IF(C290="NA",Lists!$D$9,IFERROR(HLOOKUP(C290,Input!$C$312:$L$335,H290,FALSE),"NA")), "")</f>
        <v>BBB</v>
      </c>
      <c r="G290">
        <f t="shared" si="8"/>
        <v>4</v>
      </c>
      <c r="H290">
        <f t="shared" si="9"/>
        <v>8</v>
      </c>
    </row>
    <row r="291" spans="1:8" x14ac:dyDescent="0.35">
      <c r="A291" t="str">
        <f>Input!H$239</f>
        <v>Financials</v>
      </c>
      <c r="B291">
        <f>Input!E246</f>
        <v>0</v>
      </c>
      <c r="C291">
        <f>Input!E$191</f>
        <v>3</v>
      </c>
      <c r="D291" t="str">
        <f>Input!B$196</f>
        <v>More than 20</v>
      </c>
      <c r="E291" s="9">
        <f>Input!E$239</f>
        <v>3</v>
      </c>
      <c r="F291" t="str">
        <f>IF(B291&lt;&gt;"",IF(C291="NA",Lists!$D$9,IFERROR(HLOOKUP(C291,Input!$C$312:$L$335,H291,FALSE),"NA")), "")</f>
        <v>BBB</v>
      </c>
      <c r="G291">
        <f t="shared" si="8"/>
        <v>5</v>
      </c>
      <c r="H291">
        <f t="shared" si="9"/>
        <v>8</v>
      </c>
    </row>
    <row r="292" spans="1:8" x14ac:dyDescent="0.35">
      <c r="A292" t="str">
        <f>Input!H$239</f>
        <v>Financials</v>
      </c>
      <c r="B292">
        <f>Input!F242</f>
        <v>0</v>
      </c>
      <c r="C292">
        <f>Input!F$191</f>
        <v>4</v>
      </c>
      <c r="D292" t="str">
        <f>Input!B$192</f>
        <v>Upto 1</v>
      </c>
      <c r="E292" s="9">
        <f>Input!E$239</f>
        <v>3</v>
      </c>
      <c r="F292" t="str">
        <f>IF(B292&lt;&gt;"",IF(C292="NA",Lists!$D$9,IFERROR(HLOOKUP(C292,Input!$C$312:$L$335,H292,FALSE),"NA")), "")</f>
        <v>BBB</v>
      </c>
      <c r="G292">
        <f t="shared" si="8"/>
        <v>1</v>
      </c>
      <c r="H292">
        <f t="shared" si="9"/>
        <v>8</v>
      </c>
    </row>
    <row r="293" spans="1:8" x14ac:dyDescent="0.35">
      <c r="A293" t="str">
        <f>Input!H$239</f>
        <v>Financials</v>
      </c>
      <c r="B293">
        <f>Input!F243</f>
        <v>0</v>
      </c>
      <c r="C293">
        <f>Input!F$191</f>
        <v>4</v>
      </c>
      <c r="D293" t="str">
        <f>Input!B$193</f>
        <v>1.01 to 5</v>
      </c>
      <c r="E293" s="9">
        <f>Input!E$239</f>
        <v>3</v>
      </c>
      <c r="F293" t="str">
        <f>IF(B293&lt;&gt;"",IF(C293="NA",Lists!$D$9,IFERROR(HLOOKUP(C293,Input!$C$312:$L$335,H293,FALSE),"NA")), "")</f>
        <v>BBB</v>
      </c>
      <c r="G293">
        <f t="shared" si="8"/>
        <v>2</v>
      </c>
      <c r="H293">
        <f t="shared" si="9"/>
        <v>8</v>
      </c>
    </row>
    <row r="294" spans="1:8" x14ac:dyDescent="0.35">
      <c r="A294" t="str">
        <f>Input!H$239</f>
        <v>Financials</v>
      </c>
      <c r="B294">
        <f>Input!F244</f>
        <v>0</v>
      </c>
      <c r="C294">
        <f>Input!F$191</f>
        <v>4</v>
      </c>
      <c r="D294" t="str">
        <f>Input!B$194</f>
        <v>5.01 to 10</v>
      </c>
      <c r="E294" s="9">
        <f>Input!E$239</f>
        <v>3</v>
      </c>
      <c r="F294" t="str">
        <f>IF(B294&lt;&gt;"",IF(C294="NA",Lists!$D$9,IFERROR(HLOOKUP(C294,Input!$C$312:$L$335,H294,FALSE),"NA")), "")</f>
        <v>BBB</v>
      </c>
      <c r="G294">
        <f t="shared" si="8"/>
        <v>3</v>
      </c>
      <c r="H294">
        <f t="shared" si="9"/>
        <v>8</v>
      </c>
    </row>
    <row r="295" spans="1:8" x14ac:dyDescent="0.35">
      <c r="A295" t="str">
        <f>Input!H$239</f>
        <v>Financials</v>
      </c>
      <c r="B295">
        <f>Input!F245</f>
        <v>0</v>
      </c>
      <c r="C295">
        <f>Input!F$191</f>
        <v>4</v>
      </c>
      <c r="D295" t="str">
        <f>Input!B$195</f>
        <v>10.01 to 20</v>
      </c>
      <c r="E295" s="9">
        <f>Input!E$239</f>
        <v>3</v>
      </c>
      <c r="F295" t="str">
        <f>IF(B295&lt;&gt;"",IF(C295="NA",Lists!$D$9,IFERROR(HLOOKUP(C295,Input!$C$312:$L$335,H295,FALSE),"NA")), "")</f>
        <v>BBB</v>
      </c>
      <c r="G295">
        <f t="shared" si="8"/>
        <v>4</v>
      </c>
      <c r="H295">
        <f t="shared" si="9"/>
        <v>8</v>
      </c>
    </row>
    <row r="296" spans="1:8" x14ac:dyDescent="0.35">
      <c r="A296" t="str">
        <f>Input!H$239</f>
        <v>Financials</v>
      </c>
      <c r="B296">
        <f>Input!F246</f>
        <v>0</v>
      </c>
      <c r="C296">
        <f>Input!F$191</f>
        <v>4</v>
      </c>
      <c r="D296" t="str">
        <f>Input!B$196</f>
        <v>More than 20</v>
      </c>
      <c r="E296" s="9">
        <f>Input!E$239</f>
        <v>3</v>
      </c>
      <c r="F296" t="str">
        <f>IF(B296&lt;&gt;"",IF(C296="NA",Lists!$D$9,IFERROR(HLOOKUP(C296,Input!$C$312:$L$335,H296,FALSE),"NA")), "")</f>
        <v>BBB</v>
      </c>
      <c r="G296">
        <f t="shared" si="8"/>
        <v>5</v>
      </c>
      <c r="H296">
        <f t="shared" si="9"/>
        <v>8</v>
      </c>
    </row>
    <row r="297" spans="1:8" x14ac:dyDescent="0.35">
      <c r="A297" t="str">
        <f>Input!H$239</f>
        <v>Financials</v>
      </c>
      <c r="B297">
        <f>Input!G242</f>
        <v>0</v>
      </c>
      <c r="C297">
        <f>Input!G$191</f>
        <v>5</v>
      </c>
      <c r="D297" t="str">
        <f>Input!B$192</f>
        <v>Upto 1</v>
      </c>
      <c r="E297" s="9">
        <f>Input!E$239</f>
        <v>3</v>
      </c>
      <c r="F297" t="str">
        <f>IF(B297&lt;&gt;"",IF(C297="NA",Lists!$D$9,IFERROR(HLOOKUP(C297,Input!$C$312:$L$335,H297,FALSE),"NA")), "")</f>
        <v>BBB</v>
      </c>
      <c r="G297">
        <f t="shared" si="8"/>
        <v>1</v>
      </c>
      <c r="H297">
        <f t="shared" si="9"/>
        <v>8</v>
      </c>
    </row>
    <row r="298" spans="1:8" x14ac:dyDescent="0.35">
      <c r="A298" t="str">
        <f>Input!H$239</f>
        <v>Financials</v>
      </c>
      <c r="B298">
        <f>Input!G243</f>
        <v>0</v>
      </c>
      <c r="C298">
        <f>Input!G$191</f>
        <v>5</v>
      </c>
      <c r="D298" t="str">
        <f>Input!B$193</f>
        <v>1.01 to 5</v>
      </c>
      <c r="E298" s="9">
        <f>Input!E$239</f>
        <v>3</v>
      </c>
      <c r="F298" t="str">
        <f>IF(B298&lt;&gt;"",IF(C298="NA",Lists!$D$9,IFERROR(HLOOKUP(C298,Input!$C$312:$L$335,H298,FALSE),"NA")), "")</f>
        <v>BBB</v>
      </c>
      <c r="G298">
        <f t="shared" si="8"/>
        <v>2</v>
      </c>
      <c r="H298">
        <f t="shared" si="9"/>
        <v>8</v>
      </c>
    </row>
    <row r="299" spans="1:8" x14ac:dyDescent="0.35">
      <c r="A299" t="str">
        <f>Input!H$239</f>
        <v>Financials</v>
      </c>
      <c r="B299">
        <f>Input!G244</f>
        <v>0</v>
      </c>
      <c r="C299">
        <f>Input!G$191</f>
        <v>5</v>
      </c>
      <c r="D299" t="str">
        <f>Input!B$194</f>
        <v>5.01 to 10</v>
      </c>
      <c r="E299" s="9">
        <f>Input!E$239</f>
        <v>3</v>
      </c>
      <c r="F299" t="str">
        <f>IF(B299&lt;&gt;"",IF(C299="NA",Lists!$D$9,IFERROR(HLOOKUP(C299,Input!$C$312:$L$335,H299,FALSE),"NA")), "")</f>
        <v>BBB</v>
      </c>
      <c r="G299">
        <f t="shared" si="8"/>
        <v>3</v>
      </c>
      <c r="H299">
        <f t="shared" si="9"/>
        <v>8</v>
      </c>
    </row>
    <row r="300" spans="1:8" x14ac:dyDescent="0.35">
      <c r="A300" t="str">
        <f>Input!H$239</f>
        <v>Financials</v>
      </c>
      <c r="B300">
        <f>Input!G245</f>
        <v>0</v>
      </c>
      <c r="C300">
        <f>Input!G$191</f>
        <v>5</v>
      </c>
      <c r="D300" t="str">
        <f>Input!B$195</f>
        <v>10.01 to 20</v>
      </c>
      <c r="E300" s="9">
        <f>Input!E$239</f>
        <v>3</v>
      </c>
      <c r="F300" t="str">
        <f>IF(B300&lt;&gt;"",IF(C300="NA",Lists!$D$9,IFERROR(HLOOKUP(C300,Input!$C$312:$L$335,H300,FALSE),"NA")), "")</f>
        <v>BBB</v>
      </c>
      <c r="G300">
        <f t="shared" si="8"/>
        <v>4</v>
      </c>
      <c r="H300">
        <f t="shared" si="9"/>
        <v>8</v>
      </c>
    </row>
    <row r="301" spans="1:8" x14ac:dyDescent="0.35">
      <c r="A301" t="str">
        <f>Input!H$239</f>
        <v>Financials</v>
      </c>
      <c r="B301">
        <f>Input!G246</f>
        <v>0</v>
      </c>
      <c r="C301">
        <f>Input!G$191</f>
        <v>5</v>
      </c>
      <c r="D301" t="str">
        <f>Input!B$196</f>
        <v>More than 20</v>
      </c>
      <c r="E301" s="9">
        <f>Input!E$239</f>
        <v>3</v>
      </c>
      <c r="F301" t="str">
        <f>IF(B301&lt;&gt;"",IF(C301="NA",Lists!$D$9,IFERROR(HLOOKUP(C301,Input!$C$312:$L$335,H301,FALSE),"NA")), "")</f>
        <v>BBB</v>
      </c>
      <c r="G301">
        <f t="shared" si="8"/>
        <v>5</v>
      </c>
      <c r="H301">
        <f t="shared" si="9"/>
        <v>8</v>
      </c>
    </row>
    <row r="302" spans="1:8" x14ac:dyDescent="0.35">
      <c r="A302" t="str">
        <f>Input!H$239</f>
        <v>Financials</v>
      </c>
      <c r="B302">
        <f>Input!H242</f>
        <v>0</v>
      </c>
      <c r="C302">
        <f>Input!H$191</f>
        <v>6</v>
      </c>
      <c r="D302" t="str">
        <f>Input!B$192</f>
        <v>Upto 1</v>
      </c>
      <c r="E302" s="9">
        <f>Input!E$239</f>
        <v>3</v>
      </c>
      <c r="F302" t="str">
        <f>IF(B302&lt;&gt;"",IF(C302="NA",Lists!$D$9,IFERROR(HLOOKUP(C302,Input!$C$312:$L$335,H302,FALSE),"NA")), "")</f>
        <v>BB</v>
      </c>
      <c r="G302">
        <f t="shared" si="8"/>
        <v>1</v>
      </c>
      <c r="H302">
        <f t="shared" si="9"/>
        <v>8</v>
      </c>
    </row>
    <row r="303" spans="1:8" x14ac:dyDescent="0.35">
      <c r="A303" t="str">
        <f>Input!H$239</f>
        <v>Financials</v>
      </c>
      <c r="B303">
        <f>Input!H243</f>
        <v>0</v>
      </c>
      <c r="C303">
        <f>Input!H$191</f>
        <v>6</v>
      </c>
      <c r="D303" t="str">
        <f>Input!B$193</f>
        <v>1.01 to 5</v>
      </c>
      <c r="E303" s="9">
        <f>Input!E$239</f>
        <v>3</v>
      </c>
      <c r="F303" t="str">
        <f>IF(B303&lt;&gt;"",IF(C303="NA",Lists!$D$9,IFERROR(HLOOKUP(C303,Input!$C$312:$L$335,H303,FALSE),"NA")), "")</f>
        <v>BB</v>
      </c>
      <c r="G303">
        <f t="shared" si="8"/>
        <v>2</v>
      </c>
      <c r="H303">
        <f t="shared" si="9"/>
        <v>8</v>
      </c>
    </row>
    <row r="304" spans="1:8" x14ac:dyDescent="0.35">
      <c r="A304" t="str">
        <f>Input!H$239</f>
        <v>Financials</v>
      </c>
      <c r="B304">
        <f>Input!H244</f>
        <v>0</v>
      </c>
      <c r="C304">
        <f>Input!H$191</f>
        <v>6</v>
      </c>
      <c r="D304" t="str">
        <f>Input!B$194</f>
        <v>5.01 to 10</v>
      </c>
      <c r="E304" s="9">
        <f>Input!E$239</f>
        <v>3</v>
      </c>
      <c r="F304" t="str">
        <f>IF(B304&lt;&gt;"",IF(C304="NA",Lists!$D$9,IFERROR(HLOOKUP(C304,Input!$C$312:$L$335,H304,FALSE),"NA")), "")</f>
        <v>BB</v>
      </c>
      <c r="G304">
        <f t="shared" si="8"/>
        <v>3</v>
      </c>
      <c r="H304">
        <f t="shared" si="9"/>
        <v>8</v>
      </c>
    </row>
    <row r="305" spans="1:8" x14ac:dyDescent="0.35">
      <c r="A305" t="str">
        <f>Input!H$239</f>
        <v>Financials</v>
      </c>
      <c r="B305">
        <f>Input!H245</f>
        <v>0</v>
      </c>
      <c r="C305">
        <f>Input!H$191</f>
        <v>6</v>
      </c>
      <c r="D305" t="str">
        <f>Input!B$195</f>
        <v>10.01 to 20</v>
      </c>
      <c r="E305" s="9">
        <f>Input!E$239</f>
        <v>3</v>
      </c>
      <c r="F305" t="str">
        <f>IF(B305&lt;&gt;"",IF(C305="NA",Lists!$D$9,IFERROR(HLOOKUP(C305,Input!$C$312:$L$335,H305,FALSE),"NA")), "")</f>
        <v>BB</v>
      </c>
      <c r="G305">
        <f t="shared" si="8"/>
        <v>4</v>
      </c>
      <c r="H305">
        <f t="shared" si="9"/>
        <v>8</v>
      </c>
    </row>
    <row r="306" spans="1:8" x14ac:dyDescent="0.35">
      <c r="A306" t="str">
        <f>Input!H$239</f>
        <v>Financials</v>
      </c>
      <c r="B306">
        <f>Input!H246</f>
        <v>0</v>
      </c>
      <c r="C306">
        <f>Input!H$191</f>
        <v>6</v>
      </c>
      <c r="D306" t="str">
        <f>Input!B$196</f>
        <v>More than 20</v>
      </c>
      <c r="E306" s="9">
        <f>Input!E$239</f>
        <v>3</v>
      </c>
      <c r="F306" t="str">
        <f>IF(B306&lt;&gt;"",IF(C306="NA",Lists!$D$9,IFERROR(HLOOKUP(C306,Input!$C$312:$L$335,H306,FALSE),"NA")), "")</f>
        <v>BB</v>
      </c>
      <c r="G306">
        <f t="shared" si="8"/>
        <v>5</v>
      </c>
      <c r="H306">
        <f t="shared" si="9"/>
        <v>8</v>
      </c>
    </row>
    <row r="307" spans="1:8" x14ac:dyDescent="0.35">
      <c r="A307" t="str">
        <f>Input!H$239</f>
        <v>Financials</v>
      </c>
      <c r="B307">
        <f>Input!I242</f>
        <v>0</v>
      </c>
      <c r="C307">
        <f>Input!I$191</f>
        <v>7</v>
      </c>
      <c r="D307" t="str">
        <f>Input!B$192</f>
        <v>Upto 1</v>
      </c>
      <c r="E307" s="9">
        <f>Input!E$239</f>
        <v>3</v>
      </c>
      <c r="F307" t="str">
        <f>IF(B307&lt;&gt;"",IF(C307="NA",Lists!$D$9,IFERROR(HLOOKUP(C307,Input!$C$312:$L$335,H307,FALSE),"NA")), "")</f>
        <v>BB</v>
      </c>
      <c r="G307">
        <f t="shared" si="8"/>
        <v>1</v>
      </c>
      <c r="H307">
        <f t="shared" si="9"/>
        <v>8</v>
      </c>
    </row>
    <row r="308" spans="1:8" x14ac:dyDescent="0.35">
      <c r="A308" t="str">
        <f>Input!H$239</f>
        <v>Financials</v>
      </c>
      <c r="B308">
        <f>Input!I243</f>
        <v>0</v>
      </c>
      <c r="C308">
        <f>Input!I$191</f>
        <v>7</v>
      </c>
      <c r="D308" t="str">
        <f>Input!B$193</f>
        <v>1.01 to 5</v>
      </c>
      <c r="E308" s="9">
        <f>Input!E$239</f>
        <v>3</v>
      </c>
      <c r="F308" t="str">
        <f>IF(B308&lt;&gt;"",IF(C308="NA",Lists!$D$9,IFERROR(HLOOKUP(C308,Input!$C$312:$L$335,H308,FALSE),"NA")), "")</f>
        <v>BB</v>
      </c>
      <c r="G308">
        <f t="shared" si="8"/>
        <v>2</v>
      </c>
      <c r="H308">
        <f t="shared" si="9"/>
        <v>8</v>
      </c>
    </row>
    <row r="309" spans="1:8" x14ac:dyDescent="0.35">
      <c r="A309" t="str">
        <f>Input!H$239</f>
        <v>Financials</v>
      </c>
      <c r="B309">
        <f>Input!I244</f>
        <v>0</v>
      </c>
      <c r="C309">
        <f>Input!I$191</f>
        <v>7</v>
      </c>
      <c r="D309" t="str">
        <f>Input!B$194</f>
        <v>5.01 to 10</v>
      </c>
      <c r="E309" s="9">
        <f>Input!E$239</f>
        <v>3</v>
      </c>
      <c r="F309" t="str">
        <f>IF(B309&lt;&gt;"",IF(C309="NA",Lists!$D$9,IFERROR(HLOOKUP(C309,Input!$C$312:$L$335,H309,FALSE),"NA")), "")</f>
        <v>BB</v>
      </c>
      <c r="G309">
        <f t="shared" si="8"/>
        <v>3</v>
      </c>
      <c r="H309">
        <f t="shared" si="9"/>
        <v>8</v>
      </c>
    </row>
    <row r="310" spans="1:8" x14ac:dyDescent="0.35">
      <c r="A310" t="str">
        <f>Input!H$239</f>
        <v>Financials</v>
      </c>
      <c r="B310">
        <f>Input!I245</f>
        <v>0</v>
      </c>
      <c r="C310">
        <f>Input!I$191</f>
        <v>7</v>
      </c>
      <c r="D310" t="str">
        <f>Input!B$195</f>
        <v>10.01 to 20</v>
      </c>
      <c r="E310" s="9">
        <f>Input!E$239</f>
        <v>3</v>
      </c>
      <c r="F310" t="str">
        <f>IF(B310&lt;&gt;"",IF(C310="NA",Lists!$D$9,IFERROR(HLOOKUP(C310,Input!$C$312:$L$335,H310,FALSE),"NA")), "")</f>
        <v>BB</v>
      </c>
      <c r="G310">
        <f t="shared" si="8"/>
        <v>4</v>
      </c>
      <c r="H310">
        <f t="shared" si="9"/>
        <v>8</v>
      </c>
    </row>
    <row r="311" spans="1:8" x14ac:dyDescent="0.35">
      <c r="A311" t="str">
        <f>Input!H$239</f>
        <v>Financials</v>
      </c>
      <c r="B311">
        <f>Input!I246</f>
        <v>0</v>
      </c>
      <c r="C311">
        <f>Input!I$191</f>
        <v>7</v>
      </c>
      <c r="D311" t="str">
        <f>Input!B$196</f>
        <v>More than 20</v>
      </c>
      <c r="E311" s="9">
        <f>Input!E$239</f>
        <v>3</v>
      </c>
      <c r="F311" t="str">
        <f>IF(B311&lt;&gt;"",IF(C311="NA",Lists!$D$9,IFERROR(HLOOKUP(C311,Input!$C$312:$L$335,H311,FALSE),"NA")), "")</f>
        <v>BB</v>
      </c>
      <c r="G311">
        <f t="shared" si="8"/>
        <v>5</v>
      </c>
      <c r="H311">
        <f t="shared" si="9"/>
        <v>8</v>
      </c>
    </row>
    <row r="312" spans="1:8" x14ac:dyDescent="0.35">
      <c r="A312" t="str">
        <f>Input!H$239</f>
        <v>Financials</v>
      </c>
      <c r="B312">
        <f>Input!J242</f>
        <v>0</v>
      </c>
      <c r="C312">
        <f>Input!J$191</f>
        <v>8</v>
      </c>
      <c r="D312" t="str">
        <f>Input!B$192</f>
        <v>Upto 1</v>
      </c>
      <c r="E312" s="9">
        <f>Input!E$239</f>
        <v>3</v>
      </c>
      <c r="F312" t="str">
        <f>IF(B312&lt;&gt;"",IF(C312="NA",Lists!$D$9,IFERROR(HLOOKUP(C312,Input!$C$312:$L$335,H312,FALSE),"NA")), "")</f>
        <v>B</v>
      </c>
      <c r="G312">
        <f t="shared" si="8"/>
        <v>1</v>
      </c>
      <c r="H312">
        <f t="shared" si="9"/>
        <v>8</v>
      </c>
    </row>
    <row r="313" spans="1:8" x14ac:dyDescent="0.35">
      <c r="A313" t="str">
        <f>Input!H$239</f>
        <v>Financials</v>
      </c>
      <c r="B313">
        <f>Input!J243</f>
        <v>0</v>
      </c>
      <c r="C313">
        <f>Input!J$191</f>
        <v>8</v>
      </c>
      <c r="D313" t="str">
        <f>Input!B$193</f>
        <v>1.01 to 5</v>
      </c>
      <c r="E313" s="9">
        <f>Input!E$239</f>
        <v>3</v>
      </c>
      <c r="F313" t="str">
        <f>IF(B313&lt;&gt;"",IF(C313="NA",Lists!$D$9,IFERROR(HLOOKUP(C313,Input!$C$312:$L$335,H313,FALSE),"NA")), "")</f>
        <v>B</v>
      </c>
      <c r="G313">
        <f t="shared" si="8"/>
        <v>2</v>
      </c>
      <c r="H313">
        <f t="shared" si="9"/>
        <v>8</v>
      </c>
    </row>
    <row r="314" spans="1:8" x14ac:dyDescent="0.35">
      <c r="A314" t="str">
        <f>Input!H$239</f>
        <v>Financials</v>
      </c>
      <c r="B314">
        <f>Input!J244</f>
        <v>0</v>
      </c>
      <c r="C314">
        <f>Input!J$191</f>
        <v>8</v>
      </c>
      <c r="D314" t="str">
        <f>Input!B$194</f>
        <v>5.01 to 10</v>
      </c>
      <c r="E314" s="9">
        <f>Input!E$239</f>
        <v>3</v>
      </c>
      <c r="F314" t="str">
        <f>IF(B314&lt;&gt;"",IF(C314="NA",Lists!$D$9,IFERROR(HLOOKUP(C314,Input!$C$312:$L$335,H314,FALSE),"NA")), "")</f>
        <v>B</v>
      </c>
      <c r="G314">
        <f t="shared" si="8"/>
        <v>3</v>
      </c>
      <c r="H314">
        <f t="shared" si="9"/>
        <v>8</v>
      </c>
    </row>
    <row r="315" spans="1:8" x14ac:dyDescent="0.35">
      <c r="A315" t="str">
        <f>Input!H$239</f>
        <v>Financials</v>
      </c>
      <c r="B315">
        <f>Input!J245</f>
        <v>0</v>
      </c>
      <c r="C315">
        <f>Input!J$191</f>
        <v>8</v>
      </c>
      <c r="D315" t="str">
        <f>Input!B$195</f>
        <v>10.01 to 20</v>
      </c>
      <c r="E315" s="9">
        <f>Input!E$239</f>
        <v>3</v>
      </c>
      <c r="F315" t="str">
        <f>IF(B315&lt;&gt;"",IF(C315="NA",Lists!$D$9,IFERROR(HLOOKUP(C315,Input!$C$312:$L$335,H315,FALSE),"NA")), "")</f>
        <v>B</v>
      </c>
      <c r="G315">
        <f t="shared" si="8"/>
        <v>4</v>
      </c>
      <c r="H315">
        <f t="shared" si="9"/>
        <v>8</v>
      </c>
    </row>
    <row r="316" spans="1:8" x14ac:dyDescent="0.35">
      <c r="A316" t="str">
        <f>Input!H$239</f>
        <v>Financials</v>
      </c>
      <c r="B316">
        <f>Input!J246</f>
        <v>0</v>
      </c>
      <c r="C316">
        <f>Input!J$191</f>
        <v>8</v>
      </c>
      <c r="D316" t="str">
        <f>Input!B$196</f>
        <v>More than 20</v>
      </c>
      <c r="E316" s="9">
        <f>Input!E$239</f>
        <v>3</v>
      </c>
      <c r="F316" t="str">
        <f>IF(B316&lt;&gt;"",IF(C316="NA",Lists!$D$9,IFERROR(HLOOKUP(C316,Input!$C$312:$L$335,H316,FALSE),"NA")), "")</f>
        <v>B</v>
      </c>
      <c r="G316">
        <f t="shared" si="8"/>
        <v>5</v>
      </c>
      <c r="H316">
        <f t="shared" si="9"/>
        <v>8</v>
      </c>
    </row>
    <row r="317" spans="1:8" x14ac:dyDescent="0.35">
      <c r="A317" t="str">
        <f>Input!H$239</f>
        <v>Financials</v>
      </c>
      <c r="B317">
        <f>Input!K242</f>
        <v>0</v>
      </c>
      <c r="C317">
        <f>Input!K$191</f>
        <v>9</v>
      </c>
      <c r="D317" t="str">
        <f>Input!B$192</f>
        <v>Upto 1</v>
      </c>
      <c r="E317" s="9">
        <f>Input!E$239</f>
        <v>3</v>
      </c>
      <c r="F317" t="str">
        <f>IF(B317&lt;&gt;"",IF(C317="NA",Lists!$D$9,IFERROR(HLOOKUP(C317,Input!$C$312:$L$335,H317,FALSE),"NA")), "")</f>
        <v>B</v>
      </c>
      <c r="G317">
        <f t="shared" si="8"/>
        <v>1</v>
      </c>
      <c r="H317">
        <f t="shared" si="9"/>
        <v>8</v>
      </c>
    </row>
    <row r="318" spans="1:8" x14ac:dyDescent="0.35">
      <c r="A318" t="str">
        <f>Input!H$239</f>
        <v>Financials</v>
      </c>
      <c r="B318">
        <f>Input!K243</f>
        <v>0</v>
      </c>
      <c r="C318">
        <f>Input!K$191</f>
        <v>9</v>
      </c>
      <c r="D318" t="str">
        <f>Input!B$193</f>
        <v>1.01 to 5</v>
      </c>
      <c r="E318" s="9">
        <f>Input!E$239</f>
        <v>3</v>
      </c>
      <c r="F318" t="str">
        <f>IF(B318&lt;&gt;"",IF(C318="NA",Lists!$D$9,IFERROR(HLOOKUP(C318,Input!$C$312:$L$335,H318,FALSE),"NA")), "")</f>
        <v>B</v>
      </c>
      <c r="G318">
        <f t="shared" si="8"/>
        <v>2</v>
      </c>
      <c r="H318">
        <f t="shared" si="9"/>
        <v>8</v>
      </c>
    </row>
    <row r="319" spans="1:8" x14ac:dyDescent="0.35">
      <c r="A319" t="str">
        <f>Input!H$239</f>
        <v>Financials</v>
      </c>
      <c r="B319">
        <f>Input!K244</f>
        <v>0</v>
      </c>
      <c r="C319">
        <f>Input!K$191</f>
        <v>9</v>
      </c>
      <c r="D319" t="str">
        <f>Input!B$194</f>
        <v>5.01 to 10</v>
      </c>
      <c r="E319" s="9">
        <f>Input!E$239</f>
        <v>3</v>
      </c>
      <c r="F319" t="str">
        <f>IF(B319&lt;&gt;"",IF(C319="NA",Lists!$D$9,IFERROR(HLOOKUP(C319,Input!$C$312:$L$335,H319,FALSE),"NA")), "")</f>
        <v>B</v>
      </c>
      <c r="G319">
        <f t="shared" si="8"/>
        <v>3</v>
      </c>
      <c r="H319">
        <f t="shared" si="9"/>
        <v>8</v>
      </c>
    </row>
    <row r="320" spans="1:8" x14ac:dyDescent="0.35">
      <c r="A320" t="str">
        <f>Input!H$239</f>
        <v>Financials</v>
      </c>
      <c r="B320">
        <f>Input!K245</f>
        <v>0</v>
      </c>
      <c r="C320">
        <f>Input!K$191</f>
        <v>9</v>
      </c>
      <c r="D320" t="str">
        <f>Input!B$195</f>
        <v>10.01 to 20</v>
      </c>
      <c r="E320" s="9">
        <f>Input!E$239</f>
        <v>3</v>
      </c>
      <c r="F320" t="str">
        <f>IF(B320&lt;&gt;"",IF(C320="NA",Lists!$D$9,IFERROR(HLOOKUP(C320,Input!$C$312:$L$335,H320,FALSE),"NA")), "")</f>
        <v>B</v>
      </c>
      <c r="G320">
        <f t="shared" si="8"/>
        <v>4</v>
      </c>
      <c r="H320">
        <f t="shared" si="9"/>
        <v>8</v>
      </c>
    </row>
    <row r="321" spans="1:8" x14ac:dyDescent="0.35">
      <c r="A321" t="str">
        <f>Input!H$239</f>
        <v>Financials</v>
      </c>
      <c r="B321">
        <f>Input!K246</f>
        <v>0</v>
      </c>
      <c r="C321">
        <f>Input!K$191</f>
        <v>9</v>
      </c>
      <c r="D321" t="str">
        <f>Input!B$196</f>
        <v>More than 20</v>
      </c>
      <c r="E321" s="9">
        <f>Input!E$239</f>
        <v>3</v>
      </c>
      <c r="F321" t="str">
        <f>IF(B321&lt;&gt;"",IF(C321="NA",Lists!$D$9,IFERROR(HLOOKUP(C321,Input!$C$312:$L$335,H321,FALSE),"NA")), "")</f>
        <v>B</v>
      </c>
      <c r="G321">
        <f t="shared" si="8"/>
        <v>5</v>
      </c>
      <c r="H321">
        <f t="shared" si="9"/>
        <v>8</v>
      </c>
    </row>
    <row r="322" spans="1:8" x14ac:dyDescent="0.35">
      <c r="A322" t="str">
        <f>Input!H$239</f>
        <v>Financials</v>
      </c>
      <c r="B322">
        <f>Input!L242</f>
        <v>0</v>
      </c>
      <c r="C322">
        <f>Input!L$191</f>
        <v>10</v>
      </c>
      <c r="D322" t="str">
        <f>Input!B$192</f>
        <v>Upto 1</v>
      </c>
      <c r="E322" s="9">
        <f>Input!E$239</f>
        <v>3</v>
      </c>
      <c r="F322" t="str">
        <f>IF(B322&lt;&gt;"",IF(C322="NA",Lists!$D$9,IFERROR(HLOOKUP(C322,Input!$C$312:$L$335,H322,FALSE),"NA")), "")</f>
        <v>CCC-C</v>
      </c>
      <c r="G322">
        <f t="shared" ref="G322:G385" si="10">IFERROR(MATCH(D322,lov_term_buckets,0),"")</f>
        <v>1</v>
      </c>
      <c r="H322">
        <f t="shared" si="9"/>
        <v>8</v>
      </c>
    </row>
    <row r="323" spans="1:8" x14ac:dyDescent="0.35">
      <c r="A323" t="str">
        <f>Input!H$239</f>
        <v>Financials</v>
      </c>
      <c r="B323">
        <f>Input!L243</f>
        <v>0</v>
      </c>
      <c r="C323">
        <f>Input!L$191</f>
        <v>10</v>
      </c>
      <c r="D323" t="str">
        <f>Input!B$193</f>
        <v>1.01 to 5</v>
      </c>
      <c r="E323" s="9">
        <f>Input!E$239</f>
        <v>3</v>
      </c>
      <c r="F323" t="str">
        <f>IF(B323&lt;&gt;"",IF(C323="NA",Lists!$D$9,IFERROR(HLOOKUP(C323,Input!$C$312:$L$335,H323,FALSE),"NA")), "")</f>
        <v>CCC-C</v>
      </c>
      <c r="G323">
        <f t="shared" si="10"/>
        <v>2</v>
      </c>
      <c r="H323">
        <f t="shared" ref="H323:H386" si="11">INDEX($L$2:$L$8,MATCH(A323,$K$2:$K$8,0))</f>
        <v>8</v>
      </c>
    </row>
    <row r="324" spans="1:8" x14ac:dyDescent="0.35">
      <c r="A324" t="str">
        <f>Input!H$239</f>
        <v>Financials</v>
      </c>
      <c r="B324">
        <f>Input!L244</f>
        <v>0</v>
      </c>
      <c r="C324">
        <f>Input!L$191</f>
        <v>10</v>
      </c>
      <c r="D324" t="str">
        <f>Input!B$194</f>
        <v>5.01 to 10</v>
      </c>
      <c r="E324" s="9">
        <f>Input!E$239</f>
        <v>3</v>
      </c>
      <c r="F324" t="str">
        <f>IF(B324&lt;&gt;"",IF(C324="NA",Lists!$D$9,IFERROR(HLOOKUP(C324,Input!$C$312:$L$335,H324,FALSE),"NA")), "")</f>
        <v>CCC-C</v>
      </c>
      <c r="G324">
        <f t="shared" si="10"/>
        <v>3</v>
      </c>
      <c r="H324">
        <f t="shared" si="11"/>
        <v>8</v>
      </c>
    </row>
    <row r="325" spans="1:8" x14ac:dyDescent="0.35">
      <c r="A325" t="str">
        <f>Input!H$239</f>
        <v>Financials</v>
      </c>
      <c r="B325">
        <f>Input!L245</f>
        <v>0</v>
      </c>
      <c r="C325">
        <f>Input!L$191</f>
        <v>10</v>
      </c>
      <c r="D325" t="str">
        <f>Input!B$195</f>
        <v>10.01 to 20</v>
      </c>
      <c r="E325" s="9">
        <f>Input!E$239</f>
        <v>3</v>
      </c>
      <c r="F325" t="str">
        <f>IF(B325&lt;&gt;"",IF(C325="NA",Lists!$D$9,IFERROR(HLOOKUP(C325,Input!$C$312:$L$335,H325,FALSE),"NA")), "")</f>
        <v>CCC-C</v>
      </c>
      <c r="G325">
        <f t="shared" si="10"/>
        <v>4</v>
      </c>
      <c r="H325">
        <f t="shared" si="11"/>
        <v>8</v>
      </c>
    </row>
    <row r="326" spans="1:8" x14ac:dyDescent="0.35">
      <c r="A326" t="str">
        <f>Input!H$239</f>
        <v>Financials</v>
      </c>
      <c r="B326">
        <f>Input!L246</f>
        <v>0</v>
      </c>
      <c r="C326">
        <f>Input!L$191</f>
        <v>10</v>
      </c>
      <c r="D326" t="str">
        <f>Input!B$196</f>
        <v>More than 20</v>
      </c>
      <c r="E326" s="9">
        <f>Input!E$239</f>
        <v>3</v>
      </c>
      <c r="F326" t="str">
        <f>IF(B326&lt;&gt;"",IF(C326="NA",Lists!$D$9,IFERROR(HLOOKUP(C326,Input!$C$312:$L$335,H326,FALSE),"NA")), "")</f>
        <v>CCC-C</v>
      </c>
      <c r="G326">
        <f t="shared" si="10"/>
        <v>5</v>
      </c>
      <c r="H326">
        <f t="shared" si="11"/>
        <v>8</v>
      </c>
    </row>
    <row r="327" spans="1:8" x14ac:dyDescent="0.35">
      <c r="A327" t="str">
        <f>Input!H$239</f>
        <v>Financials</v>
      </c>
      <c r="B327">
        <f>Input!M242</f>
        <v>0</v>
      </c>
      <c r="C327" t="str">
        <f>Input!M$191</f>
        <v>NA</v>
      </c>
      <c r="D327" t="str">
        <f>Input!B$192</f>
        <v>Upto 1</v>
      </c>
      <c r="E327" s="9">
        <f>Input!E$239</f>
        <v>3</v>
      </c>
      <c r="F327" t="str">
        <f>IF(B327&lt;&gt;"",IF(C327="NA",Lists!$D$9,IFERROR(HLOOKUP(C327,Input!$C$312:$L$335,H327,FALSE),"NA")), "")</f>
        <v>CCC-C</v>
      </c>
      <c r="G327">
        <f t="shared" si="10"/>
        <v>1</v>
      </c>
      <c r="H327">
        <f t="shared" si="11"/>
        <v>8</v>
      </c>
    </row>
    <row r="328" spans="1:8" x14ac:dyDescent="0.35">
      <c r="A328" t="str">
        <f>Input!H$239</f>
        <v>Financials</v>
      </c>
      <c r="B328">
        <f>Input!M243</f>
        <v>0</v>
      </c>
      <c r="C328" t="str">
        <f>Input!M$191</f>
        <v>NA</v>
      </c>
      <c r="D328" t="str">
        <f>Input!B$193</f>
        <v>1.01 to 5</v>
      </c>
      <c r="E328" s="9">
        <f>Input!E$239</f>
        <v>3</v>
      </c>
      <c r="F328" t="str">
        <f>IF(B328&lt;&gt;"",IF(C328="NA",Lists!$D$9,IFERROR(HLOOKUP(C328,Input!$C$312:$L$335,H328,FALSE),"NA")), "")</f>
        <v>CCC-C</v>
      </c>
      <c r="G328">
        <f t="shared" si="10"/>
        <v>2</v>
      </c>
      <c r="H328">
        <f t="shared" si="11"/>
        <v>8</v>
      </c>
    </row>
    <row r="329" spans="1:8" x14ac:dyDescent="0.35">
      <c r="A329" t="str">
        <f>Input!H$239</f>
        <v>Financials</v>
      </c>
      <c r="B329">
        <f>Input!M244</f>
        <v>0</v>
      </c>
      <c r="C329" t="str">
        <f>Input!M$191</f>
        <v>NA</v>
      </c>
      <c r="D329" t="str">
        <f>Input!B$194</f>
        <v>5.01 to 10</v>
      </c>
      <c r="E329" s="9">
        <f>Input!E$239</f>
        <v>3</v>
      </c>
      <c r="F329" t="str">
        <f>IF(B329&lt;&gt;"",IF(C329="NA",Lists!$D$9,IFERROR(HLOOKUP(C329,Input!$C$312:$L$335,H329,FALSE),"NA")), "")</f>
        <v>CCC-C</v>
      </c>
      <c r="G329">
        <f t="shared" si="10"/>
        <v>3</v>
      </c>
      <c r="H329">
        <f t="shared" si="11"/>
        <v>8</v>
      </c>
    </row>
    <row r="330" spans="1:8" x14ac:dyDescent="0.35">
      <c r="A330" t="str">
        <f>Input!H$239</f>
        <v>Financials</v>
      </c>
      <c r="B330">
        <f>Input!M245</f>
        <v>0</v>
      </c>
      <c r="C330" t="str">
        <f>Input!M$191</f>
        <v>NA</v>
      </c>
      <c r="D330" t="str">
        <f>Input!B$195</f>
        <v>10.01 to 20</v>
      </c>
      <c r="E330" s="9">
        <f>Input!E$239</f>
        <v>3</v>
      </c>
      <c r="F330" t="str">
        <f>IF(B330&lt;&gt;"",IF(C330="NA",Lists!$D$9,IFERROR(HLOOKUP(C330,Input!$C$312:$L$335,H330,FALSE),"NA")), "")</f>
        <v>CCC-C</v>
      </c>
      <c r="G330">
        <f t="shared" si="10"/>
        <v>4</v>
      </c>
      <c r="H330">
        <f t="shared" si="11"/>
        <v>8</v>
      </c>
    </row>
    <row r="331" spans="1:8" x14ac:dyDescent="0.35">
      <c r="A331" t="str">
        <f>Input!H$239</f>
        <v>Financials</v>
      </c>
      <c r="B331">
        <f>Input!M246</f>
        <v>0</v>
      </c>
      <c r="C331" t="str">
        <f>Input!M$191</f>
        <v>NA</v>
      </c>
      <c r="D331" t="str">
        <f>Input!B$196</f>
        <v>More than 20</v>
      </c>
      <c r="E331" s="9">
        <f>Input!E$239</f>
        <v>3</v>
      </c>
      <c r="F331" t="str">
        <f>IF(B331&lt;&gt;"",IF(C331="NA",Lists!$D$9,IFERROR(HLOOKUP(C331,Input!$C$312:$L$335,H331,FALSE),"NA")), "")</f>
        <v>CCC-C</v>
      </c>
      <c r="G331">
        <f t="shared" si="10"/>
        <v>5</v>
      </c>
      <c r="H331">
        <f t="shared" si="11"/>
        <v>8</v>
      </c>
    </row>
    <row r="332" spans="1:8" x14ac:dyDescent="0.35">
      <c r="A332" t="str">
        <f>Input!H$249</f>
        <v>Sovereign / Public Finance</v>
      </c>
      <c r="B332">
        <f>Input!C252</f>
        <v>0</v>
      </c>
      <c r="C332">
        <f>Input!C$191</f>
        <v>1</v>
      </c>
      <c r="D332" t="str">
        <f>Input!B$192</f>
        <v>Upto 1</v>
      </c>
      <c r="E332" s="9">
        <f>Input!E$249</f>
        <v>1</v>
      </c>
      <c r="F332" t="str">
        <f>IF(B332&lt;&gt;"",IF(C332="NA",Lists!$D$9,IFERROR(HLOOKUP(C332,Input!$C$312:$L$335,H332,FALSE),"NA")), "")</f>
        <v>A</v>
      </c>
      <c r="G332">
        <f t="shared" si="10"/>
        <v>1</v>
      </c>
      <c r="H332">
        <f t="shared" si="11"/>
        <v>12</v>
      </c>
    </row>
    <row r="333" spans="1:8" x14ac:dyDescent="0.35">
      <c r="A333" t="str">
        <f>Input!H$249</f>
        <v>Sovereign / Public Finance</v>
      </c>
      <c r="B333">
        <f>Input!C253</f>
        <v>0</v>
      </c>
      <c r="C333">
        <f>Input!C$191</f>
        <v>1</v>
      </c>
      <c r="D333" t="str">
        <f>Input!B$193</f>
        <v>1.01 to 5</v>
      </c>
      <c r="E333" s="9">
        <f>Input!E$249</f>
        <v>1</v>
      </c>
      <c r="F333" t="str">
        <f>IF(B333&lt;&gt;"",IF(C333="NA",Lists!$D$9,IFERROR(HLOOKUP(C333,Input!$C$312:$L$335,H333,FALSE),"NA")), "")</f>
        <v>A</v>
      </c>
      <c r="G333">
        <f t="shared" si="10"/>
        <v>2</v>
      </c>
      <c r="H333">
        <f t="shared" si="11"/>
        <v>12</v>
      </c>
    </row>
    <row r="334" spans="1:8" x14ac:dyDescent="0.35">
      <c r="A334" t="str">
        <f>Input!H$249</f>
        <v>Sovereign / Public Finance</v>
      </c>
      <c r="B334">
        <f>Input!C254</f>
        <v>0</v>
      </c>
      <c r="C334">
        <f>Input!C$191</f>
        <v>1</v>
      </c>
      <c r="D334" t="str">
        <f>Input!B$194</f>
        <v>5.01 to 10</v>
      </c>
      <c r="E334" s="9">
        <f>Input!E$249</f>
        <v>1</v>
      </c>
      <c r="F334" t="str">
        <f>IF(B334&lt;&gt;"",IF(C334="NA",Lists!$D$9,IFERROR(HLOOKUP(C334,Input!$C$312:$L$335,H334,FALSE),"NA")), "")</f>
        <v>A</v>
      </c>
      <c r="G334">
        <f t="shared" si="10"/>
        <v>3</v>
      </c>
      <c r="H334">
        <f t="shared" si="11"/>
        <v>12</v>
      </c>
    </row>
    <row r="335" spans="1:8" x14ac:dyDescent="0.35">
      <c r="A335" t="str">
        <f>Input!H$249</f>
        <v>Sovereign / Public Finance</v>
      </c>
      <c r="B335">
        <f>Input!C255</f>
        <v>0</v>
      </c>
      <c r="C335">
        <f>Input!C$191</f>
        <v>1</v>
      </c>
      <c r="D335" t="str">
        <f>Input!B$195</f>
        <v>10.01 to 20</v>
      </c>
      <c r="E335" s="9">
        <f>Input!E$249</f>
        <v>1</v>
      </c>
      <c r="F335" t="str">
        <f>IF(B335&lt;&gt;"",IF(C335="NA",Lists!$D$9,IFERROR(HLOOKUP(C335,Input!$C$312:$L$335,H335,FALSE),"NA")), "")</f>
        <v>A</v>
      </c>
      <c r="G335">
        <f t="shared" si="10"/>
        <v>4</v>
      </c>
      <c r="H335">
        <f t="shared" si="11"/>
        <v>12</v>
      </c>
    </row>
    <row r="336" spans="1:8" x14ac:dyDescent="0.35">
      <c r="A336" t="str">
        <f>Input!H$249</f>
        <v>Sovereign / Public Finance</v>
      </c>
      <c r="B336">
        <f>Input!C256</f>
        <v>0</v>
      </c>
      <c r="C336">
        <f>Input!C$191</f>
        <v>1</v>
      </c>
      <c r="D336" t="str">
        <f>Input!B$196</f>
        <v>More than 20</v>
      </c>
      <c r="E336" s="9">
        <f>Input!E$249</f>
        <v>1</v>
      </c>
      <c r="F336" t="str">
        <f>IF(B336&lt;&gt;"",IF(C336="NA",Lists!$D$9,IFERROR(HLOOKUP(C336,Input!$C$312:$L$335,H336,FALSE),"NA")), "")</f>
        <v>A</v>
      </c>
      <c r="G336">
        <f t="shared" si="10"/>
        <v>5</v>
      </c>
      <c r="H336">
        <f t="shared" si="11"/>
        <v>12</v>
      </c>
    </row>
    <row r="337" spans="1:8" x14ac:dyDescent="0.35">
      <c r="A337" t="str">
        <f>Input!H$249</f>
        <v>Sovereign / Public Finance</v>
      </c>
      <c r="B337">
        <f>Input!D252</f>
        <v>0</v>
      </c>
      <c r="C337">
        <f>Input!D$191</f>
        <v>2</v>
      </c>
      <c r="D337" t="str">
        <f>Input!B$192</f>
        <v>Upto 1</v>
      </c>
      <c r="E337" s="9">
        <f>Input!E$249</f>
        <v>1</v>
      </c>
      <c r="F337" t="str">
        <f>IF(B337&lt;&gt;"",IF(C337="NA",Lists!$D$9,IFERROR(HLOOKUP(C337,Input!$C$312:$L$335,H337,FALSE),"NA")), "")</f>
        <v>A</v>
      </c>
      <c r="G337">
        <f t="shared" si="10"/>
        <v>1</v>
      </c>
      <c r="H337">
        <f t="shared" si="11"/>
        <v>12</v>
      </c>
    </row>
    <row r="338" spans="1:8" x14ac:dyDescent="0.35">
      <c r="A338" t="str">
        <f>Input!H$249</f>
        <v>Sovereign / Public Finance</v>
      </c>
      <c r="B338">
        <f>Input!D253</f>
        <v>0</v>
      </c>
      <c r="C338">
        <f>Input!D$191</f>
        <v>2</v>
      </c>
      <c r="D338" t="str">
        <f>Input!B$193</f>
        <v>1.01 to 5</v>
      </c>
      <c r="E338" s="9">
        <f>Input!E$249</f>
        <v>1</v>
      </c>
      <c r="F338" t="str">
        <f>IF(B338&lt;&gt;"",IF(C338="NA",Lists!$D$9,IFERROR(HLOOKUP(C338,Input!$C$312:$L$335,H338,FALSE),"NA")), "")</f>
        <v>A</v>
      </c>
      <c r="G338">
        <f t="shared" si="10"/>
        <v>2</v>
      </c>
      <c r="H338">
        <f t="shared" si="11"/>
        <v>12</v>
      </c>
    </row>
    <row r="339" spans="1:8" x14ac:dyDescent="0.35">
      <c r="A339" t="str">
        <f>Input!H$249</f>
        <v>Sovereign / Public Finance</v>
      </c>
      <c r="B339">
        <f>Input!D254</f>
        <v>0</v>
      </c>
      <c r="C339">
        <f>Input!D$191</f>
        <v>2</v>
      </c>
      <c r="D339" t="str">
        <f>Input!B$194</f>
        <v>5.01 to 10</v>
      </c>
      <c r="E339" s="9">
        <f>Input!E$249</f>
        <v>1</v>
      </c>
      <c r="F339" t="str">
        <f>IF(B339&lt;&gt;"",IF(C339="NA",Lists!$D$9,IFERROR(HLOOKUP(C339,Input!$C$312:$L$335,H339,FALSE),"NA")), "")</f>
        <v>A</v>
      </c>
      <c r="G339">
        <f t="shared" si="10"/>
        <v>3</v>
      </c>
      <c r="H339">
        <f t="shared" si="11"/>
        <v>12</v>
      </c>
    </row>
    <row r="340" spans="1:8" x14ac:dyDescent="0.35">
      <c r="A340" t="str">
        <f>Input!H$249</f>
        <v>Sovereign / Public Finance</v>
      </c>
      <c r="B340">
        <f>Input!D255</f>
        <v>0</v>
      </c>
      <c r="C340">
        <f>Input!D$191</f>
        <v>2</v>
      </c>
      <c r="D340" t="str">
        <f>Input!B$195</f>
        <v>10.01 to 20</v>
      </c>
      <c r="E340" s="9">
        <f>Input!E$249</f>
        <v>1</v>
      </c>
      <c r="F340" t="str">
        <f>IF(B340&lt;&gt;"",IF(C340="NA",Lists!$D$9,IFERROR(HLOOKUP(C340,Input!$C$312:$L$335,H340,FALSE),"NA")), "")</f>
        <v>A</v>
      </c>
      <c r="G340">
        <f t="shared" si="10"/>
        <v>4</v>
      </c>
      <c r="H340">
        <f t="shared" si="11"/>
        <v>12</v>
      </c>
    </row>
    <row r="341" spans="1:8" x14ac:dyDescent="0.35">
      <c r="A341" t="str">
        <f>Input!H$249</f>
        <v>Sovereign / Public Finance</v>
      </c>
      <c r="B341">
        <f>Input!D256</f>
        <v>0</v>
      </c>
      <c r="C341">
        <f>Input!D$191</f>
        <v>2</v>
      </c>
      <c r="D341" t="str">
        <f>Input!B$196</f>
        <v>More than 20</v>
      </c>
      <c r="E341" s="9">
        <f>Input!E$249</f>
        <v>1</v>
      </c>
      <c r="F341" t="str">
        <f>IF(B341&lt;&gt;"",IF(C341="NA",Lists!$D$9,IFERROR(HLOOKUP(C341,Input!$C$312:$L$335,H341,FALSE),"NA")), "")</f>
        <v>A</v>
      </c>
      <c r="G341">
        <f t="shared" si="10"/>
        <v>5</v>
      </c>
      <c r="H341">
        <f t="shared" si="11"/>
        <v>12</v>
      </c>
    </row>
    <row r="342" spans="1:8" x14ac:dyDescent="0.35">
      <c r="A342" t="str">
        <f>Input!H$249</f>
        <v>Sovereign / Public Finance</v>
      </c>
      <c r="B342">
        <f>Input!E252</f>
        <v>0</v>
      </c>
      <c r="C342">
        <f>Input!E$191</f>
        <v>3</v>
      </c>
      <c r="D342" t="str">
        <f>Input!B$192</f>
        <v>Upto 1</v>
      </c>
      <c r="E342" s="9">
        <f>Input!E$249</f>
        <v>1</v>
      </c>
      <c r="F342" t="str">
        <f>IF(B342&lt;&gt;"",IF(C342="NA",Lists!$D$9,IFERROR(HLOOKUP(C342,Input!$C$312:$L$335,H342,FALSE),"NA")), "")</f>
        <v>A</v>
      </c>
      <c r="G342">
        <f t="shared" si="10"/>
        <v>1</v>
      </c>
      <c r="H342">
        <f t="shared" si="11"/>
        <v>12</v>
      </c>
    </row>
    <row r="343" spans="1:8" x14ac:dyDescent="0.35">
      <c r="A343" t="str">
        <f>Input!H$249</f>
        <v>Sovereign / Public Finance</v>
      </c>
      <c r="B343">
        <f>Input!E253</f>
        <v>0</v>
      </c>
      <c r="C343">
        <f>Input!E$191</f>
        <v>3</v>
      </c>
      <c r="D343" t="str">
        <f>Input!B$193</f>
        <v>1.01 to 5</v>
      </c>
      <c r="E343" s="9">
        <f>Input!E$249</f>
        <v>1</v>
      </c>
      <c r="F343" t="str">
        <f>IF(B343&lt;&gt;"",IF(C343="NA",Lists!$D$9,IFERROR(HLOOKUP(C343,Input!$C$312:$L$335,H343,FALSE),"NA")), "")</f>
        <v>A</v>
      </c>
      <c r="G343">
        <f t="shared" si="10"/>
        <v>2</v>
      </c>
      <c r="H343">
        <f t="shared" si="11"/>
        <v>12</v>
      </c>
    </row>
    <row r="344" spans="1:8" x14ac:dyDescent="0.35">
      <c r="A344" t="str">
        <f>Input!H$249</f>
        <v>Sovereign / Public Finance</v>
      </c>
      <c r="B344">
        <f>Input!E254</f>
        <v>0</v>
      </c>
      <c r="C344">
        <f>Input!E$191</f>
        <v>3</v>
      </c>
      <c r="D344" t="str">
        <f>Input!B$194</f>
        <v>5.01 to 10</v>
      </c>
      <c r="E344" s="9">
        <f>Input!E$249</f>
        <v>1</v>
      </c>
      <c r="F344" t="str">
        <f>IF(B344&lt;&gt;"",IF(C344="NA",Lists!$D$9,IFERROR(HLOOKUP(C344,Input!$C$312:$L$335,H344,FALSE),"NA")), "")</f>
        <v>A</v>
      </c>
      <c r="G344">
        <f t="shared" si="10"/>
        <v>3</v>
      </c>
      <c r="H344">
        <f t="shared" si="11"/>
        <v>12</v>
      </c>
    </row>
    <row r="345" spans="1:8" x14ac:dyDescent="0.35">
      <c r="A345" t="str">
        <f>Input!H$249</f>
        <v>Sovereign / Public Finance</v>
      </c>
      <c r="B345">
        <f>Input!E255</f>
        <v>0</v>
      </c>
      <c r="C345">
        <f>Input!E$191</f>
        <v>3</v>
      </c>
      <c r="D345" t="str">
        <f>Input!B$195</f>
        <v>10.01 to 20</v>
      </c>
      <c r="E345" s="9">
        <f>Input!E$249</f>
        <v>1</v>
      </c>
      <c r="F345" t="str">
        <f>IF(B345&lt;&gt;"",IF(C345="NA",Lists!$D$9,IFERROR(HLOOKUP(C345,Input!$C$312:$L$335,H345,FALSE),"NA")), "")</f>
        <v>A</v>
      </c>
      <c r="G345">
        <f t="shared" si="10"/>
        <v>4</v>
      </c>
      <c r="H345">
        <f t="shared" si="11"/>
        <v>12</v>
      </c>
    </row>
    <row r="346" spans="1:8" x14ac:dyDescent="0.35">
      <c r="A346" t="str">
        <f>Input!H$249</f>
        <v>Sovereign / Public Finance</v>
      </c>
      <c r="B346">
        <f>Input!E256</f>
        <v>0</v>
      </c>
      <c r="C346">
        <f>Input!E$191</f>
        <v>3</v>
      </c>
      <c r="D346" t="str">
        <f>Input!B$196</f>
        <v>More than 20</v>
      </c>
      <c r="E346" s="9">
        <f>Input!E$249</f>
        <v>1</v>
      </c>
      <c r="F346" t="str">
        <f>IF(B346&lt;&gt;"",IF(C346="NA",Lists!$D$9,IFERROR(HLOOKUP(C346,Input!$C$312:$L$335,H346,FALSE),"NA")), "")</f>
        <v>A</v>
      </c>
      <c r="G346">
        <f t="shared" si="10"/>
        <v>5</v>
      </c>
      <c r="H346">
        <f t="shared" si="11"/>
        <v>12</v>
      </c>
    </row>
    <row r="347" spans="1:8" x14ac:dyDescent="0.35">
      <c r="A347" t="str">
        <f>Input!H$249</f>
        <v>Sovereign / Public Finance</v>
      </c>
      <c r="B347">
        <f>Input!F252</f>
        <v>0</v>
      </c>
      <c r="C347">
        <f>Input!F$191</f>
        <v>4</v>
      </c>
      <c r="D347" t="str">
        <f>Input!B$192</f>
        <v>Upto 1</v>
      </c>
      <c r="E347" s="9">
        <f>Input!E$249</f>
        <v>1</v>
      </c>
      <c r="F347" t="str">
        <f>IF(B347&lt;&gt;"",IF(C347="NA",Lists!$D$9,IFERROR(HLOOKUP(C347,Input!$C$312:$L$335,H347,FALSE),"NA")), "")</f>
        <v>A</v>
      </c>
      <c r="G347">
        <f t="shared" si="10"/>
        <v>1</v>
      </c>
      <c r="H347">
        <f t="shared" si="11"/>
        <v>12</v>
      </c>
    </row>
    <row r="348" spans="1:8" x14ac:dyDescent="0.35">
      <c r="A348" t="str">
        <f>Input!H$249</f>
        <v>Sovereign / Public Finance</v>
      </c>
      <c r="B348">
        <f>Input!F253</f>
        <v>0</v>
      </c>
      <c r="C348">
        <f>Input!F$191</f>
        <v>4</v>
      </c>
      <c r="D348" t="str">
        <f>Input!B$193</f>
        <v>1.01 to 5</v>
      </c>
      <c r="E348" s="9">
        <f>Input!E$249</f>
        <v>1</v>
      </c>
      <c r="F348" t="str">
        <f>IF(B348&lt;&gt;"",IF(C348="NA",Lists!$D$9,IFERROR(HLOOKUP(C348,Input!$C$312:$L$335,H348,FALSE),"NA")), "")</f>
        <v>A</v>
      </c>
      <c r="G348">
        <f t="shared" si="10"/>
        <v>2</v>
      </c>
      <c r="H348">
        <f t="shared" si="11"/>
        <v>12</v>
      </c>
    </row>
    <row r="349" spans="1:8" x14ac:dyDescent="0.35">
      <c r="A349" t="str">
        <f>Input!H$249</f>
        <v>Sovereign / Public Finance</v>
      </c>
      <c r="B349">
        <f>Input!F254</f>
        <v>0</v>
      </c>
      <c r="C349">
        <f>Input!F$191</f>
        <v>4</v>
      </c>
      <c r="D349" t="str">
        <f>Input!B$194</f>
        <v>5.01 to 10</v>
      </c>
      <c r="E349" s="9">
        <f>Input!E$249</f>
        <v>1</v>
      </c>
      <c r="F349" t="str">
        <f>IF(B349&lt;&gt;"",IF(C349="NA",Lists!$D$9,IFERROR(HLOOKUP(C349,Input!$C$312:$L$335,H349,FALSE),"NA")), "")</f>
        <v>A</v>
      </c>
      <c r="G349">
        <f t="shared" si="10"/>
        <v>3</v>
      </c>
      <c r="H349">
        <f t="shared" si="11"/>
        <v>12</v>
      </c>
    </row>
    <row r="350" spans="1:8" x14ac:dyDescent="0.35">
      <c r="A350" t="str">
        <f>Input!H$249</f>
        <v>Sovereign / Public Finance</v>
      </c>
      <c r="B350">
        <f>Input!F255</f>
        <v>0</v>
      </c>
      <c r="C350">
        <f>Input!F$191</f>
        <v>4</v>
      </c>
      <c r="D350" t="str">
        <f>Input!B$195</f>
        <v>10.01 to 20</v>
      </c>
      <c r="E350" s="9">
        <f>Input!E$249</f>
        <v>1</v>
      </c>
      <c r="F350" t="str">
        <f>IF(B350&lt;&gt;"",IF(C350="NA",Lists!$D$9,IFERROR(HLOOKUP(C350,Input!$C$312:$L$335,H350,FALSE),"NA")), "")</f>
        <v>A</v>
      </c>
      <c r="G350">
        <f t="shared" si="10"/>
        <v>4</v>
      </c>
      <c r="H350">
        <f t="shared" si="11"/>
        <v>12</v>
      </c>
    </row>
    <row r="351" spans="1:8" x14ac:dyDescent="0.35">
      <c r="A351" t="str">
        <f>Input!H$249</f>
        <v>Sovereign / Public Finance</v>
      </c>
      <c r="B351">
        <f>Input!F256</f>
        <v>0</v>
      </c>
      <c r="C351">
        <f>Input!F$191</f>
        <v>4</v>
      </c>
      <c r="D351" t="str">
        <f>Input!B$196</f>
        <v>More than 20</v>
      </c>
      <c r="E351" s="9">
        <f>Input!E$249</f>
        <v>1</v>
      </c>
      <c r="F351" t="str">
        <f>IF(B351&lt;&gt;"",IF(C351="NA",Lists!$D$9,IFERROR(HLOOKUP(C351,Input!$C$312:$L$335,H351,FALSE),"NA")), "")</f>
        <v>A</v>
      </c>
      <c r="G351">
        <f t="shared" si="10"/>
        <v>5</v>
      </c>
      <c r="H351">
        <f t="shared" si="11"/>
        <v>12</v>
      </c>
    </row>
    <row r="352" spans="1:8" x14ac:dyDescent="0.35">
      <c r="A352" t="str">
        <f>Input!H$249</f>
        <v>Sovereign / Public Finance</v>
      </c>
      <c r="B352">
        <f>Input!G252</f>
        <v>0</v>
      </c>
      <c r="C352">
        <f>Input!G$191</f>
        <v>5</v>
      </c>
      <c r="D352" t="str">
        <f>Input!B$192</f>
        <v>Upto 1</v>
      </c>
      <c r="E352" s="9">
        <f>Input!E$249</f>
        <v>1</v>
      </c>
      <c r="F352" t="str">
        <f>IF(B352&lt;&gt;"",IF(C352="NA",Lists!$D$9,IFERROR(HLOOKUP(C352,Input!$C$312:$L$335,H352,FALSE),"NA")), "")</f>
        <v>BBB</v>
      </c>
      <c r="G352">
        <f t="shared" si="10"/>
        <v>1</v>
      </c>
      <c r="H352">
        <f t="shared" si="11"/>
        <v>12</v>
      </c>
    </row>
    <row r="353" spans="1:8" x14ac:dyDescent="0.35">
      <c r="A353" t="str">
        <f>Input!H$249</f>
        <v>Sovereign / Public Finance</v>
      </c>
      <c r="B353">
        <f>Input!G253</f>
        <v>0</v>
      </c>
      <c r="C353">
        <f>Input!G$191</f>
        <v>5</v>
      </c>
      <c r="D353" t="str">
        <f>Input!B$193</f>
        <v>1.01 to 5</v>
      </c>
      <c r="E353" s="9">
        <f>Input!E$249</f>
        <v>1</v>
      </c>
      <c r="F353" t="str">
        <f>IF(B353&lt;&gt;"",IF(C353="NA",Lists!$D$9,IFERROR(HLOOKUP(C353,Input!$C$312:$L$335,H353,FALSE),"NA")), "")</f>
        <v>BBB</v>
      </c>
      <c r="G353">
        <f t="shared" si="10"/>
        <v>2</v>
      </c>
      <c r="H353">
        <f t="shared" si="11"/>
        <v>12</v>
      </c>
    </row>
    <row r="354" spans="1:8" x14ac:dyDescent="0.35">
      <c r="A354" t="str">
        <f>Input!H$249</f>
        <v>Sovereign / Public Finance</v>
      </c>
      <c r="B354">
        <f>Input!G254</f>
        <v>0</v>
      </c>
      <c r="C354">
        <f>Input!G$191</f>
        <v>5</v>
      </c>
      <c r="D354" t="str">
        <f>Input!B$194</f>
        <v>5.01 to 10</v>
      </c>
      <c r="E354" s="9">
        <f>Input!E$249</f>
        <v>1</v>
      </c>
      <c r="F354" t="str">
        <f>IF(B354&lt;&gt;"",IF(C354="NA",Lists!$D$9,IFERROR(HLOOKUP(C354,Input!$C$312:$L$335,H354,FALSE),"NA")), "")</f>
        <v>BBB</v>
      </c>
      <c r="G354">
        <f t="shared" si="10"/>
        <v>3</v>
      </c>
      <c r="H354">
        <f t="shared" si="11"/>
        <v>12</v>
      </c>
    </row>
    <row r="355" spans="1:8" x14ac:dyDescent="0.35">
      <c r="A355" t="str">
        <f>Input!H$249</f>
        <v>Sovereign / Public Finance</v>
      </c>
      <c r="B355">
        <f>Input!G255</f>
        <v>0</v>
      </c>
      <c r="C355">
        <f>Input!G$191</f>
        <v>5</v>
      </c>
      <c r="D355" t="str">
        <f>Input!B$195</f>
        <v>10.01 to 20</v>
      </c>
      <c r="E355" s="9">
        <f>Input!E$249</f>
        <v>1</v>
      </c>
      <c r="F355" t="str">
        <f>IF(B355&lt;&gt;"",IF(C355="NA",Lists!$D$9,IFERROR(HLOOKUP(C355,Input!$C$312:$L$335,H355,FALSE),"NA")), "")</f>
        <v>BBB</v>
      </c>
      <c r="G355">
        <f t="shared" si="10"/>
        <v>4</v>
      </c>
      <c r="H355">
        <f t="shared" si="11"/>
        <v>12</v>
      </c>
    </row>
    <row r="356" spans="1:8" x14ac:dyDescent="0.35">
      <c r="A356" t="str">
        <f>Input!H$249</f>
        <v>Sovereign / Public Finance</v>
      </c>
      <c r="B356">
        <f>Input!G256</f>
        <v>0</v>
      </c>
      <c r="C356">
        <f>Input!G$191</f>
        <v>5</v>
      </c>
      <c r="D356" t="str">
        <f>Input!B$196</f>
        <v>More than 20</v>
      </c>
      <c r="E356" s="9">
        <f>Input!E$249</f>
        <v>1</v>
      </c>
      <c r="F356" t="str">
        <f>IF(B356&lt;&gt;"",IF(C356="NA",Lists!$D$9,IFERROR(HLOOKUP(C356,Input!$C$312:$L$335,H356,FALSE),"NA")), "")</f>
        <v>BBB</v>
      </c>
      <c r="G356">
        <f t="shared" si="10"/>
        <v>5</v>
      </c>
      <c r="H356">
        <f t="shared" si="11"/>
        <v>12</v>
      </c>
    </row>
    <row r="357" spans="1:8" x14ac:dyDescent="0.35">
      <c r="A357" t="str">
        <f>Input!H$249</f>
        <v>Sovereign / Public Finance</v>
      </c>
      <c r="B357">
        <f>Input!H252</f>
        <v>0</v>
      </c>
      <c r="C357">
        <f>Input!H$191</f>
        <v>6</v>
      </c>
      <c r="D357" t="str">
        <f>Input!B$192</f>
        <v>Upto 1</v>
      </c>
      <c r="E357" s="9">
        <f>Input!E$249</f>
        <v>1</v>
      </c>
      <c r="F357" t="str">
        <f>IF(B357&lt;&gt;"",IF(C357="NA",Lists!$D$9,IFERROR(HLOOKUP(C357,Input!$C$312:$L$335,H357,FALSE),"NA")), "")</f>
        <v>BBB</v>
      </c>
      <c r="G357">
        <f t="shared" si="10"/>
        <v>1</v>
      </c>
      <c r="H357">
        <f t="shared" si="11"/>
        <v>12</v>
      </c>
    </row>
    <row r="358" spans="1:8" x14ac:dyDescent="0.35">
      <c r="A358" t="str">
        <f>Input!H$249</f>
        <v>Sovereign / Public Finance</v>
      </c>
      <c r="B358">
        <f>Input!H253</f>
        <v>0</v>
      </c>
      <c r="C358">
        <f>Input!H$191</f>
        <v>6</v>
      </c>
      <c r="D358" t="str">
        <f>Input!B$193</f>
        <v>1.01 to 5</v>
      </c>
      <c r="E358" s="9">
        <f>Input!E$249</f>
        <v>1</v>
      </c>
      <c r="F358" t="str">
        <f>IF(B358&lt;&gt;"",IF(C358="NA",Lists!$D$9,IFERROR(HLOOKUP(C358,Input!$C$312:$L$335,H358,FALSE),"NA")), "")</f>
        <v>BBB</v>
      </c>
      <c r="G358">
        <f t="shared" si="10"/>
        <v>2</v>
      </c>
      <c r="H358">
        <f t="shared" si="11"/>
        <v>12</v>
      </c>
    </row>
    <row r="359" spans="1:8" x14ac:dyDescent="0.35">
      <c r="A359" t="str">
        <f>Input!H$249</f>
        <v>Sovereign / Public Finance</v>
      </c>
      <c r="B359">
        <f>Input!H254</f>
        <v>0</v>
      </c>
      <c r="C359">
        <f>Input!H$191</f>
        <v>6</v>
      </c>
      <c r="D359" t="str">
        <f>Input!B$194</f>
        <v>5.01 to 10</v>
      </c>
      <c r="E359" s="9">
        <f>Input!E$249</f>
        <v>1</v>
      </c>
      <c r="F359" t="str">
        <f>IF(B359&lt;&gt;"",IF(C359="NA",Lists!$D$9,IFERROR(HLOOKUP(C359,Input!$C$312:$L$335,H359,FALSE),"NA")), "")</f>
        <v>BBB</v>
      </c>
      <c r="G359">
        <f t="shared" si="10"/>
        <v>3</v>
      </c>
      <c r="H359">
        <f t="shared" si="11"/>
        <v>12</v>
      </c>
    </row>
    <row r="360" spans="1:8" x14ac:dyDescent="0.35">
      <c r="A360" t="str">
        <f>Input!H$249</f>
        <v>Sovereign / Public Finance</v>
      </c>
      <c r="B360">
        <f>Input!H255</f>
        <v>0</v>
      </c>
      <c r="C360">
        <f>Input!H$191</f>
        <v>6</v>
      </c>
      <c r="D360" t="str">
        <f>Input!B$195</f>
        <v>10.01 to 20</v>
      </c>
      <c r="E360" s="9">
        <f>Input!E$249</f>
        <v>1</v>
      </c>
      <c r="F360" t="str">
        <f>IF(B360&lt;&gt;"",IF(C360="NA",Lists!$D$9,IFERROR(HLOOKUP(C360,Input!$C$312:$L$335,H360,FALSE),"NA")), "")</f>
        <v>BBB</v>
      </c>
      <c r="G360">
        <f t="shared" si="10"/>
        <v>4</v>
      </c>
      <c r="H360">
        <f t="shared" si="11"/>
        <v>12</v>
      </c>
    </row>
    <row r="361" spans="1:8" x14ac:dyDescent="0.35">
      <c r="A361" t="str">
        <f>Input!H$249</f>
        <v>Sovereign / Public Finance</v>
      </c>
      <c r="B361">
        <f>Input!H256</f>
        <v>0</v>
      </c>
      <c r="C361">
        <f>Input!H$191</f>
        <v>6</v>
      </c>
      <c r="D361" t="str">
        <f>Input!B$196</f>
        <v>More than 20</v>
      </c>
      <c r="E361" s="9">
        <f>Input!E$249</f>
        <v>1</v>
      </c>
      <c r="F361" t="str">
        <f>IF(B361&lt;&gt;"",IF(C361="NA",Lists!$D$9,IFERROR(HLOOKUP(C361,Input!$C$312:$L$335,H361,FALSE),"NA")), "")</f>
        <v>BBB</v>
      </c>
      <c r="G361">
        <f t="shared" si="10"/>
        <v>5</v>
      </c>
      <c r="H361">
        <f t="shared" si="11"/>
        <v>12</v>
      </c>
    </row>
    <row r="362" spans="1:8" x14ac:dyDescent="0.35">
      <c r="A362" t="str">
        <f>Input!H$249</f>
        <v>Sovereign / Public Finance</v>
      </c>
      <c r="B362">
        <f>Input!I252</f>
        <v>0</v>
      </c>
      <c r="C362">
        <f>Input!I$191</f>
        <v>7</v>
      </c>
      <c r="D362" t="str">
        <f>Input!B$192</f>
        <v>Upto 1</v>
      </c>
      <c r="E362" s="9">
        <f>Input!E$249</f>
        <v>1</v>
      </c>
      <c r="F362" t="str">
        <f>IF(B362&lt;&gt;"",IF(C362="NA",Lists!$D$9,IFERROR(HLOOKUP(C362,Input!$C$312:$L$335,H362,FALSE),"NA")), "")</f>
        <v>BB</v>
      </c>
      <c r="G362">
        <f t="shared" si="10"/>
        <v>1</v>
      </c>
      <c r="H362">
        <f t="shared" si="11"/>
        <v>12</v>
      </c>
    </row>
    <row r="363" spans="1:8" x14ac:dyDescent="0.35">
      <c r="A363" t="str">
        <f>Input!H$249</f>
        <v>Sovereign / Public Finance</v>
      </c>
      <c r="B363">
        <f>Input!I253</f>
        <v>0</v>
      </c>
      <c r="C363">
        <f>Input!I$191</f>
        <v>7</v>
      </c>
      <c r="D363" t="str">
        <f>Input!B$193</f>
        <v>1.01 to 5</v>
      </c>
      <c r="E363" s="9">
        <f>Input!E$249</f>
        <v>1</v>
      </c>
      <c r="F363" t="str">
        <f>IF(B363&lt;&gt;"",IF(C363="NA",Lists!$D$9,IFERROR(HLOOKUP(C363,Input!$C$312:$L$335,H363,FALSE),"NA")), "")</f>
        <v>BB</v>
      </c>
      <c r="G363">
        <f t="shared" si="10"/>
        <v>2</v>
      </c>
      <c r="H363">
        <f t="shared" si="11"/>
        <v>12</v>
      </c>
    </row>
    <row r="364" spans="1:8" x14ac:dyDescent="0.35">
      <c r="A364" t="str">
        <f>Input!H$249</f>
        <v>Sovereign / Public Finance</v>
      </c>
      <c r="B364">
        <f>Input!I254</f>
        <v>0</v>
      </c>
      <c r="C364">
        <f>Input!I$191</f>
        <v>7</v>
      </c>
      <c r="D364" t="str">
        <f>Input!B$194</f>
        <v>5.01 to 10</v>
      </c>
      <c r="E364" s="9">
        <f>Input!E$249</f>
        <v>1</v>
      </c>
      <c r="F364" t="str">
        <f>IF(B364&lt;&gt;"",IF(C364="NA",Lists!$D$9,IFERROR(HLOOKUP(C364,Input!$C$312:$L$335,H364,FALSE),"NA")), "")</f>
        <v>BB</v>
      </c>
      <c r="G364">
        <f t="shared" si="10"/>
        <v>3</v>
      </c>
      <c r="H364">
        <f t="shared" si="11"/>
        <v>12</v>
      </c>
    </row>
    <row r="365" spans="1:8" x14ac:dyDescent="0.35">
      <c r="A365" t="str">
        <f>Input!H$249</f>
        <v>Sovereign / Public Finance</v>
      </c>
      <c r="B365">
        <f>Input!I255</f>
        <v>0</v>
      </c>
      <c r="C365">
        <f>Input!I$191</f>
        <v>7</v>
      </c>
      <c r="D365" t="str">
        <f>Input!B$195</f>
        <v>10.01 to 20</v>
      </c>
      <c r="E365" s="9">
        <f>Input!E$249</f>
        <v>1</v>
      </c>
      <c r="F365" t="str">
        <f>IF(B365&lt;&gt;"",IF(C365="NA",Lists!$D$9,IFERROR(HLOOKUP(C365,Input!$C$312:$L$335,H365,FALSE),"NA")), "")</f>
        <v>BB</v>
      </c>
      <c r="G365">
        <f t="shared" si="10"/>
        <v>4</v>
      </c>
      <c r="H365">
        <f t="shared" si="11"/>
        <v>12</v>
      </c>
    </row>
    <row r="366" spans="1:8" x14ac:dyDescent="0.35">
      <c r="A366" t="str">
        <f>Input!H$249</f>
        <v>Sovereign / Public Finance</v>
      </c>
      <c r="B366">
        <f>Input!I256</f>
        <v>0</v>
      </c>
      <c r="C366">
        <f>Input!I$191</f>
        <v>7</v>
      </c>
      <c r="D366" t="str">
        <f>Input!B$196</f>
        <v>More than 20</v>
      </c>
      <c r="E366" s="9">
        <f>Input!E$249</f>
        <v>1</v>
      </c>
      <c r="F366" t="str">
        <f>IF(B366&lt;&gt;"",IF(C366="NA",Lists!$D$9,IFERROR(HLOOKUP(C366,Input!$C$312:$L$335,H366,FALSE),"NA")), "")</f>
        <v>BB</v>
      </c>
      <c r="G366">
        <f t="shared" si="10"/>
        <v>5</v>
      </c>
      <c r="H366">
        <f t="shared" si="11"/>
        <v>12</v>
      </c>
    </row>
    <row r="367" spans="1:8" x14ac:dyDescent="0.35">
      <c r="A367" t="str">
        <f>Input!H$249</f>
        <v>Sovereign / Public Finance</v>
      </c>
      <c r="B367">
        <f>Input!J252</f>
        <v>0</v>
      </c>
      <c r="C367">
        <f>Input!J$191</f>
        <v>8</v>
      </c>
      <c r="D367" t="str">
        <f>Input!B$192</f>
        <v>Upto 1</v>
      </c>
      <c r="E367" s="9">
        <f>Input!E$249</f>
        <v>1</v>
      </c>
      <c r="F367" t="str">
        <f>IF(B367&lt;&gt;"",IF(C367="NA",Lists!$D$9,IFERROR(HLOOKUP(C367,Input!$C$312:$L$335,H367,FALSE),"NA")), "")</f>
        <v>B</v>
      </c>
      <c r="G367">
        <f t="shared" si="10"/>
        <v>1</v>
      </c>
      <c r="H367">
        <f t="shared" si="11"/>
        <v>12</v>
      </c>
    </row>
    <row r="368" spans="1:8" x14ac:dyDescent="0.35">
      <c r="A368" t="str">
        <f>Input!H$249</f>
        <v>Sovereign / Public Finance</v>
      </c>
      <c r="B368">
        <f>Input!J253</f>
        <v>0</v>
      </c>
      <c r="C368">
        <f>Input!J$191</f>
        <v>8</v>
      </c>
      <c r="D368" t="str">
        <f>Input!B$193</f>
        <v>1.01 to 5</v>
      </c>
      <c r="E368" s="9">
        <f>Input!E$249</f>
        <v>1</v>
      </c>
      <c r="F368" t="str">
        <f>IF(B368&lt;&gt;"",IF(C368="NA",Lists!$D$9,IFERROR(HLOOKUP(C368,Input!$C$312:$L$335,H368,FALSE),"NA")), "")</f>
        <v>B</v>
      </c>
      <c r="G368">
        <f t="shared" si="10"/>
        <v>2</v>
      </c>
      <c r="H368">
        <f t="shared" si="11"/>
        <v>12</v>
      </c>
    </row>
    <row r="369" spans="1:8" x14ac:dyDescent="0.35">
      <c r="A369" t="str">
        <f>Input!H$249</f>
        <v>Sovereign / Public Finance</v>
      </c>
      <c r="B369">
        <f>Input!J254</f>
        <v>0</v>
      </c>
      <c r="C369">
        <f>Input!J$191</f>
        <v>8</v>
      </c>
      <c r="D369" t="str">
        <f>Input!B$194</f>
        <v>5.01 to 10</v>
      </c>
      <c r="E369" s="9">
        <f>Input!E$249</f>
        <v>1</v>
      </c>
      <c r="F369" t="str">
        <f>IF(B369&lt;&gt;"",IF(C369="NA",Lists!$D$9,IFERROR(HLOOKUP(C369,Input!$C$312:$L$335,H369,FALSE),"NA")), "")</f>
        <v>B</v>
      </c>
      <c r="G369">
        <f t="shared" si="10"/>
        <v>3</v>
      </c>
      <c r="H369">
        <f t="shared" si="11"/>
        <v>12</v>
      </c>
    </row>
    <row r="370" spans="1:8" x14ac:dyDescent="0.35">
      <c r="A370" t="str">
        <f>Input!H$249</f>
        <v>Sovereign / Public Finance</v>
      </c>
      <c r="B370">
        <f>Input!J255</f>
        <v>0</v>
      </c>
      <c r="C370">
        <f>Input!J$191</f>
        <v>8</v>
      </c>
      <c r="D370" t="str">
        <f>Input!B$195</f>
        <v>10.01 to 20</v>
      </c>
      <c r="E370" s="9">
        <f>Input!E$249</f>
        <v>1</v>
      </c>
      <c r="F370" t="str">
        <f>IF(B370&lt;&gt;"",IF(C370="NA",Lists!$D$9,IFERROR(HLOOKUP(C370,Input!$C$312:$L$335,H370,FALSE),"NA")), "")</f>
        <v>B</v>
      </c>
      <c r="G370">
        <f t="shared" si="10"/>
        <v>4</v>
      </c>
      <c r="H370">
        <f t="shared" si="11"/>
        <v>12</v>
      </c>
    </row>
    <row r="371" spans="1:8" x14ac:dyDescent="0.35">
      <c r="A371" t="str">
        <f>Input!H$249</f>
        <v>Sovereign / Public Finance</v>
      </c>
      <c r="B371">
        <f>Input!J256</f>
        <v>0</v>
      </c>
      <c r="C371">
        <f>Input!J$191</f>
        <v>8</v>
      </c>
      <c r="D371" t="str">
        <f>Input!B$196</f>
        <v>More than 20</v>
      </c>
      <c r="E371" s="9">
        <f>Input!E$249</f>
        <v>1</v>
      </c>
      <c r="F371" t="str">
        <f>IF(B371&lt;&gt;"",IF(C371="NA",Lists!$D$9,IFERROR(HLOOKUP(C371,Input!$C$312:$L$335,H371,FALSE),"NA")), "")</f>
        <v>B</v>
      </c>
      <c r="G371">
        <f t="shared" si="10"/>
        <v>5</v>
      </c>
      <c r="H371">
        <f t="shared" si="11"/>
        <v>12</v>
      </c>
    </row>
    <row r="372" spans="1:8" x14ac:dyDescent="0.35">
      <c r="A372" t="str">
        <f>Input!H$249</f>
        <v>Sovereign / Public Finance</v>
      </c>
      <c r="B372">
        <f>Input!K252</f>
        <v>0</v>
      </c>
      <c r="C372">
        <f>Input!K$191</f>
        <v>9</v>
      </c>
      <c r="D372" t="str">
        <f>Input!B$192</f>
        <v>Upto 1</v>
      </c>
      <c r="E372" s="9">
        <f>Input!E$249</f>
        <v>1</v>
      </c>
      <c r="F372" t="str">
        <f>IF(B372&lt;&gt;"",IF(C372="NA",Lists!$D$9,IFERROR(HLOOKUP(C372,Input!$C$312:$L$335,H372,FALSE),"NA")), "")</f>
        <v>B</v>
      </c>
      <c r="G372">
        <f t="shared" si="10"/>
        <v>1</v>
      </c>
      <c r="H372">
        <f t="shared" si="11"/>
        <v>12</v>
      </c>
    </row>
    <row r="373" spans="1:8" x14ac:dyDescent="0.35">
      <c r="A373" t="str">
        <f>Input!H$249</f>
        <v>Sovereign / Public Finance</v>
      </c>
      <c r="B373">
        <f>Input!K253</f>
        <v>0</v>
      </c>
      <c r="C373">
        <f>Input!K$191</f>
        <v>9</v>
      </c>
      <c r="D373" t="str">
        <f>Input!B$193</f>
        <v>1.01 to 5</v>
      </c>
      <c r="E373" s="9">
        <f>Input!E$249</f>
        <v>1</v>
      </c>
      <c r="F373" t="str">
        <f>IF(B373&lt;&gt;"",IF(C373="NA",Lists!$D$9,IFERROR(HLOOKUP(C373,Input!$C$312:$L$335,H373,FALSE),"NA")), "")</f>
        <v>B</v>
      </c>
      <c r="G373">
        <f t="shared" si="10"/>
        <v>2</v>
      </c>
      <c r="H373">
        <f t="shared" si="11"/>
        <v>12</v>
      </c>
    </row>
    <row r="374" spans="1:8" x14ac:dyDescent="0.35">
      <c r="A374" t="str">
        <f>Input!H$249</f>
        <v>Sovereign / Public Finance</v>
      </c>
      <c r="B374">
        <f>Input!K254</f>
        <v>0</v>
      </c>
      <c r="C374">
        <f>Input!K$191</f>
        <v>9</v>
      </c>
      <c r="D374" t="str">
        <f>Input!B$194</f>
        <v>5.01 to 10</v>
      </c>
      <c r="E374" s="9">
        <f>Input!E$249</f>
        <v>1</v>
      </c>
      <c r="F374" t="str">
        <f>IF(B374&lt;&gt;"",IF(C374="NA",Lists!$D$9,IFERROR(HLOOKUP(C374,Input!$C$312:$L$335,H374,FALSE),"NA")), "")</f>
        <v>B</v>
      </c>
      <c r="G374">
        <f t="shared" si="10"/>
        <v>3</v>
      </c>
      <c r="H374">
        <f t="shared" si="11"/>
        <v>12</v>
      </c>
    </row>
    <row r="375" spans="1:8" x14ac:dyDescent="0.35">
      <c r="A375" t="str">
        <f>Input!H$249</f>
        <v>Sovereign / Public Finance</v>
      </c>
      <c r="B375">
        <f>Input!K255</f>
        <v>0</v>
      </c>
      <c r="C375">
        <f>Input!K$191</f>
        <v>9</v>
      </c>
      <c r="D375" t="str">
        <f>Input!B$195</f>
        <v>10.01 to 20</v>
      </c>
      <c r="E375" s="9">
        <f>Input!E$249</f>
        <v>1</v>
      </c>
      <c r="F375" t="str">
        <f>IF(B375&lt;&gt;"",IF(C375="NA",Lists!$D$9,IFERROR(HLOOKUP(C375,Input!$C$312:$L$335,H375,FALSE),"NA")), "")</f>
        <v>B</v>
      </c>
      <c r="G375">
        <f t="shared" si="10"/>
        <v>4</v>
      </c>
      <c r="H375">
        <f t="shared" si="11"/>
        <v>12</v>
      </c>
    </row>
    <row r="376" spans="1:8" x14ac:dyDescent="0.35">
      <c r="A376" t="str">
        <f>Input!H$249</f>
        <v>Sovereign / Public Finance</v>
      </c>
      <c r="B376">
        <f>Input!K256</f>
        <v>0</v>
      </c>
      <c r="C376">
        <f>Input!K$191</f>
        <v>9</v>
      </c>
      <c r="D376" t="str">
        <f>Input!B$196</f>
        <v>More than 20</v>
      </c>
      <c r="E376" s="9">
        <f>Input!E$249</f>
        <v>1</v>
      </c>
      <c r="F376" t="str">
        <f>IF(B376&lt;&gt;"",IF(C376="NA",Lists!$D$9,IFERROR(HLOOKUP(C376,Input!$C$312:$L$335,H376,FALSE),"NA")), "")</f>
        <v>B</v>
      </c>
      <c r="G376">
        <f t="shared" si="10"/>
        <v>5</v>
      </c>
      <c r="H376">
        <f t="shared" si="11"/>
        <v>12</v>
      </c>
    </row>
    <row r="377" spans="1:8" x14ac:dyDescent="0.35">
      <c r="A377" t="str">
        <f>Input!H$249</f>
        <v>Sovereign / Public Finance</v>
      </c>
      <c r="B377">
        <f>Input!L252</f>
        <v>0</v>
      </c>
      <c r="C377">
        <f>Input!L$191</f>
        <v>10</v>
      </c>
      <c r="D377" t="str">
        <f>Input!B$192</f>
        <v>Upto 1</v>
      </c>
      <c r="E377" s="9">
        <f>Input!E$249</f>
        <v>1</v>
      </c>
      <c r="F377" t="str">
        <f>IF(B377&lt;&gt;"",IF(C377="NA",Lists!$D$9,IFERROR(HLOOKUP(C377,Input!$C$312:$L$335,H377,FALSE),"NA")), "")</f>
        <v>CCC-C</v>
      </c>
      <c r="G377">
        <f t="shared" si="10"/>
        <v>1</v>
      </c>
      <c r="H377">
        <f t="shared" si="11"/>
        <v>12</v>
      </c>
    </row>
    <row r="378" spans="1:8" x14ac:dyDescent="0.35">
      <c r="A378" t="str">
        <f>Input!H$249</f>
        <v>Sovereign / Public Finance</v>
      </c>
      <c r="B378">
        <f>Input!L253</f>
        <v>0</v>
      </c>
      <c r="C378">
        <f>Input!L$191</f>
        <v>10</v>
      </c>
      <c r="D378" t="str">
        <f>Input!B$193</f>
        <v>1.01 to 5</v>
      </c>
      <c r="E378" s="9">
        <f>Input!E$249</f>
        <v>1</v>
      </c>
      <c r="F378" t="str">
        <f>IF(B378&lt;&gt;"",IF(C378="NA",Lists!$D$9,IFERROR(HLOOKUP(C378,Input!$C$312:$L$335,H378,FALSE),"NA")), "")</f>
        <v>CCC-C</v>
      </c>
      <c r="G378">
        <f t="shared" si="10"/>
        <v>2</v>
      </c>
      <c r="H378">
        <f t="shared" si="11"/>
        <v>12</v>
      </c>
    </row>
    <row r="379" spans="1:8" x14ac:dyDescent="0.35">
      <c r="A379" t="str">
        <f>Input!H$249</f>
        <v>Sovereign / Public Finance</v>
      </c>
      <c r="B379">
        <f>Input!L254</f>
        <v>0</v>
      </c>
      <c r="C379">
        <f>Input!L$191</f>
        <v>10</v>
      </c>
      <c r="D379" t="str">
        <f>Input!B$194</f>
        <v>5.01 to 10</v>
      </c>
      <c r="E379" s="9">
        <f>Input!E$249</f>
        <v>1</v>
      </c>
      <c r="F379" t="str">
        <f>IF(B379&lt;&gt;"",IF(C379="NA",Lists!$D$9,IFERROR(HLOOKUP(C379,Input!$C$312:$L$335,H379,FALSE),"NA")), "")</f>
        <v>CCC-C</v>
      </c>
      <c r="G379">
        <f t="shared" si="10"/>
        <v>3</v>
      </c>
      <c r="H379">
        <f t="shared" si="11"/>
        <v>12</v>
      </c>
    </row>
    <row r="380" spans="1:8" x14ac:dyDescent="0.35">
      <c r="A380" t="str">
        <f>Input!H$249</f>
        <v>Sovereign / Public Finance</v>
      </c>
      <c r="B380">
        <f>Input!L255</f>
        <v>0</v>
      </c>
      <c r="C380">
        <f>Input!L$191</f>
        <v>10</v>
      </c>
      <c r="D380" t="str">
        <f>Input!B$195</f>
        <v>10.01 to 20</v>
      </c>
      <c r="E380" s="9">
        <f>Input!E$249</f>
        <v>1</v>
      </c>
      <c r="F380" t="str">
        <f>IF(B380&lt;&gt;"",IF(C380="NA",Lists!$D$9,IFERROR(HLOOKUP(C380,Input!$C$312:$L$335,H380,FALSE),"NA")), "")</f>
        <v>CCC-C</v>
      </c>
      <c r="G380">
        <f t="shared" si="10"/>
        <v>4</v>
      </c>
      <c r="H380">
        <f t="shared" si="11"/>
        <v>12</v>
      </c>
    </row>
    <row r="381" spans="1:8" x14ac:dyDescent="0.35">
      <c r="A381" t="str">
        <f>Input!H$249</f>
        <v>Sovereign / Public Finance</v>
      </c>
      <c r="B381">
        <f>Input!L256</f>
        <v>0</v>
      </c>
      <c r="C381">
        <f>Input!L$191</f>
        <v>10</v>
      </c>
      <c r="D381" t="str">
        <f>Input!B$196</f>
        <v>More than 20</v>
      </c>
      <c r="E381" s="9">
        <f>Input!E$249</f>
        <v>1</v>
      </c>
      <c r="F381" t="str">
        <f>IF(B381&lt;&gt;"",IF(C381="NA",Lists!$D$9,IFERROR(HLOOKUP(C381,Input!$C$312:$L$335,H381,FALSE),"NA")), "")</f>
        <v>CCC-C</v>
      </c>
      <c r="G381">
        <f t="shared" si="10"/>
        <v>5</v>
      </c>
      <c r="H381">
        <f t="shared" si="11"/>
        <v>12</v>
      </c>
    </row>
    <row r="382" spans="1:8" x14ac:dyDescent="0.35">
      <c r="A382" t="str">
        <f>Input!H$249</f>
        <v>Sovereign / Public Finance</v>
      </c>
      <c r="B382">
        <f>Input!M252</f>
        <v>0</v>
      </c>
      <c r="C382" t="str">
        <f>Input!M$191</f>
        <v>NA</v>
      </c>
      <c r="D382" t="str">
        <f>Input!B$192</f>
        <v>Upto 1</v>
      </c>
      <c r="E382" s="9">
        <f>Input!E$249</f>
        <v>1</v>
      </c>
      <c r="F382" t="str">
        <f>IF(B382&lt;&gt;"",IF(C382="NA",Lists!$D$9,IFERROR(HLOOKUP(C382,Input!$C$312:$L$335,H382,FALSE),"NA")), "")</f>
        <v>CCC-C</v>
      </c>
      <c r="G382">
        <f t="shared" si="10"/>
        <v>1</v>
      </c>
      <c r="H382">
        <f t="shared" si="11"/>
        <v>12</v>
      </c>
    </row>
    <row r="383" spans="1:8" x14ac:dyDescent="0.35">
      <c r="A383" t="str">
        <f>Input!H$249</f>
        <v>Sovereign / Public Finance</v>
      </c>
      <c r="B383">
        <f>Input!M253</f>
        <v>0</v>
      </c>
      <c r="C383" t="str">
        <f>Input!M$191</f>
        <v>NA</v>
      </c>
      <c r="D383" t="str">
        <f>Input!B$193</f>
        <v>1.01 to 5</v>
      </c>
      <c r="E383" s="9">
        <f>Input!E$249</f>
        <v>1</v>
      </c>
      <c r="F383" t="str">
        <f>IF(B383&lt;&gt;"",IF(C383="NA",Lists!$D$9,IFERROR(HLOOKUP(C383,Input!$C$312:$L$335,H383,FALSE),"NA")), "")</f>
        <v>CCC-C</v>
      </c>
      <c r="G383">
        <f t="shared" si="10"/>
        <v>2</v>
      </c>
      <c r="H383">
        <f t="shared" si="11"/>
        <v>12</v>
      </c>
    </row>
    <row r="384" spans="1:8" x14ac:dyDescent="0.35">
      <c r="A384" t="str">
        <f>Input!H$249</f>
        <v>Sovereign / Public Finance</v>
      </c>
      <c r="B384">
        <f>Input!M254</f>
        <v>0</v>
      </c>
      <c r="C384" t="str">
        <f>Input!M$191</f>
        <v>NA</v>
      </c>
      <c r="D384" t="str">
        <f>Input!B$194</f>
        <v>5.01 to 10</v>
      </c>
      <c r="E384" s="9">
        <f>Input!E$249</f>
        <v>1</v>
      </c>
      <c r="F384" t="str">
        <f>IF(B384&lt;&gt;"",IF(C384="NA",Lists!$D$9,IFERROR(HLOOKUP(C384,Input!$C$312:$L$335,H384,FALSE),"NA")), "")</f>
        <v>CCC-C</v>
      </c>
      <c r="G384">
        <f t="shared" si="10"/>
        <v>3</v>
      </c>
      <c r="H384">
        <f t="shared" si="11"/>
        <v>12</v>
      </c>
    </row>
    <row r="385" spans="1:8" x14ac:dyDescent="0.35">
      <c r="A385" t="str">
        <f>Input!H$249</f>
        <v>Sovereign / Public Finance</v>
      </c>
      <c r="B385">
        <f>Input!M255</f>
        <v>0</v>
      </c>
      <c r="C385" t="str">
        <f>Input!M$191</f>
        <v>NA</v>
      </c>
      <c r="D385" t="str">
        <f>Input!B$195</f>
        <v>10.01 to 20</v>
      </c>
      <c r="E385" s="9">
        <f>Input!E$249</f>
        <v>1</v>
      </c>
      <c r="F385" t="str">
        <f>IF(B385&lt;&gt;"",IF(C385="NA",Lists!$D$9,IFERROR(HLOOKUP(C385,Input!$C$312:$L$335,H385,FALSE),"NA")), "")</f>
        <v>CCC-C</v>
      </c>
      <c r="G385">
        <f t="shared" si="10"/>
        <v>4</v>
      </c>
      <c r="H385">
        <f t="shared" si="11"/>
        <v>12</v>
      </c>
    </row>
    <row r="386" spans="1:8" x14ac:dyDescent="0.35">
      <c r="A386" t="str">
        <f>Input!H$249</f>
        <v>Sovereign / Public Finance</v>
      </c>
      <c r="B386">
        <f>Input!M256</f>
        <v>0</v>
      </c>
      <c r="C386" t="str">
        <f>Input!M$191</f>
        <v>NA</v>
      </c>
      <c r="D386" t="str">
        <f>Input!B$196</f>
        <v>More than 20</v>
      </c>
      <c r="E386" s="9">
        <f>Input!E$249</f>
        <v>1</v>
      </c>
      <c r="F386" t="str">
        <f>IF(B386&lt;&gt;"",IF(C386="NA",Lists!$D$9,IFERROR(HLOOKUP(C386,Input!$C$312:$L$335,H386,FALSE),"NA")), "")</f>
        <v>CCC-C</v>
      </c>
      <c r="G386">
        <f t="shared" ref="G386:G449" si="12">IFERROR(MATCH(D386,lov_term_buckets,0),"")</f>
        <v>5</v>
      </c>
      <c r="H386">
        <f t="shared" si="11"/>
        <v>12</v>
      </c>
    </row>
    <row r="387" spans="1:8" x14ac:dyDescent="0.35">
      <c r="A387" t="str">
        <f>Input!H$259</f>
        <v>Sovereign / Public Finance</v>
      </c>
      <c r="B387">
        <f>Input!C262</f>
        <v>0</v>
      </c>
      <c r="C387">
        <f>Input!C$191</f>
        <v>1</v>
      </c>
      <c r="D387" t="str">
        <f>Input!B$192</f>
        <v>Upto 1</v>
      </c>
      <c r="E387" s="9">
        <f>Input!E$259</f>
        <v>2</v>
      </c>
      <c r="F387" t="str">
        <f>IF(B387&lt;&gt;"",IF(C387="NA",Lists!$D$9,IFERROR(HLOOKUP(C387,Input!$C$312:$L$335,H387,FALSE),"NA")), "")</f>
        <v>A</v>
      </c>
      <c r="G387">
        <f t="shared" si="12"/>
        <v>1</v>
      </c>
      <c r="H387">
        <f t="shared" ref="H387:H450" si="13">INDEX($L$2:$L$8,MATCH(A387,$K$2:$K$8,0))</f>
        <v>12</v>
      </c>
    </row>
    <row r="388" spans="1:8" x14ac:dyDescent="0.35">
      <c r="A388" t="str">
        <f>Input!H$259</f>
        <v>Sovereign / Public Finance</v>
      </c>
      <c r="B388">
        <f>Input!C263</f>
        <v>0</v>
      </c>
      <c r="C388">
        <f>Input!C$191</f>
        <v>1</v>
      </c>
      <c r="D388" t="str">
        <f>Input!B$193</f>
        <v>1.01 to 5</v>
      </c>
      <c r="E388" s="9">
        <f>Input!E$259</f>
        <v>2</v>
      </c>
      <c r="F388" t="str">
        <f>IF(B388&lt;&gt;"",IF(C388="NA",Lists!$D$9,IFERROR(HLOOKUP(C388,Input!$C$312:$L$335,H388,FALSE),"NA")), "")</f>
        <v>A</v>
      </c>
      <c r="G388">
        <f t="shared" si="12"/>
        <v>2</v>
      </c>
      <c r="H388">
        <f t="shared" si="13"/>
        <v>12</v>
      </c>
    </row>
    <row r="389" spans="1:8" x14ac:dyDescent="0.35">
      <c r="A389" t="str">
        <f>Input!H$259</f>
        <v>Sovereign / Public Finance</v>
      </c>
      <c r="B389">
        <f>Input!C264</f>
        <v>0</v>
      </c>
      <c r="C389">
        <f>Input!C$191</f>
        <v>1</v>
      </c>
      <c r="D389" t="str">
        <f>Input!B$194</f>
        <v>5.01 to 10</v>
      </c>
      <c r="E389" s="9">
        <f>Input!E$259</f>
        <v>2</v>
      </c>
      <c r="F389" t="str">
        <f>IF(B389&lt;&gt;"",IF(C389="NA",Lists!$D$9,IFERROR(HLOOKUP(C389,Input!$C$312:$L$335,H389,FALSE),"NA")), "")</f>
        <v>A</v>
      </c>
      <c r="G389">
        <f t="shared" si="12"/>
        <v>3</v>
      </c>
      <c r="H389">
        <f t="shared" si="13"/>
        <v>12</v>
      </c>
    </row>
    <row r="390" spans="1:8" x14ac:dyDescent="0.35">
      <c r="A390" t="str">
        <f>Input!H$259</f>
        <v>Sovereign / Public Finance</v>
      </c>
      <c r="B390">
        <f>Input!C265</f>
        <v>0</v>
      </c>
      <c r="C390">
        <f>Input!C$191</f>
        <v>1</v>
      </c>
      <c r="D390" t="str">
        <f>Input!B$195</f>
        <v>10.01 to 20</v>
      </c>
      <c r="E390" s="9">
        <f>Input!E$259</f>
        <v>2</v>
      </c>
      <c r="F390" t="str">
        <f>IF(B390&lt;&gt;"",IF(C390="NA",Lists!$D$9,IFERROR(HLOOKUP(C390,Input!$C$312:$L$335,H390,FALSE),"NA")), "")</f>
        <v>A</v>
      </c>
      <c r="G390">
        <f t="shared" si="12"/>
        <v>4</v>
      </c>
      <c r="H390">
        <f t="shared" si="13"/>
        <v>12</v>
      </c>
    </row>
    <row r="391" spans="1:8" x14ac:dyDescent="0.35">
      <c r="A391" t="str">
        <f>Input!H$259</f>
        <v>Sovereign / Public Finance</v>
      </c>
      <c r="B391">
        <f>Input!C266</f>
        <v>0</v>
      </c>
      <c r="C391">
        <f>Input!C$191</f>
        <v>1</v>
      </c>
      <c r="D391" t="str">
        <f>Input!B$196</f>
        <v>More than 20</v>
      </c>
      <c r="E391" s="9">
        <f>Input!E$259</f>
        <v>2</v>
      </c>
      <c r="F391" t="str">
        <f>IF(B391&lt;&gt;"",IF(C391="NA",Lists!$D$9,IFERROR(HLOOKUP(C391,Input!$C$312:$L$335,H391,FALSE),"NA")), "")</f>
        <v>A</v>
      </c>
      <c r="G391">
        <f t="shared" si="12"/>
        <v>5</v>
      </c>
      <c r="H391">
        <f t="shared" si="13"/>
        <v>12</v>
      </c>
    </row>
    <row r="392" spans="1:8" x14ac:dyDescent="0.35">
      <c r="A392" t="str">
        <f>Input!H$259</f>
        <v>Sovereign / Public Finance</v>
      </c>
      <c r="B392">
        <f>Input!D262</f>
        <v>0</v>
      </c>
      <c r="C392">
        <f>Input!D$191</f>
        <v>2</v>
      </c>
      <c r="D392" t="str">
        <f>Input!B$192</f>
        <v>Upto 1</v>
      </c>
      <c r="E392" s="9">
        <f>Input!E$259</f>
        <v>2</v>
      </c>
      <c r="F392" t="str">
        <f>IF(B392&lt;&gt;"",IF(C392="NA",Lists!$D$9,IFERROR(HLOOKUP(C392,Input!$C$312:$L$335,H392,FALSE),"NA")), "")</f>
        <v>A</v>
      </c>
      <c r="G392">
        <f t="shared" si="12"/>
        <v>1</v>
      </c>
      <c r="H392">
        <f t="shared" si="13"/>
        <v>12</v>
      </c>
    </row>
    <row r="393" spans="1:8" x14ac:dyDescent="0.35">
      <c r="A393" t="str">
        <f>Input!H$259</f>
        <v>Sovereign / Public Finance</v>
      </c>
      <c r="B393">
        <f>Input!D263</f>
        <v>0</v>
      </c>
      <c r="C393">
        <f>Input!D$191</f>
        <v>2</v>
      </c>
      <c r="D393" t="str">
        <f>Input!B$193</f>
        <v>1.01 to 5</v>
      </c>
      <c r="E393" s="9">
        <f>Input!E$259</f>
        <v>2</v>
      </c>
      <c r="F393" t="str">
        <f>IF(B393&lt;&gt;"",IF(C393="NA",Lists!$D$9,IFERROR(HLOOKUP(C393,Input!$C$312:$L$335,H393,FALSE),"NA")), "")</f>
        <v>A</v>
      </c>
      <c r="G393">
        <f t="shared" si="12"/>
        <v>2</v>
      </c>
      <c r="H393">
        <f t="shared" si="13"/>
        <v>12</v>
      </c>
    </row>
    <row r="394" spans="1:8" x14ac:dyDescent="0.35">
      <c r="A394" t="str">
        <f>Input!H$259</f>
        <v>Sovereign / Public Finance</v>
      </c>
      <c r="B394">
        <f>Input!D264</f>
        <v>0</v>
      </c>
      <c r="C394">
        <f>Input!D$191</f>
        <v>2</v>
      </c>
      <c r="D394" t="str">
        <f>Input!B$194</f>
        <v>5.01 to 10</v>
      </c>
      <c r="E394" s="9">
        <f>Input!E$259</f>
        <v>2</v>
      </c>
      <c r="F394" t="str">
        <f>IF(B394&lt;&gt;"",IF(C394="NA",Lists!$D$9,IFERROR(HLOOKUP(C394,Input!$C$312:$L$335,H394,FALSE),"NA")), "")</f>
        <v>A</v>
      </c>
      <c r="G394">
        <f t="shared" si="12"/>
        <v>3</v>
      </c>
      <c r="H394">
        <f t="shared" si="13"/>
        <v>12</v>
      </c>
    </row>
    <row r="395" spans="1:8" x14ac:dyDescent="0.35">
      <c r="A395" t="str">
        <f>Input!H$259</f>
        <v>Sovereign / Public Finance</v>
      </c>
      <c r="B395">
        <f>Input!D265</f>
        <v>0</v>
      </c>
      <c r="C395">
        <f>Input!D$191</f>
        <v>2</v>
      </c>
      <c r="D395" t="str">
        <f>Input!B$195</f>
        <v>10.01 to 20</v>
      </c>
      <c r="E395" s="9">
        <f>Input!E$259</f>
        <v>2</v>
      </c>
      <c r="F395" t="str">
        <f>IF(B395&lt;&gt;"",IF(C395="NA",Lists!$D$9,IFERROR(HLOOKUP(C395,Input!$C$312:$L$335,H395,FALSE),"NA")), "")</f>
        <v>A</v>
      </c>
      <c r="G395">
        <f t="shared" si="12"/>
        <v>4</v>
      </c>
      <c r="H395">
        <f t="shared" si="13"/>
        <v>12</v>
      </c>
    </row>
    <row r="396" spans="1:8" x14ac:dyDescent="0.35">
      <c r="A396" t="str">
        <f>Input!H$259</f>
        <v>Sovereign / Public Finance</v>
      </c>
      <c r="B396">
        <f>Input!D266</f>
        <v>0</v>
      </c>
      <c r="C396">
        <f>Input!D$191</f>
        <v>2</v>
      </c>
      <c r="D396" t="str">
        <f>Input!B$196</f>
        <v>More than 20</v>
      </c>
      <c r="E396" s="9">
        <f>Input!E$259</f>
        <v>2</v>
      </c>
      <c r="F396" t="str">
        <f>IF(B396&lt;&gt;"",IF(C396="NA",Lists!$D$9,IFERROR(HLOOKUP(C396,Input!$C$312:$L$335,H396,FALSE),"NA")), "")</f>
        <v>A</v>
      </c>
      <c r="G396">
        <f t="shared" si="12"/>
        <v>5</v>
      </c>
      <c r="H396">
        <f t="shared" si="13"/>
        <v>12</v>
      </c>
    </row>
    <row r="397" spans="1:8" x14ac:dyDescent="0.35">
      <c r="A397" t="str">
        <f>Input!H$259</f>
        <v>Sovereign / Public Finance</v>
      </c>
      <c r="B397">
        <f>Input!E262</f>
        <v>0</v>
      </c>
      <c r="C397">
        <f>Input!E$191</f>
        <v>3</v>
      </c>
      <c r="D397" t="str">
        <f>Input!B$192</f>
        <v>Upto 1</v>
      </c>
      <c r="E397" s="9">
        <f>Input!E$259</f>
        <v>2</v>
      </c>
      <c r="F397" t="str">
        <f>IF(B397&lt;&gt;"",IF(C397="NA",Lists!$D$9,IFERROR(HLOOKUP(C397,Input!$C$312:$L$335,H397,FALSE),"NA")), "")</f>
        <v>A</v>
      </c>
      <c r="G397">
        <f t="shared" si="12"/>
        <v>1</v>
      </c>
      <c r="H397">
        <f t="shared" si="13"/>
        <v>12</v>
      </c>
    </row>
    <row r="398" spans="1:8" x14ac:dyDescent="0.35">
      <c r="A398" t="str">
        <f>Input!H$259</f>
        <v>Sovereign / Public Finance</v>
      </c>
      <c r="B398">
        <f>Input!E263</f>
        <v>0</v>
      </c>
      <c r="C398">
        <f>Input!E$191</f>
        <v>3</v>
      </c>
      <c r="D398" t="str">
        <f>Input!B$193</f>
        <v>1.01 to 5</v>
      </c>
      <c r="E398" s="9">
        <f>Input!E$259</f>
        <v>2</v>
      </c>
      <c r="F398" t="str">
        <f>IF(B398&lt;&gt;"",IF(C398="NA",Lists!$D$9,IFERROR(HLOOKUP(C398,Input!$C$312:$L$335,H398,FALSE),"NA")), "")</f>
        <v>A</v>
      </c>
      <c r="G398">
        <f t="shared" si="12"/>
        <v>2</v>
      </c>
      <c r="H398">
        <f t="shared" si="13"/>
        <v>12</v>
      </c>
    </row>
    <row r="399" spans="1:8" x14ac:dyDescent="0.35">
      <c r="A399" t="str">
        <f>Input!H$259</f>
        <v>Sovereign / Public Finance</v>
      </c>
      <c r="B399">
        <f>Input!E264</f>
        <v>0</v>
      </c>
      <c r="C399">
        <f>Input!E$191</f>
        <v>3</v>
      </c>
      <c r="D399" t="str">
        <f>Input!B$194</f>
        <v>5.01 to 10</v>
      </c>
      <c r="E399" s="9">
        <f>Input!E$259</f>
        <v>2</v>
      </c>
      <c r="F399" t="str">
        <f>IF(B399&lt;&gt;"",IF(C399="NA",Lists!$D$9,IFERROR(HLOOKUP(C399,Input!$C$312:$L$335,H399,FALSE),"NA")), "")</f>
        <v>A</v>
      </c>
      <c r="G399">
        <f t="shared" si="12"/>
        <v>3</v>
      </c>
      <c r="H399">
        <f t="shared" si="13"/>
        <v>12</v>
      </c>
    </row>
    <row r="400" spans="1:8" x14ac:dyDescent="0.35">
      <c r="A400" t="str">
        <f>Input!H$259</f>
        <v>Sovereign / Public Finance</v>
      </c>
      <c r="B400">
        <f>Input!E265</f>
        <v>0</v>
      </c>
      <c r="C400">
        <f>Input!E$191</f>
        <v>3</v>
      </c>
      <c r="D400" t="str">
        <f>Input!B$195</f>
        <v>10.01 to 20</v>
      </c>
      <c r="E400" s="9">
        <f>Input!E$259</f>
        <v>2</v>
      </c>
      <c r="F400" t="str">
        <f>IF(B400&lt;&gt;"",IF(C400="NA",Lists!$D$9,IFERROR(HLOOKUP(C400,Input!$C$312:$L$335,H400,FALSE),"NA")), "")</f>
        <v>A</v>
      </c>
      <c r="G400">
        <f t="shared" si="12"/>
        <v>4</v>
      </c>
      <c r="H400">
        <f t="shared" si="13"/>
        <v>12</v>
      </c>
    </row>
    <row r="401" spans="1:8" x14ac:dyDescent="0.35">
      <c r="A401" t="str">
        <f>Input!H$259</f>
        <v>Sovereign / Public Finance</v>
      </c>
      <c r="B401">
        <f>Input!E266</f>
        <v>0</v>
      </c>
      <c r="C401">
        <f>Input!E$191</f>
        <v>3</v>
      </c>
      <c r="D401" t="str">
        <f>Input!B$196</f>
        <v>More than 20</v>
      </c>
      <c r="E401" s="9">
        <f>Input!E$259</f>
        <v>2</v>
      </c>
      <c r="F401" t="str">
        <f>IF(B401&lt;&gt;"",IF(C401="NA",Lists!$D$9,IFERROR(HLOOKUP(C401,Input!$C$312:$L$335,H401,FALSE),"NA")), "")</f>
        <v>A</v>
      </c>
      <c r="G401">
        <f t="shared" si="12"/>
        <v>5</v>
      </c>
      <c r="H401">
        <f t="shared" si="13"/>
        <v>12</v>
      </c>
    </row>
    <row r="402" spans="1:8" x14ac:dyDescent="0.35">
      <c r="A402" t="str">
        <f>Input!H$259</f>
        <v>Sovereign / Public Finance</v>
      </c>
      <c r="B402">
        <f>Input!F262</f>
        <v>0</v>
      </c>
      <c r="C402">
        <f>Input!F$191</f>
        <v>4</v>
      </c>
      <c r="D402" t="str">
        <f>Input!B$192</f>
        <v>Upto 1</v>
      </c>
      <c r="E402" s="9">
        <f>Input!E$259</f>
        <v>2</v>
      </c>
      <c r="F402" t="str">
        <f>IF(B402&lt;&gt;"",IF(C402="NA",Lists!$D$9,IFERROR(HLOOKUP(C402,Input!$C$312:$L$335,H402,FALSE),"NA")), "")</f>
        <v>A</v>
      </c>
      <c r="G402">
        <f t="shared" si="12"/>
        <v>1</v>
      </c>
      <c r="H402">
        <f t="shared" si="13"/>
        <v>12</v>
      </c>
    </row>
    <row r="403" spans="1:8" x14ac:dyDescent="0.35">
      <c r="A403" t="str">
        <f>Input!H$259</f>
        <v>Sovereign / Public Finance</v>
      </c>
      <c r="B403">
        <f>Input!F263</f>
        <v>0</v>
      </c>
      <c r="C403">
        <f>Input!F$191</f>
        <v>4</v>
      </c>
      <c r="D403" t="str">
        <f>Input!B$193</f>
        <v>1.01 to 5</v>
      </c>
      <c r="E403" s="9">
        <f>Input!E$259</f>
        <v>2</v>
      </c>
      <c r="F403" t="str">
        <f>IF(B403&lt;&gt;"",IF(C403="NA",Lists!$D$9,IFERROR(HLOOKUP(C403,Input!$C$312:$L$335,H403,FALSE),"NA")), "")</f>
        <v>A</v>
      </c>
      <c r="G403">
        <f t="shared" si="12"/>
        <v>2</v>
      </c>
      <c r="H403">
        <f t="shared" si="13"/>
        <v>12</v>
      </c>
    </row>
    <row r="404" spans="1:8" x14ac:dyDescent="0.35">
      <c r="A404" t="str">
        <f>Input!H$259</f>
        <v>Sovereign / Public Finance</v>
      </c>
      <c r="B404">
        <f>Input!F264</f>
        <v>0</v>
      </c>
      <c r="C404">
        <f>Input!F$191</f>
        <v>4</v>
      </c>
      <c r="D404" t="str">
        <f>Input!B$194</f>
        <v>5.01 to 10</v>
      </c>
      <c r="E404" s="9">
        <f>Input!E$259</f>
        <v>2</v>
      </c>
      <c r="F404" t="str">
        <f>IF(B404&lt;&gt;"",IF(C404="NA",Lists!$D$9,IFERROR(HLOOKUP(C404,Input!$C$312:$L$335,H404,FALSE),"NA")), "")</f>
        <v>A</v>
      </c>
      <c r="G404">
        <f t="shared" si="12"/>
        <v>3</v>
      </c>
      <c r="H404">
        <f t="shared" si="13"/>
        <v>12</v>
      </c>
    </row>
    <row r="405" spans="1:8" x14ac:dyDescent="0.35">
      <c r="A405" t="str">
        <f>Input!H$259</f>
        <v>Sovereign / Public Finance</v>
      </c>
      <c r="B405">
        <f>Input!F265</f>
        <v>0</v>
      </c>
      <c r="C405">
        <f>Input!F$191</f>
        <v>4</v>
      </c>
      <c r="D405" t="str">
        <f>Input!B$195</f>
        <v>10.01 to 20</v>
      </c>
      <c r="E405" s="9">
        <f>Input!E$259</f>
        <v>2</v>
      </c>
      <c r="F405" t="str">
        <f>IF(B405&lt;&gt;"",IF(C405="NA",Lists!$D$9,IFERROR(HLOOKUP(C405,Input!$C$312:$L$335,H405,FALSE),"NA")), "")</f>
        <v>A</v>
      </c>
      <c r="G405">
        <f t="shared" si="12"/>
        <v>4</v>
      </c>
      <c r="H405">
        <f t="shared" si="13"/>
        <v>12</v>
      </c>
    </row>
    <row r="406" spans="1:8" x14ac:dyDescent="0.35">
      <c r="A406" t="str">
        <f>Input!H$259</f>
        <v>Sovereign / Public Finance</v>
      </c>
      <c r="B406">
        <f>Input!F266</f>
        <v>0</v>
      </c>
      <c r="C406">
        <f>Input!F$191</f>
        <v>4</v>
      </c>
      <c r="D406" t="str">
        <f>Input!B$196</f>
        <v>More than 20</v>
      </c>
      <c r="E406" s="9">
        <f>Input!E$259</f>
        <v>2</v>
      </c>
      <c r="F406" t="str">
        <f>IF(B406&lt;&gt;"",IF(C406="NA",Lists!$D$9,IFERROR(HLOOKUP(C406,Input!$C$312:$L$335,H406,FALSE),"NA")), "")</f>
        <v>A</v>
      </c>
      <c r="G406">
        <f t="shared" si="12"/>
        <v>5</v>
      </c>
      <c r="H406">
        <f t="shared" si="13"/>
        <v>12</v>
      </c>
    </row>
    <row r="407" spans="1:8" x14ac:dyDescent="0.35">
      <c r="A407" t="str">
        <f>Input!H$259</f>
        <v>Sovereign / Public Finance</v>
      </c>
      <c r="B407">
        <f>Input!G262</f>
        <v>0</v>
      </c>
      <c r="C407">
        <f>Input!G$191</f>
        <v>5</v>
      </c>
      <c r="D407" t="str">
        <f>Input!B$192</f>
        <v>Upto 1</v>
      </c>
      <c r="E407" s="9">
        <f>Input!E$259</f>
        <v>2</v>
      </c>
      <c r="F407" t="str">
        <f>IF(B407&lt;&gt;"",IF(C407="NA",Lists!$D$9,IFERROR(HLOOKUP(C407,Input!$C$312:$L$335,H407,FALSE),"NA")), "")</f>
        <v>BBB</v>
      </c>
      <c r="G407">
        <f t="shared" si="12"/>
        <v>1</v>
      </c>
      <c r="H407">
        <f t="shared" si="13"/>
        <v>12</v>
      </c>
    </row>
    <row r="408" spans="1:8" x14ac:dyDescent="0.35">
      <c r="A408" t="str">
        <f>Input!H$259</f>
        <v>Sovereign / Public Finance</v>
      </c>
      <c r="B408">
        <f>Input!G263</f>
        <v>0</v>
      </c>
      <c r="C408">
        <f>Input!G$191</f>
        <v>5</v>
      </c>
      <c r="D408" t="str">
        <f>Input!B$193</f>
        <v>1.01 to 5</v>
      </c>
      <c r="E408" s="9">
        <f>Input!E$259</f>
        <v>2</v>
      </c>
      <c r="F408" t="str">
        <f>IF(B408&lt;&gt;"",IF(C408="NA",Lists!$D$9,IFERROR(HLOOKUP(C408,Input!$C$312:$L$335,H408,FALSE),"NA")), "")</f>
        <v>BBB</v>
      </c>
      <c r="G408">
        <f t="shared" si="12"/>
        <v>2</v>
      </c>
      <c r="H408">
        <f t="shared" si="13"/>
        <v>12</v>
      </c>
    </row>
    <row r="409" spans="1:8" x14ac:dyDescent="0.35">
      <c r="A409" t="str">
        <f>Input!H$259</f>
        <v>Sovereign / Public Finance</v>
      </c>
      <c r="B409">
        <f>Input!G264</f>
        <v>0</v>
      </c>
      <c r="C409">
        <f>Input!G$191</f>
        <v>5</v>
      </c>
      <c r="D409" t="str">
        <f>Input!B$194</f>
        <v>5.01 to 10</v>
      </c>
      <c r="E409" s="9">
        <f>Input!E$259</f>
        <v>2</v>
      </c>
      <c r="F409" t="str">
        <f>IF(B409&lt;&gt;"",IF(C409="NA",Lists!$D$9,IFERROR(HLOOKUP(C409,Input!$C$312:$L$335,H409,FALSE),"NA")), "")</f>
        <v>BBB</v>
      </c>
      <c r="G409">
        <f t="shared" si="12"/>
        <v>3</v>
      </c>
      <c r="H409">
        <f t="shared" si="13"/>
        <v>12</v>
      </c>
    </row>
    <row r="410" spans="1:8" x14ac:dyDescent="0.35">
      <c r="A410" t="str">
        <f>Input!H$259</f>
        <v>Sovereign / Public Finance</v>
      </c>
      <c r="B410">
        <f>Input!G265</f>
        <v>0</v>
      </c>
      <c r="C410">
        <f>Input!G$191</f>
        <v>5</v>
      </c>
      <c r="D410" t="str">
        <f>Input!B$195</f>
        <v>10.01 to 20</v>
      </c>
      <c r="E410" s="9">
        <f>Input!E$259</f>
        <v>2</v>
      </c>
      <c r="F410" t="str">
        <f>IF(B410&lt;&gt;"",IF(C410="NA",Lists!$D$9,IFERROR(HLOOKUP(C410,Input!$C$312:$L$335,H410,FALSE),"NA")), "")</f>
        <v>BBB</v>
      </c>
      <c r="G410">
        <f t="shared" si="12"/>
        <v>4</v>
      </c>
      <c r="H410">
        <f t="shared" si="13"/>
        <v>12</v>
      </c>
    </row>
    <row r="411" spans="1:8" x14ac:dyDescent="0.35">
      <c r="A411" t="str">
        <f>Input!H$259</f>
        <v>Sovereign / Public Finance</v>
      </c>
      <c r="B411">
        <f>Input!G266</f>
        <v>0</v>
      </c>
      <c r="C411">
        <f>Input!G$191</f>
        <v>5</v>
      </c>
      <c r="D411" t="str">
        <f>Input!B$196</f>
        <v>More than 20</v>
      </c>
      <c r="E411" s="9">
        <f>Input!E$259</f>
        <v>2</v>
      </c>
      <c r="F411" t="str">
        <f>IF(B411&lt;&gt;"",IF(C411="NA",Lists!$D$9,IFERROR(HLOOKUP(C411,Input!$C$312:$L$335,H411,FALSE),"NA")), "")</f>
        <v>BBB</v>
      </c>
      <c r="G411">
        <f t="shared" si="12"/>
        <v>5</v>
      </c>
      <c r="H411">
        <f t="shared" si="13"/>
        <v>12</v>
      </c>
    </row>
    <row r="412" spans="1:8" x14ac:dyDescent="0.35">
      <c r="A412" t="str">
        <f>Input!H$259</f>
        <v>Sovereign / Public Finance</v>
      </c>
      <c r="B412">
        <f>Input!H262</f>
        <v>0</v>
      </c>
      <c r="C412">
        <f>Input!H$191</f>
        <v>6</v>
      </c>
      <c r="D412" t="str">
        <f>Input!B$192</f>
        <v>Upto 1</v>
      </c>
      <c r="E412" s="9">
        <f>Input!E$259</f>
        <v>2</v>
      </c>
      <c r="F412" t="str">
        <f>IF(B412&lt;&gt;"",IF(C412="NA",Lists!$D$9,IFERROR(HLOOKUP(C412,Input!$C$312:$L$335,H412,FALSE),"NA")), "")</f>
        <v>BBB</v>
      </c>
      <c r="G412">
        <f t="shared" si="12"/>
        <v>1</v>
      </c>
      <c r="H412">
        <f t="shared" si="13"/>
        <v>12</v>
      </c>
    </row>
    <row r="413" spans="1:8" x14ac:dyDescent="0.35">
      <c r="A413" t="str">
        <f>Input!H$259</f>
        <v>Sovereign / Public Finance</v>
      </c>
      <c r="B413">
        <f>Input!H263</f>
        <v>0</v>
      </c>
      <c r="C413">
        <f>Input!H$191</f>
        <v>6</v>
      </c>
      <c r="D413" t="str">
        <f>Input!B$193</f>
        <v>1.01 to 5</v>
      </c>
      <c r="E413" s="9">
        <f>Input!E$259</f>
        <v>2</v>
      </c>
      <c r="F413" t="str">
        <f>IF(B413&lt;&gt;"",IF(C413="NA",Lists!$D$9,IFERROR(HLOOKUP(C413,Input!$C$312:$L$335,H413,FALSE),"NA")), "")</f>
        <v>BBB</v>
      </c>
      <c r="G413">
        <f t="shared" si="12"/>
        <v>2</v>
      </c>
      <c r="H413">
        <f t="shared" si="13"/>
        <v>12</v>
      </c>
    </row>
    <row r="414" spans="1:8" x14ac:dyDescent="0.35">
      <c r="A414" t="str">
        <f>Input!H$259</f>
        <v>Sovereign / Public Finance</v>
      </c>
      <c r="B414">
        <f>Input!H264</f>
        <v>0</v>
      </c>
      <c r="C414">
        <f>Input!H$191</f>
        <v>6</v>
      </c>
      <c r="D414" t="str">
        <f>Input!B$194</f>
        <v>5.01 to 10</v>
      </c>
      <c r="E414" s="9">
        <f>Input!E$259</f>
        <v>2</v>
      </c>
      <c r="F414" t="str">
        <f>IF(B414&lt;&gt;"",IF(C414="NA",Lists!$D$9,IFERROR(HLOOKUP(C414,Input!$C$312:$L$335,H414,FALSE),"NA")), "")</f>
        <v>BBB</v>
      </c>
      <c r="G414">
        <f t="shared" si="12"/>
        <v>3</v>
      </c>
      <c r="H414">
        <f t="shared" si="13"/>
        <v>12</v>
      </c>
    </row>
    <row r="415" spans="1:8" x14ac:dyDescent="0.35">
      <c r="A415" t="str">
        <f>Input!H$259</f>
        <v>Sovereign / Public Finance</v>
      </c>
      <c r="B415">
        <f>Input!H265</f>
        <v>0</v>
      </c>
      <c r="C415">
        <f>Input!H$191</f>
        <v>6</v>
      </c>
      <c r="D415" t="str">
        <f>Input!B$195</f>
        <v>10.01 to 20</v>
      </c>
      <c r="E415" s="9">
        <f>Input!E$259</f>
        <v>2</v>
      </c>
      <c r="F415" t="str">
        <f>IF(B415&lt;&gt;"",IF(C415="NA",Lists!$D$9,IFERROR(HLOOKUP(C415,Input!$C$312:$L$335,H415,FALSE),"NA")), "")</f>
        <v>BBB</v>
      </c>
      <c r="G415">
        <f t="shared" si="12"/>
        <v>4</v>
      </c>
      <c r="H415">
        <f t="shared" si="13"/>
        <v>12</v>
      </c>
    </row>
    <row r="416" spans="1:8" x14ac:dyDescent="0.35">
      <c r="A416" t="str">
        <f>Input!H$259</f>
        <v>Sovereign / Public Finance</v>
      </c>
      <c r="B416">
        <f>Input!H266</f>
        <v>0</v>
      </c>
      <c r="C416">
        <f>Input!H$191</f>
        <v>6</v>
      </c>
      <c r="D416" t="str">
        <f>Input!B$196</f>
        <v>More than 20</v>
      </c>
      <c r="E416" s="9">
        <f>Input!E$259</f>
        <v>2</v>
      </c>
      <c r="F416" t="str">
        <f>IF(B416&lt;&gt;"",IF(C416="NA",Lists!$D$9,IFERROR(HLOOKUP(C416,Input!$C$312:$L$335,H416,FALSE),"NA")), "")</f>
        <v>BBB</v>
      </c>
      <c r="G416">
        <f t="shared" si="12"/>
        <v>5</v>
      </c>
      <c r="H416">
        <f t="shared" si="13"/>
        <v>12</v>
      </c>
    </row>
    <row r="417" spans="1:8" x14ac:dyDescent="0.35">
      <c r="A417" t="str">
        <f>Input!H$259</f>
        <v>Sovereign / Public Finance</v>
      </c>
      <c r="B417">
        <f>Input!I262</f>
        <v>0</v>
      </c>
      <c r="C417">
        <f>Input!I$191</f>
        <v>7</v>
      </c>
      <c r="D417" t="str">
        <f>Input!B$192</f>
        <v>Upto 1</v>
      </c>
      <c r="E417" s="9">
        <f>Input!E$259</f>
        <v>2</v>
      </c>
      <c r="F417" t="str">
        <f>IF(B417&lt;&gt;"",IF(C417="NA",Lists!$D$9,IFERROR(HLOOKUP(C417,Input!$C$312:$L$335,H417,FALSE),"NA")), "")</f>
        <v>BB</v>
      </c>
      <c r="G417">
        <f t="shared" si="12"/>
        <v>1</v>
      </c>
      <c r="H417">
        <f t="shared" si="13"/>
        <v>12</v>
      </c>
    </row>
    <row r="418" spans="1:8" x14ac:dyDescent="0.35">
      <c r="A418" t="str">
        <f>Input!H$259</f>
        <v>Sovereign / Public Finance</v>
      </c>
      <c r="B418">
        <f>Input!I263</f>
        <v>0</v>
      </c>
      <c r="C418">
        <f>Input!I$191</f>
        <v>7</v>
      </c>
      <c r="D418" t="str">
        <f>Input!B$193</f>
        <v>1.01 to 5</v>
      </c>
      <c r="E418" s="9">
        <f>Input!E$259</f>
        <v>2</v>
      </c>
      <c r="F418" t="str">
        <f>IF(B418&lt;&gt;"",IF(C418="NA",Lists!$D$9,IFERROR(HLOOKUP(C418,Input!$C$312:$L$335,H418,FALSE),"NA")), "")</f>
        <v>BB</v>
      </c>
      <c r="G418">
        <f t="shared" si="12"/>
        <v>2</v>
      </c>
      <c r="H418">
        <f t="shared" si="13"/>
        <v>12</v>
      </c>
    </row>
    <row r="419" spans="1:8" x14ac:dyDescent="0.35">
      <c r="A419" t="str">
        <f>Input!H$259</f>
        <v>Sovereign / Public Finance</v>
      </c>
      <c r="B419">
        <f>Input!I264</f>
        <v>0</v>
      </c>
      <c r="C419">
        <f>Input!I$191</f>
        <v>7</v>
      </c>
      <c r="D419" t="str">
        <f>Input!B$194</f>
        <v>5.01 to 10</v>
      </c>
      <c r="E419" s="9">
        <f>Input!E$259</f>
        <v>2</v>
      </c>
      <c r="F419" t="str">
        <f>IF(B419&lt;&gt;"",IF(C419="NA",Lists!$D$9,IFERROR(HLOOKUP(C419,Input!$C$312:$L$335,H419,FALSE),"NA")), "")</f>
        <v>BB</v>
      </c>
      <c r="G419">
        <f t="shared" si="12"/>
        <v>3</v>
      </c>
      <c r="H419">
        <f t="shared" si="13"/>
        <v>12</v>
      </c>
    </row>
    <row r="420" spans="1:8" x14ac:dyDescent="0.35">
      <c r="A420" t="str">
        <f>Input!H$259</f>
        <v>Sovereign / Public Finance</v>
      </c>
      <c r="B420">
        <f>Input!I265</f>
        <v>0</v>
      </c>
      <c r="C420">
        <f>Input!I$191</f>
        <v>7</v>
      </c>
      <c r="D420" t="str">
        <f>Input!B$195</f>
        <v>10.01 to 20</v>
      </c>
      <c r="E420" s="9">
        <f>Input!E$259</f>
        <v>2</v>
      </c>
      <c r="F420" t="str">
        <f>IF(B420&lt;&gt;"",IF(C420="NA",Lists!$D$9,IFERROR(HLOOKUP(C420,Input!$C$312:$L$335,H420,FALSE),"NA")), "")</f>
        <v>BB</v>
      </c>
      <c r="G420">
        <f t="shared" si="12"/>
        <v>4</v>
      </c>
      <c r="H420">
        <f t="shared" si="13"/>
        <v>12</v>
      </c>
    </row>
    <row r="421" spans="1:8" x14ac:dyDescent="0.35">
      <c r="A421" t="str">
        <f>Input!H$259</f>
        <v>Sovereign / Public Finance</v>
      </c>
      <c r="B421">
        <f>Input!I266</f>
        <v>0</v>
      </c>
      <c r="C421">
        <f>Input!I$191</f>
        <v>7</v>
      </c>
      <c r="D421" t="str">
        <f>Input!B$196</f>
        <v>More than 20</v>
      </c>
      <c r="E421" s="9">
        <f>Input!E$259</f>
        <v>2</v>
      </c>
      <c r="F421" t="str">
        <f>IF(B421&lt;&gt;"",IF(C421="NA",Lists!$D$9,IFERROR(HLOOKUP(C421,Input!$C$312:$L$335,H421,FALSE),"NA")), "")</f>
        <v>BB</v>
      </c>
      <c r="G421">
        <f t="shared" si="12"/>
        <v>5</v>
      </c>
      <c r="H421">
        <f t="shared" si="13"/>
        <v>12</v>
      </c>
    </row>
    <row r="422" spans="1:8" x14ac:dyDescent="0.35">
      <c r="A422" t="str">
        <f>Input!H$259</f>
        <v>Sovereign / Public Finance</v>
      </c>
      <c r="B422">
        <f>Input!J262</f>
        <v>0</v>
      </c>
      <c r="C422">
        <f>Input!J$191</f>
        <v>8</v>
      </c>
      <c r="D422" t="str">
        <f>Input!B$192</f>
        <v>Upto 1</v>
      </c>
      <c r="E422" s="9">
        <f>Input!E$259</f>
        <v>2</v>
      </c>
      <c r="F422" t="str">
        <f>IF(B422&lt;&gt;"",IF(C422="NA",Lists!$D$9,IFERROR(HLOOKUP(C422,Input!$C$312:$L$335,H422,FALSE),"NA")), "")</f>
        <v>B</v>
      </c>
      <c r="G422">
        <f t="shared" si="12"/>
        <v>1</v>
      </c>
      <c r="H422">
        <f t="shared" si="13"/>
        <v>12</v>
      </c>
    </row>
    <row r="423" spans="1:8" x14ac:dyDescent="0.35">
      <c r="A423" t="str">
        <f>Input!H$259</f>
        <v>Sovereign / Public Finance</v>
      </c>
      <c r="B423">
        <f>Input!J263</f>
        <v>0</v>
      </c>
      <c r="C423">
        <f>Input!J$191</f>
        <v>8</v>
      </c>
      <c r="D423" t="str">
        <f>Input!B$193</f>
        <v>1.01 to 5</v>
      </c>
      <c r="E423" s="9">
        <f>Input!E$259</f>
        <v>2</v>
      </c>
      <c r="F423" t="str">
        <f>IF(B423&lt;&gt;"",IF(C423="NA",Lists!$D$9,IFERROR(HLOOKUP(C423,Input!$C$312:$L$335,H423,FALSE),"NA")), "")</f>
        <v>B</v>
      </c>
      <c r="G423">
        <f t="shared" si="12"/>
        <v>2</v>
      </c>
      <c r="H423">
        <f t="shared" si="13"/>
        <v>12</v>
      </c>
    </row>
    <row r="424" spans="1:8" x14ac:dyDescent="0.35">
      <c r="A424" t="str">
        <f>Input!H$259</f>
        <v>Sovereign / Public Finance</v>
      </c>
      <c r="B424">
        <f>Input!J264</f>
        <v>0</v>
      </c>
      <c r="C424">
        <f>Input!J$191</f>
        <v>8</v>
      </c>
      <c r="D424" t="str">
        <f>Input!B$194</f>
        <v>5.01 to 10</v>
      </c>
      <c r="E424" s="9">
        <f>Input!E$259</f>
        <v>2</v>
      </c>
      <c r="F424" t="str">
        <f>IF(B424&lt;&gt;"",IF(C424="NA",Lists!$D$9,IFERROR(HLOOKUP(C424,Input!$C$312:$L$335,H424,FALSE),"NA")), "")</f>
        <v>B</v>
      </c>
      <c r="G424">
        <f t="shared" si="12"/>
        <v>3</v>
      </c>
      <c r="H424">
        <f t="shared" si="13"/>
        <v>12</v>
      </c>
    </row>
    <row r="425" spans="1:8" x14ac:dyDescent="0.35">
      <c r="A425" t="str">
        <f>Input!H$259</f>
        <v>Sovereign / Public Finance</v>
      </c>
      <c r="B425">
        <f>Input!J265</f>
        <v>0</v>
      </c>
      <c r="C425">
        <f>Input!J$191</f>
        <v>8</v>
      </c>
      <c r="D425" t="str">
        <f>Input!B$195</f>
        <v>10.01 to 20</v>
      </c>
      <c r="E425" s="9">
        <f>Input!E$259</f>
        <v>2</v>
      </c>
      <c r="F425" t="str">
        <f>IF(B425&lt;&gt;"",IF(C425="NA",Lists!$D$9,IFERROR(HLOOKUP(C425,Input!$C$312:$L$335,H425,FALSE),"NA")), "")</f>
        <v>B</v>
      </c>
      <c r="G425">
        <f t="shared" si="12"/>
        <v>4</v>
      </c>
      <c r="H425">
        <f t="shared" si="13"/>
        <v>12</v>
      </c>
    </row>
    <row r="426" spans="1:8" x14ac:dyDescent="0.35">
      <c r="A426" t="str">
        <f>Input!H$259</f>
        <v>Sovereign / Public Finance</v>
      </c>
      <c r="B426">
        <f>Input!J266</f>
        <v>0</v>
      </c>
      <c r="C426">
        <f>Input!J$191</f>
        <v>8</v>
      </c>
      <c r="D426" t="str">
        <f>Input!B$196</f>
        <v>More than 20</v>
      </c>
      <c r="E426" s="9">
        <f>Input!E$259</f>
        <v>2</v>
      </c>
      <c r="F426" t="str">
        <f>IF(B426&lt;&gt;"",IF(C426="NA",Lists!$D$9,IFERROR(HLOOKUP(C426,Input!$C$312:$L$335,H426,FALSE),"NA")), "")</f>
        <v>B</v>
      </c>
      <c r="G426">
        <f t="shared" si="12"/>
        <v>5</v>
      </c>
      <c r="H426">
        <f t="shared" si="13"/>
        <v>12</v>
      </c>
    </row>
    <row r="427" spans="1:8" x14ac:dyDescent="0.35">
      <c r="A427" t="str">
        <f>Input!H$259</f>
        <v>Sovereign / Public Finance</v>
      </c>
      <c r="B427">
        <f>Input!K262</f>
        <v>0</v>
      </c>
      <c r="C427">
        <f>Input!K$191</f>
        <v>9</v>
      </c>
      <c r="D427" t="str">
        <f>Input!B$192</f>
        <v>Upto 1</v>
      </c>
      <c r="E427" s="9">
        <f>Input!E$259</f>
        <v>2</v>
      </c>
      <c r="F427" t="str">
        <f>IF(B427&lt;&gt;"",IF(C427="NA",Lists!$D$9,IFERROR(HLOOKUP(C427,Input!$C$312:$L$335,H427,FALSE),"NA")), "")</f>
        <v>B</v>
      </c>
      <c r="G427">
        <f t="shared" si="12"/>
        <v>1</v>
      </c>
      <c r="H427">
        <f t="shared" si="13"/>
        <v>12</v>
      </c>
    </row>
    <row r="428" spans="1:8" x14ac:dyDescent="0.35">
      <c r="A428" t="str">
        <f>Input!H$259</f>
        <v>Sovereign / Public Finance</v>
      </c>
      <c r="B428">
        <f>Input!K263</f>
        <v>0</v>
      </c>
      <c r="C428">
        <f>Input!K$191</f>
        <v>9</v>
      </c>
      <c r="D428" t="str">
        <f>Input!B$193</f>
        <v>1.01 to 5</v>
      </c>
      <c r="E428" s="9">
        <f>Input!E$259</f>
        <v>2</v>
      </c>
      <c r="F428" t="str">
        <f>IF(B428&lt;&gt;"",IF(C428="NA",Lists!$D$9,IFERROR(HLOOKUP(C428,Input!$C$312:$L$335,H428,FALSE),"NA")), "")</f>
        <v>B</v>
      </c>
      <c r="G428">
        <f t="shared" si="12"/>
        <v>2</v>
      </c>
      <c r="H428">
        <f t="shared" si="13"/>
        <v>12</v>
      </c>
    </row>
    <row r="429" spans="1:8" x14ac:dyDescent="0.35">
      <c r="A429" t="str">
        <f>Input!H$259</f>
        <v>Sovereign / Public Finance</v>
      </c>
      <c r="B429">
        <f>Input!K264</f>
        <v>0</v>
      </c>
      <c r="C429">
        <f>Input!K$191</f>
        <v>9</v>
      </c>
      <c r="D429" t="str">
        <f>Input!B$194</f>
        <v>5.01 to 10</v>
      </c>
      <c r="E429" s="9">
        <f>Input!E$259</f>
        <v>2</v>
      </c>
      <c r="F429" t="str">
        <f>IF(B429&lt;&gt;"",IF(C429="NA",Lists!$D$9,IFERROR(HLOOKUP(C429,Input!$C$312:$L$335,H429,FALSE),"NA")), "")</f>
        <v>B</v>
      </c>
      <c r="G429">
        <f t="shared" si="12"/>
        <v>3</v>
      </c>
      <c r="H429">
        <f t="shared" si="13"/>
        <v>12</v>
      </c>
    </row>
    <row r="430" spans="1:8" x14ac:dyDescent="0.35">
      <c r="A430" t="str">
        <f>Input!H$259</f>
        <v>Sovereign / Public Finance</v>
      </c>
      <c r="B430">
        <f>Input!K265</f>
        <v>0</v>
      </c>
      <c r="C430">
        <f>Input!K$191</f>
        <v>9</v>
      </c>
      <c r="D430" t="str">
        <f>Input!B$195</f>
        <v>10.01 to 20</v>
      </c>
      <c r="E430" s="9">
        <f>Input!E$259</f>
        <v>2</v>
      </c>
      <c r="F430" t="str">
        <f>IF(B430&lt;&gt;"",IF(C430="NA",Lists!$D$9,IFERROR(HLOOKUP(C430,Input!$C$312:$L$335,H430,FALSE),"NA")), "")</f>
        <v>B</v>
      </c>
      <c r="G430">
        <f t="shared" si="12"/>
        <v>4</v>
      </c>
      <c r="H430">
        <f t="shared" si="13"/>
        <v>12</v>
      </c>
    </row>
    <row r="431" spans="1:8" x14ac:dyDescent="0.35">
      <c r="A431" t="str">
        <f>Input!H$259</f>
        <v>Sovereign / Public Finance</v>
      </c>
      <c r="B431">
        <f>Input!K266</f>
        <v>0</v>
      </c>
      <c r="C431">
        <f>Input!K$191</f>
        <v>9</v>
      </c>
      <c r="D431" t="str">
        <f>Input!B$196</f>
        <v>More than 20</v>
      </c>
      <c r="E431" s="9">
        <f>Input!E$259</f>
        <v>2</v>
      </c>
      <c r="F431" t="str">
        <f>IF(B431&lt;&gt;"",IF(C431="NA",Lists!$D$9,IFERROR(HLOOKUP(C431,Input!$C$312:$L$335,H431,FALSE),"NA")), "")</f>
        <v>B</v>
      </c>
      <c r="G431">
        <f t="shared" si="12"/>
        <v>5</v>
      </c>
      <c r="H431">
        <f t="shared" si="13"/>
        <v>12</v>
      </c>
    </row>
    <row r="432" spans="1:8" x14ac:dyDescent="0.35">
      <c r="A432" t="str">
        <f>Input!H$259</f>
        <v>Sovereign / Public Finance</v>
      </c>
      <c r="B432">
        <f>Input!L262</f>
        <v>0</v>
      </c>
      <c r="C432">
        <f>Input!L$191</f>
        <v>10</v>
      </c>
      <c r="D432" t="str">
        <f>Input!B$192</f>
        <v>Upto 1</v>
      </c>
      <c r="E432" s="9">
        <f>Input!E$259</f>
        <v>2</v>
      </c>
      <c r="F432" t="str">
        <f>IF(B432&lt;&gt;"",IF(C432="NA",Lists!$D$9,IFERROR(HLOOKUP(C432,Input!$C$312:$L$335,H432,FALSE),"NA")), "")</f>
        <v>CCC-C</v>
      </c>
      <c r="G432">
        <f t="shared" si="12"/>
        <v>1</v>
      </c>
      <c r="H432">
        <f t="shared" si="13"/>
        <v>12</v>
      </c>
    </row>
    <row r="433" spans="1:8" x14ac:dyDescent="0.35">
      <c r="A433" t="str">
        <f>Input!H$259</f>
        <v>Sovereign / Public Finance</v>
      </c>
      <c r="B433">
        <f>Input!L263</f>
        <v>0</v>
      </c>
      <c r="C433">
        <f>Input!L$191</f>
        <v>10</v>
      </c>
      <c r="D433" t="str">
        <f>Input!B$193</f>
        <v>1.01 to 5</v>
      </c>
      <c r="E433" s="9">
        <f>Input!E$259</f>
        <v>2</v>
      </c>
      <c r="F433" t="str">
        <f>IF(B433&lt;&gt;"",IF(C433="NA",Lists!$D$9,IFERROR(HLOOKUP(C433,Input!$C$312:$L$335,H433,FALSE),"NA")), "")</f>
        <v>CCC-C</v>
      </c>
      <c r="G433">
        <f t="shared" si="12"/>
        <v>2</v>
      </c>
      <c r="H433">
        <f t="shared" si="13"/>
        <v>12</v>
      </c>
    </row>
    <row r="434" spans="1:8" x14ac:dyDescent="0.35">
      <c r="A434" t="str">
        <f>Input!H$259</f>
        <v>Sovereign / Public Finance</v>
      </c>
      <c r="B434">
        <f>Input!L264</f>
        <v>0</v>
      </c>
      <c r="C434">
        <f>Input!L$191</f>
        <v>10</v>
      </c>
      <c r="D434" t="str">
        <f>Input!B$194</f>
        <v>5.01 to 10</v>
      </c>
      <c r="E434" s="9">
        <f>Input!E$259</f>
        <v>2</v>
      </c>
      <c r="F434" t="str">
        <f>IF(B434&lt;&gt;"",IF(C434="NA",Lists!$D$9,IFERROR(HLOOKUP(C434,Input!$C$312:$L$335,H434,FALSE),"NA")), "")</f>
        <v>CCC-C</v>
      </c>
      <c r="G434">
        <f t="shared" si="12"/>
        <v>3</v>
      </c>
      <c r="H434">
        <f t="shared" si="13"/>
        <v>12</v>
      </c>
    </row>
    <row r="435" spans="1:8" x14ac:dyDescent="0.35">
      <c r="A435" t="str">
        <f>Input!H$259</f>
        <v>Sovereign / Public Finance</v>
      </c>
      <c r="B435">
        <f>Input!L265</f>
        <v>0</v>
      </c>
      <c r="C435">
        <f>Input!L$191</f>
        <v>10</v>
      </c>
      <c r="D435" t="str">
        <f>Input!B$195</f>
        <v>10.01 to 20</v>
      </c>
      <c r="E435" s="9">
        <f>Input!E$259</f>
        <v>2</v>
      </c>
      <c r="F435" t="str">
        <f>IF(B435&lt;&gt;"",IF(C435="NA",Lists!$D$9,IFERROR(HLOOKUP(C435,Input!$C$312:$L$335,H435,FALSE),"NA")), "")</f>
        <v>CCC-C</v>
      </c>
      <c r="G435">
        <f t="shared" si="12"/>
        <v>4</v>
      </c>
      <c r="H435">
        <f t="shared" si="13"/>
        <v>12</v>
      </c>
    </row>
    <row r="436" spans="1:8" x14ac:dyDescent="0.35">
      <c r="A436" t="str">
        <f>Input!H$259</f>
        <v>Sovereign / Public Finance</v>
      </c>
      <c r="B436">
        <f>Input!L266</f>
        <v>0</v>
      </c>
      <c r="C436">
        <f>Input!L$191</f>
        <v>10</v>
      </c>
      <c r="D436" t="str">
        <f>Input!B$196</f>
        <v>More than 20</v>
      </c>
      <c r="E436" s="9">
        <f>Input!E$259</f>
        <v>2</v>
      </c>
      <c r="F436" t="str">
        <f>IF(B436&lt;&gt;"",IF(C436="NA",Lists!$D$9,IFERROR(HLOOKUP(C436,Input!$C$312:$L$335,H436,FALSE),"NA")), "")</f>
        <v>CCC-C</v>
      </c>
      <c r="G436">
        <f t="shared" si="12"/>
        <v>5</v>
      </c>
      <c r="H436">
        <f t="shared" si="13"/>
        <v>12</v>
      </c>
    </row>
    <row r="437" spans="1:8" x14ac:dyDescent="0.35">
      <c r="A437" t="str">
        <f>Input!H$259</f>
        <v>Sovereign / Public Finance</v>
      </c>
      <c r="B437">
        <f>Input!M262</f>
        <v>0</v>
      </c>
      <c r="C437" t="str">
        <f>Input!M$191</f>
        <v>NA</v>
      </c>
      <c r="D437" t="str">
        <f>Input!B$192</f>
        <v>Upto 1</v>
      </c>
      <c r="E437" s="9">
        <f>Input!E$259</f>
        <v>2</v>
      </c>
      <c r="F437" t="str">
        <f>IF(B437&lt;&gt;"",IF(C437="NA",Lists!$D$9,IFERROR(HLOOKUP(C437,Input!$C$312:$L$335,H437,FALSE),"NA")), "")</f>
        <v>CCC-C</v>
      </c>
      <c r="G437">
        <f t="shared" si="12"/>
        <v>1</v>
      </c>
      <c r="H437">
        <f t="shared" si="13"/>
        <v>12</v>
      </c>
    </row>
    <row r="438" spans="1:8" x14ac:dyDescent="0.35">
      <c r="A438" t="str">
        <f>Input!H$259</f>
        <v>Sovereign / Public Finance</v>
      </c>
      <c r="B438">
        <f>Input!M263</f>
        <v>0</v>
      </c>
      <c r="C438" t="str">
        <f>Input!M$191</f>
        <v>NA</v>
      </c>
      <c r="D438" t="str">
        <f>Input!B$193</f>
        <v>1.01 to 5</v>
      </c>
      <c r="E438" s="9">
        <f>Input!E$259</f>
        <v>2</v>
      </c>
      <c r="F438" t="str">
        <f>IF(B438&lt;&gt;"",IF(C438="NA",Lists!$D$9,IFERROR(HLOOKUP(C438,Input!$C$312:$L$335,H438,FALSE),"NA")), "")</f>
        <v>CCC-C</v>
      </c>
      <c r="G438">
        <f t="shared" si="12"/>
        <v>2</v>
      </c>
      <c r="H438">
        <f t="shared" si="13"/>
        <v>12</v>
      </c>
    </row>
    <row r="439" spans="1:8" x14ac:dyDescent="0.35">
      <c r="A439" t="str">
        <f>Input!H$259</f>
        <v>Sovereign / Public Finance</v>
      </c>
      <c r="B439">
        <f>Input!M264</f>
        <v>0</v>
      </c>
      <c r="C439" t="str">
        <f>Input!M$191</f>
        <v>NA</v>
      </c>
      <c r="D439" t="str">
        <f>Input!B$194</f>
        <v>5.01 to 10</v>
      </c>
      <c r="E439" s="9">
        <f>Input!E$259</f>
        <v>2</v>
      </c>
      <c r="F439" t="str">
        <f>IF(B439&lt;&gt;"",IF(C439="NA",Lists!$D$9,IFERROR(HLOOKUP(C439,Input!$C$312:$L$335,H439,FALSE),"NA")), "")</f>
        <v>CCC-C</v>
      </c>
      <c r="G439">
        <f t="shared" si="12"/>
        <v>3</v>
      </c>
      <c r="H439">
        <f t="shared" si="13"/>
        <v>12</v>
      </c>
    </row>
    <row r="440" spans="1:8" x14ac:dyDescent="0.35">
      <c r="A440" t="str">
        <f>Input!H$259</f>
        <v>Sovereign / Public Finance</v>
      </c>
      <c r="B440">
        <f>Input!M265</f>
        <v>0</v>
      </c>
      <c r="C440" t="str">
        <f>Input!M$191</f>
        <v>NA</v>
      </c>
      <c r="D440" t="str">
        <f>Input!B$195</f>
        <v>10.01 to 20</v>
      </c>
      <c r="E440" s="9">
        <f>Input!E$259</f>
        <v>2</v>
      </c>
      <c r="F440" t="str">
        <f>IF(B440&lt;&gt;"",IF(C440="NA",Lists!$D$9,IFERROR(HLOOKUP(C440,Input!$C$312:$L$335,H440,FALSE),"NA")), "")</f>
        <v>CCC-C</v>
      </c>
      <c r="G440">
        <f t="shared" si="12"/>
        <v>4</v>
      </c>
      <c r="H440">
        <f t="shared" si="13"/>
        <v>12</v>
      </c>
    </row>
    <row r="441" spans="1:8" x14ac:dyDescent="0.35">
      <c r="A441" t="str">
        <f>Input!H$259</f>
        <v>Sovereign / Public Finance</v>
      </c>
      <c r="B441">
        <f>Input!M266</f>
        <v>0</v>
      </c>
      <c r="C441" t="str">
        <f>Input!M$191</f>
        <v>NA</v>
      </c>
      <c r="D441" t="str">
        <f>Input!B$196</f>
        <v>More than 20</v>
      </c>
      <c r="E441" s="9">
        <f>Input!E$259</f>
        <v>2</v>
      </c>
      <c r="F441" t="str">
        <f>IF(B441&lt;&gt;"",IF(C441="NA",Lists!$D$9,IFERROR(HLOOKUP(C441,Input!$C$312:$L$335,H441,FALSE),"NA")), "")</f>
        <v>CCC-C</v>
      </c>
      <c r="G441">
        <f t="shared" si="12"/>
        <v>5</v>
      </c>
      <c r="H441">
        <f t="shared" si="13"/>
        <v>12</v>
      </c>
    </row>
    <row r="442" spans="1:8" x14ac:dyDescent="0.35">
      <c r="A442" t="str">
        <f>Input!H$269</f>
        <v>Sovereign / Public Finance</v>
      </c>
      <c r="B442">
        <f>Input!C272</f>
        <v>0</v>
      </c>
      <c r="C442">
        <f>Input!C$191</f>
        <v>1</v>
      </c>
      <c r="D442" t="str">
        <f>Input!B$192</f>
        <v>Upto 1</v>
      </c>
      <c r="E442" s="9">
        <f>Input!E$269</f>
        <v>3</v>
      </c>
      <c r="F442" t="str">
        <f>IF(B442&lt;&gt;"",IF(C442="NA",Lists!$D$9,IFERROR(HLOOKUP(C442,Input!$C$312:$L$335,H442,FALSE),"NA")), "")</f>
        <v>A</v>
      </c>
      <c r="G442">
        <f t="shared" si="12"/>
        <v>1</v>
      </c>
      <c r="H442">
        <f t="shared" si="13"/>
        <v>12</v>
      </c>
    </row>
    <row r="443" spans="1:8" x14ac:dyDescent="0.35">
      <c r="A443" t="str">
        <f>Input!H$269</f>
        <v>Sovereign / Public Finance</v>
      </c>
      <c r="B443">
        <f>Input!C273</f>
        <v>0</v>
      </c>
      <c r="C443">
        <f>Input!C$191</f>
        <v>1</v>
      </c>
      <c r="D443" t="str">
        <f>Input!B$193</f>
        <v>1.01 to 5</v>
      </c>
      <c r="E443" s="9">
        <f>Input!E$269</f>
        <v>3</v>
      </c>
      <c r="F443" t="str">
        <f>IF(B443&lt;&gt;"",IF(C443="NA",Lists!$D$9,IFERROR(HLOOKUP(C443,Input!$C$312:$L$335,H443,FALSE),"NA")), "")</f>
        <v>A</v>
      </c>
      <c r="G443">
        <f t="shared" si="12"/>
        <v>2</v>
      </c>
      <c r="H443">
        <f t="shared" si="13"/>
        <v>12</v>
      </c>
    </row>
    <row r="444" spans="1:8" x14ac:dyDescent="0.35">
      <c r="A444" t="str">
        <f>Input!H$269</f>
        <v>Sovereign / Public Finance</v>
      </c>
      <c r="B444">
        <f>Input!C274</f>
        <v>0</v>
      </c>
      <c r="C444">
        <f>Input!C$191</f>
        <v>1</v>
      </c>
      <c r="D444" t="str">
        <f>Input!B$194</f>
        <v>5.01 to 10</v>
      </c>
      <c r="E444" s="9">
        <f>Input!E$269</f>
        <v>3</v>
      </c>
      <c r="F444" t="str">
        <f>IF(B444&lt;&gt;"",IF(C444="NA",Lists!$D$9,IFERROR(HLOOKUP(C444,Input!$C$312:$L$335,H444,FALSE),"NA")), "")</f>
        <v>A</v>
      </c>
      <c r="G444">
        <f t="shared" si="12"/>
        <v>3</v>
      </c>
      <c r="H444">
        <f t="shared" si="13"/>
        <v>12</v>
      </c>
    </row>
    <row r="445" spans="1:8" x14ac:dyDescent="0.35">
      <c r="A445" t="str">
        <f>Input!H$269</f>
        <v>Sovereign / Public Finance</v>
      </c>
      <c r="B445">
        <f>Input!C275</f>
        <v>0</v>
      </c>
      <c r="C445">
        <f>Input!C$191</f>
        <v>1</v>
      </c>
      <c r="D445" t="str">
        <f>Input!B$195</f>
        <v>10.01 to 20</v>
      </c>
      <c r="E445" s="9">
        <f>Input!E$269</f>
        <v>3</v>
      </c>
      <c r="F445" t="str">
        <f>IF(B445&lt;&gt;"",IF(C445="NA",Lists!$D$9,IFERROR(HLOOKUP(C445,Input!$C$312:$L$335,H445,FALSE),"NA")), "")</f>
        <v>A</v>
      </c>
      <c r="G445">
        <f t="shared" si="12"/>
        <v>4</v>
      </c>
      <c r="H445">
        <f t="shared" si="13"/>
        <v>12</v>
      </c>
    </row>
    <row r="446" spans="1:8" x14ac:dyDescent="0.35">
      <c r="A446" t="str">
        <f>Input!H$269</f>
        <v>Sovereign / Public Finance</v>
      </c>
      <c r="B446">
        <f>Input!C276</f>
        <v>0</v>
      </c>
      <c r="C446">
        <f>Input!C$191</f>
        <v>1</v>
      </c>
      <c r="D446" t="str">
        <f>Input!B$196</f>
        <v>More than 20</v>
      </c>
      <c r="E446" s="9">
        <f>Input!E$269</f>
        <v>3</v>
      </c>
      <c r="F446" t="str">
        <f>IF(B446&lt;&gt;"",IF(C446="NA",Lists!$D$9,IFERROR(HLOOKUP(C446,Input!$C$312:$L$335,H446,FALSE),"NA")), "")</f>
        <v>A</v>
      </c>
      <c r="G446">
        <f t="shared" si="12"/>
        <v>5</v>
      </c>
      <c r="H446">
        <f t="shared" si="13"/>
        <v>12</v>
      </c>
    </row>
    <row r="447" spans="1:8" x14ac:dyDescent="0.35">
      <c r="A447" t="str">
        <f>Input!H$269</f>
        <v>Sovereign / Public Finance</v>
      </c>
      <c r="B447">
        <f>Input!D272</f>
        <v>0</v>
      </c>
      <c r="C447">
        <f>Input!D$191</f>
        <v>2</v>
      </c>
      <c r="D447" t="str">
        <f>Input!B$192</f>
        <v>Upto 1</v>
      </c>
      <c r="E447" s="9">
        <f>Input!E$269</f>
        <v>3</v>
      </c>
      <c r="F447" t="str">
        <f>IF(B447&lt;&gt;"",IF(C447="NA",Lists!$D$9,IFERROR(HLOOKUP(C447,Input!$C$312:$L$335,H447,FALSE),"NA")), "")</f>
        <v>A</v>
      </c>
      <c r="G447">
        <f t="shared" si="12"/>
        <v>1</v>
      </c>
      <c r="H447">
        <f t="shared" si="13"/>
        <v>12</v>
      </c>
    </row>
    <row r="448" spans="1:8" x14ac:dyDescent="0.35">
      <c r="A448" t="str">
        <f>Input!H$269</f>
        <v>Sovereign / Public Finance</v>
      </c>
      <c r="B448">
        <f>Input!D273</f>
        <v>0</v>
      </c>
      <c r="C448">
        <f>Input!D$191</f>
        <v>2</v>
      </c>
      <c r="D448" t="str">
        <f>Input!B$193</f>
        <v>1.01 to 5</v>
      </c>
      <c r="E448" s="9">
        <f>Input!E$269</f>
        <v>3</v>
      </c>
      <c r="F448" t="str">
        <f>IF(B448&lt;&gt;"",IF(C448="NA",Lists!$D$9,IFERROR(HLOOKUP(C448,Input!$C$312:$L$335,H448,FALSE),"NA")), "")</f>
        <v>A</v>
      </c>
      <c r="G448">
        <f t="shared" si="12"/>
        <v>2</v>
      </c>
      <c r="H448">
        <f t="shared" si="13"/>
        <v>12</v>
      </c>
    </row>
    <row r="449" spans="1:8" x14ac:dyDescent="0.35">
      <c r="A449" t="str">
        <f>Input!H$269</f>
        <v>Sovereign / Public Finance</v>
      </c>
      <c r="B449">
        <f>Input!D274</f>
        <v>0</v>
      </c>
      <c r="C449">
        <f>Input!D$191</f>
        <v>2</v>
      </c>
      <c r="D449" t="str">
        <f>Input!B$194</f>
        <v>5.01 to 10</v>
      </c>
      <c r="E449" s="9">
        <f>Input!E$269</f>
        <v>3</v>
      </c>
      <c r="F449" t="str">
        <f>IF(B449&lt;&gt;"",IF(C449="NA",Lists!$D$9,IFERROR(HLOOKUP(C449,Input!$C$312:$L$335,H449,FALSE),"NA")), "")</f>
        <v>A</v>
      </c>
      <c r="G449">
        <f t="shared" si="12"/>
        <v>3</v>
      </c>
      <c r="H449">
        <f t="shared" si="13"/>
        <v>12</v>
      </c>
    </row>
    <row r="450" spans="1:8" x14ac:dyDescent="0.35">
      <c r="A450" t="str">
        <f>Input!H$269</f>
        <v>Sovereign / Public Finance</v>
      </c>
      <c r="B450">
        <f>Input!D275</f>
        <v>0</v>
      </c>
      <c r="C450">
        <f>Input!D$191</f>
        <v>2</v>
      </c>
      <c r="D450" t="str">
        <f>Input!B$195</f>
        <v>10.01 to 20</v>
      </c>
      <c r="E450" s="9">
        <f>Input!E$269</f>
        <v>3</v>
      </c>
      <c r="F450" t="str">
        <f>IF(B450&lt;&gt;"",IF(C450="NA",Lists!$D$9,IFERROR(HLOOKUP(C450,Input!$C$312:$L$335,H450,FALSE),"NA")), "")</f>
        <v>A</v>
      </c>
      <c r="G450">
        <f t="shared" ref="G450:G513" si="14">IFERROR(MATCH(D450,lov_term_buckets,0),"")</f>
        <v>4</v>
      </c>
      <c r="H450">
        <f t="shared" si="13"/>
        <v>12</v>
      </c>
    </row>
    <row r="451" spans="1:8" x14ac:dyDescent="0.35">
      <c r="A451" t="str">
        <f>Input!H$269</f>
        <v>Sovereign / Public Finance</v>
      </c>
      <c r="B451">
        <f>Input!D276</f>
        <v>0</v>
      </c>
      <c r="C451">
        <f>Input!D$191</f>
        <v>2</v>
      </c>
      <c r="D451" t="str">
        <f>Input!B$196</f>
        <v>More than 20</v>
      </c>
      <c r="E451" s="9">
        <f>Input!E$269</f>
        <v>3</v>
      </c>
      <c r="F451" t="str">
        <f>IF(B451&lt;&gt;"",IF(C451="NA",Lists!$D$9,IFERROR(HLOOKUP(C451,Input!$C$312:$L$335,H451,FALSE),"NA")), "")</f>
        <v>A</v>
      </c>
      <c r="G451">
        <f t="shared" si="14"/>
        <v>5</v>
      </c>
      <c r="H451">
        <f t="shared" ref="H451:H514" si="15">INDEX($L$2:$L$8,MATCH(A451,$K$2:$K$8,0))</f>
        <v>12</v>
      </c>
    </row>
    <row r="452" spans="1:8" x14ac:dyDescent="0.35">
      <c r="A452" t="str">
        <f>Input!H$269</f>
        <v>Sovereign / Public Finance</v>
      </c>
      <c r="B452">
        <f>Input!E272</f>
        <v>0</v>
      </c>
      <c r="C452">
        <f>Input!E$191</f>
        <v>3</v>
      </c>
      <c r="D452" t="str">
        <f>Input!B$192</f>
        <v>Upto 1</v>
      </c>
      <c r="E452" s="9">
        <f>Input!E$269</f>
        <v>3</v>
      </c>
      <c r="F452" t="str">
        <f>IF(B452&lt;&gt;"",IF(C452="NA",Lists!$D$9,IFERROR(HLOOKUP(C452,Input!$C$312:$L$335,H452,FALSE),"NA")), "")</f>
        <v>A</v>
      </c>
      <c r="G452">
        <f t="shared" si="14"/>
        <v>1</v>
      </c>
      <c r="H452">
        <f t="shared" si="15"/>
        <v>12</v>
      </c>
    </row>
    <row r="453" spans="1:8" x14ac:dyDescent="0.35">
      <c r="A453" t="str">
        <f>Input!H$269</f>
        <v>Sovereign / Public Finance</v>
      </c>
      <c r="B453">
        <f>Input!E273</f>
        <v>0</v>
      </c>
      <c r="C453">
        <f>Input!E$191</f>
        <v>3</v>
      </c>
      <c r="D453" t="str">
        <f>Input!B$193</f>
        <v>1.01 to 5</v>
      </c>
      <c r="E453" s="9">
        <f>Input!E$269</f>
        <v>3</v>
      </c>
      <c r="F453" t="str">
        <f>IF(B453&lt;&gt;"",IF(C453="NA",Lists!$D$9,IFERROR(HLOOKUP(C453,Input!$C$312:$L$335,H453,FALSE),"NA")), "")</f>
        <v>A</v>
      </c>
      <c r="G453">
        <f t="shared" si="14"/>
        <v>2</v>
      </c>
      <c r="H453">
        <f t="shared" si="15"/>
        <v>12</v>
      </c>
    </row>
    <row r="454" spans="1:8" x14ac:dyDescent="0.35">
      <c r="A454" t="str">
        <f>Input!H$269</f>
        <v>Sovereign / Public Finance</v>
      </c>
      <c r="B454">
        <f>Input!E274</f>
        <v>0</v>
      </c>
      <c r="C454">
        <f>Input!E$191</f>
        <v>3</v>
      </c>
      <c r="D454" t="str">
        <f>Input!B$194</f>
        <v>5.01 to 10</v>
      </c>
      <c r="E454" s="9">
        <f>Input!E$269</f>
        <v>3</v>
      </c>
      <c r="F454" t="str">
        <f>IF(B454&lt;&gt;"",IF(C454="NA",Lists!$D$9,IFERROR(HLOOKUP(C454,Input!$C$312:$L$335,H454,FALSE),"NA")), "")</f>
        <v>A</v>
      </c>
      <c r="G454">
        <f t="shared" si="14"/>
        <v>3</v>
      </c>
      <c r="H454">
        <f t="shared" si="15"/>
        <v>12</v>
      </c>
    </row>
    <row r="455" spans="1:8" x14ac:dyDescent="0.35">
      <c r="A455" t="str">
        <f>Input!H$269</f>
        <v>Sovereign / Public Finance</v>
      </c>
      <c r="B455">
        <f>Input!E275</f>
        <v>0</v>
      </c>
      <c r="C455">
        <f>Input!E$191</f>
        <v>3</v>
      </c>
      <c r="D455" t="str">
        <f>Input!B$195</f>
        <v>10.01 to 20</v>
      </c>
      <c r="E455" s="9">
        <f>Input!E$269</f>
        <v>3</v>
      </c>
      <c r="F455" t="str">
        <f>IF(B455&lt;&gt;"",IF(C455="NA",Lists!$D$9,IFERROR(HLOOKUP(C455,Input!$C$312:$L$335,H455,FALSE),"NA")), "")</f>
        <v>A</v>
      </c>
      <c r="G455">
        <f t="shared" si="14"/>
        <v>4</v>
      </c>
      <c r="H455">
        <f t="shared" si="15"/>
        <v>12</v>
      </c>
    </row>
    <row r="456" spans="1:8" x14ac:dyDescent="0.35">
      <c r="A456" t="str">
        <f>Input!H$269</f>
        <v>Sovereign / Public Finance</v>
      </c>
      <c r="B456">
        <f>Input!E276</f>
        <v>0</v>
      </c>
      <c r="C456">
        <f>Input!E$191</f>
        <v>3</v>
      </c>
      <c r="D456" t="str">
        <f>Input!B$196</f>
        <v>More than 20</v>
      </c>
      <c r="E456" s="9">
        <f>Input!E$269</f>
        <v>3</v>
      </c>
      <c r="F456" t="str">
        <f>IF(B456&lt;&gt;"",IF(C456="NA",Lists!$D$9,IFERROR(HLOOKUP(C456,Input!$C$312:$L$335,H456,FALSE),"NA")), "")</f>
        <v>A</v>
      </c>
      <c r="G456">
        <f t="shared" si="14"/>
        <v>5</v>
      </c>
      <c r="H456">
        <f t="shared" si="15"/>
        <v>12</v>
      </c>
    </row>
    <row r="457" spans="1:8" x14ac:dyDescent="0.35">
      <c r="A457" t="str">
        <f>Input!H$269</f>
        <v>Sovereign / Public Finance</v>
      </c>
      <c r="B457">
        <f>Input!F272</f>
        <v>0</v>
      </c>
      <c r="C457">
        <f>Input!F$191</f>
        <v>4</v>
      </c>
      <c r="D457" t="str">
        <f>Input!B$192</f>
        <v>Upto 1</v>
      </c>
      <c r="E457" s="9">
        <f>Input!E$269</f>
        <v>3</v>
      </c>
      <c r="F457" t="str">
        <f>IF(B457&lt;&gt;"",IF(C457="NA",Lists!$D$9,IFERROR(HLOOKUP(C457,Input!$C$312:$L$335,H457,FALSE),"NA")), "")</f>
        <v>A</v>
      </c>
      <c r="G457">
        <f t="shared" si="14"/>
        <v>1</v>
      </c>
      <c r="H457">
        <f t="shared" si="15"/>
        <v>12</v>
      </c>
    </row>
    <row r="458" spans="1:8" x14ac:dyDescent="0.35">
      <c r="A458" t="str">
        <f>Input!H$269</f>
        <v>Sovereign / Public Finance</v>
      </c>
      <c r="B458">
        <f>Input!F273</f>
        <v>0</v>
      </c>
      <c r="C458">
        <f>Input!F$191</f>
        <v>4</v>
      </c>
      <c r="D458" t="str">
        <f>Input!B$193</f>
        <v>1.01 to 5</v>
      </c>
      <c r="E458" s="9">
        <f>Input!E$269</f>
        <v>3</v>
      </c>
      <c r="F458" t="str">
        <f>IF(B458&lt;&gt;"",IF(C458="NA",Lists!$D$9,IFERROR(HLOOKUP(C458,Input!$C$312:$L$335,H458,FALSE),"NA")), "")</f>
        <v>A</v>
      </c>
      <c r="G458">
        <f t="shared" si="14"/>
        <v>2</v>
      </c>
      <c r="H458">
        <f t="shared" si="15"/>
        <v>12</v>
      </c>
    </row>
    <row r="459" spans="1:8" x14ac:dyDescent="0.35">
      <c r="A459" t="str">
        <f>Input!H$269</f>
        <v>Sovereign / Public Finance</v>
      </c>
      <c r="B459">
        <f>Input!F274</f>
        <v>0</v>
      </c>
      <c r="C459">
        <f>Input!F$191</f>
        <v>4</v>
      </c>
      <c r="D459" t="str">
        <f>Input!B$194</f>
        <v>5.01 to 10</v>
      </c>
      <c r="E459" s="9">
        <f>Input!E$269</f>
        <v>3</v>
      </c>
      <c r="F459" t="str">
        <f>IF(B459&lt;&gt;"",IF(C459="NA",Lists!$D$9,IFERROR(HLOOKUP(C459,Input!$C$312:$L$335,H459,FALSE),"NA")), "")</f>
        <v>A</v>
      </c>
      <c r="G459">
        <f t="shared" si="14"/>
        <v>3</v>
      </c>
      <c r="H459">
        <f t="shared" si="15"/>
        <v>12</v>
      </c>
    </row>
    <row r="460" spans="1:8" x14ac:dyDescent="0.35">
      <c r="A460" t="str">
        <f>Input!H$269</f>
        <v>Sovereign / Public Finance</v>
      </c>
      <c r="B460">
        <f>Input!F275</f>
        <v>0</v>
      </c>
      <c r="C460">
        <f>Input!F$191</f>
        <v>4</v>
      </c>
      <c r="D460" t="str">
        <f>Input!B$195</f>
        <v>10.01 to 20</v>
      </c>
      <c r="E460" s="9">
        <f>Input!E$269</f>
        <v>3</v>
      </c>
      <c r="F460" t="str">
        <f>IF(B460&lt;&gt;"",IF(C460="NA",Lists!$D$9,IFERROR(HLOOKUP(C460,Input!$C$312:$L$335,H460,FALSE),"NA")), "")</f>
        <v>A</v>
      </c>
      <c r="G460">
        <f t="shared" si="14"/>
        <v>4</v>
      </c>
      <c r="H460">
        <f t="shared" si="15"/>
        <v>12</v>
      </c>
    </row>
    <row r="461" spans="1:8" x14ac:dyDescent="0.35">
      <c r="A461" t="str">
        <f>Input!H$269</f>
        <v>Sovereign / Public Finance</v>
      </c>
      <c r="B461">
        <f>Input!F276</f>
        <v>0</v>
      </c>
      <c r="C461">
        <f>Input!F$191</f>
        <v>4</v>
      </c>
      <c r="D461" t="str">
        <f>Input!B$196</f>
        <v>More than 20</v>
      </c>
      <c r="E461" s="9">
        <f>Input!E$269</f>
        <v>3</v>
      </c>
      <c r="F461" t="str">
        <f>IF(B461&lt;&gt;"",IF(C461="NA",Lists!$D$9,IFERROR(HLOOKUP(C461,Input!$C$312:$L$335,H461,FALSE),"NA")), "")</f>
        <v>A</v>
      </c>
      <c r="G461">
        <f t="shared" si="14"/>
        <v>5</v>
      </c>
      <c r="H461">
        <f t="shared" si="15"/>
        <v>12</v>
      </c>
    </row>
    <row r="462" spans="1:8" x14ac:dyDescent="0.35">
      <c r="A462" t="str">
        <f>Input!H$269</f>
        <v>Sovereign / Public Finance</v>
      </c>
      <c r="B462">
        <f>Input!G272</f>
        <v>0</v>
      </c>
      <c r="C462">
        <f>Input!G$191</f>
        <v>5</v>
      </c>
      <c r="D462" t="str">
        <f>Input!B$192</f>
        <v>Upto 1</v>
      </c>
      <c r="E462" s="9">
        <f>Input!E$269</f>
        <v>3</v>
      </c>
      <c r="F462" t="str">
        <f>IF(B462&lt;&gt;"",IF(C462="NA",Lists!$D$9,IFERROR(HLOOKUP(C462,Input!$C$312:$L$335,H462,FALSE),"NA")), "")</f>
        <v>BBB</v>
      </c>
      <c r="G462">
        <f t="shared" si="14"/>
        <v>1</v>
      </c>
      <c r="H462">
        <f t="shared" si="15"/>
        <v>12</v>
      </c>
    </row>
    <row r="463" spans="1:8" x14ac:dyDescent="0.35">
      <c r="A463" t="str">
        <f>Input!H$269</f>
        <v>Sovereign / Public Finance</v>
      </c>
      <c r="B463">
        <f>Input!G273</f>
        <v>0</v>
      </c>
      <c r="C463">
        <f>Input!G$191</f>
        <v>5</v>
      </c>
      <c r="D463" t="str">
        <f>Input!B$193</f>
        <v>1.01 to 5</v>
      </c>
      <c r="E463" s="9">
        <f>Input!E$269</f>
        <v>3</v>
      </c>
      <c r="F463" t="str">
        <f>IF(B463&lt;&gt;"",IF(C463="NA",Lists!$D$9,IFERROR(HLOOKUP(C463,Input!$C$312:$L$335,H463,FALSE),"NA")), "")</f>
        <v>BBB</v>
      </c>
      <c r="G463">
        <f t="shared" si="14"/>
        <v>2</v>
      </c>
      <c r="H463">
        <f t="shared" si="15"/>
        <v>12</v>
      </c>
    </row>
    <row r="464" spans="1:8" x14ac:dyDescent="0.35">
      <c r="A464" t="str">
        <f>Input!H$269</f>
        <v>Sovereign / Public Finance</v>
      </c>
      <c r="B464">
        <f>Input!G274</f>
        <v>0</v>
      </c>
      <c r="C464">
        <f>Input!G$191</f>
        <v>5</v>
      </c>
      <c r="D464" t="str">
        <f>Input!B$194</f>
        <v>5.01 to 10</v>
      </c>
      <c r="E464" s="9">
        <f>Input!E$269</f>
        <v>3</v>
      </c>
      <c r="F464" t="str">
        <f>IF(B464&lt;&gt;"",IF(C464="NA",Lists!$D$9,IFERROR(HLOOKUP(C464,Input!$C$312:$L$335,H464,FALSE),"NA")), "")</f>
        <v>BBB</v>
      </c>
      <c r="G464">
        <f t="shared" si="14"/>
        <v>3</v>
      </c>
      <c r="H464">
        <f t="shared" si="15"/>
        <v>12</v>
      </c>
    </row>
    <row r="465" spans="1:8" x14ac:dyDescent="0.35">
      <c r="A465" t="str">
        <f>Input!H$269</f>
        <v>Sovereign / Public Finance</v>
      </c>
      <c r="B465">
        <f>Input!G275</f>
        <v>0</v>
      </c>
      <c r="C465">
        <f>Input!G$191</f>
        <v>5</v>
      </c>
      <c r="D465" t="str">
        <f>Input!B$195</f>
        <v>10.01 to 20</v>
      </c>
      <c r="E465" s="9">
        <f>Input!E$269</f>
        <v>3</v>
      </c>
      <c r="F465" t="str">
        <f>IF(B465&lt;&gt;"",IF(C465="NA",Lists!$D$9,IFERROR(HLOOKUP(C465,Input!$C$312:$L$335,H465,FALSE),"NA")), "")</f>
        <v>BBB</v>
      </c>
      <c r="G465">
        <f t="shared" si="14"/>
        <v>4</v>
      </c>
      <c r="H465">
        <f t="shared" si="15"/>
        <v>12</v>
      </c>
    </row>
    <row r="466" spans="1:8" x14ac:dyDescent="0.35">
      <c r="A466" t="str">
        <f>Input!H$269</f>
        <v>Sovereign / Public Finance</v>
      </c>
      <c r="B466">
        <f>Input!G276</f>
        <v>0</v>
      </c>
      <c r="C466">
        <f>Input!G$191</f>
        <v>5</v>
      </c>
      <c r="D466" t="str">
        <f>Input!B$196</f>
        <v>More than 20</v>
      </c>
      <c r="E466" s="9">
        <f>Input!E$269</f>
        <v>3</v>
      </c>
      <c r="F466" t="str">
        <f>IF(B466&lt;&gt;"",IF(C466="NA",Lists!$D$9,IFERROR(HLOOKUP(C466,Input!$C$312:$L$335,H466,FALSE),"NA")), "")</f>
        <v>BBB</v>
      </c>
      <c r="G466">
        <f t="shared" si="14"/>
        <v>5</v>
      </c>
      <c r="H466">
        <f t="shared" si="15"/>
        <v>12</v>
      </c>
    </row>
    <row r="467" spans="1:8" x14ac:dyDescent="0.35">
      <c r="A467" t="str">
        <f>Input!H$269</f>
        <v>Sovereign / Public Finance</v>
      </c>
      <c r="B467">
        <f>Input!H272</f>
        <v>0</v>
      </c>
      <c r="C467">
        <f>Input!H$191</f>
        <v>6</v>
      </c>
      <c r="D467" t="str">
        <f>Input!B$192</f>
        <v>Upto 1</v>
      </c>
      <c r="E467" s="9">
        <f>Input!E$269</f>
        <v>3</v>
      </c>
      <c r="F467" t="str">
        <f>IF(B467&lt;&gt;"",IF(C467="NA",Lists!$D$9,IFERROR(HLOOKUP(C467,Input!$C$312:$L$335,H467,FALSE),"NA")), "")</f>
        <v>BBB</v>
      </c>
      <c r="G467">
        <f t="shared" si="14"/>
        <v>1</v>
      </c>
      <c r="H467">
        <f t="shared" si="15"/>
        <v>12</v>
      </c>
    </row>
    <row r="468" spans="1:8" x14ac:dyDescent="0.35">
      <c r="A468" t="str">
        <f>Input!H$269</f>
        <v>Sovereign / Public Finance</v>
      </c>
      <c r="B468">
        <f>Input!H273</f>
        <v>0</v>
      </c>
      <c r="C468">
        <f>Input!H$191</f>
        <v>6</v>
      </c>
      <c r="D468" t="str">
        <f>Input!B$193</f>
        <v>1.01 to 5</v>
      </c>
      <c r="E468" s="9">
        <f>Input!E$269</f>
        <v>3</v>
      </c>
      <c r="F468" t="str">
        <f>IF(B468&lt;&gt;"",IF(C468="NA",Lists!$D$9,IFERROR(HLOOKUP(C468,Input!$C$312:$L$335,H468,FALSE),"NA")), "")</f>
        <v>BBB</v>
      </c>
      <c r="G468">
        <f t="shared" si="14"/>
        <v>2</v>
      </c>
      <c r="H468">
        <f t="shared" si="15"/>
        <v>12</v>
      </c>
    </row>
    <row r="469" spans="1:8" x14ac:dyDescent="0.35">
      <c r="A469" t="str">
        <f>Input!H$269</f>
        <v>Sovereign / Public Finance</v>
      </c>
      <c r="B469">
        <f>Input!H274</f>
        <v>0</v>
      </c>
      <c r="C469">
        <f>Input!H$191</f>
        <v>6</v>
      </c>
      <c r="D469" t="str">
        <f>Input!B$194</f>
        <v>5.01 to 10</v>
      </c>
      <c r="E469" s="9">
        <f>Input!E$269</f>
        <v>3</v>
      </c>
      <c r="F469" t="str">
        <f>IF(B469&lt;&gt;"",IF(C469="NA",Lists!$D$9,IFERROR(HLOOKUP(C469,Input!$C$312:$L$335,H469,FALSE),"NA")), "")</f>
        <v>BBB</v>
      </c>
      <c r="G469">
        <f t="shared" si="14"/>
        <v>3</v>
      </c>
      <c r="H469">
        <f t="shared" si="15"/>
        <v>12</v>
      </c>
    </row>
    <row r="470" spans="1:8" x14ac:dyDescent="0.35">
      <c r="A470" t="str">
        <f>Input!H$269</f>
        <v>Sovereign / Public Finance</v>
      </c>
      <c r="B470">
        <f>Input!H275</f>
        <v>0</v>
      </c>
      <c r="C470">
        <f>Input!H$191</f>
        <v>6</v>
      </c>
      <c r="D470" t="str">
        <f>Input!B$195</f>
        <v>10.01 to 20</v>
      </c>
      <c r="E470" s="9">
        <f>Input!E$269</f>
        <v>3</v>
      </c>
      <c r="F470" t="str">
        <f>IF(B470&lt;&gt;"",IF(C470="NA",Lists!$D$9,IFERROR(HLOOKUP(C470,Input!$C$312:$L$335,H470,FALSE),"NA")), "")</f>
        <v>BBB</v>
      </c>
      <c r="G470">
        <f t="shared" si="14"/>
        <v>4</v>
      </c>
      <c r="H470">
        <f t="shared" si="15"/>
        <v>12</v>
      </c>
    </row>
    <row r="471" spans="1:8" x14ac:dyDescent="0.35">
      <c r="A471" t="str">
        <f>Input!H$269</f>
        <v>Sovereign / Public Finance</v>
      </c>
      <c r="B471">
        <f>Input!H276</f>
        <v>0</v>
      </c>
      <c r="C471">
        <f>Input!H$191</f>
        <v>6</v>
      </c>
      <c r="D471" t="str">
        <f>Input!B$196</f>
        <v>More than 20</v>
      </c>
      <c r="E471" s="9">
        <f>Input!E$269</f>
        <v>3</v>
      </c>
      <c r="F471" t="str">
        <f>IF(B471&lt;&gt;"",IF(C471="NA",Lists!$D$9,IFERROR(HLOOKUP(C471,Input!$C$312:$L$335,H471,FALSE),"NA")), "")</f>
        <v>BBB</v>
      </c>
      <c r="G471">
        <f t="shared" si="14"/>
        <v>5</v>
      </c>
      <c r="H471">
        <f t="shared" si="15"/>
        <v>12</v>
      </c>
    </row>
    <row r="472" spans="1:8" x14ac:dyDescent="0.35">
      <c r="A472" t="str">
        <f>Input!H$269</f>
        <v>Sovereign / Public Finance</v>
      </c>
      <c r="B472">
        <f>Input!I272</f>
        <v>0</v>
      </c>
      <c r="C472">
        <f>Input!I$191</f>
        <v>7</v>
      </c>
      <c r="D472" t="str">
        <f>Input!B$192</f>
        <v>Upto 1</v>
      </c>
      <c r="E472" s="9">
        <f>Input!E$269</f>
        <v>3</v>
      </c>
      <c r="F472" t="str">
        <f>IF(B472&lt;&gt;"",IF(C472="NA",Lists!$D$9,IFERROR(HLOOKUP(C472,Input!$C$312:$L$335,H472,FALSE),"NA")), "")</f>
        <v>BB</v>
      </c>
      <c r="G472">
        <f t="shared" si="14"/>
        <v>1</v>
      </c>
      <c r="H472">
        <f t="shared" si="15"/>
        <v>12</v>
      </c>
    </row>
    <row r="473" spans="1:8" x14ac:dyDescent="0.35">
      <c r="A473" t="str">
        <f>Input!H$269</f>
        <v>Sovereign / Public Finance</v>
      </c>
      <c r="B473">
        <f>Input!I273</f>
        <v>0</v>
      </c>
      <c r="C473">
        <f>Input!I$191</f>
        <v>7</v>
      </c>
      <c r="D473" t="str">
        <f>Input!B$193</f>
        <v>1.01 to 5</v>
      </c>
      <c r="E473" s="9">
        <f>Input!E$269</f>
        <v>3</v>
      </c>
      <c r="F473" t="str">
        <f>IF(B473&lt;&gt;"",IF(C473="NA",Lists!$D$9,IFERROR(HLOOKUP(C473,Input!$C$312:$L$335,H473,FALSE),"NA")), "")</f>
        <v>BB</v>
      </c>
      <c r="G473">
        <f t="shared" si="14"/>
        <v>2</v>
      </c>
      <c r="H473">
        <f t="shared" si="15"/>
        <v>12</v>
      </c>
    </row>
    <row r="474" spans="1:8" x14ac:dyDescent="0.35">
      <c r="A474" t="str">
        <f>Input!H$269</f>
        <v>Sovereign / Public Finance</v>
      </c>
      <c r="B474">
        <f>Input!I274</f>
        <v>0</v>
      </c>
      <c r="C474">
        <f>Input!I$191</f>
        <v>7</v>
      </c>
      <c r="D474" t="str">
        <f>Input!B$194</f>
        <v>5.01 to 10</v>
      </c>
      <c r="E474" s="9">
        <f>Input!E$269</f>
        <v>3</v>
      </c>
      <c r="F474" t="str">
        <f>IF(B474&lt;&gt;"",IF(C474="NA",Lists!$D$9,IFERROR(HLOOKUP(C474,Input!$C$312:$L$335,H474,FALSE),"NA")), "")</f>
        <v>BB</v>
      </c>
      <c r="G474">
        <f t="shared" si="14"/>
        <v>3</v>
      </c>
      <c r="H474">
        <f t="shared" si="15"/>
        <v>12</v>
      </c>
    </row>
    <row r="475" spans="1:8" x14ac:dyDescent="0.35">
      <c r="A475" t="str">
        <f>Input!H$269</f>
        <v>Sovereign / Public Finance</v>
      </c>
      <c r="B475">
        <f>Input!I275</f>
        <v>0</v>
      </c>
      <c r="C475">
        <f>Input!I$191</f>
        <v>7</v>
      </c>
      <c r="D475" t="str">
        <f>Input!B$195</f>
        <v>10.01 to 20</v>
      </c>
      <c r="E475" s="9">
        <f>Input!E$269</f>
        <v>3</v>
      </c>
      <c r="F475" t="str">
        <f>IF(B475&lt;&gt;"",IF(C475="NA",Lists!$D$9,IFERROR(HLOOKUP(C475,Input!$C$312:$L$335,H475,FALSE),"NA")), "")</f>
        <v>BB</v>
      </c>
      <c r="G475">
        <f t="shared" si="14"/>
        <v>4</v>
      </c>
      <c r="H475">
        <f t="shared" si="15"/>
        <v>12</v>
      </c>
    </row>
    <row r="476" spans="1:8" x14ac:dyDescent="0.35">
      <c r="A476" t="str">
        <f>Input!H$269</f>
        <v>Sovereign / Public Finance</v>
      </c>
      <c r="B476">
        <f>Input!I276</f>
        <v>0</v>
      </c>
      <c r="C476">
        <f>Input!I$191</f>
        <v>7</v>
      </c>
      <c r="D476" t="str">
        <f>Input!B$196</f>
        <v>More than 20</v>
      </c>
      <c r="E476" s="9">
        <f>Input!E$269</f>
        <v>3</v>
      </c>
      <c r="F476" t="str">
        <f>IF(B476&lt;&gt;"",IF(C476="NA",Lists!$D$9,IFERROR(HLOOKUP(C476,Input!$C$312:$L$335,H476,FALSE),"NA")), "")</f>
        <v>BB</v>
      </c>
      <c r="G476">
        <f t="shared" si="14"/>
        <v>5</v>
      </c>
      <c r="H476">
        <f t="shared" si="15"/>
        <v>12</v>
      </c>
    </row>
    <row r="477" spans="1:8" x14ac:dyDescent="0.35">
      <c r="A477" t="str">
        <f>Input!H$269</f>
        <v>Sovereign / Public Finance</v>
      </c>
      <c r="B477">
        <f>Input!J272</f>
        <v>0</v>
      </c>
      <c r="C477">
        <f>Input!J$191</f>
        <v>8</v>
      </c>
      <c r="D477" t="str">
        <f>Input!B$192</f>
        <v>Upto 1</v>
      </c>
      <c r="E477" s="9">
        <f>Input!E$269</f>
        <v>3</v>
      </c>
      <c r="F477" t="str">
        <f>IF(B477&lt;&gt;"",IF(C477="NA",Lists!$D$9,IFERROR(HLOOKUP(C477,Input!$C$312:$L$335,H477,FALSE),"NA")), "")</f>
        <v>B</v>
      </c>
      <c r="G477">
        <f t="shared" si="14"/>
        <v>1</v>
      </c>
      <c r="H477">
        <f t="shared" si="15"/>
        <v>12</v>
      </c>
    </row>
    <row r="478" spans="1:8" x14ac:dyDescent="0.35">
      <c r="A478" t="str">
        <f>Input!H$269</f>
        <v>Sovereign / Public Finance</v>
      </c>
      <c r="B478">
        <f>Input!J273</f>
        <v>0</v>
      </c>
      <c r="C478">
        <f>Input!J$191</f>
        <v>8</v>
      </c>
      <c r="D478" t="str">
        <f>Input!B$193</f>
        <v>1.01 to 5</v>
      </c>
      <c r="E478" s="9">
        <f>Input!E$269</f>
        <v>3</v>
      </c>
      <c r="F478" t="str">
        <f>IF(B478&lt;&gt;"",IF(C478="NA",Lists!$D$9,IFERROR(HLOOKUP(C478,Input!$C$312:$L$335,H478,FALSE),"NA")), "")</f>
        <v>B</v>
      </c>
      <c r="G478">
        <f t="shared" si="14"/>
        <v>2</v>
      </c>
      <c r="H478">
        <f t="shared" si="15"/>
        <v>12</v>
      </c>
    </row>
    <row r="479" spans="1:8" x14ac:dyDescent="0.35">
      <c r="A479" t="str">
        <f>Input!H$269</f>
        <v>Sovereign / Public Finance</v>
      </c>
      <c r="B479">
        <f>Input!J274</f>
        <v>0</v>
      </c>
      <c r="C479">
        <f>Input!J$191</f>
        <v>8</v>
      </c>
      <c r="D479" t="str">
        <f>Input!B$194</f>
        <v>5.01 to 10</v>
      </c>
      <c r="E479" s="9">
        <f>Input!E$269</f>
        <v>3</v>
      </c>
      <c r="F479" t="str">
        <f>IF(B479&lt;&gt;"",IF(C479="NA",Lists!$D$9,IFERROR(HLOOKUP(C479,Input!$C$312:$L$335,H479,FALSE),"NA")), "")</f>
        <v>B</v>
      </c>
      <c r="G479">
        <f t="shared" si="14"/>
        <v>3</v>
      </c>
      <c r="H479">
        <f t="shared" si="15"/>
        <v>12</v>
      </c>
    </row>
    <row r="480" spans="1:8" x14ac:dyDescent="0.35">
      <c r="A480" t="str">
        <f>Input!H$269</f>
        <v>Sovereign / Public Finance</v>
      </c>
      <c r="B480">
        <f>Input!J275</f>
        <v>0</v>
      </c>
      <c r="C480">
        <f>Input!J$191</f>
        <v>8</v>
      </c>
      <c r="D480" t="str">
        <f>Input!B$195</f>
        <v>10.01 to 20</v>
      </c>
      <c r="E480" s="9">
        <f>Input!E$269</f>
        <v>3</v>
      </c>
      <c r="F480" t="str">
        <f>IF(B480&lt;&gt;"",IF(C480="NA",Lists!$D$9,IFERROR(HLOOKUP(C480,Input!$C$312:$L$335,H480,FALSE),"NA")), "")</f>
        <v>B</v>
      </c>
      <c r="G480">
        <f t="shared" si="14"/>
        <v>4</v>
      </c>
      <c r="H480">
        <f t="shared" si="15"/>
        <v>12</v>
      </c>
    </row>
    <row r="481" spans="1:8" x14ac:dyDescent="0.35">
      <c r="A481" t="str">
        <f>Input!H$269</f>
        <v>Sovereign / Public Finance</v>
      </c>
      <c r="B481">
        <f>Input!J276</f>
        <v>0</v>
      </c>
      <c r="C481">
        <f>Input!J$191</f>
        <v>8</v>
      </c>
      <c r="D481" t="str">
        <f>Input!B$196</f>
        <v>More than 20</v>
      </c>
      <c r="E481" s="9">
        <f>Input!E$269</f>
        <v>3</v>
      </c>
      <c r="F481" t="str">
        <f>IF(B481&lt;&gt;"",IF(C481="NA",Lists!$D$9,IFERROR(HLOOKUP(C481,Input!$C$312:$L$335,H481,FALSE),"NA")), "")</f>
        <v>B</v>
      </c>
      <c r="G481">
        <f t="shared" si="14"/>
        <v>5</v>
      </c>
      <c r="H481">
        <f t="shared" si="15"/>
        <v>12</v>
      </c>
    </row>
    <row r="482" spans="1:8" x14ac:dyDescent="0.35">
      <c r="A482" t="str">
        <f>Input!H$269</f>
        <v>Sovereign / Public Finance</v>
      </c>
      <c r="B482">
        <f>Input!K272</f>
        <v>0</v>
      </c>
      <c r="C482">
        <f>Input!K$191</f>
        <v>9</v>
      </c>
      <c r="D482" t="str">
        <f>Input!B$192</f>
        <v>Upto 1</v>
      </c>
      <c r="E482" s="9">
        <f>Input!E$269</f>
        <v>3</v>
      </c>
      <c r="F482" t="str">
        <f>IF(B482&lt;&gt;"",IF(C482="NA",Lists!$D$9,IFERROR(HLOOKUP(C482,Input!$C$312:$L$335,H482,FALSE),"NA")), "")</f>
        <v>B</v>
      </c>
      <c r="G482">
        <f t="shared" si="14"/>
        <v>1</v>
      </c>
      <c r="H482">
        <f t="shared" si="15"/>
        <v>12</v>
      </c>
    </row>
    <row r="483" spans="1:8" x14ac:dyDescent="0.35">
      <c r="A483" t="str">
        <f>Input!H$269</f>
        <v>Sovereign / Public Finance</v>
      </c>
      <c r="B483">
        <f>Input!K273</f>
        <v>0</v>
      </c>
      <c r="C483">
        <f>Input!K$191</f>
        <v>9</v>
      </c>
      <c r="D483" t="str">
        <f>Input!B$193</f>
        <v>1.01 to 5</v>
      </c>
      <c r="E483" s="9">
        <f>Input!E$269</f>
        <v>3</v>
      </c>
      <c r="F483" t="str">
        <f>IF(B483&lt;&gt;"",IF(C483="NA",Lists!$D$9,IFERROR(HLOOKUP(C483,Input!$C$312:$L$335,H483,FALSE),"NA")), "")</f>
        <v>B</v>
      </c>
      <c r="G483">
        <f t="shared" si="14"/>
        <v>2</v>
      </c>
      <c r="H483">
        <f t="shared" si="15"/>
        <v>12</v>
      </c>
    </row>
    <row r="484" spans="1:8" x14ac:dyDescent="0.35">
      <c r="A484" t="str">
        <f>Input!H$269</f>
        <v>Sovereign / Public Finance</v>
      </c>
      <c r="B484">
        <f>Input!K274</f>
        <v>0</v>
      </c>
      <c r="C484">
        <f>Input!K$191</f>
        <v>9</v>
      </c>
      <c r="D484" t="str">
        <f>Input!B$194</f>
        <v>5.01 to 10</v>
      </c>
      <c r="E484" s="9">
        <f>Input!E$269</f>
        <v>3</v>
      </c>
      <c r="F484" t="str">
        <f>IF(B484&lt;&gt;"",IF(C484="NA",Lists!$D$9,IFERROR(HLOOKUP(C484,Input!$C$312:$L$335,H484,FALSE),"NA")), "")</f>
        <v>B</v>
      </c>
      <c r="G484">
        <f t="shared" si="14"/>
        <v>3</v>
      </c>
      <c r="H484">
        <f t="shared" si="15"/>
        <v>12</v>
      </c>
    </row>
    <row r="485" spans="1:8" x14ac:dyDescent="0.35">
      <c r="A485" t="str">
        <f>Input!H$269</f>
        <v>Sovereign / Public Finance</v>
      </c>
      <c r="B485">
        <f>Input!K275</f>
        <v>0</v>
      </c>
      <c r="C485">
        <f>Input!K$191</f>
        <v>9</v>
      </c>
      <c r="D485" t="str">
        <f>Input!B$195</f>
        <v>10.01 to 20</v>
      </c>
      <c r="E485" s="9">
        <f>Input!E$269</f>
        <v>3</v>
      </c>
      <c r="F485" t="str">
        <f>IF(B485&lt;&gt;"",IF(C485="NA",Lists!$D$9,IFERROR(HLOOKUP(C485,Input!$C$312:$L$335,H485,FALSE),"NA")), "")</f>
        <v>B</v>
      </c>
      <c r="G485">
        <f t="shared" si="14"/>
        <v>4</v>
      </c>
      <c r="H485">
        <f t="shared" si="15"/>
        <v>12</v>
      </c>
    </row>
    <row r="486" spans="1:8" x14ac:dyDescent="0.35">
      <c r="A486" t="str">
        <f>Input!H$269</f>
        <v>Sovereign / Public Finance</v>
      </c>
      <c r="B486">
        <f>Input!K276</f>
        <v>0</v>
      </c>
      <c r="C486">
        <f>Input!K$191</f>
        <v>9</v>
      </c>
      <c r="D486" t="str">
        <f>Input!B$196</f>
        <v>More than 20</v>
      </c>
      <c r="E486" s="9">
        <f>Input!E$269</f>
        <v>3</v>
      </c>
      <c r="F486" t="str">
        <f>IF(B486&lt;&gt;"",IF(C486="NA",Lists!$D$9,IFERROR(HLOOKUP(C486,Input!$C$312:$L$335,H486,FALSE),"NA")), "")</f>
        <v>B</v>
      </c>
      <c r="G486">
        <f t="shared" si="14"/>
        <v>5</v>
      </c>
      <c r="H486">
        <f t="shared" si="15"/>
        <v>12</v>
      </c>
    </row>
    <row r="487" spans="1:8" x14ac:dyDescent="0.35">
      <c r="A487" t="str">
        <f>Input!H$269</f>
        <v>Sovereign / Public Finance</v>
      </c>
      <c r="B487">
        <f>Input!L272</f>
        <v>0</v>
      </c>
      <c r="C487">
        <f>Input!L$191</f>
        <v>10</v>
      </c>
      <c r="D487" t="str">
        <f>Input!B$192</f>
        <v>Upto 1</v>
      </c>
      <c r="E487" s="9">
        <f>Input!E$269</f>
        <v>3</v>
      </c>
      <c r="F487" t="str">
        <f>IF(B487&lt;&gt;"",IF(C487="NA",Lists!$D$9,IFERROR(HLOOKUP(C487,Input!$C$312:$L$335,H487,FALSE),"NA")), "")</f>
        <v>CCC-C</v>
      </c>
      <c r="G487">
        <f t="shared" si="14"/>
        <v>1</v>
      </c>
      <c r="H487">
        <f t="shared" si="15"/>
        <v>12</v>
      </c>
    </row>
    <row r="488" spans="1:8" x14ac:dyDescent="0.35">
      <c r="A488" t="str">
        <f>Input!H$269</f>
        <v>Sovereign / Public Finance</v>
      </c>
      <c r="B488">
        <f>Input!L273</f>
        <v>0</v>
      </c>
      <c r="C488">
        <f>Input!L$191</f>
        <v>10</v>
      </c>
      <c r="D488" t="str">
        <f>Input!B$193</f>
        <v>1.01 to 5</v>
      </c>
      <c r="E488" s="9">
        <f>Input!E$269</f>
        <v>3</v>
      </c>
      <c r="F488" t="str">
        <f>IF(B488&lt;&gt;"",IF(C488="NA",Lists!$D$9,IFERROR(HLOOKUP(C488,Input!$C$312:$L$335,H488,FALSE),"NA")), "")</f>
        <v>CCC-C</v>
      </c>
      <c r="G488">
        <f t="shared" si="14"/>
        <v>2</v>
      </c>
      <c r="H488">
        <f t="shared" si="15"/>
        <v>12</v>
      </c>
    </row>
    <row r="489" spans="1:8" x14ac:dyDescent="0.35">
      <c r="A489" t="str">
        <f>Input!H$269</f>
        <v>Sovereign / Public Finance</v>
      </c>
      <c r="B489">
        <f>Input!L274</f>
        <v>0</v>
      </c>
      <c r="C489">
        <f>Input!L$191</f>
        <v>10</v>
      </c>
      <c r="D489" t="str">
        <f>Input!B$194</f>
        <v>5.01 to 10</v>
      </c>
      <c r="E489" s="9">
        <f>Input!E$269</f>
        <v>3</v>
      </c>
      <c r="F489" t="str">
        <f>IF(B489&lt;&gt;"",IF(C489="NA",Lists!$D$9,IFERROR(HLOOKUP(C489,Input!$C$312:$L$335,H489,FALSE),"NA")), "")</f>
        <v>CCC-C</v>
      </c>
      <c r="G489">
        <f t="shared" si="14"/>
        <v>3</v>
      </c>
      <c r="H489">
        <f t="shared" si="15"/>
        <v>12</v>
      </c>
    </row>
    <row r="490" spans="1:8" x14ac:dyDescent="0.35">
      <c r="A490" t="str">
        <f>Input!H$269</f>
        <v>Sovereign / Public Finance</v>
      </c>
      <c r="B490">
        <f>Input!L275</f>
        <v>0</v>
      </c>
      <c r="C490">
        <f>Input!L$191</f>
        <v>10</v>
      </c>
      <c r="D490" t="str">
        <f>Input!B$195</f>
        <v>10.01 to 20</v>
      </c>
      <c r="E490" s="9">
        <f>Input!E$269</f>
        <v>3</v>
      </c>
      <c r="F490" t="str">
        <f>IF(B490&lt;&gt;"",IF(C490="NA",Lists!$D$9,IFERROR(HLOOKUP(C490,Input!$C$312:$L$335,H490,FALSE),"NA")), "")</f>
        <v>CCC-C</v>
      </c>
      <c r="G490">
        <f t="shared" si="14"/>
        <v>4</v>
      </c>
      <c r="H490">
        <f t="shared" si="15"/>
        <v>12</v>
      </c>
    </row>
    <row r="491" spans="1:8" x14ac:dyDescent="0.35">
      <c r="A491" t="str">
        <f>Input!H$269</f>
        <v>Sovereign / Public Finance</v>
      </c>
      <c r="B491">
        <f>Input!L276</f>
        <v>0</v>
      </c>
      <c r="C491">
        <f>Input!L$191</f>
        <v>10</v>
      </c>
      <c r="D491" t="str">
        <f>Input!B$196</f>
        <v>More than 20</v>
      </c>
      <c r="E491" s="9">
        <f>Input!E$269</f>
        <v>3</v>
      </c>
      <c r="F491" t="str">
        <f>IF(B491&lt;&gt;"",IF(C491="NA",Lists!$D$9,IFERROR(HLOOKUP(C491,Input!$C$312:$L$335,H491,FALSE),"NA")), "")</f>
        <v>CCC-C</v>
      </c>
      <c r="G491">
        <f t="shared" si="14"/>
        <v>5</v>
      </c>
      <c r="H491">
        <f t="shared" si="15"/>
        <v>12</v>
      </c>
    </row>
    <row r="492" spans="1:8" x14ac:dyDescent="0.35">
      <c r="A492" t="str">
        <f>Input!H$269</f>
        <v>Sovereign / Public Finance</v>
      </c>
      <c r="B492">
        <f>Input!M272</f>
        <v>0</v>
      </c>
      <c r="C492" t="str">
        <f>Input!M$191</f>
        <v>NA</v>
      </c>
      <c r="D492" t="str">
        <f>Input!B$192</f>
        <v>Upto 1</v>
      </c>
      <c r="E492" s="9">
        <f>Input!E$269</f>
        <v>3</v>
      </c>
      <c r="F492" t="str">
        <f>IF(B492&lt;&gt;"",IF(C492="NA",Lists!$D$9,IFERROR(HLOOKUP(C492,Input!$C$312:$L$335,H492,FALSE),"NA")), "")</f>
        <v>CCC-C</v>
      </c>
      <c r="G492">
        <f t="shared" si="14"/>
        <v>1</v>
      </c>
      <c r="H492">
        <f t="shared" si="15"/>
        <v>12</v>
      </c>
    </row>
    <row r="493" spans="1:8" x14ac:dyDescent="0.35">
      <c r="A493" t="str">
        <f>Input!H$269</f>
        <v>Sovereign / Public Finance</v>
      </c>
      <c r="B493">
        <f>Input!M273</f>
        <v>0</v>
      </c>
      <c r="C493" t="str">
        <f>Input!M$191</f>
        <v>NA</v>
      </c>
      <c r="D493" t="str">
        <f>Input!B$193</f>
        <v>1.01 to 5</v>
      </c>
      <c r="E493" s="9">
        <f>Input!E$269</f>
        <v>3</v>
      </c>
      <c r="F493" t="str">
        <f>IF(B493&lt;&gt;"",IF(C493="NA",Lists!$D$9,IFERROR(HLOOKUP(C493,Input!$C$312:$L$335,H493,FALSE),"NA")), "")</f>
        <v>CCC-C</v>
      </c>
      <c r="G493">
        <f t="shared" si="14"/>
        <v>2</v>
      </c>
      <c r="H493">
        <f t="shared" si="15"/>
        <v>12</v>
      </c>
    </row>
    <row r="494" spans="1:8" x14ac:dyDescent="0.35">
      <c r="A494" t="str">
        <f>Input!H$269</f>
        <v>Sovereign / Public Finance</v>
      </c>
      <c r="B494">
        <f>Input!M274</f>
        <v>0</v>
      </c>
      <c r="C494" t="str">
        <f>Input!M$191</f>
        <v>NA</v>
      </c>
      <c r="D494" t="str">
        <f>Input!B$194</f>
        <v>5.01 to 10</v>
      </c>
      <c r="E494" s="9">
        <f>Input!E$269</f>
        <v>3</v>
      </c>
      <c r="F494" t="str">
        <f>IF(B494&lt;&gt;"",IF(C494="NA",Lists!$D$9,IFERROR(HLOOKUP(C494,Input!$C$312:$L$335,H494,FALSE),"NA")), "")</f>
        <v>CCC-C</v>
      </c>
      <c r="G494">
        <f t="shared" si="14"/>
        <v>3</v>
      </c>
      <c r="H494">
        <f t="shared" si="15"/>
        <v>12</v>
      </c>
    </row>
    <row r="495" spans="1:8" x14ac:dyDescent="0.35">
      <c r="A495" t="str">
        <f>Input!H$269</f>
        <v>Sovereign / Public Finance</v>
      </c>
      <c r="B495">
        <f>Input!M275</f>
        <v>0</v>
      </c>
      <c r="C495" t="str">
        <f>Input!M$191</f>
        <v>NA</v>
      </c>
      <c r="D495" t="str">
        <f>Input!B$195</f>
        <v>10.01 to 20</v>
      </c>
      <c r="E495" s="9">
        <f>Input!E$269</f>
        <v>3</v>
      </c>
      <c r="F495" t="str">
        <f>IF(B495&lt;&gt;"",IF(C495="NA",Lists!$D$9,IFERROR(HLOOKUP(C495,Input!$C$312:$L$335,H495,FALSE),"NA")), "")</f>
        <v>CCC-C</v>
      </c>
      <c r="G495">
        <f t="shared" si="14"/>
        <v>4</v>
      </c>
      <c r="H495">
        <f t="shared" si="15"/>
        <v>12</v>
      </c>
    </row>
    <row r="496" spans="1:8" x14ac:dyDescent="0.35">
      <c r="A496" t="str">
        <f>Input!H$269</f>
        <v>Sovereign / Public Finance</v>
      </c>
      <c r="B496">
        <f>Input!M276</f>
        <v>0</v>
      </c>
      <c r="C496" t="str">
        <f>Input!M$191</f>
        <v>NA</v>
      </c>
      <c r="D496" t="str">
        <f>Input!B$196</f>
        <v>More than 20</v>
      </c>
      <c r="E496" s="9">
        <f>Input!E$269</f>
        <v>3</v>
      </c>
      <c r="F496" t="str">
        <f>IF(B496&lt;&gt;"",IF(C496="NA",Lists!$D$9,IFERROR(HLOOKUP(C496,Input!$C$312:$L$335,H496,FALSE),"NA")), "")</f>
        <v>CCC-C</v>
      </c>
      <c r="G496">
        <f t="shared" si="14"/>
        <v>5</v>
      </c>
      <c r="H496">
        <f t="shared" si="15"/>
        <v>12</v>
      </c>
    </row>
    <row r="497" spans="1:8" x14ac:dyDescent="0.35">
      <c r="A497" t="str">
        <f>Input!H$279</f>
        <v>Structured Finance - Senior</v>
      </c>
      <c r="B497">
        <f>Input!C282</f>
        <v>0</v>
      </c>
      <c r="C497">
        <f>Input!C$191</f>
        <v>1</v>
      </c>
      <c r="D497" t="str">
        <f>Input!B$192</f>
        <v>Upto 1</v>
      </c>
      <c r="E497" s="9">
        <f>Input!E$279</f>
        <v>4</v>
      </c>
      <c r="F497" t="str">
        <f>IF(B497&lt;&gt;"",IF(C497="NA",Lists!$D$9,IFERROR(HLOOKUP(C497,Input!$C$312:$L$335,H497,FALSE),"NA")), "")</f>
        <v>BBB</v>
      </c>
      <c r="G497">
        <f t="shared" si="14"/>
        <v>1</v>
      </c>
      <c r="H497">
        <f t="shared" si="15"/>
        <v>16</v>
      </c>
    </row>
    <row r="498" spans="1:8" x14ac:dyDescent="0.35">
      <c r="A498" t="str">
        <f>Input!H$279</f>
        <v>Structured Finance - Senior</v>
      </c>
      <c r="B498">
        <f>Input!C283</f>
        <v>0</v>
      </c>
      <c r="C498">
        <f>Input!C$191</f>
        <v>1</v>
      </c>
      <c r="D498" t="str">
        <f>Input!B$193</f>
        <v>1.01 to 5</v>
      </c>
      <c r="E498" s="9">
        <f>Input!E$279</f>
        <v>4</v>
      </c>
      <c r="F498" t="str">
        <f>IF(B498&lt;&gt;"",IF(C498="NA",Lists!$D$9,IFERROR(HLOOKUP(C498,Input!$C$312:$L$335,H498,FALSE),"NA")), "")</f>
        <v>BBB</v>
      </c>
      <c r="G498">
        <f t="shared" si="14"/>
        <v>2</v>
      </c>
      <c r="H498">
        <f t="shared" si="15"/>
        <v>16</v>
      </c>
    </row>
    <row r="499" spans="1:8" x14ac:dyDescent="0.35">
      <c r="A499" t="str">
        <f>Input!H$279</f>
        <v>Structured Finance - Senior</v>
      </c>
      <c r="B499">
        <f>Input!C284</f>
        <v>0</v>
      </c>
      <c r="C499">
        <f>Input!C$191</f>
        <v>1</v>
      </c>
      <c r="D499" t="str">
        <f>Input!B$194</f>
        <v>5.01 to 10</v>
      </c>
      <c r="E499" s="9">
        <f>Input!E$279</f>
        <v>4</v>
      </c>
      <c r="F499" t="str">
        <f>IF(B499&lt;&gt;"",IF(C499="NA",Lists!$D$9,IFERROR(HLOOKUP(C499,Input!$C$312:$L$335,H499,FALSE),"NA")), "")</f>
        <v>BBB</v>
      </c>
      <c r="G499">
        <f t="shared" si="14"/>
        <v>3</v>
      </c>
      <c r="H499">
        <f t="shared" si="15"/>
        <v>16</v>
      </c>
    </row>
    <row r="500" spans="1:8" x14ac:dyDescent="0.35">
      <c r="A500" t="str">
        <f>Input!H$279</f>
        <v>Structured Finance - Senior</v>
      </c>
      <c r="B500">
        <f>Input!C285</f>
        <v>0</v>
      </c>
      <c r="C500">
        <f>Input!C$191</f>
        <v>1</v>
      </c>
      <c r="D500" t="str">
        <f>Input!B$195</f>
        <v>10.01 to 20</v>
      </c>
      <c r="E500" s="9">
        <f>Input!E$279</f>
        <v>4</v>
      </c>
      <c r="F500" t="str">
        <f>IF(B500&lt;&gt;"",IF(C500="NA",Lists!$D$9,IFERROR(HLOOKUP(C500,Input!$C$312:$L$335,H500,FALSE),"NA")), "")</f>
        <v>BBB</v>
      </c>
      <c r="G500">
        <f t="shared" si="14"/>
        <v>4</v>
      </c>
      <c r="H500">
        <f t="shared" si="15"/>
        <v>16</v>
      </c>
    </row>
    <row r="501" spans="1:8" x14ac:dyDescent="0.35">
      <c r="A501" t="str">
        <f>Input!H$279</f>
        <v>Structured Finance - Senior</v>
      </c>
      <c r="B501">
        <f>Input!C286</f>
        <v>0</v>
      </c>
      <c r="C501">
        <f>Input!C$191</f>
        <v>1</v>
      </c>
      <c r="D501" t="str">
        <f>Input!B$196</f>
        <v>More than 20</v>
      </c>
      <c r="E501" s="9">
        <f>Input!E$279</f>
        <v>4</v>
      </c>
      <c r="F501" t="str">
        <f>IF(B501&lt;&gt;"",IF(C501="NA",Lists!$D$9,IFERROR(HLOOKUP(C501,Input!$C$312:$L$335,H501,FALSE),"NA")), "")</f>
        <v>BBB</v>
      </c>
      <c r="G501">
        <f t="shared" si="14"/>
        <v>5</v>
      </c>
      <c r="H501">
        <f t="shared" si="15"/>
        <v>16</v>
      </c>
    </row>
    <row r="502" spans="1:8" x14ac:dyDescent="0.35">
      <c r="A502" t="str">
        <f>Input!H$279</f>
        <v>Structured Finance - Senior</v>
      </c>
      <c r="B502">
        <f>Input!D282</f>
        <v>0</v>
      </c>
      <c r="C502">
        <f>Input!D$191</f>
        <v>2</v>
      </c>
      <c r="D502" t="str">
        <f>Input!B$192</f>
        <v>Upto 1</v>
      </c>
      <c r="E502" s="9">
        <f>Input!E$279</f>
        <v>4</v>
      </c>
      <c r="F502" t="str">
        <f>IF(B502&lt;&gt;"",IF(C502="NA",Lists!$D$9,IFERROR(HLOOKUP(C502,Input!$C$312:$L$335,H502,FALSE),"NA")), "")</f>
        <v>BBB</v>
      </c>
      <c r="G502">
        <f t="shared" si="14"/>
        <v>1</v>
      </c>
      <c r="H502">
        <f t="shared" si="15"/>
        <v>16</v>
      </c>
    </row>
    <row r="503" spans="1:8" x14ac:dyDescent="0.35">
      <c r="A503" t="str">
        <f>Input!H$279</f>
        <v>Structured Finance - Senior</v>
      </c>
      <c r="B503">
        <f>Input!D283</f>
        <v>0</v>
      </c>
      <c r="C503">
        <f>Input!D$191</f>
        <v>2</v>
      </c>
      <c r="D503" t="str">
        <f>Input!B$193</f>
        <v>1.01 to 5</v>
      </c>
      <c r="E503" s="9">
        <f>Input!E$279</f>
        <v>4</v>
      </c>
      <c r="F503" t="str">
        <f>IF(B503&lt;&gt;"",IF(C503="NA",Lists!$D$9,IFERROR(HLOOKUP(C503,Input!$C$312:$L$335,H503,FALSE),"NA")), "")</f>
        <v>BBB</v>
      </c>
      <c r="G503">
        <f t="shared" si="14"/>
        <v>2</v>
      </c>
      <c r="H503">
        <f t="shared" si="15"/>
        <v>16</v>
      </c>
    </row>
    <row r="504" spans="1:8" x14ac:dyDescent="0.35">
      <c r="A504" t="str">
        <f>Input!H$279</f>
        <v>Structured Finance - Senior</v>
      </c>
      <c r="B504">
        <f>Input!D284</f>
        <v>0</v>
      </c>
      <c r="C504">
        <f>Input!D$191</f>
        <v>2</v>
      </c>
      <c r="D504" t="str">
        <f>Input!B$194</f>
        <v>5.01 to 10</v>
      </c>
      <c r="E504" s="9">
        <f>Input!E$279</f>
        <v>4</v>
      </c>
      <c r="F504" t="str">
        <f>IF(B504&lt;&gt;"",IF(C504="NA",Lists!$D$9,IFERROR(HLOOKUP(C504,Input!$C$312:$L$335,H504,FALSE),"NA")), "")</f>
        <v>BBB</v>
      </c>
      <c r="G504">
        <f t="shared" si="14"/>
        <v>3</v>
      </c>
      <c r="H504">
        <f t="shared" si="15"/>
        <v>16</v>
      </c>
    </row>
    <row r="505" spans="1:8" x14ac:dyDescent="0.35">
      <c r="A505" t="str">
        <f>Input!H$279</f>
        <v>Structured Finance - Senior</v>
      </c>
      <c r="B505">
        <f>Input!D285</f>
        <v>0</v>
      </c>
      <c r="C505">
        <f>Input!D$191</f>
        <v>2</v>
      </c>
      <c r="D505" t="str">
        <f>Input!B$195</f>
        <v>10.01 to 20</v>
      </c>
      <c r="E505" s="9">
        <f>Input!E$279</f>
        <v>4</v>
      </c>
      <c r="F505" t="str">
        <f>IF(B505&lt;&gt;"",IF(C505="NA",Lists!$D$9,IFERROR(HLOOKUP(C505,Input!$C$312:$L$335,H505,FALSE),"NA")), "")</f>
        <v>BBB</v>
      </c>
      <c r="G505">
        <f t="shared" si="14"/>
        <v>4</v>
      </c>
      <c r="H505">
        <f t="shared" si="15"/>
        <v>16</v>
      </c>
    </row>
    <row r="506" spans="1:8" x14ac:dyDescent="0.35">
      <c r="A506" t="str">
        <f>Input!H$279</f>
        <v>Structured Finance - Senior</v>
      </c>
      <c r="B506">
        <f>Input!D286</f>
        <v>0</v>
      </c>
      <c r="C506">
        <f>Input!D$191</f>
        <v>2</v>
      </c>
      <c r="D506" t="str">
        <f>Input!B$196</f>
        <v>More than 20</v>
      </c>
      <c r="E506" s="9">
        <f>Input!E$279</f>
        <v>4</v>
      </c>
      <c r="F506" t="str">
        <f>IF(B506&lt;&gt;"",IF(C506="NA",Lists!$D$9,IFERROR(HLOOKUP(C506,Input!$C$312:$L$335,H506,FALSE),"NA")), "")</f>
        <v>BBB</v>
      </c>
      <c r="G506">
        <f t="shared" si="14"/>
        <v>5</v>
      </c>
      <c r="H506">
        <f t="shared" si="15"/>
        <v>16</v>
      </c>
    </row>
    <row r="507" spans="1:8" x14ac:dyDescent="0.35">
      <c r="A507" t="str">
        <f>Input!H$279</f>
        <v>Structured Finance - Senior</v>
      </c>
      <c r="B507">
        <f>Input!E282</f>
        <v>0</v>
      </c>
      <c r="C507">
        <f>Input!E$191</f>
        <v>3</v>
      </c>
      <c r="D507" t="str">
        <f>Input!B$192</f>
        <v>Upto 1</v>
      </c>
      <c r="E507" s="9">
        <f>Input!E$279</f>
        <v>4</v>
      </c>
      <c r="F507" t="str">
        <f>IF(B507&lt;&gt;"",IF(C507="NA",Lists!$D$9,IFERROR(HLOOKUP(C507,Input!$C$312:$L$335,H507,FALSE),"NA")), "")</f>
        <v>BBB</v>
      </c>
      <c r="G507">
        <f t="shared" si="14"/>
        <v>1</v>
      </c>
      <c r="H507">
        <f t="shared" si="15"/>
        <v>16</v>
      </c>
    </row>
    <row r="508" spans="1:8" x14ac:dyDescent="0.35">
      <c r="A508" t="str">
        <f>Input!H$279</f>
        <v>Structured Finance - Senior</v>
      </c>
      <c r="B508">
        <f>Input!E283</f>
        <v>0</v>
      </c>
      <c r="C508">
        <f>Input!E$191</f>
        <v>3</v>
      </c>
      <c r="D508" t="str">
        <f>Input!B$193</f>
        <v>1.01 to 5</v>
      </c>
      <c r="E508" s="9">
        <f>Input!E$279</f>
        <v>4</v>
      </c>
      <c r="F508" t="str">
        <f>IF(B508&lt;&gt;"",IF(C508="NA",Lists!$D$9,IFERROR(HLOOKUP(C508,Input!$C$312:$L$335,H508,FALSE),"NA")), "")</f>
        <v>BBB</v>
      </c>
      <c r="G508">
        <f t="shared" si="14"/>
        <v>2</v>
      </c>
      <c r="H508">
        <f t="shared" si="15"/>
        <v>16</v>
      </c>
    </row>
    <row r="509" spans="1:8" x14ac:dyDescent="0.35">
      <c r="A509" t="str">
        <f>Input!H$279</f>
        <v>Structured Finance - Senior</v>
      </c>
      <c r="B509">
        <f>Input!E284</f>
        <v>0</v>
      </c>
      <c r="C509">
        <f>Input!E$191</f>
        <v>3</v>
      </c>
      <c r="D509" t="str">
        <f>Input!B$194</f>
        <v>5.01 to 10</v>
      </c>
      <c r="E509" s="9">
        <f>Input!E$279</f>
        <v>4</v>
      </c>
      <c r="F509" t="str">
        <f>IF(B509&lt;&gt;"",IF(C509="NA",Lists!$D$9,IFERROR(HLOOKUP(C509,Input!$C$312:$L$335,H509,FALSE),"NA")), "")</f>
        <v>BBB</v>
      </c>
      <c r="G509">
        <f t="shared" si="14"/>
        <v>3</v>
      </c>
      <c r="H509">
        <f t="shared" si="15"/>
        <v>16</v>
      </c>
    </row>
    <row r="510" spans="1:8" x14ac:dyDescent="0.35">
      <c r="A510" t="str">
        <f>Input!H$279</f>
        <v>Structured Finance - Senior</v>
      </c>
      <c r="B510">
        <f>Input!E285</f>
        <v>0</v>
      </c>
      <c r="C510">
        <f>Input!E$191</f>
        <v>3</v>
      </c>
      <c r="D510" t="str">
        <f>Input!B$195</f>
        <v>10.01 to 20</v>
      </c>
      <c r="E510" s="9">
        <f>Input!E$279</f>
        <v>4</v>
      </c>
      <c r="F510" t="str">
        <f>IF(B510&lt;&gt;"",IF(C510="NA",Lists!$D$9,IFERROR(HLOOKUP(C510,Input!$C$312:$L$335,H510,FALSE),"NA")), "")</f>
        <v>BBB</v>
      </c>
      <c r="G510">
        <f t="shared" si="14"/>
        <v>4</v>
      </c>
      <c r="H510">
        <f t="shared" si="15"/>
        <v>16</v>
      </c>
    </row>
    <row r="511" spans="1:8" x14ac:dyDescent="0.35">
      <c r="A511" t="str">
        <f>Input!H$279</f>
        <v>Structured Finance - Senior</v>
      </c>
      <c r="B511">
        <f>Input!E286</f>
        <v>0</v>
      </c>
      <c r="C511">
        <f>Input!E$191</f>
        <v>3</v>
      </c>
      <c r="D511" t="str">
        <f>Input!B$196</f>
        <v>More than 20</v>
      </c>
      <c r="E511" s="9">
        <f>Input!E$279</f>
        <v>4</v>
      </c>
      <c r="F511" t="str">
        <f>IF(B511&lt;&gt;"",IF(C511="NA",Lists!$D$9,IFERROR(HLOOKUP(C511,Input!$C$312:$L$335,H511,FALSE),"NA")), "")</f>
        <v>BBB</v>
      </c>
      <c r="G511">
        <f t="shared" si="14"/>
        <v>5</v>
      </c>
      <c r="H511">
        <f t="shared" si="15"/>
        <v>16</v>
      </c>
    </row>
    <row r="512" spans="1:8" x14ac:dyDescent="0.35">
      <c r="A512" t="str">
        <f>Input!H$279</f>
        <v>Structured Finance - Senior</v>
      </c>
      <c r="B512">
        <f>Input!F282</f>
        <v>0</v>
      </c>
      <c r="C512">
        <f>Input!F$191</f>
        <v>4</v>
      </c>
      <c r="D512" t="str">
        <f>Input!B$192</f>
        <v>Upto 1</v>
      </c>
      <c r="E512" s="9">
        <f>Input!E$279</f>
        <v>4</v>
      </c>
      <c r="F512" t="str">
        <f>IF(B512&lt;&gt;"",IF(C512="NA",Lists!$D$9,IFERROR(HLOOKUP(C512,Input!$C$312:$L$335,H512,FALSE),"NA")), "")</f>
        <v>BBB</v>
      </c>
      <c r="G512">
        <f t="shared" si="14"/>
        <v>1</v>
      </c>
      <c r="H512">
        <f t="shared" si="15"/>
        <v>16</v>
      </c>
    </row>
    <row r="513" spans="1:8" x14ac:dyDescent="0.35">
      <c r="A513" t="str">
        <f>Input!H$279</f>
        <v>Structured Finance - Senior</v>
      </c>
      <c r="B513">
        <f>Input!F283</f>
        <v>0</v>
      </c>
      <c r="C513">
        <f>Input!F$191</f>
        <v>4</v>
      </c>
      <c r="D513" t="str">
        <f>Input!B$193</f>
        <v>1.01 to 5</v>
      </c>
      <c r="E513" s="9">
        <f>Input!E$279</f>
        <v>4</v>
      </c>
      <c r="F513" t="str">
        <f>IF(B513&lt;&gt;"",IF(C513="NA",Lists!$D$9,IFERROR(HLOOKUP(C513,Input!$C$312:$L$335,H513,FALSE),"NA")), "")</f>
        <v>BBB</v>
      </c>
      <c r="G513">
        <f t="shared" si="14"/>
        <v>2</v>
      </c>
      <c r="H513">
        <f t="shared" si="15"/>
        <v>16</v>
      </c>
    </row>
    <row r="514" spans="1:8" x14ac:dyDescent="0.35">
      <c r="A514" t="str">
        <f>Input!H$279</f>
        <v>Structured Finance - Senior</v>
      </c>
      <c r="B514">
        <f>Input!F284</f>
        <v>0</v>
      </c>
      <c r="C514">
        <f>Input!F$191</f>
        <v>4</v>
      </c>
      <c r="D514" t="str">
        <f>Input!B$194</f>
        <v>5.01 to 10</v>
      </c>
      <c r="E514" s="9">
        <f>Input!E$279</f>
        <v>4</v>
      </c>
      <c r="F514" t="str">
        <f>IF(B514&lt;&gt;"",IF(C514="NA",Lists!$D$9,IFERROR(HLOOKUP(C514,Input!$C$312:$L$335,H514,FALSE),"NA")), "")</f>
        <v>BBB</v>
      </c>
      <c r="G514">
        <f t="shared" ref="G514:G568" si="16">IFERROR(MATCH(D514,lov_term_buckets,0),"")</f>
        <v>3</v>
      </c>
      <c r="H514">
        <f t="shared" si="15"/>
        <v>16</v>
      </c>
    </row>
    <row r="515" spans="1:8" x14ac:dyDescent="0.35">
      <c r="A515" t="str">
        <f>Input!H$279</f>
        <v>Structured Finance - Senior</v>
      </c>
      <c r="B515">
        <f>Input!F285</f>
        <v>0</v>
      </c>
      <c r="C515">
        <f>Input!F$191</f>
        <v>4</v>
      </c>
      <c r="D515" t="str">
        <f>Input!B$195</f>
        <v>10.01 to 20</v>
      </c>
      <c r="E515" s="9">
        <f>Input!E$279</f>
        <v>4</v>
      </c>
      <c r="F515" t="str">
        <f>IF(B515&lt;&gt;"",IF(C515="NA",Lists!$D$9,IFERROR(HLOOKUP(C515,Input!$C$312:$L$335,H515,FALSE),"NA")), "")</f>
        <v>BBB</v>
      </c>
      <c r="G515">
        <f t="shared" si="16"/>
        <v>4</v>
      </c>
      <c r="H515">
        <f t="shared" ref="H515:H578" si="17">INDEX($L$2:$L$8,MATCH(A515,$K$2:$K$8,0))</f>
        <v>16</v>
      </c>
    </row>
    <row r="516" spans="1:8" x14ac:dyDescent="0.35">
      <c r="A516" t="str">
        <f>Input!H$279</f>
        <v>Structured Finance - Senior</v>
      </c>
      <c r="B516">
        <f>Input!F286</f>
        <v>0</v>
      </c>
      <c r="C516">
        <f>Input!F$191</f>
        <v>4</v>
      </c>
      <c r="D516" t="str">
        <f>Input!B$196</f>
        <v>More than 20</v>
      </c>
      <c r="E516" s="9">
        <f>Input!E$279</f>
        <v>4</v>
      </c>
      <c r="F516" t="str">
        <f>IF(B516&lt;&gt;"",IF(C516="NA",Lists!$D$9,IFERROR(HLOOKUP(C516,Input!$C$312:$L$335,H516,FALSE),"NA")), "")</f>
        <v>BBB</v>
      </c>
      <c r="G516">
        <f t="shared" si="16"/>
        <v>5</v>
      </c>
      <c r="H516">
        <f t="shared" si="17"/>
        <v>16</v>
      </c>
    </row>
    <row r="517" spans="1:8" x14ac:dyDescent="0.35">
      <c r="A517" t="str">
        <f>Input!H$279</f>
        <v>Structured Finance - Senior</v>
      </c>
      <c r="B517">
        <f>Input!G282</f>
        <v>0</v>
      </c>
      <c r="C517">
        <f>Input!G$191</f>
        <v>5</v>
      </c>
      <c r="D517" t="str">
        <f>Input!B$192</f>
        <v>Upto 1</v>
      </c>
      <c r="E517" s="9">
        <f>Input!E$279</f>
        <v>4</v>
      </c>
      <c r="F517" t="str">
        <f>IF(B517&lt;&gt;"",IF(C517="NA",Lists!$D$9,IFERROR(HLOOKUP(C517,Input!$C$312:$L$335,H517,FALSE),"NA")), "")</f>
        <v>BBB</v>
      </c>
      <c r="G517">
        <f t="shared" si="16"/>
        <v>1</v>
      </c>
      <c r="H517">
        <f t="shared" si="17"/>
        <v>16</v>
      </c>
    </row>
    <row r="518" spans="1:8" x14ac:dyDescent="0.35">
      <c r="A518" t="str">
        <f>Input!H$279</f>
        <v>Structured Finance - Senior</v>
      </c>
      <c r="B518">
        <f>Input!G283</f>
        <v>0</v>
      </c>
      <c r="C518">
        <f>Input!G$191</f>
        <v>5</v>
      </c>
      <c r="D518" t="str">
        <f>Input!B$193</f>
        <v>1.01 to 5</v>
      </c>
      <c r="E518" s="9">
        <f>Input!E$279</f>
        <v>4</v>
      </c>
      <c r="F518" t="str">
        <f>IF(B518&lt;&gt;"",IF(C518="NA",Lists!$D$9,IFERROR(HLOOKUP(C518,Input!$C$312:$L$335,H518,FALSE),"NA")), "")</f>
        <v>BBB</v>
      </c>
      <c r="G518">
        <f t="shared" si="16"/>
        <v>2</v>
      </c>
      <c r="H518">
        <f t="shared" si="17"/>
        <v>16</v>
      </c>
    </row>
    <row r="519" spans="1:8" x14ac:dyDescent="0.35">
      <c r="A519" t="str">
        <f>Input!H$279</f>
        <v>Structured Finance - Senior</v>
      </c>
      <c r="B519">
        <f>Input!G284</f>
        <v>0</v>
      </c>
      <c r="C519">
        <f>Input!G$191</f>
        <v>5</v>
      </c>
      <c r="D519" t="str">
        <f>Input!B$194</f>
        <v>5.01 to 10</v>
      </c>
      <c r="E519" s="9">
        <f>Input!E$279</f>
        <v>4</v>
      </c>
      <c r="F519" t="str">
        <f>IF(B519&lt;&gt;"",IF(C519="NA",Lists!$D$9,IFERROR(HLOOKUP(C519,Input!$C$312:$L$335,H519,FALSE),"NA")), "")</f>
        <v>BBB</v>
      </c>
      <c r="G519">
        <f t="shared" si="16"/>
        <v>3</v>
      </c>
      <c r="H519">
        <f t="shared" si="17"/>
        <v>16</v>
      </c>
    </row>
    <row r="520" spans="1:8" x14ac:dyDescent="0.35">
      <c r="A520" t="str">
        <f>Input!H$279</f>
        <v>Structured Finance - Senior</v>
      </c>
      <c r="B520">
        <f>Input!G285</f>
        <v>0</v>
      </c>
      <c r="C520">
        <f>Input!G$191</f>
        <v>5</v>
      </c>
      <c r="D520" t="str">
        <f>Input!B$195</f>
        <v>10.01 to 20</v>
      </c>
      <c r="E520" s="9">
        <f>Input!E$279</f>
        <v>4</v>
      </c>
      <c r="F520" t="str">
        <f>IF(B520&lt;&gt;"",IF(C520="NA",Lists!$D$9,IFERROR(HLOOKUP(C520,Input!$C$312:$L$335,H520,FALSE),"NA")), "")</f>
        <v>BBB</v>
      </c>
      <c r="G520">
        <f t="shared" si="16"/>
        <v>4</v>
      </c>
      <c r="H520">
        <f t="shared" si="17"/>
        <v>16</v>
      </c>
    </row>
    <row r="521" spans="1:8" x14ac:dyDescent="0.35">
      <c r="A521" t="str">
        <f>Input!H$279</f>
        <v>Structured Finance - Senior</v>
      </c>
      <c r="B521">
        <f>Input!G286</f>
        <v>0</v>
      </c>
      <c r="C521">
        <f>Input!G$191</f>
        <v>5</v>
      </c>
      <c r="D521" t="str">
        <f>Input!B$196</f>
        <v>More than 20</v>
      </c>
      <c r="E521" s="9">
        <f>Input!E$279</f>
        <v>4</v>
      </c>
      <c r="F521" t="str">
        <f>IF(B521&lt;&gt;"",IF(C521="NA",Lists!$D$9,IFERROR(HLOOKUP(C521,Input!$C$312:$L$335,H521,FALSE),"NA")), "")</f>
        <v>BBB</v>
      </c>
      <c r="G521">
        <f t="shared" si="16"/>
        <v>5</v>
      </c>
      <c r="H521">
        <f t="shared" si="17"/>
        <v>16</v>
      </c>
    </row>
    <row r="522" spans="1:8" x14ac:dyDescent="0.35">
      <c r="A522" t="str">
        <f>Input!H$279</f>
        <v>Structured Finance - Senior</v>
      </c>
      <c r="B522">
        <f>Input!H282</f>
        <v>0</v>
      </c>
      <c r="C522">
        <f>Input!H$191</f>
        <v>6</v>
      </c>
      <c r="D522" t="str">
        <f>Input!B$192</f>
        <v>Upto 1</v>
      </c>
      <c r="E522" s="9">
        <f>Input!E$279</f>
        <v>4</v>
      </c>
      <c r="F522" t="str">
        <f>IF(B522&lt;&gt;"",IF(C522="NA",Lists!$D$9,IFERROR(HLOOKUP(C522,Input!$C$312:$L$335,H522,FALSE),"NA")), "")</f>
        <v>BBB</v>
      </c>
      <c r="G522">
        <f t="shared" si="16"/>
        <v>1</v>
      </c>
      <c r="H522">
        <f t="shared" si="17"/>
        <v>16</v>
      </c>
    </row>
    <row r="523" spans="1:8" x14ac:dyDescent="0.35">
      <c r="A523" t="str">
        <f>Input!H$279</f>
        <v>Structured Finance - Senior</v>
      </c>
      <c r="B523">
        <f>Input!H283</f>
        <v>0</v>
      </c>
      <c r="C523">
        <f>Input!H$191</f>
        <v>6</v>
      </c>
      <c r="D523" t="str">
        <f>Input!B$193</f>
        <v>1.01 to 5</v>
      </c>
      <c r="E523" s="9">
        <f>Input!E$279</f>
        <v>4</v>
      </c>
      <c r="F523" t="str">
        <f>IF(B523&lt;&gt;"",IF(C523="NA",Lists!$D$9,IFERROR(HLOOKUP(C523,Input!$C$312:$L$335,H523,FALSE),"NA")), "")</f>
        <v>BBB</v>
      </c>
      <c r="G523">
        <f t="shared" si="16"/>
        <v>2</v>
      </c>
      <c r="H523">
        <f t="shared" si="17"/>
        <v>16</v>
      </c>
    </row>
    <row r="524" spans="1:8" x14ac:dyDescent="0.35">
      <c r="A524" t="str">
        <f>Input!H$279</f>
        <v>Structured Finance - Senior</v>
      </c>
      <c r="B524">
        <f>Input!H284</f>
        <v>0</v>
      </c>
      <c r="C524">
        <f>Input!H$191</f>
        <v>6</v>
      </c>
      <c r="D524" t="str">
        <f>Input!B$194</f>
        <v>5.01 to 10</v>
      </c>
      <c r="E524" s="9">
        <f>Input!E$279</f>
        <v>4</v>
      </c>
      <c r="F524" t="str">
        <f>IF(B524&lt;&gt;"",IF(C524="NA",Lists!$D$9,IFERROR(HLOOKUP(C524,Input!$C$312:$L$335,H524,FALSE),"NA")), "")</f>
        <v>BBB</v>
      </c>
      <c r="G524">
        <f t="shared" si="16"/>
        <v>3</v>
      </c>
      <c r="H524">
        <f t="shared" si="17"/>
        <v>16</v>
      </c>
    </row>
    <row r="525" spans="1:8" x14ac:dyDescent="0.35">
      <c r="A525" t="str">
        <f>Input!H$279</f>
        <v>Structured Finance - Senior</v>
      </c>
      <c r="B525">
        <f>Input!H285</f>
        <v>0</v>
      </c>
      <c r="C525">
        <f>Input!H$191</f>
        <v>6</v>
      </c>
      <c r="D525" t="str">
        <f>Input!B$195</f>
        <v>10.01 to 20</v>
      </c>
      <c r="E525" s="9">
        <f>Input!E$279</f>
        <v>4</v>
      </c>
      <c r="F525" t="str">
        <f>IF(B525&lt;&gt;"",IF(C525="NA",Lists!$D$9,IFERROR(HLOOKUP(C525,Input!$C$312:$L$335,H525,FALSE),"NA")), "")</f>
        <v>BBB</v>
      </c>
      <c r="G525">
        <f t="shared" si="16"/>
        <v>4</v>
      </c>
      <c r="H525">
        <f t="shared" si="17"/>
        <v>16</v>
      </c>
    </row>
    <row r="526" spans="1:8" x14ac:dyDescent="0.35">
      <c r="A526" t="str">
        <f>Input!H$279</f>
        <v>Structured Finance - Senior</v>
      </c>
      <c r="B526">
        <f>Input!H286</f>
        <v>0</v>
      </c>
      <c r="C526">
        <f>Input!H$191</f>
        <v>6</v>
      </c>
      <c r="D526" t="str">
        <f>Input!B$196</f>
        <v>More than 20</v>
      </c>
      <c r="E526" s="9">
        <f>Input!E$279</f>
        <v>4</v>
      </c>
      <c r="F526" t="str">
        <f>IF(B526&lt;&gt;"",IF(C526="NA",Lists!$D$9,IFERROR(HLOOKUP(C526,Input!$C$312:$L$335,H526,FALSE),"NA")), "")</f>
        <v>BBB</v>
      </c>
      <c r="G526">
        <f t="shared" si="16"/>
        <v>5</v>
      </c>
      <c r="H526">
        <f t="shared" si="17"/>
        <v>16</v>
      </c>
    </row>
    <row r="527" spans="1:8" x14ac:dyDescent="0.35">
      <c r="A527" t="str">
        <f>Input!H$279</f>
        <v>Structured Finance - Senior</v>
      </c>
      <c r="B527">
        <f>Input!I282</f>
        <v>0</v>
      </c>
      <c r="C527">
        <f>Input!I$191</f>
        <v>7</v>
      </c>
      <c r="D527" t="str">
        <f>Input!B$192</f>
        <v>Upto 1</v>
      </c>
      <c r="E527" s="9">
        <f>Input!E$279</f>
        <v>4</v>
      </c>
      <c r="F527" t="str">
        <f>IF(B527&lt;&gt;"",IF(C527="NA",Lists!$D$9,IFERROR(HLOOKUP(C527,Input!$C$312:$L$335,H527,FALSE),"NA")), "")</f>
        <v>BB</v>
      </c>
      <c r="G527">
        <f t="shared" si="16"/>
        <v>1</v>
      </c>
      <c r="H527">
        <f t="shared" si="17"/>
        <v>16</v>
      </c>
    </row>
    <row r="528" spans="1:8" x14ac:dyDescent="0.35">
      <c r="A528" t="str">
        <f>Input!H$279</f>
        <v>Structured Finance - Senior</v>
      </c>
      <c r="B528">
        <f>Input!I283</f>
        <v>0</v>
      </c>
      <c r="C528">
        <f>Input!I$191</f>
        <v>7</v>
      </c>
      <c r="D528" t="str">
        <f>Input!B$193</f>
        <v>1.01 to 5</v>
      </c>
      <c r="E528" s="9">
        <f>Input!E$279</f>
        <v>4</v>
      </c>
      <c r="F528" t="str">
        <f>IF(B528&lt;&gt;"",IF(C528="NA",Lists!$D$9,IFERROR(HLOOKUP(C528,Input!$C$312:$L$335,H528,FALSE),"NA")), "")</f>
        <v>BB</v>
      </c>
      <c r="G528">
        <f t="shared" si="16"/>
        <v>2</v>
      </c>
      <c r="H528">
        <f t="shared" si="17"/>
        <v>16</v>
      </c>
    </row>
    <row r="529" spans="1:8" x14ac:dyDescent="0.35">
      <c r="A529" t="str">
        <f>Input!H$279</f>
        <v>Structured Finance - Senior</v>
      </c>
      <c r="B529">
        <f>Input!I284</f>
        <v>0</v>
      </c>
      <c r="C529">
        <f>Input!I$191</f>
        <v>7</v>
      </c>
      <c r="D529" t="str">
        <f>Input!B$194</f>
        <v>5.01 to 10</v>
      </c>
      <c r="E529" s="9">
        <f>Input!E$279</f>
        <v>4</v>
      </c>
      <c r="F529" t="str">
        <f>IF(B529&lt;&gt;"",IF(C529="NA",Lists!$D$9,IFERROR(HLOOKUP(C529,Input!$C$312:$L$335,H529,FALSE),"NA")), "")</f>
        <v>BB</v>
      </c>
      <c r="G529">
        <f t="shared" si="16"/>
        <v>3</v>
      </c>
      <c r="H529">
        <f t="shared" si="17"/>
        <v>16</v>
      </c>
    </row>
    <row r="530" spans="1:8" x14ac:dyDescent="0.35">
      <c r="A530" t="str">
        <f>Input!H$279</f>
        <v>Structured Finance - Senior</v>
      </c>
      <c r="B530">
        <f>Input!I285</f>
        <v>0</v>
      </c>
      <c r="C530">
        <f>Input!I$191</f>
        <v>7</v>
      </c>
      <c r="D530" t="str">
        <f>Input!B$195</f>
        <v>10.01 to 20</v>
      </c>
      <c r="E530" s="9">
        <f>Input!E$279</f>
        <v>4</v>
      </c>
      <c r="F530" t="str">
        <f>IF(B530&lt;&gt;"",IF(C530="NA",Lists!$D$9,IFERROR(HLOOKUP(C530,Input!$C$312:$L$335,H530,FALSE),"NA")), "")</f>
        <v>BB</v>
      </c>
      <c r="G530">
        <f t="shared" si="16"/>
        <v>4</v>
      </c>
      <c r="H530">
        <f t="shared" si="17"/>
        <v>16</v>
      </c>
    </row>
    <row r="531" spans="1:8" x14ac:dyDescent="0.35">
      <c r="A531" t="str">
        <f>Input!H$279</f>
        <v>Structured Finance - Senior</v>
      </c>
      <c r="B531">
        <f>Input!I286</f>
        <v>0</v>
      </c>
      <c r="C531">
        <f>Input!I$191</f>
        <v>7</v>
      </c>
      <c r="D531" t="str">
        <f>Input!B$196</f>
        <v>More than 20</v>
      </c>
      <c r="E531" s="9">
        <f>Input!E$279</f>
        <v>4</v>
      </c>
      <c r="F531" t="str">
        <f>IF(B531&lt;&gt;"",IF(C531="NA",Lists!$D$9,IFERROR(HLOOKUP(C531,Input!$C$312:$L$335,H531,FALSE),"NA")), "")</f>
        <v>BB</v>
      </c>
      <c r="G531">
        <f t="shared" si="16"/>
        <v>5</v>
      </c>
      <c r="H531">
        <f t="shared" si="17"/>
        <v>16</v>
      </c>
    </row>
    <row r="532" spans="1:8" x14ac:dyDescent="0.35">
      <c r="A532" t="str">
        <f>Input!H$279</f>
        <v>Structured Finance - Senior</v>
      </c>
      <c r="B532">
        <f>Input!J282</f>
        <v>0</v>
      </c>
      <c r="C532">
        <f>Input!J$191</f>
        <v>8</v>
      </c>
      <c r="D532" t="str">
        <f>Input!B$192</f>
        <v>Upto 1</v>
      </c>
      <c r="E532" s="9">
        <f>Input!E$279</f>
        <v>4</v>
      </c>
      <c r="F532" t="str">
        <f>IF(B532&lt;&gt;"",IF(C532="NA",Lists!$D$9,IFERROR(HLOOKUP(C532,Input!$C$312:$L$335,H532,FALSE),"NA")), "")</f>
        <v>B</v>
      </c>
      <c r="G532">
        <f t="shared" si="16"/>
        <v>1</v>
      </c>
      <c r="H532">
        <f t="shared" si="17"/>
        <v>16</v>
      </c>
    </row>
    <row r="533" spans="1:8" x14ac:dyDescent="0.35">
      <c r="A533" t="str">
        <f>Input!H$279</f>
        <v>Structured Finance - Senior</v>
      </c>
      <c r="B533">
        <f>Input!J283</f>
        <v>0</v>
      </c>
      <c r="C533">
        <f>Input!J$191</f>
        <v>8</v>
      </c>
      <c r="D533" t="str">
        <f>Input!B$193</f>
        <v>1.01 to 5</v>
      </c>
      <c r="E533" s="9">
        <f>Input!E$279</f>
        <v>4</v>
      </c>
      <c r="F533" t="str">
        <f>IF(B533&lt;&gt;"",IF(C533="NA",Lists!$D$9,IFERROR(HLOOKUP(C533,Input!$C$312:$L$335,H533,FALSE),"NA")), "")</f>
        <v>B</v>
      </c>
      <c r="G533">
        <f t="shared" si="16"/>
        <v>2</v>
      </c>
      <c r="H533">
        <f t="shared" si="17"/>
        <v>16</v>
      </c>
    </row>
    <row r="534" spans="1:8" x14ac:dyDescent="0.35">
      <c r="A534" t="str">
        <f>Input!H$279</f>
        <v>Structured Finance - Senior</v>
      </c>
      <c r="B534">
        <f>Input!J284</f>
        <v>0</v>
      </c>
      <c r="C534">
        <f>Input!J$191</f>
        <v>8</v>
      </c>
      <c r="D534" t="str">
        <f>Input!B$194</f>
        <v>5.01 to 10</v>
      </c>
      <c r="E534" s="9">
        <f>Input!E$279</f>
        <v>4</v>
      </c>
      <c r="F534" t="str">
        <f>IF(B534&lt;&gt;"",IF(C534="NA",Lists!$D$9,IFERROR(HLOOKUP(C534,Input!$C$312:$L$335,H534,FALSE),"NA")), "")</f>
        <v>B</v>
      </c>
      <c r="G534">
        <f t="shared" si="16"/>
        <v>3</v>
      </c>
      <c r="H534">
        <f t="shared" si="17"/>
        <v>16</v>
      </c>
    </row>
    <row r="535" spans="1:8" x14ac:dyDescent="0.35">
      <c r="A535" t="str">
        <f>Input!H$279</f>
        <v>Structured Finance - Senior</v>
      </c>
      <c r="B535">
        <f>Input!J285</f>
        <v>0</v>
      </c>
      <c r="C535">
        <f>Input!J$191</f>
        <v>8</v>
      </c>
      <c r="D535" t="str">
        <f>Input!B$195</f>
        <v>10.01 to 20</v>
      </c>
      <c r="E535" s="9">
        <f>Input!E$279</f>
        <v>4</v>
      </c>
      <c r="F535" t="str">
        <f>IF(B535&lt;&gt;"",IF(C535="NA",Lists!$D$9,IFERROR(HLOOKUP(C535,Input!$C$312:$L$335,H535,FALSE),"NA")), "")</f>
        <v>B</v>
      </c>
      <c r="G535">
        <f t="shared" si="16"/>
        <v>4</v>
      </c>
      <c r="H535">
        <f t="shared" si="17"/>
        <v>16</v>
      </c>
    </row>
    <row r="536" spans="1:8" x14ac:dyDescent="0.35">
      <c r="A536" t="str">
        <f>Input!H$279</f>
        <v>Structured Finance - Senior</v>
      </c>
      <c r="B536">
        <f>Input!J286</f>
        <v>0</v>
      </c>
      <c r="C536">
        <f>Input!J$191</f>
        <v>8</v>
      </c>
      <c r="D536" t="str">
        <f>Input!B$196</f>
        <v>More than 20</v>
      </c>
      <c r="E536" s="9">
        <f>Input!E$279</f>
        <v>4</v>
      </c>
      <c r="F536" t="str">
        <f>IF(B536&lt;&gt;"",IF(C536="NA",Lists!$D$9,IFERROR(HLOOKUP(C536,Input!$C$312:$L$335,H536,FALSE),"NA")), "")</f>
        <v>B</v>
      </c>
      <c r="G536">
        <f t="shared" si="16"/>
        <v>5</v>
      </c>
      <c r="H536">
        <f t="shared" si="17"/>
        <v>16</v>
      </c>
    </row>
    <row r="537" spans="1:8" x14ac:dyDescent="0.35">
      <c r="A537" t="str">
        <f>Input!H$279</f>
        <v>Structured Finance - Senior</v>
      </c>
      <c r="B537">
        <f>Input!K282</f>
        <v>0</v>
      </c>
      <c r="C537">
        <f>Input!K$191</f>
        <v>9</v>
      </c>
      <c r="D537" t="str">
        <f>Input!B$192</f>
        <v>Upto 1</v>
      </c>
      <c r="E537" s="9">
        <f>Input!E$279</f>
        <v>4</v>
      </c>
      <c r="F537" t="str">
        <f>IF(B537&lt;&gt;"",IF(C537="NA",Lists!$D$9,IFERROR(HLOOKUP(C537,Input!$C$312:$L$335,H537,FALSE),"NA")), "")</f>
        <v>B</v>
      </c>
      <c r="G537">
        <f t="shared" si="16"/>
        <v>1</v>
      </c>
      <c r="H537">
        <f t="shared" si="17"/>
        <v>16</v>
      </c>
    </row>
    <row r="538" spans="1:8" x14ac:dyDescent="0.35">
      <c r="A538" t="str">
        <f>Input!H$279</f>
        <v>Structured Finance - Senior</v>
      </c>
      <c r="B538">
        <f>Input!K283</f>
        <v>0</v>
      </c>
      <c r="C538">
        <f>Input!K$191</f>
        <v>9</v>
      </c>
      <c r="D538" t="str">
        <f>Input!B$193</f>
        <v>1.01 to 5</v>
      </c>
      <c r="E538" s="9">
        <f>Input!E$279</f>
        <v>4</v>
      </c>
      <c r="F538" t="str">
        <f>IF(B538&lt;&gt;"",IF(C538="NA",Lists!$D$9,IFERROR(HLOOKUP(C538,Input!$C$312:$L$335,H538,FALSE),"NA")), "")</f>
        <v>B</v>
      </c>
      <c r="G538">
        <f t="shared" si="16"/>
        <v>2</v>
      </c>
      <c r="H538">
        <f t="shared" si="17"/>
        <v>16</v>
      </c>
    </row>
    <row r="539" spans="1:8" x14ac:dyDescent="0.35">
      <c r="A539" t="str">
        <f>Input!H$279</f>
        <v>Structured Finance - Senior</v>
      </c>
      <c r="B539">
        <f>Input!K284</f>
        <v>0</v>
      </c>
      <c r="C539">
        <f>Input!K$191</f>
        <v>9</v>
      </c>
      <c r="D539" t="str">
        <f>Input!B$194</f>
        <v>5.01 to 10</v>
      </c>
      <c r="E539" s="9">
        <f>Input!E$279</f>
        <v>4</v>
      </c>
      <c r="F539" t="str">
        <f>IF(B539&lt;&gt;"",IF(C539="NA",Lists!$D$9,IFERROR(HLOOKUP(C539,Input!$C$312:$L$335,H539,FALSE),"NA")), "")</f>
        <v>B</v>
      </c>
      <c r="G539">
        <f t="shared" si="16"/>
        <v>3</v>
      </c>
      <c r="H539">
        <f t="shared" si="17"/>
        <v>16</v>
      </c>
    </row>
    <row r="540" spans="1:8" x14ac:dyDescent="0.35">
      <c r="A540" t="str">
        <f>Input!H$279</f>
        <v>Structured Finance - Senior</v>
      </c>
      <c r="B540">
        <f>Input!K285</f>
        <v>0</v>
      </c>
      <c r="C540">
        <f>Input!K$191</f>
        <v>9</v>
      </c>
      <c r="D540" t="str">
        <f>Input!B$195</f>
        <v>10.01 to 20</v>
      </c>
      <c r="E540" s="9">
        <f>Input!E$279</f>
        <v>4</v>
      </c>
      <c r="F540" t="str">
        <f>IF(B540&lt;&gt;"",IF(C540="NA",Lists!$D$9,IFERROR(HLOOKUP(C540,Input!$C$312:$L$335,H540,FALSE),"NA")), "")</f>
        <v>B</v>
      </c>
      <c r="G540">
        <f t="shared" si="16"/>
        <v>4</v>
      </c>
      <c r="H540">
        <f t="shared" si="17"/>
        <v>16</v>
      </c>
    </row>
    <row r="541" spans="1:8" x14ac:dyDescent="0.35">
      <c r="A541" t="str">
        <f>Input!H$279</f>
        <v>Structured Finance - Senior</v>
      </c>
      <c r="B541">
        <f>Input!K286</f>
        <v>0</v>
      </c>
      <c r="C541">
        <f>Input!K$191</f>
        <v>9</v>
      </c>
      <c r="D541" t="str">
        <f>Input!B$196</f>
        <v>More than 20</v>
      </c>
      <c r="E541" s="9">
        <f>Input!E$279</f>
        <v>4</v>
      </c>
      <c r="F541" t="str">
        <f>IF(B541&lt;&gt;"",IF(C541="NA",Lists!$D$9,IFERROR(HLOOKUP(C541,Input!$C$312:$L$335,H541,FALSE),"NA")), "")</f>
        <v>B</v>
      </c>
      <c r="G541">
        <f t="shared" si="16"/>
        <v>5</v>
      </c>
      <c r="H541">
        <f t="shared" si="17"/>
        <v>16</v>
      </c>
    </row>
    <row r="542" spans="1:8" x14ac:dyDescent="0.35">
      <c r="A542" t="str">
        <f>Input!H$279</f>
        <v>Structured Finance - Senior</v>
      </c>
      <c r="B542">
        <f>Input!L282</f>
        <v>0</v>
      </c>
      <c r="C542">
        <f>Input!L$191</f>
        <v>10</v>
      </c>
      <c r="D542" t="str">
        <f>Input!B$192</f>
        <v>Upto 1</v>
      </c>
      <c r="E542" s="9">
        <f>Input!E$279</f>
        <v>4</v>
      </c>
      <c r="F542" t="str">
        <f>IF(B542&lt;&gt;"",IF(C542="NA",Lists!$D$9,IFERROR(HLOOKUP(C542,Input!$C$312:$L$335,H542,FALSE),"NA")), "")</f>
        <v>CCC-C</v>
      </c>
      <c r="G542">
        <f t="shared" si="16"/>
        <v>1</v>
      </c>
      <c r="H542">
        <f t="shared" si="17"/>
        <v>16</v>
      </c>
    </row>
    <row r="543" spans="1:8" x14ac:dyDescent="0.35">
      <c r="A543" t="str">
        <f>Input!H$279</f>
        <v>Structured Finance - Senior</v>
      </c>
      <c r="B543">
        <f>Input!L283</f>
        <v>0</v>
      </c>
      <c r="C543">
        <f>Input!L$191</f>
        <v>10</v>
      </c>
      <c r="D543" t="str">
        <f>Input!B$193</f>
        <v>1.01 to 5</v>
      </c>
      <c r="E543" s="9">
        <f>Input!E$279</f>
        <v>4</v>
      </c>
      <c r="F543" t="str">
        <f>IF(B543&lt;&gt;"",IF(C543="NA",Lists!$D$9,IFERROR(HLOOKUP(C543,Input!$C$312:$L$335,H543,FALSE),"NA")), "")</f>
        <v>CCC-C</v>
      </c>
      <c r="G543">
        <f t="shared" si="16"/>
        <v>2</v>
      </c>
      <c r="H543">
        <f t="shared" si="17"/>
        <v>16</v>
      </c>
    </row>
    <row r="544" spans="1:8" x14ac:dyDescent="0.35">
      <c r="A544" t="str">
        <f>Input!H$279</f>
        <v>Structured Finance - Senior</v>
      </c>
      <c r="B544">
        <f>Input!L284</f>
        <v>0</v>
      </c>
      <c r="C544">
        <f>Input!L$191</f>
        <v>10</v>
      </c>
      <c r="D544" t="str">
        <f>Input!B$194</f>
        <v>5.01 to 10</v>
      </c>
      <c r="E544" s="9">
        <f>Input!E$279</f>
        <v>4</v>
      </c>
      <c r="F544" t="str">
        <f>IF(B544&lt;&gt;"",IF(C544="NA",Lists!$D$9,IFERROR(HLOOKUP(C544,Input!$C$312:$L$335,H544,FALSE),"NA")), "")</f>
        <v>CCC-C</v>
      </c>
      <c r="G544">
        <f t="shared" si="16"/>
        <v>3</v>
      </c>
      <c r="H544">
        <f t="shared" si="17"/>
        <v>16</v>
      </c>
    </row>
    <row r="545" spans="1:8" x14ac:dyDescent="0.35">
      <c r="A545" t="str">
        <f>Input!H$279</f>
        <v>Structured Finance - Senior</v>
      </c>
      <c r="B545">
        <f>Input!L285</f>
        <v>0</v>
      </c>
      <c r="C545">
        <f>Input!L$191</f>
        <v>10</v>
      </c>
      <c r="D545" t="str">
        <f>Input!B$195</f>
        <v>10.01 to 20</v>
      </c>
      <c r="E545" s="9">
        <f>Input!E$279</f>
        <v>4</v>
      </c>
      <c r="F545" t="str">
        <f>IF(B545&lt;&gt;"",IF(C545="NA",Lists!$D$9,IFERROR(HLOOKUP(C545,Input!$C$312:$L$335,H545,FALSE),"NA")), "")</f>
        <v>CCC-C</v>
      </c>
      <c r="G545">
        <f t="shared" si="16"/>
        <v>4</v>
      </c>
      <c r="H545">
        <f t="shared" si="17"/>
        <v>16</v>
      </c>
    </row>
    <row r="546" spans="1:8" x14ac:dyDescent="0.35">
      <c r="A546" t="str">
        <f>Input!H$279</f>
        <v>Structured Finance - Senior</v>
      </c>
      <c r="B546">
        <f>Input!L286</f>
        <v>0</v>
      </c>
      <c r="C546">
        <f>Input!L$191</f>
        <v>10</v>
      </c>
      <c r="D546" t="str">
        <f>Input!B$196</f>
        <v>More than 20</v>
      </c>
      <c r="E546" s="9">
        <f>Input!E$279</f>
        <v>4</v>
      </c>
      <c r="F546" t="str">
        <f>IF(B546&lt;&gt;"",IF(C546="NA",Lists!$D$9,IFERROR(HLOOKUP(C546,Input!$C$312:$L$335,H546,FALSE),"NA")), "")</f>
        <v>CCC-C</v>
      </c>
      <c r="G546">
        <f t="shared" si="16"/>
        <v>5</v>
      </c>
      <c r="H546">
        <f t="shared" si="17"/>
        <v>16</v>
      </c>
    </row>
    <row r="547" spans="1:8" x14ac:dyDescent="0.35">
      <c r="A547" t="str">
        <f>Input!H$279</f>
        <v>Structured Finance - Senior</v>
      </c>
      <c r="B547">
        <f>Input!M282</f>
        <v>0</v>
      </c>
      <c r="C547" t="str">
        <f>Input!M$191</f>
        <v>NA</v>
      </c>
      <c r="D547" t="str">
        <f>Input!B$192</f>
        <v>Upto 1</v>
      </c>
      <c r="E547" s="9">
        <f>Input!E$279</f>
        <v>4</v>
      </c>
      <c r="F547" t="str">
        <f>IF(B547&lt;&gt;"",IF(C547="NA",Lists!$D$9,IFERROR(HLOOKUP(C547,Input!$C$312:$L$335,H547,FALSE),"NA")), "")</f>
        <v>CCC-C</v>
      </c>
      <c r="G547">
        <f t="shared" si="16"/>
        <v>1</v>
      </c>
      <c r="H547">
        <f t="shared" si="17"/>
        <v>16</v>
      </c>
    </row>
    <row r="548" spans="1:8" x14ac:dyDescent="0.35">
      <c r="A548" t="str">
        <f>Input!H$279</f>
        <v>Structured Finance - Senior</v>
      </c>
      <c r="B548">
        <f>Input!M283</f>
        <v>0</v>
      </c>
      <c r="C548" t="str">
        <f>Input!M$191</f>
        <v>NA</v>
      </c>
      <c r="D548" t="str">
        <f>Input!B$193</f>
        <v>1.01 to 5</v>
      </c>
      <c r="E548" s="9">
        <f>Input!E$279</f>
        <v>4</v>
      </c>
      <c r="F548" t="str">
        <f>IF(B548&lt;&gt;"",IF(C548="NA",Lists!$D$9,IFERROR(HLOOKUP(C548,Input!$C$312:$L$335,H548,FALSE),"NA")), "")</f>
        <v>CCC-C</v>
      </c>
      <c r="G548">
        <f t="shared" si="16"/>
        <v>2</v>
      </c>
      <c r="H548">
        <f t="shared" si="17"/>
        <v>16</v>
      </c>
    </row>
    <row r="549" spans="1:8" x14ac:dyDescent="0.35">
      <c r="A549" t="str">
        <f>Input!H$279</f>
        <v>Structured Finance - Senior</v>
      </c>
      <c r="B549">
        <f>Input!M284</f>
        <v>0</v>
      </c>
      <c r="C549" t="str">
        <f>Input!M$191</f>
        <v>NA</v>
      </c>
      <c r="D549" t="str">
        <f>Input!B$194</f>
        <v>5.01 to 10</v>
      </c>
      <c r="E549" s="9">
        <f>Input!E$279</f>
        <v>4</v>
      </c>
      <c r="F549" t="str">
        <f>IF(B549&lt;&gt;"",IF(C549="NA",Lists!$D$9,IFERROR(HLOOKUP(C549,Input!$C$312:$L$335,H549,FALSE),"NA")), "")</f>
        <v>CCC-C</v>
      </c>
      <c r="G549">
        <f t="shared" si="16"/>
        <v>3</v>
      </c>
      <c r="H549">
        <f t="shared" si="17"/>
        <v>16</v>
      </c>
    </row>
    <row r="550" spans="1:8" x14ac:dyDescent="0.35">
      <c r="A550" t="str">
        <f>Input!H$279</f>
        <v>Structured Finance - Senior</v>
      </c>
      <c r="B550">
        <f>Input!M285</f>
        <v>0</v>
      </c>
      <c r="C550" t="str">
        <f>Input!M$191</f>
        <v>NA</v>
      </c>
      <c r="D550" t="str">
        <f>Input!B$195</f>
        <v>10.01 to 20</v>
      </c>
      <c r="E550" s="9">
        <f>Input!E$279</f>
        <v>4</v>
      </c>
      <c r="F550" t="str">
        <f>IF(B550&lt;&gt;"",IF(C550="NA",Lists!$D$9,IFERROR(HLOOKUP(C550,Input!$C$312:$L$335,H550,FALSE),"NA")), "")</f>
        <v>CCC-C</v>
      </c>
      <c r="G550">
        <f t="shared" si="16"/>
        <v>4</v>
      </c>
      <c r="H550">
        <f t="shared" si="17"/>
        <v>16</v>
      </c>
    </row>
    <row r="551" spans="1:8" x14ac:dyDescent="0.35">
      <c r="A551" t="str">
        <f>Input!H$279</f>
        <v>Structured Finance - Senior</v>
      </c>
      <c r="B551">
        <f>Input!M286</f>
        <v>0</v>
      </c>
      <c r="C551" t="str">
        <f>Input!M$191</f>
        <v>NA</v>
      </c>
      <c r="D551" t="str">
        <f>Input!B$196</f>
        <v>More than 20</v>
      </c>
      <c r="E551" s="9">
        <f>Input!E$279</f>
        <v>4</v>
      </c>
      <c r="F551" t="str">
        <f>IF(B551&lt;&gt;"",IF(C551="NA",Lists!$D$9,IFERROR(HLOOKUP(C551,Input!$C$312:$L$335,H551,FALSE),"NA")), "")</f>
        <v>CCC-C</v>
      </c>
      <c r="G551">
        <f t="shared" si="16"/>
        <v>5</v>
      </c>
      <c r="H551">
        <f t="shared" si="17"/>
        <v>16</v>
      </c>
    </row>
    <row r="552" spans="1:8" x14ac:dyDescent="0.35">
      <c r="A552" t="str">
        <f>Input!H$289</f>
        <v>Structured Finance - Mezz.</v>
      </c>
      <c r="B552">
        <f>Input!C292</f>
        <v>0</v>
      </c>
      <c r="C552">
        <f>Input!C$191</f>
        <v>1</v>
      </c>
      <c r="D552" t="str">
        <f>Input!B$192</f>
        <v>Upto 1</v>
      </c>
      <c r="E552" s="9">
        <f>Input!E$289</f>
        <v>4</v>
      </c>
      <c r="F552" t="str">
        <f>IF(B552&lt;&gt;"",IF(C552="NA",Lists!$D$9,IFERROR(HLOOKUP(C552,Input!$C$312:$L$335,H552,FALSE),"NA")), "")</f>
        <v>BB</v>
      </c>
      <c r="G552">
        <f t="shared" si="16"/>
        <v>1</v>
      </c>
      <c r="H552">
        <f t="shared" si="17"/>
        <v>20</v>
      </c>
    </row>
    <row r="553" spans="1:8" x14ac:dyDescent="0.35">
      <c r="A553" t="str">
        <f>Input!H$289</f>
        <v>Structured Finance - Mezz.</v>
      </c>
      <c r="B553">
        <f>Input!C293</f>
        <v>0</v>
      </c>
      <c r="C553">
        <f>Input!C$191</f>
        <v>1</v>
      </c>
      <c r="D553" t="str">
        <f>Input!B$193</f>
        <v>1.01 to 5</v>
      </c>
      <c r="E553" s="9">
        <f>Input!E$289</f>
        <v>4</v>
      </c>
      <c r="F553" t="str">
        <f>IF(B553&lt;&gt;"",IF(C553="NA",Lists!$D$9,IFERROR(HLOOKUP(C553,Input!$C$312:$L$335,H553,FALSE),"NA")), "")</f>
        <v>BB</v>
      </c>
      <c r="G553">
        <f t="shared" si="16"/>
        <v>2</v>
      </c>
      <c r="H553">
        <f t="shared" si="17"/>
        <v>20</v>
      </c>
    </row>
    <row r="554" spans="1:8" x14ac:dyDescent="0.35">
      <c r="A554" t="str">
        <f>Input!H$289</f>
        <v>Structured Finance - Mezz.</v>
      </c>
      <c r="B554">
        <f>Input!C294</f>
        <v>0</v>
      </c>
      <c r="C554">
        <f>Input!C$191</f>
        <v>1</v>
      </c>
      <c r="D554" t="str">
        <f>Input!B$194</f>
        <v>5.01 to 10</v>
      </c>
      <c r="E554" s="9">
        <f>Input!E$289</f>
        <v>4</v>
      </c>
      <c r="F554" t="str">
        <f>IF(B554&lt;&gt;"",IF(C554="NA",Lists!$D$9,IFERROR(HLOOKUP(C554,Input!$C$312:$L$335,H554,FALSE),"NA")), "")</f>
        <v>BB</v>
      </c>
      <c r="G554">
        <f t="shared" si="16"/>
        <v>3</v>
      </c>
      <c r="H554">
        <f t="shared" si="17"/>
        <v>20</v>
      </c>
    </row>
    <row r="555" spans="1:8" x14ac:dyDescent="0.35">
      <c r="A555" t="str">
        <f>Input!H$289</f>
        <v>Structured Finance - Mezz.</v>
      </c>
      <c r="B555">
        <f>Input!C295</f>
        <v>0</v>
      </c>
      <c r="C555">
        <f>Input!C$191</f>
        <v>1</v>
      </c>
      <c r="D555" t="str">
        <f>Input!B$195</f>
        <v>10.01 to 20</v>
      </c>
      <c r="E555" s="9">
        <f>Input!E$289</f>
        <v>4</v>
      </c>
      <c r="F555" t="str">
        <f>IF(B555&lt;&gt;"",IF(C555="NA",Lists!$D$9,IFERROR(HLOOKUP(C555,Input!$C$312:$L$335,H555,FALSE),"NA")), "")</f>
        <v>BB</v>
      </c>
      <c r="G555">
        <f t="shared" si="16"/>
        <v>4</v>
      </c>
      <c r="H555">
        <f t="shared" si="17"/>
        <v>20</v>
      </c>
    </row>
    <row r="556" spans="1:8" x14ac:dyDescent="0.35">
      <c r="A556" t="str">
        <f>Input!H$289</f>
        <v>Structured Finance - Mezz.</v>
      </c>
      <c r="B556">
        <f>Input!C296</f>
        <v>0</v>
      </c>
      <c r="C556">
        <f>Input!C$191</f>
        <v>1</v>
      </c>
      <c r="D556" t="str">
        <f>Input!B$196</f>
        <v>More than 20</v>
      </c>
      <c r="E556" s="9">
        <f>Input!E$289</f>
        <v>4</v>
      </c>
      <c r="F556" t="str">
        <f>IF(B556&lt;&gt;"",IF(C556="NA",Lists!$D$9,IFERROR(HLOOKUP(C556,Input!$C$312:$L$335,H556,FALSE),"NA")), "")</f>
        <v>BB</v>
      </c>
      <c r="G556">
        <f t="shared" si="16"/>
        <v>5</v>
      </c>
      <c r="H556">
        <f t="shared" si="17"/>
        <v>20</v>
      </c>
    </row>
    <row r="557" spans="1:8" x14ac:dyDescent="0.35">
      <c r="A557" t="str">
        <f>Input!H$289</f>
        <v>Structured Finance - Mezz.</v>
      </c>
      <c r="B557">
        <f>Input!D292</f>
        <v>0</v>
      </c>
      <c r="C557">
        <f>Input!D$191</f>
        <v>2</v>
      </c>
      <c r="D557" t="str">
        <f>Input!B$192</f>
        <v>Upto 1</v>
      </c>
      <c r="E557" s="9">
        <f>Input!E$289</f>
        <v>4</v>
      </c>
      <c r="F557" t="str">
        <f>IF(B557&lt;&gt;"",IF(C557="NA",Lists!$D$9,IFERROR(HLOOKUP(C557,Input!$C$312:$L$335,H557,FALSE),"NA")), "")</f>
        <v>BB</v>
      </c>
      <c r="G557">
        <f t="shared" si="16"/>
        <v>1</v>
      </c>
      <c r="H557">
        <f t="shared" si="17"/>
        <v>20</v>
      </c>
    </row>
    <row r="558" spans="1:8" x14ac:dyDescent="0.35">
      <c r="A558" t="str">
        <f>Input!H$289</f>
        <v>Structured Finance - Mezz.</v>
      </c>
      <c r="B558">
        <f>Input!D293</f>
        <v>0</v>
      </c>
      <c r="C558">
        <f>Input!D$191</f>
        <v>2</v>
      </c>
      <c r="D558" t="str">
        <f>Input!B$193</f>
        <v>1.01 to 5</v>
      </c>
      <c r="E558" s="9">
        <f>Input!E$289</f>
        <v>4</v>
      </c>
      <c r="F558" t="str">
        <f>IF(B558&lt;&gt;"",IF(C558="NA",Lists!$D$9,IFERROR(HLOOKUP(C558,Input!$C$312:$L$335,H558,FALSE),"NA")), "")</f>
        <v>BB</v>
      </c>
      <c r="G558">
        <f t="shared" si="16"/>
        <v>2</v>
      </c>
      <c r="H558">
        <f t="shared" si="17"/>
        <v>20</v>
      </c>
    </row>
    <row r="559" spans="1:8" x14ac:dyDescent="0.35">
      <c r="A559" t="str">
        <f>Input!H$289</f>
        <v>Structured Finance - Mezz.</v>
      </c>
      <c r="B559">
        <f>Input!D294</f>
        <v>0</v>
      </c>
      <c r="C559">
        <f>Input!D$191</f>
        <v>2</v>
      </c>
      <c r="D559" t="str">
        <f>Input!B$194</f>
        <v>5.01 to 10</v>
      </c>
      <c r="E559" s="9">
        <f>Input!E$289</f>
        <v>4</v>
      </c>
      <c r="F559" t="str">
        <f>IF(B559&lt;&gt;"",IF(C559="NA",Lists!$D$9,IFERROR(HLOOKUP(C559,Input!$C$312:$L$335,H559,FALSE),"NA")), "")</f>
        <v>BB</v>
      </c>
      <c r="G559">
        <f t="shared" si="16"/>
        <v>3</v>
      </c>
      <c r="H559">
        <f t="shared" si="17"/>
        <v>20</v>
      </c>
    </row>
    <row r="560" spans="1:8" x14ac:dyDescent="0.35">
      <c r="A560" t="str">
        <f>Input!H$289</f>
        <v>Structured Finance - Mezz.</v>
      </c>
      <c r="B560">
        <f>Input!D295</f>
        <v>0</v>
      </c>
      <c r="C560">
        <f>Input!D$191</f>
        <v>2</v>
      </c>
      <c r="D560" t="str">
        <f>Input!B$195</f>
        <v>10.01 to 20</v>
      </c>
      <c r="E560" s="9">
        <f>Input!E$289</f>
        <v>4</v>
      </c>
      <c r="F560" t="str">
        <f>IF(B560&lt;&gt;"",IF(C560="NA",Lists!$D$9,IFERROR(HLOOKUP(C560,Input!$C$312:$L$335,H560,FALSE),"NA")), "")</f>
        <v>BB</v>
      </c>
      <c r="G560">
        <f t="shared" si="16"/>
        <v>4</v>
      </c>
      <c r="H560">
        <f t="shared" si="17"/>
        <v>20</v>
      </c>
    </row>
    <row r="561" spans="1:8" x14ac:dyDescent="0.35">
      <c r="A561" t="str">
        <f>Input!H$289</f>
        <v>Structured Finance - Mezz.</v>
      </c>
      <c r="B561">
        <f>Input!D296</f>
        <v>0</v>
      </c>
      <c r="C561">
        <f>Input!D$191</f>
        <v>2</v>
      </c>
      <c r="D561" t="str">
        <f>Input!B$196</f>
        <v>More than 20</v>
      </c>
      <c r="E561" s="9">
        <f>Input!E$289</f>
        <v>4</v>
      </c>
      <c r="F561" t="str">
        <f>IF(B561&lt;&gt;"",IF(C561="NA",Lists!$D$9,IFERROR(HLOOKUP(C561,Input!$C$312:$L$335,H561,FALSE),"NA")), "")</f>
        <v>BB</v>
      </c>
      <c r="G561">
        <f t="shared" si="16"/>
        <v>5</v>
      </c>
      <c r="H561">
        <f t="shared" si="17"/>
        <v>20</v>
      </c>
    </row>
    <row r="562" spans="1:8" x14ac:dyDescent="0.35">
      <c r="A562" t="str">
        <f>Input!H$289</f>
        <v>Structured Finance - Mezz.</v>
      </c>
      <c r="B562">
        <f>Input!E292</f>
        <v>0</v>
      </c>
      <c r="C562">
        <f>Input!E$191</f>
        <v>3</v>
      </c>
      <c r="D562" t="str">
        <f>Input!B$192</f>
        <v>Upto 1</v>
      </c>
      <c r="E562" s="9">
        <f>Input!E$289</f>
        <v>4</v>
      </c>
      <c r="F562" t="str">
        <f>IF(B562&lt;&gt;"",IF(C562="NA",Lists!$D$9,IFERROR(HLOOKUP(C562,Input!$C$312:$L$335,H562,FALSE),"NA")), "")</f>
        <v>BB</v>
      </c>
      <c r="G562">
        <f t="shared" si="16"/>
        <v>1</v>
      </c>
      <c r="H562">
        <f t="shared" si="17"/>
        <v>20</v>
      </c>
    </row>
    <row r="563" spans="1:8" x14ac:dyDescent="0.35">
      <c r="A563" t="str">
        <f>Input!H$289</f>
        <v>Structured Finance - Mezz.</v>
      </c>
      <c r="B563">
        <f>Input!E293</f>
        <v>0</v>
      </c>
      <c r="C563">
        <f>Input!E$191</f>
        <v>3</v>
      </c>
      <c r="D563" t="str">
        <f>Input!B$193</f>
        <v>1.01 to 5</v>
      </c>
      <c r="E563" s="9">
        <f>Input!E$289</f>
        <v>4</v>
      </c>
      <c r="F563" t="str">
        <f>IF(B563&lt;&gt;"",IF(C563="NA",Lists!$D$9,IFERROR(HLOOKUP(C563,Input!$C$312:$L$335,H563,FALSE),"NA")), "")</f>
        <v>BB</v>
      </c>
      <c r="G563">
        <f t="shared" si="16"/>
        <v>2</v>
      </c>
      <c r="H563">
        <f t="shared" si="17"/>
        <v>20</v>
      </c>
    </row>
    <row r="564" spans="1:8" x14ac:dyDescent="0.35">
      <c r="A564" t="str">
        <f>Input!H$289</f>
        <v>Structured Finance - Mezz.</v>
      </c>
      <c r="B564">
        <f>Input!E294</f>
        <v>0</v>
      </c>
      <c r="C564">
        <f>Input!E$191</f>
        <v>3</v>
      </c>
      <c r="D564" t="str">
        <f>Input!B$194</f>
        <v>5.01 to 10</v>
      </c>
      <c r="E564" s="9">
        <f>Input!E$289</f>
        <v>4</v>
      </c>
      <c r="F564" t="str">
        <f>IF(B564&lt;&gt;"",IF(C564="NA",Lists!$D$9,IFERROR(HLOOKUP(C564,Input!$C$312:$L$335,H564,FALSE),"NA")), "")</f>
        <v>BB</v>
      </c>
      <c r="G564">
        <f t="shared" si="16"/>
        <v>3</v>
      </c>
      <c r="H564">
        <f t="shared" si="17"/>
        <v>20</v>
      </c>
    </row>
    <row r="565" spans="1:8" x14ac:dyDescent="0.35">
      <c r="A565" t="str">
        <f>Input!H$289</f>
        <v>Structured Finance - Mezz.</v>
      </c>
      <c r="B565">
        <f>Input!E295</f>
        <v>0</v>
      </c>
      <c r="C565">
        <f>Input!E$191</f>
        <v>3</v>
      </c>
      <c r="D565" t="str">
        <f>Input!B$195</f>
        <v>10.01 to 20</v>
      </c>
      <c r="E565" s="9">
        <f>Input!E$289</f>
        <v>4</v>
      </c>
      <c r="F565" t="str">
        <f>IF(B565&lt;&gt;"",IF(C565="NA",Lists!$D$9,IFERROR(HLOOKUP(C565,Input!$C$312:$L$335,H565,FALSE),"NA")), "")</f>
        <v>BB</v>
      </c>
      <c r="G565">
        <f t="shared" si="16"/>
        <v>4</v>
      </c>
      <c r="H565">
        <f t="shared" si="17"/>
        <v>20</v>
      </c>
    </row>
    <row r="566" spans="1:8" x14ac:dyDescent="0.35">
      <c r="A566" t="str">
        <f>Input!H$289</f>
        <v>Structured Finance - Mezz.</v>
      </c>
      <c r="B566">
        <f>Input!E296</f>
        <v>0</v>
      </c>
      <c r="C566">
        <f>Input!E$191</f>
        <v>3</v>
      </c>
      <c r="D566" t="str">
        <f>Input!B$196</f>
        <v>More than 20</v>
      </c>
      <c r="E566" s="9">
        <f>Input!E$289</f>
        <v>4</v>
      </c>
      <c r="F566" t="str">
        <f>IF(B566&lt;&gt;"",IF(C566="NA",Lists!$D$9,IFERROR(HLOOKUP(C566,Input!$C$312:$L$335,H566,FALSE),"NA")), "")</f>
        <v>BB</v>
      </c>
      <c r="G566">
        <f t="shared" si="16"/>
        <v>5</v>
      </c>
      <c r="H566">
        <f t="shared" si="17"/>
        <v>20</v>
      </c>
    </row>
    <row r="567" spans="1:8" x14ac:dyDescent="0.35">
      <c r="A567" t="str">
        <f>Input!H$289</f>
        <v>Structured Finance - Mezz.</v>
      </c>
      <c r="B567">
        <f>Input!F292</f>
        <v>0</v>
      </c>
      <c r="C567">
        <f>Input!F$191</f>
        <v>4</v>
      </c>
      <c r="D567" t="str">
        <f>Input!B$192</f>
        <v>Upto 1</v>
      </c>
      <c r="E567" s="9">
        <f>Input!E$289</f>
        <v>4</v>
      </c>
      <c r="F567" t="str">
        <f>IF(B567&lt;&gt;"",IF(C567="NA",Lists!$D$9,IFERROR(HLOOKUP(C567,Input!$C$312:$L$335,H567,FALSE),"NA")), "")</f>
        <v>BB</v>
      </c>
      <c r="G567">
        <f t="shared" si="16"/>
        <v>1</v>
      </c>
      <c r="H567">
        <f t="shared" si="17"/>
        <v>20</v>
      </c>
    </row>
    <row r="568" spans="1:8" x14ac:dyDescent="0.35">
      <c r="A568" t="str">
        <f>Input!H$289</f>
        <v>Structured Finance - Mezz.</v>
      </c>
      <c r="B568">
        <f>Input!F293</f>
        <v>0</v>
      </c>
      <c r="C568">
        <f>Input!F$191</f>
        <v>4</v>
      </c>
      <c r="D568" t="str">
        <f>Input!B$193</f>
        <v>1.01 to 5</v>
      </c>
      <c r="E568" s="9">
        <f>Input!E$289</f>
        <v>4</v>
      </c>
      <c r="F568" t="str">
        <f>IF(B568&lt;&gt;"",IF(C568="NA",Lists!$D$9,IFERROR(HLOOKUP(C568,Input!$C$312:$L$335,H568,FALSE),"NA")), "")</f>
        <v>BB</v>
      </c>
      <c r="G568">
        <f t="shared" si="16"/>
        <v>2</v>
      </c>
      <c r="H568">
        <f t="shared" si="17"/>
        <v>20</v>
      </c>
    </row>
    <row r="569" spans="1:8" x14ac:dyDescent="0.35">
      <c r="A569" t="str">
        <f>Input!H$289</f>
        <v>Structured Finance - Mezz.</v>
      </c>
      <c r="B569">
        <f>Input!F294</f>
        <v>0</v>
      </c>
      <c r="C569">
        <f>Input!F$191</f>
        <v>4</v>
      </c>
      <c r="D569" t="str">
        <f>Input!B$194</f>
        <v>5.01 to 10</v>
      </c>
      <c r="E569" s="9">
        <f>Input!E$289</f>
        <v>4</v>
      </c>
      <c r="F569" t="str">
        <f>IF(B569&lt;&gt;"",IF(C569="NA",Lists!$D$9,IFERROR(HLOOKUP(C569,Input!$C$312:$L$335,H569,FALSE),"NA")), "")</f>
        <v>BB</v>
      </c>
      <c r="G569">
        <f t="shared" ref="G569:G623" si="18">IFERROR(MATCH(D569,lov_term_buckets,0),"")</f>
        <v>3</v>
      </c>
      <c r="H569">
        <f t="shared" si="17"/>
        <v>20</v>
      </c>
    </row>
    <row r="570" spans="1:8" x14ac:dyDescent="0.35">
      <c r="A570" t="str">
        <f>Input!H$289</f>
        <v>Structured Finance - Mezz.</v>
      </c>
      <c r="B570">
        <f>Input!F295</f>
        <v>0</v>
      </c>
      <c r="C570">
        <f>Input!F$191</f>
        <v>4</v>
      </c>
      <c r="D570" t="str">
        <f>Input!B$195</f>
        <v>10.01 to 20</v>
      </c>
      <c r="E570" s="9">
        <f>Input!E$289</f>
        <v>4</v>
      </c>
      <c r="F570" t="str">
        <f>IF(B570&lt;&gt;"",IF(C570="NA",Lists!$D$9,IFERROR(HLOOKUP(C570,Input!$C$312:$L$335,H570,FALSE),"NA")), "")</f>
        <v>BB</v>
      </c>
      <c r="G570">
        <f t="shared" si="18"/>
        <v>4</v>
      </c>
      <c r="H570">
        <f t="shared" si="17"/>
        <v>20</v>
      </c>
    </row>
    <row r="571" spans="1:8" x14ac:dyDescent="0.35">
      <c r="A571" t="str">
        <f>Input!H$289</f>
        <v>Structured Finance - Mezz.</v>
      </c>
      <c r="B571">
        <f>Input!F296</f>
        <v>0</v>
      </c>
      <c r="C571">
        <f>Input!F$191</f>
        <v>4</v>
      </c>
      <c r="D571" t="str">
        <f>Input!B$196</f>
        <v>More than 20</v>
      </c>
      <c r="E571" s="9">
        <f>Input!E$289</f>
        <v>4</v>
      </c>
      <c r="F571" t="str">
        <f>IF(B571&lt;&gt;"",IF(C571="NA",Lists!$D$9,IFERROR(HLOOKUP(C571,Input!$C$312:$L$335,H571,FALSE),"NA")), "")</f>
        <v>BB</v>
      </c>
      <c r="G571">
        <f t="shared" si="18"/>
        <v>5</v>
      </c>
      <c r="H571">
        <f t="shared" si="17"/>
        <v>20</v>
      </c>
    </row>
    <row r="572" spans="1:8" x14ac:dyDescent="0.35">
      <c r="A572" t="str">
        <f>Input!H$289</f>
        <v>Structured Finance - Mezz.</v>
      </c>
      <c r="B572">
        <f>Input!G292</f>
        <v>0</v>
      </c>
      <c r="C572">
        <f>Input!G$191</f>
        <v>5</v>
      </c>
      <c r="D572" t="str">
        <f>Input!B$192</f>
        <v>Upto 1</v>
      </c>
      <c r="E572" s="9">
        <f>Input!E$289</f>
        <v>4</v>
      </c>
      <c r="F572" t="str">
        <f>IF(B572&lt;&gt;"",IF(C572="NA",Lists!$D$9,IFERROR(HLOOKUP(C572,Input!$C$312:$L$335,H572,FALSE),"NA")), "")</f>
        <v>BB</v>
      </c>
      <c r="G572">
        <f t="shared" si="18"/>
        <v>1</v>
      </c>
      <c r="H572">
        <f t="shared" si="17"/>
        <v>20</v>
      </c>
    </row>
    <row r="573" spans="1:8" x14ac:dyDescent="0.35">
      <c r="A573" t="str">
        <f>Input!H$289</f>
        <v>Structured Finance - Mezz.</v>
      </c>
      <c r="B573">
        <f>Input!G293</f>
        <v>0</v>
      </c>
      <c r="C573">
        <f>Input!G$191</f>
        <v>5</v>
      </c>
      <c r="D573" t="str">
        <f>Input!B$193</f>
        <v>1.01 to 5</v>
      </c>
      <c r="E573" s="9">
        <f>Input!E$289</f>
        <v>4</v>
      </c>
      <c r="F573" t="str">
        <f>IF(B573&lt;&gt;"",IF(C573="NA",Lists!$D$9,IFERROR(HLOOKUP(C573,Input!$C$312:$L$335,H573,FALSE),"NA")), "")</f>
        <v>BB</v>
      </c>
      <c r="G573">
        <f t="shared" si="18"/>
        <v>2</v>
      </c>
      <c r="H573">
        <f t="shared" si="17"/>
        <v>20</v>
      </c>
    </row>
    <row r="574" spans="1:8" x14ac:dyDescent="0.35">
      <c r="A574" t="str">
        <f>Input!H$289</f>
        <v>Structured Finance - Mezz.</v>
      </c>
      <c r="B574">
        <f>Input!G294</f>
        <v>0</v>
      </c>
      <c r="C574">
        <f>Input!G$191</f>
        <v>5</v>
      </c>
      <c r="D574" t="str">
        <f>Input!B$194</f>
        <v>5.01 to 10</v>
      </c>
      <c r="E574" s="9">
        <f>Input!E$289</f>
        <v>4</v>
      </c>
      <c r="F574" t="str">
        <f>IF(B574&lt;&gt;"",IF(C574="NA",Lists!$D$9,IFERROR(HLOOKUP(C574,Input!$C$312:$L$335,H574,FALSE),"NA")), "")</f>
        <v>BB</v>
      </c>
      <c r="G574">
        <f t="shared" si="18"/>
        <v>3</v>
      </c>
      <c r="H574">
        <f t="shared" si="17"/>
        <v>20</v>
      </c>
    </row>
    <row r="575" spans="1:8" x14ac:dyDescent="0.35">
      <c r="A575" t="str">
        <f>Input!H$289</f>
        <v>Structured Finance - Mezz.</v>
      </c>
      <c r="B575">
        <f>Input!G295</f>
        <v>0</v>
      </c>
      <c r="C575">
        <f>Input!G$191</f>
        <v>5</v>
      </c>
      <c r="D575" t="str">
        <f>Input!B$195</f>
        <v>10.01 to 20</v>
      </c>
      <c r="E575" s="9">
        <f>Input!E$289</f>
        <v>4</v>
      </c>
      <c r="F575" t="str">
        <f>IF(B575&lt;&gt;"",IF(C575="NA",Lists!$D$9,IFERROR(HLOOKUP(C575,Input!$C$312:$L$335,H575,FALSE),"NA")), "")</f>
        <v>BB</v>
      </c>
      <c r="G575">
        <f t="shared" si="18"/>
        <v>4</v>
      </c>
      <c r="H575">
        <f t="shared" si="17"/>
        <v>20</v>
      </c>
    </row>
    <row r="576" spans="1:8" x14ac:dyDescent="0.35">
      <c r="A576" t="str">
        <f>Input!H$289</f>
        <v>Structured Finance - Mezz.</v>
      </c>
      <c r="B576">
        <f>Input!G296</f>
        <v>0</v>
      </c>
      <c r="C576">
        <f>Input!G$191</f>
        <v>5</v>
      </c>
      <c r="D576" t="str">
        <f>Input!B$196</f>
        <v>More than 20</v>
      </c>
      <c r="E576" s="9">
        <f>Input!E$289</f>
        <v>4</v>
      </c>
      <c r="F576" t="str">
        <f>IF(B576&lt;&gt;"",IF(C576="NA",Lists!$D$9,IFERROR(HLOOKUP(C576,Input!$C$312:$L$335,H576,FALSE),"NA")), "")</f>
        <v>BB</v>
      </c>
      <c r="G576">
        <f t="shared" si="18"/>
        <v>5</v>
      </c>
      <c r="H576">
        <f t="shared" si="17"/>
        <v>20</v>
      </c>
    </row>
    <row r="577" spans="1:8" x14ac:dyDescent="0.35">
      <c r="A577" t="str">
        <f>Input!H$289</f>
        <v>Structured Finance - Mezz.</v>
      </c>
      <c r="B577">
        <f>Input!H292</f>
        <v>0</v>
      </c>
      <c r="C577">
        <f>Input!H$191</f>
        <v>6</v>
      </c>
      <c r="D577" t="str">
        <f>Input!B$192</f>
        <v>Upto 1</v>
      </c>
      <c r="E577" s="9">
        <f>Input!E$289</f>
        <v>4</v>
      </c>
      <c r="F577" t="str">
        <f>IF(B577&lt;&gt;"",IF(C577="NA",Lists!$D$9,IFERROR(HLOOKUP(C577,Input!$C$312:$L$335,H577,FALSE),"NA")), "")</f>
        <v>BB</v>
      </c>
      <c r="G577">
        <f t="shared" si="18"/>
        <v>1</v>
      </c>
      <c r="H577">
        <f t="shared" si="17"/>
        <v>20</v>
      </c>
    </row>
    <row r="578" spans="1:8" x14ac:dyDescent="0.35">
      <c r="A578" t="str">
        <f>Input!H$289</f>
        <v>Structured Finance - Mezz.</v>
      </c>
      <c r="B578">
        <f>Input!H293</f>
        <v>0</v>
      </c>
      <c r="C578">
        <f>Input!H$191</f>
        <v>6</v>
      </c>
      <c r="D578" t="str">
        <f>Input!B$193</f>
        <v>1.01 to 5</v>
      </c>
      <c r="E578" s="9">
        <f>Input!E$289</f>
        <v>4</v>
      </c>
      <c r="F578" t="str">
        <f>IF(B578&lt;&gt;"",IF(C578="NA",Lists!$D$9,IFERROR(HLOOKUP(C578,Input!$C$312:$L$335,H578,FALSE),"NA")), "")</f>
        <v>BB</v>
      </c>
      <c r="G578">
        <f t="shared" si="18"/>
        <v>2</v>
      </c>
      <c r="H578">
        <f t="shared" si="17"/>
        <v>20</v>
      </c>
    </row>
    <row r="579" spans="1:8" x14ac:dyDescent="0.35">
      <c r="A579" t="str">
        <f>Input!H$289</f>
        <v>Structured Finance - Mezz.</v>
      </c>
      <c r="B579">
        <f>Input!H294</f>
        <v>0</v>
      </c>
      <c r="C579">
        <f>Input!H$191</f>
        <v>6</v>
      </c>
      <c r="D579" t="str">
        <f>Input!B$194</f>
        <v>5.01 to 10</v>
      </c>
      <c r="E579" s="9">
        <f>Input!E$289</f>
        <v>4</v>
      </c>
      <c r="F579" t="str">
        <f>IF(B579&lt;&gt;"",IF(C579="NA",Lists!$D$9,IFERROR(HLOOKUP(C579,Input!$C$312:$L$335,H579,FALSE),"NA")), "")</f>
        <v>BB</v>
      </c>
      <c r="G579">
        <f t="shared" si="18"/>
        <v>3</v>
      </c>
      <c r="H579">
        <f t="shared" ref="H579:H633" si="19">INDEX($L$2:$L$8,MATCH(A579,$K$2:$K$8,0))</f>
        <v>20</v>
      </c>
    </row>
    <row r="580" spans="1:8" x14ac:dyDescent="0.35">
      <c r="A580" t="str">
        <f>Input!H$289</f>
        <v>Structured Finance - Mezz.</v>
      </c>
      <c r="B580">
        <f>Input!H295</f>
        <v>0</v>
      </c>
      <c r="C580">
        <f>Input!H$191</f>
        <v>6</v>
      </c>
      <c r="D580" t="str">
        <f>Input!B$195</f>
        <v>10.01 to 20</v>
      </c>
      <c r="E580" s="9">
        <f>Input!E$289</f>
        <v>4</v>
      </c>
      <c r="F580" t="str">
        <f>IF(B580&lt;&gt;"",IF(C580="NA",Lists!$D$9,IFERROR(HLOOKUP(C580,Input!$C$312:$L$335,H580,FALSE),"NA")), "")</f>
        <v>BB</v>
      </c>
      <c r="G580">
        <f t="shared" si="18"/>
        <v>4</v>
      </c>
      <c r="H580">
        <f t="shared" si="19"/>
        <v>20</v>
      </c>
    </row>
    <row r="581" spans="1:8" x14ac:dyDescent="0.35">
      <c r="A581" t="str">
        <f>Input!H$289</f>
        <v>Structured Finance - Mezz.</v>
      </c>
      <c r="B581">
        <f>Input!H296</f>
        <v>0</v>
      </c>
      <c r="C581">
        <f>Input!H$191</f>
        <v>6</v>
      </c>
      <c r="D581" t="str">
        <f>Input!B$196</f>
        <v>More than 20</v>
      </c>
      <c r="E581" s="9">
        <f>Input!E$289</f>
        <v>4</v>
      </c>
      <c r="F581" t="str">
        <f>IF(B581&lt;&gt;"",IF(C581="NA",Lists!$D$9,IFERROR(HLOOKUP(C581,Input!$C$312:$L$335,H581,FALSE),"NA")), "")</f>
        <v>BB</v>
      </c>
      <c r="G581">
        <f t="shared" si="18"/>
        <v>5</v>
      </c>
      <c r="H581">
        <f t="shared" si="19"/>
        <v>20</v>
      </c>
    </row>
    <row r="582" spans="1:8" x14ac:dyDescent="0.35">
      <c r="A582" t="str">
        <f>Input!H$289</f>
        <v>Structured Finance - Mezz.</v>
      </c>
      <c r="B582">
        <f>Input!I292</f>
        <v>0</v>
      </c>
      <c r="C582">
        <f>Input!I$191</f>
        <v>7</v>
      </c>
      <c r="D582" t="str">
        <f>Input!B$192</f>
        <v>Upto 1</v>
      </c>
      <c r="E582" s="9">
        <f>Input!E$289</f>
        <v>4</v>
      </c>
      <c r="F582" t="str">
        <f>IF(B582&lt;&gt;"",IF(C582="NA",Lists!$D$9,IFERROR(HLOOKUP(C582,Input!$C$312:$L$335,H582,FALSE),"NA")), "")</f>
        <v>B</v>
      </c>
      <c r="G582">
        <f t="shared" si="18"/>
        <v>1</v>
      </c>
      <c r="H582">
        <f t="shared" si="19"/>
        <v>20</v>
      </c>
    </row>
    <row r="583" spans="1:8" x14ac:dyDescent="0.35">
      <c r="A583" t="str">
        <f>Input!H$289</f>
        <v>Structured Finance - Mezz.</v>
      </c>
      <c r="B583">
        <f>Input!I293</f>
        <v>0</v>
      </c>
      <c r="C583">
        <f>Input!I$191</f>
        <v>7</v>
      </c>
      <c r="D583" t="str">
        <f>Input!B$193</f>
        <v>1.01 to 5</v>
      </c>
      <c r="E583" s="9">
        <f>Input!E$289</f>
        <v>4</v>
      </c>
      <c r="F583" t="str">
        <f>IF(B583&lt;&gt;"",IF(C583="NA",Lists!$D$9,IFERROR(HLOOKUP(C583,Input!$C$312:$L$335,H583,FALSE),"NA")), "")</f>
        <v>B</v>
      </c>
      <c r="G583">
        <f t="shared" si="18"/>
        <v>2</v>
      </c>
      <c r="H583">
        <f t="shared" si="19"/>
        <v>20</v>
      </c>
    </row>
    <row r="584" spans="1:8" x14ac:dyDescent="0.35">
      <c r="A584" t="str">
        <f>Input!H$289</f>
        <v>Structured Finance - Mezz.</v>
      </c>
      <c r="B584">
        <f>Input!I294</f>
        <v>0</v>
      </c>
      <c r="C584">
        <f>Input!I$191</f>
        <v>7</v>
      </c>
      <c r="D584" t="str">
        <f>Input!B$194</f>
        <v>5.01 to 10</v>
      </c>
      <c r="E584" s="9">
        <f>Input!E$289</f>
        <v>4</v>
      </c>
      <c r="F584" t="str">
        <f>IF(B584&lt;&gt;"",IF(C584="NA",Lists!$D$9,IFERROR(HLOOKUP(C584,Input!$C$312:$L$335,H584,FALSE),"NA")), "")</f>
        <v>B</v>
      </c>
      <c r="G584">
        <f t="shared" si="18"/>
        <v>3</v>
      </c>
      <c r="H584">
        <f t="shared" si="19"/>
        <v>20</v>
      </c>
    </row>
    <row r="585" spans="1:8" x14ac:dyDescent="0.35">
      <c r="A585" t="str">
        <f>Input!H$289</f>
        <v>Structured Finance - Mezz.</v>
      </c>
      <c r="B585">
        <f>Input!I295</f>
        <v>0</v>
      </c>
      <c r="C585">
        <f>Input!I$191</f>
        <v>7</v>
      </c>
      <c r="D585" t="str">
        <f>Input!B$195</f>
        <v>10.01 to 20</v>
      </c>
      <c r="E585" s="9">
        <f>Input!E$289</f>
        <v>4</v>
      </c>
      <c r="F585" t="str">
        <f>IF(B585&lt;&gt;"",IF(C585="NA",Lists!$D$9,IFERROR(HLOOKUP(C585,Input!$C$312:$L$335,H585,FALSE),"NA")), "")</f>
        <v>B</v>
      </c>
      <c r="G585">
        <f t="shared" si="18"/>
        <v>4</v>
      </c>
      <c r="H585">
        <f t="shared" si="19"/>
        <v>20</v>
      </c>
    </row>
    <row r="586" spans="1:8" x14ac:dyDescent="0.35">
      <c r="A586" t="str">
        <f>Input!H$289</f>
        <v>Structured Finance - Mezz.</v>
      </c>
      <c r="B586">
        <f>Input!I296</f>
        <v>0</v>
      </c>
      <c r="C586">
        <f>Input!I$191</f>
        <v>7</v>
      </c>
      <c r="D586" t="str">
        <f>Input!B$196</f>
        <v>More than 20</v>
      </c>
      <c r="E586" s="9">
        <f>Input!E$289</f>
        <v>4</v>
      </c>
      <c r="F586" t="str">
        <f>IF(B586&lt;&gt;"",IF(C586="NA",Lists!$D$9,IFERROR(HLOOKUP(C586,Input!$C$312:$L$335,H586,FALSE),"NA")), "")</f>
        <v>B</v>
      </c>
      <c r="G586">
        <f t="shared" si="18"/>
        <v>5</v>
      </c>
      <c r="H586">
        <f t="shared" si="19"/>
        <v>20</v>
      </c>
    </row>
    <row r="587" spans="1:8" x14ac:dyDescent="0.35">
      <c r="A587" t="str">
        <f>Input!H$289</f>
        <v>Structured Finance - Mezz.</v>
      </c>
      <c r="B587">
        <f>Input!J292</f>
        <v>0</v>
      </c>
      <c r="C587">
        <f>Input!J$191</f>
        <v>8</v>
      </c>
      <c r="D587" t="str">
        <f>Input!B$192</f>
        <v>Upto 1</v>
      </c>
      <c r="E587" s="9">
        <f>Input!E$289</f>
        <v>4</v>
      </c>
      <c r="F587" t="str">
        <f>IF(B587&lt;&gt;"",IF(C587="NA",Lists!$D$9,IFERROR(HLOOKUP(C587,Input!$C$312:$L$335,H587,FALSE),"NA")), "")</f>
        <v>CCC-C</v>
      </c>
      <c r="G587">
        <f t="shared" si="18"/>
        <v>1</v>
      </c>
      <c r="H587">
        <f t="shared" si="19"/>
        <v>20</v>
      </c>
    </row>
    <row r="588" spans="1:8" x14ac:dyDescent="0.35">
      <c r="A588" t="str">
        <f>Input!H$289</f>
        <v>Structured Finance - Mezz.</v>
      </c>
      <c r="B588">
        <f>Input!J293</f>
        <v>0</v>
      </c>
      <c r="C588">
        <f>Input!J$191</f>
        <v>8</v>
      </c>
      <c r="D588" t="str">
        <f>Input!B$193</f>
        <v>1.01 to 5</v>
      </c>
      <c r="E588" s="9">
        <f>Input!E$289</f>
        <v>4</v>
      </c>
      <c r="F588" t="str">
        <f>IF(B588&lt;&gt;"",IF(C588="NA",Lists!$D$9,IFERROR(HLOOKUP(C588,Input!$C$312:$L$335,H588,FALSE),"NA")), "")</f>
        <v>CCC-C</v>
      </c>
      <c r="G588">
        <f t="shared" si="18"/>
        <v>2</v>
      </c>
      <c r="H588">
        <f t="shared" si="19"/>
        <v>20</v>
      </c>
    </row>
    <row r="589" spans="1:8" x14ac:dyDescent="0.35">
      <c r="A589" t="str">
        <f>Input!H$289</f>
        <v>Structured Finance - Mezz.</v>
      </c>
      <c r="B589">
        <f>Input!J294</f>
        <v>0</v>
      </c>
      <c r="C589">
        <f>Input!J$191</f>
        <v>8</v>
      </c>
      <c r="D589" t="str">
        <f>Input!B$194</f>
        <v>5.01 to 10</v>
      </c>
      <c r="E589" s="9">
        <f>Input!E$289</f>
        <v>4</v>
      </c>
      <c r="F589" t="str">
        <f>IF(B589&lt;&gt;"",IF(C589="NA",Lists!$D$9,IFERROR(HLOOKUP(C589,Input!$C$312:$L$335,H589,FALSE),"NA")), "")</f>
        <v>CCC-C</v>
      </c>
      <c r="G589">
        <f t="shared" si="18"/>
        <v>3</v>
      </c>
      <c r="H589">
        <f t="shared" si="19"/>
        <v>20</v>
      </c>
    </row>
    <row r="590" spans="1:8" x14ac:dyDescent="0.35">
      <c r="A590" t="str">
        <f>Input!H$289</f>
        <v>Structured Finance - Mezz.</v>
      </c>
      <c r="B590">
        <f>Input!J295</f>
        <v>0</v>
      </c>
      <c r="C590">
        <f>Input!J$191</f>
        <v>8</v>
      </c>
      <c r="D590" t="str">
        <f>Input!B$195</f>
        <v>10.01 to 20</v>
      </c>
      <c r="E590" s="9">
        <f>Input!E$289</f>
        <v>4</v>
      </c>
      <c r="F590" t="str">
        <f>IF(B590&lt;&gt;"",IF(C590="NA",Lists!$D$9,IFERROR(HLOOKUP(C590,Input!$C$312:$L$335,H590,FALSE),"NA")), "")</f>
        <v>CCC-C</v>
      </c>
      <c r="G590">
        <f t="shared" si="18"/>
        <v>4</v>
      </c>
      <c r="H590">
        <f t="shared" si="19"/>
        <v>20</v>
      </c>
    </row>
    <row r="591" spans="1:8" x14ac:dyDescent="0.35">
      <c r="A591" t="str">
        <f>Input!H$289</f>
        <v>Structured Finance - Mezz.</v>
      </c>
      <c r="B591">
        <f>Input!J296</f>
        <v>0</v>
      </c>
      <c r="C591">
        <f>Input!J$191</f>
        <v>8</v>
      </c>
      <c r="D591" t="str">
        <f>Input!B$196</f>
        <v>More than 20</v>
      </c>
      <c r="E591" s="9">
        <f>Input!E$289</f>
        <v>4</v>
      </c>
      <c r="F591" t="str">
        <f>IF(B591&lt;&gt;"",IF(C591="NA",Lists!$D$9,IFERROR(HLOOKUP(C591,Input!$C$312:$L$335,H591,FALSE),"NA")), "")</f>
        <v>CCC-C</v>
      </c>
      <c r="G591">
        <f t="shared" si="18"/>
        <v>5</v>
      </c>
      <c r="H591">
        <f t="shared" si="19"/>
        <v>20</v>
      </c>
    </row>
    <row r="592" spans="1:8" x14ac:dyDescent="0.35">
      <c r="A592" t="str">
        <f>Input!H$289</f>
        <v>Structured Finance - Mezz.</v>
      </c>
      <c r="B592">
        <f>Input!K292</f>
        <v>0</v>
      </c>
      <c r="C592">
        <f>Input!K$191</f>
        <v>9</v>
      </c>
      <c r="D592" t="str">
        <f>Input!B$192</f>
        <v>Upto 1</v>
      </c>
      <c r="E592" s="9">
        <f>Input!E$289</f>
        <v>4</v>
      </c>
      <c r="F592" t="str">
        <f>IF(B592&lt;&gt;"",IF(C592="NA",Lists!$D$9,IFERROR(HLOOKUP(C592,Input!$C$312:$L$335,H592,FALSE),"NA")), "")</f>
        <v>CCC-C</v>
      </c>
      <c r="G592">
        <f t="shared" si="18"/>
        <v>1</v>
      </c>
      <c r="H592">
        <f t="shared" si="19"/>
        <v>20</v>
      </c>
    </row>
    <row r="593" spans="1:11" x14ac:dyDescent="0.35">
      <c r="A593" t="str">
        <f>Input!H$289</f>
        <v>Structured Finance - Mezz.</v>
      </c>
      <c r="B593">
        <f>Input!K293</f>
        <v>0</v>
      </c>
      <c r="C593">
        <f>Input!K$191</f>
        <v>9</v>
      </c>
      <c r="D593" t="str">
        <f>Input!B$193</f>
        <v>1.01 to 5</v>
      </c>
      <c r="E593" s="9">
        <f>Input!E$289</f>
        <v>4</v>
      </c>
      <c r="F593" t="str">
        <f>IF(B593&lt;&gt;"",IF(C593="NA",Lists!$D$9,IFERROR(HLOOKUP(C593,Input!$C$312:$L$335,H593,FALSE),"NA")), "")</f>
        <v>CCC-C</v>
      </c>
      <c r="G593">
        <f t="shared" si="18"/>
        <v>2</v>
      </c>
      <c r="H593">
        <f t="shared" si="19"/>
        <v>20</v>
      </c>
    </row>
    <row r="594" spans="1:11" x14ac:dyDescent="0.35">
      <c r="A594" t="str">
        <f>Input!H$289</f>
        <v>Structured Finance - Mezz.</v>
      </c>
      <c r="B594">
        <f>Input!K294</f>
        <v>0</v>
      </c>
      <c r="C594">
        <f>Input!K$191</f>
        <v>9</v>
      </c>
      <c r="D594" t="str">
        <f>Input!B$194</f>
        <v>5.01 to 10</v>
      </c>
      <c r="E594" s="9">
        <f>Input!E$289</f>
        <v>4</v>
      </c>
      <c r="F594" t="str">
        <f>IF(B594&lt;&gt;"",IF(C594="NA",Lists!$D$9,IFERROR(HLOOKUP(C594,Input!$C$312:$L$335,H594,FALSE),"NA")), "")</f>
        <v>CCC-C</v>
      </c>
      <c r="G594">
        <f t="shared" si="18"/>
        <v>3</v>
      </c>
      <c r="H594">
        <f t="shared" si="19"/>
        <v>20</v>
      </c>
    </row>
    <row r="595" spans="1:11" x14ac:dyDescent="0.35">
      <c r="A595" t="str">
        <f>Input!H$289</f>
        <v>Structured Finance - Mezz.</v>
      </c>
      <c r="B595">
        <f>Input!K295</f>
        <v>0</v>
      </c>
      <c r="C595">
        <f>Input!K$191</f>
        <v>9</v>
      </c>
      <c r="D595" t="str">
        <f>Input!B$195</f>
        <v>10.01 to 20</v>
      </c>
      <c r="E595" s="9">
        <f>Input!E$289</f>
        <v>4</v>
      </c>
      <c r="F595" t="str">
        <f>IF(B595&lt;&gt;"",IF(C595="NA",Lists!$D$9,IFERROR(HLOOKUP(C595,Input!$C$312:$L$335,H595,FALSE),"NA")), "")</f>
        <v>CCC-C</v>
      </c>
      <c r="G595">
        <f t="shared" si="18"/>
        <v>4</v>
      </c>
      <c r="H595">
        <f t="shared" si="19"/>
        <v>20</v>
      </c>
    </row>
    <row r="596" spans="1:11" x14ac:dyDescent="0.35">
      <c r="A596" t="str">
        <f>Input!H$289</f>
        <v>Structured Finance - Mezz.</v>
      </c>
      <c r="B596">
        <f>Input!K296</f>
        <v>0</v>
      </c>
      <c r="C596">
        <f>Input!K$191</f>
        <v>9</v>
      </c>
      <c r="D596" t="str">
        <f>Input!B$196</f>
        <v>More than 20</v>
      </c>
      <c r="E596" s="9">
        <f>Input!E$289</f>
        <v>4</v>
      </c>
      <c r="F596" t="str">
        <f>IF(B596&lt;&gt;"",IF(C596="NA",Lists!$D$9,IFERROR(HLOOKUP(C596,Input!$C$312:$L$335,H596,FALSE),"NA")), "")</f>
        <v>CCC-C</v>
      </c>
      <c r="G596">
        <f t="shared" si="18"/>
        <v>5</v>
      </c>
      <c r="H596">
        <f t="shared" si="19"/>
        <v>20</v>
      </c>
    </row>
    <row r="597" spans="1:11" x14ac:dyDescent="0.35">
      <c r="A597" t="str">
        <f>Input!H$289</f>
        <v>Structured Finance - Mezz.</v>
      </c>
      <c r="B597">
        <f>Input!L292</f>
        <v>0</v>
      </c>
      <c r="C597">
        <f>Input!L$191</f>
        <v>10</v>
      </c>
      <c r="D597" t="str">
        <f>Input!B$192</f>
        <v>Upto 1</v>
      </c>
      <c r="E597" s="9">
        <f>Input!E$289</f>
        <v>4</v>
      </c>
      <c r="F597" t="str">
        <f>IF(B597&lt;&gt;"",IF(C597="NA",Lists!$D$9,IFERROR(HLOOKUP(C597,Input!$C$312:$L$335,H597,FALSE),"NA")), "")</f>
        <v>CCC-C</v>
      </c>
      <c r="G597">
        <f t="shared" si="18"/>
        <v>1</v>
      </c>
      <c r="H597">
        <f t="shared" si="19"/>
        <v>20</v>
      </c>
    </row>
    <row r="598" spans="1:11" x14ac:dyDescent="0.35">
      <c r="A598" t="str">
        <f>Input!H$289</f>
        <v>Structured Finance - Mezz.</v>
      </c>
      <c r="B598">
        <f>Input!L293</f>
        <v>0</v>
      </c>
      <c r="C598">
        <f>Input!L$191</f>
        <v>10</v>
      </c>
      <c r="D598" t="str">
        <f>Input!B$193</f>
        <v>1.01 to 5</v>
      </c>
      <c r="E598" s="9">
        <f>Input!E$289</f>
        <v>4</v>
      </c>
      <c r="F598" t="str">
        <f>IF(B598&lt;&gt;"",IF(C598="NA",Lists!$D$9,IFERROR(HLOOKUP(C598,Input!$C$312:$L$335,H598,FALSE),"NA")), "")</f>
        <v>CCC-C</v>
      </c>
      <c r="G598">
        <f t="shared" si="18"/>
        <v>2</v>
      </c>
      <c r="H598">
        <f t="shared" si="19"/>
        <v>20</v>
      </c>
    </row>
    <row r="599" spans="1:11" x14ac:dyDescent="0.35">
      <c r="A599" t="str">
        <f>Input!H$289</f>
        <v>Structured Finance - Mezz.</v>
      </c>
      <c r="B599">
        <f>Input!L294</f>
        <v>0</v>
      </c>
      <c r="C599">
        <f>Input!L$191</f>
        <v>10</v>
      </c>
      <c r="D599" t="str">
        <f>Input!B$194</f>
        <v>5.01 to 10</v>
      </c>
      <c r="E599" s="9">
        <f>Input!E$289</f>
        <v>4</v>
      </c>
      <c r="F599" t="str">
        <f>IF(B599&lt;&gt;"",IF(C599="NA",Lists!$D$9,IFERROR(HLOOKUP(C599,Input!$C$312:$L$335,H599,FALSE),"NA")), "")</f>
        <v>CCC-C</v>
      </c>
      <c r="G599">
        <f t="shared" si="18"/>
        <v>3</v>
      </c>
      <c r="H599">
        <f t="shared" si="19"/>
        <v>20</v>
      </c>
    </row>
    <row r="600" spans="1:11" x14ac:dyDescent="0.35">
      <c r="A600" t="str">
        <f>Input!H$289</f>
        <v>Structured Finance - Mezz.</v>
      </c>
      <c r="B600">
        <f>Input!L295</f>
        <v>0</v>
      </c>
      <c r="C600">
        <f>Input!L$191</f>
        <v>10</v>
      </c>
      <c r="D600" t="str">
        <f>Input!B$195</f>
        <v>10.01 to 20</v>
      </c>
      <c r="E600" s="9">
        <f>Input!E$289</f>
        <v>4</v>
      </c>
      <c r="F600" t="str">
        <f>IF(B600&lt;&gt;"",IF(C600="NA",Lists!$D$9,IFERROR(HLOOKUP(C600,Input!$C$312:$L$335,H600,FALSE),"NA")), "")</f>
        <v>CCC-C</v>
      </c>
      <c r="G600">
        <f t="shared" si="18"/>
        <v>4</v>
      </c>
      <c r="H600">
        <f t="shared" si="19"/>
        <v>20</v>
      </c>
    </row>
    <row r="601" spans="1:11" x14ac:dyDescent="0.35">
      <c r="A601" t="str">
        <f>Input!H$289</f>
        <v>Structured Finance - Mezz.</v>
      </c>
      <c r="B601">
        <f>Input!L296</f>
        <v>0</v>
      </c>
      <c r="C601">
        <f>Input!L$191</f>
        <v>10</v>
      </c>
      <c r="D601" t="str">
        <f>Input!B$196</f>
        <v>More than 20</v>
      </c>
      <c r="E601" s="9">
        <f>Input!E$289</f>
        <v>4</v>
      </c>
      <c r="F601" t="str">
        <f>IF(B601&lt;&gt;"",IF(C601="NA",Lists!$D$9,IFERROR(HLOOKUP(C601,Input!$C$312:$L$335,H601,FALSE),"NA")), "")</f>
        <v>CCC-C</v>
      </c>
      <c r="G601">
        <f t="shared" si="18"/>
        <v>5</v>
      </c>
      <c r="H601">
        <f t="shared" si="19"/>
        <v>20</v>
      </c>
    </row>
    <row r="602" spans="1:11" x14ac:dyDescent="0.35">
      <c r="A602" t="str">
        <f>Input!H$289</f>
        <v>Structured Finance - Mezz.</v>
      </c>
      <c r="B602">
        <f>Input!M292</f>
        <v>0</v>
      </c>
      <c r="C602" t="str">
        <f>Input!M$191</f>
        <v>NA</v>
      </c>
      <c r="D602" t="str">
        <f>Input!B$192</f>
        <v>Upto 1</v>
      </c>
      <c r="E602" s="9">
        <f>Input!E$289</f>
        <v>4</v>
      </c>
      <c r="F602" t="str">
        <f>IF(B602&lt;&gt;"",IF(C602="NA",Lists!$D$9,IFERROR(HLOOKUP(C602,Input!$C$312:$L$335,H602,FALSE),"NA")), "")</f>
        <v>CCC-C</v>
      </c>
      <c r="G602">
        <f t="shared" si="18"/>
        <v>1</v>
      </c>
      <c r="H602">
        <f t="shared" si="19"/>
        <v>20</v>
      </c>
    </row>
    <row r="603" spans="1:11" x14ac:dyDescent="0.35">
      <c r="A603" t="str">
        <f>Input!H$289</f>
        <v>Structured Finance - Mezz.</v>
      </c>
      <c r="B603">
        <f>Input!M293</f>
        <v>0</v>
      </c>
      <c r="C603" t="str">
        <f>Input!M$191</f>
        <v>NA</v>
      </c>
      <c r="D603" t="str">
        <f>Input!B$193</f>
        <v>1.01 to 5</v>
      </c>
      <c r="E603" s="9">
        <f>Input!E$289</f>
        <v>4</v>
      </c>
      <c r="F603" t="str">
        <f>IF(B603&lt;&gt;"",IF(C603="NA",Lists!$D$9,IFERROR(HLOOKUP(C603,Input!$C$312:$L$335,H603,FALSE),"NA")), "")</f>
        <v>CCC-C</v>
      </c>
      <c r="G603">
        <f t="shared" si="18"/>
        <v>2</v>
      </c>
      <c r="H603">
        <f t="shared" si="19"/>
        <v>20</v>
      </c>
    </row>
    <row r="604" spans="1:11" x14ac:dyDescent="0.35">
      <c r="A604" t="str">
        <f>Input!H$289</f>
        <v>Structured Finance - Mezz.</v>
      </c>
      <c r="B604">
        <f>Input!M294</f>
        <v>0</v>
      </c>
      <c r="C604" t="str">
        <f>Input!M$191</f>
        <v>NA</v>
      </c>
      <c r="D604" t="str">
        <f>Input!B$194</f>
        <v>5.01 to 10</v>
      </c>
      <c r="E604" s="9">
        <f>Input!E$289</f>
        <v>4</v>
      </c>
      <c r="F604" t="str">
        <f>IF(B604&lt;&gt;"",IF(C604="NA",Lists!$D$9,IFERROR(HLOOKUP(C604,Input!$C$312:$L$335,H604,FALSE),"NA")), "")</f>
        <v>CCC-C</v>
      </c>
      <c r="G604">
        <f t="shared" si="18"/>
        <v>3</v>
      </c>
      <c r="H604">
        <f t="shared" si="19"/>
        <v>20</v>
      </c>
    </row>
    <row r="605" spans="1:11" x14ac:dyDescent="0.35">
      <c r="A605" t="str">
        <f>Input!H$289</f>
        <v>Structured Finance - Mezz.</v>
      </c>
      <c r="B605">
        <f>Input!M295</f>
        <v>0</v>
      </c>
      <c r="C605" t="str">
        <f>Input!M$191</f>
        <v>NA</v>
      </c>
      <c r="D605" t="str">
        <f>Input!B$195</f>
        <v>10.01 to 20</v>
      </c>
      <c r="E605" s="9">
        <f>Input!E$289</f>
        <v>4</v>
      </c>
      <c r="F605" t="str">
        <f>IF(B605&lt;&gt;"",IF(C605="NA",Lists!$D$9,IFERROR(HLOOKUP(C605,Input!$C$312:$L$335,H605,FALSE),"NA")), "")</f>
        <v>CCC-C</v>
      </c>
      <c r="G605">
        <f t="shared" si="18"/>
        <v>4</v>
      </c>
      <c r="H605">
        <f t="shared" si="19"/>
        <v>20</v>
      </c>
      <c r="K605" s="481"/>
    </row>
    <row r="606" spans="1:11" x14ac:dyDescent="0.35">
      <c r="A606" t="str">
        <f>Input!H$289</f>
        <v>Structured Finance - Mezz.</v>
      </c>
      <c r="B606">
        <f>Input!M296</f>
        <v>0</v>
      </c>
      <c r="C606" t="str">
        <f>Input!M$191</f>
        <v>NA</v>
      </c>
      <c r="D606" t="str">
        <f>Input!B$196</f>
        <v>More than 20</v>
      </c>
      <c r="E606" s="9">
        <f>Input!E$289</f>
        <v>4</v>
      </c>
      <c r="F606" t="str">
        <f>IF(B606&lt;&gt;"",IF(C606="NA",Lists!$D$9,IFERROR(HLOOKUP(C606,Input!$C$312:$L$335,H606,FALSE),"NA")), "")</f>
        <v>CCC-C</v>
      </c>
      <c r="G606">
        <f t="shared" si="18"/>
        <v>5</v>
      </c>
      <c r="H606">
        <f t="shared" si="19"/>
        <v>20</v>
      </c>
    </row>
    <row r="607" spans="1:11" x14ac:dyDescent="0.35">
      <c r="A607" t="str">
        <f>Input!H$299</f>
        <v>Structured Finance - Junior</v>
      </c>
      <c r="B607">
        <f>Input!C302</f>
        <v>0</v>
      </c>
      <c r="C607">
        <f>Input!C$191</f>
        <v>1</v>
      </c>
      <c r="D607" t="str">
        <f>Input!B$192</f>
        <v>Upto 1</v>
      </c>
      <c r="E607" s="480">
        <f>Input!E$299</f>
        <v>4</v>
      </c>
      <c r="F607" t="str">
        <f>IF(B607&lt;&gt;"",IF(C607="NA",Lists!$D$9,IFERROR(HLOOKUP(C607,Input!$C$312:$L$335,H607,FALSE),"NA")), "")</f>
        <v>CCC-C</v>
      </c>
      <c r="G607">
        <f t="shared" si="18"/>
        <v>1</v>
      </c>
      <c r="H607">
        <f t="shared" si="19"/>
        <v>24</v>
      </c>
    </row>
    <row r="608" spans="1:11" x14ac:dyDescent="0.35">
      <c r="A608" t="str">
        <f>Input!H$299</f>
        <v>Structured Finance - Junior</v>
      </c>
      <c r="B608">
        <f>Input!C303</f>
        <v>0</v>
      </c>
      <c r="C608">
        <f>Input!C$191</f>
        <v>1</v>
      </c>
      <c r="D608" t="str">
        <f>Input!B$193</f>
        <v>1.01 to 5</v>
      </c>
      <c r="E608" s="480">
        <f>Input!E$299</f>
        <v>4</v>
      </c>
      <c r="F608" t="str">
        <f>IF(B608&lt;&gt;"",IF(C608="NA",Lists!$D$9,IFERROR(HLOOKUP(C608,Input!$C$312:$L$335,H608,FALSE),"NA")), "")</f>
        <v>CCC-C</v>
      </c>
      <c r="G608">
        <f t="shared" si="18"/>
        <v>2</v>
      </c>
      <c r="H608">
        <f t="shared" si="19"/>
        <v>24</v>
      </c>
    </row>
    <row r="609" spans="1:8" x14ac:dyDescent="0.35">
      <c r="A609" t="str">
        <f>Input!H$299</f>
        <v>Structured Finance - Junior</v>
      </c>
      <c r="B609">
        <f>Input!C304</f>
        <v>0</v>
      </c>
      <c r="C609">
        <f>Input!C$191</f>
        <v>1</v>
      </c>
      <c r="D609" t="str">
        <f>Input!B$194</f>
        <v>5.01 to 10</v>
      </c>
      <c r="E609" s="480">
        <f>Input!E$299</f>
        <v>4</v>
      </c>
      <c r="F609" t="str">
        <f>IF(B609&lt;&gt;"",IF(C609="NA",Lists!$D$9,IFERROR(HLOOKUP(C609,Input!$C$312:$L$335,H609,FALSE),"NA")), "")</f>
        <v>CCC-C</v>
      </c>
      <c r="G609">
        <f t="shared" si="18"/>
        <v>3</v>
      </c>
      <c r="H609">
        <f t="shared" si="19"/>
        <v>24</v>
      </c>
    </row>
    <row r="610" spans="1:8" x14ac:dyDescent="0.35">
      <c r="A610" t="str">
        <f>Input!H$299</f>
        <v>Structured Finance - Junior</v>
      </c>
      <c r="B610">
        <f>Input!C305</f>
        <v>0</v>
      </c>
      <c r="C610">
        <f>Input!C$191</f>
        <v>1</v>
      </c>
      <c r="D610" t="str">
        <f>Input!B$195</f>
        <v>10.01 to 20</v>
      </c>
      <c r="E610" s="480">
        <f>Input!E$299</f>
        <v>4</v>
      </c>
      <c r="F610" t="str">
        <f>IF(B610&lt;&gt;"",IF(C610="NA",Lists!$D$9,IFERROR(HLOOKUP(C610,Input!$C$312:$L$335,H610,FALSE),"NA")), "")</f>
        <v>CCC-C</v>
      </c>
      <c r="G610">
        <f t="shared" si="18"/>
        <v>4</v>
      </c>
      <c r="H610">
        <f t="shared" si="19"/>
        <v>24</v>
      </c>
    </row>
    <row r="611" spans="1:8" x14ac:dyDescent="0.35">
      <c r="A611" t="str">
        <f>Input!H$299</f>
        <v>Structured Finance - Junior</v>
      </c>
      <c r="B611">
        <f>Input!C306</f>
        <v>0</v>
      </c>
      <c r="C611">
        <f>Input!C$191</f>
        <v>1</v>
      </c>
      <c r="D611" t="str">
        <f>Input!B$196</f>
        <v>More than 20</v>
      </c>
      <c r="E611" s="480">
        <f>Input!E$299</f>
        <v>4</v>
      </c>
      <c r="F611" t="str">
        <f>IF(B611&lt;&gt;"",IF(C611="NA",Lists!$D$9,IFERROR(HLOOKUP(C611,Input!$C$312:$L$335,H611,FALSE),"NA")), "")</f>
        <v>CCC-C</v>
      </c>
      <c r="G611">
        <f t="shared" si="18"/>
        <v>5</v>
      </c>
      <c r="H611">
        <f t="shared" si="19"/>
        <v>24</v>
      </c>
    </row>
    <row r="612" spans="1:8" x14ac:dyDescent="0.35">
      <c r="A612" t="str">
        <f>Input!H$299</f>
        <v>Structured Finance - Junior</v>
      </c>
      <c r="B612">
        <f>Input!D302</f>
        <v>0</v>
      </c>
      <c r="C612">
        <f>Input!D$191</f>
        <v>2</v>
      </c>
      <c r="D612" t="str">
        <f>Input!B$192</f>
        <v>Upto 1</v>
      </c>
      <c r="E612" s="480">
        <f>Input!E$299</f>
        <v>4</v>
      </c>
      <c r="F612" t="str">
        <f>IF(B612&lt;&gt;"",IF(C612="NA",Lists!$D$9,IFERROR(HLOOKUP(C612,Input!$C$312:$L$335,H612,FALSE),"NA")), "")</f>
        <v>CCC-C</v>
      </c>
      <c r="G612">
        <f t="shared" si="18"/>
        <v>1</v>
      </c>
      <c r="H612">
        <f t="shared" si="19"/>
        <v>24</v>
      </c>
    </row>
    <row r="613" spans="1:8" x14ac:dyDescent="0.35">
      <c r="A613" t="str">
        <f>Input!H$299</f>
        <v>Structured Finance - Junior</v>
      </c>
      <c r="B613">
        <f>Input!D303</f>
        <v>0</v>
      </c>
      <c r="C613">
        <f>Input!D$191</f>
        <v>2</v>
      </c>
      <c r="D613" t="str">
        <f>Input!B$193</f>
        <v>1.01 to 5</v>
      </c>
      <c r="E613" s="480">
        <f>Input!E$299</f>
        <v>4</v>
      </c>
      <c r="F613" t="str">
        <f>IF(B613&lt;&gt;"",IF(C613="NA",Lists!$D$9,IFERROR(HLOOKUP(C613,Input!$C$312:$L$335,H613,FALSE),"NA")), "")</f>
        <v>CCC-C</v>
      </c>
      <c r="G613">
        <f t="shared" si="18"/>
        <v>2</v>
      </c>
      <c r="H613">
        <f t="shared" si="19"/>
        <v>24</v>
      </c>
    </row>
    <row r="614" spans="1:8" x14ac:dyDescent="0.35">
      <c r="A614" t="str">
        <f>Input!H$299</f>
        <v>Structured Finance - Junior</v>
      </c>
      <c r="B614">
        <f>Input!D304</f>
        <v>0</v>
      </c>
      <c r="C614">
        <f>Input!D$191</f>
        <v>2</v>
      </c>
      <c r="D614" t="str">
        <f>Input!B$194</f>
        <v>5.01 to 10</v>
      </c>
      <c r="E614" s="480">
        <f>Input!E$299</f>
        <v>4</v>
      </c>
      <c r="F614" t="str">
        <f>IF(B614&lt;&gt;"",IF(C614="NA",Lists!$D$9,IFERROR(HLOOKUP(C614,Input!$C$312:$L$335,H614,FALSE),"NA")), "")</f>
        <v>CCC-C</v>
      </c>
      <c r="G614">
        <f t="shared" si="18"/>
        <v>3</v>
      </c>
      <c r="H614">
        <f t="shared" si="19"/>
        <v>24</v>
      </c>
    </row>
    <row r="615" spans="1:8" x14ac:dyDescent="0.35">
      <c r="A615" t="str">
        <f>Input!H$299</f>
        <v>Structured Finance - Junior</v>
      </c>
      <c r="B615">
        <f>Input!D305</f>
        <v>0</v>
      </c>
      <c r="C615">
        <f>Input!D$191</f>
        <v>2</v>
      </c>
      <c r="D615" t="str">
        <f>Input!B$195</f>
        <v>10.01 to 20</v>
      </c>
      <c r="E615" s="480">
        <f>Input!E$299</f>
        <v>4</v>
      </c>
      <c r="F615" t="str">
        <f>IF(B615&lt;&gt;"",IF(C615="NA",Lists!$D$9,IFERROR(HLOOKUP(C615,Input!$C$312:$L$335,H615,FALSE),"NA")), "")</f>
        <v>CCC-C</v>
      </c>
      <c r="G615">
        <f t="shared" si="18"/>
        <v>4</v>
      </c>
      <c r="H615">
        <f t="shared" si="19"/>
        <v>24</v>
      </c>
    </row>
    <row r="616" spans="1:8" x14ac:dyDescent="0.35">
      <c r="A616" t="str">
        <f>Input!H$299</f>
        <v>Structured Finance - Junior</v>
      </c>
      <c r="B616">
        <f>Input!D306</f>
        <v>0</v>
      </c>
      <c r="C616">
        <f>Input!D$191</f>
        <v>2</v>
      </c>
      <c r="D616" t="str">
        <f>Input!B$196</f>
        <v>More than 20</v>
      </c>
      <c r="E616" s="480">
        <f>Input!E$299</f>
        <v>4</v>
      </c>
      <c r="F616" t="str">
        <f>IF(B616&lt;&gt;"",IF(C616="NA",Lists!$D$9,IFERROR(HLOOKUP(C616,Input!$C$312:$L$335,H616,FALSE),"NA")), "")</f>
        <v>CCC-C</v>
      </c>
      <c r="G616">
        <f t="shared" si="18"/>
        <v>5</v>
      </c>
      <c r="H616">
        <f t="shared" si="19"/>
        <v>24</v>
      </c>
    </row>
    <row r="617" spans="1:8" x14ac:dyDescent="0.35">
      <c r="A617" t="str">
        <f>Input!H$299</f>
        <v>Structured Finance - Junior</v>
      </c>
      <c r="B617">
        <f>Input!E302</f>
        <v>0</v>
      </c>
      <c r="C617">
        <f>Input!E$191</f>
        <v>3</v>
      </c>
      <c r="D617" t="str">
        <f>Input!B$192</f>
        <v>Upto 1</v>
      </c>
      <c r="E617" s="480">
        <f>Input!E$299</f>
        <v>4</v>
      </c>
      <c r="F617" t="str">
        <f>IF(B617&lt;&gt;"",IF(C617="NA",Lists!$D$9,IFERROR(HLOOKUP(C617,Input!$C$312:$L$335,H617,FALSE),"NA")), "")</f>
        <v>CCC-C</v>
      </c>
      <c r="G617">
        <f t="shared" si="18"/>
        <v>1</v>
      </c>
      <c r="H617">
        <f t="shared" si="19"/>
        <v>24</v>
      </c>
    </row>
    <row r="618" spans="1:8" x14ac:dyDescent="0.35">
      <c r="A618" t="str">
        <f>Input!H$299</f>
        <v>Structured Finance - Junior</v>
      </c>
      <c r="B618">
        <f>Input!E303</f>
        <v>0</v>
      </c>
      <c r="C618">
        <f>Input!E$191</f>
        <v>3</v>
      </c>
      <c r="D618" t="str">
        <f>Input!B$193</f>
        <v>1.01 to 5</v>
      </c>
      <c r="E618" s="480">
        <f>Input!E$299</f>
        <v>4</v>
      </c>
      <c r="F618" t="str">
        <f>IF(B618&lt;&gt;"",IF(C618="NA",Lists!$D$9,IFERROR(HLOOKUP(C618,Input!$C$312:$L$335,H618,FALSE),"NA")), "")</f>
        <v>CCC-C</v>
      </c>
      <c r="G618">
        <f t="shared" si="18"/>
        <v>2</v>
      </c>
      <c r="H618">
        <f t="shared" si="19"/>
        <v>24</v>
      </c>
    </row>
    <row r="619" spans="1:8" x14ac:dyDescent="0.35">
      <c r="A619" t="str">
        <f>Input!H$299</f>
        <v>Structured Finance - Junior</v>
      </c>
      <c r="B619">
        <f>Input!E304</f>
        <v>0</v>
      </c>
      <c r="C619">
        <f>Input!E$191</f>
        <v>3</v>
      </c>
      <c r="D619" t="str">
        <f>Input!B$194</f>
        <v>5.01 to 10</v>
      </c>
      <c r="E619" s="480">
        <f>Input!E$299</f>
        <v>4</v>
      </c>
      <c r="F619" t="str">
        <f>IF(B619&lt;&gt;"",IF(C619="NA",Lists!$D$9,IFERROR(HLOOKUP(C619,Input!$C$312:$L$335,H619,FALSE),"NA")), "")</f>
        <v>CCC-C</v>
      </c>
      <c r="G619">
        <f t="shared" si="18"/>
        <v>3</v>
      </c>
      <c r="H619">
        <f t="shared" si="19"/>
        <v>24</v>
      </c>
    </row>
    <row r="620" spans="1:8" x14ac:dyDescent="0.35">
      <c r="A620" t="str">
        <f>Input!H$299</f>
        <v>Structured Finance - Junior</v>
      </c>
      <c r="B620">
        <f>Input!E305</f>
        <v>0</v>
      </c>
      <c r="C620">
        <f>Input!E$191</f>
        <v>3</v>
      </c>
      <c r="D620" t="str">
        <f>Input!B$195</f>
        <v>10.01 to 20</v>
      </c>
      <c r="E620" s="480">
        <f>Input!E$299</f>
        <v>4</v>
      </c>
      <c r="F620" t="str">
        <f>IF(B620&lt;&gt;"",IF(C620="NA",Lists!$D$9,IFERROR(HLOOKUP(C620,Input!$C$312:$L$335,H620,FALSE),"NA")), "")</f>
        <v>CCC-C</v>
      </c>
      <c r="G620">
        <f t="shared" si="18"/>
        <v>4</v>
      </c>
      <c r="H620">
        <f t="shared" si="19"/>
        <v>24</v>
      </c>
    </row>
    <row r="621" spans="1:8" x14ac:dyDescent="0.35">
      <c r="A621" t="str">
        <f>Input!H$299</f>
        <v>Structured Finance - Junior</v>
      </c>
      <c r="B621">
        <f>Input!E306</f>
        <v>0</v>
      </c>
      <c r="C621">
        <f>Input!E$191</f>
        <v>3</v>
      </c>
      <c r="D621" t="str">
        <f>Input!B$196</f>
        <v>More than 20</v>
      </c>
      <c r="E621" s="480">
        <f>Input!E$299</f>
        <v>4</v>
      </c>
      <c r="F621" t="str">
        <f>IF(B621&lt;&gt;"",IF(C621="NA",Lists!$D$9,IFERROR(HLOOKUP(C621,Input!$C$312:$L$335,H621,FALSE),"NA")), "")</f>
        <v>CCC-C</v>
      </c>
      <c r="G621">
        <f t="shared" si="18"/>
        <v>5</v>
      </c>
      <c r="H621">
        <f t="shared" si="19"/>
        <v>24</v>
      </c>
    </row>
    <row r="622" spans="1:8" x14ac:dyDescent="0.35">
      <c r="A622" t="str">
        <f>Input!H$299</f>
        <v>Structured Finance - Junior</v>
      </c>
      <c r="B622">
        <f>Input!F302</f>
        <v>0</v>
      </c>
      <c r="C622">
        <f>Input!F$191</f>
        <v>4</v>
      </c>
      <c r="D622" t="str">
        <f>Input!B$192</f>
        <v>Upto 1</v>
      </c>
      <c r="E622" s="480">
        <f>Input!E$299</f>
        <v>4</v>
      </c>
      <c r="F622" t="str">
        <f>IF(B622&lt;&gt;"",IF(C622="NA",Lists!$D$9,IFERROR(HLOOKUP(C622,Input!$C$312:$L$335,H622,FALSE),"NA")), "")</f>
        <v>CCC-C</v>
      </c>
      <c r="G622">
        <f t="shared" si="18"/>
        <v>1</v>
      </c>
      <c r="H622">
        <f t="shared" si="19"/>
        <v>24</v>
      </c>
    </row>
    <row r="623" spans="1:8" x14ac:dyDescent="0.35">
      <c r="A623" t="str">
        <f>Input!H$299</f>
        <v>Structured Finance - Junior</v>
      </c>
      <c r="B623">
        <f>Input!F303</f>
        <v>0</v>
      </c>
      <c r="C623">
        <f>Input!F$191</f>
        <v>4</v>
      </c>
      <c r="D623" t="str">
        <f>Input!B$193</f>
        <v>1.01 to 5</v>
      </c>
      <c r="E623" s="480">
        <f>Input!E$299</f>
        <v>4</v>
      </c>
      <c r="F623" t="str">
        <f>IF(B623&lt;&gt;"",IF(C623="NA",Lists!$D$9,IFERROR(HLOOKUP(C623,Input!$C$312:$L$335,H623,FALSE),"NA")), "")</f>
        <v>CCC-C</v>
      </c>
      <c r="G623">
        <f t="shared" si="18"/>
        <v>2</v>
      </c>
      <c r="H623">
        <f t="shared" si="19"/>
        <v>24</v>
      </c>
    </row>
    <row r="624" spans="1:8" x14ac:dyDescent="0.35">
      <c r="A624" t="str">
        <f>Input!H$299</f>
        <v>Structured Finance - Junior</v>
      </c>
      <c r="B624">
        <f>Input!F304</f>
        <v>0</v>
      </c>
      <c r="C624">
        <f>Input!F$191</f>
        <v>4</v>
      </c>
      <c r="D624" t="str">
        <f>Input!B$194</f>
        <v>5.01 to 10</v>
      </c>
      <c r="E624" s="480">
        <f>Input!E$299</f>
        <v>4</v>
      </c>
      <c r="F624" t="str">
        <f>IF(B624&lt;&gt;"",IF(C624="NA",Lists!$D$9,IFERROR(HLOOKUP(C624,Input!$C$312:$L$335,H624,FALSE),"NA")), "")</f>
        <v>CCC-C</v>
      </c>
      <c r="G624">
        <f t="shared" ref="G624:G661" si="20">IFERROR(MATCH(D624,lov_term_buckets,0),"")</f>
        <v>3</v>
      </c>
      <c r="H624">
        <f t="shared" si="19"/>
        <v>24</v>
      </c>
    </row>
    <row r="625" spans="1:8" x14ac:dyDescent="0.35">
      <c r="A625" t="str">
        <f>Input!H$299</f>
        <v>Structured Finance - Junior</v>
      </c>
      <c r="B625">
        <f>Input!F305</f>
        <v>0</v>
      </c>
      <c r="C625">
        <f>Input!F$191</f>
        <v>4</v>
      </c>
      <c r="D625" t="str">
        <f>Input!B$195</f>
        <v>10.01 to 20</v>
      </c>
      <c r="E625" s="480">
        <f>Input!E$299</f>
        <v>4</v>
      </c>
      <c r="F625" t="str">
        <f>IF(B625&lt;&gt;"",IF(C625="NA",Lists!$D$9,IFERROR(HLOOKUP(C625,Input!$C$312:$L$335,H625,FALSE),"NA")), "")</f>
        <v>CCC-C</v>
      </c>
      <c r="G625">
        <f t="shared" si="20"/>
        <v>4</v>
      </c>
      <c r="H625">
        <f t="shared" si="19"/>
        <v>24</v>
      </c>
    </row>
    <row r="626" spans="1:8" x14ac:dyDescent="0.35">
      <c r="A626" t="str">
        <f>Input!H$299</f>
        <v>Structured Finance - Junior</v>
      </c>
      <c r="B626">
        <f>Input!F306</f>
        <v>0</v>
      </c>
      <c r="C626">
        <f>Input!F$191</f>
        <v>4</v>
      </c>
      <c r="D626" t="str">
        <f>Input!B$196</f>
        <v>More than 20</v>
      </c>
      <c r="E626" s="480">
        <f>Input!E$299</f>
        <v>4</v>
      </c>
      <c r="F626" t="str">
        <f>IF(B626&lt;&gt;"",IF(C626="NA",Lists!$D$9,IFERROR(HLOOKUP(C626,Input!$C$312:$L$335,H626,FALSE),"NA")), "")</f>
        <v>CCC-C</v>
      </c>
      <c r="G626">
        <f t="shared" si="20"/>
        <v>5</v>
      </c>
      <c r="H626">
        <f t="shared" si="19"/>
        <v>24</v>
      </c>
    </row>
    <row r="627" spans="1:8" x14ac:dyDescent="0.35">
      <c r="A627" t="str">
        <f>Input!H$299</f>
        <v>Structured Finance - Junior</v>
      </c>
      <c r="B627">
        <f>Input!G302</f>
        <v>0</v>
      </c>
      <c r="C627">
        <f>Input!G$191</f>
        <v>5</v>
      </c>
      <c r="D627" t="str">
        <f>Input!B$192</f>
        <v>Upto 1</v>
      </c>
      <c r="E627" s="480">
        <f>Input!E$299</f>
        <v>4</v>
      </c>
      <c r="F627" t="str">
        <f>IF(B627&lt;&gt;"",IF(C627="NA",Lists!$D$9,IFERROR(HLOOKUP(C627,Input!$C$312:$L$335,H627,FALSE),"NA")), "")</f>
        <v>CCC-C</v>
      </c>
      <c r="G627">
        <f t="shared" si="20"/>
        <v>1</v>
      </c>
      <c r="H627">
        <f t="shared" si="19"/>
        <v>24</v>
      </c>
    </row>
    <row r="628" spans="1:8" x14ac:dyDescent="0.35">
      <c r="A628" t="str">
        <f>Input!H$299</f>
        <v>Structured Finance - Junior</v>
      </c>
      <c r="B628">
        <f>Input!G303</f>
        <v>0</v>
      </c>
      <c r="C628">
        <f>Input!G$191</f>
        <v>5</v>
      </c>
      <c r="D628" t="str">
        <f>Input!B$193</f>
        <v>1.01 to 5</v>
      </c>
      <c r="E628" s="480">
        <f>Input!E$299</f>
        <v>4</v>
      </c>
      <c r="F628" t="str">
        <f>IF(B628&lt;&gt;"",IF(C628="NA",Lists!$D$9,IFERROR(HLOOKUP(C628,Input!$C$312:$L$335,H628,FALSE),"NA")), "")</f>
        <v>CCC-C</v>
      </c>
      <c r="G628">
        <f t="shared" si="20"/>
        <v>2</v>
      </c>
      <c r="H628">
        <f t="shared" si="19"/>
        <v>24</v>
      </c>
    </row>
    <row r="629" spans="1:8" x14ac:dyDescent="0.35">
      <c r="A629" t="str">
        <f>Input!H$299</f>
        <v>Structured Finance - Junior</v>
      </c>
      <c r="B629">
        <f>Input!G304</f>
        <v>0</v>
      </c>
      <c r="C629">
        <f>Input!G$191</f>
        <v>5</v>
      </c>
      <c r="D629" t="str">
        <f>Input!B$194</f>
        <v>5.01 to 10</v>
      </c>
      <c r="E629" s="480">
        <f>Input!E$299</f>
        <v>4</v>
      </c>
      <c r="F629" t="str">
        <f>IF(B629&lt;&gt;"",IF(C629="NA",Lists!$D$9,IFERROR(HLOOKUP(C629,Input!$C$312:$L$335,H629,FALSE),"NA")), "")</f>
        <v>CCC-C</v>
      </c>
      <c r="G629">
        <f t="shared" si="20"/>
        <v>3</v>
      </c>
      <c r="H629">
        <f t="shared" si="19"/>
        <v>24</v>
      </c>
    </row>
    <row r="630" spans="1:8" x14ac:dyDescent="0.35">
      <c r="A630" t="str">
        <f>Input!H$299</f>
        <v>Structured Finance - Junior</v>
      </c>
      <c r="B630">
        <f>Input!G305</f>
        <v>0</v>
      </c>
      <c r="C630">
        <f>Input!G$191</f>
        <v>5</v>
      </c>
      <c r="D630" t="str">
        <f>Input!B$195</f>
        <v>10.01 to 20</v>
      </c>
      <c r="E630" s="480">
        <f>Input!E$299</f>
        <v>4</v>
      </c>
      <c r="F630" t="str">
        <f>IF(B630&lt;&gt;"",IF(C630="NA",Lists!$D$9,IFERROR(HLOOKUP(C630,Input!$C$312:$L$335,H630,FALSE),"NA")), "")</f>
        <v>CCC-C</v>
      </c>
      <c r="G630">
        <f t="shared" si="20"/>
        <v>4</v>
      </c>
      <c r="H630">
        <f t="shared" si="19"/>
        <v>24</v>
      </c>
    </row>
    <row r="631" spans="1:8" x14ac:dyDescent="0.35">
      <c r="A631" t="str">
        <f>Input!H$299</f>
        <v>Structured Finance - Junior</v>
      </c>
      <c r="B631">
        <f>Input!G306</f>
        <v>0</v>
      </c>
      <c r="C631">
        <f>Input!G$191</f>
        <v>5</v>
      </c>
      <c r="D631" t="str">
        <f>Input!B$196</f>
        <v>More than 20</v>
      </c>
      <c r="E631" s="480">
        <f>Input!E$299</f>
        <v>4</v>
      </c>
      <c r="F631" t="str">
        <f>IF(B631&lt;&gt;"",IF(C631="NA",Lists!$D$9,IFERROR(HLOOKUP(C631,Input!$C$312:$L$335,H631,FALSE),"NA")), "")</f>
        <v>CCC-C</v>
      </c>
      <c r="G631">
        <f t="shared" si="20"/>
        <v>5</v>
      </c>
      <c r="H631">
        <f t="shared" si="19"/>
        <v>24</v>
      </c>
    </row>
    <row r="632" spans="1:8" x14ac:dyDescent="0.35">
      <c r="A632" t="str">
        <f>Input!H$299</f>
        <v>Structured Finance - Junior</v>
      </c>
      <c r="B632">
        <f>Input!H302</f>
        <v>0</v>
      </c>
      <c r="C632">
        <f>Input!H$191</f>
        <v>6</v>
      </c>
      <c r="D632" t="str">
        <f>Input!B$192</f>
        <v>Upto 1</v>
      </c>
      <c r="E632" s="480">
        <f>Input!E$299</f>
        <v>4</v>
      </c>
      <c r="F632" t="str">
        <f>IF(B632&lt;&gt;"",IF(C632="NA",Lists!$D$9,IFERROR(HLOOKUP(C632,Input!$C$312:$L$335,H632,FALSE),"NA")), "")</f>
        <v>CCC-C</v>
      </c>
      <c r="G632">
        <f t="shared" si="20"/>
        <v>1</v>
      </c>
      <c r="H632">
        <f t="shared" si="19"/>
        <v>24</v>
      </c>
    </row>
    <row r="633" spans="1:8" x14ac:dyDescent="0.35">
      <c r="A633" t="str">
        <f>Input!H$299</f>
        <v>Structured Finance - Junior</v>
      </c>
      <c r="B633">
        <f>Input!H303</f>
        <v>0</v>
      </c>
      <c r="C633">
        <f>Input!H$191</f>
        <v>6</v>
      </c>
      <c r="D633" t="str">
        <f>Input!B$193</f>
        <v>1.01 to 5</v>
      </c>
      <c r="E633" s="480">
        <f>Input!E$299</f>
        <v>4</v>
      </c>
      <c r="F633" t="str">
        <f>IF(B633&lt;&gt;"",IF(C633="NA",Lists!$D$9,IFERROR(HLOOKUP(C633,Input!$C$312:$L$335,H633,FALSE),"NA")), "")</f>
        <v>CCC-C</v>
      </c>
      <c r="G633">
        <f t="shared" si="20"/>
        <v>2</v>
      </c>
      <c r="H633">
        <f t="shared" si="19"/>
        <v>24</v>
      </c>
    </row>
    <row r="634" spans="1:8" x14ac:dyDescent="0.35">
      <c r="A634" t="str">
        <f>Input!H$299</f>
        <v>Structured Finance - Junior</v>
      </c>
      <c r="B634">
        <f>Input!H304</f>
        <v>0</v>
      </c>
      <c r="C634">
        <f>Input!H$191</f>
        <v>6</v>
      </c>
      <c r="D634" t="str">
        <f>Input!B$194</f>
        <v>5.01 to 10</v>
      </c>
      <c r="E634" s="480">
        <f>Input!E$299</f>
        <v>4</v>
      </c>
      <c r="F634" t="str">
        <f>IF(B634&lt;&gt;"",IF(C634="NA",Lists!$D$9,IFERROR(HLOOKUP(C634,Input!$C$312:$L$335,H634,FALSE),"NA")), "")</f>
        <v>CCC-C</v>
      </c>
      <c r="G634">
        <f t="shared" si="20"/>
        <v>3</v>
      </c>
      <c r="H634">
        <f t="shared" ref="H634:H661" si="21">INDEX($L$2:$L$8,MATCH(A634,$K$2:$K$8,0))</f>
        <v>24</v>
      </c>
    </row>
    <row r="635" spans="1:8" x14ac:dyDescent="0.35">
      <c r="A635" t="str">
        <f>Input!H$299</f>
        <v>Structured Finance - Junior</v>
      </c>
      <c r="B635">
        <f>Input!H305</f>
        <v>0</v>
      </c>
      <c r="C635">
        <f>Input!H$191</f>
        <v>6</v>
      </c>
      <c r="D635" t="str">
        <f>Input!B$195</f>
        <v>10.01 to 20</v>
      </c>
      <c r="E635" s="480">
        <f>Input!E$299</f>
        <v>4</v>
      </c>
      <c r="F635" t="str">
        <f>IF(B635&lt;&gt;"",IF(C635="NA",Lists!$D$9,IFERROR(HLOOKUP(C635,Input!$C$312:$L$335,H635,FALSE),"NA")), "")</f>
        <v>CCC-C</v>
      </c>
      <c r="G635">
        <f t="shared" si="20"/>
        <v>4</v>
      </c>
      <c r="H635">
        <f t="shared" si="21"/>
        <v>24</v>
      </c>
    </row>
    <row r="636" spans="1:8" x14ac:dyDescent="0.35">
      <c r="A636" t="str">
        <f>Input!H$299</f>
        <v>Structured Finance - Junior</v>
      </c>
      <c r="B636">
        <f>Input!H306</f>
        <v>0</v>
      </c>
      <c r="C636">
        <f>Input!H$191</f>
        <v>6</v>
      </c>
      <c r="D636" t="str">
        <f>Input!B$196</f>
        <v>More than 20</v>
      </c>
      <c r="E636" s="480">
        <f>Input!E$299</f>
        <v>4</v>
      </c>
      <c r="F636" t="str">
        <f>IF(B636&lt;&gt;"",IF(C636="NA",Lists!$D$9,IFERROR(HLOOKUP(C636,Input!$C$312:$L$335,H636,FALSE),"NA")), "")</f>
        <v>CCC-C</v>
      </c>
      <c r="G636">
        <f t="shared" si="20"/>
        <v>5</v>
      </c>
      <c r="H636">
        <f t="shared" si="21"/>
        <v>24</v>
      </c>
    </row>
    <row r="637" spans="1:8" x14ac:dyDescent="0.35">
      <c r="A637" t="str">
        <f>Input!H$299</f>
        <v>Structured Finance - Junior</v>
      </c>
      <c r="B637">
        <f>Input!I302</f>
        <v>0</v>
      </c>
      <c r="C637">
        <f>Input!I$191</f>
        <v>7</v>
      </c>
      <c r="D637" t="str">
        <f>Input!B$192</f>
        <v>Upto 1</v>
      </c>
      <c r="E637" s="480">
        <f>Input!E$299</f>
        <v>4</v>
      </c>
      <c r="F637" t="str">
        <f>IF(B637&lt;&gt;"",IF(C637="NA",Lists!$D$9,IFERROR(HLOOKUP(C637,Input!$C$312:$L$335,H637,FALSE),"NA")), "")</f>
        <v>CCC-C</v>
      </c>
      <c r="G637">
        <f t="shared" si="20"/>
        <v>1</v>
      </c>
      <c r="H637">
        <f t="shared" si="21"/>
        <v>24</v>
      </c>
    </row>
    <row r="638" spans="1:8" x14ac:dyDescent="0.35">
      <c r="A638" t="str">
        <f>Input!H$299</f>
        <v>Structured Finance - Junior</v>
      </c>
      <c r="B638">
        <f>Input!I303</f>
        <v>0</v>
      </c>
      <c r="C638">
        <f>Input!I$191</f>
        <v>7</v>
      </c>
      <c r="D638" t="str">
        <f>Input!B$193</f>
        <v>1.01 to 5</v>
      </c>
      <c r="E638" s="480">
        <f>Input!E$299</f>
        <v>4</v>
      </c>
      <c r="F638" t="str">
        <f>IF(B638&lt;&gt;"",IF(C638="NA",Lists!$D$9,IFERROR(HLOOKUP(C638,Input!$C$312:$L$335,H638,FALSE),"NA")), "")</f>
        <v>CCC-C</v>
      </c>
      <c r="G638">
        <f t="shared" si="20"/>
        <v>2</v>
      </c>
      <c r="H638">
        <f t="shared" si="21"/>
        <v>24</v>
      </c>
    </row>
    <row r="639" spans="1:8" x14ac:dyDescent="0.35">
      <c r="A639" t="str">
        <f>Input!H$299</f>
        <v>Structured Finance - Junior</v>
      </c>
      <c r="B639">
        <f>Input!I304</f>
        <v>0</v>
      </c>
      <c r="C639">
        <f>Input!I$191</f>
        <v>7</v>
      </c>
      <c r="D639" t="str">
        <f>Input!B$194</f>
        <v>5.01 to 10</v>
      </c>
      <c r="E639" s="480">
        <f>Input!E$299</f>
        <v>4</v>
      </c>
      <c r="F639" t="str">
        <f>IF(B639&lt;&gt;"",IF(C639="NA",Lists!$D$9,IFERROR(HLOOKUP(C639,Input!$C$312:$L$335,H639,FALSE),"NA")), "")</f>
        <v>CCC-C</v>
      </c>
      <c r="G639">
        <f t="shared" si="20"/>
        <v>3</v>
      </c>
      <c r="H639">
        <f t="shared" si="21"/>
        <v>24</v>
      </c>
    </row>
    <row r="640" spans="1:8" x14ac:dyDescent="0.35">
      <c r="A640" t="str">
        <f>Input!H$299</f>
        <v>Structured Finance - Junior</v>
      </c>
      <c r="B640">
        <f>Input!I305</f>
        <v>0</v>
      </c>
      <c r="C640">
        <f>Input!I$191</f>
        <v>7</v>
      </c>
      <c r="D640" t="str">
        <f>Input!B$195</f>
        <v>10.01 to 20</v>
      </c>
      <c r="E640" s="480">
        <f>Input!E$299</f>
        <v>4</v>
      </c>
      <c r="F640" t="str">
        <f>IF(B640&lt;&gt;"",IF(C640="NA",Lists!$D$9,IFERROR(HLOOKUP(C640,Input!$C$312:$L$335,H640,FALSE),"NA")), "")</f>
        <v>CCC-C</v>
      </c>
      <c r="G640">
        <f t="shared" si="20"/>
        <v>4</v>
      </c>
      <c r="H640">
        <f t="shared" si="21"/>
        <v>24</v>
      </c>
    </row>
    <row r="641" spans="1:8" x14ac:dyDescent="0.35">
      <c r="A641" t="str">
        <f>Input!H$299</f>
        <v>Structured Finance - Junior</v>
      </c>
      <c r="B641">
        <f>Input!I306</f>
        <v>0</v>
      </c>
      <c r="C641">
        <f>Input!I$191</f>
        <v>7</v>
      </c>
      <c r="D641" t="str">
        <f>Input!B$196</f>
        <v>More than 20</v>
      </c>
      <c r="E641" s="480">
        <f>Input!E$299</f>
        <v>4</v>
      </c>
      <c r="F641" t="str">
        <f>IF(B641&lt;&gt;"",IF(C641="NA",Lists!$D$9,IFERROR(HLOOKUP(C641,Input!$C$312:$L$335,H641,FALSE),"NA")), "")</f>
        <v>CCC-C</v>
      </c>
      <c r="G641">
        <f t="shared" si="20"/>
        <v>5</v>
      </c>
      <c r="H641">
        <f t="shared" si="21"/>
        <v>24</v>
      </c>
    </row>
    <row r="642" spans="1:8" x14ac:dyDescent="0.35">
      <c r="A642" t="str">
        <f>Input!H$299</f>
        <v>Structured Finance - Junior</v>
      </c>
      <c r="B642">
        <f>Input!J302</f>
        <v>0</v>
      </c>
      <c r="C642">
        <f>Input!J$191</f>
        <v>8</v>
      </c>
      <c r="D642" t="str">
        <f>Input!B$192</f>
        <v>Upto 1</v>
      </c>
      <c r="E642" s="480">
        <f>Input!E$299</f>
        <v>4</v>
      </c>
      <c r="F642" t="str">
        <f>IF(B642&lt;&gt;"",IF(C642="NA",Lists!$D$9,IFERROR(HLOOKUP(C642,Input!$C$312:$L$335,H642,FALSE),"NA")), "")</f>
        <v>CCC-C</v>
      </c>
      <c r="G642">
        <f t="shared" si="20"/>
        <v>1</v>
      </c>
      <c r="H642">
        <f t="shared" si="21"/>
        <v>24</v>
      </c>
    </row>
    <row r="643" spans="1:8" x14ac:dyDescent="0.35">
      <c r="A643" t="str">
        <f>Input!H$299</f>
        <v>Structured Finance - Junior</v>
      </c>
      <c r="B643">
        <f>Input!J303</f>
        <v>0</v>
      </c>
      <c r="C643">
        <f>Input!J$191</f>
        <v>8</v>
      </c>
      <c r="D643" t="str">
        <f>Input!B$193</f>
        <v>1.01 to 5</v>
      </c>
      <c r="E643" s="480">
        <f>Input!E$299</f>
        <v>4</v>
      </c>
      <c r="F643" t="str">
        <f>IF(B643&lt;&gt;"",IF(C643="NA",Lists!$D$9,IFERROR(HLOOKUP(C643,Input!$C$312:$L$335,H643,FALSE),"NA")), "")</f>
        <v>CCC-C</v>
      </c>
      <c r="G643">
        <f t="shared" si="20"/>
        <v>2</v>
      </c>
      <c r="H643">
        <f t="shared" si="21"/>
        <v>24</v>
      </c>
    </row>
    <row r="644" spans="1:8" x14ac:dyDescent="0.35">
      <c r="A644" t="str">
        <f>Input!H$299</f>
        <v>Structured Finance - Junior</v>
      </c>
      <c r="B644">
        <f>Input!J304</f>
        <v>0</v>
      </c>
      <c r="C644">
        <f>Input!J$191</f>
        <v>8</v>
      </c>
      <c r="D644" t="str">
        <f>Input!B$194</f>
        <v>5.01 to 10</v>
      </c>
      <c r="E644" s="480">
        <f>Input!E$299</f>
        <v>4</v>
      </c>
      <c r="F644" t="str">
        <f>IF(B644&lt;&gt;"",IF(C644="NA",Lists!$D$9,IFERROR(HLOOKUP(C644,Input!$C$312:$L$335,H644,FALSE),"NA")), "")</f>
        <v>CCC-C</v>
      </c>
      <c r="G644">
        <f t="shared" si="20"/>
        <v>3</v>
      </c>
      <c r="H644">
        <f t="shared" si="21"/>
        <v>24</v>
      </c>
    </row>
    <row r="645" spans="1:8" x14ac:dyDescent="0.35">
      <c r="A645" t="str">
        <f>Input!H$299</f>
        <v>Structured Finance - Junior</v>
      </c>
      <c r="B645">
        <f>Input!J305</f>
        <v>0</v>
      </c>
      <c r="C645">
        <f>Input!J$191</f>
        <v>8</v>
      </c>
      <c r="D645" t="str">
        <f>Input!B$195</f>
        <v>10.01 to 20</v>
      </c>
      <c r="E645" s="480">
        <f>Input!E$299</f>
        <v>4</v>
      </c>
      <c r="F645" t="str">
        <f>IF(B645&lt;&gt;"",IF(C645="NA",Lists!$D$9,IFERROR(HLOOKUP(C645,Input!$C$312:$L$335,H645,FALSE),"NA")), "")</f>
        <v>CCC-C</v>
      </c>
      <c r="G645">
        <f t="shared" si="20"/>
        <v>4</v>
      </c>
      <c r="H645">
        <f t="shared" si="21"/>
        <v>24</v>
      </c>
    </row>
    <row r="646" spans="1:8" x14ac:dyDescent="0.35">
      <c r="A646" t="str">
        <f>Input!H$299</f>
        <v>Structured Finance - Junior</v>
      </c>
      <c r="B646">
        <f>Input!J306</f>
        <v>0</v>
      </c>
      <c r="C646">
        <f>Input!J$191</f>
        <v>8</v>
      </c>
      <c r="D646" t="str">
        <f>Input!B$196</f>
        <v>More than 20</v>
      </c>
      <c r="E646" s="480">
        <f>Input!E$299</f>
        <v>4</v>
      </c>
      <c r="F646" t="str">
        <f>IF(B646&lt;&gt;"",IF(C646="NA",Lists!$D$9,IFERROR(HLOOKUP(C646,Input!$C$312:$L$335,H646,FALSE),"NA")), "")</f>
        <v>CCC-C</v>
      </c>
      <c r="G646">
        <f t="shared" si="20"/>
        <v>5</v>
      </c>
      <c r="H646">
        <f t="shared" si="21"/>
        <v>24</v>
      </c>
    </row>
    <row r="647" spans="1:8" x14ac:dyDescent="0.35">
      <c r="A647" t="str">
        <f>Input!H$299</f>
        <v>Structured Finance - Junior</v>
      </c>
      <c r="B647">
        <f>Input!K302</f>
        <v>0</v>
      </c>
      <c r="C647">
        <f>Input!K$191</f>
        <v>9</v>
      </c>
      <c r="D647" t="str">
        <f>Input!B$192</f>
        <v>Upto 1</v>
      </c>
      <c r="E647" s="480">
        <f>Input!E$299</f>
        <v>4</v>
      </c>
      <c r="F647" t="str">
        <f>IF(B647&lt;&gt;"",IF(C647="NA",Lists!$D$9,IFERROR(HLOOKUP(C647,Input!$C$312:$L$335,H647,FALSE),"NA")), "")</f>
        <v>CCC-C</v>
      </c>
      <c r="G647">
        <f t="shared" si="20"/>
        <v>1</v>
      </c>
      <c r="H647">
        <f t="shared" si="21"/>
        <v>24</v>
      </c>
    </row>
    <row r="648" spans="1:8" x14ac:dyDescent="0.35">
      <c r="A648" t="str">
        <f>Input!H$299</f>
        <v>Structured Finance - Junior</v>
      </c>
      <c r="B648">
        <f>Input!K303</f>
        <v>0</v>
      </c>
      <c r="C648">
        <f>Input!K$191</f>
        <v>9</v>
      </c>
      <c r="D648" t="str">
        <f>Input!B$193</f>
        <v>1.01 to 5</v>
      </c>
      <c r="E648" s="480">
        <f>Input!E$299</f>
        <v>4</v>
      </c>
      <c r="F648" t="str">
        <f>IF(B648&lt;&gt;"",IF(C648="NA",Lists!$D$9,IFERROR(HLOOKUP(C648,Input!$C$312:$L$335,H648,FALSE),"NA")), "")</f>
        <v>CCC-C</v>
      </c>
      <c r="G648">
        <f t="shared" si="20"/>
        <v>2</v>
      </c>
      <c r="H648">
        <f t="shared" si="21"/>
        <v>24</v>
      </c>
    </row>
    <row r="649" spans="1:8" x14ac:dyDescent="0.35">
      <c r="A649" t="str">
        <f>Input!H$299</f>
        <v>Structured Finance - Junior</v>
      </c>
      <c r="B649">
        <f>Input!K304</f>
        <v>0</v>
      </c>
      <c r="C649">
        <f>Input!K$191</f>
        <v>9</v>
      </c>
      <c r="D649" t="str">
        <f>Input!B$194</f>
        <v>5.01 to 10</v>
      </c>
      <c r="E649" s="480">
        <f>Input!E$299</f>
        <v>4</v>
      </c>
      <c r="F649" t="str">
        <f>IF(B649&lt;&gt;"",IF(C649="NA",Lists!$D$9,IFERROR(HLOOKUP(C649,Input!$C$312:$L$335,H649,FALSE),"NA")), "")</f>
        <v>CCC-C</v>
      </c>
      <c r="G649">
        <f t="shared" si="20"/>
        <v>3</v>
      </c>
      <c r="H649">
        <f t="shared" si="21"/>
        <v>24</v>
      </c>
    </row>
    <row r="650" spans="1:8" x14ac:dyDescent="0.35">
      <c r="A650" t="str">
        <f>Input!H$299</f>
        <v>Structured Finance - Junior</v>
      </c>
      <c r="B650">
        <f>Input!K305</f>
        <v>0</v>
      </c>
      <c r="C650">
        <f>Input!K$191</f>
        <v>9</v>
      </c>
      <c r="D650" t="str">
        <f>Input!B$195</f>
        <v>10.01 to 20</v>
      </c>
      <c r="E650" s="480">
        <f>Input!E$299</f>
        <v>4</v>
      </c>
      <c r="F650" t="str">
        <f>IF(B650&lt;&gt;"",IF(C650="NA",Lists!$D$9,IFERROR(HLOOKUP(C650,Input!$C$312:$L$335,H650,FALSE),"NA")), "")</f>
        <v>CCC-C</v>
      </c>
      <c r="G650">
        <f t="shared" si="20"/>
        <v>4</v>
      </c>
      <c r="H650">
        <f t="shared" si="21"/>
        <v>24</v>
      </c>
    </row>
    <row r="651" spans="1:8" x14ac:dyDescent="0.35">
      <c r="A651" t="str">
        <f>Input!H$299</f>
        <v>Structured Finance - Junior</v>
      </c>
      <c r="B651">
        <f>Input!K306</f>
        <v>0</v>
      </c>
      <c r="C651">
        <f>Input!K$191</f>
        <v>9</v>
      </c>
      <c r="D651" t="str">
        <f>Input!B$196</f>
        <v>More than 20</v>
      </c>
      <c r="E651" s="480">
        <f>Input!E$299</f>
        <v>4</v>
      </c>
      <c r="F651" t="str">
        <f>IF(B651&lt;&gt;"",IF(C651="NA",Lists!$D$9,IFERROR(HLOOKUP(C651,Input!$C$312:$L$335,H651,FALSE),"NA")), "")</f>
        <v>CCC-C</v>
      </c>
      <c r="G651">
        <f t="shared" si="20"/>
        <v>5</v>
      </c>
      <c r="H651">
        <f t="shared" si="21"/>
        <v>24</v>
      </c>
    </row>
    <row r="652" spans="1:8" x14ac:dyDescent="0.35">
      <c r="A652" t="str">
        <f>Input!H$299</f>
        <v>Structured Finance - Junior</v>
      </c>
      <c r="B652">
        <f>Input!L302</f>
        <v>0</v>
      </c>
      <c r="C652">
        <f>Input!L$191</f>
        <v>10</v>
      </c>
      <c r="D652" t="str">
        <f>Input!B$192</f>
        <v>Upto 1</v>
      </c>
      <c r="E652" s="480">
        <f>Input!E$299</f>
        <v>4</v>
      </c>
      <c r="F652" t="str">
        <f>IF(B652&lt;&gt;"",IF(C652="NA",Lists!$D$9,IFERROR(HLOOKUP(C652,Input!$C$312:$L$335,H652,FALSE),"NA")), "")</f>
        <v>CCC-C</v>
      </c>
      <c r="G652">
        <f t="shared" si="20"/>
        <v>1</v>
      </c>
      <c r="H652">
        <f t="shared" si="21"/>
        <v>24</v>
      </c>
    </row>
    <row r="653" spans="1:8" x14ac:dyDescent="0.35">
      <c r="A653" t="str">
        <f>Input!H$299</f>
        <v>Structured Finance - Junior</v>
      </c>
      <c r="B653">
        <f>Input!L303</f>
        <v>0</v>
      </c>
      <c r="C653">
        <f>Input!L$191</f>
        <v>10</v>
      </c>
      <c r="D653" t="str">
        <f>Input!B$193</f>
        <v>1.01 to 5</v>
      </c>
      <c r="E653" s="480">
        <f>Input!E$299</f>
        <v>4</v>
      </c>
      <c r="F653" t="str">
        <f>IF(B653&lt;&gt;"",IF(C653="NA",Lists!$D$9,IFERROR(HLOOKUP(C653,Input!$C$312:$L$335,H653,FALSE),"NA")), "")</f>
        <v>CCC-C</v>
      </c>
      <c r="G653">
        <f t="shared" si="20"/>
        <v>2</v>
      </c>
      <c r="H653">
        <f t="shared" si="21"/>
        <v>24</v>
      </c>
    </row>
    <row r="654" spans="1:8" x14ac:dyDescent="0.35">
      <c r="A654" t="str">
        <f>Input!H$299</f>
        <v>Structured Finance - Junior</v>
      </c>
      <c r="B654">
        <f>Input!L304</f>
        <v>0</v>
      </c>
      <c r="C654">
        <f>Input!L$191</f>
        <v>10</v>
      </c>
      <c r="D654" t="str">
        <f>Input!B$194</f>
        <v>5.01 to 10</v>
      </c>
      <c r="E654" s="480">
        <f>Input!E$299</f>
        <v>4</v>
      </c>
      <c r="F654" t="str">
        <f>IF(B654&lt;&gt;"",IF(C654="NA",Lists!$D$9,IFERROR(HLOOKUP(C654,Input!$C$312:$L$335,H654,FALSE),"NA")), "")</f>
        <v>CCC-C</v>
      </c>
      <c r="G654">
        <f t="shared" si="20"/>
        <v>3</v>
      </c>
      <c r="H654">
        <f t="shared" si="21"/>
        <v>24</v>
      </c>
    </row>
    <row r="655" spans="1:8" x14ac:dyDescent="0.35">
      <c r="A655" t="str">
        <f>Input!H$299</f>
        <v>Structured Finance - Junior</v>
      </c>
      <c r="B655">
        <f>Input!L305</f>
        <v>0</v>
      </c>
      <c r="C655">
        <f>Input!L$191</f>
        <v>10</v>
      </c>
      <c r="D655" t="str">
        <f>Input!B$195</f>
        <v>10.01 to 20</v>
      </c>
      <c r="E655" s="480">
        <f>Input!E$299</f>
        <v>4</v>
      </c>
      <c r="F655" t="str">
        <f>IF(B655&lt;&gt;"",IF(C655="NA",Lists!$D$9,IFERROR(HLOOKUP(C655,Input!$C$312:$L$335,H655,FALSE),"NA")), "")</f>
        <v>CCC-C</v>
      </c>
      <c r="G655">
        <f t="shared" si="20"/>
        <v>4</v>
      </c>
      <c r="H655">
        <f t="shared" si="21"/>
        <v>24</v>
      </c>
    </row>
    <row r="656" spans="1:8" x14ac:dyDescent="0.35">
      <c r="A656" t="str">
        <f>Input!H$299</f>
        <v>Structured Finance - Junior</v>
      </c>
      <c r="B656">
        <f>Input!L306</f>
        <v>0</v>
      </c>
      <c r="C656">
        <f>Input!L$191</f>
        <v>10</v>
      </c>
      <c r="D656" t="str">
        <f>Input!B$196</f>
        <v>More than 20</v>
      </c>
      <c r="E656" s="480">
        <f>Input!E$299</f>
        <v>4</v>
      </c>
      <c r="F656" t="str">
        <f>IF(B656&lt;&gt;"",IF(C656="NA",Lists!$D$9,IFERROR(HLOOKUP(C656,Input!$C$312:$L$335,H656,FALSE),"NA")), "")</f>
        <v>CCC-C</v>
      </c>
      <c r="G656">
        <f t="shared" si="20"/>
        <v>5</v>
      </c>
      <c r="H656">
        <f t="shared" si="21"/>
        <v>24</v>
      </c>
    </row>
    <row r="657" spans="1:8" x14ac:dyDescent="0.35">
      <c r="A657" t="str">
        <f>Input!H$299</f>
        <v>Structured Finance - Junior</v>
      </c>
      <c r="B657">
        <f>Input!M302</f>
        <v>0</v>
      </c>
      <c r="C657" t="str">
        <f>Input!M$191</f>
        <v>NA</v>
      </c>
      <c r="D657" t="str">
        <f>Input!B$192</f>
        <v>Upto 1</v>
      </c>
      <c r="E657" s="480">
        <f>Input!E$299</f>
        <v>4</v>
      </c>
      <c r="F657" t="str">
        <f>IF(B657&lt;&gt;"",IF(C657="NA",Lists!$D$9,IFERROR(HLOOKUP(C657,Input!$C$312:$L$335,H657,FALSE),"NA")), "")</f>
        <v>CCC-C</v>
      </c>
      <c r="G657">
        <f t="shared" si="20"/>
        <v>1</v>
      </c>
      <c r="H657">
        <f t="shared" si="21"/>
        <v>24</v>
      </c>
    </row>
    <row r="658" spans="1:8" x14ac:dyDescent="0.35">
      <c r="A658" t="str">
        <f>Input!H$299</f>
        <v>Structured Finance - Junior</v>
      </c>
      <c r="B658">
        <f>Input!M303</f>
        <v>0</v>
      </c>
      <c r="C658" t="str">
        <f>Input!M$191</f>
        <v>NA</v>
      </c>
      <c r="D658" t="str">
        <f>Input!B$193</f>
        <v>1.01 to 5</v>
      </c>
      <c r="E658" s="480">
        <f>Input!E$299</f>
        <v>4</v>
      </c>
      <c r="F658" t="str">
        <f>IF(B658&lt;&gt;"",IF(C658="NA",Lists!$D$9,IFERROR(HLOOKUP(C658,Input!$C$312:$L$335,H658,FALSE),"NA")), "")</f>
        <v>CCC-C</v>
      </c>
      <c r="G658">
        <f t="shared" si="20"/>
        <v>2</v>
      </c>
      <c r="H658">
        <f t="shared" si="21"/>
        <v>24</v>
      </c>
    </row>
    <row r="659" spans="1:8" x14ac:dyDescent="0.35">
      <c r="A659" t="str">
        <f>Input!H$299</f>
        <v>Structured Finance - Junior</v>
      </c>
      <c r="B659">
        <f>Input!M304</f>
        <v>0</v>
      </c>
      <c r="C659" t="str">
        <f>Input!M$191</f>
        <v>NA</v>
      </c>
      <c r="D659" t="str">
        <f>Input!B$194</f>
        <v>5.01 to 10</v>
      </c>
      <c r="E659" s="480">
        <f>Input!E$299</f>
        <v>4</v>
      </c>
      <c r="F659" t="str">
        <f>IF(B659&lt;&gt;"",IF(C659="NA",Lists!$D$9,IFERROR(HLOOKUP(C659,Input!$C$312:$L$335,H659,FALSE),"NA")), "")</f>
        <v>CCC-C</v>
      </c>
      <c r="G659">
        <f t="shared" si="20"/>
        <v>3</v>
      </c>
      <c r="H659">
        <f t="shared" si="21"/>
        <v>24</v>
      </c>
    </row>
    <row r="660" spans="1:8" x14ac:dyDescent="0.35">
      <c r="A660" t="str">
        <f>Input!H$299</f>
        <v>Structured Finance - Junior</v>
      </c>
      <c r="B660">
        <f>Input!M305</f>
        <v>0</v>
      </c>
      <c r="C660" t="str">
        <f>Input!M$191</f>
        <v>NA</v>
      </c>
      <c r="D660" t="str">
        <f>Input!B$195</f>
        <v>10.01 to 20</v>
      </c>
      <c r="E660" s="480">
        <f>Input!E$299</f>
        <v>4</v>
      </c>
      <c r="F660" t="str">
        <f>IF(B660&lt;&gt;"",IF(C660="NA",Lists!$D$9,IFERROR(HLOOKUP(C660,Input!$C$312:$L$335,H660,FALSE),"NA")), "")</f>
        <v>CCC-C</v>
      </c>
      <c r="G660">
        <f t="shared" si="20"/>
        <v>4</v>
      </c>
      <c r="H660">
        <f t="shared" si="21"/>
        <v>24</v>
      </c>
    </row>
    <row r="661" spans="1:8" x14ac:dyDescent="0.35">
      <c r="A661" t="str">
        <f>Input!H$299</f>
        <v>Structured Finance - Junior</v>
      </c>
      <c r="B661">
        <f>Input!M306</f>
        <v>0</v>
      </c>
      <c r="C661" t="str">
        <f>Input!M$191</f>
        <v>NA</v>
      </c>
      <c r="D661" t="str">
        <f>Input!B$196</f>
        <v>More than 20</v>
      </c>
      <c r="E661" s="480">
        <f>Input!E$299</f>
        <v>4</v>
      </c>
      <c r="F661" t="str">
        <f>IF(B661&lt;&gt;"",IF(C661="NA",Lists!$D$9,IFERROR(HLOOKUP(C661,Input!$C$312:$L$335,H661,FALSE),"NA")), "")</f>
        <v>CCC-C</v>
      </c>
      <c r="G661">
        <f t="shared" si="20"/>
        <v>5</v>
      </c>
      <c r="H661">
        <f t="shared" si="21"/>
        <v>24</v>
      </c>
    </row>
  </sheetData>
  <sheetProtection algorithmName="SHA-512" hashValue="IvjnPMxTMwFE1uHA4hEbFkWxMZXYZ+XLyqOt9Db3mzRdl54RbAHm1zPnaF6DWv6JKfJesuG2GW0Y/vwnIEXkVA==" saltValue="YOw7cc9bQO9JGrAHPt72yA==" spinCount="100000" sheet="1" objects="1" scenarios="1" formatColumns="0" formatRows="0"/>
  <conditionalFormatting sqref="A1:H661">
    <cfRule type="expression" dxfId="14" priority="6">
      <formula>_xlfn.ISFORMULA(A1)</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FA187-03FC-4C18-BD8E-D27C88781B71}">
  <sheetPr codeName="Sheet15">
    <tabColor theme="2" tint="-0.249977111117893"/>
  </sheetPr>
  <dimension ref="A1:O5000"/>
  <sheetViews>
    <sheetView zoomScaleNormal="100" workbookViewId="0"/>
  </sheetViews>
  <sheetFormatPr defaultColWidth="8.90625" defaultRowHeight="14.5" x14ac:dyDescent="0.35"/>
  <cols>
    <col min="1" max="1" width="23.453125" bestFit="1" customWidth="1"/>
    <col min="2" max="3" width="12.36328125" customWidth="1"/>
    <col min="4" max="4" width="74.36328125" bestFit="1" customWidth="1"/>
    <col min="5" max="5" width="13.36328125" bestFit="1" customWidth="1"/>
    <col min="6" max="6" width="16.6328125" bestFit="1" customWidth="1"/>
    <col min="7" max="7" width="14" bestFit="1" customWidth="1"/>
    <col min="8" max="8" width="35.453125" bestFit="1" customWidth="1"/>
    <col min="9" max="9" width="23.36328125" bestFit="1" customWidth="1"/>
    <col min="12" max="12" width="13.36328125" bestFit="1" customWidth="1"/>
    <col min="13" max="13" width="95" style="259" bestFit="1" customWidth="1"/>
    <col min="15" max="15" width="95" style="259" bestFit="1" customWidth="1"/>
  </cols>
  <sheetData>
    <row r="1" spans="1:13" x14ac:dyDescent="0.35">
      <c r="A1" s="5" t="s">
        <v>1132</v>
      </c>
      <c r="B1" s="290"/>
    </row>
    <row r="2" spans="1:13" x14ac:dyDescent="0.35">
      <c r="A2" s="5" t="s">
        <v>1133</v>
      </c>
      <c r="B2" s="9">
        <f>COUNTIF(A4:A4999,"*")</f>
        <v>0</v>
      </c>
      <c r="L2" s="177" t="s">
        <v>1434</v>
      </c>
      <c r="M2" s="260" t="str">
        <f>server_address</f>
        <v>https://rscm.dev.spratingsvpc.com/icm-du-api-dev-v3/</v>
      </c>
    </row>
    <row r="3" spans="1:13" x14ac:dyDescent="0.35">
      <c r="A3" s="37" t="s">
        <v>1127</v>
      </c>
      <c r="B3" s="37" t="s">
        <v>1128</v>
      </c>
      <c r="C3" s="37" t="s">
        <v>1129</v>
      </c>
      <c r="D3" s="37" t="s">
        <v>3989</v>
      </c>
      <c r="E3" s="37" t="s">
        <v>1426</v>
      </c>
      <c r="F3" s="37" t="s">
        <v>1427</v>
      </c>
      <c r="G3" s="37" t="s">
        <v>1130</v>
      </c>
      <c r="H3" s="37" t="s">
        <v>1131</v>
      </c>
      <c r="I3" s="37" t="s">
        <v>1140</v>
      </c>
      <c r="L3" s="218"/>
      <c r="M3" s="260"/>
    </row>
    <row r="4" spans="1:13" x14ac:dyDescent="0.35">
      <c r="A4" s="226"/>
      <c r="B4" s="226"/>
      <c r="C4" s="226"/>
      <c r="D4" s="226"/>
      <c r="E4" s="226"/>
      <c r="F4" s="226"/>
      <c r="G4" s="226"/>
      <c r="H4" s="226"/>
      <c r="I4" s="9" t="str">
        <f>CONCATENATE(A4,"_",B4,"_",C4)</f>
        <v>__</v>
      </c>
      <c r="M4" s="260"/>
    </row>
    <row r="5" spans="1:13" x14ac:dyDescent="0.35">
      <c r="A5" s="226"/>
      <c r="B5" s="226"/>
      <c r="C5" s="226"/>
      <c r="D5" s="226"/>
      <c r="E5" s="226"/>
      <c r="F5" s="226"/>
      <c r="G5" s="226"/>
      <c r="H5" s="226"/>
      <c r="I5" s="9" t="str">
        <f t="shared" ref="I5:I68" si="0">CONCATENATE(A5,"_",B5,"_",C5)</f>
        <v>__</v>
      </c>
      <c r="L5" s="177" t="s">
        <v>1435</v>
      </c>
    </row>
    <row r="6" spans="1:13" s="217" customFormat="1" x14ac:dyDescent="0.35">
      <c r="A6" s="227"/>
      <c r="B6" s="227"/>
      <c r="C6" s="227"/>
      <c r="D6" s="227"/>
      <c r="E6" s="227"/>
      <c r="F6" s="227"/>
      <c r="G6" s="227"/>
      <c r="H6" s="227"/>
      <c r="I6" s="114" t="str">
        <f t="shared" si="0"/>
        <v>__</v>
      </c>
      <c r="L6" s="218" t="s">
        <v>3111</v>
      </c>
      <c r="M6" s="260" t="s">
        <v>3986</v>
      </c>
    </row>
    <row r="7" spans="1:13" x14ac:dyDescent="0.35">
      <c r="A7" s="226"/>
      <c r="B7" s="226"/>
      <c r="C7" s="226"/>
      <c r="D7" s="226"/>
      <c r="E7" s="226"/>
      <c r="F7" s="226"/>
      <c r="G7" s="226"/>
      <c r="H7" s="284"/>
      <c r="I7" s="9" t="str">
        <f t="shared" si="0"/>
        <v>__</v>
      </c>
      <c r="L7" s="218" t="s">
        <v>1437</v>
      </c>
      <c r="M7" s="260" t="s">
        <v>3109</v>
      </c>
    </row>
    <row r="8" spans="1:13" x14ac:dyDescent="0.35">
      <c r="A8" s="226"/>
      <c r="B8" s="226"/>
      <c r="C8" s="226"/>
      <c r="D8" s="226"/>
      <c r="E8" s="226"/>
      <c r="F8" s="226"/>
      <c r="G8" s="226"/>
      <c r="H8" s="226"/>
      <c r="I8" s="9" t="str">
        <f t="shared" si="0"/>
        <v>__</v>
      </c>
      <c r="L8" s="218" t="s">
        <v>1438</v>
      </c>
      <c r="M8" s="260"/>
    </row>
    <row r="9" spans="1:13" x14ac:dyDescent="0.35">
      <c r="A9" s="226"/>
      <c r="B9" s="226"/>
      <c r="C9" s="226"/>
      <c r="D9" s="226"/>
      <c r="E9" s="226"/>
      <c r="F9" s="226"/>
      <c r="G9" s="226"/>
      <c r="H9" s="226"/>
      <c r="I9" s="9" t="str">
        <f t="shared" si="0"/>
        <v>__</v>
      </c>
      <c r="L9" s="218" t="s">
        <v>1439</v>
      </c>
      <c r="M9" s="260">
        <f>selected_naic_code</f>
        <v>0</v>
      </c>
    </row>
    <row r="10" spans="1:13" x14ac:dyDescent="0.35">
      <c r="A10" s="226"/>
      <c r="B10" s="226"/>
      <c r="C10" s="226"/>
      <c r="D10" s="226"/>
      <c r="E10" s="226"/>
      <c r="F10" s="226"/>
      <c r="G10" s="226"/>
      <c r="H10" s="284"/>
      <c r="I10" s="9" t="str">
        <f t="shared" si="0"/>
        <v>__</v>
      </c>
      <c r="L10" s="218" t="s">
        <v>1440</v>
      </c>
      <c r="M10" s="260" t="s">
        <v>3110</v>
      </c>
    </row>
    <row r="11" spans="1:13" x14ac:dyDescent="0.35">
      <c r="A11" s="226"/>
      <c r="B11" s="226"/>
      <c r="C11" s="226"/>
      <c r="D11" s="226"/>
      <c r="E11" s="226"/>
      <c r="F11" s="226"/>
      <c r="G11" s="226"/>
      <c r="H11" s="226"/>
      <c r="I11" s="9" t="str">
        <f t="shared" si="0"/>
        <v>__</v>
      </c>
      <c r="L11" s="218" t="s">
        <v>1441</v>
      </c>
      <c r="M11" s="260">
        <f>selected_reporting_year</f>
        <v>0</v>
      </c>
    </row>
    <row r="12" spans="1:13" x14ac:dyDescent="0.35">
      <c r="A12" s="226"/>
      <c r="B12" s="226"/>
      <c r="C12" s="226"/>
      <c r="D12" s="226"/>
      <c r="E12" s="226"/>
      <c r="F12" s="226"/>
      <c r="G12" s="226"/>
      <c r="H12" s="226"/>
      <c r="I12" s="9" t="str">
        <f t="shared" si="0"/>
        <v>__</v>
      </c>
      <c r="L12" s="218" t="s">
        <v>1442</v>
      </c>
      <c r="M12" s="260"/>
    </row>
    <row r="13" spans="1:13" x14ac:dyDescent="0.35">
      <c r="A13" s="226"/>
      <c r="B13" s="226"/>
      <c r="C13" s="226"/>
      <c r="D13" s="226"/>
      <c r="E13" s="226"/>
      <c r="F13" s="226"/>
      <c r="G13" s="226"/>
      <c r="H13" s="226"/>
      <c r="I13" s="9" t="str">
        <f t="shared" si="0"/>
        <v>__</v>
      </c>
      <c r="L13" s="218" t="s">
        <v>1443</v>
      </c>
      <c r="M13" s="260"/>
    </row>
    <row r="14" spans="1:13" x14ac:dyDescent="0.35">
      <c r="A14" s="226"/>
      <c r="B14" s="226"/>
      <c r="C14" s="226"/>
      <c r="D14" s="226"/>
      <c r="E14" s="226"/>
      <c r="F14" s="226"/>
      <c r="G14" s="226"/>
      <c r="H14" s="226"/>
      <c r="I14" s="9" t="str">
        <f t="shared" si="0"/>
        <v>__</v>
      </c>
      <c r="L14" s="218" t="s">
        <v>1444</v>
      </c>
      <c r="M14" s="260"/>
    </row>
    <row r="15" spans="1:13" x14ac:dyDescent="0.35">
      <c r="A15" s="226"/>
      <c r="B15" s="226"/>
      <c r="C15" s="226"/>
      <c r="D15" s="226"/>
      <c r="E15" s="226"/>
      <c r="F15" s="226"/>
      <c r="G15" s="226"/>
      <c r="H15" s="226"/>
      <c r="I15" s="9" t="str">
        <f t="shared" si="0"/>
        <v>__</v>
      </c>
      <c r="L15" s="218" t="s">
        <v>1445</v>
      </c>
      <c r="M15" s="260"/>
    </row>
    <row r="16" spans="1:13" x14ac:dyDescent="0.35">
      <c r="A16" s="226"/>
      <c r="B16" s="226"/>
      <c r="C16" s="226"/>
      <c r="D16" s="226"/>
      <c r="E16" s="226"/>
      <c r="F16" s="226"/>
      <c r="G16" s="226"/>
      <c r="H16" s="226"/>
      <c r="I16" s="9" t="str">
        <f t="shared" si="0"/>
        <v>__</v>
      </c>
      <c r="L16" s="261" t="s">
        <v>1446</v>
      </c>
      <c r="M16" s="260" t="str">
        <f>CONCATENATE(service_host,service1_path,"?",M7,"=",M9,"&amp;",M10,"=",M11)</f>
        <v>https://rscm.dev.spratingsvpc.com/icm-du-api-dev-v3/get_irsdb_data_cm?code=0&amp;year=0</v>
      </c>
    </row>
    <row r="17" spans="1:15" x14ac:dyDescent="0.35">
      <c r="A17" s="226"/>
      <c r="B17" s="226"/>
      <c r="C17" s="226"/>
      <c r="D17" s="226"/>
      <c r="E17" s="226"/>
      <c r="F17" s="226"/>
      <c r="G17" s="226"/>
      <c r="H17" s="226"/>
      <c r="I17" s="9" t="str">
        <f t="shared" si="0"/>
        <v>__</v>
      </c>
    </row>
    <row r="18" spans="1:15" x14ac:dyDescent="0.35">
      <c r="A18" s="226"/>
      <c r="B18" s="226"/>
      <c r="C18" s="226"/>
      <c r="D18" s="226"/>
      <c r="E18" s="226"/>
      <c r="F18" s="226"/>
      <c r="G18" s="226"/>
      <c r="H18" s="226"/>
      <c r="I18" s="9" t="str">
        <f t="shared" si="0"/>
        <v>__</v>
      </c>
      <c r="L18" s="177" t="s">
        <v>1447</v>
      </c>
    </row>
    <row r="19" spans="1:15" x14ac:dyDescent="0.35">
      <c r="A19" s="226"/>
      <c r="B19" s="226"/>
      <c r="C19" s="226"/>
      <c r="D19" s="226"/>
      <c r="E19" s="226"/>
      <c r="F19" s="226"/>
      <c r="G19" s="226"/>
      <c r="H19" s="226"/>
      <c r="I19" s="9" t="str">
        <f t="shared" si="0"/>
        <v>__</v>
      </c>
      <c r="L19" s="218" t="s">
        <v>1436</v>
      </c>
      <c r="M19" s="259" t="s">
        <v>3112</v>
      </c>
    </row>
    <row r="20" spans="1:15" x14ac:dyDescent="0.35">
      <c r="A20" s="226"/>
      <c r="B20" s="226"/>
      <c r="C20" s="226"/>
      <c r="D20" s="226"/>
      <c r="E20" s="226"/>
      <c r="F20" s="226"/>
      <c r="G20" s="226"/>
      <c r="H20" s="226"/>
      <c r="I20" s="9" t="str">
        <f t="shared" si="0"/>
        <v>__</v>
      </c>
      <c r="L20" s="218" t="s">
        <v>1437</v>
      </c>
      <c r="M20" s="259" t="s">
        <v>3109</v>
      </c>
    </row>
    <row r="21" spans="1:15" x14ac:dyDescent="0.35">
      <c r="A21" s="226"/>
      <c r="B21" s="226"/>
      <c r="C21" s="226"/>
      <c r="D21" s="226"/>
      <c r="E21" s="226"/>
      <c r="F21" s="226"/>
      <c r="G21" s="226"/>
      <c r="H21" s="226"/>
      <c r="I21" s="9" t="str">
        <f t="shared" si="0"/>
        <v>__</v>
      </c>
      <c r="L21" s="218" t="s">
        <v>1439</v>
      </c>
      <c r="M21" s="259">
        <f>selected_naic_code</f>
        <v>0</v>
      </c>
    </row>
    <row r="22" spans="1:15" x14ac:dyDescent="0.35">
      <c r="A22" s="226"/>
      <c r="B22" s="226"/>
      <c r="C22" s="226"/>
      <c r="D22" s="226"/>
      <c r="E22" s="226"/>
      <c r="F22" s="226"/>
      <c r="G22" s="226"/>
      <c r="H22" s="226"/>
      <c r="I22" s="9" t="str">
        <f t="shared" si="0"/>
        <v>__</v>
      </c>
      <c r="L22" s="218" t="s">
        <v>1446</v>
      </c>
      <c r="M22" s="259" t="str">
        <f>CONCATENATE(service_host,service2_path,"?",M20,"=",M21)</f>
        <v>https://rscm.dev.spratingsvpc.com/icm-du-api-dev-v3/get_irsdb_entity?code=0</v>
      </c>
    </row>
    <row r="23" spans="1:15" x14ac:dyDescent="0.35">
      <c r="A23" s="226"/>
      <c r="B23" s="226"/>
      <c r="C23" s="226"/>
      <c r="D23" s="226"/>
      <c r="E23" s="226"/>
      <c r="F23" s="226"/>
      <c r="G23" s="226"/>
      <c r="H23" s="226"/>
      <c r="I23" s="9" t="str">
        <f t="shared" si="0"/>
        <v>__</v>
      </c>
    </row>
    <row r="24" spans="1:15" x14ac:dyDescent="0.35">
      <c r="A24" s="226"/>
      <c r="B24" s="226"/>
      <c r="C24" s="226"/>
      <c r="D24" s="226"/>
      <c r="E24" s="226"/>
      <c r="F24" s="226"/>
      <c r="G24" s="226"/>
      <c r="H24" s="226"/>
      <c r="I24" s="9" t="str">
        <f t="shared" si="0"/>
        <v>__</v>
      </c>
    </row>
    <row r="25" spans="1:15" x14ac:dyDescent="0.35">
      <c r="A25" s="226"/>
      <c r="B25" s="226"/>
      <c r="C25" s="226"/>
      <c r="D25" s="226"/>
      <c r="E25" s="226"/>
      <c r="F25" s="226"/>
      <c r="G25" s="226"/>
      <c r="H25" s="226"/>
      <c r="I25" s="9" t="str">
        <f t="shared" si="0"/>
        <v>__</v>
      </c>
    </row>
    <row r="26" spans="1:15" x14ac:dyDescent="0.35">
      <c r="A26" s="226"/>
      <c r="B26" s="226"/>
      <c r="C26" s="226"/>
      <c r="D26" s="226"/>
      <c r="E26" s="226"/>
      <c r="F26" s="226"/>
      <c r="G26" s="226"/>
      <c r="H26" s="226"/>
      <c r="I26" s="9" t="str">
        <f t="shared" si="0"/>
        <v>__</v>
      </c>
    </row>
    <row r="27" spans="1:15" x14ac:dyDescent="0.35">
      <c r="A27" s="226"/>
      <c r="B27" s="226"/>
      <c r="C27" s="226"/>
      <c r="D27" s="226"/>
      <c r="E27" s="226"/>
      <c r="F27" s="226"/>
      <c r="G27" s="226"/>
      <c r="H27" s="226"/>
      <c r="I27" s="9" t="str">
        <f t="shared" si="0"/>
        <v>__</v>
      </c>
    </row>
    <row r="28" spans="1:15" x14ac:dyDescent="0.35">
      <c r="A28" s="226"/>
      <c r="B28" s="226"/>
      <c r="C28" s="226"/>
      <c r="D28" s="226"/>
      <c r="E28" s="226"/>
      <c r="F28" s="226"/>
      <c r="G28" s="226"/>
      <c r="H28" s="226"/>
      <c r="I28" s="9" t="str">
        <f t="shared" si="0"/>
        <v>__</v>
      </c>
    </row>
    <row r="29" spans="1:15" x14ac:dyDescent="0.35">
      <c r="A29" s="226"/>
      <c r="B29" s="226"/>
      <c r="C29" s="226"/>
      <c r="D29" s="226"/>
      <c r="E29" s="226"/>
      <c r="F29" s="226"/>
      <c r="G29" s="226"/>
      <c r="H29" s="226"/>
      <c r="I29" s="9" t="str">
        <f t="shared" si="0"/>
        <v>__</v>
      </c>
    </row>
    <row r="30" spans="1:15" x14ac:dyDescent="0.35">
      <c r="A30" s="226"/>
      <c r="B30" s="226"/>
      <c r="C30" s="226"/>
      <c r="D30" s="226"/>
      <c r="E30" s="226"/>
      <c r="F30" s="226"/>
      <c r="G30" s="226"/>
      <c r="H30" s="226"/>
      <c r="I30" s="9" t="str">
        <f t="shared" si="0"/>
        <v>__</v>
      </c>
    </row>
    <row r="31" spans="1:15" s="217" customFormat="1" x14ac:dyDescent="0.35">
      <c r="A31" s="227"/>
      <c r="B31" s="227"/>
      <c r="C31" s="227"/>
      <c r="D31" s="227"/>
      <c r="E31" s="227"/>
      <c r="F31" s="227"/>
      <c r="G31" s="227"/>
      <c r="H31" s="227"/>
      <c r="I31" s="114" t="str">
        <f t="shared" si="0"/>
        <v>__</v>
      </c>
      <c r="M31" s="262"/>
      <c r="O31" s="262"/>
    </row>
    <row r="32" spans="1:15" x14ac:dyDescent="0.35">
      <c r="A32" s="226"/>
      <c r="B32" s="226"/>
      <c r="C32" s="226"/>
      <c r="D32" s="226"/>
      <c r="E32" s="226"/>
      <c r="F32" s="226"/>
      <c r="G32" s="226"/>
      <c r="H32" s="226"/>
      <c r="I32" s="9" t="str">
        <f t="shared" si="0"/>
        <v>__</v>
      </c>
    </row>
    <row r="33" spans="1:9" x14ac:dyDescent="0.35">
      <c r="A33" s="226"/>
      <c r="B33" s="226"/>
      <c r="C33" s="226"/>
      <c r="D33" s="226"/>
      <c r="E33" s="226"/>
      <c r="F33" s="226"/>
      <c r="G33" s="226"/>
      <c r="H33" s="226"/>
      <c r="I33" s="9" t="str">
        <f t="shared" si="0"/>
        <v>__</v>
      </c>
    </row>
    <row r="34" spans="1:9" x14ac:dyDescent="0.35">
      <c r="A34" s="226"/>
      <c r="B34" s="226"/>
      <c r="C34" s="226"/>
      <c r="D34" s="226"/>
      <c r="E34" s="226"/>
      <c r="F34" s="226"/>
      <c r="G34" s="226"/>
      <c r="H34" s="226"/>
      <c r="I34" s="9" t="str">
        <f t="shared" si="0"/>
        <v>__</v>
      </c>
    </row>
    <row r="35" spans="1:9" x14ac:dyDescent="0.35">
      <c r="A35" s="226"/>
      <c r="B35" s="226"/>
      <c r="C35" s="226"/>
      <c r="D35" s="226"/>
      <c r="E35" s="226"/>
      <c r="F35" s="226"/>
      <c r="G35" s="226"/>
      <c r="H35" s="226"/>
      <c r="I35" s="9" t="str">
        <f t="shared" si="0"/>
        <v>__</v>
      </c>
    </row>
    <row r="36" spans="1:9" x14ac:dyDescent="0.35">
      <c r="A36" s="226"/>
      <c r="B36" s="226"/>
      <c r="C36" s="226"/>
      <c r="D36" s="226"/>
      <c r="E36" s="226"/>
      <c r="F36" s="226"/>
      <c r="G36" s="226"/>
      <c r="H36" s="226"/>
      <c r="I36" s="9" t="str">
        <f t="shared" si="0"/>
        <v>__</v>
      </c>
    </row>
    <row r="37" spans="1:9" x14ac:dyDescent="0.35">
      <c r="A37" s="226"/>
      <c r="B37" s="226"/>
      <c r="C37" s="226"/>
      <c r="D37" s="226"/>
      <c r="E37" s="226"/>
      <c r="F37" s="226"/>
      <c r="G37" s="226"/>
      <c r="H37" s="226"/>
      <c r="I37" s="9" t="str">
        <f t="shared" si="0"/>
        <v>__</v>
      </c>
    </row>
    <row r="38" spans="1:9" x14ac:dyDescent="0.35">
      <c r="A38" s="226"/>
      <c r="B38" s="226"/>
      <c r="C38" s="226"/>
      <c r="D38" s="226"/>
      <c r="E38" s="226"/>
      <c r="F38" s="226"/>
      <c r="G38" s="226"/>
      <c r="H38" s="226"/>
      <c r="I38" s="9" t="str">
        <f t="shared" si="0"/>
        <v>__</v>
      </c>
    </row>
    <row r="39" spans="1:9" x14ac:dyDescent="0.35">
      <c r="A39" s="226"/>
      <c r="B39" s="226"/>
      <c r="C39" s="226"/>
      <c r="D39" s="226"/>
      <c r="E39" s="226"/>
      <c r="F39" s="226"/>
      <c r="G39" s="226"/>
      <c r="H39" s="226"/>
      <c r="I39" s="9" t="str">
        <f t="shared" si="0"/>
        <v>__</v>
      </c>
    </row>
    <row r="40" spans="1:9" x14ac:dyDescent="0.35">
      <c r="A40" s="226"/>
      <c r="B40" s="226"/>
      <c r="C40" s="226"/>
      <c r="D40" s="226"/>
      <c r="E40" s="226"/>
      <c r="F40" s="226"/>
      <c r="G40" s="226"/>
      <c r="H40" s="226"/>
      <c r="I40" s="9" t="str">
        <f t="shared" si="0"/>
        <v>__</v>
      </c>
    </row>
    <row r="41" spans="1:9" x14ac:dyDescent="0.35">
      <c r="A41" s="226"/>
      <c r="B41" s="226"/>
      <c r="C41" s="226"/>
      <c r="D41" s="226"/>
      <c r="E41" s="226"/>
      <c r="F41" s="226"/>
      <c r="G41" s="226"/>
      <c r="H41" s="226"/>
      <c r="I41" s="9" t="str">
        <f t="shared" si="0"/>
        <v>__</v>
      </c>
    </row>
    <row r="42" spans="1:9" x14ac:dyDescent="0.35">
      <c r="A42" s="226"/>
      <c r="B42" s="226"/>
      <c r="C42" s="226"/>
      <c r="D42" s="226"/>
      <c r="E42" s="226"/>
      <c r="F42" s="226"/>
      <c r="G42" s="226"/>
      <c r="H42" s="226"/>
      <c r="I42" s="9" t="str">
        <f t="shared" si="0"/>
        <v>__</v>
      </c>
    </row>
    <row r="43" spans="1:9" x14ac:dyDescent="0.35">
      <c r="A43" s="226"/>
      <c r="B43" s="226"/>
      <c r="C43" s="226"/>
      <c r="D43" s="226"/>
      <c r="E43" s="226"/>
      <c r="F43" s="226"/>
      <c r="G43" s="226"/>
      <c r="H43" s="226"/>
      <c r="I43" s="9" t="str">
        <f t="shared" si="0"/>
        <v>__</v>
      </c>
    </row>
    <row r="44" spans="1:9" x14ac:dyDescent="0.35">
      <c r="A44" s="226"/>
      <c r="B44" s="226"/>
      <c r="C44" s="226"/>
      <c r="D44" s="226"/>
      <c r="E44" s="226"/>
      <c r="F44" s="226"/>
      <c r="G44" s="226"/>
      <c r="H44" s="226"/>
      <c r="I44" s="9" t="str">
        <f t="shared" si="0"/>
        <v>__</v>
      </c>
    </row>
    <row r="45" spans="1:9" x14ac:dyDescent="0.35">
      <c r="A45" s="226"/>
      <c r="B45" s="226"/>
      <c r="C45" s="226"/>
      <c r="D45" s="226"/>
      <c r="E45" s="226"/>
      <c r="F45" s="226"/>
      <c r="G45" s="226"/>
      <c r="H45" s="226"/>
      <c r="I45" s="9" t="str">
        <f t="shared" si="0"/>
        <v>__</v>
      </c>
    </row>
    <row r="46" spans="1:9" x14ac:dyDescent="0.35">
      <c r="A46" s="226"/>
      <c r="B46" s="226"/>
      <c r="C46" s="226"/>
      <c r="D46" s="226"/>
      <c r="E46" s="226"/>
      <c r="F46" s="226"/>
      <c r="G46" s="226"/>
      <c r="H46" s="226"/>
      <c r="I46" s="9" t="str">
        <f t="shared" si="0"/>
        <v>__</v>
      </c>
    </row>
    <row r="47" spans="1:9" x14ac:dyDescent="0.35">
      <c r="A47" s="226"/>
      <c r="B47" s="226"/>
      <c r="C47" s="226"/>
      <c r="D47" s="226"/>
      <c r="E47" s="226"/>
      <c r="F47" s="226"/>
      <c r="G47" s="226"/>
      <c r="H47" s="226"/>
      <c r="I47" s="9" t="str">
        <f t="shared" si="0"/>
        <v>__</v>
      </c>
    </row>
    <row r="48" spans="1:9" x14ac:dyDescent="0.35">
      <c r="A48" s="226"/>
      <c r="B48" s="226"/>
      <c r="C48" s="226"/>
      <c r="D48" s="226"/>
      <c r="E48" s="226"/>
      <c r="F48" s="226"/>
      <c r="G48" s="226"/>
      <c r="H48" s="226"/>
      <c r="I48" s="9" t="str">
        <f t="shared" si="0"/>
        <v>__</v>
      </c>
    </row>
    <row r="49" spans="1:9" x14ac:dyDescent="0.35">
      <c r="A49" s="226"/>
      <c r="B49" s="226"/>
      <c r="C49" s="226"/>
      <c r="D49" s="226"/>
      <c r="E49" s="226"/>
      <c r="F49" s="226"/>
      <c r="G49" s="226"/>
      <c r="H49" s="226"/>
      <c r="I49" s="9" t="str">
        <f t="shared" si="0"/>
        <v>__</v>
      </c>
    </row>
    <row r="50" spans="1:9" x14ac:dyDescent="0.35">
      <c r="A50" s="226"/>
      <c r="B50" s="226"/>
      <c r="C50" s="226"/>
      <c r="D50" s="226"/>
      <c r="E50" s="226"/>
      <c r="F50" s="226"/>
      <c r="G50" s="226"/>
      <c r="H50" s="226"/>
      <c r="I50" s="9" t="str">
        <f t="shared" si="0"/>
        <v>__</v>
      </c>
    </row>
    <row r="51" spans="1:9" x14ac:dyDescent="0.35">
      <c r="A51" s="226"/>
      <c r="B51" s="226"/>
      <c r="C51" s="226"/>
      <c r="D51" s="226"/>
      <c r="E51" s="226"/>
      <c r="F51" s="226"/>
      <c r="G51" s="226"/>
      <c r="H51" s="226"/>
      <c r="I51" s="9" t="str">
        <f t="shared" si="0"/>
        <v>__</v>
      </c>
    </row>
    <row r="52" spans="1:9" x14ac:dyDescent="0.35">
      <c r="A52" s="226"/>
      <c r="B52" s="226"/>
      <c r="C52" s="226"/>
      <c r="D52" s="226"/>
      <c r="E52" s="226"/>
      <c r="F52" s="226"/>
      <c r="G52" s="226"/>
      <c r="H52" s="226"/>
      <c r="I52" s="9" t="str">
        <f t="shared" si="0"/>
        <v>__</v>
      </c>
    </row>
    <row r="53" spans="1:9" x14ac:dyDescent="0.35">
      <c r="A53" s="226"/>
      <c r="B53" s="226"/>
      <c r="C53" s="226"/>
      <c r="D53" s="226"/>
      <c r="E53" s="226"/>
      <c r="F53" s="226"/>
      <c r="G53" s="226"/>
      <c r="H53" s="226"/>
      <c r="I53" s="9" t="str">
        <f t="shared" si="0"/>
        <v>__</v>
      </c>
    </row>
    <row r="54" spans="1:9" x14ac:dyDescent="0.35">
      <c r="A54" s="226"/>
      <c r="B54" s="226"/>
      <c r="C54" s="226"/>
      <c r="D54" s="226"/>
      <c r="E54" s="226"/>
      <c r="F54" s="226"/>
      <c r="G54" s="226"/>
      <c r="H54" s="226"/>
      <c r="I54" s="9" t="str">
        <f t="shared" si="0"/>
        <v>__</v>
      </c>
    </row>
    <row r="55" spans="1:9" x14ac:dyDescent="0.35">
      <c r="A55" s="226"/>
      <c r="B55" s="226"/>
      <c r="C55" s="226"/>
      <c r="D55" s="226"/>
      <c r="E55" s="226"/>
      <c r="F55" s="226"/>
      <c r="G55" s="226"/>
      <c r="H55" s="226"/>
      <c r="I55" s="9" t="str">
        <f t="shared" si="0"/>
        <v>__</v>
      </c>
    </row>
    <row r="56" spans="1:9" x14ac:dyDescent="0.35">
      <c r="A56" s="226"/>
      <c r="B56" s="226"/>
      <c r="C56" s="226"/>
      <c r="D56" s="226"/>
      <c r="E56" s="226"/>
      <c r="F56" s="226"/>
      <c r="G56" s="226"/>
      <c r="H56" s="226"/>
      <c r="I56" s="9" t="str">
        <f t="shared" si="0"/>
        <v>__</v>
      </c>
    </row>
    <row r="57" spans="1:9" x14ac:dyDescent="0.35">
      <c r="A57" s="226"/>
      <c r="B57" s="226"/>
      <c r="C57" s="226"/>
      <c r="D57" s="226"/>
      <c r="E57" s="226"/>
      <c r="F57" s="226"/>
      <c r="G57" s="226"/>
      <c r="H57" s="226"/>
      <c r="I57" s="9" t="str">
        <f t="shared" si="0"/>
        <v>__</v>
      </c>
    </row>
    <row r="58" spans="1:9" x14ac:dyDescent="0.35">
      <c r="A58" s="226"/>
      <c r="B58" s="226"/>
      <c r="C58" s="226"/>
      <c r="D58" s="226"/>
      <c r="E58" s="226"/>
      <c r="F58" s="226"/>
      <c r="G58" s="226"/>
      <c r="H58" s="226"/>
      <c r="I58" s="9" t="str">
        <f t="shared" si="0"/>
        <v>__</v>
      </c>
    </row>
    <row r="59" spans="1:9" x14ac:dyDescent="0.35">
      <c r="A59" s="226"/>
      <c r="B59" s="226"/>
      <c r="C59" s="226"/>
      <c r="D59" s="226"/>
      <c r="E59" s="226"/>
      <c r="F59" s="226"/>
      <c r="G59" s="226"/>
      <c r="H59" s="226"/>
      <c r="I59" s="9" t="str">
        <f t="shared" si="0"/>
        <v>__</v>
      </c>
    </row>
    <row r="60" spans="1:9" x14ac:dyDescent="0.35">
      <c r="A60" s="226"/>
      <c r="B60" s="226"/>
      <c r="C60" s="226"/>
      <c r="D60" s="226"/>
      <c r="E60" s="226"/>
      <c r="F60" s="226"/>
      <c r="G60" s="226"/>
      <c r="H60" s="226"/>
      <c r="I60" s="9" t="str">
        <f t="shared" si="0"/>
        <v>__</v>
      </c>
    </row>
    <row r="61" spans="1:9" x14ac:dyDescent="0.35">
      <c r="A61" s="226"/>
      <c r="B61" s="226"/>
      <c r="C61" s="226"/>
      <c r="D61" s="226"/>
      <c r="E61" s="226"/>
      <c r="F61" s="226"/>
      <c r="G61" s="226"/>
      <c r="H61" s="226"/>
      <c r="I61" s="9" t="str">
        <f t="shared" si="0"/>
        <v>__</v>
      </c>
    </row>
    <row r="62" spans="1:9" x14ac:dyDescent="0.35">
      <c r="A62" s="226"/>
      <c r="B62" s="226"/>
      <c r="C62" s="226"/>
      <c r="D62" s="226"/>
      <c r="E62" s="226"/>
      <c r="F62" s="226"/>
      <c r="G62" s="226"/>
      <c r="H62" s="226"/>
      <c r="I62" s="9" t="str">
        <f t="shared" si="0"/>
        <v>__</v>
      </c>
    </row>
    <row r="63" spans="1:9" x14ac:dyDescent="0.35">
      <c r="A63" s="226"/>
      <c r="B63" s="226"/>
      <c r="C63" s="226"/>
      <c r="D63" s="226"/>
      <c r="E63" s="226"/>
      <c r="F63" s="226"/>
      <c r="G63" s="226"/>
      <c r="H63" s="226"/>
      <c r="I63" s="9" t="str">
        <f t="shared" si="0"/>
        <v>__</v>
      </c>
    </row>
    <row r="64" spans="1:9" x14ac:dyDescent="0.35">
      <c r="A64" s="226"/>
      <c r="B64" s="226"/>
      <c r="C64" s="226"/>
      <c r="D64" s="226"/>
      <c r="E64" s="226"/>
      <c r="F64" s="226"/>
      <c r="G64" s="226"/>
      <c r="H64" s="226"/>
      <c r="I64" s="9" t="str">
        <f t="shared" si="0"/>
        <v>__</v>
      </c>
    </row>
    <row r="65" spans="1:9" x14ac:dyDescent="0.35">
      <c r="A65" s="226"/>
      <c r="B65" s="226"/>
      <c r="C65" s="226"/>
      <c r="D65" s="226"/>
      <c r="E65" s="226"/>
      <c r="F65" s="226"/>
      <c r="G65" s="226"/>
      <c r="H65" s="226"/>
      <c r="I65" s="9" t="str">
        <f t="shared" si="0"/>
        <v>__</v>
      </c>
    </row>
    <row r="66" spans="1:9" x14ac:dyDescent="0.35">
      <c r="A66" s="226"/>
      <c r="B66" s="226"/>
      <c r="C66" s="226"/>
      <c r="D66" s="226"/>
      <c r="E66" s="226"/>
      <c r="F66" s="226"/>
      <c r="G66" s="226"/>
      <c r="H66" s="226"/>
      <c r="I66" s="9" t="str">
        <f t="shared" si="0"/>
        <v>__</v>
      </c>
    </row>
    <row r="67" spans="1:9" x14ac:dyDescent="0.35">
      <c r="A67" s="226"/>
      <c r="B67" s="226"/>
      <c r="C67" s="226"/>
      <c r="D67" s="226"/>
      <c r="E67" s="226"/>
      <c r="F67" s="226"/>
      <c r="G67" s="226"/>
      <c r="H67" s="226"/>
      <c r="I67" s="9" t="str">
        <f t="shared" si="0"/>
        <v>__</v>
      </c>
    </row>
    <row r="68" spans="1:9" x14ac:dyDescent="0.35">
      <c r="A68" s="226"/>
      <c r="B68" s="226"/>
      <c r="C68" s="226"/>
      <c r="D68" s="226"/>
      <c r="E68" s="226"/>
      <c r="F68" s="226"/>
      <c r="G68" s="226"/>
      <c r="H68" s="226"/>
      <c r="I68" s="9" t="str">
        <f t="shared" si="0"/>
        <v>__</v>
      </c>
    </row>
    <row r="69" spans="1:9" x14ac:dyDescent="0.35">
      <c r="A69" s="226"/>
      <c r="B69" s="226"/>
      <c r="C69" s="226"/>
      <c r="D69" s="226"/>
      <c r="E69" s="226"/>
      <c r="F69" s="226"/>
      <c r="G69" s="226"/>
      <c r="H69" s="226"/>
      <c r="I69" s="9" t="str">
        <f t="shared" ref="I69:I132" si="1">CONCATENATE(A69,"_",B69,"_",C69)</f>
        <v>__</v>
      </c>
    </row>
    <row r="70" spans="1:9" x14ac:dyDescent="0.35">
      <c r="A70" s="226"/>
      <c r="B70" s="226"/>
      <c r="C70" s="226"/>
      <c r="D70" s="226"/>
      <c r="E70" s="226"/>
      <c r="F70" s="226"/>
      <c r="G70" s="226"/>
      <c r="H70" s="226"/>
      <c r="I70" s="9" t="str">
        <f t="shared" si="1"/>
        <v>__</v>
      </c>
    </row>
    <row r="71" spans="1:9" x14ac:dyDescent="0.35">
      <c r="A71" s="226"/>
      <c r="B71" s="226"/>
      <c r="C71" s="226"/>
      <c r="D71" s="226"/>
      <c r="E71" s="226"/>
      <c r="F71" s="226"/>
      <c r="G71" s="226"/>
      <c r="H71" s="226"/>
      <c r="I71" s="9" t="str">
        <f t="shared" si="1"/>
        <v>__</v>
      </c>
    </row>
    <row r="72" spans="1:9" x14ac:dyDescent="0.35">
      <c r="A72" s="226"/>
      <c r="B72" s="226"/>
      <c r="C72" s="226"/>
      <c r="D72" s="226"/>
      <c r="E72" s="226"/>
      <c r="F72" s="226"/>
      <c r="G72" s="226"/>
      <c r="H72" s="226"/>
      <c r="I72" s="9" t="str">
        <f t="shared" si="1"/>
        <v>__</v>
      </c>
    </row>
    <row r="73" spans="1:9" x14ac:dyDescent="0.35">
      <c r="A73" s="226"/>
      <c r="B73" s="226"/>
      <c r="C73" s="226"/>
      <c r="D73" s="226"/>
      <c r="E73" s="226"/>
      <c r="F73" s="226"/>
      <c r="G73" s="226"/>
      <c r="H73" s="226"/>
      <c r="I73" s="9" t="str">
        <f t="shared" si="1"/>
        <v>__</v>
      </c>
    </row>
    <row r="74" spans="1:9" x14ac:dyDescent="0.35">
      <c r="A74" s="226"/>
      <c r="B74" s="226"/>
      <c r="C74" s="226"/>
      <c r="D74" s="226"/>
      <c r="E74" s="226"/>
      <c r="F74" s="226"/>
      <c r="G74" s="226"/>
      <c r="H74" s="226"/>
      <c r="I74" s="9" t="str">
        <f t="shared" si="1"/>
        <v>__</v>
      </c>
    </row>
    <row r="75" spans="1:9" x14ac:dyDescent="0.35">
      <c r="A75" s="226"/>
      <c r="B75" s="226"/>
      <c r="C75" s="226"/>
      <c r="D75" s="226"/>
      <c r="E75" s="226"/>
      <c r="F75" s="226"/>
      <c r="G75" s="226"/>
      <c r="H75" s="226"/>
      <c r="I75" s="9" t="str">
        <f t="shared" si="1"/>
        <v>__</v>
      </c>
    </row>
    <row r="76" spans="1:9" x14ac:dyDescent="0.35">
      <c r="A76" s="226"/>
      <c r="B76" s="226"/>
      <c r="C76" s="226"/>
      <c r="D76" s="226"/>
      <c r="E76" s="226"/>
      <c r="F76" s="226"/>
      <c r="G76" s="226"/>
      <c r="H76" s="226"/>
      <c r="I76" s="9" t="str">
        <f t="shared" si="1"/>
        <v>__</v>
      </c>
    </row>
    <row r="77" spans="1:9" x14ac:dyDescent="0.35">
      <c r="A77" s="226"/>
      <c r="B77" s="226"/>
      <c r="C77" s="226"/>
      <c r="D77" s="226"/>
      <c r="E77" s="226"/>
      <c r="F77" s="226"/>
      <c r="G77" s="226"/>
      <c r="H77" s="226"/>
      <c r="I77" s="9" t="str">
        <f t="shared" si="1"/>
        <v>__</v>
      </c>
    </row>
    <row r="78" spans="1:9" x14ac:dyDescent="0.35">
      <c r="A78" s="226"/>
      <c r="B78" s="226"/>
      <c r="C78" s="226"/>
      <c r="D78" s="226"/>
      <c r="E78" s="226"/>
      <c r="F78" s="226"/>
      <c r="G78" s="226"/>
      <c r="H78" s="226"/>
      <c r="I78" s="9" t="str">
        <f t="shared" si="1"/>
        <v>__</v>
      </c>
    </row>
    <row r="79" spans="1:9" x14ac:dyDescent="0.35">
      <c r="A79" s="226"/>
      <c r="B79" s="226"/>
      <c r="C79" s="226"/>
      <c r="D79" s="226"/>
      <c r="E79" s="226"/>
      <c r="F79" s="226"/>
      <c r="G79" s="226"/>
      <c r="H79" s="226"/>
      <c r="I79" s="9" t="str">
        <f t="shared" si="1"/>
        <v>__</v>
      </c>
    </row>
    <row r="80" spans="1:9" x14ac:dyDescent="0.35">
      <c r="A80" s="226"/>
      <c r="B80" s="226"/>
      <c r="C80" s="226"/>
      <c r="D80" s="226"/>
      <c r="E80" s="226"/>
      <c r="F80" s="226"/>
      <c r="G80" s="226"/>
      <c r="H80" s="226"/>
      <c r="I80" s="9" t="str">
        <f t="shared" si="1"/>
        <v>__</v>
      </c>
    </row>
    <row r="81" spans="1:9" x14ac:dyDescent="0.35">
      <c r="A81" s="226"/>
      <c r="B81" s="226"/>
      <c r="C81" s="226"/>
      <c r="D81" s="226"/>
      <c r="E81" s="226"/>
      <c r="F81" s="226"/>
      <c r="G81" s="226"/>
      <c r="H81" s="226"/>
      <c r="I81" s="9" t="str">
        <f t="shared" si="1"/>
        <v>__</v>
      </c>
    </row>
    <row r="82" spans="1:9" x14ac:dyDescent="0.35">
      <c r="A82" s="226"/>
      <c r="B82" s="226"/>
      <c r="C82" s="226"/>
      <c r="D82" s="226"/>
      <c r="E82" s="226"/>
      <c r="F82" s="226"/>
      <c r="G82" s="226"/>
      <c r="H82" s="226"/>
      <c r="I82" s="9" t="str">
        <f t="shared" si="1"/>
        <v>__</v>
      </c>
    </row>
    <row r="83" spans="1:9" x14ac:dyDescent="0.35">
      <c r="A83" s="226"/>
      <c r="B83" s="226"/>
      <c r="C83" s="226"/>
      <c r="D83" s="226"/>
      <c r="E83" s="226"/>
      <c r="F83" s="226"/>
      <c r="G83" s="226"/>
      <c r="H83" s="226"/>
      <c r="I83" s="9" t="str">
        <f t="shared" si="1"/>
        <v>__</v>
      </c>
    </row>
    <row r="84" spans="1:9" x14ac:dyDescent="0.35">
      <c r="A84" s="226"/>
      <c r="B84" s="226"/>
      <c r="C84" s="226"/>
      <c r="D84" s="226"/>
      <c r="E84" s="226"/>
      <c r="F84" s="226"/>
      <c r="G84" s="226"/>
      <c r="H84" s="226"/>
      <c r="I84" s="9" t="str">
        <f t="shared" si="1"/>
        <v>__</v>
      </c>
    </row>
    <row r="85" spans="1:9" x14ac:dyDescent="0.35">
      <c r="A85" s="226"/>
      <c r="B85" s="226"/>
      <c r="C85" s="226"/>
      <c r="D85" s="226"/>
      <c r="E85" s="226"/>
      <c r="F85" s="226"/>
      <c r="G85" s="226"/>
      <c r="H85" s="226"/>
      <c r="I85" s="9" t="str">
        <f t="shared" si="1"/>
        <v>__</v>
      </c>
    </row>
    <row r="86" spans="1:9" x14ac:dyDescent="0.35">
      <c r="A86" s="226"/>
      <c r="B86" s="226"/>
      <c r="C86" s="226"/>
      <c r="D86" s="226"/>
      <c r="E86" s="226"/>
      <c r="F86" s="226"/>
      <c r="G86" s="226"/>
      <c r="H86" s="226"/>
      <c r="I86" s="9" t="str">
        <f t="shared" si="1"/>
        <v>__</v>
      </c>
    </row>
    <row r="87" spans="1:9" x14ac:dyDescent="0.35">
      <c r="A87" s="226"/>
      <c r="B87" s="226"/>
      <c r="C87" s="226"/>
      <c r="D87" s="226"/>
      <c r="E87" s="226"/>
      <c r="F87" s="226"/>
      <c r="G87" s="226"/>
      <c r="H87" s="226"/>
      <c r="I87" s="9" t="str">
        <f t="shared" si="1"/>
        <v>__</v>
      </c>
    </row>
    <row r="88" spans="1:9" x14ac:dyDescent="0.35">
      <c r="A88" s="226"/>
      <c r="B88" s="226"/>
      <c r="C88" s="226"/>
      <c r="D88" s="226"/>
      <c r="E88" s="226"/>
      <c r="F88" s="226"/>
      <c r="G88" s="226"/>
      <c r="H88" s="226"/>
      <c r="I88" s="9" t="str">
        <f t="shared" si="1"/>
        <v>__</v>
      </c>
    </row>
    <row r="89" spans="1:9" x14ac:dyDescent="0.35">
      <c r="A89" s="226"/>
      <c r="B89" s="226"/>
      <c r="C89" s="226"/>
      <c r="D89" s="226"/>
      <c r="E89" s="226"/>
      <c r="F89" s="226"/>
      <c r="G89" s="226"/>
      <c r="H89" s="226"/>
      <c r="I89" s="9" t="str">
        <f t="shared" si="1"/>
        <v>__</v>
      </c>
    </row>
    <row r="90" spans="1:9" x14ac:dyDescent="0.35">
      <c r="A90" s="226"/>
      <c r="B90" s="226"/>
      <c r="C90" s="226"/>
      <c r="D90" s="226"/>
      <c r="E90" s="226"/>
      <c r="F90" s="226"/>
      <c r="G90" s="226"/>
      <c r="H90" s="226"/>
      <c r="I90" s="9" t="str">
        <f t="shared" si="1"/>
        <v>__</v>
      </c>
    </row>
    <row r="91" spans="1:9" x14ac:dyDescent="0.35">
      <c r="A91" s="226"/>
      <c r="B91" s="226"/>
      <c r="C91" s="226"/>
      <c r="D91" s="226"/>
      <c r="E91" s="226"/>
      <c r="F91" s="226"/>
      <c r="G91" s="226"/>
      <c r="H91" s="226"/>
      <c r="I91" s="9" t="str">
        <f t="shared" si="1"/>
        <v>__</v>
      </c>
    </row>
    <row r="92" spans="1:9" x14ac:dyDescent="0.35">
      <c r="A92" s="226"/>
      <c r="B92" s="226"/>
      <c r="C92" s="226"/>
      <c r="D92" s="226"/>
      <c r="E92" s="226"/>
      <c r="F92" s="226"/>
      <c r="G92" s="226"/>
      <c r="H92" s="226"/>
      <c r="I92" s="9" t="str">
        <f t="shared" si="1"/>
        <v>__</v>
      </c>
    </row>
    <row r="93" spans="1:9" x14ac:dyDescent="0.35">
      <c r="A93" s="226"/>
      <c r="B93" s="226"/>
      <c r="C93" s="226"/>
      <c r="D93" s="226"/>
      <c r="E93" s="226"/>
      <c r="F93" s="226"/>
      <c r="G93" s="226"/>
      <c r="H93" s="226"/>
      <c r="I93" s="9" t="str">
        <f t="shared" si="1"/>
        <v>__</v>
      </c>
    </row>
    <row r="94" spans="1:9" x14ac:dyDescent="0.35">
      <c r="A94" s="226"/>
      <c r="B94" s="226"/>
      <c r="C94" s="226"/>
      <c r="D94" s="226"/>
      <c r="E94" s="226"/>
      <c r="F94" s="226"/>
      <c r="G94" s="226"/>
      <c r="H94" s="226"/>
      <c r="I94" s="9" t="str">
        <f t="shared" si="1"/>
        <v>__</v>
      </c>
    </row>
    <row r="95" spans="1:9" x14ac:dyDescent="0.35">
      <c r="A95" s="226"/>
      <c r="B95" s="226"/>
      <c r="C95" s="226"/>
      <c r="D95" s="226"/>
      <c r="E95" s="226"/>
      <c r="F95" s="226"/>
      <c r="G95" s="226"/>
      <c r="H95" s="226"/>
      <c r="I95" s="9" t="str">
        <f t="shared" si="1"/>
        <v>__</v>
      </c>
    </row>
    <row r="96" spans="1:9" x14ac:dyDescent="0.35">
      <c r="A96" s="226"/>
      <c r="B96" s="226"/>
      <c r="C96" s="226"/>
      <c r="D96" s="226"/>
      <c r="E96" s="226"/>
      <c r="F96" s="226"/>
      <c r="G96" s="226"/>
      <c r="H96" s="226"/>
      <c r="I96" s="9" t="str">
        <f t="shared" si="1"/>
        <v>__</v>
      </c>
    </row>
    <row r="97" spans="1:9" x14ac:dyDescent="0.35">
      <c r="A97" s="226"/>
      <c r="B97" s="226"/>
      <c r="C97" s="226"/>
      <c r="D97" s="226"/>
      <c r="E97" s="226"/>
      <c r="F97" s="226"/>
      <c r="G97" s="226"/>
      <c r="H97" s="226"/>
      <c r="I97" s="9" t="str">
        <f t="shared" si="1"/>
        <v>__</v>
      </c>
    </row>
    <row r="98" spans="1:9" x14ac:dyDescent="0.35">
      <c r="A98" s="226"/>
      <c r="B98" s="226"/>
      <c r="C98" s="226"/>
      <c r="D98" s="226"/>
      <c r="E98" s="226"/>
      <c r="F98" s="226"/>
      <c r="G98" s="226"/>
      <c r="H98" s="226"/>
      <c r="I98" s="9" t="str">
        <f t="shared" si="1"/>
        <v>__</v>
      </c>
    </row>
    <row r="99" spans="1:9" x14ac:dyDescent="0.35">
      <c r="A99" s="226"/>
      <c r="B99" s="226"/>
      <c r="C99" s="226"/>
      <c r="D99" s="226"/>
      <c r="E99" s="226"/>
      <c r="F99" s="226"/>
      <c r="G99" s="226"/>
      <c r="H99" s="226"/>
      <c r="I99" s="9" t="str">
        <f t="shared" si="1"/>
        <v>__</v>
      </c>
    </row>
    <row r="100" spans="1:9" x14ac:dyDescent="0.35">
      <c r="A100" s="226"/>
      <c r="B100" s="226"/>
      <c r="C100" s="226"/>
      <c r="D100" s="226"/>
      <c r="E100" s="226"/>
      <c r="F100" s="226"/>
      <c r="G100" s="226"/>
      <c r="H100" s="226"/>
      <c r="I100" s="9" t="str">
        <f t="shared" si="1"/>
        <v>__</v>
      </c>
    </row>
    <row r="101" spans="1:9" x14ac:dyDescent="0.35">
      <c r="A101" s="226"/>
      <c r="B101" s="226"/>
      <c r="C101" s="226"/>
      <c r="D101" s="226"/>
      <c r="E101" s="226"/>
      <c r="F101" s="226"/>
      <c r="G101" s="226"/>
      <c r="H101" s="226"/>
      <c r="I101" s="9" t="str">
        <f t="shared" si="1"/>
        <v>__</v>
      </c>
    </row>
    <row r="102" spans="1:9" x14ac:dyDescent="0.35">
      <c r="A102" s="226"/>
      <c r="B102" s="226"/>
      <c r="C102" s="226"/>
      <c r="D102" s="226"/>
      <c r="E102" s="226"/>
      <c r="F102" s="226"/>
      <c r="G102" s="226"/>
      <c r="H102" s="226"/>
      <c r="I102" s="9" t="str">
        <f t="shared" si="1"/>
        <v>__</v>
      </c>
    </row>
    <row r="103" spans="1:9" x14ac:dyDescent="0.35">
      <c r="A103" s="226"/>
      <c r="B103" s="226"/>
      <c r="C103" s="226"/>
      <c r="D103" s="226"/>
      <c r="E103" s="226"/>
      <c r="F103" s="226"/>
      <c r="G103" s="226"/>
      <c r="H103" s="226"/>
      <c r="I103" s="9" t="str">
        <f t="shared" si="1"/>
        <v>__</v>
      </c>
    </row>
    <row r="104" spans="1:9" x14ac:dyDescent="0.35">
      <c r="A104" s="226"/>
      <c r="B104" s="226"/>
      <c r="C104" s="226"/>
      <c r="D104" s="226"/>
      <c r="E104" s="226"/>
      <c r="F104" s="226"/>
      <c r="G104" s="226"/>
      <c r="H104" s="226"/>
      <c r="I104" s="9" t="str">
        <f t="shared" si="1"/>
        <v>__</v>
      </c>
    </row>
    <row r="105" spans="1:9" x14ac:dyDescent="0.35">
      <c r="A105" s="226"/>
      <c r="B105" s="226"/>
      <c r="C105" s="226"/>
      <c r="D105" s="226"/>
      <c r="E105" s="226"/>
      <c r="F105" s="226"/>
      <c r="G105" s="226"/>
      <c r="H105" s="226"/>
      <c r="I105" s="9" t="str">
        <f t="shared" si="1"/>
        <v>__</v>
      </c>
    </row>
    <row r="106" spans="1:9" x14ac:dyDescent="0.35">
      <c r="A106" s="226"/>
      <c r="B106" s="226"/>
      <c r="C106" s="226"/>
      <c r="D106" s="226"/>
      <c r="E106" s="226"/>
      <c r="F106" s="226"/>
      <c r="G106" s="226"/>
      <c r="H106" s="226"/>
      <c r="I106" s="9" t="str">
        <f t="shared" si="1"/>
        <v>__</v>
      </c>
    </row>
    <row r="107" spans="1:9" x14ac:dyDescent="0.35">
      <c r="A107" s="226"/>
      <c r="B107" s="226"/>
      <c r="C107" s="226"/>
      <c r="D107" s="226"/>
      <c r="E107" s="226"/>
      <c r="F107" s="226"/>
      <c r="G107" s="226"/>
      <c r="H107" s="226"/>
      <c r="I107" s="9" t="str">
        <f t="shared" si="1"/>
        <v>__</v>
      </c>
    </row>
    <row r="108" spans="1:9" x14ac:dyDescent="0.35">
      <c r="A108" s="226"/>
      <c r="B108" s="226"/>
      <c r="C108" s="226"/>
      <c r="D108" s="226"/>
      <c r="E108" s="226"/>
      <c r="F108" s="226"/>
      <c r="G108" s="226"/>
      <c r="H108" s="226"/>
      <c r="I108" s="9" t="str">
        <f t="shared" si="1"/>
        <v>__</v>
      </c>
    </row>
    <row r="109" spans="1:9" x14ac:dyDescent="0.35">
      <c r="A109" s="226"/>
      <c r="B109" s="226"/>
      <c r="C109" s="226"/>
      <c r="D109" s="226"/>
      <c r="E109" s="226"/>
      <c r="F109" s="226"/>
      <c r="G109" s="226"/>
      <c r="H109" s="226"/>
      <c r="I109" s="9" t="str">
        <f t="shared" si="1"/>
        <v>__</v>
      </c>
    </row>
    <row r="110" spans="1:9" x14ac:dyDescent="0.35">
      <c r="A110" s="226"/>
      <c r="B110" s="226"/>
      <c r="C110" s="226"/>
      <c r="D110" s="226"/>
      <c r="E110" s="226"/>
      <c r="F110" s="226"/>
      <c r="G110" s="226"/>
      <c r="H110" s="226"/>
      <c r="I110" s="9" t="str">
        <f t="shared" si="1"/>
        <v>__</v>
      </c>
    </row>
    <row r="111" spans="1:9" x14ac:dyDescent="0.35">
      <c r="A111" s="226"/>
      <c r="B111" s="226"/>
      <c r="C111" s="226"/>
      <c r="D111" s="226"/>
      <c r="E111" s="226"/>
      <c r="F111" s="226"/>
      <c r="G111" s="226"/>
      <c r="H111" s="226"/>
      <c r="I111" s="9" t="str">
        <f t="shared" si="1"/>
        <v>__</v>
      </c>
    </row>
    <row r="112" spans="1:9" x14ac:dyDescent="0.35">
      <c r="A112" s="226"/>
      <c r="B112" s="226"/>
      <c r="C112" s="226"/>
      <c r="D112" s="226"/>
      <c r="E112" s="226"/>
      <c r="F112" s="226"/>
      <c r="G112" s="226"/>
      <c r="H112" s="226"/>
      <c r="I112" s="9" t="str">
        <f t="shared" si="1"/>
        <v>__</v>
      </c>
    </row>
    <row r="113" spans="1:9" x14ac:dyDescent="0.35">
      <c r="A113" s="226"/>
      <c r="B113" s="226"/>
      <c r="C113" s="226"/>
      <c r="D113" s="226"/>
      <c r="E113" s="226"/>
      <c r="F113" s="226"/>
      <c r="G113" s="226"/>
      <c r="H113" s="226"/>
      <c r="I113" s="9" t="str">
        <f t="shared" si="1"/>
        <v>__</v>
      </c>
    </row>
    <row r="114" spans="1:9" x14ac:dyDescent="0.35">
      <c r="A114" s="226"/>
      <c r="B114" s="226"/>
      <c r="C114" s="226"/>
      <c r="D114" s="226"/>
      <c r="E114" s="226"/>
      <c r="F114" s="226"/>
      <c r="G114" s="226"/>
      <c r="H114" s="226"/>
      <c r="I114" s="9" t="str">
        <f t="shared" si="1"/>
        <v>__</v>
      </c>
    </row>
    <row r="115" spans="1:9" x14ac:dyDescent="0.35">
      <c r="A115" s="226"/>
      <c r="B115" s="226"/>
      <c r="C115" s="226"/>
      <c r="D115" s="226"/>
      <c r="E115" s="226"/>
      <c r="F115" s="226"/>
      <c r="G115" s="226"/>
      <c r="H115" s="226"/>
      <c r="I115" s="9" t="str">
        <f t="shared" si="1"/>
        <v>__</v>
      </c>
    </row>
    <row r="116" spans="1:9" x14ac:dyDescent="0.35">
      <c r="A116" s="226"/>
      <c r="B116" s="226"/>
      <c r="C116" s="226"/>
      <c r="D116" s="226"/>
      <c r="E116" s="226"/>
      <c r="F116" s="226"/>
      <c r="G116" s="226"/>
      <c r="H116" s="226"/>
      <c r="I116" s="9" t="str">
        <f t="shared" si="1"/>
        <v>__</v>
      </c>
    </row>
    <row r="117" spans="1:9" x14ac:dyDescent="0.35">
      <c r="A117" s="226"/>
      <c r="B117" s="226"/>
      <c r="C117" s="226"/>
      <c r="D117" s="226"/>
      <c r="E117" s="226"/>
      <c r="F117" s="226"/>
      <c r="G117" s="226"/>
      <c r="H117" s="226"/>
      <c r="I117" s="9" t="str">
        <f t="shared" si="1"/>
        <v>__</v>
      </c>
    </row>
    <row r="118" spans="1:9" x14ac:dyDescent="0.35">
      <c r="A118" s="226"/>
      <c r="B118" s="226"/>
      <c r="C118" s="226"/>
      <c r="D118" s="226"/>
      <c r="E118" s="226"/>
      <c r="F118" s="226"/>
      <c r="G118" s="226"/>
      <c r="H118" s="226"/>
      <c r="I118" s="9" t="str">
        <f t="shared" si="1"/>
        <v>__</v>
      </c>
    </row>
    <row r="119" spans="1:9" x14ac:dyDescent="0.35">
      <c r="A119" s="226"/>
      <c r="B119" s="226"/>
      <c r="C119" s="226"/>
      <c r="D119" s="226"/>
      <c r="E119" s="226"/>
      <c r="F119" s="226"/>
      <c r="G119" s="226"/>
      <c r="H119" s="226"/>
      <c r="I119" s="9" t="str">
        <f t="shared" si="1"/>
        <v>__</v>
      </c>
    </row>
    <row r="120" spans="1:9" x14ac:dyDescent="0.35">
      <c r="A120" s="226"/>
      <c r="B120" s="226"/>
      <c r="C120" s="226"/>
      <c r="D120" s="226"/>
      <c r="E120" s="226"/>
      <c r="F120" s="226"/>
      <c r="G120" s="226"/>
      <c r="H120" s="226"/>
      <c r="I120" s="9" t="str">
        <f t="shared" si="1"/>
        <v>__</v>
      </c>
    </row>
    <row r="121" spans="1:9" x14ac:dyDescent="0.35">
      <c r="A121" s="226"/>
      <c r="B121" s="226"/>
      <c r="C121" s="226"/>
      <c r="D121" s="226"/>
      <c r="E121" s="226"/>
      <c r="F121" s="226"/>
      <c r="G121" s="226"/>
      <c r="H121" s="226"/>
      <c r="I121" s="9" t="str">
        <f t="shared" si="1"/>
        <v>__</v>
      </c>
    </row>
    <row r="122" spans="1:9" x14ac:dyDescent="0.35">
      <c r="A122" s="226"/>
      <c r="B122" s="226"/>
      <c r="C122" s="226"/>
      <c r="D122" s="226"/>
      <c r="E122" s="226"/>
      <c r="F122" s="226"/>
      <c r="G122" s="226"/>
      <c r="H122" s="226"/>
      <c r="I122" s="9" t="str">
        <f t="shared" si="1"/>
        <v>__</v>
      </c>
    </row>
    <row r="123" spans="1:9" x14ac:dyDescent="0.35">
      <c r="A123" s="226"/>
      <c r="B123" s="226"/>
      <c r="C123" s="226"/>
      <c r="D123" s="226"/>
      <c r="E123" s="226"/>
      <c r="F123" s="226"/>
      <c r="G123" s="226"/>
      <c r="H123" s="226"/>
      <c r="I123" s="9" t="str">
        <f t="shared" si="1"/>
        <v>__</v>
      </c>
    </row>
    <row r="124" spans="1:9" x14ac:dyDescent="0.35">
      <c r="A124" s="226"/>
      <c r="B124" s="226"/>
      <c r="C124" s="226"/>
      <c r="D124" s="226"/>
      <c r="E124" s="226"/>
      <c r="F124" s="226"/>
      <c r="G124" s="226"/>
      <c r="H124" s="226"/>
      <c r="I124" s="9" t="str">
        <f t="shared" si="1"/>
        <v>__</v>
      </c>
    </row>
    <row r="125" spans="1:9" x14ac:dyDescent="0.35">
      <c r="A125" s="226"/>
      <c r="B125" s="226"/>
      <c r="C125" s="226"/>
      <c r="D125" s="226"/>
      <c r="E125" s="226"/>
      <c r="F125" s="226"/>
      <c r="G125" s="226"/>
      <c r="H125" s="226"/>
      <c r="I125" s="9" t="str">
        <f t="shared" si="1"/>
        <v>__</v>
      </c>
    </row>
    <row r="126" spans="1:9" x14ac:dyDescent="0.35">
      <c r="A126" s="226"/>
      <c r="B126" s="226"/>
      <c r="C126" s="226"/>
      <c r="D126" s="226"/>
      <c r="E126" s="226"/>
      <c r="F126" s="226"/>
      <c r="G126" s="226"/>
      <c r="H126" s="226"/>
      <c r="I126" s="9" t="str">
        <f t="shared" si="1"/>
        <v>__</v>
      </c>
    </row>
    <row r="127" spans="1:9" x14ac:dyDescent="0.35">
      <c r="A127" s="226"/>
      <c r="B127" s="226"/>
      <c r="C127" s="226"/>
      <c r="D127" s="226"/>
      <c r="E127" s="226"/>
      <c r="F127" s="226"/>
      <c r="G127" s="226"/>
      <c r="H127" s="226"/>
      <c r="I127" s="9" t="str">
        <f t="shared" si="1"/>
        <v>__</v>
      </c>
    </row>
    <row r="128" spans="1:9" x14ac:dyDescent="0.35">
      <c r="A128" s="226"/>
      <c r="B128" s="226"/>
      <c r="C128" s="226"/>
      <c r="D128" s="226"/>
      <c r="E128" s="226"/>
      <c r="F128" s="226"/>
      <c r="G128" s="226"/>
      <c r="H128" s="226"/>
      <c r="I128" s="9" t="str">
        <f t="shared" si="1"/>
        <v>__</v>
      </c>
    </row>
    <row r="129" spans="1:9" x14ac:dyDescent="0.35">
      <c r="A129" s="226"/>
      <c r="B129" s="226"/>
      <c r="C129" s="226"/>
      <c r="D129" s="226"/>
      <c r="E129" s="226"/>
      <c r="F129" s="226"/>
      <c r="G129" s="226"/>
      <c r="H129" s="226"/>
      <c r="I129" s="9" t="str">
        <f t="shared" si="1"/>
        <v>__</v>
      </c>
    </row>
    <row r="130" spans="1:9" x14ac:dyDescent="0.35">
      <c r="A130" s="226"/>
      <c r="B130" s="226"/>
      <c r="C130" s="226"/>
      <c r="D130" s="226"/>
      <c r="E130" s="226"/>
      <c r="F130" s="226"/>
      <c r="G130" s="226"/>
      <c r="H130" s="226"/>
      <c r="I130" s="9" t="str">
        <f t="shared" si="1"/>
        <v>__</v>
      </c>
    </row>
    <row r="131" spans="1:9" x14ac:dyDescent="0.35">
      <c r="A131" s="226"/>
      <c r="B131" s="226"/>
      <c r="C131" s="226"/>
      <c r="D131" s="226"/>
      <c r="E131" s="226"/>
      <c r="F131" s="226"/>
      <c r="G131" s="226"/>
      <c r="H131" s="226"/>
      <c r="I131" s="9" t="str">
        <f t="shared" si="1"/>
        <v>__</v>
      </c>
    </row>
    <row r="132" spans="1:9" x14ac:dyDescent="0.35">
      <c r="A132" s="226"/>
      <c r="B132" s="226"/>
      <c r="C132" s="226"/>
      <c r="D132" s="226"/>
      <c r="E132" s="226"/>
      <c r="F132" s="226"/>
      <c r="G132" s="226"/>
      <c r="H132" s="226"/>
      <c r="I132" s="9" t="str">
        <f t="shared" si="1"/>
        <v>__</v>
      </c>
    </row>
    <row r="133" spans="1:9" x14ac:dyDescent="0.35">
      <c r="A133" s="226"/>
      <c r="B133" s="226"/>
      <c r="C133" s="226"/>
      <c r="D133" s="226"/>
      <c r="E133" s="226"/>
      <c r="F133" s="226"/>
      <c r="G133" s="226"/>
      <c r="H133" s="226"/>
      <c r="I133" s="9" t="str">
        <f t="shared" ref="I133:I196" si="2">CONCATENATE(A133,"_",B133,"_",C133)</f>
        <v>__</v>
      </c>
    </row>
    <row r="134" spans="1:9" x14ac:dyDescent="0.35">
      <c r="A134" s="226"/>
      <c r="B134" s="226"/>
      <c r="C134" s="226"/>
      <c r="D134" s="226"/>
      <c r="E134" s="226"/>
      <c r="F134" s="226"/>
      <c r="G134" s="226"/>
      <c r="H134" s="226"/>
      <c r="I134" s="9" t="str">
        <f t="shared" si="2"/>
        <v>__</v>
      </c>
    </row>
    <row r="135" spans="1:9" x14ac:dyDescent="0.35">
      <c r="A135" s="226"/>
      <c r="B135" s="226"/>
      <c r="C135" s="226"/>
      <c r="D135" s="226"/>
      <c r="E135" s="226"/>
      <c r="F135" s="226"/>
      <c r="G135" s="226"/>
      <c r="H135" s="226"/>
      <c r="I135" s="9" t="str">
        <f t="shared" si="2"/>
        <v>__</v>
      </c>
    </row>
    <row r="136" spans="1:9" x14ac:dyDescent="0.35">
      <c r="A136" s="226"/>
      <c r="B136" s="226"/>
      <c r="C136" s="226"/>
      <c r="D136" s="226"/>
      <c r="E136" s="226"/>
      <c r="F136" s="226"/>
      <c r="G136" s="226"/>
      <c r="H136" s="226"/>
      <c r="I136" s="9" t="str">
        <f t="shared" si="2"/>
        <v>__</v>
      </c>
    </row>
    <row r="137" spans="1:9" x14ac:dyDescent="0.35">
      <c r="A137" s="226"/>
      <c r="B137" s="226"/>
      <c r="C137" s="226"/>
      <c r="D137" s="226"/>
      <c r="E137" s="226"/>
      <c r="F137" s="226"/>
      <c r="G137" s="226"/>
      <c r="H137" s="226"/>
      <c r="I137" s="9" t="str">
        <f t="shared" si="2"/>
        <v>__</v>
      </c>
    </row>
    <row r="138" spans="1:9" x14ac:dyDescent="0.35">
      <c r="A138" s="226"/>
      <c r="B138" s="226"/>
      <c r="C138" s="226"/>
      <c r="D138" s="226"/>
      <c r="E138" s="226"/>
      <c r="F138" s="226"/>
      <c r="G138" s="226"/>
      <c r="H138" s="226"/>
      <c r="I138" s="9" t="str">
        <f t="shared" si="2"/>
        <v>__</v>
      </c>
    </row>
    <row r="139" spans="1:9" x14ac:dyDescent="0.35">
      <c r="A139" s="226"/>
      <c r="B139" s="226"/>
      <c r="C139" s="226"/>
      <c r="D139" s="226"/>
      <c r="E139" s="226"/>
      <c r="F139" s="226"/>
      <c r="G139" s="226"/>
      <c r="H139" s="226"/>
      <c r="I139" s="9" t="str">
        <f t="shared" si="2"/>
        <v>__</v>
      </c>
    </row>
    <row r="140" spans="1:9" x14ac:dyDescent="0.35">
      <c r="A140" s="226"/>
      <c r="B140" s="226"/>
      <c r="C140" s="226"/>
      <c r="D140" s="226"/>
      <c r="E140" s="226"/>
      <c r="F140" s="226"/>
      <c r="G140" s="226"/>
      <c r="H140" s="226"/>
      <c r="I140" s="9" t="str">
        <f t="shared" si="2"/>
        <v>__</v>
      </c>
    </row>
    <row r="141" spans="1:9" x14ac:dyDescent="0.35">
      <c r="A141" s="226"/>
      <c r="B141" s="226"/>
      <c r="C141" s="226"/>
      <c r="D141" s="226"/>
      <c r="E141" s="226"/>
      <c r="F141" s="226"/>
      <c r="G141" s="226"/>
      <c r="H141" s="226"/>
      <c r="I141" s="9" t="str">
        <f t="shared" si="2"/>
        <v>__</v>
      </c>
    </row>
    <row r="142" spans="1:9" x14ac:dyDescent="0.35">
      <c r="A142" s="226"/>
      <c r="B142" s="226"/>
      <c r="C142" s="226"/>
      <c r="D142" s="226"/>
      <c r="E142" s="226"/>
      <c r="F142" s="226"/>
      <c r="G142" s="226"/>
      <c r="H142" s="226"/>
      <c r="I142" s="9" t="str">
        <f t="shared" si="2"/>
        <v>__</v>
      </c>
    </row>
    <row r="143" spans="1:9" x14ac:dyDescent="0.35">
      <c r="A143" s="226"/>
      <c r="B143" s="226"/>
      <c r="C143" s="226"/>
      <c r="D143" s="226"/>
      <c r="E143" s="226"/>
      <c r="F143" s="226"/>
      <c r="G143" s="226"/>
      <c r="H143" s="226"/>
      <c r="I143" s="9" t="str">
        <f t="shared" si="2"/>
        <v>__</v>
      </c>
    </row>
    <row r="144" spans="1:9" x14ac:dyDescent="0.35">
      <c r="A144" s="226"/>
      <c r="B144" s="226"/>
      <c r="C144" s="226"/>
      <c r="D144" s="226"/>
      <c r="E144" s="226"/>
      <c r="F144" s="226"/>
      <c r="G144" s="226"/>
      <c r="H144" s="226"/>
      <c r="I144" s="9" t="str">
        <f t="shared" si="2"/>
        <v>__</v>
      </c>
    </row>
    <row r="145" spans="1:9" x14ac:dyDescent="0.35">
      <c r="A145" s="226"/>
      <c r="B145" s="226"/>
      <c r="C145" s="226"/>
      <c r="D145" s="226"/>
      <c r="E145" s="226"/>
      <c r="F145" s="226"/>
      <c r="G145" s="226"/>
      <c r="H145" s="226"/>
      <c r="I145" s="9" t="str">
        <f t="shared" si="2"/>
        <v>__</v>
      </c>
    </row>
    <row r="146" spans="1:9" x14ac:dyDescent="0.35">
      <c r="A146" s="226"/>
      <c r="B146" s="226"/>
      <c r="C146" s="226"/>
      <c r="D146" s="226"/>
      <c r="E146" s="226"/>
      <c r="F146" s="226"/>
      <c r="G146" s="226"/>
      <c r="H146" s="226"/>
      <c r="I146" s="9" t="str">
        <f t="shared" si="2"/>
        <v>__</v>
      </c>
    </row>
    <row r="147" spans="1:9" x14ac:dyDescent="0.35">
      <c r="A147" s="226"/>
      <c r="B147" s="226"/>
      <c r="C147" s="226"/>
      <c r="D147" s="226"/>
      <c r="E147" s="226"/>
      <c r="F147" s="226"/>
      <c r="G147" s="226"/>
      <c r="H147" s="226"/>
      <c r="I147" s="9" t="str">
        <f t="shared" si="2"/>
        <v>__</v>
      </c>
    </row>
    <row r="148" spans="1:9" x14ac:dyDescent="0.35">
      <c r="A148" s="226"/>
      <c r="B148" s="226"/>
      <c r="C148" s="226"/>
      <c r="D148" s="226"/>
      <c r="E148" s="226"/>
      <c r="F148" s="226"/>
      <c r="G148" s="226"/>
      <c r="H148" s="226"/>
      <c r="I148" s="9" t="str">
        <f t="shared" si="2"/>
        <v>__</v>
      </c>
    </row>
    <row r="149" spans="1:9" x14ac:dyDescent="0.35">
      <c r="A149" s="226"/>
      <c r="B149" s="226"/>
      <c r="C149" s="226"/>
      <c r="D149" s="226"/>
      <c r="E149" s="226"/>
      <c r="F149" s="226"/>
      <c r="G149" s="226"/>
      <c r="H149" s="226"/>
      <c r="I149" s="9" t="str">
        <f t="shared" si="2"/>
        <v>__</v>
      </c>
    </row>
    <row r="150" spans="1:9" x14ac:dyDescent="0.35">
      <c r="A150" s="226"/>
      <c r="B150" s="226"/>
      <c r="C150" s="226"/>
      <c r="D150" s="226"/>
      <c r="E150" s="226"/>
      <c r="F150" s="226"/>
      <c r="G150" s="226"/>
      <c r="H150" s="226"/>
      <c r="I150" s="9" t="str">
        <f t="shared" si="2"/>
        <v>__</v>
      </c>
    </row>
    <row r="151" spans="1:9" x14ac:dyDescent="0.35">
      <c r="A151" s="226"/>
      <c r="B151" s="226"/>
      <c r="C151" s="226"/>
      <c r="D151" s="226"/>
      <c r="E151" s="226"/>
      <c r="F151" s="226"/>
      <c r="G151" s="226"/>
      <c r="H151" s="226"/>
      <c r="I151" s="9" t="str">
        <f t="shared" si="2"/>
        <v>__</v>
      </c>
    </row>
    <row r="152" spans="1:9" x14ac:dyDescent="0.35">
      <c r="A152" s="226"/>
      <c r="B152" s="226"/>
      <c r="C152" s="226"/>
      <c r="D152" s="226"/>
      <c r="E152" s="226"/>
      <c r="F152" s="226"/>
      <c r="G152" s="226"/>
      <c r="H152" s="226"/>
      <c r="I152" s="9" t="str">
        <f t="shared" si="2"/>
        <v>__</v>
      </c>
    </row>
    <row r="153" spans="1:9" x14ac:dyDescent="0.35">
      <c r="A153" s="226"/>
      <c r="B153" s="226"/>
      <c r="C153" s="226"/>
      <c r="D153" s="226"/>
      <c r="E153" s="226"/>
      <c r="F153" s="226"/>
      <c r="G153" s="226"/>
      <c r="H153" s="226"/>
      <c r="I153" s="9" t="str">
        <f t="shared" si="2"/>
        <v>__</v>
      </c>
    </row>
    <row r="154" spans="1:9" x14ac:dyDescent="0.35">
      <c r="A154" s="226"/>
      <c r="B154" s="226"/>
      <c r="C154" s="226"/>
      <c r="D154" s="226"/>
      <c r="E154" s="226"/>
      <c r="F154" s="226"/>
      <c r="G154" s="226"/>
      <c r="H154" s="226"/>
      <c r="I154" s="9" t="str">
        <f t="shared" si="2"/>
        <v>__</v>
      </c>
    </row>
    <row r="155" spans="1:9" x14ac:dyDescent="0.35">
      <c r="A155" s="226"/>
      <c r="B155" s="226"/>
      <c r="C155" s="226"/>
      <c r="D155" s="226"/>
      <c r="E155" s="226"/>
      <c r="F155" s="226"/>
      <c r="G155" s="226"/>
      <c r="H155" s="226"/>
      <c r="I155" s="9" t="str">
        <f t="shared" si="2"/>
        <v>__</v>
      </c>
    </row>
    <row r="156" spans="1:9" x14ac:dyDescent="0.35">
      <c r="A156" s="226"/>
      <c r="B156" s="226"/>
      <c r="C156" s="226"/>
      <c r="D156" s="226"/>
      <c r="E156" s="226"/>
      <c r="F156" s="226"/>
      <c r="G156" s="226"/>
      <c r="H156" s="226"/>
      <c r="I156" s="9" t="str">
        <f t="shared" si="2"/>
        <v>__</v>
      </c>
    </row>
    <row r="157" spans="1:9" x14ac:dyDescent="0.35">
      <c r="A157" s="226"/>
      <c r="B157" s="226"/>
      <c r="C157" s="226"/>
      <c r="D157" s="226"/>
      <c r="E157" s="226"/>
      <c r="F157" s="226"/>
      <c r="G157" s="226"/>
      <c r="H157" s="226"/>
      <c r="I157" s="9" t="str">
        <f t="shared" si="2"/>
        <v>__</v>
      </c>
    </row>
    <row r="158" spans="1:9" x14ac:dyDescent="0.35">
      <c r="A158" s="226"/>
      <c r="B158" s="226"/>
      <c r="C158" s="226"/>
      <c r="D158" s="226"/>
      <c r="E158" s="226"/>
      <c r="F158" s="226"/>
      <c r="G158" s="226"/>
      <c r="H158" s="226"/>
      <c r="I158" s="9" t="str">
        <f t="shared" si="2"/>
        <v>__</v>
      </c>
    </row>
    <row r="159" spans="1:9" x14ac:dyDescent="0.35">
      <c r="A159" s="226"/>
      <c r="B159" s="226"/>
      <c r="C159" s="226"/>
      <c r="D159" s="226"/>
      <c r="E159" s="226"/>
      <c r="F159" s="226"/>
      <c r="G159" s="226"/>
      <c r="H159" s="226"/>
      <c r="I159" s="9" t="str">
        <f t="shared" si="2"/>
        <v>__</v>
      </c>
    </row>
    <row r="160" spans="1:9" x14ac:dyDescent="0.35">
      <c r="A160" s="226"/>
      <c r="B160" s="226"/>
      <c r="C160" s="226"/>
      <c r="D160" s="226"/>
      <c r="E160" s="226"/>
      <c r="F160" s="226"/>
      <c r="G160" s="226"/>
      <c r="H160" s="226"/>
      <c r="I160" s="9" t="str">
        <f t="shared" si="2"/>
        <v>__</v>
      </c>
    </row>
    <row r="161" spans="1:9" x14ac:dyDescent="0.35">
      <c r="A161" s="226"/>
      <c r="B161" s="226"/>
      <c r="C161" s="226"/>
      <c r="D161" s="226"/>
      <c r="E161" s="226"/>
      <c r="F161" s="226"/>
      <c r="G161" s="226"/>
      <c r="H161" s="226"/>
      <c r="I161" s="9" t="str">
        <f t="shared" si="2"/>
        <v>__</v>
      </c>
    </row>
    <row r="162" spans="1:9" x14ac:dyDescent="0.35">
      <c r="A162" s="226"/>
      <c r="B162" s="226"/>
      <c r="C162" s="226"/>
      <c r="D162" s="226"/>
      <c r="E162" s="226"/>
      <c r="F162" s="226"/>
      <c r="G162" s="226"/>
      <c r="H162" s="226"/>
      <c r="I162" s="9" t="str">
        <f t="shared" si="2"/>
        <v>__</v>
      </c>
    </row>
    <row r="163" spans="1:9" x14ac:dyDescent="0.35">
      <c r="A163" s="226"/>
      <c r="B163" s="226"/>
      <c r="C163" s="226"/>
      <c r="D163" s="226"/>
      <c r="E163" s="226"/>
      <c r="F163" s="226"/>
      <c r="G163" s="226"/>
      <c r="H163" s="226"/>
      <c r="I163" s="9" t="str">
        <f t="shared" si="2"/>
        <v>__</v>
      </c>
    </row>
    <row r="164" spans="1:9" x14ac:dyDescent="0.35">
      <c r="A164" s="226"/>
      <c r="B164" s="226"/>
      <c r="C164" s="226"/>
      <c r="D164" s="226"/>
      <c r="E164" s="226"/>
      <c r="F164" s="226"/>
      <c r="G164" s="226"/>
      <c r="H164" s="226"/>
      <c r="I164" s="9" t="str">
        <f t="shared" si="2"/>
        <v>__</v>
      </c>
    </row>
    <row r="165" spans="1:9" x14ac:dyDescent="0.35">
      <c r="A165" s="226"/>
      <c r="B165" s="226"/>
      <c r="C165" s="226"/>
      <c r="D165" s="226"/>
      <c r="E165" s="226"/>
      <c r="F165" s="226"/>
      <c r="G165" s="226"/>
      <c r="H165" s="226"/>
      <c r="I165" s="9" t="str">
        <f t="shared" si="2"/>
        <v>__</v>
      </c>
    </row>
    <row r="166" spans="1:9" x14ac:dyDescent="0.35">
      <c r="A166" s="226"/>
      <c r="B166" s="226"/>
      <c r="C166" s="226"/>
      <c r="D166" s="226"/>
      <c r="E166" s="226"/>
      <c r="F166" s="226"/>
      <c r="G166" s="226"/>
      <c r="H166" s="226"/>
      <c r="I166" s="9" t="str">
        <f t="shared" si="2"/>
        <v>__</v>
      </c>
    </row>
    <row r="167" spans="1:9" x14ac:dyDescent="0.35">
      <c r="A167" s="226"/>
      <c r="B167" s="226"/>
      <c r="C167" s="226"/>
      <c r="D167" s="226"/>
      <c r="E167" s="226"/>
      <c r="F167" s="226"/>
      <c r="G167" s="226"/>
      <c r="H167" s="226"/>
      <c r="I167" s="9" t="str">
        <f t="shared" si="2"/>
        <v>__</v>
      </c>
    </row>
    <row r="168" spans="1:9" x14ac:dyDescent="0.35">
      <c r="A168" s="226"/>
      <c r="B168" s="226"/>
      <c r="C168" s="226"/>
      <c r="D168" s="226"/>
      <c r="E168" s="226"/>
      <c r="F168" s="226"/>
      <c r="G168" s="226"/>
      <c r="H168" s="226"/>
      <c r="I168" s="9" t="str">
        <f t="shared" si="2"/>
        <v>__</v>
      </c>
    </row>
    <row r="169" spans="1:9" x14ac:dyDescent="0.35">
      <c r="A169" s="226"/>
      <c r="B169" s="226"/>
      <c r="C169" s="226"/>
      <c r="D169" s="226"/>
      <c r="E169" s="226"/>
      <c r="F169" s="226"/>
      <c r="G169" s="226"/>
      <c r="H169" s="226"/>
      <c r="I169" s="9" t="str">
        <f t="shared" si="2"/>
        <v>__</v>
      </c>
    </row>
    <row r="170" spans="1:9" x14ac:dyDescent="0.35">
      <c r="A170" s="226"/>
      <c r="B170" s="226"/>
      <c r="C170" s="226"/>
      <c r="D170" s="226"/>
      <c r="E170" s="226"/>
      <c r="F170" s="226"/>
      <c r="G170" s="226"/>
      <c r="H170" s="226"/>
      <c r="I170" s="9" t="str">
        <f t="shared" si="2"/>
        <v>__</v>
      </c>
    </row>
    <row r="171" spans="1:9" x14ac:dyDescent="0.35">
      <c r="A171" s="226"/>
      <c r="B171" s="226"/>
      <c r="C171" s="226"/>
      <c r="D171" s="226"/>
      <c r="E171" s="226"/>
      <c r="F171" s="226"/>
      <c r="G171" s="226"/>
      <c r="H171" s="226"/>
      <c r="I171" s="9" t="str">
        <f t="shared" si="2"/>
        <v>__</v>
      </c>
    </row>
    <row r="172" spans="1:9" x14ac:dyDescent="0.35">
      <c r="A172" s="226"/>
      <c r="B172" s="226"/>
      <c r="C172" s="226"/>
      <c r="D172" s="226"/>
      <c r="E172" s="226"/>
      <c r="F172" s="226"/>
      <c r="G172" s="226"/>
      <c r="H172" s="226"/>
      <c r="I172" s="9" t="str">
        <f t="shared" si="2"/>
        <v>__</v>
      </c>
    </row>
    <row r="173" spans="1:9" x14ac:dyDescent="0.35">
      <c r="A173" s="226"/>
      <c r="B173" s="226"/>
      <c r="C173" s="226"/>
      <c r="D173" s="226"/>
      <c r="E173" s="226"/>
      <c r="F173" s="226"/>
      <c r="G173" s="226"/>
      <c r="H173" s="226"/>
      <c r="I173" s="9" t="str">
        <f t="shared" si="2"/>
        <v>__</v>
      </c>
    </row>
    <row r="174" spans="1:9" x14ac:dyDescent="0.35">
      <c r="A174" s="226"/>
      <c r="B174" s="226"/>
      <c r="C174" s="226"/>
      <c r="D174" s="226"/>
      <c r="E174" s="226"/>
      <c r="F174" s="226"/>
      <c r="G174" s="226"/>
      <c r="H174" s="226"/>
      <c r="I174" s="9" t="str">
        <f t="shared" si="2"/>
        <v>__</v>
      </c>
    </row>
    <row r="175" spans="1:9" x14ac:dyDescent="0.35">
      <c r="A175" s="226"/>
      <c r="B175" s="226"/>
      <c r="C175" s="226"/>
      <c r="D175" s="226"/>
      <c r="E175" s="226"/>
      <c r="F175" s="226"/>
      <c r="G175" s="226"/>
      <c r="H175" s="226"/>
      <c r="I175" s="9" t="str">
        <f t="shared" si="2"/>
        <v>__</v>
      </c>
    </row>
    <row r="176" spans="1:9" x14ac:dyDescent="0.35">
      <c r="A176" s="226"/>
      <c r="B176" s="226"/>
      <c r="C176" s="226"/>
      <c r="D176" s="226"/>
      <c r="E176" s="226"/>
      <c r="F176" s="226"/>
      <c r="G176" s="226"/>
      <c r="H176" s="226"/>
      <c r="I176" s="9" t="str">
        <f t="shared" si="2"/>
        <v>__</v>
      </c>
    </row>
    <row r="177" spans="1:9" x14ac:dyDescent="0.35">
      <c r="A177" s="226"/>
      <c r="B177" s="226"/>
      <c r="C177" s="226"/>
      <c r="D177" s="226"/>
      <c r="E177" s="226"/>
      <c r="F177" s="226"/>
      <c r="G177" s="226"/>
      <c r="H177" s="226"/>
      <c r="I177" s="9" t="str">
        <f t="shared" si="2"/>
        <v>__</v>
      </c>
    </row>
    <row r="178" spans="1:9" x14ac:dyDescent="0.35">
      <c r="A178" s="226"/>
      <c r="B178" s="226"/>
      <c r="C178" s="226"/>
      <c r="D178" s="226"/>
      <c r="E178" s="226"/>
      <c r="F178" s="226"/>
      <c r="G178" s="226"/>
      <c r="H178" s="226"/>
      <c r="I178" s="9" t="str">
        <f t="shared" si="2"/>
        <v>__</v>
      </c>
    </row>
    <row r="179" spans="1:9" x14ac:dyDescent="0.35">
      <c r="A179" s="226"/>
      <c r="B179" s="226"/>
      <c r="C179" s="226"/>
      <c r="D179" s="226"/>
      <c r="E179" s="226"/>
      <c r="F179" s="226"/>
      <c r="G179" s="226"/>
      <c r="H179" s="226"/>
      <c r="I179" s="9" t="str">
        <f t="shared" si="2"/>
        <v>__</v>
      </c>
    </row>
    <row r="180" spans="1:9" x14ac:dyDescent="0.35">
      <c r="A180" s="226"/>
      <c r="B180" s="226"/>
      <c r="C180" s="226"/>
      <c r="D180" s="226"/>
      <c r="E180" s="226"/>
      <c r="F180" s="226"/>
      <c r="G180" s="226"/>
      <c r="H180" s="226"/>
      <c r="I180" s="9" t="str">
        <f t="shared" si="2"/>
        <v>__</v>
      </c>
    </row>
    <row r="181" spans="1:9" x14ac:dyDescent="0.35">
      <c r="A181" s="226"/>
      <c r="B181" s="226"/>
      <c r="C181" s="226"/>
      <c r="D181" s="226"/>
      <c r="E181" s="226"/>
      <c r="F181" s="226"/>
      <c r="G181" s="226"/>
      <c r="H181" s="226"/>
      <c r="I181" s="9" t="str">
        <f t="shared" si="2"/>
        <v>__</v>
      </c>
    </row>
    <row r="182" spans="1:9" x14ac:dyDescent="0.35">
      <c r="A182" s="226"/>
      <c r="B182" s="226"/>
      <c r="C182" s="226"/>
      <c r="D182" s="226"/>
      <c r="E182" s="226"/>
      <c r="F182" s="226"/>
      <c r="G182" s="226"/>
      <c r="H182" s="226"/>
      <c r="I182" s="9" t="str">
        <f t="shared" si="2"/>
        <v>__</v>
      </c>
    </row>
    <row r="183" spans="1:9" x14ac:dyDescent="0.35">
      <c r="A183" s="226"/>
      <c r="B183" s="226"/>
      <c r="C183" s="226"/>
      <c r="D183" s="226"/>
      <c r="E183" s="226"/>
      <c r="F183" s="226"/>
      <c r="G183" s="226"/>
      <c r="H183" s="226"/>
      <c r="I183" s="9" t="str">
        <f t="shared" si="2"/>
        <v>__</v>
      </c>
    </row>
    <row r="184" spans="1:9" x14ac:dyDescent="0.35">
      <c r="A184" s="226"/>
      <c r="B184" s="226"/>
      <c r="C184" s="226"/>
      <c r="D184" s="226"/>
      <c r="E184" s="226"/>
      <c r="F184" s="226"/>
      <c r="G184" s="226"/>
      <c r="H184" s="226"/>
      <c r="I184" s="9" t="str">
        <f t="shared" si="2"/>
        <v>__</v>
      </c>
    </row>
    <row r="185" spans="1:9" x14ac:dyDescent="0.35">
      <c r="A185" s="226"/>
      <c r="B185" s="226"/>
      <c r="C185" s="226"/>
      <c r="D185" s="226"/>
      <c r="E185" s="226"/>
      <c r="F185" s="226"/>
      <c r="G185" s="226"/>
      <c r="H185" s="226"/>
      <c r="I185" s="9" t="str">
        <f t="shared" si="2"/>
        <v>__</v>
      </c>
    </row>
    <row r="186" spans="1:9" x14ac:dyDescent="0.35">
      <c r="A186" s="226"/>
      <c r="B186" s="226"/>
      <c r="C186" s="226"/>
      <c r="D186" s="226"/>
      <c r="E186" s="226"/>
      <c r="F186" s="226"/>
      <c r="G186" s="226"/>
      <c r="H186" s="226"/>
      <c r="I186" s="9" t="str">
        <f t="shared" si="2"/>
        <v>__</v>
      </c>
    </row>
    <row r="187" spans="1:9" x14ac:dyDescent="0.35">
      <c r="A187" s="226"/>
      <c r="B187" s="226"/>
      <c r="C187" s="226"/>
      <c r="D187" s="226"/>
      <c r="E187" s="226"/>
      <c r="F187" s="226"/>
      <c r="G187" s="226"/>
      <c r="H187" s="226"/>
      <c r="I187" s="9" t="str">
        <f t="shared" si="2"/>
        <v>__</v>
      </c>
    </row>
    <row r="188" spans="1:9" x14ac:dyDescent="0.35">
      <c r="A188" s="226"/>
      <c r="B188" s="226"/>
      <c r="C188" s="226"/>
      <c r="D188" s="226"/>
      <c r="E188" s="226"/>
      <c r="F188" s="226"/>
      <c r="G188" s="226"/>
      <c r="H188" s="226"/>
      <c r="I188" s="9" t="str">
        <f t="shared" si="2"/>
        <v>__</v>
      </c>
    </row>
    <row r="189" spans="1:9" x14ac:dyDescent="0.35">
      <c r="A189" s="226"/>
      <c r="B189" s="226"/>
      <c r="C189" s="226"/>
      <c r="D189" s="226"/>
      <c r="E189" s="226"/>
      <c r="F189" s="226"/>
      <c r="G189" s="226"/>
      <c r="H189" s="226"/>
      <c r="I189" s="9" t="str">
        <f t="shared" si="2"/>
        <v>__</v>
      </c>
    </row>
    <row r="190" spans="1:9" x14ac:dyDescent="0.35">
      <c r="A190" s="226"/>
      <c r="B190" s="226"/>
      <c r="C190" s="226"/>
      <c r="D190" s="226"/>
      <c r="E190" s="226"/>
      <c r="F190" s="226"/>
      <c r="G190" s="226"/>
      <c r="H190" s="226"/>
      <c r="I190" s="9" t="str">
        <f t="shared" si="2"/>
        <v>__</v>
      </c>
    </row>
    <row r="191" spans="1:9" x14ac:dyDescent="0.35">
      <c r="A191" s="226"/>
      <c r="B191" s="226"/>
      <c r="C191" s="226"/>
      <c r="D191" s="226"/>
      <c r="E191" s="226"/>
      <c r="F191" s="226"/>
      <c r="G191" s="226"/>
      <c r="H191" s="226"/>
      <c r="I191" s="9" t="str">
        <f t="shared" si="2"/>
        <v>__</v>
      </c>
    </row>
    <row r="192" spans="1:9" x14ac:dyDescent="0.35">
      <c r="A192" s="226"/>
      <c r="B192" s="226"/>
      <c r="C192" s="226"/>
      <c r="D192" s="226"/>
      <c r="E192" s="226"/>
      <c r="F192" s="226"/>
      <c r="G192" s="226"/>
      <c r="H192" s="226"/>
      <c r="I192" s="9" t="str">
        <f t="shared" si="2"/>
        <v>__</v>
      </c>
    </row>
    <row r="193" spans="1:9" x14ac:dyDescent="0.35">
      <c r="A193" s="226"/>
      <c r="B193" s="226"/>
      <c r="C193" s="226"/>
      <c r="D193" s="226"/>
      <c r="E193" s="226"/>
      <c r="F193" s="226"/>
      <c r="G193" s="226"/>
      <c r="H193" s="226"/>
      <c r="I193" s="9" t="str">
        <f t="shared" si="2"/>
        <v>__</v>
      </c>
    </row>
    <row r="194" spans="1:9" x14ac:dyDescent="0.35">
      <c r="A194" s="226"/>
      <c r="B194" s="226"/>
      <c r="C194" s="226"/>
      <c r="D194" s="226"/>
      <c r="E194" s="226"/>
      <c r="F194" s="226"/>
      <c r="G194" s="226"/>
      <c r="H194" s="226"/>
      <c r="I194" s="9" t="str">
        <f t="shared" si="2"/>
        <v>__</v>
      </c>
    </row>
    <row r="195" spans="1:9" x14ac:dyDescent="0.35">
      <c r="A195" s="226"/>
      <c r="B195" s="226"/>
      <c r="C195" s="226"/>
      <c r="D195" s="226"/>
      <c r="E195" s="226"/>
      <c r="F195" s="226"/>
      <c r="G195" s="226"/>
      <c r="H195" s="226"/>
      <c r="I195" s="9" t="str">
        <f t="shared" si="2"/>
        <v>__</v>
      </c>
    </row>
    <row r="196" spans="1:9" x14ac:dyDescent="0.35">
      <c r="A196" s="226"/>
      <c r="B196" s="226"/>
      <c r="C196" s="226"/>
      <c r="D196" s="226"/>
      <c r="E196" s="226"/>
      <c r="F196" s="226"/>
      <c r="G196" s="226"/>
      <c r="H196" s="226"/>
      <c r="I196" s="9" t="str">
        <f t="shared" si="2"/>
        <v>__</v>
      </c>
    </row>
    <row r="197" spans="1:9" x14ac:dyDescent="0.35">
      <c r="A197" s="226"/>
      <c r="B197" s="226"/>
      <c r="C197" s="226"/>
      <c r="D197" s="226"/>
      <c r="E197" s="226"/>
      <c r="F197" s="226"/>
      <c r="G197" s="226"/>
      <c r="H197" s="226"/>
      <c r="I197" s="9" t="str">
        <f t="shared" ref="I197:I260" si="3">CONCATENATE(A197,"_",B197,"_",C197)</f>
        <v>__</v>
      </c>
    </row>
    <row r="198" spans="1:9" x14ac:dyDescent="0.35">
      <c r="A198" s="226"/>
      <c r="B198" s="226"/>
      <c r="C198" s="226"/>
      <c r="D198" s="226"/>
      <c r="E198" s="226"/>
      <c r="F198" s="226"/>
      <c r="G198" s="226"/>
      <c r="H198" s="226"/>
      <c r="I198" s="9" t="str">
        <f t="shared" si="3"/>
        <v>__</v>
      </c>
    </row>
    <row r="199" spans="1:9" x14ac:dyDescent="0.35">
      <c r="A199" s="226"/>
      <c r="B199" s="226"/>
      <c r="C199" s="226"/>
      <c r="D199" s="226"/>
      <c r="E199" s="226"/>
      <c r="F199" s="226"/>
      <c r="G199" s="226"/>
      <c r="H199" s="226"/>
      <c r="I199" s="9" t="str">
        <f t="shared" si="3"/>
        <v>__</v>
      </c>
    </row>
    <row r="200" spans="1:9" x14ac:dyDescent="0.35">
      <c r="A200" s="226"/>
      <c r="B200" s="226"/>
      <c r="C200" s="226"/>
      <c r="D200" s="226"/>
      <c r="E200" s="226"/>
      <c r="F200" s="226"/>
      <c r="G200" s="226"/>
      <c r="H200" s="226"/>
      <c r="I200" s="9" t="str">
        <f t="shared" si="3"/>
        <v>__</v>
      </c>
    </row>
    <row r="201" spans="1:9" x14ac:dyDescent="0.35">
      <c r="A201" s="226"/>
      <c r="B201" s="226"/>
      <c r="C201" s="226"/>
      <c r="D201" s="226"/>
      <c r="E201" s="226"/>
      <c r="F201" s="226"/>
      <c r="G201" s="226"/>
      <c r="H201" s="226"/>
      <c r="I201" s="9" t="str">
        <f t="shared" si="3"/>
        <v>__</v>
      </c>
    </row>
    <row r="202" spans="1:9" x14ac:dyDescent="0.35">
      <c r="A202" s="226"/>
      <c r="B202" s="226"/>
      <c r="C202" s="226"/>
      <c r="D202" s="226"/>
      <c r="E202" s="226"/>
      <c r="F202" s="226"/>
      <c r="G202" s="226"/>
      <c r="H202" s="226"/>
      <c r="I202" s="9" t="str">
        <f t="shared" si="3"/>
        <v>__</v>
      </c>
    </row>
    <row r="203" spans="1:9" x14ac:dyDescent="0.35">
      <c r="A203" s="226"/>
      <c r="B203" s="226"/>
      <c r="C203" s="226"/>
      <c r="D203" s="226"/>
      <c r="E203" s="226"/>
      <c r="F203" s="226"/>
      <c r="G203" s="226"/>
      <c r="H203" s="226"/>
      <c r="I203" s="9" t="str">
        <f t="shared" si="3"/>
        <v>__</v>
      </c>
    </row>
    <row r="204" spans="1:9" x14ac:dyDescent="0.35">
      <c r="A204" s="226"/>
      <c r="B204" s="226"/>
      <c r="C204" s="226"/>
      <c r="D204" s="226"/>
      <c r="E204" s="226"/>
      <c r="F204" s="226"/>
      <c r="G204" s="226"/>
      <c r="H204" s="226"/>
      <c r="I204" s="9" t="str">
        <f t="shared" si="3"/>
        <v>__</v>
      </c>
    </row>
    <row r="205" spans="1:9" x14ac:dyDescent="0.35">
      <c r="A205" s="226"/>
      <c r="B205" s="226"/>
      <c r="C205" s="226"/>
      <c r="D205" s="226"/>
      <c r="E205" s="226"/>
      <c r="F205" s="226"/>
      <c r="G205" s="226"/>
      <c r="H205" s="226"/>
      <c r="I205" s="9" t="str">
        <f t="shared" si="3"/>
        <v>__</v>
      </c>
    </row>
    <row r="206" spans="1:9" x14ac:dyDescent="0.35">
      <c r="A206" s="226"/>
      <c r="B206" s="226"/>
      <c r="C206" s="226"/>
      <c r="D206" s="226"/>
      <c r="E206" s="226"/>
      <c r="F206" s="226"/>
      <c r="G206" s="226"/>
      <c r="H206" s="226"/>
      <c r="I206" s="9" t="str">
        <f t="shared" si="3"/>
        <v>__</v>
      </c>
    </row>
    <row r="207" spans="1:9" x14ac:dyDescent="0.35">
      <c r="A207" s="226"/>
      <c r="B207" s="226"/>
      <c r="C207" s="226"/>
      <c r="D207" s="226"/>
      <c r="E207" s="226"/>
      <c r="F207" s="226"/>
      <c r="G207" s="226"/>
      <c r="H207" s="226"/>
      <c r="I207" s="9" t="str">
        <f t="shared" si="3"/>
        <v>__</v>
      </c>
    </row>
    <row r="208" spans="1:9" x14ac:dyDescent="0.35">
      <c r="A208" s="226"/>
      <c r="B208" s="226"/>
      <c r="C208" s="226"/>
      <c r="D208" s="226"/>
      <c r="E208" s="226"/>
      <c r="F208" s="226"/>
      <c r="G208" s="226"/>
      <c r="H208" s="226"/>
      <c r="I208" s="9" t="str">
        <f t="shared" si="3"/>
        <v>__</v>
      </c>
    </row>
    <row r="209" spans="1:9" x14ac:dyDescent="0.35">
      <c r="A209" s="226"/>
      <c r="B209" s="226"/>
      <c r="C209" s="226"/>
      <c r="D209" s="226"/>
      <c r="E209" s="226"/>
      <c r="F209" s="226"/>
      <c r="G209" s="226"/>
      <c r="H209" s="226"/>
      <c r="I209" s="9" t="str">
        <f t="shared" si="3"/>
        <v>__</v>
      </c>
    </row>
    <row r="210" spans="1:9" x14ac:dyDescent="0.35">
      <c r="A210" s="226"/>
      <c r="B210" s="226"/>
      <c r="C210" s="226"/>
      <c r="D210" s="226"/>
      <c r="E210" s="226"/>
      <c r="F210" s="226"/>
      <c r="G210" s="226"/>
      <c r="H210" s="226"/>
      <c r="I210" s="9" t="str">
        <f t="shared" si="3"/>
        <v>__</v>
      </c>
    </row>
    <row r="211" spans="1:9" x14ac:dyDescent="0.35">
      <c r="A211" s="226"/>
      <c r="B211" s="226"/>
      <c r="C211" s="226"/>
      <c r="D211" s="226"/>
      <c r="E211" s="226"/>
      <c r="F211" s="226"/>
      <c r="G211" s="226"/>
      <c r="H211" s="226"/>
      <c r="I211" s="9" t="str">
        <f t="shared" si="3"/>
        <v>__</v>
      </c>
    </row>
    <row r="212" spans="1:9" x14ac:dyDescent="0.35">
      <c r="A212" s="226"/>
      <c r="B212" s="226"/>
      <c r="C212" s="226"/>
      <c r="D212" s="226"/>
      <c r="E212" s="226"/>
      <c r="F212" s="226"/>
      <c r="G212" s="226"/>
      <c r="H212" s="226"/>
      <c r="I212" s="9" t="str">
        <f t="shared" si="3"/>
        <v>__</v>
      </c>
    </row>
    <row r="213" spans="1:9" x14ac:dyDescent="0.35">
      <c r="A213" s="226"/>
      <c r="B213" s="226"/>
      <c r="C213" s="226"/>
      <c r="D213" s="226"/>
      <c r="E213" s="226"/>
      <c r="F213" s="226"/>
      <c r="G213" s="226"/>
      <c r="H213" s="226"/>
      <c r="I213" s="9" t="str">
        <f t="shared" si="3"/>
        <v>__</v>
      </c>
    </row>
    <row r="214" spans="1:9" x14ac:dyDescent="0.35">
      <c r="A214" s="226"/>
      <c r="B214" s="226"/>
      <c r="C214" s="226"/>
      <c r="D214" s="226"/>
      <c r="E214" s="226"/>
      <c r="F214" s="226"/>
      <c r="G214" s="226"/>
      <c r="H214" s="226"/>
      <c r="I214" s="9" t="str">
        <f t="shared" si="3"/>
        <v>__</v>
      </c>
    </row>
    <row r="215" spans="1:9" x14ac:dyDescent="0.35">
      <c r="A215" s="226"/>
      <c r="B215" s="226"/>
      <c r="C215" s="226"/>
      <c r="D215" s="226"/>
      <c r="E215" s="226"/>
      <c r="F215" s="226"/>
      <c r="G215" s="226"/>
      <c r="H215" s="226"/>
      <c r="I215" s="9" t="str">
        <f t="shared" si="3"/>
        <v>__</v>
      </c>
    </row>
    <row r="216" spans="1:9" x14ac:dyDescent="0.35">
      <c r="A216" s="226"/>
      <c r="B216" s="226"/>
      <c r="C216" s="226"/>
      <c r="D216" s="226"/>
      <c r="E216" s="226"/>
      <c r="F216" s="226"/>
      <c r="G216" s="226"/>
      <c r="H216" s="226"/>
      <c r="I216" s="9" t="str">
        <f t="shared" si="3"/>
        <v>__</v>
      </c>
    </row>
    <row r="217" spans="1:9" x14ac:dyDescent="0.35">
      <c r="A217" s="226"/>
      <c r="B217" s="226"/>
      <c r="C217" s="226"/>
      <c r="D217" s="226"/>
      <c r="E217" s="226"/>
      <c r="F217" s="226"/>
      <c r="G217" s="226"/>
      <c r="H217" s="226"/>
      <c r="I217" s="9" t="str">
        <f t="shared" si="3"/>
        <v>__</v>
      </c>
    </row>
    <row r="218" spans="1:9" x14ac:dyDescent="0.35">
      <c r="A218" s="226"/>
      <c r="B218" s="226"/>
      <c r="C218" s="226"/>
      <c r="D218" s="226"/>
      <c r="E218" s="226"/>
      <c r="F218" s="226"/>
      <c r="G218" s="226"/>
      <c r="H218" s="226"/>
      <c r="I218" s="9" t="str">
        <f t="shared" si="3"/>
        <v>__</v>
      </c>
    </row>
    <row r="219" spans="1:9" x14ac:dyDescent="0.35">
      <c r="A219" s="226"/>
      <c r="B219" s="226"/>
      <c r="C219" s="226"/>
      <c r="D219" s="226"/>
      <c r="E219" s="226"/>
      <c r="F219" s="226"/>
      <c r="G219" s="226"/>
      <c r="H219" s="226"/>
      <c r="I219" s="9" t="str">
        <f t="shared" si="3"/>
        <v>__</v>
      </c>
    </row>
    <row r="220" spans="1:9" x14ac:dyDescent="0.35">
      <c r="A220" s="226"/>
      <c r="B220" s="226"/>
      <c r="C220" s="226"/>
      <c r="D220" s="226"/>
      <c r="E220" s="226"/>
      <c r="F220" s="226"/>
      <c r="G220" s="226"/>
      <c r="H220" s="226"/>
      <c r="I220" s="9" t="str">
        <f t="shared" si="3"/>
        <v>__</v>
      </c>
    </row>
    <row r="221" spans="1:9" x14ac:dyDescent="0.35">
      <c r="A221" s="226"/>
      <c r="B221" s="226"/>
      <c r="C221" s="226"/>
      <c r="D221" s="226"/>
      <c r="E221" s="226"/>
      <c r="F221" s="226"/>
      <c r="G221" s="226"/>
      <c r="H221" s="226"/>
      <c r="I221" s="9" t="str">
        <f t="shared" si="3"/>
        <v>__</v>
      </c>
    </row>
    <row r="222" spans="1:9" x14ac:dyDescent="0.35">
      <c r="A222" s="226"/>
      <c r="B222" s="226"/>
      <c r="C222" s="226"/>
      <c r="D222" s="226"/>
      <c r="E222" s="226"/>
      <c r="F222" s="226"/>
      <c r="G222" s="226"/>
      <c r="H222" s="226"/>
      <c r="I222" s="9" t="str">
        <f t="shared" si="3"/>
        <v>__</v>
      </c>
    </row>
    <row r="223" spans="1:9" x14ac:dyDescent="0.35">
      <c r="A223" s="226"/>
      <c r="B223" s="226"/>
      <c r="C223" s="226"/>
      <c r="D223" s="226"/>
      <c r="E223" s="226"/>
      <c r="F223" s="226"/>
      <c r="G223" s="226"/>
      <c r="H223" s="226"/>
      <c r="I223" s="9" t="str">
        <f t="shared" si="3"/>
        <v>__</v>
      </c>
    </row>
    <row r="224" spans="1:9" x14ac:dyDescent="0.35">
      <c r="A224" s="226"/>
      <c r="B224" s="226"/>
      <c r="C224" s="226"/>
      <c r="D224" s="226"/>
      <c r="E224" s="226"/>
      <c r="F224" s="226"/>
      <c r="G224" s="226"/>
      <c r="H224" s="226"/>
      <c r="I224" s="9" t="str">
        <f t="shared" si="3"/>
        <v>__</v>
      </c>
    </row>
    <row r="225" spans="1:9" x14ac:dyDescent="0.35">
      <c r="A225" s="226"/>
      <c r="B225" s="226"/>
      <c r="C225" s="226"/>
      <c r="D225" s="226"/>
      <c r="E225" s="226"/>
      <c r="F225" s="226"/>
      <c r="G225" s="226"/>
      <c r="H225" s="226"/>
      <c r="I225" s="9" t="str">
        <f t="shared" si="3"/>
        <v>__</v>
      </c>
    </row>
    <row r="226" spans="1:9" x14ac:dyDescent="0.35">
      <c r="A226" s="226"/>
      <c r="B226" s="226"/>
      <c r="C226" s="226"/>
      <c r="D226" s="226"/>
      <c r="E226" s="226"/>
      <c r="F226" s="226"/>
      <c r="G226" s="226"/>
      <c r="H226" s="226"/>
      <c r="I226" s="9" t="str">
        <f t="shared" si="3"/>
        <v>__</v>
      </c>
    </row>
    <row r="227" spans="1:9" x14ac:dyDescent="0.35">
      <c r="A227" s="226"/>
      <c r="B227" s="226"/>
      <c r="C227" s="226"/>
      <c r="D227" s="226"/>
      <c r="E227" s="226"/>
      <c r="F227" s="226"/>
      <c r="G227" s="226"/>
      <c r="H227" s="226"/>
      <c r="I227" s="9" t="str">
        <f t="shared" si="3"/>
        <v>__</v>
      </c>
    </row>
    <row r="228" spans="1:9" x14ac:dyDescent="0.35">
      <c r="A228" s="226"/>
      <c r="B228" s="226"/>
      <c r="C228" s="226"/>
      <c r="D228" s="226"/>
      <c r="E228" s="226"/>
      <c r="F228" s="226"/>
      <c r="G228" s="226"/>
      <c r="H228" s="226"/>
      <c r="I228" s="9" t="str">
        <f t="shared" si="3"/>
        <v>__</v>
      </c>
    </row>
    <row r="229" spans="1:9" x14ac:dyDescent="0.35">
      <c r="A229" s="226"/>
      <c r="B229" s="226"/>
      <c r="C229" s="226"/>
      <c r="D229" s="226"/>
      <c r="E229" s="226"/>
      <c r="F229" s="226"/>
      <c r="G229" s="226"/>
      <c r="H229" s="226"/>
      <c r="I229" s="9" t="str">
        <f t="shared" si="3"/>
        <v>__</v>
      </c>
    </row>
    <row r="230" spans="1:9" x14ac:dyDescent="0.35">
      <c r="A230" s="226"/>
      <c r="B230" s="226"/>
      <c r="C230" s="226"/>
      <c r="D230" s="226"/>
      <c r="E230" s="226"/>
      <c r="F230" s="226"/>
      <c r="G230" s="226"/>
      <c r="H230" s="226"/>
      <c r="I230" s="9" t="str">
        <f t="shared" si="3"/>
        <v>__</v>
      </c>
    </row>
    <row r="231" spans="1:9" x14ac:dyDescent="0.35">
      <c r="A231" s="226"/>
      <c r="B231" s="226"/>
      <c r="C231" s="226"/>
      <c r="D231" s="226"/>
      <c r="E231" s="226"/>
      <c r="F231" s="226"/>
      <c r="G231" s="226"/>
      <c r="H231" s="226"/>
      <c r="I231" s="9" t="str">
        <f t="shared" si="3"/>
        <v>__</v>
      </c>
    </row>
    <row r="232" spans="1:9" x14ac:dyDescent="0.35">
      <c r="A232" s="226"/>
      <c r="B232" s="226"/>
      <c r="C232" s="226"/>
      <c r="D232" s="226"/>
      <c r="E232" s="226"/>
      <c r="F232" s="226"/>
      <c r="G232" s="226"/>
      <c r="H232" s="226"/>
      <c r="I232" s="9" t="str">
        <f t="shared" si="3"/>
        <v>__</v>
      </c>
    </row>
    <row r="233" spans="1:9" x14ac:dyDescent="0.35">
      <c r="A233" s="226"/>
      <c r="B233" s="226"/>
      <c r="C233" s="226"/>
      <c r="D233" s="226"/>
      <c r="E233" s="226"/>
      <c r="F233" s="226"/>
      <c r="G233" s="226"/>
      <c r="H233" s="226"/>
      <c r="I233" s="9" t="str">
        <f t="shared" si="3"/>
        <v>__</v>
      </c>
    </row>
    <row r="234" spans="1:9" x14ac:dyDescent="0.35">
      <c r="A234" s="226"/>
      <c r="B234" s="226"/>
      <c r="C234" s="226"/>
      <c r="D234" s="226"/>
      <c r="E234" s="226"/>
      <c r="F234" s="226"/>
      <c r="G234" s="226"/>
      <c r="H234" s="226"/>
      <c r="I234" s="9" t="str">
        <f t="shared" si="3"/>
        <v>__</v>
      </c>
    </row>
    <row r="235" spans="1:9" x14ac:dyDescent="0.35">
      <c r="A235" s="226"/>
      <c r="B235" s="226"/>
      <c r="C235" s="226"/>
      <c r="D235" s="226"/>
      <c r="E235" s="226"/>
      <c r="F235" s="226"/>
      <c r="G235" s="226"/>
      <c r="H235" s="226"/>
      <c r="I235" s="9" t="str">
        <f t="shared" si="3"/>
        <v>__</v>
      </c>
    </row>
    <row r="236" spans="1:9" x14ac:dyDescent="0.35">
      <c r="A236" s="226"/>
      <c r="B236" s="226"/>
      <c r="C236" s="226"/>
      <c r="D236" s="226"/>
      <c r="E236" s="226"/>
      <c r="F236" s="226"/>
      <c r="G236" s="226"/>
      <c r="H236" s="226"/>
      <c r="I236" s="9" t="str">
        <f t="shared" si="3"/>
        <v>__</v>
      </c>
    </row>
    <row r="237" spans="1:9" x14ac:dyDescent="0.35">
      <c r="A237" s="226"/>
      <c r="B237" s="226"/>
      <c r="C237" s="226"/>
      <c r="D237" s="226"/>
      <c r="E237" s="226"/>
      <c r="F237" s="226"/>
      <c r="G237" s="226"/>
      <c r="H237" s="226"/>
      <c r="I237" s="9" t="str">
        <f t="shared" si="3"/>
        <v>__</v>
      </c>
    </row>
    <row r="238" spans="1:9" x14ac:dyDescent="0.35">
      <c r="A238" s="226"/>
      <c r="B238" s="226"/>
      <c r="C238" s="226"/>
      <c r="D238" s="226"/>
      <c r="E238" s="226"/>
      <c r="F238" s="226"/>
      <c r="G238" s="226"/>
      <c r="H238" s="226"/>
      <c r="I238" s="9" t="str">
        <f t="shared" si="3"/>
        <v>__</v>
      </c>
    </row>
    <row r="239" spans="1:9" x14ac:dyDescent="0.35">
      <c r="A239" s="226"/>
      <c r="B239" s="226"/>
      <c r="C239" s="226"/>
      <c r="D239" s="226"/>
      <c r="E239" s="226"/>
      <c r="F239" s="226"/>
      <c r="G239" s="226"/>
      <c r="H239" s="226"/>
      <c r="I239" s="9" t="str">
        <f t="shared" si="3"/>
        <v>__</v>
      </c>
    </row>
    <row r="240" spans="1:9" x14ac:dyDescent="0.35">
      <c r="A240" s="226"/>
      <c r="B240" s="226"/>
      <c r="C240" s="226"/>
      <c r="D240" s="226"/>
      <c r="E240" s="226"/>
      <c r="F240" s="226"/>
      <c r="G240" s="226"/>
      <c r="H240" s="226"/>
      <c r="I240" s="9" t="str">
        <f t="shared" si="3"/>
        <v>__</v>
      </c>
    </row>
    <row r="241" spans="1:9" x14ac:dyDescent="0.35">
      <c r="A241" s="226"/>
      <c r="B241" s="226"/>
      <c r="C241" s="226"/>
      <c r="D241" s="226"/>
      <c r="E241" s="226"/>
      <c r="F241" s="226"/>
      <c r="G241" s="226"/>
      <c r="H241" s="226"/>
      <c r="I241" s="9" t="str">
        <f t="shared" si="3"/>
        <v>__</v>
      </c>
    </row>
    <row r="242" spans="1:9" x14ac:dyDescent="0.35">
      <c r="A242" s="226"/>
      <c r="B242" s="226"/>
      <c r="C242" s="226"/>
      <c r="D242" s="226"/>
      <c r="E242" s="226"/>
      <c r="F242" s="226"/>
      <c r="G242" s="226"/>
      <c r="H242" s="226"/>
      <c r="I242" s="9" t="str">
        <f t="shared" si="3"/>
        <v>__</v>
      </c>
    </row>
    <row r="243" spans="1:9" x14ac:dyDescent="0.35">
      <c r="A243" s="226"/>
      <c r="B243" s="226"/>
      <c r="C243" s="226"/>
      <c r="D243" s="226"/>
      <c r="E243" s="226"/>
      <c r="F243" s="226"/>
      <c r="G243" s="226"/>
      <c r="H243" s="226"/>
      <c r="I243" s="9" t="str">
        <f t="shared" si="3"/>
        <v>__</v>
      </c>
    </row>
    <row r="244" spans="1:9" x14ac:dyDescent="0.35">
      <c r="A244" s="226"/>
      <c r="B244" s="226"/>
      <c r="C244" s="226"/>
      <c r="D244" s="226"/>
      <c r="E244" s="226"/>
      <c r="F244" s="226"/>
      <c r="G244" s="226"/>
      <c r="H244" s="226"/>
      <c r="I244" s="9" t="str">
        <f t="shared" si="3"/>
        <v>__</v>
      </c>
    </row>
    <row r="245" spans="1:9" x14ac:dyDescent="0.35">
      <c r="A245" s="226"/>
      <c r="B245" s="226"/>
      <c r="C245" s="226"/>
      <c r="D245" s="226"/>
      <c r="E245" s="226"/>
      <c r="F245" s="226"/>
      <c r="G245" s="226"/>
      <c r="H245" s="226"/>
      <c r="I245" s="9" t="str">
        <f t="shared" si="3"/>
        <v>__</v>
      </c>
    </row>
    <row r="246" spans="1:9" x14ac:dyDescent="0.35">
      <c r="A246" s="226"/>
      <c r="B246" s="226"/>
      <c r="C246" s="226"/>
      <c r="D246" s="226"/>
      <c r="E246" s="226"/>
      <c r="F246" s="226"/>
      <c r="G246" s="226"/>
      <c r="H246" s="226"/>
      <c r="I246" s="9" t="str">
        <f t="shared" si="3"/>
        <v>__</v>
      </c>
    </row>
    <row r="247" spans="1:9" x14ac:dyDescent="0.35">
      <c r="A247" s="226"/>
      <c r="B247" s="226"/>
      <c r="C247" s="226"/>
      <c r="D247" s="226"/>
      <c r="E247" s="226"/>
      <c r="F247" s="226"/>
      <c r="G247" s="226"/>
      <c r="H247" s="226"/>
      <c r="I247" s="9" t="str">
        <f t="shared" si="3"/>
        <v>__</v>
      </c>
    </row>
    <row r="248" spans="1:9" x14ac:dyDescent="0.35">
      <c r="A248" s="226"/>
      <c r="B248" s="226"/>
      <c r="C248" s="226"/>
      <c r="D248" s="226"/>
      <c r="E248" s="226"/>
      <c r="F248" s="226"/>
      <c r="G248" s="226"/>
      <c r="H248" s="226"/>
      <c r="I248" s="9" t="str">
        <f t="shared" si="3"/>
        <v>__</v>
      </c>
    </row>
    <row r="249" spans="1:9" x14ac:dyDescent="0.35">
      <c r="A249" s="226"/>
      <c r="B249" s="226"/>
      <c r="C249" s="226"/>
      <c r="D249" s="226"/>
      <c r="E249" s="226"/>
      <c r="F249" s="226"/>
      <c r="G249" s="226"/>
      <c r="H249" s="284"/>
      <c r="I249" s="9" t="str">
        <f t="shared" si="3"/>
        <v>__</v>
      </c>
    </row>
    <row r="250" spans="1:9" x14ac:dyDescent="0.35">
      <c r="A250" s="226"/>
      <c r="B250" s="226"/>
      <c r="C250" s="226"/>
      <c r="D250" s="226"/>
      <c r="E250" s="226"/>
      <c r="F250" s="226"/>
      <c r="G250" s="226"/>
      <c r="H250" s="226"/>
      <c r="I250" s="9" t="str">
        <f t="shared" si="3"/>
        <v>__</v>
      </c>
    </row>
    <row r="251" spans="1:9" x14ac:dyDescent="0.35">
      <c r="A251" s="226"/>
      <c r="B251" s="226"/>
      <c r="C251" s="226"/>
      <c r="D251" s="226"/>
      <c r="E251" s="226"/>
      <c r="F251" s="226"/>
      <c r="G251" s="226"/>
      <c r="H251" s="226"/>
      <c r="I251" s="9" t="str">
        <f t="shared" si="3"/>
        <v>__</v>
      </c>
    </row>
    <row r="252" spans="1:9" x14ac:dyDescent="0.35">
      <c r="A252" s="226"/>
      <c r="B252" s="226"/>
      <c r="C252" s="226"/>
      <c r="D252" s="226"/>
      <c r="E252" s="226"/>
      <c r="F252" s="226"/>
      <c r="G252" s="226"/>
      <c r="H252" s="226"/>
      <c r="I252" s="9" t="str">
        <f t="shared" si="3"/>
        <v>__</v>
      </c>
    </row>
    <row r="253" spans="1:9" x14ac:dyDescent="0.35">
      <c r="A253" s="226"/>
      <c r="B253" s="226"/>
      <c r="C253" s="226"/>
      <c r="D253" s="226"/>
      <c r="E253" s="226"/>
      <c r="F253" s="226"/>
      <c r="G253" s="226"/>
      <c r="H253" s="226"/>
      <c r="I253" s="9" t="str">
        <f t="shared" si="3"/>
        <v>__</v>
      </c>
    </row>
    <row r="254" spans="1:9" x14ac:dyDescent="0.35">
      <c r="A254" s="226"/>
      <c r="B254" s="226"/>
      <c r="C254" s="226"/>
      <c r="D254" s="226"/>
      <c r="E254" s="226"/>
      <c r="F254" s="226"/>
      <c r="G254" s="226"/>
      <c r="H254" s="226"/>
      <c r="I254" s="9" t="str">
        <f t="shared" si="3"/>
        <v>__</v>
      </c>
    </row>
    <row r="255" spans="1:9" x14ac:dyDescent="0.35">
      <c r="A255" s="226"/>
      <c r="B255" s="226"/>
      <c r="C255" s="226"/>
      <c r="D255" s="226"/>
      <c r="E255" s="226"/>
      <c r="F255" s="226"/>
      <c r="G255" s="226"/>
      <c r="H255" s="226"/>
      <c r="I255" s="9" t="str">
        <f t="shared" si="3"/>
        <v>__</v>
      </c>
    </row>
    <row r="256" spans="1:9" x14ac:dyDescent="0.35">
      <c r="A256" s="226"/>
      <c r="B256" s="226"/>
      <c r="C256" s="226"/>
      <c r="D256" s="226"/>
      <c r="E256" s="226"/>
      <c r="F256" s="226"/>
      <c r="G256" s="226"/>
      <c r="H256" s="226"/>
      <c r="I256" s="9" t="str">
        <f t="shared" si="3"/>
        <v>__</v>
      </c>
    </row>
    <row r="257" spans="1:9" x14ac:dyDescent="0.35">
      <c r="A257" s="226"/>
      <c r="B257" s="226"/>
      <c r="C257" s="226"/>
      <c r="D257" s="226"/>
      <c r="E257" s="226"/>
      <c r="F257" s="226"/>
      <c r="G257" s="226"/>
      <c r="H257" s="226"/>
      <c r="I257" s="9" t="str">
        <f t="shared" si="3"/>
        <v>__</v>
      </c>
    </row>
    <row r="258" spans="1:9" x14ac:dyDescent="0.35">
      <c r="A258" s="226"/>
      <c r="B258" s="226"/>
      <c r="C258" s="226"/>
      <c r="D258" s="226"/>
      <c r="E258" s="226"/>
      <c r="F258" s="226"/>
      <c r="G258" s="226"/>
      <c r="H258" s="226"/>
      <c r="I258" s="9" t="str">
        <f t="shared" si="3"/>
        <v>__</v>
      </c>
    </row>
    <row r="259" spans="1:9" x14ac:dyDescent="0.35">
      <c r="A259" s="226"/>
      <c r="B259" s="226"/>
      <c r="C259" s="226"/>
      <c r="D259" s="226"/>
      <c r="E259" s="226"/>
      <c r="F259" s="226"/>
      <c r="G259" s="226"/>
      <c r="H259" s="226"/>
      <c r="I259" s="9" t="str">
        <f t="shared" si="3"/>
        <v>__</v>
      </c>
    </row>
    <row r="260" spans="1:9" x14ac:dyDescent="0.35">
      <c r="A260" s="226"/>
      <c r="B260" s="226"/>
      <c r="C260" s="226"/>
      <c r="D260" s="226"/>
      <c r="E260" s="226"/>
      <c r="F260" s="226"/>
      <c r="G260" s="226"/>
      <c r="H260" s="226"/>
      <c r="I260" s="9" t="str">
        <f t="shared" si="3"/>
        <v>__</v>
      </c>
    </row>
    <row r="261" spans="1:9" x14ac:dyDescent="0.35">
      <c r="A261" s="226"/>
      <c r="B261" s="226"/>
      <c r="C261" s="226"/>
      <c r="D261" s="226"/>
      <c r="E261" s="226"/>
      <c r="F261" s="226"/>
      <c r="G261" s="226"/>
      <c r="H261" s="226"/>
      <c r="I261" s="9" t="str">
        <f t="shared" ref="I261:I324" si="4">CONCATENATE(A261,"_",B261,"_",C261)</f>
        <v>__</v>
      </c>
    </row>
    <row r="262" spans="1:9" x14ac:dyDescent="0.35">
      <c r="A262" s="226"/>
      <c r="B262" s="226"/>
      <c r="C262" s="226"/>
      <c r="D262" s="226"/>
      <c r="E262" s="226"/>
      <c r="F262" s="226"/>
      <c r="G262" s="226"/>
      <c r="H262" s="226"/>
      <c r="I262" s="9" t="str">
        <f t="shared" si="4"/>
        <v>__</v>
      </c>
    </row>
    <row r="263" spans="1:9" x14ac:dyDescent="0.35">
      <c r="A263" s="226"/>
      <c r="B263" s="226"/>
      <c r="C263" s="226"/>
      <c r="D263" s="226"/>
      <c r="E263" s="226"/>
      <c r="F263" s="226"/>
      <c r="G263" s="226"/>
      <c r="H263" s="226"/>
      <c r="I263" s="9" t="str">
        <f t="shared" si="4"/>
        <v>__</v>
      </c>
    </row>
    <row r="264" spans="1:9" x14ac:dyDescent="0.35">
      <c r="A264" s="226"/>
      <c r="B264" s="226"/>
      <c r="C264" s="226"/>
      <c r="D264" s="226"/>
      <c r="E264" s="226"/>
      <c r="F264" s="226"/>
      <c r="G264" s="226"/>
      <c r="H264" s="226"/>
      <c r="I264" s="9" t="str">
        <f t="shared" si="4"/>
        <v>__</v>
      </c>
    </row>
    <row r="265" spans="1:9" x14ac:dyDescent="0.35">
      <c r="A265" s="226"/>
      <c r="B265" s="226"/>
      <c r="C265" s="226"/>
      <c r="D265" s="226"/>
      <c r="E265" s="226"/>
      <c r="F265" s="226"/>
      <c r="G265" s="226"/>
      <c r="H265" s="226"/>
      <c r="I265" s="9" t="str">
        <f t="shared" si="4"/>
        <v>__</v>
      </c>
    </row>
    <row r="266" spans="1:9" x14ac:dyDescent="0.35">
      <c r="A266" s="226"/>
      <c r="B266" s="226"/>
      <c r="C266" s="226"/>
      <c r="D266" s="226"/>
      <c r="E266" s="226"/>
      <c r="F266" s="226"/>
      <c r="G266" s="226"/>
      <c r="H266" s="226"/>
      <c r="I266" s="9" t="str">
        <f t="shared" si="4"/>
        <v>__</v>
      </c>
    </row>
    <row r="267" spans="1:9" x14ac:dyDescent="0.35">
      <c r="A267" s="226"/>
      <c r="B267" s="226"/>
      <c r="C267" s="226"/>
      <c r="D267" s="226"/>
      <c r="E267" s="226"/>
      <c r="F267" s="226"/>
      <c r="G267" s="226"/>
      <c r="H267" s="226"/>
      <c r="I267" s="9" t="str">
        <f t="shared" si="4"/>
        <v>__</v>
      </c>
    </row>
    <row r="268" spans="1:9" x14ac:dyDescent="0.35">
      <c r="A268" s="226"/>
      <c r="B268" s="226"/>
      <c r="C268" s="226"/>
      <c r="D268" s="226"/>
      <c r="E268" s="226"/>
      <c r="F268" s="226"/>
      <c r="G268" s="226"/>
      <c r="H268" s="226"/>
      <c r="I268" s="9" t="str">
        <f t="shared" si="4"/>
        <v>__</v>
      </c>
    </row>
    <row r="269" spans="1:9" x14ac:dyDescent="0.35">
      <c r="A269" s="226"/>
      <c r="B269" s="226"/>
      <c r="C269" s="226"/>
      <c r="D269" s="226"/>
      <c r="E269" s="226"/>
      <c r="F269" s="226"/>
      <c r="G269" s="226"/>
      <c r="H269" s="226"/>
      <c r="I269" s="9" t="str">
        <f t="shared" si="4"/>
        <v>__</v>
      </c>
    </row>
    <row r="270" spans="1:9" x14ac:dyDescent="0.35">
      <c r="A270" s="226"/>
      <c r="B270" s="226"/>
      <c r="C270" s="226"/>
      <c r="D270" s="226"/>
      <c r="E270" s="226"/>
      <c r="F270" s="226"/>
      <c r="G270" s="226"/>
      <c r="H270" s="226"/>
      <c r="I270" s="9" t="str">
        <f t="shared" si="4"/>
        <v>__</v>
      </c>
    </row>
    <row r="271" spans="1:9" x14ac:dyDescent="0.35">
      <c r="A271" s="226"/>
      <c r="B271" s="226"/>
      <c r="C271" s="226"/>
      <c r="D271" s="226"/>
      <c r="E271" s="226"/>
      <c r="F271" s="226"/>
      <c r="G271" s="226"/>
      <c r="H271" s="226"/>
      <c r="I271" s="9" t="str">
        <f t="shared" si="4"/>
        <v>__</v>
      </c>
    </row>
    <row r="272" spans="1:9" x14ac:dyDescent="0.35">
      <c r="A272" s="226"/>
      <c r="B272" s="226"/>
      <c r="C272" s="226"/>
      <c r="D272" s="226"/>
      <c r="E272" s="226"/>
      <c r="F272" s="226"/>
      <c r="G272" s="226"/>
      <c r="H272" s="226"/>
      <c r="I272" s="9" t="str">
        <f t="shared" si="4"/>
        <v>__</v>
      </c>
    </row>
    <row r="273" spans="1:9" x14ac:dyDescent="0.35">
      <c r="A273" s="226"/>
      <c r="B273" s="226"/>
      <c r="C273" s="226"/>
      <c r="D273" s="226"/>
      <c r="E273" s="226"/>
      <c r="F273" s="226"/>
      <c r="G273" s="226"/>
      <c r="H273" s="226"/>
      <c r="I273" s="9" t="str">
        <f t="shared" si="4"/>
        <v>__</v>
      </c>
    </row>
    <row r="274" spans="1:9" x14ac:dyDescent="0.35">
      <c r="A274" s="226"/>
      <c r="B274" s="226"/>
      <c r="C274" s="226"/>
      <c r="D274" s="226"/>
      <c r="E274" s="226"/>
      <c r="F274" s="226"/>
      <c r="G274" s="226"/>
      <c r="H274" s="226"/>
      <c r="I274" s="9" t="str">
        <f t="shared" si="4"/>
        <v>__</v>
      </c>
    </row>
    <row r="275" spans="1:9" x14ac:dyDescent="0.35">
      <c r="A275" s="226"/>
      <c r="B275" s="226"/>
      <c r="C275" s="226"/>
      <c r="D275" s="226"/>
      <c r="E275" s="226"/>
      <c r="F275" s="226"/>
      <c r="G275" s="226"/>
      <c r="H275" s="226"/>
      <c r="I275" s="9" t="str">
        <f t="shared" si="4"/>
        <v>__</v>
      </c>
    </row>
    <row r="276" spans="1:9" x14ac:dyDescent="0.35">
      <c r="A276" s="226"/>
      <c r="B276" s="226"/>
      <c r="C276" s="226"/>
      <c r="D276" s="226"/>
      <c r="E276" s="226"/>
      <c r="F276" s="226"/>
      <c r="G276" s="226"/>
      <c r="H276" s="226"/>
      <c r="I276" s="9" t="str">
        <f t="shared" si="4"/>
        <v>__</v>
      </c>
    </row>
    <row r="277" spans="1:9" x14ac:dyDescent="0.35">
      <c r="A277" s="226"/>
      <c r="B277" s="226"/>
      <c r="C277" s="226"/>
      <c r="D277" s="226"/>
      <c r="E277" s="226"/>
      <c r="F277" s="226"/>
      <c r="G277" s="226"/>
      <c r="H277" s="226"/>
      <c r="I277" s="9" t="str">
        <f t="shared" si="4"/>
        <v>__</v>
      </c>
    </row>
    <row r="278" spans="1:9" x14ac:dyDescent="0.35">
      <c r="A278" s="226"/>
      <c r="B278" s="226"/>
      <c r="C278" s="226"/>
      <c r="D278" s="226"/>
      <c r="E278" s="226"/>
      <c r="F278" s="226"/>
      <c r="G278" s="226"/>
      <c r="H278" s="226"/>
      <c r="I278" s="9" t="str">
        <f t="shared" si="4"/>
        <v>__</v>
      </c>
    </row>
    <row r="279" spans="1:9" x14ac:dyDescent="0.35">
      <c r="A279" s="226"/>
      <c r="B279" s="226"/>
      <c r="C279" s="226"/>
      <c r="D279" s="226"/>
      <c r="E279" s="226"/>
      <c r="F279" s="226"/>
      <c r="G279" s="226"/>
      <c r="H279" s="226"/>
      <c r="I279" s="9" t="str">
        <f t="shared" si="4"/>
        <v>__</v>
      </c>
    </row>
    <row r="280" spans="1:9" x14ac:dyDescent="0.35">
      <c r="A280" s="226"/>
      <c r="B280" s="226"/>
      <c r="C280" s="226"/>
      <c r="D280" s="226"/>
      <c r="E280" s="226"/>
      <c r="F280" s="226"/>
      <c r="G280" s="226"/>
      <c r="H280" s="226"/>
      <c r="I280" s="9" t="str">
        <f t="shared" si="4"/>
        <v>__</v>
      </c>
    </row>
    <row r="281" spans="1:9" x14ac:dyDescent="0.35">
      <c r="A281" s="226"/>
      <c r="B281" s="226"/>
      <c r="C281" s="226"/>
      <c r="D281" s="226"/>
      <c r="E281" s="226"/>
      <c r="F281" s="226"/>
      <c r="G281" s="226"/>
      <c r="H281" s="226"/>
      <c r="I281" s="9" t="str">
        <f t="shared" si="4"/>
        <v>__</v>
      </c>
    </row>
    <row r="282" spans="1:9" x14ac:dyDescent="0.35">
      <c r="A282" s="226"/>
      <c r="B282" s="226"/>
      <c r="C282" s="226"/>
      <c r="D282" s="226"/>
      <c r="E282" s="226"/>
      <c r="F282" s="226"/>
      <c r="G282" s="226"/>
      <c r="H282" s="226"/>
      <c r="I282" s="9" t="str">
        <f t="shared" si="4"/>
        <v>__</v>
      </c>
    </row>
    <row r="283" spans="1:9" x14ac:dyDescent="0.35">
      <c r="A283" s="226"/>
      <c r="B283" s="226"/>
      <c r="C283" s="226"/>
      <c r="D283" s="226"/>
      <c r="E283" s="226"/>
      <c r="F283" s="226"/>
      <c r="G283" s="226"/>
      <c r="H283" s="226"/>
      <c r="I283" s="9" t="str">
        <f t="shared" si="4"/>
        <v>__</v>
      </c>
    </row>
    <row r="284" spans="1:9" x14ac:dyDescent="0.35">
      <c r="A284" s="226"/>
      <c r="B284" s="226"/>
      <c r="C284" s="226"/>
      <c r="D284" s="226"/>
      <c r="E284" s="226"/>
      <c r="F284" s="226"/>
      <c r="G284" s="226"/>
      <c r="H284" s="226"/>
      <c r="I284" s="9" t="str">
        <f t="shared" si="4"/>
        <v>__</v>
      </c>
    </row>
    <row r="285" spans="1:9" x14ac:dyDescent="0.35">
      <c r="A285" s="226"/>
      <c r="B285" s="226"/>
      <c r="C285" s="226"/>
      <c r="D285" s="226"/>
      <c r="E285" s="226"/>
      <c r="F285" s="226"/>
      <c r="G285" s="226"/>
      <c r="H285" s="226"/>
      <c r="I285" s="9" t="str">
        <f t="shared" si="4"/>
        <v>__</v>
      </c>
    </row>
    <row r="286" spans="1:9" x14ac:dyDescent="0.35">
      <c r="A286" s="226"/>
      <c r="B286" s="226"/>
      <c r="C286" s="226"/>
      <c r="D286" s="226"/>
      <c r="E286" s="226"/>
      <c r="F286" s="226"/>
      <c r="G286" s="226"/>
      <c r="H286" s="226"/>
      <c r="I286" s="9" t="str">
        <f t="shared" si="4"/>
        <v>__</v>
      </c>
    </row>
    <row r="287" spans="1:9" x14ac:dyDescent="0.35">
      <c r="A287" s="226"/>
      <c r="B287" s="226"/>
      <c r="C287" s="226"/>
      <c r="D287" s="226"/>
      <c r="E287" s="226"/>
      <c r="F287" s="226"/>
      <c r="G287" s="226"/>
      <c r="H287" s="226"/>
      <c r="I287" s="9" t="str">
        <f t="shared" si="4"/>
        <v>__</v>
      </c>
    </row>
    <row r="288" spans="1:9" x14ac:dyDescent="0.35">
      <c r="A288" s="226"/>
      <c r="B288" s="226"/>
      <c r="C288" s="226"/>
      <c r="D288" s="226"/>
      <c r="E288" s="226"/>
      <c r="F288" s="226"/>
      <c r="G288" s="226"/>
      <c r="H288" s="226"/>
      <c r="I288" s="9" t="str">
        <f t="shared" si="4"/>
        <v>__</v>
      </c>
    </row>
    <row r="289" spans="1:9" x14ac:dyDescent="0.35">
      <c r="A289" s="226"/>
      <c r="B289" s="226"/>
      <c r="C289" s="226"/>
      <c r="D289" s="226"/>
      <c r="E289" s="226"/>
      <c r="F289" s="226"/>
      <c r="G289" s="226"/>
      <c r="H289" s="226"/>
      <c r="I289" s="9" t="str">
        <f t="shared" si="4"/>
        <v>__</v>
      </c>
    </row>
    <row r="290" spans="1:9" x14ac:dyDescent="0.35">
      <c r="A290" s="226"/>
      <c r="B290" s="226"/>
      <c r="C290" s="226"/>
      <c r="D290" s="226"/>
      <c r="E290" s="226"/>
      <c r="F290" s="226"/>
      <c r="G290" s="226"/>
      <c r="H290" s="226"/>
      <c r="I290" s="9" t="str">
        <f t="shared" si="4"/>
        <v>__</v>
      </c>
    </row>
    <row r="291" spans="1:9" x14ac:dyDescent="0.35">
      <c r="A291" s="226"/>
      <c r="B291" s="226"/>
      <c r="C291" s="226"/>
      <c r="D291" s="226"/>
      <c r="E291" s="226"/>
      <c r="F291" s="226"/>
      <c r="G291" s="226"/>
      <c r="H291" s="226"/>
      <c r="I291" s="9" t="str">
        <f t="shared" si="4"/>
        <v>__</v>
      </c>
    </row>
    <row r="292" spans="1:9" x14ac:dyDescent="0.35">
      <c r="A292" s="226"/>
      <c r="B292" s="226"/>
      <c r="C292" s="226"/>
      <c r="D292" s="226"/>
      <c r="E292" s="226"/>
      <c r="F292" s="226"/>
      <c r="G292" s="226"/>
      <c r="H292" s="226"/>
      <c r="I292" s="9" t="str">
        <f t="shared" si="4"/>
        <v>__</v>
      </c>
    </row>
    <row r="293" spans="1:9" x14ac:dyDescent="0.35">
      <c r="A293" s="226"/>
      <c r="B293" s="226"/>
      <c r="C293" s="226"/>
      <c r="D293" s="226"/>
      <c r="E293" s="226"/>
      <c r="F293" s="226"/>
      <c r="G293" s="226"/>
      <c r="H293" s="226"/>
      <c r="I293" s="9" t="str">
        <f t="shared" si="4"/>
        <v>__</v>
      </c>
    </row>
    <row r="294" spans="1:9" x14ac:dyDescent="0.35">
      <c r="A294" s="226"/>
      <c r="B294" s="226"/>
      <c r="C294" s="226"/>
      <c r="D294" s="226"/>
      <c r="E294" s="226"/>
      <c r="F294" s="226"/>
      <c r="G294" s="226"/>
      <c r="H294" s="226"/>
      <c r="I294" s="9" t="str">
        <f t="shared" si="4"/>
        <v>__</v>
      </c>
    </row>
    <row r="295" spans="1:9" x14ac:dyDescent="0.35">
      <c r="A295" s="226"/>
      <c r="B295" s="226"/>
      <c r="C295" s="226"/>
      <c r="D295" s="226"/>
      <c r="E295" s="226"/>
      <c r="F295" s="226"/>
      <c r="G295" s="226"/>
      <c r="H295" s="226"/>
      <c r="I295" s="9" t="str">
        <f t="shared" si="4"/>
        <v>__</v>
      </c>
    </row>
    <row r="296" spans="1:9" x14ac:dyDescent="0.35">
      <c r="A296" s="226"/>
      <c r="B296" s="226"/>
      <c r="C296" s="226"/>
      <c r="D296" s="226"/>
      <c r="E296" s="226"/>
      <c r="F296" s="226"/>
      <c r="G296" s="226"/>
      <c r="H296" s="226"/>
      <c r="I296" s="9" t="str">
        <f t="shared" si="4"/>
        <v>__</v>
      </c>
    </row>
    <row r="297" spans="1:9" x14ac:dyDescent="0.35">
      <c r="A297" s="226"/>
      <c r="B297" s="226"/>
      <c r="C297" s="226"/>
      <c r="D297" s="226"/>
      <c r="E297" s="226"/>
      <c r="F297" s="226"/>
      <c r="G297" s="226"/>
      <c r="H297" s="226"/>
      <c r="I297" s="9" t="str">
        <f t="shared" si="4"/>
        <v>__</v>
      </c>
    </row>
    <row r="298" spans="1:9" x14ac:dyDescent="0.35">
      <c r="A298" s="226"/>
      <c r="B298" s="226"/>
      <c r="C298" s="226"/>
      <c r="D298" s="226"/>
      <c r="E298" s="226"/>
      <c r="F298" s="226"/>
      <c r="G298" s="226"/>
      <c r="H298" s="226"/>
      <c r="I298" s="9" t="str">
        <f t="shared" si="4"/>
        <v>__</v>
      </c>
    </row>
    <row r="299" spans="1:9" x14ac:dyDescent="0.35">
      <c r="A299" s="226"/>
      <c r="B299" s="226"/>
      <c r="C299" s="226"/>
      <c r="D299" s="226"/>
      <c r="E299" s="226"/>
      <c r="F299" s="226"/>
      <c r="G299" s="226"/>
      <c r="H299" s="226"/>
      <c r="I299" s="9" t="str">
        <f t="shared" si="4"/>
        <v>__</v>
      </c>
    </row>
    <row r="300" spans="1:9" x14ac:dyDescent="0.35">
      <c r="A300" s="226"/>
      <c r="B300" s="226"/>
      <c r="C300" s="226"/>
      <c r="D300" s="226"/>
      <c r="E300" s="226"/>
      <c r="F300" s="226"/>
      <c r="G300" s="226"/>
      <c r="H300" s="226"/>
      <c r="I300" s="9" t="str">
        <f t="shared" si="4"/>
        <v>__</v>
      </c>
    </row>
    <row r="301" spans="1:9" x14ac:dyDescent="0.35">
      <c r="A301" s="226"/>
      <c r="B301" s="226"/>
      <c r="C301" s="226"/>
      <c r="D301" s="226"/>
      <c r="E301" s="226"/>
      <c r="F301" s="226"/>
      <c r="G301" s="226"/>
      <c r="H301" s="226"/>
      <c r="I301" s="9" t="str">
        <f t="shared" si="4"/>
        <v>__</v>
      </c>
    </row>
    <row r="302" spans="1:9" x14ac:dyDescent="0.35">
      <c r="A302" s="226"/>
      <c r="B302" s="226"/>
      <c r="C302" s="226"/>
      <c r="D302" s="226"/>
      <c r="E302" s="226"/>
      <c r="F302" s="226"/>
      <c r="G302" s="226"/>
      <c r="H302" s="226"/>
      <c r="I302" s="9" t="str">
        <f t="shared" si="4"/>
        <v>__</v>
      </c>
    </row>
    <row r="303" spans="1:9" x14ac:dyDescent="0.35">
      <c r="A303" s="226"/>
      <c r="B303" s="226"/>
      <c r="C303" s="226"/>
      <c r="D303" s="226"/>
      <c r="E303" s="226"/>
      <c r="F303" s="226"/>
      <c r="G303" s="226"/>
      <c r="H303" s="226"/>
      <c r="I303" s="9" t="str">
        <f t="shared" si="4"/>
        <v>__</v>
      </c>
    </row>
    <row r="304" spans="1:9" x14ac:dyDescent="0.35">
      <c r="A304" s="226"/>
      <c r="B304" s="226"/>
      <c r="C304" s="226"/>
      <c r="D304" s="226"/>
      <c r="E304" s="226"/>
      <c r="F304" s="226"/>
      <c r="G304" s="226"/>
      <c r="H304" s="226"/>
      <c r="I304" s="9" t="str">
        <f t="shared" si="4"/>
        <v>__</v>
      </c>
    </row>
    <row r="305" spans="1:9" x14ac:dyDescent="0.35">
      <c r="A305" s="226"/>
      <c r="B305" s="226"/>
      <c r="C305" s="226"/>
      <c r="D305" s="226"/>
      <c r="E305" s="226"/>
      <c r="F305" s="226"/>
      <c r="G305" s="226"/>
      <c r="H305" s="226"/>
      <c r="I305" s="9" t="str">
        <f t="shared" si="4"/>
        <v>__</v>
      </c>
    </row>
    <row r="306" spans="1:9" x14ac:dyDescent="0.35">
      <c r="A306" s="226"/>
      <c r="B306" s="226"/>
      <c r="C306" s="226"/>
      <c r="D306" s="226"/>
      <c r="E306" s="226"/>
      <c r="F306" s="226"/>
      <c r="G306" s="226"/>
      <c r="H306" s="226"/>
      <c r="I306" s="9" t="str">
        <f t="shared" si="4"/>
        <v>__</v>
      </c>
    </row>
    <row r="307" spans="1:9" x14ac:dyDescent="0.35">
      <c r="A307" s="226"/>
      <c r="B307" s="226"/>
      <c r="C307" s="226"/>
      <c r="D307" s="226"/>
      <c r="E307" s="226"/>
      <c r="F307" s="226"/>
      <c r="G307" s="226"/>
      <c r="H307" s="226"/>
      <c r="I307" s="9" t="str">
        <f t="shared" si="4"/>
        <v>__</v>
      </c>
    </row>
    <row r="308" spans="1:9" x14ac:dyDescent="0.35">
      <c r="A308" s="226"/>
      <c r="B308" s="226"/>
      <c r="C308" s="226"/>
      <c r="D308" s="226"/>
      <c r="E308" s="226"/>
      <c r="F308" s="226"/>
      <c r="G308" s="226"/>
      <c r="H308" s="226"/>
      <c r="I308" s="9" t="str">
        <f t="shared" si="4"/>
        <v>__</v>
      </c>
    </row>
    <row r="309" spans="1:9" x14ac:dyDescent="0.35">
      <c r="A309" s="226"/>
      <c r="B309" s="226"/>
      <c r="C309" s="226"/>
      <c r="D309" s="226"/>
      <c r="E309" s="226"/>
      <c r="F309" s="226"/>
      <c r="G309" s="226"/>
      <c r="H309" s="226"/>
      <c r="I309" s="9" t="str">
        <f t="shared" si="4"/>
        <v>__</v>
      </c>
    </row>
    <row r="310" spans="1:9" x14ac:dyDescent="0.35">
      <c r="A310" s="226"/>
      <c r="B310" s="226"/>
      <c r="C310" s="226"/>
      <c r="D310" s="226"/>
      <c r="E310" s="226"/>
      <c r="F310" s="226"/>
      <c r="G310" s="226"/>
      <c r="H310" s="226"/>
      <c r="I310" s="9" t="str">
        <f t="shared" si="4"/>
        <v>__</v>
      </c>
    </row>
    <row r="311" spans="1:9" x14ac:dyDescent="0.35">
      <c r="A311" s="226"/>
      <c r="B311" s="226"/>
      <c r="C311" s="226"/>
      <c r="D311" s="226"/>
      <c r="E311" s="226"/>
      <c r="F311" s="226"/>
      <c r="G311" s="226"/>
      <c r="H311" s="226"/>
      <c r="I311" s="9" t="str">
        <f t="shared" si="4"/>
        <v>__</v>
      </c>
    </row>
    <row r="312" spans="1:9" x14ac:dyDescent="0.35">
      <c r="A312" s="226"/>
      <c r="B312" s="226"/>
      <c r="C312" s="226"/>
      <c r="D312" s="226"/>
      <c r="E312" s="226"/>
      <c r="F312" s="226"/>
      <c r="G312" s="226"/>
      <c r="H312" s="226"/>
      <c r="I312" s="9" t="str">
        <f t="shared" si="4"/>
        <v>__</v>
      </c>
    </row>
    <row r="313" spans="1:9" x14ac:dyDescent="0.35">
      <c r="A313" s="226"/>
      <c r="B313" s="226"/>
      <c r="C313" s="226"/>
      <c r="D313" s="226"/>
      <c r="E313" s="226"/>
      <c r="F313" s="226"/>
      <c r="G313" s="226"/>
      <c r="H313" s="226"/>
      <c r="I313" s="9" t="str">
        <f t="shared" si="4"/>
        <v>__</v>
      </c>
    </row>
    <row r="314" spans="1:9" x14ac:dyDescent="0.35">
      <c r="A314" s="226"/>
      <c r="B314" s="226"/>
      <c r="C314" s="226"/>
      <c r="D314" s="226"/>
      <c r="E314" s="226"/>
      <c r="F314" s="226"/>
      <c r="G314" s="226"/>
      <c r="H314" s="226"/>
      <c r="I314" s="9" t="str">
        <f t="shared" si="4"/>
        <v>__</v>
      </c>
    </row>
    <row r="315" spans="1:9" x14ac:dyDescent="0.35">
      <c r="A315" s="226"/>
      <c r="B315" s="226"/>
      <c r="C315" s="226"/>
      <c r="D315" s="226"/>
      <c r="E315" s="226"/>
      <c r="F315" s="226"/>
      <c r="G315" s="226"/>
      <c r="H315" s="226"/>
      <c r="I315" s="9" t="str">
        <f t="shared" si="4"/>
        <v>__</v>
      </c>
    </row>
    <row r="316" spans="1:9" x14ac:dyDescent="0.35">
      <c r="A316" s="226"/>
      <c r="B316" s="226"/>
      <c r="C316" s="226"/>
      <c r="D316" s="226"/>
      <c r="E316" s="226"/>
      <c r="F316" s="226"/>
      <c r="G316" s="226"/>
      <c r="H316" s="226"/>
      <c r="I316" s="9" t="str">
        <f t="shared" si="4"/>
        <v>__</v>
      </c>
    </row>
    <row r="317" spans="1:9" x14ac:dyDescent="0.35">
      <c r="A317" s="226"/>
      <c r="B317" s="226"/>
      <c r="C317" s="226"/>
      <c r="D317" s="226"/>
      <c r="E317" s="226"/>
      <c r="F317" s="226"/>
      <c r="G317" s="226"/>
      <c r="H317" s="226"/>
      <c r="I317" s="9" t="str">
        <f t="shared" si="4"/>
        <v>__</v>
      </c>
    </row>
    <row r="318" spans="1:9" x14ac:dyDescent="0.35">
      <c r="A318" s="226"/>
      <c r="B318" s="226"/>
      <c r="C318" s="226"/>
      <c r="D318" s="226"/>
      <c r="E318" s="226"/>
      <c r="F318" s="226"/>
      <c r="G318" s="226"/>
      <c r="H318" s="226"/>
      <c r="I318" s="9" t="str">
        <f t="shared" si="4"/>
        <v>__</v>
      </c>
    </row>
    <row r="319" spans="1:9" x14ac:dyDescent="0.35">
      <c r="A319" s="226"/>
      <c r="B319" s="226"/>
      <c r="C319" s="226"/>
      <c r="D319" s="226"/>
      <c r="E319" s="226"/>
      <c r="F319" s="226"/>
      <c r="G319" s="226"/>
      <c r="H319" s="226"/>
      <c r="I319" s="9" t="str">
        <f t="shared" si="4"/>
        <v>__</v>
      </c>
    </row>
    <row r="320" spans="1:9" x14ac:dyDescent="0.35">
      <c r="A320" s="226"/>
      <c r="B320" s="226"/>
      <c r="C320" s="226"/>
      <c r="D320" s="226"/>
      <c r="E320" s="226"/>
      <c r="F320" s="226"/>
      <c r="G320" s="226"/>
      <c r="H320" s="226"/>
      <c r="I320" s="9" t="str">
        <f t="shared" si="4"/>
        <v>__</v>
      </c>
    </row>
    <row r="321" spans="1:9" x14ac:dyDescent="0.35">
      <c r="A321" s="226"/>
      <c r="B321" s="226"/>
      <c r="C321" s="226"/>
      <c r="D321" s="226"/>
      <c r="E321" s="226"/>
      <c r="F321" s="226"/>
      <c r="G321" s="226"/>
      <c r="H321" s="226"/>
      <c r="I321" s="9" t="str">
        <f t="shared" si="4"/>
        <v>__</v>
      </c>
    </row>
    <row r="322" spans="1:9" x14ac:dyDescent="0.35">
      <c r="A322" s="226"/>
      <c r="B322" s="226"/>
      <c r="C322" s="226"/>
      <c r="D322" s="226"/>
      <c r="E322" s="226"/>
      <c r="F322" s="226"/>
      <c r="G322" s="226"/>
      <c r="H322" s="226"/>
      <c r="I322" s="9" t="str">
        <f t="shared" si="4"/>
        <v>__</v>
      </c>
    </row>
    <row r="323" spans="1:9" x14ac:dyDescent="0.35">
      <c r="A323" s="226"/>
      <c r="B323" s="226"/>
      <c r="C323" s="226"/>
      <c r="D323" s="226"/>
      <c r="E323" s="226"/>
      <c r="F323" s="226"/>
      <c r="G323" s="226"/>
      <c r="H323" s="226"/>
      <c r="I323" s="9" t="str">
        <f t="shared" si="4"/>
        <v>__</v>
      </c>
    </row>
    <row r="324" spans="1:9" x14ac:dyDescent="0.35">
      <c r="A324" s="226"/>
      <c r="B324" s="226"/>
      <c r="C324" s="226"/>
      <c r="D324" s="226"/>
      <c r="E324" s="226"/>
      <c r="F324" s="226"/>
      <c r="G324" s="226"/>
      <c r="H324" s="226"/>
      <c r="I324" s="9" t="str">
        <f t="shared" si="4"/>
        <v>__</v>
      </c>
    </row>
    <row r="325" spans="1:9" x14ac:dyDescent="0.35">
      <c r="A325" s="226"/>
      <c r="B325" s="226"/>
      <c r="C325" s="226"/>
      <c r="D325" s="226"/>
      <c r="E325" s="226"/>
      <c r="F325" s="226"/>
      <c r="G325" s="226"/>
      <c r="H325" s="226"/>
      <c r="I325" s="9" t="str">
        <f t="shared" ref="I325:I388" si="5">CONCATENATE(A325,"_",B325,"_",C325)</f>
        <v>__</v>
      </c>
    </row>
    <row r="326" spans="1:9" x14ac:dyDescent="0.35">
      <c r="A326" s="226"/>
      <c r="B326" s="226"/>
      <c r="C326" s="226"/>
      <c r="D326" s="226"/>
      <c r="E326" s="226"/>
      <c r="F326" s="226"/>
      <c r="G326" s="226"/>
      <c r="H326" s="226"/>
      <c r="I326" s="9" t="str">
        <f t="shared" si="5"/>
        <v>__</v>
      </c>
    </row>
    <row r="327" spans="1:9" x14ac:dyDescent="0.35">
      <c r="A327" s="226"/>
      <c r="B327" s="226"/>
      <c r="C327" s="226"/>
      <c r="D327" s="226"/>
      <c r="E327" s="226"/>
      <c r="F327" s="226"/>
      <c r="G327" s="226"/>
      <c r="H327" s="226"/>
      <c r="I327" s="9" t="str">
        <f t="shared" si="5"/>
        <v>__</v>
      </c>
    </row>
    <row r="328" spans="1:9" x14ac:dyDescent="0.35">
      <c r="A328" s="226"/>
      <c r="B328" s="226"/>
      <c r="C328" s="226"/>
      <c r="D328" s="226"/>
      <c r="E328" s="226"/>
      <c r="F328" s="226"/>
      <c r="G328" s="226"/>
      <c r="H328" s="226"/>
      <c r="I328" s="9" t="str">
        <f t="shared" si="5"/>
        <v>__</v>
      </c>
    </row>
    <row r="329" spans="1:9" x14ac:dyDescent="0.35">
      <c r="A329" s="226"/>
      <c r="B329" s="226"/>
      <c r="C329" s="226"/>
      <c r="D329" s="226"/>
      <c r="E329" s="226"/>
      <c r="F329" s="226"/>
      <c r="G329" s="226"/>
      <c r="H329" s="226"/>
      <c r="I329" s="9" t="str">
        <f t="shared" si="5"/>
        <v>__</v>
      </c>
    </row>
    <row r="330" spans="1:9" x14ac:dyDescent="0.35">
      <c r="A330" s="226"/>
      <c r="B330" s="226"/>
      <c r="C330" s="226"/>
      <c r="D330" s="226"/>
      <c r="E330" s="226"/>
      <c r="F330" s="226"/>
      <c r="G330" s="226"/>
      <c r="H330" s="226"/>
      <c r="I330" s="9" t="str">
        <f t="shared" si="5"/>
        <v>__</v>
      </c>
    </row>
    <row r="331" spans="1:9" x14ac:dyDescent="0.35">
      <c r="A331" s="226"/>
      <c r="B331" s="226"/>
      <c r="C331" s="226"/>
      <c r="D331" s="226"/>
      <c r="E331" s="226"/>
      <c r="F331" s="226"/>
      <c r="G331" s="226"/>
      <c r="H331" s="226"/>
      <c r="I331" s="9" t="str">
        <f t="shared" si="5"/>
        <v>__</v>
      </c>
    </row>
    <row r="332" spans="1:9" x14ac:dyDescent="0.35">
      <c r="A332" s="226"/>
      <c r="B332" s="226"/>
      <c r="C332" s="226"/>
      <c r="D332" s="226"/>
      <c r="E332" s="226"/>
      <c r="F332" s="226"/>
      <c r="G332" s="226"/>
      <c r="H332" s="226"/>
      <c r="I332" s="9" t="str">
        <f t="shared" si="5"/>
        <v>__</v>
      </c>
    </row>
    <row r="333" spans="1:9" x14ac:dyDescent="0.35">
      <c r="A333" s="226"/>
      <c r="B333" s="226"/>
      <c r="C333" s="226"/>
      <c r="D333" s="226"/>
      <c r="E333" s="226"/>
      <c r="F333" s="226"/>
      <c r="G333" s="226"/>
      <c r="H333" s="226"/>
      <c r="I333" s="9" t="str">
        <f t="shared" si="5"/>
        <v>__</v>
      </c>
    </row>
    <row r="334" spans="1:9" x14ac:dyDescent="0.35">
      <c r="A334" s="226"/>
      <c r="B334" s="226"/>
      <c r="C334" s="226"/>
      <c r="D334" s="226"/>
      <c r="E334" s="226"/>
      <c r="F334" s="226"/>
      <c r="G334" s="226"/>
      <c r="H334" s="226"/>
      <c r="I334" s="9" t="str">
        <f t="shared" si="5"/>
        <v>__</v>
      </c>
    </row>
    <row r="335" spans="1:9" x14ac:dyDescent="0.35">
      <c r="A335" s="226"/>
      <c r="B335" s="226"/>
      <c r="C335" s="226"/>
      <c r="D335" s="226"/>
      <c r="E335" s="226"/>
      <c r="F335" s="226"/>
      <c r="G335" s="226"/>
      <c r="H335" s="226"/>
      <c r="I335" s="9" t="str">
        <f t="shared" si="5"/>
        <v>__</v>
      </c>
    </row>
    <row r="336" spans="1:9" x14ac:dyDescent="0.35">
      <c r="A336" s="226"/>
      <c r="B336" s="226"/>
      <c r="C336" s="226"/>
      <c r="D336" s="226"/>
      <c r="E336" s="226"/>
      <c r="F336" s="226"/>
      <c r="G336" s="226"/>
      <c r="H336" s="226"/>
      <c r="I336" s="9" t="str">
        <f t="shared" si="5"/>
        <v>__</v>
      </c>
    </row>
    <row r="337" spans="1:9" x14ac:dyDescent="0.35">
      <c r="A337" s="226"/>
      <c r="B337" s="226"/>
      <c r="C337" s="226"/>
      <c r="D337" s="226"/>
      <c r="E337" s="226"/>
      <c r="F337" s="226"/>
      <c r="G337" s="226"/>
      <c r="H337" s="226"/>
      <c r="I337" s="9" t="str">
        <f t="shared" si="5"/>
        <v>__</v>
      </c>
    </row>
    <row r="338" spans="1:9" x14ac:dyDescent="0.35">
      <c r="A338" s="226"/>
      <c r="B338" s="226"/>
      <c r="C338" s="226"/>
      <c r="D338" s="226"/>
      <c r="E338" s="226"/>
      <c r="F338" s="226"/>
      <c r="G338" s="226"/>
      <c r="H338" s="226"/>
      <c r="I338" s="9" t="str">
        <f t="shared" si="5"/>
        <v>__</v>
      </c>
    </row>
    <row r="339" spans="1:9" x14ac:dyDescent="0.35">
      <c r="A339" s="226"/>
      <c r="B339" s="226"/>
      <c r="C339" s="226"/>
      <c r="D339" s="226"/>
      <c r="E339" s="226"/>
      <c r="F339" s="226"/>
      <c r="G339" s="226"/>
      <c r="H339" s="226"/>
      <c r="I339" s="9" t="str">
        <f t="shared" si="5"/>
        <v>__</v>
      </c>
    </row>
    <row r="340" spans="1:9" x14ac:dyDescent="0.35">
      <c r="A340" s="226"/>
      <c r="B340" s="226"/>
      <c r="C340" s="226"/>
      <c r="D340" s="226"/>
      <c r="E340" s="226"/>
      <c r="F340" s="226"/>
      <c r="G340" s="226"/>
      <c r="H340" s="226"/>
      <c r="I340" s="9" t="str">
        <f t="shared" si="5"/>
        <v>__</v>
      </c>
    </row>
    <row r="341" spans="1:9" x14ac:dyDescent="0.35">
      <c r="A341" s="226"/>
      <c r="B341" s="226"/>
      <c r="C341" s="226"/>
      <c r="D341" s="226"/>
      <c r="E341" s="226"/>
      <c r="F341" s="226"/>
      <c r="G341" s="226"/>
      <c r="H341" s="226"/>
      <c r="I341" s="9" t="str">
        <f t="shared" si="5"/>
        <v>__</v>
      </c>
    </row>
    <row r="342" spans="1:9" x14ac:dyDescent="0.35">
      <c r="A342" s="226"/>
      <c r="B342" s="226"/>
      <c r="C342" s="226"/>
      <c r="D342" s="226"/>
      <c r="E342" s="226"/>
      <c r="F342" s="226"/>
      <c r="G342" s="226"/>
      <c r="H342" s="226"/>
      <c r="I342" s="9" t="str">
        <f t="shared" si="5"/>
        <v>__</v>
      </c>
    </row>
    <row r="343" spans="1:9" x14ac:dyDescent="0.35">
      <c r="A343" s="226"/>
      <c r="B343" s="226"/>
      <c r="C343" s="226"/>
      <c r="D343" s="226"/>
      <c r="E343" s="226"/>
      <c r="F343" s="226"/>
      <c r="G343" s="226"/>
      <c r="H343" s="226"/>
      <c r="I343" s="9" t="str">
        <f t="shared" si="5"/>
        <v>__</v>
      </c>
    </row>
    <row r="344" spans="1:9" x14ac:dyDescent="0.35">
      <c r="A344" s="226"/>
      <c r="B344" s="226"/>
      <c r="C344" s="226"/>
      <c r="D344" s="226"/>
      <c r="E344" s="226"/>
      <c r="F344" s="226"/>
      <c r="G344" s="226"/>
      <c r="H344" s="226"/>
      <c r="I344" s="9" t="str">
        <f t="shared" si="5"/>
        <v>__</v>
      </c>
    </row>
    <row r="345" spans="1:9" x14ac:dyDescent="0.35">
      <c r="A345" s="226"/>
      <c r="B345" s="226"/>
      <c r="C345" s="226"/>
      <c r="D345" s="226"/>
      <c r="E345" s="226"/>
      <c r="F345" s="226"/>
      <c r="G345" s="226"/>
      <c r="H345" s="226"/>
      <c r="I345" s="9" t="str">
        <f t="shared" si="5"/>
        <v>__</v>
      </c>
    </row>
    <row r="346" spans="1:9" x14ac:dyDescent="0.35">
      <c r="A346" s="226"/>
      <c r="B346" s="226"/>
      <c r="C346" s="226"/>
      <c r="D346" s="226"/>
      <c r="E346" s="226"/>
      <c r="F346" s="226"/>
      <c r="G346" s="226"/>
      <c r="H346" s="226"/>
      <c r="I346" s="9" t="str">
        <f t="shared" si="5"/>
        <v>__</v>
      </c>
    </row>
    <row r="347" spans="1:9" x14ac:dyDescent="0.35">
      <c r="A347" s="226"/>
      <c r="B347" s="226"/>
      <c r="C347" s="226"/>
      <c r="D347" s="226"/>
      <c r="E347" s="226"/>
      <c r="F347" s="226"/>
      <c r="G347" s="226"/>
      <c r="H347" s="226"/>
      <c r="I347" s="9" t="str">
        <f t="shared" si="5"/>
        <v>__</v>
      </c>
    </row>
    <row r="348" spans="1:9" x14ac:dyDescent="0.35">
      <c r="A348" s="226"/>
      <c r="B348" s="226"/>
      <c r="C348" s="226"/>
      <c r="D348" s="226"/>
      <c r="E348" s="226"/>
      <c r="F348" s="226"/>
      <c r="G348" s="226"/>
      <c r="H348" s="226"/>
      <c r="I348" s="9" t="str">
        <f t="shared" si="5"/>
        <v>__</v>
      </c>
    </row>
    <row r="349" spans="1:9" x14ac:dyDescent="0.35">
      <c r="A349" s="226"/>
      <c r="B349" s="226"/>
      <c r="C349" s="226"/>
      <c r="D349" s="226"/>
      <c r="E349" s="226"/>
      <c r="F349" s="226"/>
      <c r="G349" s="226"/>
      <c r="H349" s="226"/>
      <c r="I349" s="9" t="str">
        <f t="shared" si="5"/>
        <v>__</v>
      </c>
    </row>
    <row r="350" spans="1:9" x14ac:dyDescent="0.35">
      <c r="A350" s="226"/>
      <c r="B350" s="226"/>
      <c r="C350" s="226"/>
      <c r="D350" s="226"/>
      <c r="E350" s="226"/>
      <c r="F350" s="226"/>
      <c r="G350" s="226"/>
      <c r="H350" s="226"/>
      <c r="I350" s="9" t="str">
        <f t="shared" si="5"/>
        <v>__</v>
      </c>
    </row>
    <row r="351" spans="1:9" x14ac:dyDescent="0.35">
      <c r="A351" s="226"/>
      <c r="B351" s="226"/>
      <c r="C351" s="226"/>
      <c r="D351" s="226"/>
      <c r="E351" s="226"/>
      <c r="F351" s="226"/>
      <c r="G351" s="226"/>
      <c r="H351" s="226"/>
      <c r="I351" s="9" t="str">
        <f t="shared" si="5"/>
        <v>__</v>
      </c>
    </row>
    <row r="352" spans="1:9" x14ac:dyDescent="0.35">
      <c r="A352" s="226"/>
      <c r="B352" s="226"/>
      <c r="C352" s="226"/>
      <c r="D352" s="226"/>
      <c r="E352" s="226"/>
      <c r="F352" s="226"/>
      <c r="G352" s="226"/>
      <c r="H352" s="226"/>
      <c r="I352" s="9" t="str">
        <f t="shared" si="5"/>
        <v>__</v>
      </c>
    </row>
    <row r="353" spans="1:9" x14ac:dyDescent="0.35">
      <c r="A353" s="226"/>
      <c r="B353" s="226"/>
      <c r="C353" s="226"/>
      <c r="D353" s="226"/>
      <c r="E353" s="226"/>
      <c r="F353" s="226"/>
      <c r="G353" s="226"/>
      <c r="H353" s="226"/>
      <c r="I353" s="9" t="str">
        <f t="shared" si="5"/>
        <v>__</v>
      </c>
    </row>
    <row r="354" spans="1:9" x14ac:dyDescent="0.35">
      <c r="A354" s="226"/>
      <c r="B354" s="226"/>
      <c r="C354" s="226"/>
      <c r="D354" s="226"/>
      <c r="E354" s="226"/>
      <c r="F354" s="226"/>
      <c r="G354" s="226"/>
      <c r="H354" s="226"/>
      <c r="I354" s="9" t="str">
        <f t="shared" si="5"/>
        <v>__</v>
      </c>
    </row>
    <row r="355" spans="1:9" x14ac:dyDescent="0.35">
      <c r="A355" s="226"/>
      <c r="B355" s="226"/>
      <c r="C355" s="226"/>
      <c r="D355" s="226"/>
      <c r="E355" s="226"/>
      <c r="F355" s="226"/>
      <c r="G355" s="226"/>
      <c r="H355" s="226"/>
      <c r="I355" s="9" t="str">
        <f t="shared" si="5"/>
        <v>__</v>
      </c>
    </row>
    <row r="356" spans="1:9" x14ac:dyDescent="0.35">
      <c r="A356" s="226"/>
      <c r="B356" s="226"/>
      <c r="C356" s="226"/>
      <c r="D356" s="226"/>
      <c r="E356" s="226"/>
      <c r="F356" s="226"/>
      <c r="G356" s="226"/>
      <c r="H356" s="226"/>
      <c r="I356" s="9" t="str">
        <f t="shared" si="5"/>
        <v>__</v>
      </c>
    </row>
    <row r="357" spans="1:9" x14ac:dyDescent="0.35">
      <c r="A357" s="226"/>
      <c r="B357" s="226"/>
      <c r="C357" s="226"/>
      <c r="D357" s="226"/>
      <c r="E357" s="226"/>
      <c r="F357" s="226"/>
      <c r="G357" s="226"/>
      <c r="H357" s="226"/>
      <c r="I357" s="9" t="str">
        <f t="shared" si="5"/>
        <v>__</v>
      </c>
    </row>
    <row r="358" spans="1:9" x14ac:dyDescent="0.35">
      <c r="A358" s="226"/>
      <c r="B358" s="226"/>
      <c r="C358" s="226"/>
      <c r="D358" s="226"/>
      <c r="E358" s="226"/>
      <c r="F358" s="226"/>
      <c r="G358" s="226"/>
      <c r="H358" s="226"/>
      <c r="I358" s="9" t="str">
        <f t="shared" si="5"/>
        <v>__</v>
      </c>
    </row>
    <row r="359" spans="1:9" x14ac:dyDescent="0.35">
      <c r="A359" s="226"/>
      <c r="B359" s="226"/>
      <c r="C359" s="226"/>
      <c r="D359" s="226"/>
      <c r="E359" s="226"/>
      <c r="F359" s="226"/>
      <c r="G359" s="226"/>
      <c r="H359" s="226"/>
      <c r="I359" s="9" t="str">
        <f t="shared" si="5"/>
        <v>__</v>
      </c>
    </row>
    <row r="360" spans="1:9" x14ac:dyDescent="0.35">
      <c r="A360" s="226"/>
      <c r="B360" s="226"/>
      <c r="C360" s="226"/>
      <c r="D360" s="226"/>
      <c r="E360" s="226"/>
      <c r="F360" s="226"/>
      <c r="G360" s="226"/>
      <c r="H360" s="226"/>
      <c r="I360" s="9" t="str">
        <f t="shared" si="5"/>
        <v>__</v>
      </c>
    </row>
    <row r="361" spans="1:9" x14ac:dyDescent="0.35">
      <c r="A361" s="226"/>
      <c r="B361" s="226"/>
      <c r="C361" s="226"/>
      <c r="D361" s="226"/>
      <c r="E361" s="226"/>
      <c r="F361" s="226"/>
      <c r="G361" s="226"/>
      <c r="H361" s="226"/>
      <c r="I361" s="9" t="str">
        <f t="shared" si="5"/>
        <v>__</v>
      </c>
    </row>
    <row r="362" spans="1:9" x14ac:dyDescent="0.35">
      <c r="A362" s="226"/>
      <c r="B362" s="226"/>
      <c r="C362" s="226"/>
      <c r="D362" s="226"/>
      <c r="E362" s="226"/>
      <c r="F362" s="226"/>
      <c r="G362" s="226"/>
      <c r="H362" s="226"/>
      <c r="I362" s="9" t="str">
        <f t="shared" si="5"/>
        <v>__</v>
      </c>
    </row>
    <row r="363" spans="1:9" x14ac:dyDescent="0.35">
      <c r="A363" s="226"/>
      <c r="B363" s="226"/>
      <c r="C363" s="226"/>
      <c r="D363" s="226"/>
      <c r="E363" s="226"/>
      <c r="F363" s="226"/>
      <c r="G363" s="226"/>
      <c r="H363" s="226"/>
      <c r="I363" s="9" t="str">
        <f t="shared" si="5"/>
        <v>__</v>
      </c>
    </row>
    <row r="364" spans="1:9" x14ac:dyDescent="0.35">
      <c r="A364" s="226"/>
      <c r="B364" s="226"/>
      <c r="C364" s="226"/>
      <c r="D364" s="226"/>
      <c r="E364" s="226"/>
      <c r="F364" s="226"/>
      <c r="G364" s="226"/>
      <c r="H364" s="226"/>
      <c r="I364" s="9" t="str">
        <f t="shared" si="5"/>
        <v>__</v>
      </c>
    </row>
    <row r="365" spans="1:9" x14ac:dyDescent="0.35">
      <c r="A365" s="226"/>
      <c r="B365" s="226"/>
      <c r="C365" s="226"/>
      <c r="D365" s="226"/>
      <c r="E365" s="226"/>
      <c r="F365" s="226"/>
      <c r="G365" s="226"/>
      <c r="H365" s="226"/>
      <c r="I365" s="9" t="str">
        <f t="shared" si="5"/>
        <v>__</v>
      </c>
    </row>
    <row r="366" spans="1:9" x14ac:dyDescent="0.35">
      <c r="A366" s="226"/>
      <c r="B366" s="226"/>
      <c r="C366" s="226"/>
      <c r="D366" s="226"/>
      <c r="E366" s="226"/>
      <c r="F366" s="226"/>
      <c r="G366" s="226"/>
      <c r="H366" s="226"/>
      <c r="I366" s="9" t="str">
        <f t="shared" si="5"/>
        <v>__</v>
      </c>
    </row>
    <row r="367" spans="1:9" x14ac:dyDescent="0.35">
      <c r="A367" s="226"/>
      <c r="B367" s="226"/>
      <c r="C367" s="226"/>
      <c r="D367" s="226"/>
      <c r="E367" s="226"/>
      <c r="F367" s="226"/>
      <c r="G367" s="226"/>
      <c r="H367" s="226"/>
      <c r="I367" s="9" t="str">
        <f t="shared" si="5"/>
        <v>__</v>
      </c>
    </row>
    <row r="368" spans="1:9" x14ac:dyDescent="0.35">
      <c r="A368" s="226"/>
      <c r="B368" s="226"/>
      <c r="C368" s="226"/>
      <c r="D368" s="226"/>
      <c r="E368" s="226"/>
      <c r="F368" s="226"/>
      <c r="G368" s="226"/>
      <c r="H368" s="226"/>
      <c r="I368" s="9" t="str">
        <f t="shared" si="5"/>
        <v>__</v>
      </c>
    </row>
    <row r="369" spans="1:9" x14ac:dyDescent="0.35">
      <c r="A369" s="226"/>
      <c r="B369" s="226"/>
      <c r="C369" s="226"/>
      <c r="D369" s="226"/>
      <c r="E369" s="226"/>
      <c r="F369" s="226"/>
      <c r="G369" s="226"/>
      <c r="H369" s="226"/>
      <c r="I369" s="9" t="str">
        <f t="shared" si="5"/>
        <v>__</v>
      </c>
    </row>
    <row r="370" spans="1:9" x14ac:dyDescent="0.35">
      <c r="A370" s="226"/>
      <c r="B370" s="226"/>
      <c r="C370" s="226"/>
      <c r="D370" s="226"/>
      <c r="E370" s="226"/>
      <c r="F370" s="226"/>
      <c r="G370" s="226"/>
      <c r="H370" s="226"/>
      <c r="I370" s="9" t="str">
        <f t="shared" si="5"/>
        <v>__</v>
      </c>
    </row>
    <row r="371" spans="1:9" x14ac:dyDescent="0.35">
      <c r="A371" s="226"/>
      <c r="B371" s="226"/>
      <c r="C371" s="226"/>
      <c r="D371" s="226"/>
      <c r="E371" s="226"/>
      <c r="F371" s="226"/>
      <c r="G371" s="226"/>
      <c r="H371" s="226"/>
      <c r="I371" s="9" t="str">
        <f t="shared" si="5"/>
        <v>__</v>
      </c>
    </row>
    <row r="372" spans="1:9" x14ac:dyDescent="0.35">
      <c r="A372" s="226"/>
      <c r="B372" s="226"/>
      <c r="C372" s="226"/>
      <c r="D372" s="226"/>
      <c r="E372" s="226"/>
      <c r="F372" s="226"/>
      <c r="G372" s="226"/>
      <c r="H372" s="226"/>
      <c r="I372" s="9" t="str">
        <f t="shared" si="5"/>
        <v>__</v>
      </c>
    </row>
    <row r="373" spans="1:9" x14ac:dyDescent="0.35">
      <c r="A373" s="226"/>
      <c r="B373" s="226"/>
      <c r="C373" s="226"/>
      <c r="D373" s="226"/>
      <c r="E373" s="226"/>
      <c r="F373" s="226"/>
      <c r="G373" s="226"/>
      <c r="H373" s="226"/>
      <c r="I373" s="9" t="str">
        <f t="shared" si="5"/>
        <v>__</v>
      </c>
    </row>
    <row r="374" spans="1:9" x14ac:dyDescent="0.35">
      <c r="A374" s="226"/>
      <c r="B374" s="226"/>
      <c r="C374" s="226"/>
      <c r="D374" s="226"/>
      <c r="E374" s="226"/>
      <c r="F374" s="226"/>
      <c r="G374" s="226"/>
      <c r="H374" s="226"/>
      <c r="I374" s="9" t="str">
        <f t="shared" si="5"/>
        <v>__</v>
      </c>
    </row>
    <row r="375" spans="1:9" x14ac:dyDescent="0.35">
      <c r="A375" s="226"/>
      <c r="B375" s="226"/>
      <c r="C375" s="226"/>
      <c r="D375" s="226"/>
      <c r="E375" s="226"/>
      <c r="F375" s="226"/>
      <c r="G375" s="226"/>
      <c r="H375" s="226"/>
      <c r="I375" s="9" t="str">
        <f t="shared" si="5"/>
        <v>__</v>
      </c>
    </row>
    <row r="376" spans="1:9" x14ac:dyDescent="0.35">
      <c r="A376" s="226"/>
      <c r="B376" s="226"/>
      <c r="C376" s="226"/>
      <c r="D376" s="226"/>
      <c r="E376" s="226"/>
      <c r="F376" s="226"/>
      <c r="G376" s="226"/>
      <c r="H376" s="226"/>
      <c r="I376" s="9" t="str">
        <f t="shared" si="5"/>
        <v>__</v>
      </c>
    </row>
    <row r="377" spans="1:9" x14ac:dyDescent="0.35">
      <c r="A377" s="226"/>
      <c r="B377" s="226"/>
      <c r="C377" s="226"/>
      <c r="D377" s="226"/>
      <c r="E377" s="226"/>
      <c r="F377" s="226"/>
      <c r="G377" s="226"/>
      <c r="H377" s="226"/>
      <c r="I377" s="9" t="str">
        <f t="shared" si="5"/>
        <v>__</v>
      </c>
    </row>
    <row r="378" spans="1:9" x14ac:dyDescent="0.35">
      <c r="A378" s="226"/>
      <c r="B378" s="226"/>
      <c r="C378" s="226"/>
      <c r="D378" s="226"/>
      <c r="E378" s="226"/>
      <c r="F378" s="226"/>
      <c r="G378" s="226"/>
      <c r="H378" s="226"/>
      <c r="I378" s="9" t="str">
        <f t="shared" si="5"/>
        <v>__</v>
      </c>
    </row>
    <row r="379" spans="1:9" x14ac:dyDescent="0.35">
      <c r="A379" s="226"/>
      <c r="B379" s="226"/>
      <c r="C379" s="226"/>
      <c r="D379" s="226"/>
      <c r="E379" s="226"/>
      <c r="F379" s="226"/>
      <c r="G379" s="226"/>
      <c r="H379" s="226"/>
      <c r="I379" s="9" t="str">
        <f t="shared" si="5"/>
        <v>__</v>
      </c>
    </row>
    <row r="380" spans="1:9" x14ac:dyDescent="0.35">
      <c r="A380" s="226"/>
      <c r="B380" s="226"/>
      <c r="C380" s="226"/>
      <c r="D380" s="226"/>
      <c r="E380" s="226"/>
      <c r="F380" s="226"/>
      <c r="G380" s="226"/>
      <c r="H380" s="226"/>
      <c r="I380" s="9" t="str">
        <f t="shared" si="5"/>
        <v>__</v>
      </c>
    </row>
    <row r="381" spans="1:9" x14ac:dyDescent="0.35">
      <c r="A381" s="226"/>
      <c r="B381" s="226"/>
      <c r="C381" s="226"/>
      <c r="D381" s="226"/>
      <c r="E381" s="226"/>
      <c r="F381" s="226"/>
      <c r="G381" s="226"/>
      <c r="H381" s="226"/>
      <c r="I381" s="9" t="str">
        <f t="shared" si="5"/>
        <v>__</v>
      </c>
    </row>
    <row r="382" spans="1:9" x14ac:dyDescent="0.35">
      <c r="A382" s="226"/>
      <c r="B382" s="226"/>
      <c r="C382" s="226"/>
      <c r="D382" s="226"/>
      <c r="E382" s="226"/>
      <c r="F382" s="226"/>
      <c r="G382" s="226"/>
      <c r="H382" s="226"/>
      <c r="I382" s="9" t="str">
        <f t="shared" si="5"/>
        <v>__</v>
      </c>
    </row>
    <row r="383" spans="1:9" x14ac:dyDescent="0.35">
      <c r="A383" s="226"/>
      <c r="B383" s="226"/>
      <c r="C383" s="226"/>
      <c r="D383" s="226"/>
      <c r="E383" s="226"/>
      <c r="F383" s="226"/>
      <c r="G383" s="226"/>
      <c r="H383" s="226"/>
      <c r="I383" s="9" t="str">
        <f t="shared" si="5"/>
        <v>__</v>
      </c>
    </row>
    <row r="384" spans="1:9" x14ac:dyDescent="0.35">
      <c r="A384" s="226"/>
      <c r="B384" s="226"/>
      <c r="C384" s="226"/>
      <c r="D384" s="226"/>
      <c r="E384" s="226"/>
      <c r="F384" s="226"/>
      <c r="G384" s="226"/>
      <c r="H384" s="226"/>
      <c r="I384" s="9" t="str">
        <f t="shared" si="5"/>
        <v>__</v>
      </c>
    </row>
    <row r="385" spans="1:9" x14ac:dyDescent="0.35">
      <c r="A385" s="226"/>
      <c r="B385" s="226"/>
      <c r="C385" s="226"/>
      <c r="D385" s="226"/>
      <c r="E385" s="226"/>
      <c r="F385" s="226"/>
      <c r="G385" s="226"/>
      <c r="H385" s="226"/>
      <c r="I385" s="9" t="str">
        <f t="shared" si="5"/>
        <v>__</v>
      </c>
    </row>
    <row r="386" spans="1:9" x14ac:dyDescent="0.35">
      <c r="A386" s="226"/>
      <c r="B386" s="226"/>
      <c r="C386" s="226"/>
      <c r="D386" s="226"/>
      <c r="E386" s="226"/>
      <c r="F386" s="226"/>
      <c r="G386" s="226"/>
      <c r="H386" s="226"/>
      <c r="I386" s="9" t="str">
        <f t="shared" si="5"/>
        <v>__</v>
      </c>
    </row>
    <row r="387" spans="1:9" x14ac:dyDescent="0.35">
      <c r="A387" s="226"/>
      <c r="B387" s="226"/>
      <c r="C387" s="226"/>
      <c r="D387" s="226"/>
      <c r="E387" s="226"/>
      <c r="F387" s="226"/>
      <c r="G387" s="226"/>
      <c r="H387" s="226"/>
      <c r="I387" s="9" t="str">
        <f t="shared" si="5"/>
        <v>__</v>
      </c>
    </row>
    <row r="388" spans="1:9" x14ac:dyDescent="0.35">
      <c r="A388" s="226"/>
      <c r="B388" s="226"/>
      <c r="C388" s="226"/>
      <c r="D388" s="226"/>
      <c r="E388" s="226"/>
      <c r="F388" s="226"/>
      <c r="G388" s="226"/>
      <c r="H388" s="226"/>
      <c r="I388" s="9" t="str">
        <f t="shared" si="5"/>
        <v>__</v>
      </c>
    </row>
    <row r="389" spans="1:9" x14ac:dyDescent="0.35">
      <c r="A389" s="226"/>
      <c r="B389" s="226"/>
      <c r="C389" s="226"/>
      <c r="D389" s="226"/>
      <c r="E389" s="226"/>
      <c r="F389" s="226"/>
      <c r="G389" s="226"/>
      <c r="H389" s="226"/>
      <c r="I389" s="9" t="str">
        <f t="shared" ref="I389:I452" si="6">CONCATENATE(A389,"_",B389,"_",C389)</f>
        <v>__</v>
      </c>
    </row>
    <row r="390" spans="1:9" x14ac:dyDescent="0.35">
      <c r="A390" s="226"/>
      <c r="B390" s="226"/>
      <c r="C390" s="226"/>
      <c r="D390" s="226"/>
      <c r="E390" s="226"/>
      <c r="F390" s="226"/>
      <c r="G390" s="226"/>
      <c r="H390" s="226"/>
      <c r="I390" s="9" t="str">
        <f t="shared" si="6"/>
        <v>__</v>
      </c>
    </row>
    <row r="391" spans="1:9" x14ac:dyDescent="0.35">
      <c r="A391" s="226"/>
      <c r="B391" s="226"/>
      <c r="C391" s="226"/>
      <c r="D391" s="226"/>
      <c r="E391" s="226"/>
      <c r="F391" s="226"/>
      <c r="G391" s="226"/>
      <c r="H391" s="226"/>
      <c r="I391" s="9" t="str">
        <f t="shared" si="6"/>
        <v>__</v>
      </c>
    </row>
    <row r="392" spans="1:9" x14ac:dyDescent="0.35">
      <c r="A392" s="226"/>
      <c r="B392" s="226"/>
      <c r="C392" s="226"/>
      <c r="D392" s="226"/>
      <c r="E392" s="226"/>
      <c r="F392" s="226"/>
      <c r="G392" s="226"/>
      <c r="H392" s="226"/>
      <c r="I392" s="9" t="str">
        <f t="shared" si="6"/>
        <v>__</v>
      </c>
    </row>
    <row r="393" spans="1:9" x14ac:dyDescent="0.35">
      <c r="A393" s="226"/>
      <c r="B393" s="226"/>
      <c r="C393" s="226"/>
      <c r="D393" s="226"/>
      <c r="E393" s="226"/>
      <c r="F393" s="226"/>
      <c r="G393" s="226"/>
      <c r="H393" s="226"/>
      <c r="I393" s="9" t="str">
        <f t="shared" si="6"/>
        <v>__</v>
      </c>
    </row>
    <row r="394" spans="1:9" x14ac:dyDescent="0.35">
      <c r="A394" s="226"/>
      <c r="B394" s="226"/>
      <c r="C394" s="226"/>
      <c r="D394" s="226"/>
      <c r="E394" s="226"/>
      <c r="F394" s="226"/>
      <c r="G394" s="226"/>
      <c r="H394" s="226"/>
      <c r="I394" s="9" t="str">
        <f t="shared" si="6"/>
        <v>__</v>
      </c>
    </row>
    <row r="395" spans="1:9" x14ac:dyDescent="0.35">
      <c r="A395" s="226"/>
      <c r="B395" s="226"/>
      <c r="C395" s="226"/>
      <c r="D395" s="226"/>
      <c r="E395" s="226"/>
      <c r="F395" s="226"/>
      <c r="G395" s="226"/>
      <c r="H395" s="226"/>
      <c r="I395" s="9" t="str">
        <f t="shared" si="6"/>
        <v>__</v>
      </c>
    </row>
    <row r="396" spans="1:9" x14ac:dyDescent="0.35">
      <c r="A396" s="226"/>
      <c r="B396" s="226"/>
      <c r="C396" s="226"/>
      <c r="D396" s="226"/>
      <c r="E396" s="226"/>
      <c r="F396" s="226"/>
      <c r="G396" s="226"/>
      <c r="H396" s="226"/>
      <c r="I396" s="9" t="str">
        <f t="shared" si="6"/>
        <v>__</v>
      </c>
    </row>
    <row r="397" spans="1:9" x14ac:dyDescent="0.35">
      <c r="A397" s="226"/>
      <c r="B397" s="226"/>
      <c r="C397" s="226"/>
      <c r="D397" s="226"/>
      <c r="E397" s="226"/>
      <c r="F397" s="226"/>
      <c r="G397" s="226"/>
      <c r="H397" s="226"/>
      <c r="I397" s="9" t="str">
        <f t="shared" si="6"/>
        <v>__</v>
      </c>
    </row>
    <row r="398" spans="1:9" x14ac:dyDescent="0.35">
      <c r="A398" s="226"/>
      <c r="B398" s="226"/>
      <c r="C398" s="226"/>
      <c r="D398" s="226"/>
      <c r="E398" s="226"/>
      <c r="F398" s="226"/>
      <c r="G398" s="226"/>
      <c r="H398" s="226"/>
      <c r="I398" s="9" t="str">
        <f t="shared" si="6"/>
        <v>__</v>
      </c>
    </row>
    <row r="399" spans="1:9" x14ac:dyDescent="0.35">
      <c r="A399" s="226"/>
      <c r="B399" s="226"/>
      <c r="C399" s="226"/>
      <c r="D399" s="226"/>
      <c r="E399" s="226"/>
      <c r="F399" s="226"/>
      <c r="G399" s="226"/>
      <c r="H399" s="226"/>
      <c r="I399" s="9" t="str">
        <f t="shared" si="6"/>
        <v>__</v>
      </c>
    </row>
    <row r="400" spans="1:9" x14ac:dyDescent="0.35">
      <c r="A400" s="226"/>
      <c r="B400" s="226"/>
      <c r="C400" s="226"/>
      <c r="D400" s="226"/>
      <c r="E400" s="226"/>
      <c r="F400" s="226"/>
      <c r="G400" s="226"/>
      <c r="H400" s="226"/>
      <c r="I400" s="9" t="str">
        <f t="shared" si="6"/>
        <v>__</v>
      </c>
    </row>
    <row r="401" spans="1:9" x14ac:dyDescent="0.35">
      <c r="A401" s="226"/>
      <c r="B401" s="226"/>
      <c r="C401" s="226"/>
      <c r="D401" s="226"/>
      <c r="E401" s="226"/>
      <c r="F401" s="226"/>
      <c r="G401" s="226"/>
      <c r="H401" s="226"/>
      <c r="I401" s="9" t="str">
        <f t="shared" si="6"/>
        <v>__</v>
      </c>
    </row>
    <row r="402" spans="1:9" x14ac:dyDescent="0.35">
      <c r="A402" s="226"/>
      <c r="B402" s="226"/>
      <c r="C402" s="226"/>
      <c r="D402" s="226"/>
      <c r="E402" s="226"/>
      <c r="F402" s="226"/>
      <c r="G402" s="226"/>
      <c r="H402" s="226"/>
      <c r="I402" s="9" t="str">
        <f t="shared" si="6"/>
        <v>__</v>
      </c>
    </row>
    <row r="403" spans="1:9" x14ac:dyDescent="0.35">
      <c r="A403" s="226"/>
      <c r="B403" s="226"/>
      <c r="C403" s="226"/>
      <c r="D403" s="226"/>
      <c r="E403" s="226"/>
      <c r="F403" s="226"/>
      <c r="G403" s="226"/>
      <c r="H403" s="226"/>
      <c r="I403" s="9" t="str">
        <f t="shared" si="6"/>
        <v>__</v>
      </c>
    </row>
    <row r="404" spans="1:9" x14ac:dyDescent="0.35">
      <c r="A404" s="226"/>
      <c r="B404" s="226"/>
      <c r="C404" s="226"/>
      <c r="D404" s="226"/>
      <c r="E404" s="226"/>
      <c r="F404" s="226"/>
      <c r="G404" s="226"/>
      <c r="H404" s="226"/>
      <c r="I404" s="9" t="str">
        <f t="shared" si="6"/>
        <v>__</v>
      </c>
    </row>
    <row r="405" spans="1:9" x14ac:dyDescent="0.35">
      <c r="A405" s="226"/>
      <c r="B405" s="226"/>
      <c r="C405" s="226"/>
      <c r="D405" s="226"/>
      <c r="E405" s="226"/>
      <c r="F405" s="226"/>
      <c r="G405" s="226"/>
      <c r="H405" s="226"/>
      <c r="I405" s="9" t="str">
        <f t="shared" si="6"/>
        <v>__</v>
      </c>
    </row>
    <row r="406" spans="1:9" x14ac:dyDescent="0.35">
      <c r="A406" s="226"/>
      <c r="B406" s="226"/>
      <c r="C406" s="226"/>
      <c r="D406" s="226"/>
      <c r="E406" s="226"/>
      <c r="F406" s="226"/>
      <c r="G406" s="226"/>
      <c r="H406" s="226"/>
      <c r="I406" s="9" t="str">
        <f t="shared" si="6"/>
        <v>__</v>
      </c>
    </row>
    <row r="407" spans="1:9" x14ac:dyDescent="0.35">
      <c r="A407" s="226"/>
      <c r="B407" s="226"/>
      <c r="C407" s="226"/>
      <c r="D407" s="226"/>
      <c r="E407" s="226"/>
      <c r="F407" s="226"/>
      <c r="G407" s="226"/>
      <c r="H407" s="226"/>
      <c r="I407" s="9" t="str">
        <f t="shared" si="6"/>
        <v>__</v>
      </c>
    </row>
    <row r="408" spans="1:9" x14ac:dyDescent="0.35">
      <c r="A408" s="226"/>
      <c r="B408" s="226"/>
      <c r="C408" s="226"/>
      <c r="D408" s="226"/>
      <c r="E408" s="226"/>
      <c r="F408" s="226"/>
      <c r="G408" s="226"/>
      <c r="H408" s="226"/>
      <c r="I408" s="9" t="str">
        <f t="shared" si="6"/>
        <v>__</v>
      </c>
    </row>
    <row r="409" spans="1:9" x14ac:dyDescent="0.35">
      <c r="A409" s="226"/>
      <c r="B409" s="226"/>
      <c r="C409" s="226"/>
      <c r="D409" s="226"/>
      <c r="E409" s="226"/>
      <c r="F409" s="226"/>
      <c r="G409" s="226"/>
      <c r="H409" s="226"/>
      <c r="I409" s="9" t="str">
        <f t="shared" si="6"/>
        <v>__</v>
      </c>
    </row>
    <row r="410" spans="1:9" x14ac:dyDescent="0.35">
      <c r="A410" s="226"/>
      <c r="B410" s="226"/>
      <c r="C410" s="226"/>
      <c r="D410" s="226"/>
      <c r="E410" s="226"/>
      <c r="F410" s="226"/>
      <c r="G410" s="226"/>
      <c r="H410" s="226"/>
      <c r="I410" s="9" t="str">
        <f t="shared" si="6"/>
        <v>__</v>
      </c>
    </row>
    <row r="411" spans="1:9" x14ac:dyDescent="0.35">
      <c r="A411" s="226"/>
      <c r="B411" s="226"/>
      <c r="C411" s="226"/>
      <c r="D411" s="226"/>
      <c r="E411" s="226"/>
      <c r="F411" s="226"/>
      <c r="G411" s="226"/>
      <c r="H411" s="226"/>
      <c r="I411" s="9" t="str">
        <f t="shared" si="6"/>
        <v>__</v>
      </c>
    </row>
    <row r="412" spans="1:9" x14ac:dyDescent="0.35">
      <c r="A412" s="226"/>
      <c r="B412" s="226"/>
      <c r="C412" s="226"/>
      <c r="D412" s="226"/>
      <c r="E412" s="226"/>
      <c r="F412" s="226"/>
      <c r="G412" s="226"/>
      <c r="H412" s="226"/>
      <c r="I412" s="9" t="str">
        <f t="shared" si="6"/>
        <v>__</v>
      </c>
    </row>
    <row r="413" spans="1:9" x14ac:dyDescent="0.35">
      <c r="A413" s="226"/>
      <c r="B413" s="226"/>
      <c r="C413" s="226"/>
      <c r="D413" s="226"/>
      <c r="E413" s="226"/>
      <c r="F413" s="226"/>
      <c r="G413" s="226"/>
      <c r="H413" s="226"/>
      <c r="I413" s="9" t="str">
        <f t="shared" si="6"/>
        <v>__</v>
      </c>
    </row>
    <row r="414" spans="1:9" x14ac:dyDescent="0.35">
      <c r="A414" s="226"/>
      <c r="B414" s="226"/>
      <c r="C414" s="226"/>
      <c r="D414" s="226"/>
      <c r="E414" s="226"/>
      <c r="F414" s="226"/>
      <c r="G414" s="226"/>
      <c r="H414" s="226"/>
      <c r="I414" s="9" t="str">
        <f t="shared" si="6"/>
        <v>__</v>
      </c>
    </row>
    <row r="415" spans="1:9" x14ac:dyDescent="0.35">
      <c r="A415" s="226"/>
      <c r="B415" s="226"/>
      <c r="C415" s="226"/>
      <c r="D415" s="226"/>
      <c r="E415" s="226"/>
      <c r="F415" s="226"/>
      <c r="G415" s="226"/>
      <c r="H415" s="226"/>
      <c r="I415" s="9" t="str">
        <f t="shared" si="6"/>
        <v>__</v>
      </c>
    </row>
    <row r="416" spans="1:9" x14ac:dyDescent="0.35">
      <c r="A416" s="226"/>
      <c r="B416" s="226"/>
      <c r="C416" s="226"/>
      <c r="D416" s="226"/>
      <c r="E416" s="226"/>
      <c r="F416" s="226"/>
      <c r="G416" s="226"/>
      <c r="H416" s="226"/>
      <c r="I416" s="9" t="str">
        <f t="shared" si="6"/>
        <v>__</v>
      </c>
    </row>
    <row r="417" spans="1:9" x14ac:dyDescent="0.35">
      <c r="A417" s="226"/>
      <c r="B417" s="226"/>
      <c r="C417" s="226"/>
      <c r="D417" s="226"/>
      <c r="E417" s="226"/>
      <c r="F417" s="226"/>
      <c r="G417" s="226"/>
      <c r="H417" s="226"/>
      <c r="I417" s="9" t="str">
        <f t="shared" si="6"/>
        <v>__</v>
      </c>
    </row>
    <row r="418" spans="1:9" x14ac:dyDescent="0.35">
      <c r="A418" s="226"/>
      <c r="B418" s="226"/>
      <c r="C418" s="226"/>
      <c r="D418" s="226"/>
      <c r="E418" s="226"/>
      <c r="F418" s="226"/>
      <c r="G418" s="226"/>
      <c r="H418" s="226"/>
      <c r="I418" s="9" t="str">
        <f t="shared" si="6"/>
        <v>__</v>
      </c>
    </row>
    <row r="419" spans="1:9" x14ac:dyDescent="0.35">
      <c r="A419" s="226"/>
      <c r="B419" s="226"/>
      <c r="C419" s="226"/>
      <c r="D419" s="226"/>
      <c r="E419" s="226"/>
      <c r="F419" s="226"/>
      <c r="G419" s="226"/>
      <c r="H419" s="226"/>
      <c r="I419" s="9" t="str">
        <f t="shared" si="6"/>
        <v>__</v>
      </c>
    </row>
    <row r="420" spans="1:9" x14ac:dyDescent="0.35">
      <c r="A420" s="226"/>
      <c r="B420" s="226"/>
      <c r="C420" s="226"/>
      <c r="D420" s="226"/>
      <c r="E420" s="226"/>
      <c r="F420" s="226"/>
      <c r="G420" s="226"/>
      <c r="H420" s="226"/>
      <c r="I420" s="9" t="str">
        <f t="shared" si="6"/>
        <v>__</v>
      </c>
    </row>
    <row r="421" spans="1:9" x14ac:dyDescent="0.35">
      <c r="A421" s="226"/>
      <c r="B421" s="226"/>
      <c r="C421" s="226"/>
      <c r="D421" s="226"/>
      <c r="E421" s="226"/>
      <c r="F421" s="226"/>
      <c r="G421" s="226"/>
      <c r="H421" s="226"/>
      <c r="I421" s="9" t="str">
        <f t="shared" si="6"/>
        <v>__</v>
      </c>
    </row>
    <row r="422" spans="1:9" x14ac:dyDescent="0.35">
      <c r="A422" s="226"/>
      <c r="B422" s="226"/>
      <c r="C422" s="226"/>
      <c r="D422" s="226"/>
      <c r="E422" s="226"/>
      <c r="F422" s="226"/>
      <c r="G422" s="226"/>
      <c r="H422" s="226"/>
      <c r="I422" s="9" t="str">
        <f t="shared" si="6"/>
        <v>__</v>
      </c>
    </row>
    <row r="423" spans="1:9" x14ac:dyDescent="0.35">
      <c r="A423" s="226"/>
      <c r="B423" s="226"/>
      <c r="C423" s="226"/>
      <c r="D423" s="226"/>
      <c r="E423" s="226"/>
      <c r="F423" s="226"/>
      <c r="G423" s="226"/>
      <c r="H423" s="226"/>
      <c r="I423" s="9" t="str">
        <f t="shared" si="6"/>
        <v>__</v>
      </c>
    </row>
    <row r="424" spans="1:9" x14ac:dyDescent="0.35">
      <c r="A424" s="226"/>
      <c r="B424" s="226"/>
      <c r="C424" s="226"/>
      <c r="D424" s="226"/>
      <c r="E424" s="226"/>
      <c r="F424" s="226"/>
      <c r="G424" s="226"/>
      <c r="H424" s="226"/>
      <c r="I424" s="9" t="str">
        <f t="shared" si="6"/>
        <v>__</v>
      </c>
    </row>
    <row r="425" spans="1:9" x14ac:dyDescent="0.35">
      <c r="A425" s="226"/>
      <c r="B425" s="226"/>
      <c r="C425" s="226"/>
      <c r="D425" s="226"/>
      <c r="E425" s="226"/>
      <c r="F425" s="226"/>
      <c r="G425" s="226"/>
      <c r="H425" s="226"/>
      <c r="I425" s="9" t="str">
        <f t="shared" si="6"/>
        <v>__</v>
      </c>
    </row>
    <row r="426" spans="1:9" x14ac:dyDescent="0.35">
      <c r="A426" s="226"/>
      <c r="B426" s="226"/>
      <c r="C426" s="226"/>
      <c r="D426" s="226"/>
      <c r="E426" s="226"/>
      <c r="F426" s="226"/>
      <c r="G426" s="226"/>
      <c r="H426" s="226"/>
      <c r="I426" s="9" t="str">
        <f t="shared" si="6"/>
        <v>__</v>
      </c>
    </row>
    <row r="427" spans="1:9" x14ac:dyDescent="0.35">
      <c r="A427" s="226"/>
      <c r="B427" s="226"/>
      <c r="C427" s="226"/>
      <c r="D427" s="226"/>
      <c r="E427" s="226"/>
      <c r="F427" s="226"/>
      <c r="G427" s="226"/>
      <c r="H427" s="226"/>
      <c r="I427" s="9" t="str">
        <f t="shared" si="6"/>
        <v>__</v>
      </c>
    </row>
    <row r="428" spans="1:9" x14ac:dyDescent="0.35">
      <c r="A428" s="226"/>
      <c r="B428" s="226"/>
      <c r="C428" s="226"/>
      <c r="D428" s="226"/>
      <c r="E428" s="226"/>
      <c r="F428" s="226"/>
      <c r="G428" s="226"/>
      <c r="H428" s="226"/>
      <c r="I428" s="9" t="str">
        <f t="shared" si="6"/>
        <v>__</v>
      </c>
    </row>
    <row r="429" spans="1:9" x14ac:dyDescent="0.35">
      <c r="A429" s="226"/>
      <c r="B429" s="226"/>
      <c r="C429" s="226"/>
      <c r="D429" s="226"/>
      <c r="E429" s="226"/>
      <c r="F429" s="226"/>
      <c r="G429" s="226"/>
      <c r="H429" s="226"/>
      <c r="I429" s="9" t="str">
        <f t="shared" si="6"/>
        <v>__</v>
      </c>
    </row>
    <row r="430" spans="1:9" x14ac:dyDescent="0.35">
      <c r="A430" s="226"/>
      <c r="B430" s="226"/>
      <c r="C430" s="226"/>
      <c r="D430" s="226"/>
      <c r="E430" s="226"/>
      <c r="F430" s="226"/>
      <c r="G430" s="226"/>
      <c r="H430" s="226"/>
      <c r="I430" s="9" t="str">
        <f t="shared" si="6"/>
        <v>__</v>
      </c>
    </row>
    <row r="431" spans="1:9" x14ac:dyDescent="0.35">
      <c r="A431" s="226"/>
      <c r="B431" s="226"/>
      <c r="C431" s="226"/>
      <c r="D431" s="226"/>
      <c r="E431" s="226"/>
      <c r="F431" s="226"/>
      <c r="G431" s="226"/>
      <c r="H431" s="226"/>
      <c r="I431" s="9" t="str">
        <f t="shared" si="6"/>
        <v>__</v>
      </c>
    </row>
    <row r="432" spans="1:9" x14ac:dyDescent="0.35">
      <c r="A432" s="226"/>
      <c r="B432" s="226"/>
      <c r="C432" s="226"/>
      <c r="D432" s="226"/>
      <c r="E432" s="226"/>
      <c r="F432" s="226"/>
      <c r="G432" s="226"/>
      <c r="H432" s="226"/>
      <c r="I432" s="9" t="str">
        <f t="shared" si="6"/>
        <v>__</v>
      </c>
    </row>
    <row r="433" spans="1:9" x14ac:dyDescent="0.35">
      <c r="A433" s="226"/>
      <c r="B433" s="226"/>
      <c r="C433" s="226"/>
      <c r="D433" s="226"/>
      <c r="E433" s="226"/>
      <c r="F433" s="226"/>
      <c r="G433" s="226"/>
      <c r="H433" s="226"/>
      <c r="I433" s="9" t="str">
        <f t="shared" si="6"/>
        <v>__</v>
      </c>
    </row>
    <row r="434" spans="1:9" x14ac:dyDescent="0.35">
      <c r="A434" s="226"/>
      <c r="B434" s="226"/>
      <c r="C434" s="226"/>
      <c r="D434" s="226"/>
      <c r="E434" s="226"/>
      <c r="F434" s="226"/>
      <c r="G434" s="226"/>
      <c r="H434" s="226"/>
      <c r="I434" s="9" t="str">
        <f t="shared" si="6"/>
        <v>__</v>
      </c>
    </row>
    <row r="435" spans="1:9" x14ac:dyDescent="0.35">
      <c r="A435" s="226"/>
      <c r="B435" s="226"/>
      <c r="C435" s="226"/>
      <c r="D435" s="226"/>
      <c r="E435" s="226"/>
      <c r="F435" s="226"/>
      <c r="G435" s="226"/>
      <c r="H435" s="226"/>
      <c r="I435" s="9" t="str">
        <f t="shared" si="6"/>
        <v>__</v>
      </c>
    </row>
    <row r="436" spans="1:9" x14ac:dyDescent="0.35">
      <c r="A436" s="226"/>
      <c r="B436" s="226"/>
      <c r="C436" s="226"/>
      <c r="D436" s="226"/>
      <c r="E436" s="226"/>
      <c r="F436" s="226"/>
      <c r="G436" s="226"/>
      <c r="H436" s="226"/>
      <c r="I436" s="9" t="str">
        <f t="shared" si="6"/>
        <v>__</v>
      </c>
    </row>
    <row r="437" spans="1:9" x14ac:dyDescent="0.35">
      <c r="A437" s="226"/>
      <c r="B437" s="226"/>
      <c r="C437" s="226"/>
      <c r="D437" s="226"/>
      <c r="E437" s="226"/>
      <c r="F437" s="226"/>
      <c r="G437" s="226"/>
      <c r="H437" s="226"/>
      <c r="I437" s="9" t="str">
        <f t="shared" si="6"/>
        <v>__</v>
      </c>
    </row>
    <row r="438" spans="1:9" x14ac:dyDescent="0.35">
      <c r="A438" s="226"/>
      <c r="B438" s="226"/>
      <c r="C438" s="226"/>
      <c r="D438" s="226"/>
      <c r="E438" s="226"/>
      <c r="F438" s="226"/>
      <c r="G438" s="226"/>
      <c r="H438" s="226"/>
      <c r="I438" s="9" t="str">
        <f t="shared" si="6"/>
        <v>__</v>
      </c>
    </row>
    <row r="439" spans="1:9" x14ac:dyDescent="0.35">
      <c r="A439" s="226"/>
      <c r="B439" s="226"/>
      <c r="C439" s="226"/>
      <c r="D439" s="226"/>
      <c r="E439" s="226"/>
      <c r="F439" s="226"/>
      <c r="G439" s="226"/>
      <c r="H439" s="226"/>
      <c r="I439" s="9" t="str">
        <f t="shared" si="6"/>
        <v>__</v>
      </c>
    </row>
    <row r="440" spans="1:9" x14ac:dyDescent="0.35">
      <c r="A440" s="226"/>
      <c r="B440" s="226"/>
      <c r="C440" s="226"/>
      <c r="D440" s="226"/>
      <c r="E440" s="226"/>
      <c r="F440" s="226"/>
      <c r="G440" s="226"/>
      <c r="H440" s="226"/>
      <c r="I440" s="9" t="str">
        <f t="shared" si="6"/>
        <v>__</v>
      </c>
    </row>
    <row r="441" spans="1:9" x14ac:dyDescent="0.35">
      <c r="A441" s="226"/>
      <c r="B441" s="226"/>
      <c r="C441" s="226"/>
      <c r="D441" s="226"/>
      <c r="E441" s="226"/>
      <c r="F441" s="226"/>
      <c r="G441" s="226"/>
      <c r="H441" s="226"/>
      <c r="I441" s="9" t="str">
        <f t="shared" si="6"/>
        <v>__</v>
      </c>
    </row>
    <row r="442" spans="1:9" x14ac:dyDescent="0.35">
      <c r="A442" s="226"/>
      <c r="B442" s="226"/>
      <c r="C442" s="226"/>
      <c r="D442" s="226"/>
      <c r="E442" s="226"/>
      <c r="F442" s="226"/>
      <c r="G442" s="226"/>
      <c r="H442" s="226"/>
      <c r="I442" s="9" t="str">
        <f t="shared" si="6"/>
        <v>__</v>
      </c>
    </row>
    <row r="443" spans="1:9" x14ac:dyDescent="0.35">
      <c r="A443" s="226"/>
      <c r="B443" s="226"/>
      <c r="C443" s="226"/>
      <c r="D443" s="226"/>
      <c r="E443" s="226"/>
      <c r="F443" s="226"/>
      <c r="G443" s="226"/>
      <c r="H443" s="226"/>
      <c r="I443" s="9" t="str">
        <f t="shared" si="6"/>
        <v>__</v>
      </c>
    </row>
    <row r="444" spans="1:9" x14ac:dyDescent="0.35">
      <c r="A444" s="226"/>
      <c r="B444" s="226"/>
      <c r="C444" s="226"/>
      <c r="D444" s="226"/>
      <c r="E444" s="226"/>
      <c r="F444" s="226"/>
      <c r="G444" s="226"/>
      <c r="H444" s="226"/>
      <c r="I444" s="9" t="str">
        <f t="shared" si="6"/>
        <v>__</v>
      </c>
    </row>
    <row r="445" spans="1:9" x14ac:dyDescent="0.35">
      <c r="A445" s="226"/>
      <c r="B445" s="226"/>
      <c r="C445" s="226"/>
      <c r="D445" s="226"/>
      <c r="E445" s="226"/>
      <c r="F445" s="226"/>
      <c r="G445" s="226"/>
      <c r="H445" s="226"/>
      <c r="I445" s="9" t="str">
        <f t="shared" si="6"/>
        <v>__</v>
      </c>
    </row>
    <row r="446" spans="1:9" x14ac:dyDescent="0.35">
      <c r="A446" s="226"/>
      <c r="B446" s="226"/>
      <c r="C446" s="226"/>
      <c r="D446" s="226"/>
      <c r="E446" s="226"/>
      <c r="F446" s="226"/>
      <c r="G446" s="226"/>
      <c r="H446" s="226"/>
      <c r="I446" s="9" t="str">
        <f t="shared" si="6"/>
        <v>__</v>
      </c>
    </row>
    <row r="447" spans="1:9" x14ac:dyDescent="0.35">
      <c r="A447" s="226"/>
      <c r="B447" s="226"/>
      <c r="C447" s="226"/>
      <c r="D447" s="226"/>
      <c r="E447" s="226"/>
      <c r="F447" s="226"/>
      <c r="G447" s="226"/>
      <c r="H447" s="226"/>
      <c r="I447" s="9" t="str">
        <f t="shared" si="6"/>
        <v>__</v>
      </c>
    </row>
    <row r="448" spans="1:9" x14ac:dyDescent="0.35">
      <c r="A448" s="226"/>
      <c r="B448" s="226"/>
      <c r="C448" s="226"/>
      <c r="D448" s="226"/>
      <c r="E448" s="226"/>
      <c r="F448" s="226"/>
      <c r="G448" s="226"/>
      <c r="H448" s="226"/>
      <c r="I448" s="9" t="str">
        <f t="shared" si="6"/>
        <v>__</v>
      </c>
    </row>
    <row r="449" spans="1:9" x14ac:dyDescent="0.35">
      <c r="A449" s="226"/>
      <c r="B449" s="226"/>
      <c r="C449" s="226"/>
      <c r="D449" s="226"/>
      <c r="E449" s="226"/>
      <c r="F449" s="226"/>
      <c r="G449" s="226"/>
      <c r="H449" s="226"/>
      <c r="I449" s="9" t="str">
        <f t="shared" si="6"/>
        <v>__</v>
      </c>
    </row>
    <row r="450" spans="1:9" x14ac:dyDescent="0.35">
      <c r="A450" s="226"/>
      <c r="B450" s="226"/>
      <c r="C450" s="226"/>
      <c r="D450" s="226"/>
      <c r="E450" s="226"/>
      <c r="F450" s="226"/>
      <c r="G450" s="226"/>
      <c r="H450" s="226"/>
      <c r="I450" s="9" t="str">
        <f t="shared" si="6"/>
        <v>__</v>
      </c>
    </row>
    <row r="451" spans="1:9" x14ac:dyDescent="0.35">
      <c r="A451" s="226"/>
      <c r="B451" s="226"/>
      <c r="C451" s="226"/>
      <c r="D451" s="226"/>
      <c r="E451" s="226"/>
      <c r="F451" s="226"/>
      <c r="G451" s="226"/>
      <c r="H451" s="226"/>
      <c r="I451" s="9" t="str">
        <f t="shared" si="6"/>
        <v>__</v>
      </c>
    </row>
    <row r="452" spans="1:9" x14ac:dyDescent="0.35">
      <c r="A452" s="226"/>
      <c r="B452" s="226"/>
      <c r="C452" s="226"/>
      <c r="D452" s="226"/>
      <c r="E452" s="226"/>
      <c r="F452" s="226"/>
      <c r="G452" s="226"/>
      <c r="H452" s="226"/>
      <c r="I452" s="9" t="str">
        <f t="shared" si="6"/>
        <v>__</v>
      </c>
    </row>
    <row r="453" spans="1:9" x14ac:dyDescent="0.35">
      <c r="A453" s="226"/>
      <c r="B453" s="226"/>
      <c r="C453" s="226"/>
      <c r="D453" s="226"/>
      <c r="E453" s="226"/>
      <c r="F453" s="226"/>
      <c r="G453" s="226"/>
      <c r="H453" s="226"/>
      <c r="I453" s="9" t="str">
        <f t="shared" ref="I453:I516" si="7">CONCATENATE(A453,"_",B453,"_",C453)</f>
        <v>__</v>
      </c>
    </row>
    <row r="454" spans="1:9" x14ac:dyDescent="0.35">
      <c r="A454" s="226"/>
      <c r="B454" s="226"/>
      <c r="C454" s="226"/>
      <c r="D454" s="226"/>
      <c r="E454" s="226"/>
      <c r="F454" s="226"/>
      <c r="G454" s="226"/>
      <c r="H454" s="226"/>
      <c r="I454" s="9" t="str">
        <f t="shared" si="7"/>
        <v>__</v>
      </c>
    </row>
    <row r="455" spans="1:9" x14ac:dyDescent="0.35">
      <c r="A455" s="226"/>
      <c r="B455" s="226"/>
      <c r="C455" s="226"/>
      <c r="D455" s="226"/>
      <c r="E455" s="226"/>
      <c r="F455" s="226"/>
      <c r="G455" s="226"/>
      <c r="H455" s="226"/>
      <c r="I455" s="9" t="str">
        <f t="shared" si="7"/>
        <v>__</v>
      </c>
    </row>
    <row r="456" spans="1:9" x14ac:dyDescent="0.35">
      <c r="A456" s="226"/>
      <c r="B456" s="226"/>
      <c r="C456" s="226"/>
      <c r="D456" s="226"/>
      <c r="E456" s="226"/>
      <c r="F456" s="226"/>
      <c r="G456" s="226"/>
      <c r="H456" s="226"/>
      <c r="I456" s="9" t="str">
        <f t="shared" si="7"/>
        <v>__</v>
      </c>
    </row>
    <row r="457" spans="1:9" x14ac:dyDescent="0.35">
      <c r="A457" s="226"/>
      <c r="B457" s="226"/>
      <c r="C457" s="226"/>
      <c r="D457" s="226"/>
      <c r="E457" s="226"/>
      <c r="F457" s="226"/>
      <c r="G457" s="226"/>
      <c r="H457" s="226"/>
      <c r="I457" s="9" t="str">
        <f t="shared" si="7"/>
        <v>__</v>
      </c>
    </row>
    <row r="458" spans="1:9" x14ac:dyDescent="0.35">
      <c r="A458" s="226"/>
      <c r="B458" s="226"/>
      <c r="C458" s="226"/>
      <c r="D458" s="226"/>
      <c r="E458" s="226"/>
      <c r="F458" s="226"/>
      <c r="G458" s="226"/>
      <c r="H458" s="226"/>
      <c r="I458" s="9" t="str">
        <f t="shared" si="7"/>
        <v>__</v>
      </c>
    </row>
    <row r="459" spans="1:9" x14ac:dyDescent="0.35">
      <c r="A459" s="226"/>
      <c r="B459" s="226"/>
      <c r="C459" s="226"/>
      <c r="D459" s="226"/>
      <c r="E459" s="226"/>
      <c r="F459" s="226"/>
      <c r="G459" s="226"/>
      <c r="H459" s="226"/>
      <c r="I459" s="9" t="str">
        <f t="shared" si="7"/>
        <v>__</v>
      </c>
    </row>
    <row r="460" spans="1:9" x14ac:dyDescent="0.35">
      <c r="A460" s="226"/>
      <c r="B460" s="226"/>
      <c r="C460" s="226"/>
      <c r="D460" s="226"/>
      <c r="E460" s="226"/>
      <c r="F460" s="226"/>
      <c r="G460" s="226"/>
      <c r="H460" s="226"/>
      <c r="I460" s="9" t="str">
        <f t="shared" si="7"/>
        <v>__</v>
      </c>
    </row>
    <row r="461" spans="1:9" x14ac:dyDescent="0.35">
      <c r="A461" s="226"/>
      <c r="B461" s="226"/>
      <c r="C461" s="226"/>
      <c r="D461" s="226"/>
      <c r="E461" s="226"/>
      <c r="F461" s="226"/>
      <c r="G461" s="226"/>
      <c r="H461" s="226"/>
      <c r="I461" s="9" t="str">
        <f t="shared" si="7"/>
        <v>__</v>
      </c>
    </row>
    <row r="462" spans="1:9" x14ac:dyDescent="0.35">
      <c r="A462" s="226"/>
      <c r="B462" s="226"/>
      <c r="C462" s="226"/>
      <c r="D462" s="226"/>
      <c r="E462" s="226"/>
      <c r="F462" s="226"/>
      <c r="G462" s="226"/>
      <c r="H462" s="226"/>
      <c r="I462" s="9" t="str">
        <f t="shared" si="7"/>
        <v>__</v>
      </c>
    </row>
    <row r="463" spans="1:9" x14ac:dyDescent="0.35">
      <c r="A463" s="226"/>
      <c r="B463" s="226"/>
      <c r="C463" s="226"/>
      <c r="D463" s="226"/>
      <c r="E463" s="226"/>
      <c r="F463" s="226"/>
      <c r="G463" s="226"/>
      <c r="H463" s="226"/>
      <c r="I463" s="9" t="str">
        <f t="shared" si="7"/>
        <v>__</v>
      </c>
    </row>
    <row r="464" spans="1:9" x14ac:dyDescent="0.35">
      <c r="A464" s="226"/>
      <c r="B464" s="226"/>
      <c r="C464" s="226"/>
      <c r="D464" s="226"/>
      <c r="E464" s="226"/>
      <c r="F464" s="226"/>
      <c r="G464" s="226"/>
      <c r="H464" s="226"/>
      <c r="I464" s="9" t="str">
        <f t="shared" si="7"/>
        <v>__</v>
      </c>
    </row>
    <row r="465" spans="1:9" x14ac:dyDescent="0.35">
      <c r="A465" s="226"/>
      <c r="B465" s="226"/>
      <c r="C465" s="226"/>
      <c r="D465" s="226"/>
      <c r="E465" s="226"/>
      <c r="F465" s="226"/>
      <c r="G465" s="226"/>
      <c r="H465" s="226"/>
      <c r="I465" s="9" t="str">
        <f t="shared" si="7"/>
        <v>__</v>
      </c>
    </row>
    <row r="466" spans="1:9" x14ac:dyDescent="0.35">
      <c r="A466" s="226"/>
      <c r="B466" s="226"/>
      <c r="C466" s="226"/>
      <c r="D466" s="226"/>
      <c r="E466" s="226"/>
      <c r="F466" s="226"/>
      <c r="G466" s="226"/>
      <c r="H466" s="226"/>
      <c r="I466" s="9" t="str">
        <f t="shared" si="7"/>
        <v>__</v>
      </c>
    </row>
    <row r="467" spans="1:9" x14ac:dyDescent="0.35">
      <c r="A467" s="226"/>
      <c r="B467" s="226"/>
      <c r="C467" s="226"/>
      <c r="D467" s="226"/>
      <c r="E467" s="226"/>
      <c r="F467" s="226"/>
      <c r="G467" s="226"/>
      <c r="H467" s="226"/>
      <c r="I467" s="9" t="str">
        <f t="shared" si="7"/>
        <v>__</v>
      </c>
    </row>
    <row r="468" spans="1:9" x14ac:dyDescent="0.35">
      <c r="A468" s="226"/>
      <c r="B468" s="226"/>
      <c r="C468" s="226"/>
      <c r="D468" s="226"/>
      <c r="E468" s="226"/>
      <c r="F468" s="226"/>
      <c r="G468" s="226"/>
      <c r="H468" s="226"/>
      <c r="I468" s="9" t="str">
        <f t="shared" si="7"/>
        <v>__</v>
      </c>
    </row>
    <row r="469" spans="1:9" x14ac:dyDescent="0.35">
      <c r="A469" s="226"/>
      <c r="B469" s="226"/>
      <c r="C469" s="226"/>
      <c r="D469" s="226"/>
      <c r="E469" s="226"/>
      <c r="F469" s="226"/>
      <c r="G469" s="226"/>
      <c r="H469" s="226"/>
      <c r="I469" s="9" t="str">
        <f t="shared" si="7"/>
        <v>__</v>
      </c>
    </row>
    <row r="470" spans="1:9" x14ac:dyDescent="0.35">
      <c r="A470" s="226"/>
      <c r="B470" s="226"/>
      <c r="C470" s="226"/>
      <c r="D470" s="226"/>
      <c r="E470" s="226"/>
      <c r="F470" s="226"/>
      <c r="G470" s="226"/>
      <c r="H470" s="226"/>
      <c r="I470" s="9" t="str">
        <f t="shared" si="7"/>
        <v>__</v>
      </c>
    </row>
    <row r="471" spans="1:9" x14ac:dyDescent="0.35">
      <c r="A471" s="226"/>
      <c r="B471" s="226"/>
      <c r="C471" s="226"/>
      <c r="D471" s="226"/>
      <c r="E471" s="226"/>
      <c r="F471" s="226"/>
      <c r="G471" s="226"/>
      <c r="H471" s="226"/>
      <c r="I471" s="9" t="str">
        <f t="shared" si="7"/>
        <v>__</v>
      </c>
    </row>
    <row r="472" spans="1:9" x14ac:dyDescent="0.35">
      <c r="A472" s="226"/>
      <c r="B472" s="226"/>
      <c r="C472" s="226"/>
      <c r="D472" s="226"/>
      <c r="E472" s="226"/>
      <c r="F472" s="226"/>
      <c r="G472" s="226"/>
      <c r="H472" s="226"/>
      <c r="I472" s="9" t="str">
        <f t="shared" si="7"/>
        <v>__</v>
      </c>
    </row>
    <row r="473" spans="1:9" x14ac:dyDescent="0.35">
      <c r="A473" s="226"/>
      <c r="B473" s="226"/>
      <c r="C473" s="226"/>
      <c r="D473" s="226"/>
      <c r="E473" s="226"/>
      <c r="F473" s="226"/>
      <c r="G473" s="226"/>
      <c r="H473" s="226"/>
      <c r="I473" s="9" t="str">
        <f t="shared" si="7"/>
        <v>__</v>
      </c>
    </row>
    <row r="474" spans="1:9" x14ac:dyDescent="0.35">
      <c r="A474" s="226"/>
      <c r="B474" s="226"/>
      <c r="C474" s="226"/>
      <c r="D474" s="226"/>
      <c r="E474" s="226"/>
      <c r="F474" s="226"/>
      <c r="G474" s="226"/>
      <c r="H474" s="226"/>
      <c r="I474" s="9" t="str">
        <f t="shared" si="7"/>
        <v>__</v>
      </c>
    </row>
    <row r="475" spans="1:9" x14ac:dyDescent="0.35">
      <c r="A475" s="226"/>
      <c r="B475" s="226"/>
      <c r="C475" s="226"/>
      <c r="D475" s="226"/>
      <c r="E475" s="226"/>
      <c r="F475" s="226"/>
      <c r="G475" s="226"/>
      <c r="H475" s="226"/>
      <c r="I475" s="9" t="str">
        <f t="shared" si="7"/>
        <v>__</v>
      </c>
    </row>
    <row r="476" spans="1:9" x14ac:dyDescent="0.35">
      <c r="A476" s="226"/>
      <c r="B476" s="226"/>
      <c r="C476" s="226"/>
      <c r="D476" s="226"/>
      <c r="E476" s="226"/>
      <c r="F476" s="226"/>
      <c r="G476" s="226"/>
      <c r="H476" s="226"/>
      <c r="I476" s="9" t="str">
        <f t="shared" si="7"/>
        <v>__</v>
      </c>
    </row>
    <row r="477" spans="1:9" x14ac:dyDescent="0.35">
      <c r="A477" s="226"/>
      <c r="B477" s="226"/>
      <c r="C477" s="226"/>
      <c r="D477" s="226"/>
      <c r="E477" s="226"/>
      <c r="F477" s="226"/>
      <c r="G477" s="226"/>
      <c r="H477" s="226"/>
      <c r="I477" s="9" t="str">
        <f t="shared" si="7"/>
        <v>__</v>
      </c>
    </row>
    <row r="478" spans="1:9" x14ac:dyDescent="0.35">
      <c r="A478" s="226"/>
      <c r="B478" s="226"/>
      <c r="C478" s="226"/>
      <c r="D478" s="226"/>
      <c r="E478" s="226"/>
      <c r="F478" s="226"/>
      <c r="G478" s="226"/>
      <c r="H478" s="226"/>
      <c r="I478" s="9" t="str">
        <f t="shared" si="7"/>
        <v>__</v>
      </c>
    </row>
    <row r="479" spans="1:9" x14ac:dyDescent="0.35">
      <c r="A479" s="226"/>
      <c r="B479" s="226"/>
      <c r="C479" s="226"/>
      <c r="D479" s="226"/>
      <c r="E479" s="226"/>
      <c r="F479" s="226"/>
      <c r="G479" s="226"/>
      <c r="H479" s="226"/>
      <c r="I479" s="9" t="str">
        <f t="shared" si="7"/>
        <v>__</v>
      </c>
    </row>
    <row r="480" spans="1:9" x14ac:dyDescent="0.35">
      <c r="A480" s="226"/>
      <c r="B480" s="226"/>
      <c r="C480" s="226"/>
      <c r="D480" s="226"/>
      <c r="E480" s="226"/>
      <c r="F480" s="226"/>
      <c r="G480" s="226"/>
      <c r="H480" s="226"/>
      <c r="I480" s="9" t="str">
        <f t="shared" si="7"/>
        <v>__</v>
      </c>
    </row>
    <row r="481" spans="1:9" x14ac:dyDescent="0.35">
      <c r="A481" s="226"/>
      <c r="B481" s="226"/>
      <c r="C481" s="226"/>
      <c r="D481" s="226"/>
      <c r="E481" s="226"/>
      <c r="F481" s="226"/>
      <c r="G481" s="226"/>
      <c r="H481" s="226"/>
      <c r="I481" s="9" t="str">
        <f t="shared" si="7"/>
        <v>__</v>
      </c>
    </row>
    <row r="482" spans="1:9" x14ac:dyDescent="0.35">
      <c r="A482" s="226"/>
      <c r="B482" s="226"/>
      <c r="C482" s="226"/>
      <c r="D482" s="226"/>
      <c r="E482" s="226"/>
      <c r="F482" s="226"/>
      <c r="G482" s="226"/>
      <c r="H482" s="226"/>
      <c r="I482" s="9" t="str">
        <f t="shared" si="7"/>
        <v>__</v>
      </c>
    </row>
    <row r="483" spans="1:9" x14ac:dyDescent="0.35">
      <c r="A483" s="226"/>
      <c r="B483" s="226"/>
      <c r="C483" s="226"/>
      <c r="D483" s="226"/>
      <c r="E483" s="226"/>
      <c r="F483" s="226"/>
      <c r="G483" s="226"/>
      <c r="H483" s="226"/>
      <c r="I483" s="9" t="str">
        <f t="shared" si="7"/>
        <v>__</v>
      </c>
    </row>
    <row r="484" spans="1:9" x14ac:dyDescent="0.35">
      <c r="A484" s="226"/>
      <c r="B484" s="226"/>
      <c r="C484" s="226"/>
      <c r="D484" s="226"/>
      <c r="E484" s="226"/>
      <c r="F484" s="226"/>
      <c r="G484" s="226"/>
      <c r="H484" s="226"/>
      <c r="I484" s="9" t="str">
        <f t="shared" si="7"/>
        <v>__</v>
      </c>
    </row>
    <row r="485" spans="1:9" x14ac:dyDescent="0.35">
      <c r="A485" s="226"/>
      <c r="B485" s="226"/>
      <c r="C485" s="226"/>
      <c r="D485" s="226"/>
      <c r="E485" s="226"/>
      <c r="F485" s="226"/>
      <c r="G485" s="226"/>
      <c r="H485" s="226"/>
      <c r="I485" s="9" t="str">
        <f t="shared" si="7"/>
        <v>__</v>
      </c>
    </row>
    <row r="486" spans="1:9" x14ac:dyDescent="0.35">
      <c r="A486" s="226"/>
      <c r="B486" s="226"/>
      <c r="C486" s="226"/>
      <c r="D486" s="226"/>
      <c r="E486" s="226"/>
      <c r="F486" s="226"/>
      <c r="G486" s="226"/>
      <c r="H486" s="226"/>
      <c r="I486" s="9" t="str">
        <f t="shared" si="7"/>
        <v>__</v>
      </c>
    </row>
    <row r="487" spans="1:9" x14ac:dyDescent="0.35">
      <c r="A487" s="226"/>
      <c r="B487" s="226"/>
      <c r="C487" s="226"/>
      <c r="D487" s="226"/>
      <c r="E487" s="226"/>
      <c r="F487" s="226"/>
      <c r="G487" s="226"/>
      <c r="H487" s="226"/>
      <c r="I487" s="9" t="str">
        <f t="shared" si="7"/>
        <v>__</v>
      </c>
    </row>
    <row r="488" spans="1:9" x14ac:dyDescent="0.35">
      <c r="A488" s="226"/>
      <c r="B488" s="226"/>
      <c r="C488" s="226"/>
      <c r="D488" s="226"/>
      <c r="E488" s="226"/>
      <c r="F488" s="226"/>
      <c r="G488" s="226"/>
      <c r="H488" s="226"/>
      <c r="I488" s="9" t="str">
        <f t="shared" si="7"/>
        <v>__</v>
      </c>
    </row>
    <row r="489" spans="1:9" x14ac:dyDescent="0.35">
      <c r="A489" s="226"/>
      <c r="B489" s="226"/>
      <c r="C489" s="226"/>
      <c r="D489" s="226"/>
      <c r="E489" s="226"/>
      <c r="F489" s="226"/>
      <c r="G489" s="226"/>
      <c r="H489" s="226"/>
      <c r="I489" s="9" t="str">
        <f t="shared" si="7"/>
        <v>__</v>
      </c>
    </row>
    <row r="490" spans="1:9" x14ac:dyDescent="0.35">
      <c r="A490" s="226"/>
      <c r="B490" s="226"/>
      <c r="C490" s="226"/>
      <c r="D490" s="226"/>
      <c r="E490" s="226"/>
      <c r="F490" s="226"/>
      <c r="G490" s="226"/>
      <c r="H490" s="226"/>
      <c r="I490" s="9" t="str">
        <f t="shared" si="7"/>
        <v>__</v>
      </c>
    </row>
    <row r="491" spans="1:9" x14ac:dyDescent="0.35">
      <c r="A491" s="226"/>
      <c r="B491" s="226"/>
      <c r="C491" s="226"/>
      <c r="D491" s="226"/>
      <c r="E491" s="226"/>
      <c r="F491" s="226"/>
      <c r="G491" s="226"/>
      <c r="H491" s="226"/>
      <c r="I491" s="9" t="str">
        <f t="shared" si="7"/>
        <v>__</v>
      </c>
    </row>
    <row r="492" spans="1:9" x14ac:dyDescent="0.35">
      <c r="A492" s="226"/>
      <c r="B492" s="226"/>
      <c r="C492" s="226"/>
      <c r="D492" s="226"/>
      <c r="E492" s="226"/>
      <c r="F492" s="226"/>
      <c r="G492" s="226"/>
      <c r="H492" s="226"/>
      <c r="I492" s="9" t="str">
        <f t="shared" si="7"/>
        <v>__</v>
      </c>
    </row>
    <row r="493" spans="1:9" x14ac:dyDescent="0.35">
      <c r="A493" s="226"/>
      <c r="B493" s="226"/>
      <c r="C493" s="226"/>
      <c r="D493" s="226"/>
      <c r="E493" s="226"/>
      <c r="F493" s="226"/>
      <c r="G493" s="226"/>
      <c r="H493" s="226"/>
      <c r="I493" s="9" t="str">
        <f t="shared" si="7"/>
        <v>__</v>
      </c>
    </row>
    <row r="494" spans="1:9" x14ac:dyDescent="0.35">
      <c r="A494" s="226"/>
      <c r="B494" s="226"/>
      <c r="C494" s="226"/>
      <c r="D494" s="226"/>
      <c r="E494" s="226"/>
      <c r="F494" s="226"/>
      <c r="G494" s="226"/>
      <c r="H494" s="226"/>
      <c r="I494" s="9" t="str">
        <f t="shared" si="7"/>
        <v>__</v>
      </c>
    </row>
    <row r="495" spans="1:9" x14ac:dyDescent="0.35">
      <c r="A495" s="226"/>
      <c r="B495" s="226"/>
      <c r="C495" s="226"/>
      <c r="D495" s="226"/>
      <c r="E495" s="226"/>
      <c r="F495" s="226"/>
      <c r="G495" s="226"/>
      <c r="H495" s="226"/>
      <c r="I495" s="9" t="str">
        <f t="shared" si="7"/>
        <v>__</v>
      </c>
    </row>
    <row r="496" spans="1:9" x14ac:dyDescent="0.35">
      <c r="A496" s="226"/>
      <c r="B496" s="226"/>
      <c r="C496" s="226"/>
      <c r="D496" s="226"/>
      <c r="E496" s="226"/>
      <c r="F496" s="226"/>
      <c r="G496" s="226"/>
      <c r="H496" s="226"/>
      <c r="I496" s="9" t="str">
        <f t="shared" si="7"/>
        <v>__</v>
      </c>
    </row>
    <row r="497" spans="1:9" x14ac:dyDescent="0.35">
      <c r="A497" s="226"/>
      <c r="B497" s="226"/>
      <c r="C497" s="226"/>
      <c r="D497" s="226"/>
      <c r="E497" s="226"/>
      <c r="F497" s="226"/>
      <c r="G497" s="226"/>
      <c r="H497" s="226"/>
      <c r="I497" s="9" t="str">
        <f t="shared" si="7"/>
        <v>__</v>
      </c>
    </row>
    <row r="498" spans="1:9" x14ac:dyDescent="0.35">
      <c r="A498" s="226"/>
      <c r="B498" s="226"/>
      <c r="C498" s="226"/>
      <c r="D498" s="226"/>
      <c r="E498" s="226"/>
      <c r="F498" s="226"/>
      <c r="G498" s="226"/>
      <c r="H498" s="226"/>
      <c r="I498" s="9" t="str">
        <f t="shared" si="7"/>
        <v>__</v>
      </c>
    </row>
    <row r="499" spans="1:9" x14ac:dyDescent="0.35">
      <c r="A499" s="226"/>
      <c r="B499" s="226"/>
      <c r="C499" s="226"/>
      <c r="D499" s="226"/>
      <c r="E499" s="226"/>
      <c r="F499" s="226"/>
      <c r="G499" s="226"/>
      <c r="H499" s="226"/>
      <c r="I499" s="9" t="str">
        <f t="shared" si="7"/>
        <v>__</v>
      </c>
    </row>
    <row r="500" spans="1:9" x14ac:dyDescent="0.35">
      <c r="A500" s="226"/>
      <c r="B500" s="226"/>
      <c r="C500" s="226"/>
      <c r="D500" s="226"/>
      <c r="E500" s="226"/>
      <c r="F500" s="226"/>
      <c r="G500" s="226"/>
      <c r="H500" s="226"/>
      <c r="I500" s="9" t="str">
        <f t="shared" si="7"/>
        <v>__</v>
      </c>
    </row>
    <row r="501" spans="1:9" x14ac:dyDescent="0.35">
      <c r="A501" s="226"/>
      <c r="B501" s="226"/>
      <c r="C501" s="226"/>
      <c r="D501" s="226"/>
      <c r="E501" s="226"/>
      <c r="F501" s="226"/>
      <c r="G501" s="226"/>
      <c r="H501" s="226"/>
      <c r="I501" s="9" t="str">
        <f t="shared" si="7"/>
        <v>__</v>
      </c>
    </row>
    <row r="502" spans="1:9" x14ac:dyDescent="0.35">
      <c r="A502" s="226"/>
      <c r="B502" s="226"/>
      <c r="C502" s="226"/>
      <c r="D502" s="226"/>
      <c r="E502" s="226"/>
      <c r="F502" s="226"/>
      <c r="G502" s="226"/>
      <c r="H502" s="226"/>
      <c r="I502" s="9" t="str">
        <f t="shared" si="7"/>
        <v>__</v>
      </c>
    </row>
    <row r="503" spans="1:9" x14ac:dyDescent="0.35">
      <c r="A503" s="226"/>
      <c r="B503" s="226"/>
      <c r="C503" s="226"/>
      <c r="D503" s="226"/>
      <c r="E503" s="226"/>
      <c r="F503" s="226"/>
      <c r="G503" s="226"/>
      <c r="H503" s="226"/>
      <c r="I503" s="9" t="str">
        <f t="shared" si="7"/>
        <v>__</v>
      </c>
    </row>
    <row r="504" spans="1:9" x14ac:dyDescent="0.35">
      <c r="A504" s="226"/>
      <c r="B504" s="226"/>
      <c r="C504" s="226"/>
      <c r="D504" s="226"/>
      <c r="E504" s="226"/>
      <c r="F504" s="226"/>
      <c r="G504" s="226"/>
      <c r="H504" s="226"/>
      <c r="I504" s="9" t="str">
        <f t="shared" si="7"/>
        <v>__</v>
      </c>
    </row>
    <row r="505" spans="1:9" x14ac:dyDescent="0.35">
      <c r="A505" s="226"/>
      <c r="B505" s="226"/>
      <c r="C505" s="226"/>
      <c r="D505" s="226"/>
      <c r="E505" s="226"/>
      <c r="F505" s="226"/>
      <c r="G505" s="226"/>
      <c r="H505" s="226"/>
      <c r="I505" s="9" t="str">
        <f t="shared" si="7"/>
        <v>__</v>
      </c>
    </row>
    <row r="506" spans="1:9" x14ac:dyDescent="0.35">
      <c r="A506" s="226"/>
      <c r="B506" s="226"/>
      <c r="C506" s="226"/>
      <c r="D506" s="226"/>
      <c r="E506" s="226"/>
      <c r="F506" s="226"/>
      <c r="G506" s="226"/>
      <c r="H506" s="226"/>
      <c r="I506" s="9" t="str">
        <f t="shared" si="7"/>
        <v>__</v>
      </c>
    </row>
    <row r="507" spans="1:9" x14ac:dyDescent="0.35">
      <c r="A507" s="226"/>
      <c r="B507" s="226"/>
      <c r="C507" s="226"/>
      <c r="D507" s="226"/>
      <c r="E507" s="226"/>
      <c r="F507" s="226"/>
      <c r="G507" s="226"/>
      <c r="H507" s="226"/>
      <c r="I507" s="9" t="str">
        <f t="shared" si="7"/>
        <v>__</v>
      </c>
    </row>
    <row r="508" spans="1:9" x14ac:dyDescent="0.35">
      <c r="A508" s="226"/>
      <c r="B508" s="226"/>
      <c r="C508" s="226"/>
      <c r="D508" s="226"/>
      <c r="E508" s="226"/>
      <c r="F508" s="226"/>
      <c r="G508" s="226"/>
      <c r="H508" s="226"/>
      <c r="I508" s="9" t="str">
        <f t="shared" si="7"/>
        <v>__</v>
      </c>
    </row>
    <row r="509" spans="1:9" x14ac:dyDescent="0.35">
      <c r="A509" s="226"/>
      <c r="B509" s="226"/>
      <c r="C509" s="226"/>
      <c r="D509" s="226"/>
      <c r="E509" s="226"/>
      <c r="F509" s="226"/>
      <c r="G509" s="226"/>
      <c r="H509" s="226"/>
      <c r="I509" s="9" t="str">
        <f t="shared" si="7"/>
        <v>__</v>
      </c>
    </row>
    <row r="510" spans="1:9" x14ac:dyDescent="0.35">
      <c r="A510" s="226"/>
      <c r="B510" s="226"/>
      <c r="C510" s="226"/>
      <c r="D510" s="226"/>
      <c r="E510" s="226"/>
      <c r="F510" s="226"/>
      <c r="G510" s="226"/>
      <c r="H510" s="226"/>
      <c r="I510" s="9" t="str">
        <f t="shared" si="7"/>
        <v>__</v>
      </c>
    </row>
    <row r="511" spans="1:9" x14ac:dyDescent="0.35">
      <c r="A511" s="226"/>
      <c r="B511" s="226"/>
      <c r="C511" s="226"/>
      <c r="D511" s="226"/>
      <c r="E511" s="226"/>
      <c r="F511" s="226"/>
      <c r="G511" s="226"/>
      <c r="H511" s="226"/>
      <c r="I511" s="9" t="str">
        <f t="shared" si="7"/>
        <v>__</v>
      </c>
    </row>
    <row r="512" spans="1:9" x14ac:dyDescent="0.35">
      <c r="A512" s="226"/>
      <c r="B512" s="226"/>
      <c r="C512" s="226"/>
      <c r="D512" s="226"/>
      <c r="E512" s="226"/>
      <c r="F512" s="226"/>
      <c r="G512" s="226"/>
      <c r="H512" s="226"/>
      <c r="I512" s="9" t="str">
        <f t="shared" si="7"/>
        <v>__</v>
      </c>
    </row>
    <row r="513" spans="1:9" x14ac:dyDescent="0.35">
      <c r="A513" s="226"/>
      <c r="B513" s="226"/>
      <c r="C513" s="226"/>
      <c r="D513" s="226"/>
      <c r="E513" s="226"/>
      <c r="F513" s="226"/>
      <c r="G513" s="226"/>
      <c r="H513" s="226"/>
      <c r="I513" s="9" t="str">
        <f t="shared" si="7"/>
        <v>__</v>
      </c>
    </row>
    <row r="514" spans="1:9" x14ac:dyDescent="0.35">
      <c r="A514" s="226"/>
      <c r="B514" s="226"/>
      <c r="C514" s="226"/>
      <c r="D514" s="226"/>
      <c r="E514" s="226"/>
      <c r="F514" s="226"/>
      <c r="G514" s="226"/>
      <c r="H514" s="226"/>
      <c r="I514" s="9" t="str">
        <f t="shared" si="7"/>
        <v>__</v>
      </c>
    </row>
    <row r="515" spans="1:9" x14ac:dyDescent="0.35">
      <c r="A515" s="226"/>
      <c r="B515" s="226"/>
      <c r="C515" s="226"/>
      <c r="D515" s="226"/>
      <c r="E515" s="226"/>
      <c r="F515" s="226"/>
      <c r="G515" s="226"/>
      <c r="H515" s="284"/>
      <c r="I515" s="9" t="str">
        <f t="shared" si="7"/>
        <v>__</v>
      </c>
    </row>
    <row r="516" spans="1:9" x14ac:dyDescent="0.35">
      <c r="A516" s="226"/>
      <c r="B516" s="226"/>
      <c r="C516" s="226"/>
      <c r="D516" s="226"/>
      <c r="E516" s="226"/>
      <c r="F516" s="226"/>
      <c r="G516" s="226"/>
      <c r="H516" s="226"/>
      <c r="I516" s="9" t="str">
        <f t="shared" si="7"/>
        <v>__</v>
      </c>
    </row>
    <row r="517" spans="1:9" x14ac:dyDescent="0.35">
      <c r="A517" s="226"/>
      <c r="B517" s="226"/>
      <c r="C517" s="226"/>
      <c r="D517" s="226"/>
      <c r="E517" s="226"/>
      <c r="F517" s="226"/>
      <c r="G517" s="226"/>
      <c r="H517" s="226"/>
      <c r="I517" s="9" t="str">
        <f t="shared" ref="I517:I580" si="8">CONCATENATE(A517,"_",B517,"_",C517)</f>
        <v>__</v>
      </c>
    </row>
    <row r="518" spans="1:9" x14ac:dyDescent="0.35">
      <c r="A518" s="226"/>
      <c r="B518" s="226"/>
      <c r="C518" s="226"/>
      <c r="D518" s="226"/>
      <c r="E518" s="226"/>
      <c r="F518" s="226"/>
      <c r="G518" s="226"/>
      <c r="H518" s="226"/>
      <c r="I518" s="9" t="str">
        <f t="shared" si="8"/>
        <v>__</v>
      </c>
    </row>
    <row r="519" spans="1:9" x14ac:dyDescent="0.35">
      <c r="A519" s="226"/>
      <c r="B519" s="226"/>
      <c r="C519" s="226"/>
      <c r="D519" s="226"/>
      <c r="E519" s="226"/>
      <c r="F519" s="226"/>
      <c r="G519" s="226"/>
      <c r="H519" s="226"/>
      <c r="I519" s="9" t="str">
        <f t="shared" si="8"/>
        <v>__</v>
      </c>
    </row>
    <row r="520" spans="1:9" x14ac:dyDescent="0.35">
      <c r="A520" s="226"/>
      <c r="B520" s="226"/>
      <c r="C520" s="226"/>
      <c r="D520" s="226"/>
      <c r="E520" s="226"/>
      <c r="F520" s="226"/>
      <c r="G520" s="226"/>
      <c r="H520" s="226"/>
      <c r="I520" s="9" t="str">
        <f t="shared" si="8"/>
        <v>__</v>
      </c>
    </row>
    <row r="521" spans="1:9" x14ac:dyDescent="0.35">
      <c r="A521" s="226"/>
      <c r="B521" s="226"/>
      <c r="C521" s="226"/>
      <c r="D521" s="226"/>
      <c r="E521" s="226"/>
      <c r="F521" s="226"/>
      <c r="G521" s="226"/>
      <c r="H521" s="226"/>
      <c r="I521" s="9" t="str">
        <f t="shared" si="8"/>
        <v>__</v>
      </c>
    </row>
    <row r="522" spans="1:9" x14ac:dyDescent="0.35">
      <c r="A522" s="226"/>
      <c r="B522" s="226"/>
      <c r="C522" s="226"/>
      <c r="D522" s="226"/>
      <c r="E522" s="226"/>
      <c r="F522" s="226"/>
      <c r="G522" s="226"/>
      <c r="H522" s="226"/>
      <c r="I522" s="9" t="str">
        <f t="shared" si="8"/>
        <v>__</v>
      </c>
    </row>
    <row r="523" spans="1:9" x14ac:dyDescent="0.35">
      <c r="A523" s="226"/>
      <c r="B523" s="226"/>
      <c r="C523" s="226"/>
      <c r="D523" s="226"/>
      <c r="E523" s="226"/>
      <c r="F523" s="226"/>
      <c r="G523" s="226"/>
      <c r="H523" s="226"/>
      <c r="I523" s="9" t="str">
        <f t="shared" si="8"/>
        <v>__</v>
      </c>
    </row>
    <row r="524" spans="1:9" x14ac:dyDescent="0.35">
      <c r="A524" s="226"/>
      <c r="B524" s="226"/>
      <c r="C524" s="226"/>
      <c r="D524" s="226"/>
      <c r="E524" s="226"/>
      <c r="F524" s="226"/>
      <c r="G524" s="226"/>
      <c r="H524" s="226"/>
      <c r="I524" s="9" t="str">
        <f t="shared" si="8"/>
        <v>__</v>
      </c>
    </row>
    <row r="525" spans="1:9" x14ac:dyDescent="0.35">
      <c r="A525" s="226"/>
      <c r="B525" s="226"/>
      <c r="C525" s="226"/>
      <c r="D525" s="226"/>
      <c r="E525" s="226"/>
      <c r="F525" s="226"/>
      <c r="G525" s="226"/>
      <c r="H525" s="226"/>
      <c r="I525" s="9" t="str">
        <f t="shared" si="8"/>
        <v>__</v>
      </c>
    </row>
    <row r="526" spans="1:9" x14ac:dyDescent="0.35">
      <c r="A526" s="226"/>
      <c r="B526" s="226"/>
      <c r="C526" s="226"/>
      <c r="D526" s="226"/>
      <c r="E526" s="226"/>
      <c r="F526" s="226"/>
      <c r="G526" s="226"/>
      <c r="H526" s="226"/>
      <c r="I526" s="9" t="str">
        <f t="shared" si="8"/>
        <v>__</v>
      </c>
    </row>
    <row r="527" spans="1:9" x14ac:dyDescent="0.35">
      <c r="A527" s="226"/>
      <c r="B527" s="226"/>
      <c r="C527" s="226"/>
      <c r="D527" s="226"/>
      <c r="E527" s="226"/>
      <c r="F527" s="226"/>
      <c r="G527" s="226"/>
      <c r="H527" s="226"/>
      <c r="I527" s="9" t="str">
        <f t="shared" si="8"/>
        <v>__</v>
      </c>
    </row>
    <row r="528" spans="1:9" x14ac:dyDescent="0.35">
      <c r="A528" s="226"/>
      <c r="B528" s="226"/>
      <c r="C528" s="226"/>
      <c r="D528" s="226"/>
      <c r="E528" s="226"/>
      <c r="F528" s="226"/>
      <c r="G528" s="226"/>
      <c r="H528" s="226"/>
      <c r="I528" s="9" t="str">
        <f t="shared" si="8"/>
        <v>__</v>
      </c>
    </row>
    <row r="529" spans="1:9" x14ac:dyDescent="0.35">
      <c r="A529" s="226"/>
      <c r="B529" s="226"/>
      <c r="C529" s="226"/>
      <c r="D529" s="226"/>
      <c r="E529" s="226"/>
      <c r="F529" s="226"/>
      <c r="G529" s="226"/>
      <c r="H529" s="226"/>
      <c r="I529" s="9" t="str">
        <f t="shared" si="8"/>
        <v>__</v>
      </c>
    </row>
    <row r="530" spans="1:9" x14ac:dyDescent="0.35">
      <c r="A530" s="226"/>
      <c r="B530" s="226"/>
      <c r="C530" s="226"/>
      <c r="D530" s="226"/>
      <c r="E530" s="226"/>
      <c r="F530" s="226"/>
      <c r="G530" s="226"/>
      <c r="H530" s="226"/>
      <c r="I530" s="9" t="str">
        <f t="shared" si="8"/>
        <v>__</v>
      </c>
    </row>
    <row r="531" spans="1:9" x14ac:dyDescent="0.35">
      <c r="A531" s="226"/>
      <c r="B531" s="226"/>
      <c r="C531" s="226"/>
      <c r="D531" s="226"/>
      <c r="E531" s="226"/>
      <c r="F531" s="226"/>
      <c r="G531" s="226"/>
      <c r="H531" s="226"/>
      <c r="I531" s="9" t="str">
        <f t="shared" si="8"/>
        <v>__</v>
      </c>
    </row>
    <row r="532" spans="1:9" x14ac:dyDescent="0.35">
      <c r="A532" s="226"/>
      <c r="B532" s="226"/>
      <c r="C532" s="226"/>
      <c r="D532" s="226"/>
      <c r="E532" s="226"/>
      <c r="F532" s="226"/>
      <c r="G532" s="226"/>
      <c r="H532" s="226"/>
      <c r="I532" s="9" t="str">
        <f t="shared" si="8"/>
        <v>__</v>
      </c>
    </row>
    <row r="533" spans="1:9" x14ac:dyDescent="0.35">
      <c r="A533" s="226"/>
      <c r="B533" s="226"/>
      <c r="C533" s="226"/>
      <c r="D533" s="226"/>
      <c r="E533" s="226"/>
      <c r="F533" s="226"/>
      <c r="G533" s="226"/>
      <c r="H533" s="226"/>
      <c r="I533" s="9" t="str">
        <f t="shared" si="8"/>
        <v>__</v>
      </c>
    </row>
    <row r="534" spans="1:9" x14ac:dyDescent="0.35">
      <c r="A534" s="226"/>
      <c r="B534" s="226"/>
      <c r="C534" s="226"/>
      <c r="D534" s="226"/>
      <c r="E534" s="226"/>
      <c r="F534" s="226"/>
      <c r="G534" s="226"/>
      <c r="H534" s="226"/>
      <c r="I534" s="9" t="str">
        <f t="shared" si="8"/>
        <v>__</v>
      </c>
    </row>
    <row r="535" spans="1:9" x14ac:dyDescent="0.35">
      <c r="A535" s="226"/>
      <c r="B535" s="226"/>
      <c r="C535" s="226"/>
      <c r="D535" s="226"/>
      <c r="E535" s="226"/>
      <c r="F535" s="226"/>
      <c r="G535" s="226"/>
      <c r="H535" s="226"/>
      <c r="I535" s="9" t="str">
        <f t="shared" si="8"/>
        <v>__</v>
      </c>
    </row>
    <row r="536" spans="1:9" x14ac:dyDescent="0.35">
      <c r="A536" s="226"/>
      <c r="B536" s="226"/>
      <c r="C536" s="226"/>
      <c r="D536" s="226"/>
      <c r="E536" s="226"/>
      <c r="F536" s="226"/>
      <c r="G536" s="226"/>
      <c r="H536" s="226"/>
      <c r="I536" s="9" t="str">
        <f t="shared" si="8"/>
        <v>__</v>
      </c>
    </row>
    <row r="537" spans="1:9" x14ac:dyDescent="0.35">
      <c r="A537" s="226"/>
      <c r="B537" s="226"/>
      <c r="C537" s="226"/>
      <c r="D537" s="226"/>
      <c r="E537" s="226"/>
      <c r="F537" s="226"/>
      <c r="G537" s="226"/>
      <c r="H537" s="226"/>
      <c r="I537" s="9" t="str">
        <f t="shared" si="8"/>
        <v>__</v>
      </c>
    </row>
    <row r="538" spans="1:9" x14ac:dyDescent="0.35">
      <c r="A538" s="226"/>
      <c r="B538" s="226"/>
      <c r="C538" s="226"/>
      <c r="D538" s="226"/>
      <c r="E538" s="226"/>
      <c r="F538" s="226"/>
      <c r="G538" s="226"/>
      <c r="H538" s="226"/>
      <c r="I538" s="9" t="str">
        <f t="shared" si="8"/>
        <v>__</v>
      </c>
    </row>
    <row r="539" spans="1:9" x14ac:dyDescent="0.35">
      <c r="A539" s="226"/>
      <c r="B539" s="226"/>
      <c r="C539" s="226"/>
      <c r="D539" s="226"/>
      <c r="E539" s="226"/>
      <c r="F539" s="226"/>
      <c r="G539" s="226"/>
      <c r="H539" s="226"/>
      <c r="I539" s="9" t="str">
        <f t="shared" si="8"/>
        <v>__</v>
      </c>
    </row>
    <row r="540" spans="1:9" x14ac:dyDescent="0.35">
      <c r="A540" s="226"/>
      <c r="B540" s="226"/>
      <c r="C540" s="226"/>
      <c r="D540" s="226"/>
      <c r="E540" s="226"/>
      <c r="F540" s="226"/>
      <c r="G540" s="226"/>
      <c r="H540" s="226"/>
      <c r="I540" s="9" t="str">
        <f t="shared" si="8"/>
        <v>__</v>
      </c>
    </row>
    <row r="541" spans="1:9" x14ac:dyDescent="0.35">
      <c r="A541" s="226"/>
      <c r="B541" s="226"/>
      <c r="C541" s="226"/>
      <c r="D541" s="226"/>
      <c r="E541" s="226"/>
      <c r="F541" s="226"/>
      <c r="G541" s="226"/>
      <c r="H541" s="226"/>
      <c r="I541" s="9" t="str">
        <f t="shared" si="8"/>
        <v>__</v>
      </c>
    </row>
    <row r="542" spans="1:9" x14ac:dyDescent="0.35">
      <c r="A542" s="226"/>
      <c r="B542" s="226"/>
      <c r="C542" s="226"/>
      <c r="D542" s="226"/>
      <c r="E542" s="226"/>
      <c r="F542" s="226"/>
      <c r="G542" s="226"/>
      <c r="H542" s="226"/>
      <c r="I542" s="9" t="str">
        <f t="shared" si="8"/>
        <v>__</v>
      </c>
    </row>
    <row r="543" spans="1:9" x14ac:dyDescent="0.35">
      <c r="A543" s="226"/>
      <c r="B543" s="226"/>
      <c r="C543" s="226"/>
      <c r="D543" s="226"/>
      <c r="E543" s="226"/>
      <c r="F543" s="226"/>
      <c r="G543" s="226"/>
      <c r="H543" s="226"/>
      <c r="I543" s="9" t="str">
        <f t="shared" si="8"/>
        <v>__</v>
      </c>
    </row>
    <row r="544" spans="1:9" x14ac:dyDescent="0.35">
      <c r="A544" s="226"/>
      <c r="B544" s="226"/>
      <c r="C544" s="226"/>
      <c r="D544" s="226"/>
      <c r="E544" s="226"/>
      <c r="F544" s="226"/>
      <c r="G544" s="226"/>
      <c r="H544" s="226"/>
      <c r="I544" s="9" t="str">
        <f t="shared" si="8"/>
        <v>__</v>
      </c>
    </row>
    <row r="545" spans="1:9" x14ac:dyDescent="0.35">
      <c r="A545" s="226"/>
      <c r="B545" s="226"/>
      <c r="C545" s="226"/>
      <c r="D545" s="226"/>
      <c r="E545" s="226"/>
      <c r="F545" s="226"/>
      <c r="G545" s="226"/>
      <c r="H545" s="226"/>
      <c r="I545" s="9" t="str">
        <f t="shared" si="8"/>
        <v>__</v>
      </c>
    </row>
    <row r="546" spans="1:9" x14ac:dyDescent="0.35">
      <c r="A546" s="226"/>
      <c r="B546" s="226"/>
      <c r="C546" s="226"/>
      <c r="D546" s="226"/>
      <c r="E546" s="226"/>
      <c r="F546" s="226"/>
      <c r="G546" s="226"/>
      <c r="H546" s="226"/>
      <c r="I546" s="9" t="str">
        <f t="shared" si="8"/>
        <v>__</v>
      </c>
    </row>
    <row r="547" spans="1:9" x14ac:dyDescent="0.35">
      <c r="A547" s="226"/>
      <c r="B547" s="226"/>
      <c r="C547" s="226"/>
      <c r="D547" s="226"/>
      <c r="E547" s="226"/>
      <c r="F547" s="226"/>
      <c r="G547" s="226"/>
      <c r="H547" s="226"/>
      <c r="I547" s="9" t="str">
        <f t="shared" si="8"/>
        <v>__</v>
      </c>
    </row>
    <row r="548" spans="1:9" x14ac:dyDescent="0.35">
      <c r="A548" s="226"/>
      <c r="B548" s="226"/>
      <c r="C548" s="226"/>
      <c r="D548" s="226"/>
      <c r="E548" s="226"/>
      <c r="F548" s="226"/>
      <c r="G548" s="226"/>
      <c r="H548" s="226"/>
      <c r="I548" s="9" t="str">
        <f t="shared" si="8"/>
        <v>__</v>
      </c>
    </row>
    <row r="549" spans="1:9" x14ac:dyDescent="0.35">
      <c r="A549" s="226"/>
      <c r="B549" s="226"/>
      <c r="C549" s="226"/>
      <c r="D549" s="226"/>
      <c r="E549" s="226"/>
      <c r="F549" s="226"/>
      <c r="G549" s="226"/>
      <c r="H549" s="226"/>
      <c r="I549" s="9" t="str">
        <f t="shared" si="8"/>
        <v>__</v>
      </c>
    </row>
    <row r="550" spans="1:9" x14ac:dyDescent="0.35">
      <c r="A550" s="226"/>
      <c r="B550" s="226"/>
      <c r="C550" s="226"/>
      <c r="D550" s="226"/>
      <c r="E550" s="226"/>
      <c r="F550" s="226"/>
      <c r="G550" s="226"/>
      <c r="H550" s="226"/>
      <c r="I550" s="9" t="str">
        <f t="shared" si="8"/>
        <v>__</v>
      </c>
    </row>
    <row r="551" spans="1:9" x14ac:dyDescent="0.35">
      <c r="A551" s="226"/>
      <c r="B551" s="226"/>
      <c r="C551" s="226"/>
      <c r="D551" s="226"/>
      <c r="E551" s="226"/>
      <c r="F551" s="226"/>
      <c r="G551" s="226"/>
      <c r="H551" s="226"/>
      <c r="I551" s="9" t="str">
        <f t="shared" si="8"/>
        <v>__</v>
      </c>
    </row>
    <row r="552" spans="1:9" x14ac:dyDescent="0.35">
      <c r="A552" s="226"/>
      <c r="B552" s="226"/>
      <c r="C552" s="226"/>
      <c r="D552" s="226"/>
      <c r="E552" s="226"/>
      <c r="F552" s="226"/>
      <c r="G552" s="226"/>
      <c r="H552" s="226"/>
      <c r="I552" s="9" t="str">
        <f t="shared" si="8"/>
        <v>__</v>
      </c>
    </row>
    <row r="553" spans="1:9" x14ac:dyDescent="0.35">
      <c r="A553" s="226"/>
      <c r="B553" s="226"/>
      <c r="C553" s="226"/>
      <c r="D553" s="226"/>
      <c r="E553" s="226"/>
      <c r="F553" s="226"/>
      <c r="G553" s="226"/>
      <c r="H553" s="226"/>
      <c r="I553" s="9" t="str">
        <f t="shared" si="8"/>
        <v>__</v>
      </c>
    </row>
    <row r="554" spans="1:9" x14ac:dyDescent="0.35">
      <c r="A554" s="226"/>
      <c r="B554" s="226"/>
      <c r="C554" s="226"/>
      <c r="D554" s="226"/>
      <c r="E554" s="226"/>
      <c r="F554" s="226"/>
      <c r="G554" s="226"/>
      <c r="H554" s="226"/>
      <c r="I554" s="9" t="str">
        <f t="shared" si="8"/>
        <v>__</v>
      </c>
    </row>
    <row r="555" spans="1:9" x14ac:dyDescent="0.35">
      <c r="A555" s="226"/>
      <c r="B555" s="226"/>
      <c r="C555" s="226"/>
      <c r="D555" s="226"/>
      <c r="E555" s="226"/>
      <c r="F555" s="226"/>
      <c r="G555" s="226"/>
      <c r="H555" s="226"/>
      <c r="I555" s="9" t="str">
        <f t="shared" si="8"/>
        <v>__</v>
      </c>
    </row>
    <row r="556" spans="1:9" x14ac:dyDescent="0.35">
      <c r="A556" s="226"/>
      <c r="B556" s="226"/>
      <c r="C556" s="226"/>
      <c r="D556" s="226"/>
      <c r="E556" s="226"/>
      <c r="F556" s="226"/>
      <c r="G556" s="226"/>
      <c r="H556" s="226"/>
      <c r="I556" s="9" t="str">
        <f t="shared" si="8"/>
        <v>__</v>
      </c>
    </row>
    <row r="557" spans="1:9" x14ac:dyDescent="0.35">
      <c r="A557" s="226"/>
      <c r="B557" s="226"/>
      <c r="C557" s="226"/>
      <c r="D557" s="226"/>
      <c r="E557" s="226"/>
      <c r="F557" s="226"/>
      <c r="G557" s="226"/>
      <c r="H557" s="226"/>
      <c r="I557" s="9" t="str">
        <f t="shared" si="8"/>
        <v>__</v>
      </c>
    </row>
    <row r="558" spans="1:9" x14ac:dyDescent="0.35">
      <c r="A558" s="226"/>
      <c r="B558" s="226"/>
      <c r="C558" s="226"/>
      <c r="D558" s="226"/>
      <c r="E558" s="226"/>
      <c r="F558" s="226"/>
      <c r="G558" s="226"/>
      <c r="H558" s="226"/>
      <c r="I558" s="9" t="str">
        <f t="shared" si="8"/>
        <v>__</v>
      </c>
    </row>
    <row r="559" spans="1:9" x14ac:dyDescent="0.35">
      <c r="A559" s="226"/>
      <c r="B559" s="226"/>
      <c r="C559" s="226"/>
      <c r="D559" s="226"/>
      <c r="E559" s="226"/>
      <c r="F559" s="226"/>
      <c r="G559" s="226"/>
      <c r="H559" s="226"/>
      <c r="I559" s="9" t="str">
        <f t="shared" si="8"/>
        <v>__</v>
      </c>
    </row>
    <row r="560" spans="1:9" x14ac:dyDescent="0.35">
      <c r="A560" s="226"/>
      <c r="B560" s="226"/>
      <c r="C560" s="226"/>
      <c r="D560" s="226"/>
      <c r="E560" s="226"/>
      <c r="F560" s="226"/>
      <c r="G560" s="226"/>
      <c r="H560" s="226"/>
      <c r="I560" s="9" t="str">
        <f t="shared" si="8"/>
        <v>__</v>
      </c>
    </row>
    <row r="561" spans="1:9" x14ac:dyDescent="0.35">
      <c r="A561" s="226"/>
      <c r="B561" s="226"/>
      <c r="C561" s="226"/>
      <c r="D561" s="226"/>
      <c r="E561" s="226"/>
      <c r="F561" s="226"/>
      <c r="G561" s="226"/>
      <c r="H561" s="226"/>
      <c r="I561" s="9" t="str">
        <f t="shared" si="8"/>
        <v>__</v>
      </c>
    </row>
    <row r="562" spans="1:9" x14ac:dyDescent="0.35">
      <c r="A562" s="226"/>
      <c r="B562" s="226"/>
      <c r="C562" s="226"/>
      <c r="D562" s="226"/>
      <c r="E562" s="226"/>
      <c r="F562" s="226"/>
      <c r="G562" s="226"/>
      <c r="H562" s="226"/>
      <c r="I562" s="9" t="str">
        <f t="shared" si="8"/>
        <v>__</v>
      </c>
    </row>
    <row r="563" spans="1:9" x14ac:dyDescent="0.35">
      <c r="A563" s="226"/>
      <c r="B563" s="226"/>
      <c r="C563" s="226"/>
      <c r="D563" s="226"/>
      <c r="E563" s="226"/>
      <c r="F563" s="226"/>
      <c r="G563" s="226"/>
      <c r="H563" s="226"/>
      <c r="I563" s="9" t="str">
        <f t="shared" si="8"/>
        <v>__</v>
      </c>
    </row>
    <row r="564" spans="1:9" x14ac:dyDescent="0.35">
      <c r="A564" s="226"/>
      <c r="B564" s="226"/>
      <c r="C564" s="226"/>
      <c r="D564" s="226"/>
      <c r="E564" s="226"/>
      <c r="F564" s="226"/>
      <c r="G564" s="226"/>
      <c r="H564" s="226"/>
      <c r="I564" s="9" t="str">
        <f t="shared" si="8"/>
        <v>__</v>
      </c>
    </row>
    <row r="565" spans="1:9" x14ac:dyDescent="0.35">
      <c r="A565" s="226"/>
      <c r="B565" s="226"/>
      <c r="C565" s="226"/>
      <c r="D565" s="226"/>
      <c r="E565" s="226"/>
      <c r="F565" s="226"/>
      <c r="G565" s="226"/>
      <c r="H565" s="226"/>
      <c r="I565" s="9" t="str">
        <f t="shared" si="8"/>
        <v>__</v>
      </c>
    </row>
    <row r="566" spans="1:9" x14ac:dyDescent="0.35">
      <c r="A566" s="226"/>
      <c r="B566" s="226"/>
      <c r="C566" s="226"/>
      <c r="D566" s="226"/>
      <c r="E566" s="226"/>
      <c r="F566" s="226"/>
      <c r="G566" s="226"/>
      <c r="H566" s="226"/>
      <c r="I566" s="9" t="str">
        <f t="shared" si="8"/>
        <v>__</v>
      </c>
    </row>
    <row r="567" spans="1:9" x14ac:dyDescent="0.35">
      <c r="A567" s="226"/>
      <c r="B567" s="226"/>
      <c r="C567" s="226"/>
      <c r="D567" s="226"/>
      <c r="E567" s="226"/>
      <c r="F567" s="226"/>
      <c r="G567" s="226"/>
      <c r="H567" s="226"/>
      <c r="I567" s="9" t="str">
        <f t="shared" si="8"/>
        <v>__</v>
      </c>
    </row>
    <row r="568" spans="1:9" x14ac:dyDescent="0.35">
      <c r="A568" s="226"/>
      <c r="B568" s="226"/>
      <c r="C568" s="226"/>
      <c r="D568" s="226"/>
      <c r="E568" s="226"/>
      <c r="F568" s="226"/>
      <c r="G568" s="226"/>
      <c r="H568" s="226"/>
      <c r="I568" s="9" t="str">
        <f t="shared" si="8"/>
        <v>__</v>
      </c>
    </row>
    <row r="569" spans="1:9" x14ac:dyDescent="0.35">
      <c r="A569" s="226"/>
      <c r="B569" s="226"/>
      <c r="C569" s="226"/>
      <c r="D569" s="226"/>
      <c r="E569" s="226"/>
      <c r="F569" s="226"/>
      <c r="G569" s="226"/>
      <c r="H569" s="226"/>
      <c r="I569" s="9" t="str">
        <f t="shared" si="8"/>
        <v>__</v>
      </c>
    </row>
    <row r="570" spans="1:9" x14ac:dyDescent="0.35">
      <c r="A570" s="226"/>
      <c r="B570" s="226"/>
      <c r="C570" s="226"/>
      <c r="D570" s="226"/>
      <c r="E570" s="226"/>
      <c r="F570" s="226"/>
      <c r="G570" s="226"/>
      <c r="H570" s="226"/>
      <c r="I570" s="9" t="str">
        <f t="shared" si="8"/>
        <v>__</v>
      </c>
    </row>
    <row r="571" spans="1:9" x14ac:dyDescent="0.35">
      <c r="A571" s="226"/>
      <c r="B571" s="226"/>
      <c r="C571" s="226"/>
      <c r="D571" s="226"/>
      <c r="E571" s="226"/>
      <c r="F571" s="226"/>
      <c r="G571" s="226"/>
      <c r="H571" s="226"/>
      <c r="I571" s="9" t="str">
        <f t="shared" si="8"/>
        <v>__</v>
      </c>
    </row>
    <row r="572" spans="1:9" x14ac:dyDescent="0.35">
      <c r="A572" s="226"/>
      <c r="B572" s="226"/>
      <c r="C572" s="226"/>
      <c r="D572" s="226"/>
      <c r="E572" s="226"/>
      <c r="F572" s="226"/>
      <c r="G572" s="226"/>
      <c r="H572" s="226"/>
      <c r="I572" s="9" t="str">
        <f t="shared" si="8"/>
        <v>__</v>
      </c>
    </row>
    <row r="573" spans="1:9" x14ac:dyDescent="0.35">
      <c r="A573" s="226"/>
      <c r="B573" s="226"/>
      <c r="C573" s="226"/>
      <c r="D573" s="226"/>
      <c r="E573" s="226"/>
      <c r="F573" s="226"/>
      <c r="G573" s="226"/>
      <c r="H573" s="226"/>
      <c r="I573" s="9" t="str">
        <f t="shared" si="8"/>
        <v>__</v>
      </c>
    </row>
    <row r="574" spans="1:9" x14ac:dyDescent="0.35">
      <c r="A574" s="226"/>
      <c r="B574" s="226"/>
      <c r="C574" s="226"/>
      <c r="D574" s="226"/>
      <c r="E574" s="226"/>
      <c r="F574" s="226"/>
      <c r="G574" s="226"/>
      <c r="H574" s="226"/>
      <c r="I574" s="9" t="str">
        <f t="shared" si="8"/>
        <v>__</v>
      </c>
    </row>
    <row r="575" spans="1:9" x14ac:dyDescent="0.35">
      <c r="A575" s="226"/>
      <c r="B575" s="226"/>
      <c r="C575" s="226"/>
      <c r="D575" s="226"/>
      <c r="E575" s="226"/>
      <c r="F575" s="226"/>
      <c r="G575" s="226"/>
      <c r="H575" s="226"/>
      <c r="I575" s="9" t="str">
        <f t="shared" si="8"/>
        <v>__</v>
      </c>
    </row>
    <row r="576" spans="1:9" x14ac:dyDescent="0.35">
      <c r="A576" s="226"/>
      <c r="B576" s="226"/>
      <c r="C576" s="226"/>
      <c r="D576" s="226"/>
      <c r="E576" s="226"/>
      <c r="F576" s="226"/>
      <c r="G576" s="226"/>
      <c r="H576" s="226"/>
      <c r="I576" s="9" t="str">
        <f t="shared" si="8"/>
        <v>__</v>
      </c>
    </row>
    <row r="577" spans="1:9" x14ac:dyDescent="0.35">
      <c r="A577" s="226"/>
      <c r="B577" s="226"/>
      <c r="C577" s="226"/>
      <c r="D577" s="226"/>
      <c r="E577" s="226"/>
      <c r="F577" s="226"/>
      <c r="G577" s="226"/>
      <c r="H577" s="226"/>
      <c r="I577" s="9" t="str">
        <f t="shared" si="8"/>
        <v>__</v>
      </c>
    </row>
    <row r="578" spans="1:9" x14ac:dyDescent="0.35">
      <c r="A578" s="226"/>
      <c r="B578" s="226"/>
      <c r="C578" s="226"/>
      <c r="D578" s="226"/>
      <c r="E578" s="226"/>
      <c r="F578" s="226"/>
      <c r="G578" s="226"/>
      <c r="H578" s="226"/>
      <c r="I578" s="9" t="str">
        <f t="shared" si="8"/>
        <v>__</v>
      </c>
    </row>
    <row r="579" spans="1:9" x14ac:dyDescent="0.35">
      <c r="A579" s="226"/>
      <c r="B579" s="226"/>
      <c r="C579" s="226"/>
      <c r="D579" s="226"/>
      <c r="E579" s="226"/>
      <c r="F579" s="226"/>
      <c r="G579" s="226"/>
      <c r="H579" s="226"/>
      <c r="I579" s="9" t="str">
        <f t="shared" si="8"/>
        <v>__</v>
      </c>
    </row>
    <row r="580" spans="1:9" x14ac:dyDescent="0.35">
      <c r="A580" s="226"/>
      <c r="B580" s="226"/>
      <c r="C580" s="226"/>
      <c r="D580" s="226"/>
      <c r="E580" s="226"/>
      <c r="F580" s="226"/>
      <c r="G580" s="226"/>
      <c r="H580" s="226"/>
      <c r="I580" s="9" t="str">
        <f t="shared" si="8"/>
        <v>__</v>
      </c>
    </row>
    <row r="581" spans="1:9" x14ac:dyDescent="0.35">
      <c r="A581" s="226"/>
      <c r="B581" s="226"/>
      <c r="C581" s="226"/>
      <c r="D581" s="226"/>
      <c r="E581" s="226"/>
      <c r="F581" s="226"/>
      <c r="G581" s="226"/>
      <c r="H581" s="226"/>
      <c r="I581" s="9" t="str">
        <f t="shared" ref="I581:I644" si="9">CONCATENATE(A581,"_",B581,"_",C581)</f>
        <v>__</v>
      </c>
    </row>
    <row r="582" spans="1:9" x14ac:dyDescent="0.35">
      <c r="A582" s="226"/>
      <c r="B582" s="226"/>
      <c r="C582" s="226"/>
      <c r="D582" s="226"/>
      <c r="E582" s="226"/>
      <c r="F582" s="226"/>
      <c r="G582" s="226"/>
      <c r="H582" s="226"/>
      <c r="I582" s="9" t="str">
        <f t="shared" si="9"/>
        <v>__</v>
      </c>
    </row>
    <row r="583" spans="1:9" x14ac:dyDescent="0.35">
      <c r="A583" s="226"/>
      <c r="B583" s="226"/>
      <c r="C583" s="226"/>
      <c r="D583" s="226"/>
      <c r="E583" s="226"/>
      <c r="F583" s="226"/>
      <c r="G583" s="226"/>
      <c r="H583" s="226"/>
      <c r="I583" s="9" t="str">
        <f t="shared" si="9"/>
        <v>__</v>
      </c>
    </row>
    <row r="584" spans="1:9" x14ac:dyDescent="0.35">
      <c r="A584" s="226"/>
      <c r="B584" s="226"/>
      <c r="C584" s="226"/>
      <c r="D584" s="226"/>
      <c r="E584" s="226"/>
      <c r="F584" s="226"/>
      <c r="G584" s="226"/>
      <c r="H584" s="226"/>
      <c r="I584" s="9" t="str">
        <f t="shared" si="9"/>
        <v>__</v>
      </c>
    </row>
    <row r="585" spans="1:9" x14ac:dyDescent="0.35">
      <c r="A585" s="226"/>
      <c r="B585" s="226"/>
      <c r="C585" s="226"/>
      <c r="D585" s="226"/>
      <c r="E585" s="226"/>
      <c r="F585" s="226"/>
      <c r="G585" s="226"/>
      <c r="H585" s="226"/>
      <c r="I585" s="9" t="str">
        <f t="shared" si="9"/>
        <v>__</v>
      </c>
    </row>
    <row r="586" spans="1:9" x14ac:dyDescent="0.35">
      <c r="A586" s="226"/>
      <c r="B586" s="226"/>
      <c r="C586" s="226"/>
      <c r="D586" s="226"/>
      <c r="E586" s="226"/>
      <c r="F586" s="226"/>
      <c r="G586" s="226"/>
      <c r="H586" s="226"/>
      <c r="I586" s="9" t="str">
        <f t="shared" si="9"/>
        <v>__</v>
      </c>
    </row>
    <row r="587" spans="1:9" x14ac:dyDescent="0.35">
      <c r="A587" s="226"/>
      <c r="B587" s="226"/>
      <c r="C587" s="226"/>
      <c r="D587" s="226"/>
      <c r="E587" s="226"/>
      <c r="F587" s="226"/>
      <c r="G587" s="226"/>
      <c r="H587" s="226"/>
      <c r="I587" s="9" t="str">
        <f t="shared" si="9"/>
        <v>__</v>
      </c>
    </row>
    <row r="588" spans="1:9" x14ac:dyDescent="0.35">
      <c r="A588" s="226"/>
      <c r="B588" s="226"/>
      <c r="C588" s="226"/>
      <c r="D588" s="226"/>
      <c r="E588" s="226"/>
      <c r="F588" s="226"/>
      <c r="G588" s="226"/>
      <c r="H588" s="226"/>
      <c r="I588" s="9" t="str">
        <f t="shared" si="9"/>
        <v>__</v>
      </c>
    </row>
    <row r="589" spans="1:9" x14ac:dyDescent="0.35">
      <c r="A589" s="226"/>
      <c r="B589" s="226"/>
      <c r="C589" s="226"/>
      <c r="D589" s="226"/>
      <c r="E589" s="226"/>
      <c r="F589" s="226"/>
      <c r="G589" s="226"/>
      <c r="H589" s="226"/>
      <c r="I589" s="9" t="str">
        <f t="shared" si="9"/>
        <v>__</v>
      </c>
    </row>
    <row r="590" spans="1:9" x14ac:dyDescent="0.35">
      <c r="A590" s="226"/>
      <c r="B590" s="226"/>
      <c r="C590" s="226"/>
      <c r="D590" s="226"/>
      <c r="E590" s="226"/>
      <c r="F590" s="226"/>
      <c r="G590" s="226"/>
      <c r="H590" s="226"/>
      <c r="I590" s="9" t="str">
        <f t="shared" si="9"/>
        <v>__</v>
      </c>
    </row>
    <row r="591" spans="1:9" x14ac:dyDescent="0.35">
      <c r="A591" s="226"/>
      <c r="B591" s="226"/>
      <c r="C591" s="226"/>
      <c r="D591" s="226"/>
      <c r="E591" s="226"/>
      <c r="F591" s="226"/>
      <c r="G591" s="226"/>
      <c r="H591" s="226"/>
      <c r="I591" s="9" t="str">
        <f t="shared" si="9"/>
        <v>__</v>
      </c>
    </row>
    <row r="592" spans="1:9" x14ac:dyDescent="0.35">
      <c r="A592" s="226"/>
      <c r="B592" s="226"/>
      <c r="C592" s="226"/>
      <c r="D592" s="226"/>
      <c r="E592" s="226"/>
      <c r="F592" s="226"/>
      <c r="G592" s="226"/>
      <c r="H592" s="226"/>
      <c r="I592" s="9" t="str">
        <f t="shared" si="9"/>
        <v>__</v>
      </c>
    </row>
    <row r="593" spans="1:9" x14ac:dyDescent="0.35">
      <c r="A593" s="226"/>
      <c r="B593" s="226"/>
      <c r="C593" s="226"/>
      <c r="D593" s="226"/>
      <c r="E593" s="226"/>
      <c r="F593" s="226"/>
      <c r="G593" s="226"/>
      <c r="H593" s="226"/>
      <c r="I593" s="9" t="str">
        <f t="shared" si="9"/>
        <v>__</v>
      </c>
    </row>
    <row r="594" spans="1:9" x14ac:dyDescent="0.35">
      <c r="A594" s="226"/>
      <c r="B594" s="226"/>
      <c r="C594" s="226"/>
      <c r="D594" s="226"/>
      <c r="E594" s="226"/>
      <c r="F594" s="226"/>
      <c r="G594" s="226"/>
      <c r="H594" s="226"/>
      <c r="I594" s="9" t="str">
        <f t="shared" si="9"/>
        <v>__</v>
      </c>
    </row>
    <row r="595" spans="1:9" x14ac:dyDescent="0.35">
      <c r="A595" s="226"/>
      <c r="B595" s="226"/>
      <c r="C595" s="226"/>
      <c r="D595" s="226"/>
      <c r="E595" s="226"/>
      <c r="F595" s="226"/>
      <c r="G595" s="226"/>
      <c r="H595" s="226"/>
      <c r="I595" s="9" t="str">
        <f t="shared" si="9"/>
        <v>__</v>
      </c>
    </row>
    <row r="596" spans="1:9" x14ac:dyDescent="0.35">
      <c r="A596" s="226"/>
      <c r="B596" s="226"/>
      <c r="C596" s="226"/>
      <c r="D596" s="226"/>
      <c r="E596" s="226"/>
      <c r="F596" s="226"/>
      <c r="G596" s="226"/>
      <c r="H596" s="226"/>
      <c r="I596" s="9" t="str">
        <f t="shared" si="9"/>
        <v>__</v>
      </c>
    </row>
    <row r="597" spans="1:9" x14ac:dyDescent="0.35">
      <c r="A597" s="226"/>
      <c r="B597" s="226"/>
      <c r="C597" s="226"/>
      <c r="D597" s="226"/>
      <c r="E597" s="226"/>
      <c r="F597" s="226"/>
      <c r="G597" s="226"/>
      <c r="H597" s="226"/>
      <c r="I597" s="9" t="str">
        <f t="shared" si="9"/>
        <v>__</v>
      </c>
    </row>
    <row r="598" spans="1:9" x14ac:dyDescent="0.35">
      <c r="A598" s="226"/>
      <c r="B598" s="226"/>
      <c r="C598" s="226"/>
      <c r="D598" s="226"/>
      <c r="E598" s="226"/>
      <c r="F598" s="226"/>
      <c r="G598" s="226"/>
      <c r="H598" s="226"/>
      <c r="I598" s="9" t="str">
        <f t="shared" si="9"/>
        <v>__</v>
      </c>
    </row>
    <row r="599" spans="1:9" x14ac:dyDescent="0.35">
      <c r="A599" s="226"/>
      <c r="B599" s="226"/>
      <c r="C599" s="226"/>
      <c r="D599" s="226"/>
      <c r="E599" s="226"/>
      <c r="F599" s="226"/>
      <c r="G599" s="226"/>
      <c r="H599" s="226"/>
      <c r="I599" s="9" t="str">
        <f t="shared" si="9"/>
        <v>__</v>
      </c>
    </row>
    <row r="600" spans="1:9" x14ac:dyDescent="0.35">
      <c r="A600" s="226"/>
      <c r="B600" s="226"/>
      <c r="C600" s="226"/>
      <c r="D600" s="226"/>
      <c r="E600" s="226"/>
      <c r="F600" s="226"/>
      <c r="G600" s="226"/>
      <c r="H600" s="226"/>
      <c r="I600" s="9" t="str">
        <f t="shared" si="9"/>
        <v>__</v>
      </c>
    </row>
    <row r="601" spans="1:9" x14ac:dyDescent="0.35">
      <c r="A601" s="226"/>
      <c r="B601" s="226"/>
      <c r="C601" s="226"/>
      <c r="D601" s="226"/>
      <c r="E601" s="226"/>
      <c r="F601" s="226"/>
      <c r="G601" s="226"/>
      <c r="H601" s="226"/>
      <c r="I601" s="9" t="str">
        <f t="shared" si="9"/>
        <v>__</v>
      </c>
    </row>
    <row r="602" spans="1:9" x14ac:dyDescent="0.35">
      <c r="A602" s="226"/>
      <c r="B602" s="226"/>
      <c r="C602" s="226"/>
      <c r="D602" s="226"/>
      <c r="E602" s="226"/>
      <c r="F602" s="226"/>
      <c r="G602" s="226"/>
      <c r="H602" s="226"/>
      <c r="I602" s="9" t="str">
        <f t="shared" si="9"/>
        <v>__</v>
      </c>
    </row>
    <row r="603" spans="1:9" x14ac:dyDescent="0.35">
      <c r="A603" s="226"/>
      <c r="B603" s="226"/>
      <c r="C603" s="226"/>
      <c r="D603" s="226"/>
      <c r="E603" s="226"/>
      <c r="F603" s="226"/>
      <c r="G603" s="226"/>
      <c r="H603" s="226"/>
      <c r="I603" s="9" t="str">
        <f t="shared" si="9"/>
        <v>__</v>
      </c>
    </row>
    <row r="604" spans="1:9" x14ac:dyDescent="0.35">
      <c r="A604" s="226"/>
      <c r="B604" s="226"/>
      <c r="C604" s="226"/>
      <c r="D604" s="226"/>
      <c r="E604" s="226"/>
      <c r="F604" s="226"/>
      <c r="G604" s="226"/>
      <c r="H604" s="226"/>
      <c r="I604" s="9" t="str">
        <f t="shared" si="9"/>
        <v>__</v>
      </c>
    </row>
    <row r="605" spans="1:9" x14ac:dyDescent="0.35">
      <c r="A605" s="226"/>
      <c r="B605" s="226"/>
      <c r="C605" s="226"/>
      <c r="D605" s="226"/>
      <c r="E605" s="226"/>
      <c r="F605" s="226"/>
      <c r="G605" s="226"/>
      <c r="H605" s="226"/>
      <c r="I605" s="9" t="str">
        <f t="shared" si="9"/>
        <v>__</v>
      </c>
    </row>
    <row r="606" spans="1:9" x14ac:dyDescent="0.35">
      <c r="A606" s="226"/>
      <c r="B606" s="226"/>
      <c r="C606" s="226"/>
      <c r="D606" s="226"/>
      <c r="E606" s="226"/>
      <c r="F606" s="226"/>
      <c r="G606" s="226"/>
      <c r="H606" s="226"/>
      <c r="I606" s="9" t="str">
        <f t="shared" si="9"/>
        <v>__</v>
      </c>
    </row>
    <row r="607" spans="1:9" x14ac:dyDescent="0.35">
      <c r="A607" s="226"/>
      <c r="B607" s="226"/>
      <c r="C607" s="226"/>
      <c r="D607" s="226"/>
      <c r="E607" s="226"/>
      <c r="F607" s="226"/>
      <c r="G607" s="226"/>
      <c r="H607" s="226"/>
      <c r="I607" s="9" t="str">
        <f t="shared" si="9"/>
        <v>__</v>
      </c>
    </row>
    <row r="608" spans="1:9" x14ac:dyDescent="0.35">
      <c r="A608" s="226"/>
      <c r="B608" s="226"/>
      <c r="C608" s="226"/>
      <c r="D608" s="226"/>
      <c r="E608" s="226"/>
      <c r="F608" s="226"/>
      <c r="G608" s="226"/>
      <c r="H608" s="226"/>
      <c r="I608" s="9" t="str">
        <f t="shared" si="9"/>
        <v>__</v>
      </c>
    </row>
    <row r="609" spans="1:9" x14ac:dyDescent="0.35">
      <c r="A609" s="226"/>
      <c r="B609" s="226"/>
      <c r="C609" s="226"/>
      <c r="D609" s="226"/>
      <c r="E609" s="226"/>
      <c r="F609" s="226"/>
      <c r="G609" s="226"/>
      <c r="H609" s="226"/>
      <c r="I609" s="9" t="str">
        <f t="shared" si="9"/>
        <v>__</v>
      </c>
    </row>
    <row r="610" spans="1:9" x14ac:dyDescent="0.35">
      <c r="A610" s="226"/>
      <c r="B610" s="226"/>
      <c r="C610" s="226"/>
      <c r="D610" s="226"/>
      <c r="E610" s="226"/>
      <c r="F610" s="226"/>
      <c r="G610" s="226"/>
      <c r="H610" s="226"/>
      <c r="I610" s="9" t="str">
        <f t="shared" si="9"/>
        <v>__</v>
      </c>
    </row>
    <row r="611" spans="1:9" x14ac:dyDescent="0.35">
      <c r="A611" s="226"/>
      <c r="B611" s="226"/>
      <c r="C611" s="226"/>
      <c r="D611" s="226"/>
      <c r="E611" s="226"/>
      <c r="F611" s="226"/>
      <c r="G611" s="226"/>
      <c r="H611" s="226"/>
      <c r="I611" s="9" t="str">
        <f t="shared" si="9"/>
        <v>__</v>
      </c>
    </row>
    <row r="612" spans="1:9" x14ac:dyDescent="0.35">
      <c r="A612" s="226"/>
      <c r="B612" s="226"/>
      <c r="C612" s="226"/>
      <c r="D612" s="226"/>
      <c r="E612" s="226"/>
      <c r="F612" s="226"/>
      <c r="G612" s="226"/>
      <c r="H612" s="226"/>
      <c r="I612" s="9" t="str">
        <f t="shared" si="9"/>
        <v>__</v>
      </c>
    </row>
    <row r="613" spans="1:9" x14ac:dyDescent="0.35">
      <c r="A613" s="226"/>
      <c r="B613" s="226"/>
      <c r="C613" s="226"/>
      <c r="D613" s="226"/>
      <c r="E613" s="226"/>
      <c r="F613" s="226"/>
      <c r="G613" s="226"/>
      <c r="H613" s="226"/>
      <c r="I613" s="9" t="str">
        <f t="shared" si="9"/>
        <v>__</v>
      </c>
    </row>
    <row r="614" spans="1:9" x14ac:dyDescent="0.35">
      <c r="A614" s="226"/>
      <c r="B614" s="226"/>
      <c r="C614" s="226"/>
      <c r="D614" s="226"/>
      <c r="E614" s="226"/>
      <c r="F614" s="226"/>
      <c r="G614" s="226"/>
      <c r="H614" s="226"/>
      <c r="I614" s="9" t="str">
        <f t="shared" si="9"/>
        <v>__</v>
      </c>
    </row>
    <row r="615" spans="1:9" x14ac:dyDescent="0.35">
      <c r="A615" s="226"/>
      <c r="B615" s="226"/>
      <c r="C615" s="226"/>
      <c r="D615" s="226"/>
      <c r="E615" s="226"/>
      <c r="F615" s="226"/>
      <c r="G615" s="226"/>
      <c r="H615" s="226"/>
      <c r="I615" s="9" t="str">
        <f t="shared" si="9"/>
        <v>__</v>
      </c>
    </row>
    <row r="616" spans="1:9" x14ac:dyDescent="0.35">
      <c r="A616" s="226"/>
      <c r="B616" s="226"/>
      <c r="C616" s="226"/>
      <c r="D616" s="226"/>
      <c r="E616" s="226"/>
      <c r="F616" s="226"/>
      <c r="G616" s="226"/>
      <c r="H616" s="226"/>
      <c r="I616" s="9" t="str">
        <f t="shared" si="9"/>
        <v>__</v>
      </c>
    </row>
    <row r="617" spans="1:9" x14ac:dyDescent="0.35">
      <c r="A617" s="226"/>
      <c r="B617" s="226"/>
      <c r="C617" s="226"/>
      <c r="D617" s="226"/>
      <c r="E617" s="226"/>
      <c r="F617" s="226"/>
      <c r="G617" s="226"/>
      <c r="H617" s="226"/>
      <c r="I617" s="9" t="str">
        <f t="shared" si="9"/>
        <v>__</v>
      </c>
    </row>
    <row r="618" spans="1:9" x14ac:dyDescent="0.35">
      <c r="A618" s="226"/>
      <c r="B618" s="226"/>
      <c r="C618" s="226"/>
      <c r="D618" s="226"/>
      <c r="E618" s="226"/>
      <c r="F618" s="226"/>
      <c r="G618" s="226"/>
      <c r="H618" s="226"/>
      <c r="I618" s="9" t="str">
        <f t="shared" si="9"/>
        <v>__</v>
      </c>
    </row>
    <row r="619" spans="1:9" x14ac:dyDescent="0.35">
      <c r="A619" s="226"/>
      <c r="B619" s="226"/>
      <c r="C619" s="226"/>
      <c r="D619" s="226"/>
      <c r="E619" s="226"/>
      <c r="F619" s="226"/>
      <c r="G619" s="226"/>
      <c r="H619" s="226"/>
      <c r="I619" s="9" t="str">
        <f t="shared" si="9"/>
        <v>__</v>
      </c>
    </row>
    <row r="620" spans="1:9" x14ac:dyDescent="0.35">
      <c r="A620" s="226"/>
      <c r="B620" s="226"/>
      <c r="C620" s="226"/>
      <c r="D620" s="226"/>
      <c r="E620" s="226"/>
      <c r="F620" s="226"/>
      <c r="G620" s="226"/>
      <c r="H620" s="226"/>
      <c r="I620" s="9" t="str">
        <f t="shared" si="9"/>
        <v>__</v>
      </c>
    </row>
    <row r="621" spans="1:9" x14ac:dyDescent="0.35">
      <c r="A621" s="226"/>
      <c r="B621" s="226"/>
      <c r="C621" s="226"/>
      <c r="D621" s="226"/>
      <c r="E621" s="226"/>
      <c r="F621" s="226"/>
      <c r="G621" s="226"/>
      <c r="H621" s="226"/>
      <c r="I621" s="9" t="str">
        <f t="shared" si="9"/>
        <v>__</v>
      </c>
    </row>
    <row r="622" spans="1:9" x14ac:dyDescent="0.35">
      <c r="A622" s="226"/>
      <c r="B622" s="226"/>
      <c r="C622" s="226"/>
      <c r="D622" s="226"/>
      <c r="E622" s="226"/>
      <c r="F622" s="226"/>
      <c r="G622" s="226"/>
      <c r="H622" s="226"/>
      <c r="I622" s="9" t="str">
        <f t="shared" si="9"/>
        <v>__</v>
      </c>
    </row>
    <row r="623" spans="1:9" x14ac:dyDescent="0.35">
      <c r="A623" s="226"/>
      <c r="B623" s="226"/>
      <c r="C623" s="226"/>
      <c r="D623" s="226"/>
      <c r="E623" s="226"/>
      <c r="F623" s="226"/>
      <c r="G623" s="226"/>
      <c r="H623" s="226"/>
      <c r="I623" s="9" t="str">
        <f t="shared" si="9"/>
        <v>__</v>
      </c>
    </row>
    <row r="624" spans="1:9" x14ac:dyDescent="0.35">
      <c r="A624" s="226"/>
      <c r="B624" s="226"/>
      <c r="C624" s="226"/>
      <c r="D624" s="226"/>
      <c r="E624" s="226"/>
      <c r="F624" s="226"/>
      <c r="G624" s="226"/>
      <c r="H624" s="226"/>
      <c r="I624" s="9" t="str">
        <f t="shared" si="9"/>
        <v>__</v>
      </c>
    </row>
    <row r="625" spans="1:9" x14ac:dyDescent="0.35">
      <c r="A625" s="226"/>
      <c r="B625" s="226"/>
      <c r="C625" s="226"/>
      <c r="D625" s="226"/>
      <c r="E625" s="226"/>
      <c r="F625" s="226"/>
      <c r="G625" s="226"/>
      <c r="H625" s="226"/>
      <c r="I625" s="9" t="str">
        <f t="shared" si="9"/>
        <v>__</v>
      </c>
    </row>
    <row r="626" spans="1:9" x14ac:dyDescent="0.35">
      <c r="A626" s="226"/>
      <c r="B626" s="226"/>
      <c r="C626" s="226"/>
      <c r="D626" s="226"/>
      <c r="E626" s="226"/>
      <c r="F626" s="226"/>
      <c r="G626" s="226"/>
      <c r="H626" s="226"/>
      <c r="I626" s="9" t="str">
        <f t="shared" si="9"/>
        <v>__</v>
      </c>
    </row>
    <row r="627" spans="1:9" x14ac:dyDescent="0.35">
      <c r="A627" s="226"/>
      <c r="B627" s="226"/>
      <c r="C627" s="226"/>
      <c r="D627" s="226"/>
      <c r="E627" s="226"/>
      <c r="F627" s="226"/>
      <c r="G627" s="226"/>
      <c r="H627" s="226"/>
      <c r="I627" s="9" t="str">
        <f t="shared" si="9"/>
        <v>__</v>
      </c>
    </row>
    <row r="628" spans="1:9" x14ac:dyDescent="0.35">
      <c r="A628" s="226"/>
      <c r="B628" s="226"/>
      <c r="C628" s="226"/>
      <c r="D628" s="226"/>
      <c r="E628" s="226"/>
      <c r="F628" s="226"/>
      <c r="G628" s="226"/>
      <c r="H628" s="226"/>
      <c r="I628" s="9" t="str">
        <f t="shared" si="9"/>
        <v>__</v>
      </c>
    </row>
    <row r="629" spans="1:9" x14ac:dyDescent="0.35">
      <c r="A629" s="226"/>
      <c r="B629" s="226"/>
      <c r="C629" s="226"/>
      <c r="D629" s="226"/>
      <c r="E629" s="226"/>
      <c r="F629" s="226"/>
      <c r="G629" s="226"/>
      <c r="H629" s="226"/>
      <c r="I629" s="9" t="str">
        <f t="shared" si="9"/>
        <v>__</v>
      </c>
    </row>
    <row r="630" spans="1:9" x14ac:dyDescent="0.35">
      <c r="A630" s="226"/>
      <c r="B630" s="226"/>
      <c r="C630" s="226"/>
      <c r="D630" s="226"/>
      <c r="E630" s="226"/>
      <c r="F630" s="226"/>
      <c r="G630" s="226"/>
      <c r="H630" s="226"/>
      <c r="I630" s="9" t="str">
        <f t="shared" si="9"/>
        <v>__</v>
      </c>
    </row>
    <row r="631" spans="1:9" x14ac:dyDescent="0.35">
      <c r="A631" s="226"/>
      <c r="B631" s="226"/>
      <c r="C631" s="226"/>
      <c r="D631" s="226"/>
      <c r="E631" s="226"/>
      <c r="F631" s="226"/>
      <c r="G631" s="226"/>
      <c r="H631" s="226"/>
      <c r="I631" s="9" t="str">
        <f t="shared" si="9"/>
        <v>__</v>
      </c>
    </row>
    <row r="632" spans="1:9" x14ac:dyDescent="0.35">
      <c r="A632" s="226"/>
      <c r="B632" s="226"/>
      <c r="C632" s="226"/>
      <c r="D632" s="226"/>
      <c r="E632" s="226"/>
      <c r="F632" s="226"/>
      <c r="G632" s="226"/>
      <c r="H632" s="226"/>
      <c r="I632" s="9" t="str">
        <f t="shared" si="9"/>
        <v>__</v>
      </c>
    </row>
    <row r="633" spans="1:9" x14ac:dyDescent="0.35">
      <c r="A633" s="226"/>
      <c r="B633" s="226"/>
      <c r="C633" s="226"/>
      <c r="D633" s="226"/>
      <c r="E633" s="226"/>
      <c r="F633" s="226"/>
      <c r="G633" s="226"/>
      <c r="H633" s="226"/>
      <c r="I633" s="9" t="str">
        <f t="shared" si="9"/>
        <v>__</v>
      </c>
    </row>
    <row r="634" spans="1:9" x14ac:dyDescent="0.35">
      <c r="A634" s="226"/>
      <c r="B634" s="226"/>
      <c r="C634" s="226"/>
      <c r="D634" s="226"/>
      <c r="E634" s="226"/>
      <c r="F634" s="226"/>
      <c r="G634" s="226"/>
      <c r="H634" s="226"/>
      <c r="I634" s="9" t="str">
        <f t="shared" si="9"/>
        <v>__</v>
      </c>
    </row>
    <row r="635" spans="1:9" x14ac:dyDescent="0.35">
      <c r="A635" s="226"/>
      <c r="B635" s="226"/>
      <c r="C635" s="226"/>
      <c r="D635" s="226"/>
      <c r="E635" s="226"/>
      <c r="F635" s="226"/>
      <c r="G635" s="226"/>
      <c r="H635" s="226"/>
      <c r="I635" s="9" t="str">
        <f t="shared" si="9"/>
        <v>__</v>
      </c>
    </row>
    <row r="636" spans="1:9" x14ac:dyDescent="0.35">
      <c r="A636" s="226"/>
      <c r="B636" s="226"/>
      <c r="C636" s="226"/>
      <c r="D636" s="226"/>
      <c r="E636" s="226"/>
      <c r="F636" s="226"/>
      <c r="G636" s="226"/>
      <c r="H636" s="226"/>
      <c r="I636" s="9" t="str">
        <f t="shared" si="9"/>
        <v>__</v>
      </c>
    </row>
    <row r="637" spans="1:9" x14ac:dyDescent="0.35">
      <c r="A637" s="226"/>
      <c r="B637" s="226"/>
      <c r="C637" s="226"/>
      <c r="D637" s="226"/>
      <c r="E637" s="226"/>
      <c r="F637" s="226"/>
      <c r="G637" s="226"/>
      <c r="H637" s="226"/>
      <c r="I637" s="9" t="str">
        <f t="shared" si="9"/>
        <v>__</v>
      </c>
    </row>
    <row r="638" spans="1:9" x14ac:dyDescent="0.35">
      <c r="A638" s="226"/>
      <c r="B638" s="226"/>
      <c r="C638" s="226"/>
      <c r="D638" s="226"/>
      <c r="E638" s="226"/>
      <c r="F638" s="226"/>
      <c r="G638" s="226"/>
      <c r="H638" s="226"/>
      <c r="I638" s="9" t="str">
        <f t="shared" si="9"/>
        <v>__</v>
      </c>
    </row>
    <row r="639" spans="1:9" x14ac:dyDescent="0.35">
      <c r="A639" s="226"/>
      <c r="B639" s="226"/>
      <c r="C639" s="226"/>
      <c r="D639" s="226"/>
      <c r="E639" s="226"/>
      <c r="F639" s="226"/>
      <c r="G639" s="226"/>
      <c r="H639" s="226"/>
      <c r="I639" s="9" t="str">
        <f t="shared" si="9"/>
        <v>__</v>
      </c>
    </row>
    <row r="640" spans="1:9" x14ac:dyDescent="0.35">
      <c r="A640" s="226"/>
      <c r="B640" s="226"/>
      <c r="C640" s="226"/>
      <c r="D640" s="226"/>
      <c r="E640" s="226"/>
      <c r="F640" s="226"/>
      <c r="G640" s="226"/>
      <c r="H640" s="226"/>
      <c r="I640" s="9" t="str">
        <f t="shared" si="9"/>
        <v>__</v>
      </c>
    </row>
    <row r="641" spans="1:9" x14ac:dyDescent="0.35">
      <c r="A641" s="226"/>
      <c r="B641" s="226"/>
      <c r="C641" s="226"/>
      <c r="D641" s="226"/>
      <c r="E641" s="226"/>
      <c r="F641" s="226"/>
      <c r="G641" s="226"/>
      <c r="H641" s="226"/>
      <c r="I641" s="9" t="str">
        <f t="shared" si="9"/>
        <v>__</v>
      </c>
    </row>
    <row r="642" spans="1:9" x14ac:dyDescent="0.35">
      <c r="A642" s="226"/>
      <c r="B642" s="226"/>
      <c r="C642" s="226"/>
      <c r="D642" s="226"/>
      <c r="E642" s="226"/>
      <c r="F642" s="226"/>
      <c r="G642" s="226"/>
      <c r="H642" s="226"/>
      <c r="I642" s="9" t="str">
        <f t="shared" si="9"/>
        <v>__</v>
      </c>
    </row>
    <row r="643" spans="1:9" x14ac:dyDescent="0.35">
      <c r="A643" s="226"/>
      <c r="B643" s="226"/>
      <c r="C643" s="226"/>
      <c r="D643" s="226"/>
      <c r="E643" s="226"/>
      <c r="F643" s="226"/>
      <c r="G643" s="226"/>
      <c r="H643" s="226"/>
      <c r="I643" s="9" t="str">
        <f t="shared" si="9"/>
        <v>__</v>
      </c>
    </row>
    <row r="644" spans="1:9" x14ac:dyDescent="0.35">
      <c r="A644" s="226"/>
      <c r="B644" s="226"/>
      <c r="C644" s="226"/>
      <c r="D644" s="226"/>
      <c r="E644" s="226"/>
      <c r="F644" s="226"/>
      <c r="G644" s="226"/>
      <c r="H644" s="226"/>
      <c r="I644" s="9" t="str">
        <f t="shared" si="9"/>
        <v>__</v>
      </c>
    </row>
    <row r="645" spans="1:9" x14ac:dyDescent="0.35">
      <c r="A645" s="226"/>
      <c r="B645" s="226"/>
      <c r="C645" s="226"/>
      <c r="D645" s="226"/>
      <c r="E645" s="226"/>
      <c r="F645" s="226"/>
      <c r="G645" s="226"/>
      <c r="H645" s="226"/>
      <c r="I645" s="9" t="str">
        <f t="shared" ref="I645:I708" si="10">CONCATENATE(A645,"_",B645,"_",C645)</f>
        <v>__</v>
      </c>
    </row>
    <row r="646" spans="1:9" x14ac:dyDescent="0.35">
      <c r="A646" s="226"/>
      <c r="B646" s="226"/>
      <c r="C646" s="226"/>
      <c r="D646" s="226"/>
      <c r="E646" s="226"/>
      <c r="F646" s="226"/>
      <c r="G646" s="226"/>
      <c r="H646" s="226"/>
      <c r="I646" s="9" t="str">
        <f t="shared" si="10"/>
        <v>__</v>
      </c>
    </row>
    <row r="647" spans="1:9" x14ac:dyDescent="0.35">
      <c r="A647" s="226"/>
      <c r="B647" s="226"/>
      <c r="C647" s="226"/>
      <c r="D647" s="226"/>
      <c r="E647" s="226"/>
      <c r="F647" s="226"/>
      <c r="G647" s="226"/>
      <c r="H647" s="226"/>
      <c r="I647" s="9" t="str">
        <f t="shared" si="10"/>
        <v>__</v>
      </c>
    </row>
    <row r="648" spans="1:9" x14ac:dyDescent="0.35">
      <c r="A648" s="226"/>
      <c r="B648" s="226"/>
      <c r="C648" s="226"/>
      <c r="D648" s="226"/>
      <c r="E648" s="226"/>
      <c r="F648" s="226"/>
      <c r="G648" s="226"/>
      <c r="H648" s="226"/>
      <c r="I648" s="9" t="str">
        <f t="shared" si="10"/>
        <v>__</v>
      </c>
    </row>
    <row r="649" spans="1:9" x14ac:dyDescent="0.35">
      <c r="A649" s="226"/>
      <c r="B649" s="226"/>
      <c r="C649" s="226"/>
      <c r="D649" s="226"/>
      <c r="E649" s="226"/>
      <c r="F649" s="226"/>
      <c r="G649" s="226"/>
      <c r="H649" s="226"/>
      <c r="I649" s="9" t="str">
        <f t="shared" si="10"/>
        <v>__</v>
      </c>
    </row>
    <row r="650" spans="1:9" x14ac:dyDescent="0.35">
      <c r="A650" s="226"/>
      <c r="B650" s="226"/>
      <c r="C650" s="226"/>
      <c r="D650" s="226"/>
      <c r="E650" s="226"/>
      <c r="F650" s="226"/>
      <c r="G650" s="226"/>
      <c r="H650" s="226"/>
      <c r="I650" s="9" t="str">
        <f t="shared" si="10"/>
        <v>__</v>
      </c>
    </row>
    <row r="651" spans="1:9" x14ac:dyDescent="0.35">
      <c r="A651" s="226"/>
      <c r="B651" s="226"/>
      <c r="C651" s="226"/>
      <c r="D651" s="226"/>
      <c r="E651" s="226"/>
      <c r="F651" s="226"/>
      <c r="G651" s="226"/>
      <c r="H651" s="226"/>
      <c r="I651" s="9" t="str">
        <f t="shared" si="10"/>
        <v>__</v>
      </c>
    </row>
    <row r="652" spans="1:9" x14ac:dyDescent="0.35">
      <c r="A652" s="226"/>
      <c r="B652" s="226"/>
      <c r="C652" s="226"/>
      <c r="D652" s="226"/>
      <c r="E652" s="226"/>
      <c r="F652" s="226"/>
      <c r="G652" s="226"/>
      <c r="H652" s="226"/>
      <c r="I652" s="9" t="str">
        <f t="shared" si="10"/>
        <v>__</v>
      </c>
    </row>
    <row r="653" spans="1:9" x14ac:dyDescent="0.35">
      <c r="A653" s="226"/>
      <c r="B653" s="226"/>
      <c r="C653" s="226"/>
      <c r="D653" s="226"/>
      <c r="E653" s="226"/>
      <c r="F653" s="226"/>
      <c r="G653" s="226"/>
      <c r="H653" s="226"/>
      <c r="I653" s="9" t="str">
        <f t="shared" si="10"/>
        <v>__</v>
      </c>
    </row>
    <row r="654" spans="1:9" x14ac:dyDescent="0.35">
      <c r="A654" s="226"/>
      <c r="B654" s="226"/>
      <c r="C654" s="226"/>
      <c r="D654" s="226"/>
      <c r="E654" s="226"/>
      <c r="F654" s="226"/>
      <c r="G654" s="226"/>
      <c r="H654" s="226"/>
      <c r="I654" s="9" t="str">
        <f t="shared" si="10"/>
        <v>__</v>
      </c>
    </row>
    <row r="655" spans="1:9" x14ac:dyDescent="0.35">
      <c r="A655" s="226"/>
      <c r="B655" s="226"/>
      <c r="C655" s="226"/>
      <c r="D655" s="226"/>
      <c r="E655" s="226"/>
      <c r="F655" s="226"/>
      <c r="G655" s="226"/>
      <c r="H655" s="226"/>
      <c r="I655" s="9" t="str">
        <f t="shared" si="10"/>
        <v>__</v>
      </c>
    </row>
    <row r="656" spans="1:9" x14ac:dyDescent="0.35">
      <c r="A656" s="226"/>
      <c r="B656" s="226"/>
      <c r="C656" s="226"/>
      <c r="D656" s="226"/>
      <c r="E656" s="226"/>
      <c r="F656" s="226"/>
      <c r="G656" s="226"/>
      <c r="H656" s="226"/>
      <c r="I656" s="9" t="str">
        <f t="shared" si="10"/>
        <v>__</v>
      </c>
    </row>
    <row r="657" spans="1:9" x14ac:dyDescent="0.35">
      <c r="A657" s="226"/>
      <c r="B657" s="226"/>
      <c r="C657" s="226"/>
      <c r="D657" s="226"/>
      <c r="E657" s="226"/>
      <c r="F657" s="226"/>
      <c r="G657" s="226"/>
      <c r="H657" s="226"/>
      <c r="I657" s="9" t="str">
        <f t="shared" si="10"/>
        <v>__</v>
      </c>
    </row>
    <row r="658" spans="1:9" x14ac:dyDescent="0.35">
      <c r="A658" s="226"/>
      <c r="B658" s="226"/>
      <c r="C658" s="226"/>
      <c r="D658" s="226"/>
      <c r="E658" s="226"/>
      <c r="F658" s="226"/>
      <c r="G658" s="226"/>
      <c r="H658" s="226"/>
      <c r="I658" s="9" t="str">
        <f t="shared" si="10"/>
        <v>__</v>
      </c>
    </row>
    <row r="659" spans="1:9" x14ac:dyDescent="0.35">
      <c r="A659" s="226"/>
      <c r="B659" s="226"/>
      <c r="C659" s="226"/>
      <c r="D659" s="226"/>
      <c r="E659" s="226"/>
      <c r="F659" s="226"/>
      <c r="G659" s="226"/>
      <c r="H659" s="226"/>
      <c r="I659" s="9" t="str">
        <f t="shared" si="10"/>
        <v>__</v>
      </c>
    </row>
    <row r="660" spans="1:9" x14ac:dyDescent="0.35">
      <c r="A660" s="226"/>
      <c r="B660" s="226"/>
      <c r="C660" s="226"/>
      <c r="D660" s="226"/>
      <c r="E660" s="226"/>
      <c r="F660" s="226"/>
      <c r="G660" s="226"/>
      <c r="H660" s="226"/>
      <c r="I660" s="9" t="str">
        <f t="shared" si="10"/>
        <v>__</v>
      </c>
    </row>
    <row r="661" spans="1:9" x14ac:dyDescent="0.35">
      <c r="A661" s="226"/>
      <c r="B661" s="226"/>
      <c r="C661" s="226"/>
      <c r="D661" s="226"/>
      <c r="E661" s="226"/>
      <c r="F661" s="226"/>
      <c r="G661" s="226"/>
      <c r="H661" s="226"/>
      <c r="I661" s="9" t="str">
        <f t="shared" si="10"/>
        <v>__</v>
      </c>
    </row>
    <row r="662" spans="1:9" x14ac:dyDescent="0.35">
      <c r="A662" s="226"/>
      <c r="B662" s="226"/>
      <c r="C662" s="226"/>
      <c r="D662" s="226"/>
      <c r="E662" s="226"/>
      <c r="F662" s="226"/>
      <c r="G662" s="226"/>
      <c r="H662" s="226"/>
      <c r="I662" s="9" t="str">
        <f t="shared" si="10"/>
        <v>__</v>
      </c>
    </row>
    <row r="663" spans="1:9" x14ac:dyDescent="0.35">
      <c r="A663" s="226"/>
      <c r="B663" s="226"/>
      <c r="C663" s="226"/>
      <c r="D663" s="226"/>
      <c r="E663" s="226"/>
      <c r="F663" s="226"/>
      <c r="G663" s="226"/>
      <c r="H663" s="226"/>
      <c r="I663" s="9" t="str">
        <f t="shared" si="10"/>
        <v>__</v>
      </c>
    </row>
    <row r="664" spans="1:9" x14ac:dyDescent="0.35">
      <c r="A664" s="226"/>
      <c r="B664" s="226"/>
      <c r="C664" s="226"/>
      <c r="D664" s="226"/>
      <c r="E664" s="226"/>
      <c r="F664" s="226"/>
      <c r="G664" s="226"/>
      <c r="H664" s="226"/>
      <c r="I664" s="9" t="str">
        <f t="shared" si="10"/>
        <v>__</v>
      </c>
    </row>
    <row r="665" spans="1:9" x14ac:dyDescent="0.35">
      <c r="A665" s="226"/>
      <c r="B665" s="226"/>
      <c r="C665" s="226"/>
      <c r="D665" s="226"/>
      <c r="E665" s="226"/>
      <c r="F665" s="226"/>
      <c r="G665" s="226"/>
      <c r="H665" s="226"/>
      <c r="I665" s="9" t="str">
        <f t="shared" si="10"/>
        <v>__</v>
      </c>
    </row>
    <row r="666" spans="1:9" x14ac:dyDescent="0.35">
      <c r="A666" s="226"/>
      <c r="B666" s="226"/>
      <c r="C666" s="226"/>
      <c r="D666" s="226"/>
      <c r="E666" s="226"/>
      <c r="F666" s="226"/>
      <c r="G666" s="226"/>
      <c r="H666" s="226"/>
      <c r="I666" s="9" t="str">
        <f t="shared" si="10"/>
        <v>__</v>
      </c>
    </row>
    <row r="667" spans="1:9" x14ac:dyDescent="0.35">
      <c r="A667" s="226"/>
      <c r="B667" s="226"/>
      <c r="C667" s="226"/>
      <c r="D667" s="226"/>
      <c r="E667" s="226"/>
      <c r="F667" s="226"/>
      <c r="G667" s="226"/>
      <c r="H667" s="226"/>
      <c r="I667" s="9" t="str">
        <f t="shared" si="10"/>
        <v>__</v>
      </c>
    </row>
    <row r="668" spans="1:9" x14ac:dyDescent="0.35">
      <c r="A668" s="226"/>
      <c r="B668" s="226"/>
      <c r="C668" s="226"/>
      <c r="D668" s="226"/>
      <c r="E668" s="226"/>
      <c r="F668" s="226"/>
      <c r="G668" s="226"/>
      <c r="H668" s="226"/>
      <c r="I668" s="9" t="str">
        <f t="shared" si="10"/>
        <v>__</v>
      </c>
    </row>
    <row r="669" spans="1:9" x14ac:dyDescent="0.35">
      <c r="A669" s="226"/>
      <c r="B669" s="226"/>
      <c r="C669" s="226"/>
      <c r="D669" s="226"/>
      <c r="E669" s="226"/>
      <c r="F669" s="226"/>
      <c r="G669" s="226"/>
      <c r="H669" s="226"/>
      <c r="I669" s="9" t="str">
        <f t="shared" si="10"/>
        <v>__</v>
      </c>
    </row>
    <row r="670" spans="1:9" x14ac:dyDescent="0.35">
      <c r="A670" s="226"/>
      <c r="B670" s="226"/>
      <c r="C670" s="226"/>
      <c r="D670" s="226"/>
      <c r="E670" s="226"/>
      <c r="F670" s="226"/>
      <c r="G670" s="226"/>
      <c r="H670" s="284"/>
      <c r="I670" s="9" t="str">
        <f t="shared" si="10"/>
        <v>__</v>
      </c>
    </row>
    <row r="671" spans="1:9" x14ac:dyDescent="0.35">
      <c r="A671" s="226"/>
      <c r="B671" s="226"/>
      <c r="C671" s="226"/>
      <c r="D671" s="226"/>
      <c r="E671" s="226"/>
      <c r="F671" s="226"/>
      <c r="G671" s="226"/>
      <c r="H671" s="226"/>
      <c r="I671" s="9" t="str">
        <f t="shared" si="10"/>
        <v>__</v>
      </c>
    </row>
    <row r="672" spans="1:9" x14ac:dyDescent="0.35">
      <c r="A672" s="226"/>
      <c r="B672" s="226"/>
      <c r="C672" s="226"/>
      <c r="D672" s="226"/>
      <c r="E672" s="226"/>
      <c r="F672" s="226"/>
      <c r="G672" s="226"/>
      <c r="H672" s="226"/>
      <c r="I672" s="9" t="str">
        <f t="shared" si="10"/>
        <v>__</v>
      </c>
    </row>
    <row r="673" spans="1:9" x14ac:dyDescent="0.35">
      <c r="A673" s="226"/>
      <c r="B673" s="226"/>
      <c r="C673" s="226"/>
      <c r="D673" s="226"/>
      <c r="E673" s="226"/>
      <c r="F673" s="226"/>
      <c r="G673" s="226"/>
      <c r="H673" s="226"/>
      <c r="I673" s="9" t="str">
        <f t="shared" si="10"/>
        <v>__</v>
      </c>
    </row>
    <row r="674" spans="1:9" x14ac:dyDescent="0.35">
      <c r="A674" s="226"/>
      <c r="B674" s="226"/>
      <c r="C674" s="226"/>
      <c r="D674" s="226"/>
      <c r="E674" s="226"/>
      <c r="F674" s="226"/>
      <c r="G674" s="226"/>
      <c r="H674" s="226"/>
      <c r="I674" s="9" t="str">
        <f t="shared" si="10"/>
        <v>__</v>
      </c>
    </row>
    <row r="675" spans="1:9" x14ac:dyDescent="0.35">
      <c r="A675" s="226"/>
      <c r="B675" s="226"/>
      <c r="C675" s="226"/>
      <c r="D675" s="226"/>
      <c r="E675" s="226"/>
      <c r="F675" s="226"/>
      <c r="G675" s="226"/>
      <c r="H675" s="226"/>
      <c r="I675" s="9" t="str">
        <f t="shared" si="10"/>
        <v>__</v>
      </c>
    </row>
    <row r="676" spans="1:9" x14ac:dyDescent="0.35">
      <c r="A676" s="226"/>
      <c r="B676" s="226"/>
      <c r="C676" s="226"/>
      <c r="D676" s="226"/>
      <c r="E676" s="226"/>
      <c r="F676" s="226"/>
      <c r="G676" s="226"/>
      <c r="H676" s="226"/>
      <c r="I676" s="9" t="str">
        <f t="shared" si="10"/>
        <v>__</v>
      </c>
    </row>
    <row r="677" spans="1:9" x14ac:dyDescent="0.35">
      <c r="A677" s="226"/>
      <c r="B677" s="226"/>
      <c r="C677" s="226"/>
      <c r="D677" s="226"/>
      <c r="E677" s="226"/>
      <c r="F677" s="226"/>
      <c r="G677" s="226"/>
      <c r="H677" s="226"/>
      <c r="I677" s="9" t="str">
        <f t="shared" si="10"/>
        <v>__</v>
      </c>
    </row>
    <row r="678" spans="1:9" x14ac:dyDescent="0.35">
      <c r="A678" s="226"/>
      <c r="B678" s="226"/>
      <c r="C678" s="226"/>
      <c r="D678" s="226"/>
      <c r="E678" s="226"/>
      <c r="F678" s="226"/>
      <c r="G678" s="226"/>
      <c r="H678" s="226"/>
      <c r="I678" s="9" t="str">
        <f t="shared" si="10"/>
        <v>__</v>
      </c>
    </row>
    <row r="679" spans="1:9" x14ac:dyDescent="0.35">
      <c r="A679" s="226"/>
      <c r="B679" s="226"/>
      <c r="C679" s="226"/>
      <c r="D679" s="226"/>
      <c r="E679" s="226"/>
      <c r="F679" s="226"/>
      <c r="G679" s="226"/>
      <c r="H679" s="226"/>
      <c r="I679" s="9" t="str">
        <f t="shared" si="10"/>
        <v>__</v>
      </c>
    </row>
    <row r="680" spans="1:9" x14ac:dyDescent="0.35">
      <c r="A680" s="226"/>
      <c r="B680" s="226"/>
      <c r="C680" s="226"/>
      <c r="D680" s="226"/>
      <c r="E680" s="226"/>
      <c r="F680" s="226"/>
      <c r="G680" s="226"/>
      <c r="H680" s="226"/>
      <c r="I680" s="9" t="str">
        <f t="shared" si="10"/>
        <v>__</v>
      </c>
    </row>
    <row r="681" spans="1:9" x14ac:dyDescent="0.35">
      <c r="A681" s="226"/>
      <c r="B681" s="226"/>
      <c r="C681" s="226"/>
      <c r="D681" s="226"/>
      <c r="E681" s="226"/>
      <c r="F681" s="226"/>
      <c r="G681" s="226"/>
      <c r="H681" s="226"/>
      <c r="I681" s="9" t="str">
        <f t="shared" si="10"/>
        <v>__</v>
      </c>
    </row>
    <row r="682" spans="1:9" x14ac:dyDescent="0.35">
      <c r="A682" s="226"/>
      <c r="B682" s="226"/>
      <c r="C682" s="226"/>
      <c r="D682" s="226"/>
      <c r="E682" s="226"/>
      <c r="F682" s="226"/>
      <c r="G682" s="226"/>
      <c r="H682" s="226"/>
      <c r="I682" s="9" t="str">
        <f t="shared" si="10"/>
        <v>__</v>
      </c>
    </row>
    <row r="683" spans="1:9" x14ac:dyDescent="0.35">
      <c r="A683" s="226"/>
      <c r="B683" s="226"/>
      <c r="C683" s="226"/>
      <c r="D683" s="226"/>
      <c r="E683" s="226"/>
      <c r="F683" s="226"/>
      <c r="G683" s="226"/>
      <c r="H683" s="226"/>
      <c r="I683" s="9" t="str">
        <f t="shared" si="10"/>
        <v>__</v>
      </c>
    </row>
    <row r="684" spans="1:9" x14ac:dyDescent="0.35">
      <c r="A684" s="226"/>
      <c r="B684" s="226"/>
      <c r="C684" s="226"/>
      <c r="D684" s="226"/>
      <c r="E684" s="226"/>
      <c r="F684" s="226"/>
      <c r="G684" s="226"/>
      <c r="H684" s="226"/>
      <c r="I684" s="9" t="str">
        <f t="shared" si="10"/>
        <v>__</v>
      </c>
    </row>
    <row r="685" spans="1:9" x14ac:dyDescent="0.35">
      <c r="A685" s="226"/>
      <c r="B685" s="226"/>
      <c r="C685" s="226"/>
      <c r="D685" s="226"/>
      <c r="E685" s="226"/>
      <c r="F685" s="226"/>
      <c r="G685" s="226"/>
      <c r="H685" s="226"/>
      <c r="I685" s="9" t="str">
        <f t="shared" si="10"/>
        <v>__</v>
      </c>
    </row>
    <row r="686" spans="1:9" x14ac:dyDescent="0.35">
      <c r="A686" s="226"/>
      <c r="B686" s="226"/>
      <c r="C686" s="226"/>
      <c r="D686" s="226"/>
      <c r="E686" s="226"/>
      <c r="F686" s="226"/>
      <c r="G686" s="226"/>
      <c r="H686" s="226"/>
      <c r="I686" s="9" t="str">
        <f t="shared" si="10"/>
        <v>__</v>
      </c>
    </row>
    <row r="687" spans="1:9" x14ac:dyDescent="0.35">
      <c r="A687" s="226"/>
      <c r="B687" s="226"/>
      <c r="C687" s="226"/>
      <c r="D687" s="226"/>
      <c r="E687" s="226"/>
      <c r="F687" s="226"/>
      <c r="G687" s="226"/>
      <c r="H687" s="226"/>
      <c r="I687" s="9" t="str">
        <f t="shared" si="10"/>
        <v>__</v>
      </c>
    </row>
    <row r="688" spans="1:9" x14ac:dyDescent="0.35">
      <c r="A688" s="226"/>
      <c r="B688" s="226"/>
      <c r="C688" s="226"/>
      <c r="D688" s="226"/>
      <c r="E688" s="226"/>
      <c r="F688" s="226"/>
      <c r="G688" s="226"/>
      <c r="H688" s="226"/>
      <c r="I688" s="9" t="str">
        <f t="shared" si="10"/>
        <v>__</v>
      </c>
    </row>
    <row r="689" spans="1:9" x14ac:dyDescent="0.35">
      <c r="A689" s="226"/>
      <c r="B689" s="226"/>
      <c r="C689" s="226"/>
      <c r="D689" s="226"/>
      <c r="E689" s="226"/>
      <c r="F689" s="226"/>
      <c r="G689" s="226"/>
      <c r="H689" s="226"/>
      <c r="I689" s="9" t="str">
        <f t="shared" si="10"/>
        <v>__</v>
      </c>
    </row>
    <row r="690" spans="1:9" x14ac:dyDescent="0.35">
      <c r="A690" s="226"/>
      <c r="B690" s="226"/>
      <c r="C690" s="226"/>
      <c r="D690" s="226"/>
      <c r="E690" s="226"/>
      <c r="F690" s="226"/>
      <c r="G690" s="226"/>
      <c r="H690" s="226"/>
      <c r="I690" s="9" t="str">
        <f t="shared" si="10"/>
        <v>__</v>
      </c>
    </row>
    <row r="691" spans="1:9" x14ac:dyDescent="0.35">
      <c r="A691" s="226"/>
      <c r="B691" s="226"/>
      <c r="C691" s="226"/>
      <c r="D691" s="226"/>
      <c r="E691" s="226"/>
      <c r="F691" s="226"/>
      <c r="G691" s="226"/>
      <c r="H691" s="226"/>
      <c r="I691" s="9" t="str">
        <f t="shared" si="10"/>
        <v>__</v>
      </c>
    </row>
    <row r="692" spans="1:9" x14ac:dyDescent="0.35">
      <c r="A692" s="226"/>
      <c r="B692" s="226"/>
      <c r="C692" s="226"/>
      <c r="D692" s="226"/>
      <c r="E692" s="226"/>
      <c r="F692" s="226"/>
      <c r="G692" s="226"/>
      <c r="H692" s="226"/>
      <c r="I692" s="9" t="str">
        <f t="shared" si="10"/>
        <v>__</v>
      </c>
    </row>
    <row r="693" spans="1:9" x14ac:dyDescent="0.35">
      <c r="A693" s="226"/>
      <c r="B693" s="226"/>
      <c r="C693" s="226"/>
      <c r="D693" s="226"/>
      <c r="E693" s="226"/>
      <c r="F693" s="226"/>
      <c r="G693" s="226"/>
      <c r="H693" s="226"/>
      <c r="I693" s="9" t="str">
        <f t="shared" si="10"/>
        <v>__</v>
      </c>
    </row>
    <row r="694" spans="1:9" x14ac:dyDescent="0.35">
      <c r="A694" s="226"/>
      <c r="B694" s="226"/>
      <c r="C694" s="226"/>
      <c r="D694" s="226"/>
      <c r="E694" s="226"/>
      <c r="F694" s="226"/>
      <c r="G694" s="226"/>
      <c r="H694" s="226"/>
      <c r="I694" s="9" t="str">
        <f t="shared" si="10"/>
        <v>__</v>
      </c>
    </row>
    <row r="695" spans="1:9" x14ac:dyDescent="0.35">
      <c r="A695" s="226"/>
      <c r="B695" s="226"/>
      <c r="C695" s="226"/>
      <c r="D695" s="226"/>
      <c r="E695" s="226"/>
      <c r="F695" s="226"/>
      <c r="G695" s="226"/>
      <c r="H695" s="226"/>
      <c r="I695" s="9" t="str">
        <f t="shared" si="10"/>
        <v>__</v>
      </c>
    </row>
    <row r="696" spans="1:9" x14ac:dyDescent="0.35">
      <c r="A696" s="226"/>
      <c r="B696" s="226"/>
      <c r="C696" s="226"/>
      <c r="D696" s="226"/>
      <c r="E696" s="226"/>
      <c r="F696" s="226"/>
      <c r="G696" s="226"/>
      <c r="H696" s="226"/>
      <c r="I696" s="9" t="str">
        <f t="shared" si="10"/>
        <v>__</v>
      </c>
    </row>
    <row r="697" spans="1:9" x14ac:dyDescent="0.35">
      <c r="A697" s="226"/>
      <c r="B697" s="226"/>
      <c r="C697" s="226"/>
      <c r="D697" s="226"/>
      <c r="E697" s="226"/>
      <c r="F697" s="226"/>
      <c r="G697" s="226"/>
      <c r="H697" s="226"/>
      <c r="I697" s="9" t="str">
        <f t="shared" si="10"/>
        <v>__</v>
      </c>
    </row>
    <row r="698" spans="1:9" x14ac:dyDescent="0.35">
      <c r="A698" s="226"/>
      <c r="B698" s="226"/>
      <c r="C698" s="226"/>
      <c r="D698" s="226"/>
      <c r="E698" s="226"/>
      <c r="F698" s="226"/>
      <c r="G698" s="226"/>
      <c r="H698" s="226"/>
      <c r="I698" s="9" t="str">
        <f t="shared" si="10"/>
        <v>__</v>
      </c>
    </row>
    <row r="699" spans="1:9" x14ac:dyDescent="0.35">
      <c r="A699" s="226"/>
      <c r="B699" s="226"/>
      <c r="C699" s="226"/>
      <c r="D699" s="226"/>
      <c r="E699" s="226"/>
      <c r="F699" s="226"/>
      <c r="G699" s="226"/>
      <c r="H699" s="226"/>
      <c r="I699" s="9" t="str">
        <f t="shared" si="10"/>
        <v>__</v>
      </c>
    </row>
    <row r="700" spans="1:9" x14ac:dyDescent="0.35">
      <c r="A700" s="226"/>
      <c r="B700" s="226"/>
      <c r="C700" s="226"/>
      <c r="D700" s="226"/>
      <c r="E700" s="226"/>
      <c r="F700" s="226"/>
      <c r="G700" s="226"/>
      <c r="H700" s="226"/>
      <c r="I700" s="9" t="str">
        <f t="shared" si="10"/>
        <v>__</v>
      </c>
    </row>
    <row r="701" spans="1:9" x14ac:dyDescent="0.35">
      <c r="A701" s="226"/>
      <c r="B701" s="226"/>
      <c r="C701" s="226"/>
      <c r="D701" s="226"/>
      <c r="E701" s="226"/>
      <c r="F701" s="226"/>
      <c r="G701" s="226"/>
      <c r="H701" s="226"/>
      <c r="I701" s="9" t="str">
        <f t="shared" si="10"/>
        <v>__</v>
      </c>
    </row>
    <row r="702" spans="1:9" x14ac:dyDescent="0.35">
      <c r="A702" s="226"/>
      <c r="B702" s="226"/>
      <c r="C702" s="226"/>
      <c r="D702" s="226"/>
      <c r="E702" s="226"/>
      <c r="F702" s="226"/>
      <c r="G702" s="226"/>
      <c r="H702" s="226"/>
      <c r="I702" s="9" t="str">
        <f t="shared" si="10"/>
        <v>__</v>
      </c>
    </row>
    <row r="703" spans="1:9" x14ac:dyDescent="0.35">
      <c r="A703" s="226"/>
      <c r="B703" s="226"/>
      <c r="C703" s="226"/>
      <c r="D703" s="226"/>
      <c r="E703" s="226"/>
      <c r="F703" s="226"/>
      <c r="G703" s="226"/>
      <c r="H703" s="226"/>
      <c r="I703" s="9" t="str">
        <f t="shared" si="10"/>
        <v>__</v>
      </c>
    </row>
    <row r="704" spans="1:9" x14ac:dyDescent="0.35">
      <c r="A704" s="226"/>
      <c r="B704" s="226"/>
      <c r="C704" s="226"/>
      <c r="D704" s="226"/>
      <c r="E704" s="226"/>
      <c r="F704" s="226"/>
      <c r="G704" s="226"/>
      <c r="H704" s="226"/>
      <c r="I704" s="9" t="str">
        <f t="shared" si="10"/>
        <v>__</v>
      </c>
    </row>
    <row r="705" spans="1:9" x14ac:dyDescent="0.35">
      <c r="A705" s="226"/>
      <c r="B705" s="226"/>
      <c r="C705" s="226"/>
      <c r="D705" s="226"/>
      <c r="E705" s="226"/>
      <c r="F705" s="226"/>
      <c r="G705" s="226"/>
      <c r="H705" s="226"/>
      <c r="I705" s="9" t="str">
        <f t="shared" si="10"/>
        <v>__</v>
      </c>
    </row>
    <row r="706" spans="1:9" x14ac:dyDescent="0.35">
      <c r="A706" s="226"/>
      <c r="B706" s="226"/>
      <c r="C706" s="226"/>
      <c r="D706" s="226"/>
      <c r="E706" s="226"/>
      <c r="F706" s="226"/>
      <c r="G706" s="226"/>
      <c r="H706" s="226"/>
      <c r="I706" s="9" t="str">
        <f t="shared" si="10"/>
        <v>__</v>
      </c>
    </row>
    <row r="707" spans="1:9" x14ac:dyDescent="0.35">
      <c r="A707" s="226"/>
      <c r="B707" s="226"/>
      <c r="C707" s="226"/>
      <c r="D707" s="226"/>
      <c r="E707" s="226"/>
      <c r="F707" s="226"/>
      <c r="G707" s="226"/>
      <c r="H707" s="226"/>
      <c r="I707" s="9" t="str">
        <f t="shared" si="10"/>
        <v>__</v>
      </c>
    </row>
    <row r="708" spans="1:9" x14ac:dyDescent="0.35">
      <c r="A708" s="226"/>
      <c r="B708" s="226"/>
      <c r="C708" s="226"/>
      <c r="D708" s="226"/>
      <c r="E708" s="226"/>
      <c r="F708" s="226"/>
      <c r="G708" s="226"/>
      <c r="H708" s="226"/>
      <c r="I708" s="9" t="str">
        <f t="shared" si="10"/>
        <v>__</v>
      </c>
    </row>
    <row r="709" spans="1:9" x14ac:dyDescent="0.35">
      <c r="A709" s="226"/>
      <c r="B709" s="226"/>
      <c r="C709" s="226"/>
      <c r="D709" s="226"/>
      <c r="E709" s="226"/>
      <c r="F709" s="226"/>
      <c r="G709" s="226"/>
      <c r="H709" s="226"/>
      <c r="I709" s="9" t="str">
        <f t="shared" ref="I709:I772" si="11">CONCATENATE(A709,"_",B709,"_",C709)</f>
        <v>__</v>
      </c>
    </row>
    <row r="710" spans="1:9" x14ac:dyDescent="0.35">
      <c r="A710" s="226"/>
      <c r="B710" s="226"/>
      <c r="C710" s="226"/>
      <c r="D710" s="226"/>
      <c r="E710" s="226"/>
      <c r="F710" s="226"/>
      <c r="G710" s="226"/>
      <c r="H710" s="226"/>
      <c r="I710" s="9" t="str">
        <f t="shared" si="11"/>
        <v>__</v>
      </c>
    </row>
    <row r="711" spans="1:9" x14ac:dyDescent="0.35">
      <c r="A711" s="226"/>
      <c r="B711" s="226"/>
      <c r="C711" s="226"/>
      <c r="D711" s="226"/>
      <c r="E711" s="226"/>
      <c r="F711" s="226"/>
      <c r="G711" s="226"/>
      <c r="H711" s="226"/>
      <c r="I711" s="9" t="str">
        <f t="shared" si="11"/>
        <v>__</v>
      </c>
    </row>
    <row r="712" spans="1:9" x14ac:dyDescent="0.35">
      <c r="A712" s="226"/>
      <c r="B712" s="226"/>
      <c r="C712" s="226"/>
      <c r="D712" s="226"/>
      <c r="E712" s="226"/>
      <c r="F712" s="226"/>
      <c r="G712" s="226"/>
      <c r="H712" s="226"/>
      <c r="I712" s="9" t="str">
        <f t="shared" si="11"/>
        <v>__</v>
      </c>
    </row>
    <row r="713" spans="1:9" x14ac:dyDescent="0.35">
      <c r="A713" s="226"/>
      <c r="B713" s="226"/>
      <c r="C713" s="226"/>
      <c r="D713" s="226"/>
      <c r="E713" s="226"/>
      <c r="F713" s="226"/>
      <c r="G713" s="226"/>
      <c r="H713" s="226"/>
      <c r="I713" s="9" t="str">
        <f t="shared" si="11"/>
        <v>__</v>
      </c>
    </row>
    <row r="714" spans="1:9" x14ac:dyDescent="0.35">
      <c r="A714" s="226"/>
      <c r="B714" s="226"/>
      <c r="C714" s="226"/>
      <c r="D714" s="226"/>
      <c r="E714" s="226"/>
      <c r="F714" s="226"/>
      <c r="G714" s="226"/>
      <c r="H714" s="226"/>
      <c r="I714" s="9" t="str">
        <f t="shared" si="11"/>
        <v>__</v>
      </c>
    </row>
    <row r="715" spans="1:9" x14ac:dyDescent="0.35">
      <c r="A715" s="226"/>
      <c r="B715" s="226"/>
      <c r="C715" s="226"/>
      <c r="D715" s="226"/>
      <c r="E715" s="226"/>
      <c r="F715" s="226"/>
      <c r="G715" s="226"/>
      <c r="H715" s="226"/>
      <c r="I715" s="9" t="str">
        <f t="shared" si="11"/>
        <v>__</v>
      </c>
    </row>
    <row r="716" spans="1:9" x14ac:dyDescent="0.35">
      <c r="A716" s="226"/>
      <c r="B716" s="226"/>
      <c r="C716" s="226"/>
      <c r="D716" s="226"/>
      <c r="E716" s="226"/>
      <c r="F716" s="226"/>
      <c r="G716" s="226"/>
      <c r="H716" s="226"/>
      <c r="I716" s="9" t="str">
        <f t="shared" si="11"/>
        <v>__</v>
      </c>
    </row>
    <row r="717" spans="1:9" x14ac:dyDescent="0.35">
      <c r="A717" s="226"/>
      <c r="B717" s="226"/>
      <c r="C717" s="226"/>
      <c r="D717" s="226"/>
      <c r="E717" s="226"/>
      <c r="F717" s="226"/>
      <c r="G717" s="226"/>
      <c r="H717" s="226"/>
      <c r="I717" s="9" t="str">
        <f t="shared" si="11"/>
        <v>__</v>
      </c>
    </row>
    <row r="718" spans="1:9" x14ac:dyDescent="0.35">
      <c r="A718" s="226"/>
      <c r="B718" s="226"/>
      <c r="C718" s="226"/>
      <c r="D718" s="226"/>
      <c r="E718" s="226"/>
      <c r="F718" s="226"/>
      <c r="G718" s="226"/>
      <c r="H718" s="226"/>
      <c r="I718" s="9" t="str">
        <f t="shared" si="11"/>
        <v>__</v>
      </c>
    </row>
    <row r="719" spans="1:9" x14ac:dyDescent="0.35">
      <c r="A719" s="226"/>
      <c r="B719" s="226"/>
      <c r="C719" s="226"/>
      <c r="D719" s="226"/>
      <c r="E719" s="226"/>
      <c r="F719" s="226"/>
      <c r="G719" s="226"/>
      <c r="H719" s="226"/>
      <c r="I719" s="9" t="str">
        <f t="shared" si="11"/>
        <v>__</v>
      </c>
    </row>
    <row r="720" spans="1:9" x14ac:dyDescent="0.35">
      <c r="A720" s="226"/>
      <c r="B720" s="226"/>
      <c r="C720" s="226"/>
      <c r="D720" s="226"/>
      <c r="E720" s="226"/>
      <c r="F720" s="226"/>
      <c r="G720" s="226"/>
      <c r="H720" s="226"/>
      <c r="I720" s="9" t="str">
        <f t="shared" si="11"/>
        <v>__</v>
      </c>
    </row>
    <row r="721" spans="1:9" x14ac:dyDescent="0.35">
      <c r="A721" s="226"/>
      <c r="B721" s="226"/>
      <c r="C721" s="226"/>
      <c r="D721" s="226"/>
      <c r="E721" s="226"/>
      <c r="F721" s="226"/>
      <c r="G721" s="226"/>
      <c r="H721" s="226"/>
      <c r="I721" s="9" t="str">
        <f t="shared" si="11"/>
        <v>__</v>
      </c>
    </row>
    <row r="722" spans="1:9" x14ac:dyDescent="0.35">
      <c r="A722" s="226"/>
      <c r="B722" s="226"/>
      <c r="C722" s="226"/>
      <c r="D722" s="226"/>
      <c r="E722" s="226"/>
      <c r="F722" s="226"/>
      <c r="G722" s="226"/>
      <c r="H722" s="226"/>
      <c r="I722" s="9" t="str">
        <f t="shared" si="11"/>
        <v>__</v>
      </c>
    </row>
    <row r="723" spans="1:9" x14ac:dyDescent="0.35">
      <c r="A723" s="226"/>
      <c r="B723" s="226"/>
      <c r="C723" s="226"/>
      <c r="D723" s="226"/>
      <c r="E723" s="226"/>
      <c r="F723" s="226"/>
      <c r="G723" s="226"/>
      <c r="H723" s="226"/>
      <c r="I723" s="9" t="str">
        <f t="shared" si="11"/>
        <v>__</v>
      </c>
    </row>
    <row r="724" spans="1:9" x14ac:dyDescent="0.35">
      <c r="A724" s="226"/>
      <c r="B724" s="226"/>
      <c r="C724" s="226"/>
      <c r="D724" s="226"/>
      <c r="E724" s="226"/>
      <c r="F724" s="226"/>
      <c r="G724" s="226"/>
      <c r="H724" s="226"/>
      <c r="I724" s="9" t="str">
        <f t="shared" si="11"/>
        <v>__</v>
      </c>
    </row>
    <row r="725" spans="1:9" x14ac:dyDescent="0.35">
      <c r="A725" s="226"/>
      <c r="B725" s="226"/>
      <c r="C725" s="226"/>
      <c r="D725" s="226"/>
      <c r="E725" s="226"/>
      <c r="F725" s="226"/>
      <c r="G725" s="226"/>
      <c r="H725" s="226"/>
      <c r="I725" s="9" t="str">
        <f t="shared" si="11"/>
        <v>__</v>
      </c>
    </row>
    <row r="726" spans="1:9" x14ac:dyDescent="0.35">
      <c r="A726" s="226"/>
      <c r="B726" s="226"/>
      <c r="C726" s="226"/>
      <c r="D726" s="226"/>
      <c r="E726" s="226"/>
      <c r="F726" s="226"/>
      <c r="G726" s="226"/>
      <c r="H726" s="226"/>
      <c r="I726" s="9" t="str">
        <f t="shared" si="11"/>
        <v>__</v>
      </c>
    </row>
    <row r="727" spans="1:9" x14ac:dyDescent="0.35">
      <c r="A727" s="226"/>
      <c r="B727" s="226"/>
      <c r="C727" s="226"/>
      <c r="D727" s="226"/>
      <c r="E727" s="226"/>
      <c r="F727" s="226"/>
      <c r="G727" s="226"/>
      <c r="H727" s="226"/>
      <c r="I727" s="9" t="str">
        <f t="shared" si="11"/>
        <v>__</v>
      </c>
    </row>
    <row r="728" spans="1:9" x14ac:dyDescent="0.35">
      <c r="A728" s="226"/>
      <c r="B728" s="226"/>
      <c r="C728" s="226"/>
      <c r="D728" s="226"/>
      <c r="E728" s="226"/>
      <c r="F728" s="226"/>
      <c r="G728" s="226"/>
      <c r="H728" s="226"/>
      <c r="I728" s="9" t="str">
        <f t="shared" si="11"/>
        <v>__</v>
      </c>
    </row>
    <row r="729" spans="1:9" x14ac:dyDescent="0.35">
      <c r="A729" s="226"/>
      <c r="B729" s="226"/>
      <c r="C729" s="226"/>
      <c r="D729" s="226"/>
      <c r="E729" s="226"/>
      <c r="F729" s="226"/>
      <c r="G729" s="226"/>
      <c r="H729" s="226"/>
      <c r="I729" s="9" t="str">
        <f t="shared" si="11"/>
        <v>__</v>
      </c>
    </row>
    <row r="730" spans="1:9" x14ac:dyDescent="0.35">
      <c r="A730" s="226"/>
      <c r="B730" s="226"/>
      <c r="C730" s="226"/>
      <c r="D730" s="226"/>
      <c r="E730" s="226"/>
      <c r="F730" s="226"/>
      <c r="G730" s="226"/>
      <c r="H730" s="226"/>
      <c r="I730" s="9" t="str">
        <f t="shared" si="11"/>
        <v>__</v>
      </c>
    </row>
    <row r="731" spans="1:9" x14ac:dyDescent="0.35">
      <c r="A731" s="226"/>
      <c r="B731" s="226"/>
      <c r="C731" s="226"/>
      <c r="D731" s="226"/>
      <c r="E731" s="226"/>
      <c r="F731" s="226"/>
      <c r="G731" s="226"/>
      <c r="H731" s="226"/>
      <c r="I731" s="9" t="str">
        <f t="shared" si="11"/>
        <v>__</v>
      </c>
    </row>
    <row r="732" spans="1:9" x14ac:dyDescent="0.35">
      <c r="A732" s="226"/>
      <c r="B732" s="226"/>
      <c r="C732" s="226"/>
      <c r="D732" s="226"/>
      <c r="E732" s="226"/>
      <c r="F732" s="226"/>
      <c r="G732" s="226"/>
      <c r="H732" s="226"/>
      <c r="I732" s="9" t="str">
        <f t="shared" si="11"/>
        <v>__</v>
      </c>
    </row>
    <row r="733" spans="1:9" x14ac:dyDescent="0.35">
      <c r="A733" s="226"/>
      <c r="B733" s="226"/>
      <c r="C733" s="226"/>
      <c r="D733" s="226"/>
      <c r="E733" s="226"/>
      <c r="F733" s="226"/>
      <c r="G733" s="226"/>
      <c r="H733" s="226"/>
      <c r="I733" s="9" t="str">
        <f t="shared" si="11"/>
        <v>__</v>
      </c>
    </row>
    <row r="734" spans="1:9" x14ac:dyDescent="0.35">
      <c r="A734" s="226"/>
      <c r="B734" s="226"/>
      <c r="C734" s="226"/>
      <c r="D734" s="226"/>
      <c r="E734" s="226"/>
      <c r="F734" s="226"/>
      <c r="G734" s="226"/>
      <c r="H734" s="226"/>
      <c r="I734" s="9" t="str">
        <f t="shared" si="11"/>
        <v>__</v>
      </c>
    </row>
    <row r="735" spans="1:9" x14ac:dyDescent="0.35">
      <c r="A735" s="226"/>
      <c r="B735" s="226"/>
      <c r="C735" s="226"/>
      <c r="D735" s="226"/>
      <c r="E735" s="226"/>
      <c r="F735" s="226"/>
      <c r="G735" s="226"/>
      <c r="H735" s="226"/>
      <c r="I735" s="9" t="str">
        <f t="shared" si="11"/>
        <v>__</v>
      </c>
    </row>
    <row r="736" spans="1:9" x14ac:dyDescent="0.35">
      <c r="A736" s="226"/>
      <c r="B736" s="226"/>
      <c r="C736" s="226"/>
      <c r="D736" s="226"/>
      <c r="E736" s="226"/>
      <c r="F736" s="226"/>
      <c r="G736" s="226"/>
      <c r="H736" s="226"/>
      <c r="I736" s="9" t="str">
        <f t="shared" si="11"/>
        <v>__</v>
      </c>
    </row>
    <row r="737" spans="1:9" x14ac:dyDescent="0.35">
      <c r="A737" s="226"/>
      <c r="B737" s="226"/>
      <c r="C737" s="226"/>
      <c r="D737" s="226"/>
      <c r="E737" s="226"/>
      <c r="F737" s="226"/>
      <c r="G737" s="226"/>
      <c r="H737" s="226"/>
      <c r="I737" s="9" t="str">
        <f t="shared" si="11"/>
        <v>__</v>
      </c>
    </row>
    <row r="738" spans="1:9" x14ac:dyDescent="0.35">
      <c r="A738" s="226"/>
      <c r="B738" s="226"/>
      <c r="C738" s="226"/>
      <c r="D738" s="226"/>
      <c r="E738" s="226"/>
      <c r="F738" s="226"/>
      <c r="G738" s="226"/>
      <c r="H738" s="226"/>
      <c r="I738" s="9" t="str">
        <f t="shared" si="11"/>
        <v>__</v>
      </c>
    </row>
    <row r="739" spans="1:9" x14ac:dyDescent="0.35">
      <c r="A739" s="226"/>
      <c r="B739" s="226"/>
      <c r="C739" s="226"/>
      <c r="D739" s="226"/>
      <c r="E739" s="226"/>
      <c r="F739" s="226"/>
      <c r="G739" s="226"/>
      <c r="H739" s="226"/>
      <c r="I739" s="9" t="str">
        <f t="shared" si="11"/>
        <v>__</v>
      </c>
    </row>
    <row r="740" spans="1:9" x14ac:dyDescent="0.35">
      <c r="A740" s="226"/>
      <c r="B740" s="226"/>
      <c r="C740" s="226"/>
      <c r="D740" s="226"/>
      <c r="E740" s="226"/>
      <c r="F740" s="226"/>
      <c r="G740" s="226"/>
      <c r="H740" s="226"/>
      <c r="I740" s="9" t="str">
        <f t="shared" si="11"/>
        <v>__</v>
      </c>
    </row>
    <row r="741" spans="1:9" x14ac:dyDescent="0.35">
      <c r="A741" s="226"/>
      <c r="B741" s="226"/>
      <c r="C741" s="226"/>
      <c r="D741" s="226"/>
      <c r="E741" s="226"/>
      <c r="F741" s="226"/>
      <c r="G741" s="226"/>
      <c r="H741" s="226"/>
      <c r="I741" s="9" t="str">
        <f t="shared" si="11"/>
        <v>__</v>
      </c>
    </row>
    <row r="742" spans="1:9" x14ac:dyDescent="0.35">
      <c r="A742" s="226"/>
      <c r="B742" s="226"/>
      <c r="C742" s="226"/>
      <c r="D742" s="226"/>
      <c r="E742" s="226"/>
      <c r="F742" s="226"/>
      <c r="G742" s="226"/>
      <c r="H742" s="226"/>
      <c r="I742" s="9" t="str">
        <f t="shared" si="11"/>
        <v>__</v>
      </c>
    </row>
    <row r="743" spans="1:9" x14ac:dyDescent="0.35">
      <c r="A743" s="226"/>
      <c r="B743" s="226"/>
      <c r="C743" s="226"/>
      <c r="D743" s="226"/>
      <c r="E743" s="226"/>
      <c r="F743" s="226"/>
      <c r="G743" s="226"/>
      <c r="H743" s="226"/>
      <c r="I743" s="9" t="str">
        <f t="shared" si="11"/>
        <v>__</v>
      </c>
    </row>
    <row r="744" spans="1:9" x14ac:dyDescent="0.35">
      <c r="A744" s="226"/>
      <c r="B744" s="226"/>
      <c r="C744" s="226"/>
      <c r="D744" s="226"/>
      <c r="E744" s="226"/>
      <c r="F744" s="226"/>
      <c r="G744" s="226"/>
      <c r="H744" s="226"/>
      <c r="I744" s="9" t="str">
        <f t="shared" si="11"/>
        <v>__</v>
      </c>
    </row>
    <row r="745" spans="1:9" x14ac:dyDescent="0.35">
      <c r="A745" s="226"/>
      <c r="B745" s="226"/>
      <c r="C745" s="226"/>
      <c r="D745" s="226"/>
      <c r="E745" s="226"/>
      <c r="F745" s="226"/>
      <c r="G745" s="226"/>
      <c r="H745" s="226"/>
      <c r="I745" s="9" t="str">
        <f t="shared" si="11"/>
        <v>__</v>
      </c>
    </row>
    <row r="746" spans="1:9" x14ac:dyDescent="0.35">
      <c r="A746" s="226"/>
      <c r="B746" s="226"/>
      <c r="C746" s="226"/>
      <c r="D746" s="226"/>
      <c r="E746" s="226"/>
      <c r="F746" s="226"/>
      <c r="G746" s="226"/>
      <c r="H746" s="226"/>
      <c r="I746" s="9" t="str">
        <f t="shared" si="11"/>
        <v>__</v>
      </c>
    </row>
    <row r="747" spans="1:9" x14ac:dyDescent="0.35">
      <c r="A747" s="226"/>
      <c r="B747" s="226"/>
      <c r="C747" s="226"/>
      <c r="D747" s="226"/>
      <c r="E747" s="226"/>
      <c r="F747" s="226"/>
      <c r="G747" s="226"/>
      <c r="H747" s="226"/>
      <c r="I747" s="9" t="str">
        <f t="shared" si="11"/>
        <v>__</v>
      </c>
    </row>
    <row r="748" spans="1:9" x14ac:dyDescent="0.35">
      <c r="A748" s="226"/>
      <c r="B748" s="226"/>
      <c r="C748" s="226"/>
      <c r="D748" s="226"/>
      <c r="E748" s="226"/>
      <c r="F748" s="226"/>
      <c r="G748" s="226"/>
      <c r="H748" s="226"/>
      <c r="I748" s="9" t="str">
        <f t="shared" si="11"/>
        <v>__</v>
      </c>
    </row>
    <row r="749" spans="1:9" x14ac:dyDescent="0.35">
      <c r="A749" s="226"/>
      <c r="B749" s="226"/>
      <c r="C749" s="226"/>
      <c r="D749" s="226"/>
      <c r="E749" s="226"/>
      <c r="F749" s="226"/>
      <c r="G749" s="226"/>
      <c r="H749" s="226"/>
      <c r="I749" s="9" t="str">
        <f t="shared" si="11"/>
        <v>__</v>
      </c>
    </row>
    <row r="750" spans="1:9" x14ac:dyDescent="0.35">
      <c r="A750" s="226"/>
      <c r="B750" s="226"/>
      <c r="C750" s="226"/>
      <c r="D750" s="226"/>
      <c r="E750" s="226"/>
      <c r="F750" s="226"/>
      <c r="G750" s="226"/>
      <c r="H750" s="226"/>
      <c r="I750" s="9" t="str">
        <f t="shared" si="11"/>
        <v>__</v>
      </c>
    </row>
    <row r="751" spans="1:9" x14ac:dyDescent="0.35">
      <c r="A751" s="226"/>
      <c r="B751" s="226"/>
      <c r="C751" s="226"/>
      <c r="D751" s="226"/>
      <c r="E751" s="226"/>
      <c r="F751" s="226"/>
      <c r="G751" s="226"/>
      <c r="H751" s="226"/>
      <c r="I751" s="9" t="str">
        <f t="shared" si="11"/>
        <v>__</v>
      </c>
    </row>
    <row r="752" spans="1:9" x14ac:dyDescent="0.35">
      <c r="A752" s="226"/>
      <c r="B752" s="226"/>
      <c r="C752" s="226"/>
      <c r="D752" s="226"/>
      <c r="E752" s="226"/>
      <c r="F752" s="226"/>
      <c r="G752" s="226"/>
      <c r="H752" s="226"/>
      <c r="I752" s="9" t="str">
        <f t="shared" si="11"/>
        <v>__</v>
      </c>
    </row>
    <row r="753" spans="1:9" x14ac:dyDescent="0.35">
      <c r="A753" s="226"/>
      <c r="B753" s="226"/>
      <c r="C753" s="226"/>
      <c r="D753" s="226"/>
      <c r="E753" s="226"/>
      <c r="F753" s="226"/>
      <c r="G753" s="226"/>
      <c r="H753" s="226"/>
      <c r="I753" s="9" t="str">
        <f t="shared" si="11"/>
        <v>__</v>
      </c>
    </row>
    <row r="754" spans="1:9" x14ac:dyDescent="0.35">
      <c r="A754" s="226"/>
      <c r="B754" s="226"/>
      <c r="C754" s="226"/>
      <c r="D754" s="226"/>
      <c r="E754" s="226"/>
      <c r="F754" s="226"/>
      <c r="G754" s="226"/>
      <c r="H754" s="226"/>
      <c r="I754" s="9" t="str">
        <f t="shared" si="11"/>
        <v>__</v>
      </c>
    </row>
    <row r="755" spans="1:9" x14ac:dyDescent="0.35">
      <c r="A755" s="226"/>
      <c r="B755" s="226"/>
      <c r="C755" s="226"/>
      <c r="D755" s="226"/>
      <c r="E755" s="226"/>
      <c r="F755" s="226"/>
      <c r="G755" s="226"/>
      <c r="H755" s="226"/>
      <c r="I755" s="9" t="str">
        <f t="shared" si="11"/>
        <v>__</v>
      </c>
    </row>
    <row r="756" spans="1:9" x14ac:dyDescent="0.35">
      <c r="A756" s="226"/>
      <c r="B756" s="226"/>
      <c r="C756" s="226"/>
      <c r="D756" s="226"/>
      <c r="E756" s="226"/>
      <c r="F756" s="226"/>
      <c r="G756" s="226"/>
      <c r="H756" s="226"/>
      <c r="I756" s="9" t="str">
        <f t="shared" si="11"/>
        <v>__</v>
      </c>
    </row>
    <row r="757" spans="1:9" x14ac:dyDescent="0.35">
      <c r="A757" s="226"/>
      <c r="B757" s="226"/>
      <c r="C757" s="226"/>
      <c r="D757" s="226"/>
      <c r="E757" s="226"/>
      <c r="F757" s="226"/>
      <c r="G757" s="226"/>
      <c r="H757" s="226"/>
      <c r="I757" s="9" t="str">
        <f t="shared" si="11"/>
        <v>__</v>
      </c>
    </row>
    <row r="758" spans="1:9" x14ac:dyDescent="0.35">
      <c r="A758" s="226"/>
      <c r="B758" s="226"/>
      <c r="C758" s="226"/>
      <c r="D758" s="226"/>
      <c r="E758" s="226"/>
      <c r="F758" s="226"/>
      <c r="G758" s="226"/>
      <c r="H758" s="226"/>
      <c r="I758" s="9" t="str">
        <f t="shared" si="11"/>
        <v>__</v>
      </c>
    </row>
    <row r="759" spans="1:9" x14ac:dyDescent="0.35">
      <c r="A759" s="226"/>
      <c r="B759" s="226"/>
      <c r="C759" s="226"/>
      <c r="D759" s="226"/>
      <c r="E759" s="226"/>
      <c r="F759" s="226"/>
      <c r="G759" s="226"/>
      <c r="H759" s="226"/>
      <c r="I759" s="9" t="str">
        <f t="shared" si="11"/>
        <v>__</v>
      </c>
    </row>
    <row r="760" spans="1:9" x14ac:dyDescent="0.35">
      <c r="A760" s="226"/>
      <c r="B760" s="226"/>
      <c r="C760" s="226"/>
      <c r="D760" s="226"/>
      <c r="E760" s="226"/>
      <c r="F760" s="226"/>
      <c r="G760" s="226"/>
      <c r="H760" s="226"/>
      <c r="I760" s="9" t="str">
        <f t="shared" si="11"/>
        <v>__</v>
      </c>
    </row>
    <row r="761" spans="1:9" x14ac:dyDescent="0.35">
      <c r="A761" s="226"/>
      <c r="B761" s="226"/>
      <c r="C761" s="226"/>
      <c r="D761" s="226"/>
      <c r="E761" s="226"/>
      <c r="F761" s="226"/>
      <c r="G761" s="226"/>
      <c r="H761" s="226"/>
      <c r="I761" s="9" t="str">
        <f t="shared" si="11"/>
        <v>__</v>
      </c>
    </row>
    <row r="762" spans="1:9" x14ac:dyDescent="0.35">
      <c r="A762" s="226"/>
      <c r="B762" s="226"/>
      <c r="C762" s="226"/>
      <c r="D762" s="226"/>
      <c r="E762" s="226"/>
      <c r="F762" s="226"/>
      <c r="G762" s="226"/>
      <c r="H762" s="226"/>
      <c r="I762" s="9" t="str">
        <f t="shared" si="11"/>
        <v>__</v>
      </c>
    </row>
    <row r="763" spans="1:9" x14ac:dyDescent="0.35">
      <c r="A763" s="226"/>
      <c r="B763" s="226"/>
      <c r="C763" s="226"/>
      <c r="D763" s="226"/>
      <c r="E763" s="226"/>
      <c r="F763" s="226"/>
      <c r="G763" s="226"/>
      <c r="H763" s="226"/>
      <c r="I763" s="9" t="str">
        <f t="shared" si="11"/>
        <v>__</v>
      </c>
    </row>
    <row r="764" spans="1:9" x14ac:dyDescent="0.35">
      <c r="A764" s="226"/>
      <c r="B764" s="226"/>
      <c r="C764" s="226"/>
      <c r="D764" s="226"/>
      <c r="E764" s="226"/>
      <c r="F764" s="226"/>
      <c r="G764" s="226"/>
      <c r="H764" s="226"/>
      <c r="I764" s="9" t="str">
        <f t="shared" si="11"/>
        <v>__</v>
      </c>
    </row>
    <row r="765" spans="1:9" x14ac:dyDescent="0.35">
      <c r="A765" s="226"/>
      <c r="B765" s="226"/>
      <c r="C765" s="226"/>
      <c r="D765" s="226"/>
      <c r="E765" s="226"/>
      <c r="F765" s="226"/>
      <c r="G765" s="226"/>
      <c r="H765" s="226"/>
      <c r="I765" s="9" t="str">
        <f t="shared" si="11"/>
        <v>__</v>
      </c>
    </row>
    <row r="766" spans="1:9" x14ac:dyDescent="0.35">
      <c r="A766" s="226"/>
      <c r="B766" s="226"/>
      <c r="C766" s="226"/>
      <c r="D766" s="226"/>
      <c r="E766" s="226"/>
      <c r="F766" s="226"/>
      <c r="G766" s="226"/>
      <c r="H766" s="226"/>
      <c r="I766" s="9" t="str">
        <f t="shared" si="11"/>
        <v>__</v>
      </c>
    </row>
    <row r="767" spans="1:9" x14ac:dyDescent="0.35">
      <c r="A767" s="226"/>
      <c r="B767" s="226"/>
      <c r="C767" s="226"/>
      <c r="D767" s="226"/>
      <c r="E767" s="226"/>
      <c r="F767" s="226"/>
      <c r="G767" s="226"/>
      <c r="H767" s="226"/>
      <c r="I767" s="9" t="str">
        <f t="shared" si="11"/>
        <v>__</v>
      </c>
    </row>
    <row r="768" spans="1:9" x14ac:dyDescent="0.35">
      <c r="A768" s="226"/>
      <c r="B768" s="226"/>
      <c r="C768" s="226"/>
      <c r="D768" s="226"/>
      <c r="E768" s="226"/>
      <c r="F768" s="226"/>
      <c r="G768" s="226"/>
      <c r="H768" s="226"/>
      <c r="I768" s="9" t="str">
        <f t="shared" si="11"/>
        <v>__</v>
      </c>
    </row>
    <row r="769" spans="1:9" x14ac:dyDescent="0.35">
      <c r="A769" s="226"/>
      <c r="B769" s="226"/>
      <c r="C769" s="226"/>
      <c r="D769" s="226"/>
      <c r="E769" s="226"/>
      <c r="F769" s="226"/>
      <c r="G769" s="226"/>
      <c r="H769" s="226"/>
      <c r="I769" s="9" t="str">
        <f t="shared" si="11"/>
        <v>__</v>
      </c>
    </row>
    <row r="770" spans="1:9" x14ac:dyDescent="0.35">
      <c r="A770" s="226"/>
      <c r="B770" s="226"/>
      <c r="C770" s="226"/>
      <c r="D770" s="226"/>
      <c r="E770" s="226"/>
      <c r="F770" s="226"/>
      <c r="G770" s="226"/>
      <c r="H770" s="226"/>
      <c r="I770" s="9" t="str">
        <f t="shared" si="11"/>
        <v>__</v>
      </c>
    </row>
    <row r="771" spans="1:9" x14ac:dyDescent="0.35">
      <c r="A771" s="226"/>
      <c r="B771" s="226"/>
      <c r="C771" s="226"/>
      <c r="D771" s="226"/>
      <c r="E771" s="226"/>
      <c r="F771" s="226"/>
      <c r="G771" s="226"/>
      <c r="H771" s="226"/>
      <c r="I771" s="9" t="str">
        <f t="shared" si="11"/>
        <v>__</v>
      </c>
    </row>
    <row r="772" spans="1:9" x14ac:dyDescent="0.35">
      <c r="A772" s="226"/>
      <c r="B772" s="226"/>
      <c r="C772" s="226"/>
      <c r="D772" s="226"/>
      <c r="E772" s="226"/>
      <c r="F772" s="226"/>
      <c r="G772" s="226"/>
      <c r="H772" s="226"/>
      <c r="I772" s="9" t="str">
        <f t="shared" si="11"/>
        <v>__</v>
      </c>
    </row>
    <row r="773" spans="1:9" x14ac:dyDescent="0.35">
      <c r="A773" s="226"/>
      <c r="B773" s="226"/>
      <c r="C773" s="226"/>
      <c r="D773" s="226"/>
      <c r="E773" s="226"/>
      <c r="F773" s="226"/>
      <c r="G773" s="226"/>
      <c r="H773" s="226"/>
      <c r="I773" s="9" t="str">
        <f t="shared" ref="I773:I836" si="12">CONCATENATE(A773,"_",B773,"_",C773)</f>
        <v>__</v>
      </c>
    </row>
    <row r="774" spans="1:9" x14ac:dyDescent="0.35">
      <c r="A774" s="226"/>
      <c r="B774" s="226"/>
      <c r="C774" s="226"/>
      <c r="D774" s="226"/>
      <c r="E774" s="226"/>
      <c r="F774" s="226"/>
      <c r="G774" s="226"/>
      <c r="H774" s="226"/>
      <c r="I774" s="9" t="str">
        <f t="shared" si="12"/>
        <v>__</v>
      </c>
    </row>
    <row r="775" spans="1:9" x14ac:dyDescent="0.35">
      <c r="A775" s="226"/>
      <c r="B775" s="226"/>
      <c r="C775" s="226"/>
      <c r="D775" s="226"/>
      <c r="E775" s="226"/>
      <c r="F775" s="226"/>
      <c r="G775" s="226"/>
      <c r="H775" s="226"/>
      <c r="I775" s="9" t="str">
        <f t="shared" si="12"/>
        <v>__</v>
      </c>
    </row>
    <row r="776" spans="1:9" x14ac:dyDescent="0.35">
      <c r="A776" s="226"/>
      <c r="B776" s="226"/>
      <c r="C776" s="226"/>
      <c r="D776" s="226"/>
      <c r="E776" s="226"/>
      <c r="F776" s="226"/>
      <c r="G776" s="226"/>
      <c r="H776" s="226"/>
      <c r="I776" s="9" t="str">
        <f t="shared" si="12"/>
        <v>__</v>
      </c>
    </row>
    <row r="777" spans="1:9" x14ac:dyDescent="0.35">
      <c r="A777" s="226"/>
      <c r="B777" s="226"/>
      <c r="C777" s="226"/>
      <c r="D777" s="226"/>
      <c r="E777" s="226"/>
      <c r="F777" s="226"/>
      <c r="G777" s="226"/>
      <c r="H777" s="226"/>
      <c r="I777" s="9" t="str">
        <f t="shared" si="12"/>
        <v>__</v>
      </c>
    </row>
    <row r="778" spans="1:9" x14ac:dyDescent="0.35">
      <c r="A778" s="226"/>
      <c r="B778" s="226"/>
      <c r="C778" s="226"/>
      <c r="D778" s="226"/>
      <c r="E778" s="226"/>
      <c r="F778" s="226"/>
      <c r="G778" s="226"/>
      <c r="H778" s="226"/>
      <c r="I778" s="9" t="str">
        <f t="shared" si="12"/>
        <v>__</v>
      </c>
    </row>
    <row r="779" spans="1:9" x14ac:dyDescent="0.35">
      <c r="A779" s="226"/>
      <c r="B779" s="226"/>
      <c r="C779" s="226"/>
      <c r="D779" s="226"/>
      <c r="E779" s="226"/>
      <c r="F779" s="226"/>
      <c r="G779" s="226"/>
      <c r="H779" s="226"/>
      <c r="I779" s="9" t="str">
        <f t="shared" si="12"/>
        <v>__</v>
      </c>
    </row>
    <row r="780" spans="1:9" x14ac:dyDescent="0.35">
      <c r="A780" s="226"/>
      <c r="B780" s="226"/>
      <c r="C780" s="226"/>
      <c r="D780" s="226"/>
      <c r="E780" s="226"/>
      <c r="F780" s="226"/>
      <c r="G780" s="226"/>
      <c r="H780" s="226"/>
      <c r="I780" s="9" t="str">
        <f t="shared" si="12"/>
        <v>__</v>
      </c>
    </row>
    <row r="781" spans="1:9" x14ac:dyDescent="0.35">
      <c r="A781" s="226"/>
      <c r="B781" s="226"/>
      <c r="C781" s="226"/>
      <c r="D781" s="226"/>
      <c r="E781" s="226"/>
      <c r="F781" s="226"/>
      <c r="G781" s="226"/>
      <c r="H781" s="226"/>
      <c r="I781" s="9" t="str">
        <f t="shared" si="12"/>
        <v>__</v>
      </c>
    </row>
    <row r="782" spans="1:9" x14ac:dyDescent="0.35">
      <c r="A782" s="226"/>
      <c r="B782" s="226"/>
      <c r="C782" s="226"/>
      <c r="D782" s="226"/>
      <c r="E782" s="226"/>
      <c r="F782" s="226"/>
      <c r="G782" s="226"/>
      <c r="H782" s="226"/>
      <c r="I782" s="9" t="str">
        <f t="shared" si="12"/>
        <v>__</v>
      </c>
    </row>
    <row r="783" spans="1:9" x14ac:dyDescent="0.35">
      <c r="A783" s="226"/>
      <c r="B783" s="226"/>
      <c r="C783" s="226"/>
      <c r="D783" s="226"/>
      <c r="E783" s="226"/>
      <c r="F783" s="226"/>
      <c r="G783" s="226"/>
      <c r="H783" s="226"/>
      <c r="I783" s="9" t="str">
        <f t="shared" si="12"/>
        <v>__</v>
      </c>
    </row>
    <row r="784" spans="1:9" x14ac:dyDescent="0.35">
      <c r="A784" s="226"/>
      <c r="B784" s="226"/>
      <c r="C784" s="226"/>
      <c r="D784" s="226"/>
      <c r="E784" s="226"/>
      <c r="F784" s="226"/>
      <c r="G784" s="226"/>
      <c r="H784" s="226"/>
      <c r="I784" s="9" t="str">
        <f t="shared" si="12"/>
        <v>__</v>
      </c>
    </row>
    <row r="785" spans="1:9" x14ac:dyDescent="0.35">
      <c r="A785" s="226"/>
      <c r="B785" s="226"/>
      <c r="C785" s="226"/>
      <c r="D785" s="226"/>
      <c r="E785" s="226"/>
      <c r="F785" s="226"/>
      <c r="G785" s="226"/>
      <c r="H785" s="226"/>
      <c r="I785" s="9" t="str">
        <f t="shared" si="12"/>
        <v>__</v>
      </c>
    </row>
    <row r="786" spans="1:9" x14ac:dyDescent="0.35">
      <c r="A786" s="226"/>
      <c r="B786" s="226"/>
      <c r="C786" s="226"/>
      <c r="D786" s="226"/>
      <c r="E786" s="226"/>
      <c r="F786" s="226"/>
      <c r="G786" s="226"/>
      <c r="H786" s="226"/>
      <c r="I786" s="9" t="str">
        <f t="shared" si="12"/>
        <v>__</v>
      </c>
    </row>
    <row r="787" spans="1:9" x14ac:dyDescent="0.35">
      <c r="A787" s="226"/>
      <c r="B787" s="226"/>
      <c r="C787" s="226"/>
      <c r="D787" s="226"/>
      <c r="E787" s="226"/>
      <c r="F787" s="226"/>
      <c r="G787" s="226"/>
      <c r="H787" s="226"/>
      <c r="I787" s="9" t="str">
        <f t="shared" si="12"/>
        <v>__</v>
      </c>
    </row>
    <row r="788" spans="1:9" x14ac:dyDescent="0.35">
      <c r="A788" s="226"/>
      <c r="B788" s="226"/>
      <c r="C788" s="226"/>
      <c r="D788" s="226"/>
      <c r="E788" s="226"/>
      <c r="F788" s="226"/>
      <c r="G788" s="226"/>
      <c r="H788" s="226"/>
      <c r="I788" s="9" t="str">
        <f t="shared" si="12"/>
        <v>__</v>
      </c>
    </row>
    <row r="789" spans="1:9" x14ac:dyDescent="0.35">
      <c r="A789" s="226"/>
      <c r="B789" s="226"/>
      <c r="C789" s="226"/>
      <c r="D789" s="226"/>
      <c r="E789" s="226"/>
      <c r="F789" s="226"/>
      <c r="G789" s="226"/>
      <c r="H789" s="226"/>
      <c r="I789" s="9" t="str">
        <f t="shared" si="12"/>
        <v>__</v>
      </c>
    </row>
    <row r="790" spans="1:9" x14ac:dyDescent="0.35">
      <c r="A790" s="226"/>
      <c r="B790" s="226"/>
      <c r="C790" s="226"/>
      <c r="D790" s="226"/>
      <c r="E790" s="226"/>
      <c r="F790" s="226"/>
      <c r="G790" s="226"/>
      <c r="H790" s="226"/>
      <c r="I790" s="9" t="str">
        <f t="shared" si="12"/>
        <v>__</v>
      </c>
    </row>
    <row r="791" spans="1:9" x14ac:dyDescent="0.35">
      <c r="A791" s="226"/>
      <c r="B791" s="226"/>
      <c r="C791" s="226"/>
      <c r="D791" s="226"/>
      <c r="E791" s="226"/>
      <c r="F791" s="226"/>
      <c r="G791" s="226"/>
      <c r="H791" s="226"/>
      <c r="I791" s="9" t="str">
        <f t="shared" si="12"/>
        <v>__</v>
      </c>
    </row>
    <row r="792" spans="1:9" x14ac:dyDescent="0.35">
      <c r="A792" s="226"/>
      <c r="B792" s="226"/>
      <c r="C792" s="226"/>
      <c r="D792" s="226"/>
      <c r="E792" s="226"/>
      <c r="F792" s="226"/>
      <c r="G792" s="226"/>
      <c r="H792" s="226"/>
      <c r="I792" s="9" t="str">
        <f t="shared" si="12"/>
        <v>__</v>
      </c>
    </row>
    <row r="793" spans="1:9" x14ac:dyDescent="0.35">
      <c r="A793" s="226"/>
      <c r="B793" s="226"/>
      <c r="C793" s="226"/>
      <c r="D793" s="226"/>
      <c r="E793" s="226"/>
      <c r="F793" s="226"/>
      <c r="G793" s="226"/>
      <c r="H793" s="226"/>
      <c r="I793" s="9" t="str">
        <f t="shared" si="12"/>
        <v>__</v>
      </c>
    </row>
    <row r="794" spans="1:9" x14ac:dyDescent="0.35">
      <c r="A794" s="226"/>
      <c r="B794" s="226"/>
      <c r="C794" s="226"/>
      <c r="D794" s="226"/>
      <c r="E794" s="226"/>
      <c r="F794" s="226"/>
      <c r="G794" s="226"/>
      <c r="H794" s="226"/>
      <c r="I794" s="9" t="str">
        <f t="shared" si="12"/>
        <v>__</v>
      </c>
    </row>
    <row r="795" spans="1:9" x14ac:dyDescent="0.35">
      <c r="A795" s="226"/>
      <c r="B795" s="226"/>
      <c r="C795" s="226"/>
      <c r="D795" s="226"/>
      <c r="E795" s="226"/>
      <c r="F795" s="226"/>
      <c r="G795" s="226"/>
      <c r="H795" s="226"/>
      <c r="I795" s="9" t="str">
        <f t="shared" si="12"/>
        <v>__</v>
      </c>
    </row>
    <row r="796" spans="1:9" x14ac:dyDescent="0.35">
      <c r="A796" s="226"/>
      <c r="B796" s="226"/>
      <c r="C796" s="226"/>
      <c r="D796" s="226"/>
      <c r="E796" s="226"/>
      <c r="F796" s="226"/>
      <c r="G796" s="226"/>
      <c r="H796" s="226"/>
      <c r="I796" s="9" t="str">
        <f t="shared" si="12"/>
        <v>__</v>
      </c>
    </row>
    <row r="797" spans="1:9" x14ac:dyDescent="0.35">
      <c r="A797" s="226"/>
      <c r="B797" s="226"/>
      <c r="C797" s="226"/>
      <c r="D797" s="226"/>
      <c r="E797" s="226"/>
      <c r="F797" s="226"/>
      <c r="G797" s="226"/>
      <c r="H797" s="226"/>
      <c r="I797" s="9" t="str">
        <f t="shared" si="12"/>
        <v>__</v>
      </c>
    </row>
    <row r="798" spans="1:9" x14ac:dyDescent="0.35">
      <c r="A798" s="226"/>
      <c r="B798" s="226"/>
      <c r="C798" s="226"/>
      <c r="D798" s="226"/>
      <c r="E798" s="226"/>
      <c r="F798" s="226"/>
      <c r="G798" s="226"/>
      <c r="H798" s="226"/>
      <c r="I798" s="9" t="str">
        <f t="shared" si="12"/>
        <v>__</v>
      </c>
    </row>
    <row r="799" spans="1:9" x14ac:dyDescent="0.35">
      <c r="A799" s="226"/>
      <c r="B799" s="226"/>
      <c r="C799" s="226"/>
      <c r="D799" s="226"/>
      <c r="E799" s="226"/>
      <c r="F799" s="226"/>
      <c r="G799" s="226"/>
      <c r="H799" s="226"/>
      <c r="I799" s="9" t="str">
        <f t="shared" si="12"/>
        <v>__</v>
      </c>
    </row>
    <row r="800" spans="1:9" x14ac:dyDescent="0.35">
      <c r="A800" s="226"/>
      <c r="B800" s="226"/>
      <c r="C800" s="226"/>
      <c r="D800" s="226"/>
      <c r="E800" s="226"/>
      <c r="F800" s="226"/>
      <c r="G800" s="226"/>
      <c r="H800" s="226"/>
      <c r="I800" s="9" t="str">
        <f t="shared" si="12"/>
        <v>__</v>
      </c>
    </row>
    <row r="801" spans="1:9" x14ac:dyDescent="0.35">
      <c r="A801" s="226"/>
      <c r="B801" s="226"/>
      <c r="C801" s="226"/>
      <c r="D801" s="226"/>
      <c r="E801" s="226"/>
      <c r="F801" s="226"/>
      <c r="G801" s="226"/>
      <c r="H801" s="226"/>
      <c r="I801" s="9" t="str">
        <f t="shared" si="12"/>
        <v>__</v>
      </c>
    </row>
    <row r="802" spans="1:9" x14ac:dyDescent="0.35">
      <c r="A802" s="226"/>
      <c r="B802" s="226"/>
      <c r="C802" s="226"/>
      <c r="D802" s="226"/>
      <c r="E802" s="226"/>
      <c r="F802" s="226"/>
      <c r="G802" s="226"/>
      <c r="H802" s="226"/>
      <c r="I802" s="9" t="str">
        <f t="shared" si="12"/>
        <v>__</v>
      </c>
    </row>
    <row r="803" spans="1:9" x14ac:dyDescent="0.35">
      <c r="A803" s="226"/>
      <c r="B803" s="226"/>
      <c r="C803" s="226"/>
      <c r="D803" s="226"/>
      <c r="E803" s="226"/>
      <c r="F803" s="226"/>
      <c r="G803" s="226"/>
      <c r="H803" s="226"/>
      <c r="I803" s="9" t="str">
        <f t="shared" si="12"/>
        <v>__</v>
      </c>
    </row>
    <row r="804" spans="1:9" x14ac:dyDescent="0.35">
      <c r="A804" s="226"/>
      <c r="B804" s="226"/>
      <c r="C804" s="226"/>
      <c r="D804" s="226"/>
      <c r="E804" s="226"/>
      <c r="F804" s="226"/>
      <c r="G804" s="226"/>
      <c r="H804" s="226"/>
      <c r="I804" s="9" t="str">
        <f t="shared" si="12"/>
        <v>__</v>
      </c>
    </row>
    <row r="805" spans="1:9" x14ac:dyDescent="0.35">
      <c r="A805" s="226"/>
      <c r="B805" s="226"/>
      <c r="C805" s="226"/>
      <c r="D805" s="226"/>
      <c r="E805" s="226"/>
      <c r="F805" s="226"/>
      <c r="G805" s="226"/>
      <c r="H805" s="226"/>
      <c r="I805" s="9" t="str">
        <f t="shared" si="12"/>
        <v>__</v>
      </c>
    </row>
    <row r="806" spans="1:9" x14ac:dyDescent="0.35">
      <c r="A806" s="226"/>
      <c r="B806" s="226"/>
      <c r="C806" s="226"/>
      <c r="D806" s="226"/>
      <c r="E806" s="226"/>
      <c r="F806" s="226"/>
      <c r="G806" s="226"/>
      <c r="H806" s="226"/>
      <c r="I806" s="9" t="str">
        <f t="shared" si="12"/>
        <v>__</v>
      </c>
    </row>
    <row r="807" spans="1:9" x14ac:dyDescent="0.35">
      <c r="A807" s="226"/>
      <c r="B807" s="226"/>
      <c r="C807" s="226"/>
      <c r="D807" s="226"/>
      <c r="E807" s="226"/>
      <c r="F807" s="226"/>
      <c r="G807" s="226"/>
      <c r="H807" s="226"/>
      <c r="I807" s="9" t="str">
        <f t="shared" si="12"/>
        <v>__</v>
      </c>
    </row>
    <row r="808" spans="1:9" x14ac:dyDescent="0.35">
      <c r="A808" s="226"/>
      <c r="B808" s="226"/>
      <c r="C808" s="226"/>
      <c r="D808" s="226"/>
      <c r="E808" s="226"/>
      <c r="F808" s="226"/>
      <c r="G808" s="226"/>
      <c r="H808" s="226"/>
      <c r="I808" s="9" t="str">
        <f t="shared" si="12"/>
        <v>__</v>
      </c>
    </row>
    <row r="809" spans="1:9" x14ac:dyDescent="0.35">
      <c r="A809" s="226"/>
      <c r="B809" s="226"/>
      <c r="C809" s="226"/>
      <c r="D809" s="226"/>
      <c r="E809" s="226"/>
      <c r="F809" s="226"/>
      <c r="G809" s="226"/>
      <c r="H809" s="226"/>
      <c r="I809" s="9" t="str">
        <f t="shared" si="12"/>
        <v>__</v>
      </c>
    </row>
    <row r="810" spans="1:9" x14ac:dyDescent="0.35">
      <c r="A810" s="226"/>
      <c r="B810" s="226"/>
      <c r="C810" s="226"/>
      <c r="D810" s="226"/>
      <c r="E810" s="226"/>
      <c r="F810" s="226"/>
      <c r="G810" s="226"/>
      <c r="H810" s="226"/>
      <c r="I810" s="9" t="str">
        <f t="shared" si="12"/>
        <v>__</v>
      </c>
    </row>
    <row r="811" spans="1:9" x14ac:dyDescent="0.35">
      <c r="A811" s="226"/>
      <c r="B811" s="226"/>
      <c r="C811" s="226"/>
      <c r="D811" s="226"/>
      <c r="E811" s="226"/>
      <c r="F811" s="226"/>
      <c r="G811" s="226"/>
      <c r="H811" s="226"/>
      <c r="I811" s="9" t="str">
        <f t="shared" si="12"/>
        <v>__</v>
      </c>
    </row>
    <row r="812" spans="1:9" x14ac:dyDescent="0.35">
      <c r="A812" s="226"/>
      <c r="B812" s="226"/>
      <c r="C812" s="226"/>
      <c r="D812" s="226"/>
      <c r="E812" s="226"/>
      <c r="F812" s="226"/>
      <c r="G812" s="226"/>
      <c r="H812" s="226"/>
      <c r="I812" s="9" t="str">
        <f t="shared" si="12"/>
        <v>__</v>
      </c>
    </row>
    <row r="813" spans="1:9" x14ac:dyDescent="0.35">
      <c r="A813" s="226"/>
      <c r="B813" s="226"/>
      <c r="C813" s="226"/>
      <c r="D813" s="226"/>
      <c r="E813" s="226"/>
      <c r="F813" s="226"/>
      <c r="G813" s="226"/>
      <c r="H813" s="226"/>
      <c r="I813" s="9" t="str">
        <f t="shared" si="12"/>
        <v>__</v>
      </c>
    </row>
    <row r="814" spans="1:9" x14ac:dyDescent="0.35">
      <c r="A814" s="226"/>
      <c r="B814" s="226"/>
      <c r="C814" s="226"/>
      <c r="D814" s="226"/>
      <c r="E814" s="226"/>
      <c r="F814" s="226"/>
      <c r="G814" s="226"/>
      <c r="H814" s="226"/>
      <c r="I814" s="9" t="str">
        <f t="shared" si="12"/>
        <v>__</v>
      </c>
    </row>
    <row r="815" spans="1:9" x14ac:dyDescent="0.35">
      <c r="A815" s="226"/>
      <c r="B815" s="226"/>
      <c r="C815" s="226"/>
      <c r="D815" s="226"/>
      <c r="E815" s="226"/>
      <c r="F815" s="226"/>
      <c r="G815" s="226"/>
      <c r="H815" s="226"/>
      <c r="I815" s="9" t="str">
        <f t="shared" si="12"/>
        <v>__</v>
      </c>
    </row>
    <row r="816" spans="1:9" x14ac:dyDescent="0.35">
      <c r="A816" s="226"/>
      <c r="B816" s="226"/>
      <c r="C816" s="226"/>
      <c r="D816" s="226"/>
      <c r="E816" s="226"/>
      <c r="F816" s="226"/>
      <c r="G816" s="226"/>
      <c r="H816" s="226"/>
      <c r="I816" s="9" t="str">
        <f t="shared" si="12"/>
        <v>__</v>
      </c>
    </row>
    <row r="817" spans="1:9" x14ac:dyDescent="0.35">
      <c r="A817" s="226"/>
      <c r="B817" s="226"/>
      <c r="C817" s="226"/>
      <c r="D817" s="226"/>
      <c r="E817" s="226"/>
      <c r="F817" s="226"/>
      <c r="G817" s="226"/>
      <c r="H817" s="226"/>
      <c r="I817" s="9" t="str">
        <f t="shared" si="12"/>
        <v>__</v>
      </c>
    </row>
    <row r="818" spans="1:9" x14ac:dyDescent="0.35">
      <c r="A818" s="226"/>
      <c r="B818" s="226"/>
      <c r="C818" s="226"/>
      <c r="D818" s="226"/>
      <c r="E818" s="226"/>
      <c r="F818" s="226"/>
      <c r="G818" s="226"/>
      <c r="H818" s="226"/>
      <c r="I818" s="9" t="str">
        <f t="shared" si="12"/>
        <v>__</v>
      </c>
    </row>
    <row r="819" spans="1:9" x14ac:dyDescent="0.35">
      <c r="A819" s="226"/>
      <c r="B819" s="226"/>
      <c r="C819" s="226"/>
      <c r="D819" s="226"/>
      <c r="E819" s="226"/>
      <c r="F819" s="226"/>
      <c r="G819" s="226"/>
      <c r="H819" s="226"/>
      <c r="I819" s="9" t="str">
        <f t="shared" si="12"/>
        <v>__</v>
      </c>
    </row>
    <row r="820" spans="1:9" x14ac:dyDescent="0.35">
      <c r="A820" s="226"/>
      <c r="B820" s="226"/>
      <c r="C820" s="226"/>
      <c r="D820" s="226"/>
      <c r="E820" s="226"/>
      <c r="F820" s="226"/>
      <c r="G820" s="226"/>
      <c r="H820" s="226"/>
      <c r="I820" s="9" t="str">
        <f t="shared" si="12"/>
        <v>__</v>
      </c>
    </row>
    <row r="821" spans="1:9" x14ac:dyDescent="0.35">
      <c r="A821" s="226"/>
      <c r="B821" s="226"/>
      <c r="C821" s="226"/>
      <c r="D821" s="226"/>
      <c r="E821" s="226"/>
      <c r="F821" s="226"/>
      <c r="G821" s="226"/>
      <c r="H821" s="226"/>
      <c r="I821" s="9" t="str">
        <f t="shared" si="12"/>
        <v>__</v>
      </c>
    </row>
    <row r="822" spans="1:9" x14ac:dyDescent="0.35">
      <c r="A822" s="226"/>
      <c r="B822" s="226"/>
      <c r="C822" s="226"/>
      <c r="D822" s="226"/>
      <c r="E822" s="226"/>
      <c r="F822" s="226"/>
      <c r="G822" s="226"/>
      <c r="H822" s="226"/>
      <c r="I822" s="9" t="str">
        <f t="shared" si="12"/>
        <v>__</v>
      </c>
    </row>
    <row r="823" spans="1:9" x14ac:dyDescent="0.35">
      <c r="A823" s="226"/>
      <c r="B823" s="226"/>
      <c r="C823" s="226"/>
      <c r="D823" s="226"/>
      <c r="E823" s="226"/>
      <c r="F823" s="226"/>
      <c r="G823" s="226"/>
      <c r="H823" s="226"/>
      <c r="I823" s="9" t="str">
        <f t="shared" si="12"/>
        <v>__</v>
      </c>
    </row>
    <row r="824" spans="1:9" x14ac:dyDescent="0.35">
      <c r="A824" s="226"/>
      <c r="B824" s="226"/>
      <c r="C824" s="226"/>
      <c r="D824" s="226"/>
      <c r="E824" s="226"/>
      <c r="F824" s="226"/>
      <c r="G824" s="226"/>
      <c r="H824" s="226"/>
      <c r="I824" s="9" t="str">
        <f t="shared" si="12"/>
        <v>__</v>
      </c>
    </row>
    <row r="825" spans="1:9" x14ac:dyDescent="0.35">
      <c r="A825" s="226"/>
      <c r="B825" s="226"/>
      <c r="C825" s="226"/>
      <c r="D825" s="226"/>
      <c r="E825" s="226"/>
      <c r="F825" s="226"/>
      <c r="G825" s="226"/>
      <c r="H825" s="226"/>
      <c r="I825" s="9" t="str">
        <f t="shared" si="12"/>
        <v>__</v>
      </c>
    </row>
    <row r="826" spans="1:9" x14ac:dyDescent="0.35">
      <c r="A826" s="226"/>
      <c r="B826" s="226"/>
      <c r="C826" s="226"/>
      <c r="D826" s="226"/>
      <c r="E826" s="226"/>
      <c r="F826" s="226"/>
      <c r="G826" s="226"/>
      <c r="H826" s="226"/>
      <c r="I826" s="9" t="str">
        <f t="shared" si="12"/>
        <v>__</v>
      </c>
    </row>
    <row r="827" spans="1:9" x14ac:dyDescent="0.35">
      <c r="A827" s="226"/>
      <c r="B827" s="226"/>
      <c r="C827" s="226"/>
      <c r="D827" s="226"/>
      <c r="E827" s="226"/>
      <c r="F827" s="226"/>
      <c r="G827" s="226"/>
      <c r="H827" s="226"/>
      <c r="I827" s="9" t="str">
        <f t="shared" si="12"/>
        <v>__</v>
      </c>
    </row>
    <row r="828" spans="1:9" x14ac:dyDescent="0.35">
      <c r="A828" s="226"/>
      <c r="B828" s="226"/>
      <c r="C828" s="226"/>
      <c r="D828" s="226"/>
      <c r="E828" s="226"/>
      <c r="F828" s="226"/>
      <c r="G828" s="226"/>
      <c r="H828" s="226"/>
      <c r="I828" s="9" t="str">
        <f t="shared" si="12"/>
        <v>__</v>
      </c>
    </row>
    <row r="829" spans="1:9" x14ac:dyDescent="0.35">
      <c r="A829" s="226"/>
      <c r="B829" s="226"/>
      <c r="C829" s="226"/>
      <c r="D829" s="226"/>
      <c r="E829" s="226"/>
      <c r="F829" s="226"/>
      <c r="G829" s="226"/>
      <c r="H829" s="226"/>
      <c r="I829" s="9" t="str">
        <f t="shared" si="12"/>
        <v>__</v>
      </c>
    </row>
    <row r="830" spans="1:9" x14ac:dyDescent="0.35">
      <c r="A830" s="226"/>
      <c r="B830" s="226"/>
      <c r="C830" s="226"/>
      <c r="D830" s="226"/>
      <c r="E830" s="226"/>
      <c r="F830" s="226"/>
      <c r="G830" s="226"/>
      <c r="H830" s="226"/>
      <c r="I830" s="9" t="str">
        <f t="shared" si="12"/>
        <v>__</v>
      </c>
    </row>
    <row r="831" spans="1:9" x14ac:dyDescent="0.35">
      <c r="A831" s="226"/>
      <c r="B831" s="226"/>
      <c r="C831" s="226"/>
      <c r="D831" s="226"/>
      <c r="E831" s="226"/>
      <c r="F831" s="226"/>
      <c r="G831" s="226"/>
      <c r="H831" s="226"/>
      <c r="I831" s="9" t="str">
        <f t="shared" si="12"/>
        <v>__</v>
      </c>
    </row>
    <row r="832" spans="1:9" x14ac:dyDescent="0.35">
      <c r="A832" s="226"/>
      <c r="B832" s="226"/>
      <c r="C832" s="226"/>
      <c r="D832" s="226"/>
      <c r="E832" s="226"/>
      <c r="F832" s="226"/>
      <c r="G832" s="226"/>
      <c r="H832" s="226"/>
      <c r="I832" s="9" t="str">
        <f t="shared" si="12"/>
        <v>__</v>
      </c>
    </row>
    <row r="833" spans="1:9" x14ac:dyDescent="0.35">
      <c r="A833" s="226"/>
      <c r="B833" s="226"/>
      <c r="C833" s="226"/>
      <c r="D833" s="226"/>
      <c r="E833" s="226"/>
      <c r="F833" s="226"/>
      <c r="G833" s="226"/>
      <c r="H833" s="226"/>
      <c r="I833" s="9" t="str">
        <f t="shared" si="12"/>
        <v>__</v>
      </c>
    </row>
    <row r="834" spans="1:9" x14ac:dyDescent="0.35">
      <c r="A834" s="226"/>
      <c r="B834" s="226"/>
      <c r="C834" s="226"/>
      <c r="D834" s="226"/>
      <c r="E834" s="226"/>
      <c r="F834" s="226"/>
      <c r="G834" s="226"/>
      <c r="H834" s="226"/>
      <c r="I834" s="9" t="str">
        <f t="shared" si="12"/>
        <v>__</v>
      </c>
    </row>
    <row r="835" spans="1:9" x14ac:dyDescent="0.35">
      <c r="A835" s="226"/>
      <c r="B835" s="226"/>
      <c r="C835" s="226"/>
      <c r="D835" s="226"/>
      <c r="E835" s="226"/>
      <c r="F835" s="226"/>
      <c r="G835" s="226"/>
      <c r="H835" s="226"/>
      <c r="I835" s="9" t="str">
        <f t="shared" si="12"/>
        <v>__</v>
      </c>
    </row>
    <row r="836" spans="1:9" x14ac:dyDescent="0.35">
      <c r="A836" s="226"/>
      <c r="B836" s="226"/>
      <c r="C836" s="226"/>
      <c r="D836" s="226"/>
      <c r="E836" s="226"/>
      <c r="F836" s="226"/>
      <c r="G836" s="226"/>
      <c r="H836" s="226"/>
      <c r="I836" s="9" t="str">
        <f t="shared" si="12"/>
        <v>__</v>
      </c>
    </row>
    <row r="837" spans="1:9" x14ac:dyDescent="0.35">
      <c r="A837" s="226"/>
      <c r="B837" s="226"/>
      <c r="C837" s="226"/>
      <c r="D837" s="226"/>
      <c r="E837" s="226"/>
      <c r="F837" s="226"/>
      <c r="G837" s="226"/>
      <c r="H837" s="226"/>
      <c r="I837" s="9" t="str">
        <f t="shared" ref="I837:I900" si="13">CONCATENATE(A837,"_",B837,"_",C837)</f>
        <v>__</v>
      </c>
    </row>
    <row r="838" spans="1:9" x14ac:dyDescent="0.35">
      <c r="A838" s="226"/>
      <c r="B838" s="226"/>
      <c r="C838" s="226"/>
      <c r="D838" s="226"/>
      <c r="E838" s="226"/>
      <c r="F838" s="226"/>
      <c r="G838" s="226"/>
      <c r="H838" s="226"/>
      <c r="I838" s="9" t="str">
        <f t="shared" si="13"/>
        <v>__</v>
      </c>
    </row>
    <row r="839" spans="1:9" x14ac:dyDescent="0.35">
      <c r="A839" s="226"/>
      <c r="B839" s="226"/>
      <c r="C839" s="226"/>
      <c r="D839" s="226"/>
      <c r="E839" s="226"/>
      <c r="F839" s="226"/>
      <c r="G839" s="226"/>
      <c r="H839" s="226"/>
      <c r="I839" s="9" t="str">
        <f t="shared" si="13"/>
        <v>__</v>
      </c>
    </row>
    <row r="840" spans="1:9" x14ac:dyDescent="0.35">
      <c r="A840" s="226"/>
      <c r="B840" s="226"/>
      <c r="C840" s="226"/>
      <c r="D840" s="226"/>
      <c r="E840" s="226"/>
      <c r="F840" s="226"/>
      <c r="G840" s="226"/>
      <c r="H840" s="226"/>
      <c r="I840" s="9" t="str">
        <f t="shared" si="13"/>
        <v>__</v>
      </c>
    </row>
    <row r="841" spans="1:9" x14ac:dyDescent="0.35">
      <c r="A841" s="226"/>
      <c r="B841" s="226"/>
      <c r="C841" s="226"/>
      <c r="D841" s="226"/>
      <c r="E841" s="226"/>
      <c r="F841" s="226"/>
      <c r="G841" s="226"/>
      <c r="H841" s="226"/>
      <c r="I841" s="9" t="str">
        <f t="shared" si="13"/>
        <v>__</v>
      </c>
    </row>
    <row r="842" spans="1:9" x14ac:dyDescent="0.35">
      <c r="A842" s="226"/>
      <c r="B842" s="226"/>
      <c r="C842" s="226"/>
      <c r="D842" s="226"/>
      <c r="E842" s="226"/>
      <c r="F842" s="226"/>
      <c r="G842" s="226"/>
      <c r="H842" s="226"/>
      <c r="I842" s="9" t="str">
        <f t="shared" si="13"/>
        <v>__</v>
      </c>
    </row>
    <row r="843" spans="1:9" x14ac:dyDescent="0.35">
      <c r="A843" s="226"/>
      <c r="B843" s="226"/>
      <c r="C843" s="226"/>
      <c r="D843" s="226"/>
      <c r="E843" s="226"/>
      <c r="F843" s="226"/>
      <c r="G843" s="226"/>
      <c r="H843" s="226"/>
      <c r="I843" s="9" t="str">
        <f t="shared" si="13"/>
        <v>__</v>
      </c>
    </row>
    <row r="844" spans="1:9" x14ac:dyDescent="0.35">
      <c r="A844" s="226"/>
      <c r="B844" s="226"/>
      <c r="C844" s="226"/>
      <c r="D844" s="226"/>
      <c r="E844" s="226"/>
      <c r="F844" s="226"/>
      <c r="G844" s="226"/>
      <c r="H844" s="226"/>
      <c r="I844" s="9" t="str">
        <f t="shared" si="13"/>
        <v>__</v>
      </c>
    </row>
    <row r="845" spans="1:9" x14ac:dyDescent="0.35">
      <c r="A845" s="226"/>
      <c r="B845" s="226"/>
      <c r="C845" s="226"/>
      <c r="D845" s="226"/>
      <c r="E845" s="226"/>
      <c r="F845" s="226"/>
      <c r="G845" s="226"/>
      <c r="H845" s="226"/>
      <c r="I845" s="9" t="str">
        <f t="shared" si="13"/>
        <v>__</v>
      </c>
    </row>
    <row r="846" spans="1:9" x14ac:dyDescent="0.35">
      <c r="A846" s="226"/>
      <c r="B846" s="226"/>
      <c r="C846" s="226"/>
      <c r="D846" s="226"/>
      <c r="E846" s="226"/>
      <c r="F846" s="226"/>
      <c r="G846" s="226"/>
      <c r="H846" s="226"/>
      <c r="I846" s="9" t="str">
        <f t="shared" si="13"/>
        <v>__</v>
      </c>
    </row>
    <row r="847" spans="1:9" x14ac:dyDescent="0.35">
      <c r="A847" s="226"/>
      <c r="B847" s="226"/>
      <c r="C847" s="226"/>
      <c r="D847" s="226"/>
      <c r="E847" s="226"/>
      <c r="F847" s="226"/>
      <c r="G847" s="226"/>
      <c r="H847" s="226"/>
      <c r="I847" s="9" t="str">
        <f t="shared" si="13"/>
        <v>__</v>
      </c>
    </row>
    <row r="848" spans="1:9" x14ac:dyDescent="0.35">
      <c r="A848" s="226"/>
      <c r="B848" s="226"/>
      <c r="C848" s="226"/>
      <c r="D848" s="226"/>
      <c r="E848" s="226"/>
      <c r="F848" s="226"/>
      <c r="G848" s="226"/>
      <c r="H848" s="226"/>
      <c r="I848" s="9" t="str">
        <f t="shared" si="13"/>
        <v>__</v>
      </c>
    </row>
    <row r="849" spans="1:9" x14ac:dyDescent="0.35">
      <c r="A849" s="226"/>
      <c r="B849" s="226"/>
      <c r="C849" s="226"/>
      <c r="D849" s="226"/>
      <c r="E849" s="226"/>
      <c r="F849" s="226"/>
      <c r="G849" s="226"/>
      <c r="H849" s="226"/>
      <c r="I849" s="9" t="str">
        <f t="shared" si="13"/>
        <v>__</v>
      </c>
    </row>
    <row r="850" spans="1:9" x14ac:dyDescent="0.35">
      <c r="A850" s="226"/>
      <c r="B850" s="226"/>
      <c r="C850" s="226"/>
      <c r="D850" s="226"/>
      <c r="E850" s="226"/>
      <c r="F850" s="226"/>
      <c r="G850" s="226"/>
      <c r="H850" s="226"/>
      <c r="I850" s="9" t="str">
        <f t="shared" si="13"/>
        <v>__</v>
      </c>
    </row>
    <row r="851" spans="1:9" x14ac:dyDescent="0.35">
      <c r="A851" s="226"/>
      <c r="B851" s="226"/>
      <c r="C851" s="226"/>
      <c r="D851" s="226"/>
      <c r="E851" s="226"/>
      <c r="F851" s="226"/>
      <c r="G851" s="226"/>
      <c r="H851" s="226"/>
      <c r="I851" s="9" t="str">
        <f t="shared" si="13"/>
        <v>__</v>
      </c>
    </row>
    <row r="852" spans="1:9" x14ac:dyDescent="0.35">
      <c r="A852" s="226"/>
      <c r="B852" s="226"/>
      <c r="C852" s="226"/>
      <c r="D852" s="226"/>
      <c r="E852" s="226"/>
      <c r="F852" s="226"/>
      <c r="G852" s="226"/>
      <c r="H852" s="226"/>
      <c r="I852" s="9" t="str">
        <f t="shared" si="13"/>
        <v>__</v>
      </c>
    </row>
    <row r="853" spans="1:9" x14ac:dyDescent="0.35">
      <c r="A853" s="226"/>
      <c r="B853" s="226"/>
      <c r="C853" s="226"/>
      <c r="D853" s="226"/>
      <c r="E853" s="226"/>
      <c r="F853" s="226"/>
      <c r="G853" s="226"/>
      <c r="H853" s="226"/>
      <c r="I853" s="9" t="str">
        <f t="shared" si="13"/>
        <v>__</v>
      </c>
    </row>
    <row r="854" spans="1:9" x14ac:dyDescent="0.35">
      <c r="A854" s="226"/>
      <c r="B854" s="226"/>
      <c r="C854" s="226"/>
      <c r="D854" s="226"/>
      <c r="E854" s="226"/>
      <c r="F854" s="226"/>
      <c r="G854" s="226"/>
      <c r="H854" s="226"/>
      <c r="I854" s="9" t="str">
        <f t="shared" si="13"/>
        <v>__</v>
      </c>
    </row>
    <row r="855" spans="1:9" x14ac:dyDescent="0.35">
      <c r="A855" s="226"/>
      <c r="B855" s="226"/>
      <c r="C855" s="226"/>
      <c r="D855" s="226"/>
      <c r="E855" s="226"/>
      <c r="F855" s="226"/>
      <c r="G855" s="226"/>
      <c r="H855" s="226"/>
      <c r="I855" s="9" t="str">
        <f t="shared" si="13"/>
        <v>__</v>
      </c>
    </row>
    <row r="856" spans="1:9" x14ac:dyDescent="0.35">
      <c r="A856" s="226"/>
      <c r="B856" s="226"/>
      <c r="C856" s="226"/>
      <c r="D856" s="226"/>
      <c r="E856" s="226"/>
      <c r="F856" s="226"/>
      <c r="G856" s="226"/>
      <c r="H856" s="226"/>
      <c r="I856" s="9" t="str">
        <f t="shared" si="13"/>
        <v>__</v>
      </c>
    </row>
    <row r="857" spans="1:9" x14ac:dyDescent="0.35">
      <c r="A857" s="226"/>
      <c r="B857" s="226"/>
      <c r="C857" s="226"/>
      <c r="D857" s="226"/>
      <c r="E857" s="226"/>
      <c r="F857" s="226"/>
      <c r="G857" s="226"/>
      <c r="H857" s="226"/>
      <c r="I857" s="9" t="str">
        <f t="shared" si="13"/>
        <v>__</v>
      </c>
    </row>
    <row r="858" spans="1:9" x14ac:dyDescent="0.35">
      <c r="A858" s="226"/>
      <c r="B858" s="226"/>
      <c r="C858" s="226"/>
      <c r="D858" s="226"/>
      <c r="E858" s="226"/>
      <c r="F858" s="226"/>
      <c r="G858" s="226"/>
      <c r="H858" s="226"/>
      <c r="I858" s="9" t="str">
        <f t="shared" si="13"/>
        <v>__</v>
      </c>
    </row>
    <row r="859" spans="1:9" x14ac:dyDescent="0.35">
      <c r="A859" s="226"/>
      <c r="B859" s="226"/>
      <c r="C859" s="226"/>
      <c r="D859" s="226"/>
      <c r="E859" s="226"/>
      <c r="F859" s="226"/>
      <c r="G859" s="226"/>
      <c r="H859" s="226"/>
      <c r="I859" s="9" t="str">
        <f t="shared" si="13"/>
        <v>__</v>
      </c>
    </row>
    <row r="860" spans="1:9" x14ac:dyDescent="0.35">
      <c r="A860" s="226"/>
      <c r="B860" s="226"/>
      <c r="C860" s="226"/>
      <c r="D860" s="226"/>
      <c r="E860" s="226"/>
      <c r="F860" s="226"/>
      <c r="G860" s="226"/>
      <c r="H860" s="226"/>
      <c r="I860" s="9" t="str">
        <f t="shared" si="13"/>
        <v>__</v>
      </c>
    </row>
    <row r="861" spans="1:9" x14ac:dyDescent="0.35">
      <c r="A861" s="226"/>
      <c r="B861" s="226"/>
      <c r="C861" s="226"/>
      <c r="D861" s="226"/>
      <c r="E861" s="226"/>
      <c r="F861" s="226"/>
      <c r="G861" s="226"/>
      <c r="H861" s="226"/>
      <c r="I861" s="9" t="str">
        <f t="shared" si="13"/>
        <v>__</v>
      </c>
    </row>
    <row r="862" spans="1:9" x14ac:dyDescent="0.35">
      <c r="A862" s="226"/>
      <c r="B862" s="226"/>
      <c r="C862" s="226"/>
      <c r="D862" s="226"/>
      <c r="E862" s="226"/>
      <c r="F862" s="226"/>
      <c r="G862" s="226"/>
      <c r="H862" s="226"/>
      <c r="I862" s="9" t="str">
        <f t="shared" si="13"/>
        <v>__</v>
      </c>
    </row>
    <row r="863" spans="1:9" x14ac:dyDescent="0.35">
      <c r="A863" s="226"/>
      <c r="B863" s="226"/>
      <c r="C863" s="226"/>
      <c r="D863" s="226"/>
      <c r="E863" s="226"/>
      <c r="F863" s="226"/>
      <c r="G863" s="226"/>
      <c r="H863" s="226"/>
      <c r="I863" s="9" t="str">
        <f t="shared" si="13"/>
        <v>__</v>
      </c>
    </row>
    <row r="864" spans="1:9" x14ac:dyDescent="0.35">
      <c r="A864" s="226"/>
      <c r="B864" s="226"/>
      <c r="C864" s="226"/>
      <c r="D864" s="226"/>
      <c r="E864" s="226"/>
      <c r="F864" s="226"/>
      <c r="G864" s="226"/>
      <c r="H864" s="226"/>
      <c r="I864" s="9" t="str">
        <f t="shared" si="13"/>
        <v>__</v>
      </c>
    </row>
    <row r="865" spans="1:9" x14ac:dyDescent="0.35">
      <c r="A865" s="226"/>
      <c r="B865" s="226"/>
      <c r="C865" s="226"/>
      <c r="D865" s="226"/>
      <c r="E865" s="226"/>
      <c r="F865" s="226"/>
      <c r="G865" s="226"/>
      <c r="H865" s="226"/>
      <c r="I865" s="9" t="str">
        <f t="shared" si="13"/>
        <v>__</v>
      </c>
    </row>
    <row r="866" spans="1:9" x14ac:dyDescent="0.35">
      <c r="A866" s="226"/>
      <c r="B866" s="226"/>
      <c r="C866" s="226"/>
      <c r="D866" s="226"/>
      <c r="E866" s="226"/>
      <c r="F866" s="226"/>
      <c r="G866" s="226"/>
      <c r="H866" s="226"/>
      <c r="I866" s="9" t="str">
        <f t="shared" si="13"/>
        <v>__</v>
      </c>
    </row>
    <row r="867" spans="1:9" x14ac:dyDescent="0.35">
      <c r="A867" s="226"/>
      <c r="B867" s="226"/>
      <c r="C867" s="226"/>
      <c r="D867" s="226"/>
      <c r="E867" s="226"/>
      <c r="F867" s="226"/>
      <c r="G867" s="226"/>
      <c r="H867" s="226"/>
      <c r="I867" s="9" t="str">
        <f t="shared" si="13"/>
        <v>__</v>
      </c>
    </row>
    <row r="868" spans="1:9" x14ac:dyDescent="0.35">
      <c r="A868" s="226"/>
      <c r="B868" s="226"/>
      <c r="C868" s="226"/>
      <c r="D868" s="226"/>
      <c r="E868" s="226"/>
      <c r="F868" s="226"/>
      <c r="G868" s="226"/>
      <c r="H868" s="226"/>
      <c r="I868" s="9" t="str">
        <f t="shared" si="13"/>
        <v>__</v>
      </c>
    </row>
    <row r="869" spans="1:9" x14ac:dyDescent="0.35">
      <c r="A869" s="226"/>
      <c r="B869" s="226"/>
      <c r="C869" s="226"/>
      <c r="D869" s="226"/>
      <c r="E869" s="226"/>
      <c r="F869" s="226"/>
      <c r="G869" s="226"/>
      <c r="H869" s="226"/>
      <c r="I869" s="9" t="str">
        <f t="shared" si="13"/>
        <v>__</v>
      </c>
    </row>
    <row r="870" spans="1:9" x14ac:dyDescent="0.35">
      <c r="A870" s="226"/>
      <c r="B870" s="226"/>
      <c r="C870" s="226"/>
      <c r="D870" s="226"/>
      <c r="E870" s="226"/>
      <c r="F870" s="226"/>
      <c r="G870" s="226"/>
      <c r="H870" s="226"/>
      <c r="I870" s="9" t="str">
        <f t="shared" si="13"/>
        <v>__</v>
      </c>
    </row>
    <row r="871" spans="1:9" x14ac:dyDescent="0.35">
      <c r="A871" s="226"/>
      <c r="B871" s="226"/>
      <c r="C871" s="226"/>
      <c r="D871" s="226"/>
      <c r="E871" s="226"/>
      <c r="F871" s="226"/>
      <c r="G871" s="226"/>
      <c r="H871" s="226"/>
      <c r="I871" s="9" t="str">
        <f t="shared" si="13"/>
        <v>__</v>
      </c>
    </row>
    <row r="872" spans="1:9" x14ac:dyDescent="0.35">
      <c r="A872" s="226"/>
      <c r="B872" s="226"/>
      <c r="C872" s="226"/>
      <c r="D872" s="226"/>
      <c r="E872" s="226"/>
      <c r="F872" s="226"/>
      <c r="G872" s="226"/>
      <c r="H872" s="226"/>
      <c r="I872" s="9" t="str">
        <f t="shared" si="13"/>
        <v>__</v>
      </c>
    </row>
    <row r="873" spans="1:9" x14ac:dyDescent="0.35">
      <c r="A873" s="226"/>
      <c r="B873" s="226"/>
      <c r="C873" s="226"/>
      <c r="D873" s="226"/>
      <c r="E873" s="226"/>
      <c r="F873" s="226"/>
      <c r="G873" s="226"/>
      <c r="H873" s="226"/>
      <c r="I873" s="9" t="str">
        <f t="shared" si="13"/>
        <v>__</v>
      </c>
    </row>
    <row r="874" spans="1:9" x14ac:dyDescent="0.35">
      <c r="A874" s="226"/>
      <c r="B874" s="226"/>
      <c r="C874" s="226"/>
      <c r="D874" s="226"/>
      <c r="E874" s="226"/>
      <c r="F874" s="226"/>
      <c r="G874" s="226"/>
      <c r="H874" s="226"/>
      <c r="I874" s="9" t="str">
        <f t="shared" si="13"/>
        <v>__</v>
      </c>
    </row>
    <row r="875" spans="1:9" x14ac:dyDescent="0.35">
      <c r="A875" s="226"/>
      <c r="B875" s="226"/>
      <c r="C875" s="226"/>
      <c r="D875" s="226"/>
      <c r="E875" s="226"/>
      <c r="F875" s="226"/>
      <c r="G875" s="226"/>
      <c r="H875" s="226"/>
      <c r="I875" s="9" t="str">
        <f t="shared" si="13"/>
        <v>__</v>
      </c>
    </row>
    <row r="876" spans="1:9" x14ac:dyDescent="0.35">
      <c r="A876" s="226"/>
      <c r="B876" s="226"/>
      <c r="C876" s="226"/>
      <c r="D876" s="226"/>
      <c r="E876" s="226"/>
      <c r="F876" s="226"/>
      <c r="G876" s="226"/>
      <c r="H876" s="226"/>
      <c r="I876" s="9" t="str">
        <f t="shared" si="13"/>
        <v>__</v>
      </c>
    </row>
    <row r="877" spans="1:9" x14ac:dyDescent="0.35">
      <c r="A877" s="226"/>
      <c r="B877" s="226"/>
      <c r="C877" s="226"/>
      <c r="D877" s="226"/>
      <c r="E877" s="226"/>
      <c r="F877" s="226"/>
      <c r="G877" s="226"/>
      <c r="H877" s="226"/>
      <c r="I877" s="9" t="str">
        <f t="shared" si="13"/>
        <v>__</v>
      </c>
    </row>
    <row r="878" spans="1:9" x14ac:dyDescent="0.35">
      <c r="A878" s="226"/>
      <c r="B878" s="226"/>
      <c r="C878" s="226"/>
      <c r="D878" s="226"/>
      <c r="E878" s="226"/>
      <c r="F878" s="226"/>
      <c r="G878" s="226"/>
      <c r="H878" s="226"/>
      <c r="I878" s="9" t="str">
        <f t="shared" si="13"/>
        <v>__</v>
      </c>
    </row>
    <row r="879" spans="1:9" x14ac:dyDescent="0.35">
      <c r="A879" s="226"/>
      <c r="B879" s="226"/>
      <c r="C879" s="226"/>
      <c r="D879" s="226"/>
      <c r="E879" s="226"/>
      <c r="F879" s="226"/>
      <c r="G879" s="226"/>
      <c r="H879" s="226"/>
      <c r="I879" s="9" t="str">
        <f t="shared" si="13"/>
        <v>__</v>
      </c>
    </row>
    <row r="880" spans="1:9" x14ac:dyDescent="0.35">
      <c r="A880" s="226"/>
      <c r="B880" s="226"/>
      <c r="C880" s="226"/>
      <c r="D880" s="226"/>
      <c r="E880" s="226"/>
      <c r="F880" s="226"/>
      <c r="G880" s="226"/>
      <c r="H880" s="226"/>
      <c r="I880" s="9" t="str">
        <f t="shared" si="13"/>
        <v>__</v>
      </c>
    </row>
    <row r="881" spans="1:9" x14ac:dyDescent="0.35">
      <c r="A881" s="226"/>
      <c r="B881" s="226"/>
      <c r="C881" s="226"/>
      <c r="D881" s="226"/>
      <c r="E881" s="226"/>
      <c r="F881" s="226"/>
      <c r="G881" s="226"/>
      <c r="H881" s="226"/>
      <c r="I881" s="9" t="str">
        <f t="shared" si="13"/>
        <v>__</v>
      </c>
    </row>
    <row r="882" spans="1:9" x14ac:dyDescent="0.35">
      <c r="A882" s="226"/>
      <c r="B882" s="226"/>
      <c r="C882" s="226"/>
      <c r="D882" s="226"/>
      <c r="E882" s="226"/>
      <c r="F882" s="226"/>
      <c r="G882" s="226"/>
      <c r="H882" s="226"/>
      <c r="I882" s="9" t="str">
        <f t="shared" si="13"/>
        <v>__</v>
      </c>
    </row>
    <row r="883" spans="1:9" x14ac:dyDescent="0.35">
      <c r="A883" s="226"/>
      <c r="B883" s="226"/>
      <c r="C883" s="226"/>
      <c r="D883" s="226"/>
      <c r="E883" s="226"/>
      <c r="F883" s="226"/>
      <c r="G883" s="226"/>
      <c r="H883" s="226"/>
      <c r="I883" s="9" t="str">
        <f t="shared" si="13"/>
        <v>__</v>
      </c>
    </row>
    <row r="884" spans="1:9" x14ac:dyDescent="0.35">
      <c r="A884" s="226"/>
      <c r="B884" s="226"/>
      <c r="C884" s="226"/>
      <c r="D884" s="226"/>
      <c r="E884" s="226"/>
      <c r="F884" s="226"/>
      <c r="G884" s="226"/>
      <c r="H884" s="226"/>
      <c r="I884" s="9" t="str">
        <f t="shared" si="13"/>
        <v>__</v>
      </c>
    </row>
    <row r="885" spans="1:9" x14ac:dyDescent="0.35">
      <c r="A885" s="226"/>
      <c r="B885" s="226"/>
      <c r="C885" s="226"/>
      <c r="D885" s="226"/>
      <c r="E885" s="226"/>
      <c r="F885" s="226"/>
      <c r="G885" s="226"/>
      <c r="H885" s="226"/>
      <c r="I885" s="9" t="str">
        <f t="shared" si="13"/>
        <v>__</v>
      </c>
    </row>
    <row r="886" spans="1:9" x14ac:dyDescent="0.35">
      <c r="A886" s="226"/>
      <c r="B886" s="226"/>
      <c r="C886" s="226"/>
      <c r="D886" s="226"/>
      <c r="E886" s="226"/>
      <c r="F886" s="226"/>
      <c r="G886" s="226"/>
      <c r="H886" s="226"/>
      <c r="I886" s="9" t="str">
        <f t="shared" si="13"/>
        <v>__</v>
      </c>
    </row>
    <row r="887" spans="1:9" x14ac:dyDescent="0.35">
      <c r="A887" s="226"/>
      <c r="B887" s="226"/>
      <c r="C887" s="226"/>
      <c r="D887" s="226"/>
      <c r="E887" s="226"/>
      <c r="F887" s="226"/>
      <c r="G887" s="226"/>
      <c r="H887" s="226"/>
      <c r="I887" s="9" t="str">
        <f t="shared" si="13"/>
        <v>__</v>
      </c>
    </row>
    <row r="888" spans="1:9" x14ac:dyDescent="0.35">
      <c r="A888" s="226"/>
      <c r="B888" s="226"/>
      <c r="C888" s="226"/>
      <c r="D888" s="226"/>
      <c r="E888" s="226"/>
      <c r="F888" s="226"/>
      <c r="G888" s="226"/>
      <c r="H888" s="226"/>
      <c r="I888" s="9" t="str">
        <f t="shared" si="13"/>
        <v>__</v>
      </c>
    </row>
    <row r="889" spans="1:9" x14ac:dyDescent="0.35">
      <c r="A889" s="226"/>
      <c r="B889" s="226"/>
      <c r="C889" s="226"/>
      <c r="D889" s="226"/>
      <c r="E889" s="226"/>
      <c r="F889" s="226"/>
      <c r="G889" s="226"/>
      <c r="H889" s="226"/>
      <c r="I889" s="9" t="str">
        <f t="shared" si="13"/>
        <v>__</v>
      </c>
    </row>
    <row r="890" spans="1:9" x14ac:dyDescent="0.35">
      <c r="A890" s="226"/>
      <c r="B890" s="226"/>
      <c r="C890" s="226"/>
      <c r="D890" s="226"/>
      <c r="E890" s="226"/>
      <c r="F890" s="226"/>
      <c r="G890" s="226"/>
      <c r="H890" s="226"/>
      <c r="I890" s="9" t="str">
        <f t="shared" si="13"/>
        <v>__</v>
      </c>
    </row>
    <row r="891" spans="1:9" x14ac:dyDescent="0.35">
      <c r="A891" s="226"/>
      <c r="B891" s="226"/>
      <c r="C891" s="226"/>
      <c r="D891" s="226"/>
      <c r="E891" s="226"/>
      <c r="F891" s="226"/>
      <c r="G891" s="226"/>
      <c r="H891" s="226"/>
      <c r="I891" s="9" t="str">
        <f t="shared" si="13"/>
        <v>__</v>
      </c>
    </row>
    <row r="892" spans="1:9" x14ac:dyDescent="0.35">
      <c r="A892" s="226"/>
      <c r="B892" s="226"/>
      <c r="C892" s="226"/>
      <c r="D892" s="226"/>
      <c r="E892" s="226"/>
      <c r="F892" s="226"/>
      <c r="G892" s="226"/>
      <c r="H892" s="226"/>
      <c r="I892" s="9" t="str">
        <f t="shared" si="13"/>
        <v>__</v>
      </c>
    </row>
    <row r="893" spans="1:9" x14ac:dyDescent="0.35">
      <c r="A893" s="226"/>
      <c r="B893" s="226"/>
      <c r="C893" s="226"/>
      <c r="D893" s="226"/>
      <c r="E893" s="226"/>
      <c r="F893" s="226"/>
      <c r="G893" s="226"/>
      <c r="H893" s="226"/>
      <c r="I893" s="9" t="str">
        <f t="shared" si="13"/>
        <v>__</v>
      </c>
    </row>
    <row r="894" spans="1:9" x14ac:dyDescent="0.35">
      <c r="A894" s="226"/>
      <c r="B894" s="226"/>
      <c r="C894" s="226"/>
      <c r="D894" s="226"/>
      <c r="E894" s="226"/>
      <c r="F894" s="226"/>
      <c r="G894" s="226"/>
      <c r="H894" s="226"/>
      <c r="I894" s="9" t="str">
        <f t="shared" si="13"/>
        <v>__</v>
      </c>
    </row>
    <row r="895" spans="1:9" x14ac:dyDescent="0.35">
      <c r="A895" s="226"/>
      <c r="B895" s="226"/>
      <c r="C895" s="226"/>
      <c r="D895" s="226"/>
      <c r="E895" s="226"/>
      <c r="F895" s="226"/>
      <c r="G895" s="226"/>
      <c r="H895" s="226"/>
      <c r="I895" s="9" t="str">
        <f t="shared" si="13"/>
        <v>__</v>
      </c>
    </row>
    <row r="896" spans="1:9" x14ac:dyDescent="0.35">
      <c r="A896" s="226"/>
      <c r="B896" s="226"/>
      <c r="C896" s="226"/>
      <c r="D896" s="226"/>
      <c r="E896" s="226"/>
      <c r="F896" s="226"/>
      <c r="G896" s="226"/>
      <c r="H896" s="226"/>
      <c r="I896" s="9" t="str">
        <f t="shared" si="13"/>
        <v>__</v>
      </c>
    </row>
    <row r="897" spans="1:9" x14ac:dyDescent="0.35">
      <c r="A897" s="226"/>
      <c r="B897" s="226"/>
      <c r="C897" s="226"/>
      <c r="D897" s="226"/>
      <c r="E897" s="226"/>
      <c r="F897" s="226"/>
      <c r="G897" s="226"/>
      <c r="H897" s="226"/>
      <c r="I897" s="9" t="str">
        <f t="shared" si="13"/>
        <v>__</v>
      </c>
    </row>
    <row r="898" spans="1:9" x14ac:dyDescent="0.35">
      <c r="A898" s="226"/>
      <c r="B898" s="226"/>
      <c r="C898" s="226"/>
      <c r="D898" s="226"/>
      <c r="E898" s="226"/>
      <c r="F898" s="226"/>
      <c r="G898" s="226"/>
      <c r="H898" s="226"/>
      <c r="I898" s="9" t="str">
        <f t="shared" si="13"/>
        <v>__</v>
      </c>
    </row>
    <row r="899" spans="1:9" x14ac:dyDescent="0.35">
      <c r="A899" s="226"/>
      <c r="B899" s="226"/>
      <c r="C899" s="226"/>
      <c r="D899" s="226"/>
      <c r="E899" s="226"/>
      <c r="F899" s="226"/>
      <c r="G899" s="226"/>
      <c r="H899" s="226"/>
      <c r="I899" s="9" t="str">
        <f t="shared" si="13"/>
        <v>__</v>
      </c>
    </row>
    <row r="900" spans="1:9" x14ac:dyDescent="0.35">
      <c r="A900" s="226"/>
      <c r="B900" s="226"/>
      <c r="C900" s="226"/>
      <c r="D900" s="226"/>
      <c r="E900" s="226"/>
      <c r="F900" s="226"/>
      <c r="G900" s="226"/>
      <c r="H900" s="226"/>
      <c r="I900" s="9" t="str">
        <f t="shared" si="13"/>
        <v>__</v>
      </c>
    </row>
    <row r="901" spans="1:9" x14ac:dyDescent="0.35">
      <c r="A901" s="226"/>
      <c r="B901" s="226"/>
      <c r="C901" s="226"/>
      <c r="D901" s="226"/>
      <c r="E901" s="226"/>
      <c r="F901" s="226"/>
      <c r="G901" s="226"/>
      <c r="H901" s="226"/>
      <c r="I901" s="9" t="str">
        <f t="shared" ref="I901:I964" si="14">CONCATENATE(A901,"_",B901,"_",C901)</f>
        <v>__</v>
      </c>
    </row>
    <row r="902" spans="1:9" x14ac:dyDescent="0.35">
      <c r="A902" s="226"/>
      <c r="B902" s="226"/>
      <c r="C902" s="226"/>
      <c r="D902" s="226"/>
      <c r="E902" s="226"/>
      <c r="F902" s="226"/>
      <c r="G902" s="226"/>
      <c r="H902" s="226"/>
      <c r="I902" s="9" t="str">
        <f t="shared" si="14"/>
        <v>__</v>
      </c>
    </row>
    <row r="903" spans="1:9" x14ac:dyDescent="0.35">
      <c r="A903" s="226"/>
      <c r="B903" s="226"/>
      <c r="C903" s="226"/>
      <c r="D903" s="226"/>
      <c r="E903" s="226"/>
      <c r="F903" s="226"/>
      <c r="G903" s="226"/>
      <c r="H903" s="226"/>
      <c r="I903" s="9" t="str">
        <f t="shared" si="14"/>
        <v>__</v>
      </c>
    </row>
    <row r="904" spans="1:9" x14ac:dyDescent="0.35">
      <c r="A904" s="226"/>
      <c r="B904" s="226"/>
      <c r="C904" s="226"/>
      <c r="D904" s="226"/>
      <c r="E904" s="226"/>
      <c r="F904" s="226"/>
      <c r="G904" s="226"/>
      <c r="H904" s="226"/>
      <c r="I904" s="9" t="str">
        <f t="shared" si="14"/>
        <v>__</v>
      </c>
    </row>
    <row r="905" spans="1:9" x14ac:dyDescent="0.35">
      <c r="A905" s="226"/>
      <c r="B905" s="226"/>
      <c r="C905" s="226"/>
      <c r="D905" s="226"/>
      <c r="E905" s="226"/>
      <c r="F905" s="226"/>
      <c r="G905" s="226"/>
      <c r="H905" s="226"/>
      <c r="I905" s="9" t="str">
        <f t="shared" si="14"/>
        <v>__</v>
      </c>
    </row>
    <row r="906" spans="1:9" x14ac:dyDescent="0.35">
      <c r="A906" s="226"/>
      <c r="B906" s="226"/>
      <c r="C906" s="226"/>
      <c r="D906" s="226"/>
      <c r="E906" s="226"/>
      <c r="F906" s="226"/>
      <c r="G906" s="226"/>
      <c r="H906" s="226"/>
      <c r="I906" s="9" t="str">
        <f t="shared" si="14"/>
        <v>__</v>
      </c>
    </row>
    <row r="907" spans="1:9" x14ac:dyDescent="0.35">
      <c r="A907" s="226"/>
      <c r="B907" s="226"/>
      <c r="C907" s="226"/>
      <c r="D907" s="226"/>
      <c r="E907" s="226"/>
      <c r="F907" s="226"/>
      <c r="G907" s="226"/>
      <c r="H907" s="226"/>
      <c r="I907" s="9" t="str">
        <f t="shared" si="14"/>
        <v>__</v>
      </c>
    </row>
    <row r="908" spans="1:9" x14ac:dyDescent="0.35">
      <c r="A908" s="226"/>
      <c r="B908" s="226"/>
      <c r="C908" s="226"/>
      <c r="D908" s="226"/>
      <c r="E908" s="226"/>
      <c r="F908" s="226"/>
      <c r="G908" s="226"/>
      <c r="H908" s="226"/>
      <c r="I908" s="9" t="str">
        <f t="shared" si="14"/>
        <v>__</v>
      </c>
    </row>
    <row r="909" spans="1:9" x14ac:dyDescent="0.35">
      <c r="A909" s="226"/>
      <c r="B909" s="226"/>
      <c r="C909" s="226"/>
      <c r="D909" s="226"/>
      <c r="E909" s="226"/>
      <c r="F909" s="226"/>
      <c r="G909" s="226"/>
      <c r="H909" s="226"/>
      <c r="I909" s="9" t="str">
        <f t="shared" si="14"/>
        <v>__</v>
      </c>
    </row>
    <row r="910" spans="1:9" x14ac:dyDescent="0.35">
      <c r="A910" s="226"/>
      <c r="B910" s="226"/>
      <c r="C910" s="226"/>
      <c r="D910" s="226"/>
      <c r="E910" s="226"/>
      <c r="F910" s="226"/>
      <c r="G910" s="226"/>
      <c r="H910" s="226"/>
      <c r="I910" s="9" t="str">
        <f t="shared" si="14"/>
        <v>__</v>
      </c>
    </row>
    <row r="911" spans="1:9" x14ac:dyDescent="0.35">
      <c r="A911" s="226"/>
      <c r="B911" s="226"/>
      <c r="C911" s="226"/>
      <c r="D911" s="226"/>
      <c r="E911" s="226"/>
      <c r="F911" s="226"/>
      <c r="G911" s="226"/>
      <c r="H911" s="226"/>
      <c r="I911" s="9" t="str">
        <f t="shared" si="14"/>
        <v>__</v>
      </c>
    </row>
    <row r="912" spans="1:9" x14ac:dyDescent="0.35">
      <c r="A912" s="226"/>
      <c r="B912" s="226"/>
      <c r="C912" s="226"/>
      <c r="D912" s="226"/>
      <c r="E912" s="226"/>
      <c r="F912" s="226"/>
      <c r="G912" s="226"/>
      <c r="H912" s="226"/>
      <c r="I912" s="9" t="str">
        <f t="shared" si="14"/>
        <v>__</v>
      </c>
    </row>
    <row r="913" spans="1:9" x14ac:dyDescent="0.35">
      <c r="A913" s="226"/>
      <c r="B913" s="226"/>
      <c r="C913" s="226"/>
      <c r="D913" s="226"/>
      <c r="E913" s="226"/>
      <c r="F913" s="226"/>
      <c r="G913" s="226"/>
      <c r="H913" s="226"/>
      <c r="I913" s="9" t="str">
        <f t="shared" si="14"/>
        <v>__</v>
      </c>
    </row>
    <row r="914" spans="1:9" x14ac:dyDescent="0.35">
      <c r="A914" s="226"/>
      <c r="B914" s="226"/>
      <c r="C914" s="226"/>
      <c r="D914" s="226"/>
      <c r="E914" s="226"/>
      <c r="F914" s="226"/>
      <c r="G914" s="226"/>
      <c r="H914" s="226"/>
      <c r="I914" s="9" t="str">
        <f t="shared" si="14"/>
        <v>__</v>
      </c>
    </row>
    <row r="915" spans="1:9" x14ac:dyDescent="0.35">
      <c r="A915" s="226"/>
      <c r="B915" s="226"/>
      <c r="C915" s="226"/>
      <c r="D915" s="226"/>
      <c r="E915" s="226"/>
      <c r="F915" s="226"/>
      <c r="G915" s="226"/>
      <c r="H915" s="226"/>
      <c r="I915" s="9" t="str">
        <f t="shared" si="14"/>
        <v>__</v>
      </c>
    </row>
    <row r="916" spans="1:9" x14ac:dyDescent="0.35">
      <c r="A916" s="226"/>
      <c r="B916" s="226"/>
      <c r="C916" s="226"/>
      <c r="D916" s="226"/>
      <c r="E916" s="226"/>
      <c r="F916" s="226"/>
      <c r="G916" s="226"/>
      <c r="H916" s="226"/>
      <c r="I916" s="9" t="str">
        <f t="shared" si="14"/>
        <v>__</v>
      </c>
    </row>
    <row r="917" spans="1:9" x14ac:dyDescent="0.35">
      <c r="A917" s="226"/>
      <c r="B917" s="226"/>
      <c r="C917" s="226"/>
      <c r="D917" s="226"/>
      <c r="E917" s="226"/>
      <c r="F917" s="226"/>
      <c r="G917" s="226"/>
      <c r="H917" s="226"/>
      <c r="I917" s="9" t="str">
        <f t="shared" si="14"/>
        <v>__</v>
      </c>
    </row>
    <row r="918" spans="1:9" x14ac:dyDescent="0.35">
      <c r="A918" s="226"/>
      <c r="B918" s="226"/>
      <c r="C918" s="226"/>
      <c r="D918" s="226"/>
      <c r="E918" s="226"/>
      <c r="F918" s="226"/>
      <c r="G918" s="226"/>
      <c r="H918" s="226"/>
      <c r="I918" s="9" t="str">
        <f t="shared" si="14"/>
        <v>__</v>
      </c>
    </row>
    <row r="919" spans="1:9" x14ac:dyDescent="0.35">
      <c r="A919" s="226"/>
      <c r="B919" s="226"/>
      <c r="C919" s="226"/>
      <c r="D919" s="226"/>
      <c r="E919" s="226"/>
      <c r="F919" s="226"/>
      <c r="G919" s="226"/>
      <c r="H919" s="226"/>
      <c r="I919" s="9" t="str">
        <f t="shared" si="14"/>
        <v>__</v>
      </c>
    </row>
    <row r="920" spans="1:9" x14ac:dyDescent="0.35">
      <c r="A920" s="226"/>
      <c r="B920" s="226"/>
      <c r="C920" s="226"/>
      <c r="D920" s="226"/>
      <c r="E920" s="226"/>
      <c r="F920" s="226"/>
      <c r="G920" s="226"/>
      <c r="H920" s="226"/>
      <c r="I920" s="9" t="str">
        <f t="shared" si="14"/>
        <v>__</v>
      </c>
    </row>
    <row r="921" spans="1:9" x14ac:dyDescent="0.35">
      <c r="A921" s="226"/>
      <c r="B921" s="226"/>
      <c r="C921" s="226"/>
      <c r="D921" s="226"/>
      <c r="E921" s="226"/>
      <c r="F921" s="226"/>
      <c r="G921" s="226"/>
      <c r="H921" s="226"/>
      <c r="I921" s="9" t="str">
        <f t="shared" si="14"/>
        <v>__</v>
      </c>
    </row>
    <row r="922" spans="1:9" x14ac:dyDescent="0.35">
      <c r="A922" s="226"/>
      <c r="B922" s="226"/>
      <c r="C922" s="226"/>
      <c r="D922" s="226"/>
      <c r="E922" s="226"/>
      <c r="F922" s="226"/>
      <c r="G922" s="226"/>
      <c r="H922" s="226"/>
      <c r="I922" s="9" t="str">
        <f t="shared" si="14"/>
        <v>__</v>
      </c>
    </row>
    <row r="923" spans="1:9" x14ac:dyDescent="0.35">
      <c r="A923" s="226"/>
      <c r="B923" s="226"/>
      <c r="C923" s="226"/>
      <c r="D923" s="226"/>
      <c r="E923" s="226"/>
      <c r="F923" s="226"/>
      <c r="G923" s="226"/>
      <c r="H923" s="226"/>
      <c r="I923" s="9" t="str">
        <f t="shared" si="14"/>
        <v>__</v>
      </c>
    </row>
    <row r="924" spans="1:9" x14ac:dyDescent="0.35">
      <c r="A924" s="226"/>
      <c r="B924" s="226"/>
      <c r="C924" s="226"/>
      <c r="D924" s="226"/>
      <c r="E924" s="226"/>
      <c r="F924" s="226"/>
      <c r="G924" s="226"/>
      <c r="H924" s="226"/>
      <c r="I924" s="9" t="str">
        <f t="shared" si="14"/>
        <v>__</v>
      </c>
    </row>
    <row r="925" spans="1:9" x14ac:dyDescent="0.35">
      <c r="A925" s="226"/>
      <c r="B925" s="226"/>
      <c r="C925" s="226"/>
      <c r="D925" s="226"/>
      <c r="E925" s="226"/>
      <c r="F925" s="226"/>
      <c r="G925" s="226"/>
      <c r="H925" s="226"/>
      <c r="I925" s="9" t="str">
        <f t="shared" si="14"/>
        <v>__</v>
      </c>
    </row>
    <row r="926" spans="1:9" x14ac:dyDescent="0.35">
      <c r="A926" s="226"/>
      <c r="B926" s="226"/>
      <c r="C926" s="226"/>
      <c r="D926" s="226"/>
      <c r="E926" s="226"/>
      <c r="F926" s="226"/>
      <c r="G926" s="226"/>
      <c r="H926" s="226"/>
      <c r="I926" s="9" t="str">
        <f t="shared" si="14"/>
        <v>__</v>
      </c>
    </row>
    <row r="927" spans="1:9" x14ac:dyDescent="0.35">
      <c r="A927" s="226"/>
      <c r="B927" s="226"/>
      <c r="C927" s="226"/>
      <c r="D927" s="226"/>
      <c r="E927" s="226"/>
      <c r="F927" s="226"/>
      <c r="G927" s="226"/>
      <c r="H927" s="226"/>
      <c r="I927" s="9" t="str">
        <f t="shared" si="14"/>
        <v>__</v>
      </c>
    </row>
    <row r="928" spans="1:9" x14ac:dyDescent="0.35">
      <c r="A928" s="226"/>
      <c r="B928" s="226"/>
      <c r="C928" s="226"/>
      <c r="D928" s="226"/>
      <c r="E928" s="226"/>
      <c r="F928" s="226"/>
      <c r="G928" s="226"/>
      <c r="H928" s="226"/>
      <c r="I928" s="9" t="str">
        <f t="shared" si="14"/>
        <v>__</v>
      </c>
    </row>
    <row r="929" spans="1:9" x14ac:dyDescent="0.35">
      <c r="A929" s="226"/>
      <c r="B929" s="226"/>
      <c r="C929" s="226"/>
      <c r="D929" s="226"/>
      <c r="E929" s="226"/>
      <c r="F929" s="226"/>
      <c r="G929" s="226"/>
      <c r="H929" s="226"/>
      <c r="I929" s="9" t="str">
        <f t="shared" si="14"/>
        <v>__</v>
      </c>
    </row>
    <row r="930" spans="1:9" x14ac:dyDescent="0.35">
      <c r="A930" s="226"/>
      <c r="B930" s="226"/>
      <c r="C930" s="226"/>
      <c r="D930" s="226"/>
      <c r="E930" s="226"/>
      <c r="F930" s="226"/>
      <c r="G930" s="226"/>
      <c r="H930" s="226"/>
      <c r="I930" s="9" t="str">
        <f t="shared" si="14"/>
        <v>__</v>
      </c>
    </row>
    <row r="931" spans="1:9" x14ac:dyDescent="0.35">
      <c r="A931" s="226"/>
      <c r="B931" s="226"/>
      <c r="C931" s="226"/>
      <c r="D931" s="226"/>
      <c r="E931" s="226"/>
      <c r="F931" s="226"/>
      <c r="G931" s="226"/>
      <c r="H931" s="226"/>
      <c r="I931" s="9" t="str">
        <f t="shared" si="14"/>
        <v>__</v>
      </c>
    </row>
    <row r="932" spans="1:9" x14ac:dyDescent="0.35">
      <c r="A932" s="226"/>
      <c r="B932" s="226"/>
      <c r="C932" s="226"/>
      <c r="D932" s="226"/>
      <c r="E932" s="226"/>
      <c r="F932" s="226"/>
      <c r="G932" s="226"/>
      <c r="H932" s="226"/>
      <c r="I932" s="9" t="str">
        <f t="shared" si="14"/>
        <v>__</v>
      </c>
    </row>
    <row r="933" spans="1:9" x14ac:dyDescent="0.35">
      <c r="A933" s="226"/>
      <c r="B933" s="226"/>
      <c r="C933" s="226"/>
      <c r="D933" s="226"/>
      <c r="E933" s="226"/>
      <c r="F933" s="226"/>
      <c r="G933" s="226"/>
      <c r="H933" s="226"/>
      <c r="I933" s="9" t="str">
        <f t="shared" si="14"/>
        <v>__</v>
      </c>
    </row>
    <row r="934" spans="1:9" x14ac:dyDescent="0.35">
      <c r="A934" s="226"/>
      <c r="B934" s="226"/>
      <c r="C934" s="226"/>
      <c r="D934" s="226"/>
      <c r="E934" s="226"/>
      <c r="F934" s="226"/>
      <c r="G934" s="226"/>
      <c r="H934" s="226"/>
      <c r="I934" s="9" t="str">
        <f t="shared" si="14"/>
        <v>__</v>
      </c>
    </row>
    <row r="935" spans="1:9" x14ac:dyDescent="0.35">
      <c r="A935" s="226"/>
      <c r="B935" s="226"/>
      <c r="C935" s="226"/>
      <c r="D935" s="226"/>
      <c r="E935" s="226"/>
      <c r="F935" s="226"/>
      <c r="G935" s="226"/>
      <c r="H935" s="226"/>
      <c r="I935" s="9" t="str">
        <f t="shared" si="14"/>
        <v>__</v>
      </c>
    </row>
    <row r="936" spans="1:9" x14ac:dyDescent="0.35">
      <c r="A936" s="226"/>
      <c r="B936" s="226"/>
      <c r="C936" s="226"/>
      <c r="D936" s="226"/>
      <c r="E936" s="226"/>
      <c r="F936" s="226"/>
      <c r="G936" s="226"/>
      <c r="H936" s="226"/>
      <c r="I936" s="9" t="str">
        <f t="shared" si="14"/>
        <v>__</v>
      </c>
    </row>
    <row r="937" spans="1:9" x14ac:dyDescent="0.35">
      <c r="A937" s="226"/>
      <c r="B937" s="226"/>
      <c r="C937" s="226"/>
      <c r="D937" s="226"/>
      <c r="E937" s="226"/>
      <c r="F937" s="226"/>
      <c r="G937" s="226"/>
      <c r="H937" s="226"/>
      <c r="I937" s="9" t="str">
        <f t="shared" si="14"/>
        <v>__</v>
      </c>
    </row>
    <row r="938" spans="1:9" x14ac:dyDescent="0.35">
      <c r="A938" s="226"/>
      <c r="B938" s="226"/>
      <c r="C938" s="226"/>
      <c r="D938" s="226"/>
      <c r="E938" s="226"/>
      <c r="F938" s="226"/>
      <c r="G938" s="226"/>
      <c r="H938" s="226"/>
      <c r="I938" s="9" t="str">
        <f t="shared" si="14"/>
        <v>__</v>
      </c>
    </row>
    <row r="939" spans="1:9" x14ac:dyDescent="0.35">
      <c r="A939" s="226"/>
      <c r="B939" s="226"/>
      <c r="C939" s="226"/>
      <c r="D939" s="226"/>
      <c r="E939" s="226"/>
      <c r="F939" s="226"/>
      <c r="G939" s="226"/>
      <c r="H939" s="226"/>
      <c r="I939" s="9" t="str">
        <f t="shared" si="14"/>
        <v>__</v>
      </c>
    </row>
    <row r="940" spans="1:9" x14ac:dyDescent="0.35">
      <c r="A940" s="226"/>
      <c r="B940" s="226"/>
      <c r="C940" s="226"/>
      <c r="D940" s="226"/>
      <c r="E940" s="226"/>
      <c r="F940" s="226"/>
      <c r="G940" s="226"/>
      <c r="H940" s="226"/>
      <c r="I940" s="9" t="str">
        <f t="shared" si="14"/>
        <v>__</v>
      </c>
    </row>
    <row r="941" spans="1:9" x14ac:dyDescent="0.35">
      <c r="A941" s="226"/>
      <c r="B941" s="226"/>
      <c r="C941" s="226"/>
      <c r="D941" s="226"/>
      <c r="E941" s="226"/>
      <c r="F941" s="226"/>
      <c r="G941" s="226"/>
      <c r="H941" s="226"/>
      <c r="I941" s="9" t="str">
        <f t="shared" si="14"/>
        <v>__</v>
      </c>
    </row>
    <row r="942" spans="1:9" x14ac:dyDescent="0.35">
      <c r="A942" s="226"/>
      <c r="B942" s="226"/>
      <c r="C942" s="226"/>
      <c r="D942" s="226"/>
      <c r="E942" s="226"/>
      <c r="F942" s="226"/>
      <c r="G942" s="226"/>
      <c r="H942" s="226"/>
      <c r="I942" s="9" t="str">
        <f t="shared" si="14"/>
        <v>__</v>
      </c>
    </row>
    <row r="943" spans="1:9" x14ac:dyDescent="0.35">
      <c r="A943" s="226"/>
      <c r="B943" s="226"/>
      <c r="C943" s="226"/>
      <c r="D943" s="226"/>
      <c r="E943" s="226"/>
      <c r="F943" s="226"/>
      <c r="G943" s="226"/>
      <c r="H943" s="226"/>
      <c r="I943" s="9" t="str">
        <f t="shared" si="14"/>
        <v>__</v>
      </c>
    </row>
    <row r="944" spans="1:9" x14ac:dyDescent="0.35">
      <c r="A944" s="226"/>
      <c r="B944" s="226"/>
      <c r="C944" s="226"/>
      <c r="D944" s="226"/>
      <c r="E944" s="226"/>
      <c r="F944" s="226"/>
      <c r="G944" s="226"/>
      <c r="H944" s="226"/>
      <c r="I944" s="9" t="str">
        <f t="shared" si="14"/>
        <v>__</v>
      </c>
    </row>
    <row r="945" spans="1:9" x14ac:dyDescent="0.35">
      <c r="A945" s="226"/>
      <c r="B945" s="226"/>
      <c r="C945" s="226"/>
      <c r="D945" s="226"/>
      <c r="E945" s="226"/>
      <c r="F945" s="226"/>
      <c r="G945" s="226"/>
      <c r="H945" s="226"/>
      <c r="I945" s="9" t="str">
        <f t="shared" si="14"/>
        <v>__</v>
      </c>
    </row>
    <row r="946" spans="1:9" x14ac:dyDescent="0.35">
      <c r="A946" s="226"/>
      <c r="B946" s="226"/>
      <c r="C946" s="226"/>
      <c r="D946" s="226"/>
      <c r="E946" s="226"/>
      <c r="F946" s="226"/>
      <c r="G946" s="226"/>
      <c r="H946" s="226"/>
      <c r="I946" s="9" t="str">
        <f t="shared" si="14"/>
        <v>__</v>
      </c>
    </row>
    <row r="947" spans="1:9" x14ac:dyDescent="0.35">
      <c r="A947" s="226"/>
      <c r="B947" s="226"/>
      <c r="C947" s="226"/>
      <c r="D947" s="226"/>
      <c r="E947" s="226"/>
      <c r="F947" s="226"/>
      <c r="G947" s="226"/>
      <c r="H947" s="284"/>
      <c r="I947" s="9" t="str">
        <f t="shared" si="14"/>
        <v>__</v>
      </c>
    </row>
    <row r="948" spans="1:9" x14ac:dyDescent="0.35">
      <c r="A948" s="226"/>
      <c r="B948" s="226"/>
      <c r="C948" s="226"/>
      <c r="D948" s="226"/>
      <c r="E948" s="226"/>
      <c r="F948" s="226"/>
      <c r="G948" s="226"/>
      <c r="H948" s="226"/>
      <c r="I948" s="9" t="str">
        <f t="shared" si="14"/>
        <v>__</v>
      </c>
    </row>
    <row r="949" spans="1:9" x14ac:dyDescent="0.35">
      <c r="A949" s="226"/>
      <c r="B949" s="226"/>
      <c r="C949" s="226"/>
      <c r="D949" s="226"/>
      <c r="E949" s="226"/>
      <c r="F949" s="226"/>
      <c r="G949" s="226"/>
      <c r="H949" s="226"/>
      <c r="I949" s="9" t="str">
        <f t="shared" si="14"/>
        <v>__</v>
      </c>
    </row>
    <row r="950" spans="1:9" x14ac:dyDescent="0.35">
      <c r="A950" s="226"/>
      <c r="B950" s="226"/>
      <c r="C950" s="226"/>
      <c r="D950" s="226"/>
      <c r="E950" s="226"/>
      <c r="F950" s="226"/>
      <c r="G950" s="226"/>
      <c r="H950" s="226"/>
      <c r="I950" s="9" t="str">
        <f t="shared" si="14"/>
        <v>__</v>
      </c>
    </row>
    <row r="951" spans="1:9" x14ac:dyDescent="0.35">
      <c r="A951" s="226"/>
      <c r="B951" s="226"/>
      <c r="C951" s="226"/>
      <c r="D951" s="226"/>
      <c r="E951" s="226"/>
      <c r="F951" s="226"/>
      <c r="G951" s="226"/>
      <c r="H951" s="226"/>
      <c r="I951" s="9" t="str">
        <f t="shared" si="14"/>
        <v>__</v>
      </c>
    </row>
    <row r="952" spans="1:9" x14ac:dyDescent="0.35">
      <c r="A952" s="226"/>
      <c r="B952" s="226"/>
      <c r="C952" s="226"/>
      <c r="D952" s="226"/>
      <c r="E952" s="226"/>
      <c r="F952" s="226"/>
      <c r="G952" s="226"/>
      <c r="H952" s="226"/>
      <c r="I952" s="9" t="str">
        <f t="shared" si="14"/>
        <v>__</v>
      </c>
    </row>
    <row r="953" spans="1:9" x14ac:dyDescent="0.35">
      <c r="A953" s="226"/>
      <c r="B953" s="226"/>
      <c r="C953" s="226"/>
      <c r="D953" s="226"/>
      <c r="E953" s="226"/>
      <c r="F953" s="226"/>
      <c r="G953" s="226"/>
      <c r="H953" s="226"/>
      <c r="I953" s="9" t="str">
        <f t="shared" si="14"/>
        <v>__</v>
      </c>
    </row>
    <row r="954" spans="1:9" x14ac:dyDescent="0.35">
      <c r="A954" s="226"/>
      <c r="B954" s="226"/>
      <c r="C954" s="226"/>
      <c r="D954" s="226"/>
      <c r="E954" s="226"/>
      <c r="F954" s="226"/>
      <c r="G954" s="226"/>
      <c r="H954" s="226"/>
      <c r="I954" s="9" t="str">
        <f t="shared" si="14"/>
        <v>__</v>
      </c>
    </row>
    <row r="955" spans="1:9" x14ac:dyDescent="0.35">
      <c r="A955" s="226"/>
      <c r="B955" s="226"/>
      <c r="C955" s="226"/>
      <c r="D955" s="226"/>
      <c r="E955" s="226"/>
      <c r="F955" s="226"/>
      <c r="G955" s="226"/>
      <c r="H955" s="226"/>
      <c r="I955" s="9" t="str">
        <f t="shared" si="14"/>
        <v>__</v>
      </c>
    </row>
    <row r="956" spans="1:9" x14ac:dyDescent="0.35">
      <c r="A956" s="226"/>
      <c r="B956" s="226"/>
      <c r="C956" s="226"/>
      <c r="D956" s="226"/>
      <c r="E956" s="226"/>
      <c r="F956" s="226"/>
      <c r="G956" s="226"/>
      <c r="H956" s="226"/>
      <c r="I956" s="9" t="str">
        <f t="shared" si="14"/>
        <v>__</v>
      </c>
    </row>
    <row r="957" spans="1:9" x14ac:dyDescent="0.35">
      <c r="A957" s="226"/>
      <c r="B957" s="226"/>
      <c r="C957" s="226"/>
      <c r="D957" s="226"/>
      <c r="E957" s="226"/>
      <c r="F957" s="226"/>
      <c r="G957" s="226"/>
      <c r="H957" s="226"/>
      <c r="I957" s="9" t="str">
        <f t="shared" si="14"/>
        <v>__</v>
      </c>
    </row>
    <row r="958" spans="1:9" x14ac:dyDescent="0.35">
      <c r="A958" s="226"/>
      <c r="B958" s="226"/>
      <c r="C958" s="226"/>
      <c r="D958" s="226"/>
      <c r="E958" s="226"/>
      <c r="F958" s="226"/>
      <c r="G958" s="226"/>
      <c r="H958" s="226"/>
      <c r="I958" s="9" t="str">
        <f t="shared" si="14"/>
        <v>__</v>
      </c>
    </row>
    <row r="959" spans="1:9" x14ac:dyDescent="0.35">
      <c r="A959" s="226"/>
      <c r="B959" s="226"/>
      <c r="C959" s="226"/>
      <c r="D959" s="226"/>
      <c r="E959" s="226"/>
      <c r="F959" s="226"/>
      <c r="G959" s="226"/>
      <c r="H959" s="226"/>
      <c r="I959" s="9" t="str">
        <f t="shared" si="14"/>
        <v>__</v>
      </c>
    </row>
    <row r="960" spans="1:9" x14ac:dyDescent="0.35">
      <c r="A960" s="226"/>
      <c r="B960" s="226"/>
      <c r="C960" s="226"/>
      <c r="D960" s="226"/>
      <c r="E960" s="226"/>
      <c r="F960" s="226"/>
      <c r="G960" s="226"/>
      <c r="H960" s="226"/>
      <c r="I960" s="9" t="str">
        <f t="shared" si="14"/>
        <v>__</v>
      </c>
    </row>
    <row r="961" spans="1:9" x14ac:dyDescent="0.35">
      <c r="A961" s="226"/>
      <c r="B961" s="226"/>
      <c r="C961" s="226"/>
      <c r="D961" s="226"/>
      <c r="E961" s="226"/>
      <c r="F961" s="226"/>
      <c r="G961" s="226"/>
      <c r="H961" s="226"/>
      <c r="I961" s="9" t="str">
        <f t="shared" si="14"/>
        <v>__</v>
      </c>
    </row>
    <row r="962" spans="1:9" x14ac:dyDescent="0.35">
      <c r="A962" s="226"/>
      <c r="B962" s="226"/>
      <c r="C962" s="226"/>
      <c r="D962" s="226"/>
      <c r="E962" s="226"/>
      <c r="F962" s="226"/>
      <c r="G962" s="226"/>
      <c r="H962" s="226"/>
      <c r="I962" s="9" t="str">
        <f t="shared" si="14"/>
        <v>__</v>
      </c>
    </row>
    <row r="963" spans="1:9" x14ac:dyDescent="0.35">
      <c r="A963" s="226"/>
      <c r="B963" s="226"/>
      <c r="C963" s="226"/>
      <c r="D963" s="226"/>
      <c r="E963" s="226"/>
      <c r="F963" s="226"/>
      <c r="G963" s="226"/>
      <c r="H963" s="226"/>
      <c r="I963" s="9" t="str">
        <f t="shared" si="14"/>
        <v>__</v>
      </c>
    </row>
    <row r="964" spans="1:9" x14ac:dyDescent="0.35">
      <c r="A964" s="226"/>
      <c r="B964" s="226"/>
      <c r="C964" s="226"/>
      <c r="D964" s="226"/>
      <c r="E964" s="226"/>
      <c r="F964" s="226"/>
      <c r="G964" s="226"/>
      <c r="H964" s="226"/>
      <c r="I964" s="9" t="str">
        <f t="shared" si="14"/>
        <v>__</v>
      </c>
    </row>
    <row r="965" spans="1:9" x14ac:dyDescent="0.35">
      <c r="A965" s="226"/>
      <c r="B965" s="226"/>
      <c r="C965" s="226"/>
      <c r="D965" s="226"/>
      <c r="E965" s="226"/>
      <c r="F965" s="226"/>
      <c r="G965" s="226"/>
      <c r="H965" s="226"/>
      <c r="I965" s="9" t="str">
        <f t="shared" ref="I965:I1028" si="15">CONCATENATE(A965,"_",B965,"_",C965)</f>
        <v>__</v>
      </c>
    </row>
    <row r="966" spans="1:9" x14ac:dyDescent="0.35">
      <c r="A966" s="226"/>
      <c r="B966" s="226"/>
      <c r="C966" s="226"/>
      <c r="D966" s="226"/>
      <c r="E966" s="226"/>
      <c r="F966" s="226"/>
      <c r="G966" s="226"/>
      <c r="H966" s="226"/>
      <c r="I966" s="9" t="str">
        <f t="shared" si="15"/>
        <v>__</v>
      </c>
    </row>
    <row r="967" spans="1:9" x14ac:dyDescent="0.35">
      <c r="A967" s="226"/>
      <c r="B967" s="226"/>
      <c r="C967" s="226"/>
      <c r="D967" s="226"/>
      <c r="E967" s="226"/>
      <c r="F967" s="226"/>
      <c r="G967" s="226"/>
      <c r="H967" s="226"/>
      <c r="I967" s="9" t="str">
        <f t="shared" si="15"/>
        <v>__</v>
      </c>
    </row>
    <row r="968" spans="1:9" x14ac:dyDescent="0.35">
      <c r="A968" s="226"/>
      <c r="B968" s="226"/>
      <c r="C968" s="226"/>
      <c r="D968" s="226"/>
      <c r="E968" s="226"/>
      <c r="F968" s="226"/>
      <c r="G968" s="226"/>
      <c r="H968" s="226"/>
      <c r="I968" s="9" t="str">
        <f t="shared" si="15"/>
        <v>__</v>
      </c>
    </row>
    <row r="969" spans="1:9" x14ac:dyDescent="0.35">
      <c r="A969" s="226"/>
      <c r="B969" s="226"/>
      <c r="C969" s="226"/>
      <c r="D969" s="226"/>
      <c r="E969" s="226"/>
      <c r="F969" s="226"/>
      <c r="G969" s="226"/>
      <c r="H969" s="226"/>
      <c r="I969" s="9" t="str">
        <f t="shared" si="15"/>
        <v>__</v>
      </c>
    </row>
    <row r="970" spans="1:9" x14ac:dyDescent="0.35">
      <c r="A970" s="226"/>
      <c r="B970" s="226"/>
      <c r="C970" s="226"/>
      <c r="D970" s="226"/>
      <c r="E970" s="226"/>
      <c r="F970" s="226"/>
      <c r="G970" s="226"/>
      <c r="H970" s="226"/>
      <c r="I970" s="9" t="str">
        <f t="shared" si="15"/>
        <v>__</v>
      </c>
    </row>
    <row r="971" spans="1:9" x14ac:dyDescent="0.35">
      <c r="A971" s="226"/>
      <c r="B971" s="226"/>
      <c r="C971" s="226"/>
      <c r="D971" s="226"/>
      <c r="E971" s="226"/>
      <c r="F971" s="226"/>
      <c r="G971" s="226"/>
      <c r="H971" s="226"/>
      <c r="I971" s="9" t="str">
        <f t="shared" si="15"/>
        <v>__</v>
      </c>
    </row>
    <row r="972" spans="1:9" x14ac:dyDescent="0.35">
      <c r="A972" s="226"/>
      <c r="B972" s="226"/>
      <c r="C972" s="226"/>
      <c r="D972" s="226"/>
      <c r="E972" s="226"/>
      <c r="F972" s="226"/>
      <c r="G972" s="226"/>
      <c r="H972" s="226"/>
      <c r="I972" s="9" t="str">
        <f t="shared" si="15"/>
        <v>__</v>
      </c>
    </row>
    <row r="973" spans="1:9" x14ac:dyDescent="0.35">
      <c r="A973" s="226"/>
      <c r="B973" s="226"/>
      <c r="C973" s="226"/>
      <c r="D973" s="226"/>
      <c r="E973" s="226"/>
      <c r="F973" s="226"/>
      <c r="G973" s="226"/>
      <c r="H973" s="226"/>
      <c r="I973" s="9" t="str">
        <f t="shared" si="15"/>
        <v>__</v>
      </c>
    </row>
    <row r="974" spans="1:9" x14ac:dyDescent="0.35">
      <c r="A974" s="226"/>
      <c r="B974" s="226"/>
      <c r="C974" s="226"/>
      <c r="D974" s="226"/>
      <c r="E974" s="226"/>
      <c r="F974" s="226"/>
      <c r="G974" s="226"/>
      <c r="H974" s="226"/>
      <c r="I974" s="9" t="str">
        <f t="shared" si="15"/>
        <v>__</v>
      </c>
    </row>
    <row r="975" spans="1:9" x14ac:dyDescent="0.35">
      <c r="A975" s="226"/>
      <c r="B975" s="226"/>
      <c r="C975" s="226"/>
      <c r="D975" s="226"/>
      <c r="E975" s="226"/>
      <c r="F975" s="226"/>
      <c r="G975" s="226"/>
      <c r="H975" s="226"/>
      <c r="I975" s="9" t="str">
        <f t="shared" si="15"/>
        <v>__</v>
      </c>
    </row>
    <row r="976" spans="1:9" x14ac:dyDescent="0.35">
      <c r="A976" s="226"/>
      <c r="B976" s="226"/>
      <c r="C976" s="226"/>
      <c r="D976" s="226"/>
      <c r="E976" s="226"/>
      <c r="F976" s="226"/>
      <c r="G976" s="226"/>
      <c r="H976" s="226"/>
      <c r="I976" s="9" t="str">
        <f t="shared" si="15"/>
        <v>__</v>
      </c>
    </row>
    <row r="977" spans="1:9" x14ac:dyDescent="0.35">
      <c r="A977" s="226"/>
      <c r="B977" s="226"/>
      <c r="C977" s="226"/>
      <c r="D977" s="226"/>
      <c r="E977" s="226"/>
      <c r="F977" s="226"/>
      <c r="G977" s="226"/>
      <c r="H977" s="226"/>
      <c r="I977" s="9" t="str">
        <f t="shared" si="15"/>
        <v>__</v>
      </c>
    </row>
    <row r="978" spans="1:9" x14ac:dyDescent="0.35">
      <c r="A978" s="226"/>
      <c r="B978" s="226"/>
      <c r="C978" s="226"/>
      <c r="D978" s="226"/>
      <c r="E978" s="226"/>
      <c r="F978" s="226"/>
      <c r="G978" s="226"/>
      <c r="H978" s="226"/>
      <c r="I978" s="9" t="str">
        <f t="shared" si="15"/>
        <v>__</v>
      </c>
    </row>
    <row r="979" spans="1:9" x14ac:dyDescent="0.35">
      <c r="A979" s="226"/>
      <c r="B979" s="226"/>
      <c r="C979" s="226"/>
      <c r="D979" s="226"/>
      <c r="E979" s="226"/>
      <c r="F979" s="226"/>
      <c r="G979" s="226"/>
      <c r="H979" s="226"/>
      <c r="I979" s="9" t="str">
        <f t="shared" si="15"/>
        <v>__</v>
      </c>
    </row>
    <row r="980" spans="1:9" x14ac:dyDescent="0.35">
      <c r="A980" s="226"/>
      <c r="B980" s="226"/>
      <c r="C980" s="226"/>
      <c r="D980" s="226"/>
      <c r="E980" s="226"/>
      <c r="F980" s="226"/>
      <c r="G980" s="226"/>
      <c r="H980" s="226"/>
      <c r="I980" s="9" t="str">
        <f t="shared" si="15"/>
        <v>__</v>
      </c>
    </row>
    <row r="981" spans="1:9" x14ac:dyDescent="0.35">
      <c r="A981" s="226"/>
      <c r="B981" s="226"/>
      <c r="C981" s="226"/>
      <c r="D981" s="226"/>
      <c r="E981" s="226"/>
      <c r="F981" s="226"/>
      <c r="G981" s="226"/>
      <c r="H981" s="226"/>
      <c r="I981" s="9" t="str">
        <f t="shared" si="15"/>
        <v>__</v>
      </c>
    </row>
    <row r="982" spans="1:9" x14ac:dyDescent="0.35">
      <c r="A982" s="226"/>
      <c r="B982" s="226"/>
      <c r="C982" s="226"/>
      <c r="D982" s="226"/>
      <c r="E982" s="226"/>
      <c r="F982" s="226"/>
      <c r="G982" s="226"/>
      <c r="H982" s="226"/>
      <c r="I982" s="9" t="str">
        <f t="shared" si="15"/>
        <v>__</v>
      </c>
    </row>
    <row r="983" spans="1:9" x14ac:dyDescent="0.35">
      <c r="A983" s="226"/>
      <c r="B983" s="226"/>
      <c r="C983" s="226"/>
      <c r="D983" s="226"/>
      <c r="E983" s="226"/>
      <c r="F983" s="226"/>
      <c r="G983" s="226"/>
      <c r="H983" s="226"/>
      <c r="I983" s="9" t="str">
        <f t="shared" si="15"/>
        <v>__</v>
      </c>
    </row>
    <row r="984" spans="1:9" x14ac:dyDescent="0.35">
      <c r="A984" s="226"/>
      <c r="B984" s="226"/>
      <c r="C984" s="226"/>
      <c r="D984" s="226"/>
      <c r="E984" s="226"/>
      <c r="F984" s="226"/>
      <c r="G984" s="226"/>
      <c r="H984" s="226"/>
      <c r="I984" s="9" t="str">
        <f t="shared" si="15"/>
        <v>__</v>
      </c>
    </row>
    <row r="985" spans="1:9" x14ac:dyDescent="0.35">
      <c r="A985" s="226"/>
      <c r="B985" s="226"/>
      <c r="C985" s="226"/>
      <c r="D985" s="226"/>
      <c r="E985" s="226"/>
      <c r="F985" s="226"/>
      <c r="G985" s="226"/>
      <c r="H985" s="226"/>
      <c r="I985" s="9" t="str">
        <f t="shared" si="15"/>
        <v>__</v>
      </c>
    </row>
    <row r="986" spans="1:9" x14ac:dyDescent="0.35">
      <c r="A986" s="226"/>
      <c r="B986" s="226"/>
      <c r="C986" s="226"/>
      <c r="D986" s="226"/>
      <c r="E986" s="226"/>
      <c r="F986" s="226"/>
      <c r="G986" s="226"/>
      <c r="H986" s="226"/>
      <c r="I986" s="9" t="str">
        <f t="shared" si="15"/>
        <v>__</v>
      </c>
    </row>
    <row r="987" spans="1:9" x14ac:dyDescent="0.35">
      <c r="A987" s="226"/>
      <c r="B987" s="226"/>
      <c r="C987" s="226"/>
      <c r="D987" s="226"/>
      <c r="E987" s="226"/>
      <c r="F987" s="226"/>
      <c r="G987" s="226"/>
      <c r="H987" s="226"/>
      <c r="I987" s="9" t="str">
        <f t="shared" si="15"/>
        <v>__</v>
      </c>
    </row>
    <row r="988" spans="1:9" x14ac:dyDescent="0.35">
      <c r="A988" s="226"/>
      <c r="B988" s="226"/>
      <c r="C988" s="226"/>
      <c r="D988" s="226"/>
      <c r="E988" s="226"/>
      <c r="F988" s="226"/>
      <c r="G988" s="226"/>
      <c r="H988" s="226"/>
      <c r="I988" s="9" t="str">
        <f t="shared" si="15"/>
        <v>__</v>
      </c>
    </row>
    <row r="989" spans="1:9" x14ac:dyDescent="0.35">
      <c r="A989" s="226"/>
      <c r="B989" s="226"/>
      <c r="C989" s="226"/>
      <c r="D989" s="226"/>
      <c r="E989" s="226"/>
      <c r="F989" s="226"/>
      <c r="G989" s="226"/>
      <c r="H989" s="226"/>
      <c r="I989" s="9" t="str">
        <f t="shared" si="15"/>
        <v>__</v>
      </c>
    </row>
    <row r="990" spans="1:9" x14ac:dyDescent="0.35">
      <c r="A990" s="226"/>
      <c r="B990" s="226"/>
      <c r="C990" s="226"/>
      <c r="D990" s="226"/>
      <c r="E990" s="226"/>
      <c r="F990" s="226"/>
      <c r="G990" s="226"/>
      <c r="H990" s="226"/>
      <c r="I990" s="9" t="str">
        <f t="shared" si="15"/>
        <v>__</v>
      </c>
    </row>
    <row r="991" spans="1:9" x14ac:dyDescent="0.35">
      <c r="A991" s="226"/>
      <c r="B991" s="226"/>
      <c r="C991" s="226"/>
      <c r="D991" s="226"/>
      <c r="E991" s="226"/>
      <c r="F991" s="226"/>
      <c r="G991" s="226"/>
      <c r="H991" s="226"/>
      <c r="I991" s="9" t="str">
        <f t="shared" si="15"/>
        <v>__</v>
      </c>
    </row>
    <row r="992" spans="1:9" x14ac:dyDescent="0.35">
      <c r="A992" s="226"/>
      <c r="B992" s="226"/>
      <c r="C992" s="226"/>
      <c r="D992" s="226"/>
      <c r="E992" s="226"/>
      <c r="F992" s="226"/>
      <c r="G992" s="226"/>
      <c r="H992" s="226"/>
      <c r="I992" s="9" t="str">
        <f t="shared" si="15"/>
        <v>__</v>
      </c>
    </row>
    <row r="993" spans="1:9" x14ac:dyDescent="0.35">
      <c r="A993" s="226"/>
      <c r="B993" s="226"/>
      <c r="C993" s="226"/>
      <c r="D993" s="226"/>
      <c r="E993" s="226"/>
      <c r="F993" s="226"/>
      <c r="G993" s="226"/>
      <c r="H993" s="226"/>
      <c r="I993" s="9" t="str">
        <f t="shared" si="15"/>
        <v>__</v>
      </c>
    </row>
    <row r="994" spans="1:9" x14ac:dyDescent="0.35">
      <c r="A994" s="226"/>
      <c r="B994" s="226"/>
      <c r="C994" s="226"/>
      <c r="D994" s="226"/>
      <c r="E994" s="226"/>
      <c r="F994" s="226"/>
      <c r="G994" s="226"/>
      <c r="H994" s="226"/>
      <c r="I994" s="9" t="str">
        <f t="shared" si="15"/>
        <v>__</v>
      </c>
    </row>
    <row r="995" spans="1:9" x14ac:dyDescent="0.35">
      <c r="A995" s="226"/>
      <c r="B995" s="226"/>
      <c r="C995" s="226"/>
      <c r="D995" s="226"/>
      <c r="E995" s="226"/>
      <c r="F995" s="226"/>
      <c r="G995" s="226"/>
      <c r="H995" s="226"/>
      <c r="I995" s="9" t="str">
        <f t="shared" si="15"/>
        <v>__</v>
      </c>
    </row>
    <row r="996" spans="1:9" x14ac:dyDescent="0.35">
      <c r="A996" s="226"/>
      <c r="B996" s="226"/>
      <c r="C996" s="226"/>
      <c r="D996" s="226"/>
      <c r="E996" s="226"/>
      <c r="F996" s="226"/>
      <c r="G996" s="226"/>
      <c r="H996" s="226"/>
      <c r="I996" s="9" t="str">
        <f t="shared" si="15"/>
        <v>__</v>
      </c>
    </row>
    <row r="997" spans="1:9" x14ac:dyDescent="0.35">
      <c r="A997" s="226"/>
      <c r="B997" s="226"/>
      <c r="C997" s="226"/>
      <c r="D997" s="226"/>
      <c r="E997" s="226"/>
      <c r="F997" s="226"/>
      <c r="G997" s="226"/>
      <c r="H997" s="226"/>
      <c r="I997" s="9" t="str">
        <f t="shared" si="15"/>
        <v>__</v>
      </c>
    </row>
    <row r="998" spans="1:9" x14ac:dyDescent="0.35">
      <c r="A998" s="226"/>
      <c r="B998" s="226"/>
      <c r="C998" s="226"/>
      <c r="D998" s="226"/>
      <c r="E998" s="226"/>
      <c r="F998" s="226"/>
      <c r="G998" s="226"/>
      <c r="H998" s="226"/>
      <c r="I998" s="9" t="str">
        <f t="shared" si="15"/>
        <v>__</v>
      </c>
    </row>
    <row r="999" spans="1:9" x14ac:dyDescent="0.35">
      <c r="A999" s="226"/>
      <c r="B999" s="226"/>
      <c r="C999" s="226"/>
      <c r="D999" s="226"/>
      <c r="E999" s="226"/>
      <c r="F999" s="226"/>
      <c r="G999" s="226"/>
      <c r="H999" s="226"/>
      <c r="I999" s="9" t="str">
        <f t="shared" si="15"/>
        <v>__</v>
      </c>
    </row>
    <row r="1000" spans="1:9" x14ac:dyDescent="0.35">
      <c r="A1000" s="226"/>
      <c r="B1000" s="226"/>
      <c r="C1000" s="226"/>
      <c r="D1000" s="226"/>
      <c r="E1000" s="226"/>
      <c r="F1000" s="226"/>
      <c r="G1000" s="226"/>
      <c r="H1000" s="226"/>
      <c r="I1000" s="9" t="str">
        <f t="shared" si="15"/>
        <v>__</v>
      </c>
    </row>
    <row r="1001" spans="1:9" x14ac:dyDescent="0.35">
      <c r="A1001" s="226"/>
      <c r="B1001" s="226"/>
      <c r="C1001" s="226"/>
      <c r="D1001" s="226"/>
      <c r="E1001" s="226"/>
      <c r="F1001" s="226"/>
      <c r="G1001" s="226"/>
      <c r="H1001" s="226"/>
      <c r="I1001" s="9" t="str">
        <f t="shared" si="15"/>
        <v>__</v>
      </c>
    </row>
    <row r="1002" spans="1:9" x14ac:dyDescent="0.35">
      <c r="A1002" s="226"/>
      <c r="B1002" s="226"/>
      <c r="C1002" s="226"/>
      <c r="D1002" s="226"/>
      <c r="E1002" s="226"/>
      <c r="F1002" s="226"/>
      <c r="G1002" s="226"/>
      <c r="H1002" s="226"/>
      <c r="I1002" s="9" t="str">
        <f t="shared" si="15"/>
        <v>__</v>
      </c>
    </row>
    <row r="1003" spans="1:9" x14ac:dyDescent="0.35">
      <c r="A1003" s="226"/>
      <c r="B1003" s="226"/>
      <c r="C1003" s="226"/>
      <c r="D1003" s="226"/>
      <c r="E1003" s="226"/>
      <c r="F1003" s="226"/>
      <c r="G1003" s="226"/>
      <c r="H1003" s="226"/>
      <c r="I1003" s="9" t="str">
        <f t="shared" si="15"/>
        <v>__</v>
      </c>
    </row>
    <row r="1004" spans="1:9" x14ac:dyDescent="0.35">
      <c r="A1004" s="226"/>
      <c r="B1004" s="226"/>
      <c r="C1004" s="226"/>
      <c r="D1004" s="226"/>
      <c r="E1004" s="226"/>
      <c r="F1004" s="226"/>
      <c r="G1004" s="226"/>
      <c r="H1004" s="226"/>
      <c r="I1004" s="9" t="str">
        <f t="shared" si="15"/>
        <v>__</v>
      </c>
    </row>
    <row r="1005" spans="1:9" x14ac:dyDescent="0.35">
      <c r="A1005" s="226"/>
      <c r="B1005" s="226"/>
      <c r="C1005" s="226"/>
      <c r="D1005" s="226"/>
      <c r="E1005" s="226"/>
      <c r="F1005" s="226"/>
      <c r="G1005" s="226"/>
      <c r="H1005" s="226"/>
      <c r="I1005" s="9" t="str">
        <f t="shared" si="15"/>
        <v>__</v>
      </c>
    </row>
    <row r="1006" spans="1:9" x14ac:dyDescent="0.35">
      <c r="A1006" s="226"/>
      <c r="B1006" s="226"/>
      <c r="C1006" s="226"/>
      <c r="D1006" s="226"/>
      <c r="E1006" s="226"/>
      <c r="F1006" s="226"/>
      <c r="G1006" s="226"/>
      <c r="H1006" s="226"/>
      <c r="I1006" s="9" t="str">
        <f t="shared" si="15"/>
        <v>__</v>
      </c>
    </row>
    <row r="1007" spans="1:9" x14ac:dyDescent="0.35">
      <c r="A1007" s="226"/>
      <c r="B1007" s="226"/>
      <c r="C1007" s="226"/>
      <c r="D1007" s="226"/>
      <c r="E1007" s="226"/>
      <c r="F1007" s="226"/>
      <c r="G1007" s="226"/>
      <c r="H1007" s="226"/>
      <c r="I1007" s="9" t="str">
        <f t="shared" si="15"/>
        <v>__</v>
      </c>
    </row>
    <row r="1008" spans="1:9" x14ac:dyDescent="0.35">
      <c r="A1008" s="226"/>
      <c r="B1008" s="226"/>
      <c r="C1008" s="226"/>
      <c r="D1008" s="226"/>
      <c r="E1008" s="226"/>
      <c r="F1008" s="226"/>
      <c r="G1008" s="226"/>
      <c r="H1008" s="226"/>
      <c r="I1008" s="9" t="str">
        <f t="shared" si="15"/>
        <v>__</v>
      </c>
    </row>
    <row r="1009" spans="1:9" x14ac:dyDescent="0.35">
      <c r="A1009" s="226"/>
      <c r="B1009" s="226"/>
      <c r="C1009" s="226"/>
      <c r="D1009" s="226"/>
      <c r="E1009" s="226"/>
      <c r="F1009" s="226"/>
      <c r="G1009" s="226"/>
      <c r="H1009" s="226"/>
      <c r="I1009" s="9" t="str">
        <f t="shared" si="15"/>
        <v>__</v>
      </c>
    </row>
    <row r="1010" spans="1:9" x14ac:dyDescent="0.35">
      <c r="A1010" s="226"/>
      <c r="B1010" s="226"/>
      <c r="C1010" s="226"/>
      <c r="D1010" s="226"/>
      <c r="E1010" s="226"/>
      <c r="F1010" s="226"/>
      <c r="G1010" s="226"/>
      <c r="H1010" s="226"/>
      <c r="I1010" s="9" t="str">
        <f t="shared" si="15"/>
        <v>__</v>
      </c>
    </row>
    <row r="1011" spans="1:9" x14ac:dyDescent="0.35">
      <c r="A1011" s="226"/>
      <c r="B1011" s="226"/>
      <c r="C1011" s="226"/>
      <c r="D1011" s="226"/>
      <c r="E1011" s="226"/>
      <c r="F1011" s="226"/>
      <c r="G1011" s="226"/>
      <c r="H1011" s="226"/>
      <c r="I1011" s="9" t="str">
        <f t="shared" si="15"/>
        <v>__</v>
      </c>
    </row>
    <row r="1012" spans="1:9" x14ac:dyDescent="0.35">
      <c r="A1012" s="226"/>
      <c r="B1012" s="226"/>
      <c r="C1012" s="226"/>
      <c r="D1012" s="226"/>
      <c r="E1012" s="226"/>
      <c r="F1012" s="226"/>
      <c r="G1012" s="226"/>
      <c r="H1012" s="226"/>
      <c r="I1012" s="9" t="str">
        <f t="shared" si="15"/>
        <v>__</v>
      </c>
    </row>
    <row r="1013" spans="1:9" x14ac:dyDescent="0.35">
      <c r="A1013" s="226"/>
      <c r="B1013" s="226"/>
      <c r="C1013" s="226"/>
      <c r="D1013" s="226"/>
      <c r="E1013" s="226"/>
      <c r="F1013" s="226"/>
      <c r="G1013" s="226"/>
      <c r="H1013" s="226"/>
      <c r="I1013" s="9" t="str">
        <f t="shared" si="15"/>
        <v>__</v>
      </c>
    </row>
    <row r="1014" spans="1:9" x14ac:dyDescent="0.35">
      <c r="A1014" s="226"/>
      <c r="B1014" s="226"/>
      <c r="C1014" s="226"/>
      <c r="D1014" s="226"/>
      <c r="E1014" s="226"/>
      <c r="F1014" s="226"/>
      <c r="G1014" s="226"/>
      <c r="H1014" s="226"/>
      <c r="I1014" s="9" t="str">
        <f t="shared" si="15"/>
        <v>__</v>
      </c>
    </row>
    <row r="1015" spans="1:9" x14ac:dyDescent="0.35">
      <c r="A1015" s="226"/>
      <c r="B1015" s="226"/>
      <c r="C1015" s="226"/>
      <c r="D1015" s="226"/>
      <c r="E1015" s="226"/>
      <c r="F1015" s="226"/>
      <c r="G1015" s="226"/>
      <c r="H1015" s="226"/>
      <c r="I1015" s="9" t="str">
        <f t="shared" si="15"/>
        <v>__</v>
      </c>
    </row>
    <row r="1016" spans="1:9" x14ac:dyDescent="0.35">
      <c r="A1016" s="226"/>
      <c r="B1016" s="226"/>
      <c r="C1016" s="226"/>
      <c r="D1016" s="226"/>
      <c r="E1016" s="226"/>
      <c r="F1016" s="226"/>
      <c r="G1016" s="226"/>
      <c r="H1016" s="226"/>
      <c r="I1016" s="9" t="str">
        <f t="shared" si="15"/>
        <v>__</v>
      </c>
    </row>
    <row r="1017" spans="1:9" x14ac:dyDescent="0.35">
      <c r="A1017" s="226"/>
      <c r="B1017" s="226"/>
      <c r="C1017" s="226"/>
      <c r="D1017" s="226"/>
      <c r="E1017" s="226"/>
      <c r="F1017" s="226"/>
      <c r="G1017" s="226"/>
      <c r="H1017" s="226"/>
      <c r="I1017" s="9" t="str">
        <f t="shared" si="15"/>
        <v>__</v>
      </c>
    </row>
    <row r="1018" spans="1:9" x14ac:dyDescent="0.35">
      <c r="A1018" s="226"/>
      <c r="B1018" s="226"/>
      <c r="C1018" s="226"/>
      <c r="D1018" s="226"/>
      <c r="E1018" s="226"/>
      <c r="F1018" s="226"/>
      <c r="G1018" s="226"/>
      <c r="H1018" s="226"/>
      <c r="I1018" s="9" t="str">
        <f t="shared" si="15"/>
        <v>__</v>
      </c>
    </row>
    <row r="1019" spans="1:9" x14ac:dyDescent="0.35">
      <c r="A1019" s="226"/>
      <c r="B1019" s="226"/>
      <c r="C1019" s="226"/>
      <c r="D1019" s="226"/>
      <c r="E1019" s="226"/>
      <c r="F1019" s="226"/>
      <c r="G1019" s="226"/>
      <c r="H1019" s="226"/>
      <c r="I1019" s="9" t="str">
        <f t="shared" si="15"/>
        <v>__</v>
      </c>
    </row>
    <row r="1020" spans="1:9" x14ac:dyDescent="0.35">
      <c r="A1020" s="226"/>
      <c r="B1020" s="226"/>
      <c r="C1020" s="226"/>
      <c r="D1020" s="226"/>
      <c r="E1020" s="226"/>
      <c r="F1020" s="226"/>
      <c r="G1020" s="226"/>
      <c r="H1020" s="226"/>
      <c r="I1020" s="9" t="str">
        <f t="shared" si="15"/>
        <v>__</v>
      </c>
    </row>
    <row r="1021" spans="1:9" x14ac:dyDescent="0.35">
      <c r="A1021" s="226"/>
      <c r="B1021" s="226"/>
      <c r="C1021" s="226"/>
      <c r="D1021" s="226"/>
      <c r="E1021" s="226"/>
      <c r="F1021" s="226"/>
      <c r="G1021" s="226"/>
      <c r="H1021" s="226"/>
      <c r="I1021" s="9" t="str">
        <f t="shared" si="15"/>
        <v>__</v>
      </c>
    </row>
    <row r="1022" spans="1:9" x14ac:dyDescent="0.35">
      <c r="A1022" s="226"/>
      <c r="B1022" s="226"/>
      <c r="C1022" s="226"/>
      <c r="D1022" s="226"/>
      <c r="E1022" s="226"/>
      <c r="F1022" s="226"/>
      <c r="G1022" s="226"/>
      <c r="H1022" s="226"/>
      <c r="I1022" s="9" t="str">
        <f t="shared" si="15"/>
        <v>__</v>
      </c>
    </row>
    <row r="1023" spans="1:9" x14ac:dyDescent="0.35">
      <c r="A1023" s="226"/>
      <c r="B1023" s="226"/>
      <c r="C1023" s="226"/>
      <c r="D1023" s="226"/>
      <c r="E1023" s="226"/>
      <c r="F1023" s="226"/>
      <c r="G1023" s="226"/>
      <c r="H1023" s="226"/>
      <c r="I1023" s="9" t="str">
        <f t="shared" si="15"/>
        <v>__</v>
      </c>
    </row>
    <row r="1024" spans="1:9" x14ac:dyDescent="0.35">
      <c r="A1024" s="226"/>
      <c r="B1024" s="226"/>
      <c r="C1024" s="226"/>
      <c r="D1024" s="226"/>
      <c r="E1024" s="226"/>
      <c r="F1024" s="226"/>
      <c r="G1024" s="226"/>
      <c r="H1024" s="226"/>
      <c r="I1024" s="9" t="str">
        <f t="shared" si="15"/>
        <v>__</v>
      </c>
    </row>
    <row r="1025" spans="1:9" x14ac:dyDescent="0.35">
      <c r="A1025" s="226"/>
      <c r="B1025" s="226"/>
      <c r="C1025" s="226"/>
      <c r="D1025" s="226"/>
      <c r="E1025" s="226"/>
      <c r="F1025" s="226"/>
      <c r="G1025" s="226"/>
      <c r="H1025" s="226"/>
      <c r="I1025" s="9" t="str">
        <f t="shared" si="15"/>
        <v>__</v>
      </c>
    </row>
    <row r="1026" spans="1:9" x14ac:dyDescent="0.35">
      <c r="A1026" s="226"/>
      <c r="B1026" s="226"/>
      <c r="C1026" s="226"/>
      <c r="D1026" s="226"/>
      <c r="E1026" s="226"/>
      <c r="F1026" s="226"/>
      <c r="G1026" s="226"/>
      <c r="H1026" s="226"/>
      <c r="I1026" s="9" t="str">
        <f t="shared" si="15"/>
        <v>__</v>
      </c>
    </row>
    <row r="1027" spans="1:9" x14ac:dyDescent="0.35">
      <c r="A1027" s="226"/>
      <c r="B1027" s="226"/>
      <c r="C1027" s="226"/>
      <c r="D1027" s="226"/>
      <c r="E1027" s="226"/>
      <c r="F1027" s="226"/>
      <c r="G1027" s="226"/>
      <c r="H1027" s="226"/>
      <c r="I1027" s="9" t="str">
        <f t="shared" si="15"/>
        <v>__</v>
      </c>
    </row>
    <row r="1028" spans="1:9" x14ac:dyDescent="0.35">
      <c r="A1028" s="226"/>
      <c r="B1028" s="226"/>
      <c r="C1028" s="226"/>
      <c r="D1028" s="226"/>
      <c r="E1028" s="226"/>
      <c r="F1028" s="226"/>
      <c r="G1028" s="226"/>
      <c r="H1028" s="226"/>
      <c r="I1028" s="9" t="str">
        <f t="shared" si="15"/>
        <v>__</v>
      </c>
    </row>
    <row r="1029" spans="1:9" x14ac:dyDescent="0.35">
      <c r="A1029" s="226"/>
      <c r="B1029" s="226"/>
      <c r="C1029" s="226"/>
      <c r="D1029" s="226"/>
      <c r="E1029" s="226"/>
      <c r="F1029" s="226"/>
      <c r="G1029" s="226"/>
      <c r="H1029" s="226"/>
      <c r="I1029" s="9" t="str">
        <f t="shared" ref="I1029:I1092" si="16">CONCATENATE(A1029,"_",B1029,"_",C1029)</f>
        <v>__</v>
      </c>
    </row>
    <row r="1030" spans="1:9" x14ac:dyDescent="0.35">
      <c r="A1030" s="226"/>
      <c r="B1030" s="226"/>
      <c r="C1030" s="226"/>
      <c r="D1030" s="226"/>
      <c r="E1030" s="226"/>
      <c r="F1030" s="226"/>
      <c r="G1030" s="226"/>
      <c r="H1030" s="226"/>
      <c r="I1030" s="9" t="str">
        <f t="shared" si="16"/>
        <v>__</v>
      </c>
    </row>
    <row r="1031" spans="1:9" x14ac:dyDescent="0.35">
      <c r="A1031" s="226"/>
      <c r="B1031" s="226"/>
      <c r="C1031" s="226"/>
      <c r="D1031" s="226"/>
      <c r="E1031" s="226"/>
      <c r="F1031" s="226"/>
      <c r="G1031" s="226"/>
      <c r="H1031" s="226"/>
      <c r="I1031" s="9" t="str">
        <f t="shared" si="16"/>
        <v>__</v>
      </c>
    </row>
    <row r="1032" spans="1:9" x14ac:dyDescent="0.35">
      <c r="A1032" s="226"/>
      <c r="B1032" s="226"/>
      <c r="C1032" s="226"/>
      <c r="D1032" s="226"/>
      <c r="E1032" s="226"/>
      <c r="F1032" s="226"/>
      <c r="G1032" s="226"/>
      <c r="H1032" s="226"/>
      <c r="I1032" s="9" t="str">
        <f t="shared" si="16"/>
        <v>__</v>
      </c>
    </row>
    <row r="1033" spans="1:9" x14ac:dyDescent="0.35">
      <c r="A1033" s="226"/>
      <c r="B1033" s="226"/>
      <c r="C1033" s="226"/>
      <c r="D1033" s="226"/>
      <c r="E1033" s="226"/>
      <c r="F1033" s="226"/>
      <c r="G1033" s="226"/>
      <c r="H1033" s="226"/>
      <c r="I1033" s="9" t="str">
        <f t="shared" si="16"/>
        <v>__</v>
      </c>
    </row>
    <row r="1034" spans="1:9" x14ac:dyDescent="0.35">
      <c r="A1034" s="226"/>
      <c r="B1034" s="226"/>
      <c r="C1034" s="226"/>
      <c r="D1034" s="226"/>
      <c r="E1034" s="226"/>
      <c r="F1034" s="226"/>
      <c r="G1034" s="226"/>
      <c r="H1034" s="226"/>
      <c r="I1034" s="9" t="str">
        <f t="shared" si="16"/>
        <v>__</v>
      </c>
    </row>
    <row r="1035" spans="1:9" x14ac:dyDescent="0.35">
      <c r="A1035" s="226"/>
      <c r="B1035" s="226"/>
      <c r="C1035" s="226"/>
      <c r="D1035" s="226"/>
      <c r="E1035" s="226"/>
      <c r="F1035" s="226"/>
      <c r="G1035" s="226"/>
      <c r="H1035" s="226"/>
      <c r="I1035" s="9" t="str">
        <f t="shared" si="16"/>
        <v>__</v>
      </c>
    </row>
    <row r="1036" spans="1:9" x14ac:dyDescent="0.35">
      <c r="A1036" s="226"/>
      <c r="B1036" s="226"/>
      <c r="C1036" s="226"/>
      <c r="D1036" s="226"/>
      <c r="E1036" s="226"/>
      <c r="F1036" s="226"/>
      <c r="G1036" s="226"/>
      <c r="H1036" s="226"/>
      <c r="I1036" s="9" t="str">
        <f t="shared" si="16"/>
        <v>__</v>
      </c>
    </row>
    <row r="1037" spans="1:9" x14ac:dyDescent="0.35">
      <c r="A1037" s="226"/>
      <c r="B1037" s="226"/>
      <c r="C1037" s="226"/>
      <c r="D1037" s="226"/>
      <c r="E1037" s="226"/>
      <c r="F1037" s="226"/>
      <c r="G1037" s="226"/>
      <c r="H1037" s="226"/>
      <c r="I1037" s="9" t="str">
        <f t="shared" si="16"/>
        <v>__</v>
      </c>
    </row>
    <row r="1038" spans="1:9" x14ac:dyDescent="0.35">
      <c r="A1038" s="226"/>
      <c r="B1038" s="226"/>
      <c r="C1038" s="226"/>
      <c r="D1038" s="226"/>
      <c r="E1038" s="226"/>
      <c r="F1038" s="226"/>
      <c r="G1038" s="226"/>
      <c r="H1038" s="226"/>
      <c r="I1038" s="9" t="str">
        <f t="shared" si="16"/>
        <v>__</v>
      </c>
    </row>
    <row r="1039" spans="1:9" x14ac:dyDescent="0.35">
      <c r="A1039" s="226"/>
      <c r="B1039" s="226"/>
      <c r="C1039" s="226"/>
      <c r="D1039" s="226"/>
      <c r="E1039" s="226"/>
      <c r="F1039" s="226"/>
      <c r="G1039" s="226"/>
      <c r="H1039" s="226"/>
      <c r="I1039" s="9" t="str">
        <f t="shared" si="16"/>
        <v>__</v>
      </c>
    </row>
    <row r="1040" spans="1:9" x14ac:dyDescent="0.35">
      <c r="A1040" s="226"/>
      <c r="B1040" s="226"/>
      <c r="C1040" s="226"/>
      <c r="D1040" s="226"/>
      <c r="E1040" s="226"/>
      <c r="F1040" s="226"/>
      <c r="G1040" s="226"/>
      <c r="H1040" s="226"/>
      <c r="I1040" s="9" t="str">
        <f t="shared" si="16"/>
        <v>__</v>
      </c>
    </row>
    <row r="1041" spans="1:9" x14ac:dyDescent="0.35">
      <c r="A1041" s="226"/>
      <c r="B1041" s="226"/>
      <c r="C1041" s="226"/>
      <c r="D1041" s="226"/>
      <c r="E1041" s="226"/>
      <c r="F1041" s="226"/>
      <c r="G1041" s="226"/>
      <c r="H1041" s="226"/>
      <c r="I1041" s="9" t="str">
        <f t="shared" si="16"/>
        <v>__</v>
      </c>
    </row>
    <row r="1042" spans="1:9" x14ac:dyDescent="0.35">
      <c r="A1042" s="226"/>
      <c r="B1042" s="226"/>
      <c r="C1042" s="226"/>
      <c r="D1042" s="226"/>
      <c r="E1042" s="226"/>
      <c r="F1042" s="226"/>
      <c r="G1042" s="226"/>
      <c r="H1042" s="226"/>
      <c r="I1042" s="9" t="str">
        <f t="shared" si="16"/>
        <v>__</v>
      </c>
    </row>
    <row r="1043" spans="1:9" x14ac:dyDescent="0.35">
      <c r="A1043" s="226"/>
      <c r="B1043" s="226"/>
      <c r="C1043" s="226"/>
      <c r="D1043" s="226"/>
      <c r="E1043" s="226"/>
      <c r="F1043" s="226"/>
      <c r="G1043" s="226"/>
      <c r="H1043" s="226"/>
      <c r="I1043" s="9" t="str">
        <f t="shared" si="16"/>
        <v>__</v>
      </c>
    </row>
    <row r="1044" spans="1:9" x14ac:dyDescent="0.35">
      <c r="A1044" s="226"/>
      <c r="B1044" s="226"/>
      <c r="C1044" s="226"/>
      <c r="D1044" s="226"/>
      <c r="E1044" s="226"/>
      <c r="F1044" s="226"/>
      <c r="G1044" s="226"/>
      <c r="H1044" s="226"/>
      <c r="I1044" s="9" t="str">
        <f t="shared" si="16"/>
        <v>__</v>
      </c>
    </row>
    <row r="1045" spans="1:9" x14ac:dyDescent="0.35">
      <c r="A1045" s="226"/>
      <c r="B1045" s="226"/>
      <c r="C1045" s="226"/>
      <c r="D1045" s="226"/>
      <c r="E1045" s="226"/>
      <c r="F1045" s="226"/>
      <c r="G1045" s="226"/>
      <c r="H1045" s="226"/>
      <c r="I1045" s="9" t="str">
        <f t="shared" si="16"/>
        <v>__</v>
      </c>
    </row>
    <row r="1046" spans="1:9" x14ac:dyDescent="0.35">
      <c r="A1046" s="226"/>
      <c r="B1046" s="226"/>
      <c r="C1046" s="226"/>
      <c r="D1046" s="226"/>
      <c r="E1046" s="226"/>
      <c r="F1046" s="226"/>
      <c r="G1046" s="226"/>
      <c r="H1046" s="226"/>
      <c r="I1046" s="9" t="str">
        <f t="shared" si="16"/>
        <v>__</v>
      </c>
    </row>
    <row r="1047" spans="1:9" x14ac:dyDescent="0.35">
      <c r="A1047" s="226"/>
      <c r="B1047" s="226"/>
      <c r="C1047" s="226"/>
      <c r="D1047" s="226"/>
      <c r="E1047" s="226"/>
      <c r="F1047" s="226"/>
      <c r="G1047" s="226"/>
      <c r="H1047" s="226"/>
      <c r="I1047" s="9" t="str">
        <f t="shared" si="16"/>
        <v>__</v>
      </c>
    </row>
    <row r="1048" spans="1:9" x14ac:dyDescent="0.35">
      <c r="A1048" s="226"/>
      <c r="B1048" s="226"/>
      <c r="C1048" s="226"/>
      <c r="D1048" s="226"/>
      <c r="E1048" s="226"/>
      <c r="F1048" s="226"/>
      <c r="G1048" s="226"/>
      <c r="H1048" s="226"/>
      <c r="I1048" s="9" t="str">
        <f t="shared" si="16"/>
        <v>__</v>
      </c>
    </row>
    <row r="1049" spans="1:9" x14ac:dyDescent="0.35">
      <c r="A1049" s="226"/>
      <c r="B1049" s="226"/>
      <c r="C1049" s="226"/>
      <c r="D1049" s="226"/>
      <c r="E1049" s="226"/>
      <c r="F1049" s="226"/>
      <c r="G1049" s="226"/>
      <c r="H1049" s="226"/>
      <c r="I1049" s="9" t="str">
        <f t="shared" si="16"/>
        <v>__</v>
      </c>
    </row>
    <row r="1050" spans="1:9" x14ac:dyDescent="0.35">
      <c r="A1050" s="226"/>
      <c r="B1050" s="226"/>
      <c r="C1050" s="226"/>
      <c r="D1050" s="226"/>
      <c r="E1050" s="226"/>
      <c r="F1050" s="226"/>
      <c r="G1050" s="226"/>
      <c r="H1050" s="226"/>
      <c r="I1050" s="9" t="str">
        <f t="shared" si="16"/>
        <v>__</v>
      </c>
    </row>
    <row r="1051" spans="1:9" x14ac:dyDescent="0.35">
      <c r="A1051" s="226"/>
      <c r="B1051" s="226"/>
      <c r="C1051" s="226"/>
      <c r="D1051" s="226"/>
      <c r="E1051" s="226"/>
      <c r="F1051" s="226"/>
      <c r="G1051" s="226"/>
      <c r="H1051" s="226"/>
      <c r="I1051" s="9" t="str">
        <f t="shared" si="16"/>
        <v>__</v>
      </c>
    </row>
    <row r="1052" spans="1:9" x14ac:dyDescent="0.35">
      <c r="A1052" s="226"/>
      <c r="B1052" s="226"/>
      <c r="C1052" s="226"/>
      <c r="D1052" s="226"/>
      <c r="E1052" s="226"/>
      <c r="F1052" s="226"/>
      <c r="G1052" s="226"/>
      <c r="H1052" s="226"/>
      <c r="I1052" s="9" t="str">
        <f t="shared" si="16"/>
        <v>__</v>
      </c>
    </row>
    <row r="1053" spans="1:9" x14ac:dyDescent="0.35">
      <c r="A1053" s="226"/>
      <c r="B1053" s="226"/>
      <c r="C1053" s="226"/>
      <c r="D1053" s="226"/>
      <c r="E1053" s="226"/>
      <c r="F1053" s="226"/>
      <c r="G1053" s="226"/>
      <c r="H1053" s="226"/>
      <c r="I1053" s="9" t="str">
        <f t="shared" si="16"/>
        <v>__</v>
      </c>
    </row>
    <row r="1054" spans="1:9" x14ac:dyDescent="0.35">
      <c r="A1054" s="226"/>
      <c r="B1054" s="226"/>
      <c r="C1054" s="226"/>
      <c r="D1054" s="226"/>
      <c r="E1054" s="226"/>
      <c r="F1054" s="226"/>
      <c r="G1054" s="226"/>
      <c r="H1054" s="226"/>
      <c r="I1054" s="9" t="str">
        <f t="shared" si="16"/>
        <v>__</v>
      </c>
    </row>
    <row r="1055" spans="1:9" x14ac:dyDescent="0.35">
      <c r="A1055" s="226"/>
      <c r="B1055" s="226"/>
      <c r="C1055" s="226"/>
      <c r="D1055" s="226"/>
      <c r="E1055" s="226"/>
      <c r="F1055" s="226"/>
      <c r="G1055" s="226"/>
      <c r="H1055" s="226"/>
      <c r="I1055" s="9" t="str">
        <f t="shared" si="16"/>
        <v>__</v>
      </c>
    </row>
    <row r="1056" spans="1:9" x14ac:dyDescent="0.35">
      <c r="A1056" s="226"/>
      <c r="B1056" s="226"/>
      <c r="C1056" s="226"/>
      <c r="D1056" s="226"/>
      <c r="E1056" s="226"/>
      <c r="F1056" s="226"/>
      <c r="G1056" s="226"/>
      <c r="H1056" s="226"/>
      <c r="I1056" s="9" t="str">
        <f t="shared" si="16"/>
        <v>__</v>
      </c>
    </row>
    <row r="1057" spans="1:9" x14ac:dyDescent="0.35">
      <c r="A1057" s="226"/>
      <c r="B1057" s="226"/>
      <c r="C1057" s="226"/>
      <c r="D1057" s="226"/>
      <c r="E1057" s="226"/>
      <c r="F1057" s="226"/>
      <c r="G1057" s="226"/>
      <c r="H1057" s="226"/>
      <c r="I1057" s="9" t="str">
        <f t="shared" si="16"/>
        <v>__</v>
      </c>
    </row>
    <row r="1058" spans="1:9" x14ac:dyDescent="0.35">
      <c r="A1058" s="226"/>
      <c r="B1058" s="226"/>
      <c r="C1058" s="226"/>
      <c r="D1058" s="226"/>
      <c r="E1058" s="226"/>
      <c r="F1058" s="226"/>
      <c r="G1058" s="226"/>
      <c r="H1058" s="226"/>
      <c r="I1058" s="9" t="str">
        <f t="shared" si="16"/>
        <v>__</v>
      </c>
    </row>
    <row r="1059" spans="1:9" x14ac:dyDescent="0.35">
      <c r="A1059" s="226"/>
      <c r="B1059" s="226"/>
      <c r="C1059" s="226"/>
      <c r="D1059" s="226"/>
      <c r="E1059" s="226"/>
      <c r="F1059" s="226"/>
      <c r="G1059" s="226"/>
      <c r="H1059" s="226"/>
      <c r="I1059" s="9" t="str">
        <f t="shared" si="16"/>
        <v>__</v>
      </c>
    </row>
    <row r="1060" spans="1:9" x14ac:dyDescent="0.35">
      <c r="A1060" s="226"/>
      <c r="B1060" s="226"/>
      <c r="C1060" s="226"/>
      <c r="D1060" s="226"/>
      <c r="E1060" s="226"/>
      <c r="F1060" s="226"/>
      <c r="G1060" s="226"/>
      <c r="H1060" s="226"/>
      <c r="I1060" s="9" t="str">
        <f t="shared" si="16"/>
        <v>__</v>
      </c>
    </row>
    <row r="1061" spans="1:9" x14ac:dyDescent="0.35">
      <c r="A1061" s="226"/>
      <c r="B1061" s="226"/>
      <c r="C1061" s="226"/>
      <c r="D1061" s="226"/>
      <c r="E1061" s="226"/>
      <c r="F1061" s="226"/>
      <c r="G1061" s="226"/>
      <c r="H1061" s="226"/>
      <c r="I1061" s="9" t="str">
        <f t="shared" si="16"/>
        <v>__</v>
      </c>
    </row>
    <row r="1062" spans="1:9" x14ac:dyDescent="0.35">
      <c r="A1062" s="226"/>
      <c r="B1062" s="226"/>
      <c r="C1062" s="226"/>
      <c r="D1062" s="226"/>
      <c r="E1062" s="226"/>
      <c r="F1062" s="226"/>
      <c r="G1062" s="226"/>
      <c r="H1062" s="226"/>
      <c r="I1062" s="9" t="str">
        <f t="shared" si="16"/>
        <v>__</v>
      </c>
    </row>
    <row r="1063" spans="1:9" x14ac:dyDescent="0.35">
      <c r="A1063" s="226"/>
      <c r="B1063" s="226"/>
      <c r="C1063" s="226"/>
      <c r="D1063" s="226"/>
      <c r="E1063" s="226"/>
      <c r="F1063" s="226"/>
      <c r="G1063" s="226"/>
      <c r="H1063" s="226"/>
      <c r="I1063" s="9" t="str">
        <f t="shared" si="16"/>
        <v>__</v>
      </c>
    </row>
    <row r="1064" spans="1:9" x14ac:dyDescent="0.35">
      <c r="A1064" s="226"/>
      <c r="B1064" s="226"/>
      <c r="C1064" s="226"/>
      <c r="D1064" s="226"/>
      <c r="E1064" s="226"/>
      <c r="F1064" s="226"/>
      <c r="G1064" s="226"/>
      <c r="H1064" s="226"/>
      <c r="I1064" s="9" t="str">
        <f t="shared" si="16"/>
        <v>__</v>
      </c>
    </row>
    <row r="1065" spans="1:9" x14ac:dyDescent="0.35">
      <c r="A1065" s="226"/>
      <c r="B1065" s="226"/>
      <c r="C1065" s="226"/>
      <c r="D1065" s="226"/>
      <c r="E1065" s="226"/>
      <c r="F1065" s="226"/>
      <c r="G1065" s="226"/>
      <c r="H1065" s="226"/>
      <c r="I1065" s="9" t="str">
        <f t="shared" si="16"/>
        <v>__</v>
      </c>
    </row>
    <row r="1066" spans="1:9" x14ac:dyDescent="0.35">
      <c r="A1066" s="226"/>
      <c r="B1066" s="226"/>
      <c r="C1066" s="226"/>
      <c r="D1066" s="226"/>
      <c r="E1066" s="226"/>
      <c r="F1066" s="226"/>
      <c r="G1066" s="226"/>
      <c r="H1066" s="226"/>
      <c r="I1066" s="9" t="str">
        <f t="shared" si="16"/>
        <v>__</v>
      </c>
    </row>
    <row r="1067" spans="1:9" x14ac:dyDescent="0.35">
      <c r="A1067" s="226"/>
      <c r="B1067" s="226"/>
      <c r="C1067" s="226"/>
      <c r="D1067" s="226"/>
      <c r="E1067" s="226"/>
      <c r="F1067" s="226"/>
      <c r="G1067" s="226"/>
      <c r="H1067" s="226"/>
      <c r="I1067" s="9" t="str">
        <f t="shared" si="16"/>
        <v>__</v>
      </c>
    </row>
    <row r="1068" spans="1:9" x14ac:dyDescent="0.35">
      <c r="A1068" s="226"/>
      <c r="B1068" s="226"/>
      <c r="C1068" s="226"/>
      <c r="D1068" s="226"/>
      <c r="E1068" s="226"/>
      <c r="F1068" s="226"/>
      <c r="G1068" s="226"/>
      <c r="H1068" s="226"/>
      <c r="I1068" s="9" t="str">
        <f t="shared" si="16"/>
        <v>__</v>
      </c>
    </row>
    <row r="1069" spans="1:9" x14ac:dyDescent="0.35">
      <c r="A1069" s="226"/>
      <c r="B1069" s="226"/>
      <c r="C1069" s="226"/>
      <c r="D1069" s="226"/>
      <c r="E1069" s="226"/>
      <c r="F1069" s="226"/>
      <c r="G1069" s="226"/>
      <c r="H1069" s="226"/>
      <c r="I1069" s="9" t="str">
        <f t="shared" si="16"/>
        <v>__</v>
      </c>
    </row>
    <row r="1070" spans="1:9" x14ac:dyDescent="0.35">
      <c r="A1070" s="226"/>
      <c r="B1070" s="226"/>
      <c r="C1070" s="226"/>
      <c r="D1070" s="226"/>
      <c r="E1070" s="226"/>
      <c r="F1070" s="226"/>
      <c r="G1070" s="226"/>
      <c r="H1070" s="226"/>
      <c r="I1070" s="9" t="str">
        <f t="shared" si="16"/>
        <v>__</v>
      </c>
    </row>
    <row r="1071" spans="1:9" x14ac:dyDescent="0.35">
      <c r="A1071" s="226"/>
      <c r="B1071" s="226"/>
      <c r="C1071" s="226"/>
      <c r="D1071" s="226"/>
      <c r="E1071" s="226"/>
      <c r="F1071" s="226"/>
      <c r="G1071" s="226"/>
      <c r="H1071" s="226"/>
      <c r="I1071" s="9" t="str">
        <f t="shared" si="16"/>
        <v>__</v>
      </c>
    </row>
    <row r="1072" spans="1:9" x14ac:dyDescent="0.35">
      <c r="A1072" s="226"/>
      <c r="B1072" s="226"/>
      <c r="C1072" s="226"/>
      <c r="D1072" s="226"/>
      <c r="E1072" s="226"/>
      <c r="F1072" s="226"/>
      <c r="G1072" s="226"/>
      <c r="H1072" s="226"/>
      <c r="I1072" s="9" t="str">
        <f t="shared" si="16"/>
        <v>__</v>
      </c>
    </row>
    <row r="1073" spans="1:9" x14ac:dyDescent="0.35">
      <c r="A1073" s="226"/>
      <c r="B1073" s="226"/>
      <c r="C1073" s="226"/>
      <c r="D1073" s="226"/>
      <c r="E1073" s="226"/>
      <c r="F1073" s="226"/>
      <c r="G1073" s="226"/>
      <c r="H1073" s="226"/>
      <c r="I1073" s="9" t="str">
        <f t="shared" si="16"/>
        <v>__</v>
      </c>
    </row>
    <row r="1074" spans="1:9" x14ac:dyDescent="0.35">
      <c r="A1074" s="226"/>
      <c r="B1074" s="226"/>
      <c r="C1074" s="226"/>
      <c r="D1074" s="226"/>
      <c r="E1074" s="226"/>
      <c r="F1074" s="226"/>
      <c r="G1074" s="226"/>
      <c r="H1074" s="226"/>
      <c r="I1074" s="9" t="str">
        <f t="shared" si="16"/>
        <v>__</v>
      </c>
    </row>
    <row r="1075" spans="1:9" x14ac:dyDescent="0.35">
      <c r="A1075" s="226"/>
      <c r="B1075" s="226"/>
      <c r="C1075" s="226"/>
      <c r="D1075" s="226"/>
      <c r="E1075" s="226"/>
      <c r="F1075" s="226"/>
      <c r="G1075" s="226"/>
      <c r="H1075" s="226"/>
      <c r="I1075" s="9" t="str">
        <f t="shared" si="16"/>
        <v>__</v>
      </c>
    </row>
    <row r="1076" spans="1:9" x14ac:dyDescent="0.35">
      <c r="A1076" s="226"/>
      <c r="B1076" s="226"/>
      <c r="C1076" s="226"/>
      <c r="D1076" s="226"/>
      <c r="E1076" s="226"/>
      <c r="F1076" s="226"/>
      <c r="G1076" s="226"/>
      <c r="H1076" s="226"/>
      <c r="I1076" s="9" t="str">
        <f t="shared" si="16"/>
        <v>__</v>
      </c>
    </row>
    <row r="1077" spans="1:9" x14ac:dyDescent="0.35">
      <c r="A1077" s="226"/>
      <c r="B1077" s="226"/>
      <c r="C1077" s="226"/>
      <c r="D1077" s="226"/>
      <c r="E1077" s="226"/>
      <c r="F1077" s="226"/>
      <c r="G1077" s="226"/>
      <c r="H1077" s="226"/>
      <c r="I1077" s="9" t="str">
        <f t="shared" si="16"/>
        <v>__</v>
      </c>
    </row>
    <row r="1078" spans="1:9" x14ac:dyDescent="0.35">
      <c r="A1078" s="226"/>
      <c r="B1078" s="226"/>
      <c r="C1078" s="226"/>
      <c r="D1078" s="226"/>
      <c r="E1078" s="226"/>
      <c r="F1078" s="226"/>
      <c r="G1078" s="226"/>
      <c r="H1078" s="226"/>
      <c r="I1078" s="9" t="str">
        <f t="shared" si="16"/>
        <v>__</v>
      </c>
    </row>
    <row r="1079" spans="1:9" x14ac:dyDescent="0.35">
      <c r="A1079" s="226"/>
      <c r="B1079" s="226"/>
      <c r="C1079" s="226"/>
      <c r="D1079" s="226"/>
      <c r="E1079" s="226"/>
      <c r="F1079" s="226"/>
      <c r="G1079" s="226"/>
      <c r="H1079" s="226"/>
      <c r="I1079" s="9" t="str">
        <f t="shared" si="16"/>
        <v>__</v>
      </c>
    </row>
    <row r="1080" spans="1:9" x14ac:dyDescent="0.35">
      <c r="A1080" s="226"/>
      <c r="B1080" s="226"/>
      <c r="C1080" s="226"/>
      <c r="D1080" s="226"/>
      <c r="E1080" s="226"/>
      <c r="F1080" s="226"/>
      <c r="G1080" s="226"/>
      <c r="H1080" s="226"/>
      <c r="I1080" s="9" t="str">
        <f t="shared" si="16"/>
        <v>__</v>
      </c>
    </row>
    <row r="1081" spans="1:9" x14ac:dyDescent="0.35">
      <c r="A1081" s="226"/>
      <c r="B1081" s="226"/>
      <c r="C1081" s="226"/>
      <c r="D1081" s="226"/>
      <c r="E1081" s="226"/>
      <c r="F1081" s="226"/>
      <c r="G1081" s="226"/>
      <c r="H1081" s="226"/>
      <c r="I1081" s="9" t="str">
        <f t="shared" si="16"/>
        <v>__</v>
      </c>
    </row>
    <row r="1082" spans="1:9" x14ac:dyDescent="0.35">
      <c r="A1082" s="226"/>
      <c r="B1082" s="226"/>
      <c r="C1082" s="226"/>
      <c r="D1082" s="226"/>
      <c r="E1082" s="226"/>
      <c r="F1082" s="226"/>
      <c r="G1082" s="226"/>
      <c r="H1082" s="226"/>
      <c r="I1082" s="9" t="str">
        <f t="shared" si="16"/>
        <v>__</v>
      </c>
    </row>
    <row r="1083" spans="1:9" x14ac:dyDescent="0.35">
      <c r="A1083" s="226"/>
      <c r="B1083" s="226"/>
      <c r="C1083" s="226"/>
      <c r="D1083" s="226"/>
      <c r="E1083" s="226"/>
      <c r="F1083" s="226"/>
      <c r="G1083" s="226"/>
      <c r="H1083" s="226"/>
      <c r="I1083" s="9" t="str">
        <f t="shared" si="16"/>
        <v>__</v>
      </c>
    </row>
    <row r="1084" spans="1:9" x14ac:dyDescent="0.35">
      <c r="A1084" s="226"/>
      <c r="B1084" s="226"/>
      <c r="C1084" s="226"/>
      <c r="D1084" s="226"/>
      <c r="E1084" s="226"/>
      <c r="F1084" s="226"/>
      <c r="G1084" s="226"/>
      <c r="H1084" s="226"/>
      <c r="I1084" s="9" t="str">
        <f t="shared" si="16"/>
        <v>__</v>
      </c>
    </row>
    <row r="1085" spans="1:9" x14ac:dyDescent="0.35">
      <c r="A1085" s="226"/>
      <c r="B1085" s="226"/>
      <c r="C1085" s="226"/>
      <c r="D1085" s="226"/>
      <c r="E1085" s="226"/>
      <c r="F1085" s="226"/>
      <c r="G1085" s="226"/>
      <c r="H1085" s="226"/>
      <c r="I1085" s="9" t="str">
        <f t="shared" si="16"/>
        <v>__</v>
      </c>
    </row>
    <row r="1086" spans="1:9" x14ac:dyDescent="0.35">
      <c r="A1086" s="226"/>
      <c r="B1086" s="226"/>
      <c r="C1086" s="226"/>
      <c r="D1086" s="226"/>
      <c r="E1086" s="226"/>
      <c r="F1086" s="226"/>
      <c r="G1086" s="226"/>
      <c r="H1086" s="226"/>
      <c r="I1086" s="9" t="str">
        <f t="shared" si="16"/>
        <v>__</v>
      </c>
    </row>
    <row r="1087" spans="1:9" x14ac:dyDescent="0.35">
      <c r="A1087" s="226"/>
      <c r="B1087" s="226"/>
      <c r="C1087" s="226"/>
      <c r="D1087" s="226"/>
      <c r="E1087" s="226"/>
      <c r="F1087" s="226"/>
      <c r="G1087" s="226"/>
      <c r="H1087" s="226"/>
      <c r="I1087" s="9" t="str">
        <f t="shared" si="16"/>
        <v>__</v>
      </c>
    </row>
    <row r="1088" spans="1:9" x14ac:dyDescent="0.35">
      <c r="A1088" s="226"/>
      <c r="B1088" s="226"/>
      <c r="C1088" s="226"/>
      <c r="D1088" s="226"/>
      <c r="E1088" s="226"/>
      <c r="F1088" s="226"/>
      <c r="G1088" s="226"/>
      <c r="H1088" s="226"/>
      <c r="I1088" s="9" t="str">
        <f t="shared" si="16"/>
        <v>__</v>
      </c>
    </row>
    <row r="1089" spans="1:9" x14ac:dyDescent="0.35">
      <c r="A1089" s="226"/>
      <c r="B1089" s="226"/>
      <c r="C1089" s="226"/>
      <c r="D1089" s="226"/>
      <c r="E1089" s="226"/>
      <c r="F1089" s="226"/>
      <c r="G1089" s="226"/>
      <c r="H1089" s="226"/>
      <c r="I1089" s="9" t="str">
        <f t="shared" si="16"/>
        <v>__</v>
      </c>
    </row>
    <row r="1090" spans="1:9" x14ac:dyDescent="0.35">
      <c r="A1090" s="226"/>
      <c r="B1090" s="226"/>
      <c r="C1090" s="226"/>
      <c r="D1090" s="226"/>
      <c r="E1090" s="226"/>
      <c r="F1090" s="226"/>
      <c r="G1090" s="226"/>
      <c r="H1090" s="226"/>
      <c r="I1090" s="9" t="str">
        <f t="shared" si="16"/>
        <v>__</v>
      </c>
    </row>
    <row r="1091" spans="1:9" x14ac:dyDescent="0.35">
      <c r="A1091" s="226"/>
      <c r="B1091" s="226"/>
      <c r="C1091" s="226"/>
      <c r="D1091" s="226"/>
      <c r="E1091" s="226"/>
      <c r="F1091" s="226"/>
      <c r="G1091" s="226"/>
      <c r="H1091" s="226"/>
      <c r="I1091" s="9" t="str">
        <f t="shared" si="16"/>
        <v>__</v>
      </c>
    </row>
    <row r="1092" spans="1:9" x14ac:dyDescent="0.35">
      <c r="A1092" s="226"/>
      <c r="B1092" s="226"/>
      <c r="C1092" s="226"/>
      <c r="D1092" s="226"/>
      <c r="E1092" s="226"/>
      <c r="F1092" s="226"/>
      <c r="G1092" s="226"/>
      <c r="H1092" s="226"/>
      <c r="I1092" s="9" t="str">
        <f t="shared" si="16"/>
        <v>__</v>
      </c>
    </row>
    <row r="1093" spans="1:9" x14ac:dyDescent="0.35">
      <c r="A1093" s="226"/>
      <c r="B1093" s="226"/>
      <c r="C1093" s="226"/>
      <c r="D1093" s="226"/>
      <c r="E1093" s="226"/>
      <c r="F1093" s="226"/>
      <c r="G1093" s="226"/>
      <c r="H1093" s="226"/>
      <c r="I1093" s="9" t="str">
        <f t="shared" ref="I1093:I1156" si="17">CONCATENATE(A1093,"_",B1093,"_",C1093)</f>
        <v>__</v>
      </c>
    </row>
    <row r="1094" spans="1:9" x14ac:dyDescent="0.35">
      <c r="A1094" s="226"/>
      <c r="B1094" s="226"/>
      <c r="C1094" s="226"/>
      <c r="D1094" s="226"/>
      <c r="E1094" s="226"/>
      <c r="F1094" s="226"/>
      <c r="G1094" s="226"/>
      <c r="H1094" s="226"/>
      <c r="I1094" s="9" t="str">
        <f t="shared" si="17"/>
        <v>__</v>
      </c>
    </row>
    <row r="1095" spans="1:9" x14ac:dyDescent="0.35">
      <c r="A1095" s="226"/>
      <c r="B1095" s="226"/>
      <c r="C1095" s="226"/>
      <c r="D1095" s="226"/>
      <c r="E1095" s="226"/>
      <c r="F1095" s="226"/>
      <c r="G1095" s="226"/>
      <c r="H1095" s="226"/>
      <c r="I1095" s="9" t="str">
        <f t="shared" si="17"/>
        <v>__</v>
      </c>
    </row>
    <row r="1096" spans="1:9" x14ac:dyDescent="0.35">
      <c r="A1096" s="226"/>
      <c r="B1096" s="226"/>
      <c r="C1096" s="226"/>
      <c r="D1096" s="226"/>
      <c r="E1096" s="226"/>
      <c r="F1096" s="226"/>
      <c r="G1096" s="226"/>
      <c r="H1096" s="226"/>
      <c r="I1096" s="9" t="str">
        <f t="shared" si="17"/>
        <v>__</v>
      </c>
    </row>
    <row r="1097" spans="1:9" x14ac:dyDescent="0.35">
      <c r="A1097" s="226"/>
      <c r="B1097" s="226"/>
      <c r="C1097" s="226"/>
      <c r="D1097" s="226"/>
      <c r="E1097" s="226"/>
      <c r="F1097" s="226"/>
      <c r="G1097" s="226"/>
      <c r="H1097" s="226"/>
      <c r="I1097" s="9" t="str">
        <f t="shared" si="17"/>
        <v>__</v>
      </c>
    </row>
    <row r="1098" spans="1:9" x14ac:dyDescent="0.35">
      <c r="A1098" s="226"/>
      <c r="B1098" s="226"/>
      <c r="C1098" s="226"/>
      <c r="D1098" s="226"/>
      <c r="E1098" s="226"/>
      <c r="F1098" s="226"/>
      <c r="G1098" s="226"/>
      <c r="H1098" s="226"/>
      <c r="I1098" s="9" t="str">
        <f t="shared" si="17"/>
        <v>__</v>
      </c>
    </row>
    <row r="1099" spans="1:9" x14ac:dyDescent="0.35">
      <c r="A1099" s="226"/>
      <c r="B1099" s="226"/>
      <c r="C1099" s="226"/>
      <c r="D1099" s="226"/>
      <c r="E1099" s="226"/>
      <c r="F1099" s="226"/>
      <c r="G1099" s="226"/>
      <c r="H1099" s="226"/>
      <c r="I1099" s="9" t="str">
        <f t="shared" si="17"/>
        <v>__</v>
      </c>
    </row>
    <row r="1100" spans="1:9" x14ac:dyDescent="0.35">
      <c r="A1100" s="226"/>
      <c r="B1100" s="226"/>
      <c r="C1100" s="226"/>
      <c r="D1100" s="226"/>
      <c r="E1100" s="226"/>
      <c r="F1100" s="226"/>
      <c r="G1100" s="226"/>
      <c r="H1100" s="226"/>
      <c r="I1100" s="9" t="str">
        <f t="shared" si="17"/>
        <v>__</v>
      </c>
    </row>
    <row r="1101" spans="1:9" x14ac:dyDescent="0.35">
      <c r="A1101" s="226"/>
      <c r="B1101" s="226"/>
      <c r="C1101" s="226"/>
      <c r="D1101" s="226"/>
      <c r="E1101" s="226"/>
      <c r="F1101" s="226"/>
      <c r="G1101" s="226"/>
      <c r="H1101" s="226"/>
      <c r="I1101" s="9" t="str">
        <f t="shared" si="17"/>
        <v>__</v>
      </c>
    </row>
    <row r="1102" spans="1:9" x14ac:dyDescent="0.35">
      <c r="A1102" s="226"/>
      <c r="B1102" s="226"/>
      <c r="C1102" s="226"/>
      <c r="D1102" s="226"/>
      <c r="E1102" s="226"/>
      <c r="F1102" s="226"/>
      <c r="G1102" s="226"/>
      <c r="H1102" s="226"/>
      <c r="I1102" s="9" t="str">
        <f t="shared" si="17"/>
        <v>__</v>
      </c>
    </row>
    <row r="1103" spans="1:9" x14ac:dyDescent="0.35">
      <c r="A1103" s="226"/>
      <c r="B1103" s="226"/>
      <c r="C1103" s="226"/>
      <c r="D1103" s="226"/>
      <c r="E1103" s="226"/>
      <c r="F1103" s="226"/>
      <c r="G1103" s="226"/>
      <c r="H1103" s="226"/>
      <c r="I1103" s="9" t="str">
        <f t="shared" si="17"/>
        <v>__</v>
      </c>
    </row>
    <row r="1104" spans="1:9" x14ac:dyDescent="0.35">
      <c r="A1104" s="226"/>
      <c r="B1104" s="226"/>
      <c r="C1104" s="226"/>
      <c r="D1104" s="226"/>
      <c r="E1104" s="226"/>
      <c r="F1104" s="226"/>
      <c r="G1104" s="226"/>
      <c r="H1104" s="226"/>
      <c r="I1104" s="9" t="str">
        <f t="shared" si="17"/>
        <v>__</v>
      </c>
    </row>
    <row r="1105" spans="1:9" x14ac:dyDescent="0.35">
      <c r="A1105" s="226"/>
      <c r="B1105" s="226"/>
      <c r="C1105" s="226"/>
      <c r="D1105" s="226"/>
      <c r="E1105" s="226"/>
      <c r="F1105" s="226"/>
      <c r="G1105" s="226"/>
      <c r="H1105" s="226"/>
      <c r="I1105" s="9" t="str">
        <f t="shared" si="17"/>
        <v>__</v>
      </c>
    </row>
    <row r="1106" spans="1:9" x14ac:dyDescent="0.35">
      <c r="A1106" s="226"/>
      <c r="B1106" s="226"/>
      <c r="C1106" s="226"/>
      <c r="D1106" s="226"/>
      <c r="E1106" s="226"/>
      <c r="F1106" s="226"/>
      <c r="G1106" s="226"/>
      <c r="H1106" s="226"/>
      <c r="I1106" s="9" t="str">
        <f t="shared" si="17"/>
        <v>__</v>
      </c>
    </row>
    <row r="1107" spans="1:9" x14ac:dyDescent="0.35">
      <c r="A1107" s="226"/>
      <c r="B1107" s="226"/>
      <c r="C1107" s="226"/>
      <c r="D1107" s="226"/>
      <c r="E1107" s="226"/>
      <c r="F1107" s="226"/>
      <c r="G1107" s="226"/>
      <c r="H1107" s="226"/>
      <c r="I1107" s="9" t="str">
        <f t="shared" si="17"/>
        <v>__</v>
      </c>
    </row>
    <row r="1108" spans="1:9" x14ac:dyDescent="0.35">
      <c r="A1108" s="226"/>
      <c r="B1108" s="226"/>
      <c r="C1108" s="226"/>
      <c r="D1108" s="226"/>
      <c r="E1108" s="226"/>
      <c r="F1108" s="226"/>
      <c r="G1108" s="226"/>
      <c r="H1108" s="226"/>
      <c r="I1108" s="9" t="str">
        <f t="shared" si="17"/>
        <v>__</v>
      </c>
    </row>
    <row r="1109" spans="1:9" x14ac:dyDescent="0.35">
      <c r="A1109" s="226"/>
      <c r="B1109" s="226"/>
      <c r="C1109" s="226"/>
      <c r="D1109" s="226"/>
      <c r="E1109" s="226"/>
      <c r="F1109" s="226"/>
      <c r="G1109" s="226"/>
      <c r="H1109" s="226"/>
      <c r="I1109" s="9" t="str">
        <f t="shared" si="17"/>
        <v>__</v>
      </c>
    </row>
    <row r="1110" spans="1:9" x14ac:dyDescent="0.35">
      <c r="A1110" s="226"/>
      <c r="B1110" s="226"/>
      <c r="C1110" s="226"/>
      <c r="D1110" s="226"/>
      <c r="E1110" s="226"/>
      <c r="F1110" s="226"/>
      <c r="G1110" s="226"/>
      <c r="H1110" s="226"/>
      <c r="I1110" s="9" t="str">
        <f t="shared" si="17"/>
        <v>__</v>
      </c>
    </row>
    <row r="1111" spans="1:9" x14ac:dyDescent="0.35">
      <c r="A1111" s="226"/>
      <c r="B1111" s="226"/>
      <c r="C1111" s="226"/>
      <c r="D1111" s="226"/>
      <c r="E1111" s="226"/>
      <c r="F1111" s="226"/>
      <c r="G1111" s="226"/>
      <c r="H1111" s="226"/>
      <c r="I1111" s="9" t="str">
        <f t="shared" si="17"/>
        <v>__</v>
      </c>
    </row>
    <row r="1112" spans="1:9" x14ac:dyDescent="0.35">
      <c r="A1112" s="226"/>
      <c r="B1112" s="226"/>
      <c r="C1112" s="226"/>
      <c r="D1112" s="226"/>
      <c r="E1112" s="226"/>
      <c r="F1112" s="226"/>
      <c r="G1112" s="226"/>
      <c r="H1112" s="226"/>
      <c r="I1112" s="9" t="str">
        <f t="shared" si="17"/>
        <v>__</v>
      </c>
    </row>
    <row r="1113" spans="1:9" x14ac:dyDescent="0.35">
      <c r="A1113" s="226"/>
      <c r="B1113" s="226"/>
      <c r="C1113" s="226"/>
      <c r="D1113" s="226"/>
      <c r="E1113" s="226"/>
      <c r="F1113" s="226"/>
      <c r="G1113" s="226"/>
      <c r="H1113" s="226"/>
      <c r="I1113" s="9" t="str">
        <f t="shared" si="17"/>
        <v>__</v>
      </c>
    </row>
    <row r="1114" spans="1:9" x14ac:dyDescent="0.35">
      <c r="A1114" s="226"/>
      <c r="B1114" s="226"/>
      <c r="C1114" s="226"/>
      <c r="D1114" s="226"/>
      <c r="E1114" s="226"/>
      <c r="F1114" s="226"/>
      <c r="G1114" s="226"/>
      <c r="H1114" s="226"/>
      <c r="I1114" s="9" t="str">
        <f t="shared" si="17"/>
        <v>__</v>
      </c>
    </row>
    <row r="1115" spans="1:9" x14ac:dyDescent="0.35">
      <c r="A1115" s="226"/>
      <c r="B1115" s="226"/>
      <c r="C1115" s="226"/>
      <c r="D1115" s="226"/>
      <c r="E1115" s="226"/>
      <c r="F1115" s="226"/>
      <c r="G1115" s="226"/>
      <c r="H1115" s="226"/>
      <c r="I1115" s="9" t="str">
        <f t="shared" si="17"/>
        <v>__</v>
      </c>
    </row>
    <row r="1116" spans="1:9" x14ac:dyDescent="0.35">
      <c r="A1116" s="226"/>
      <c r="B1116" s="226"/>
      <c r="C1116" s="226"/>
      <c r="D1116" s="226"/>
      <c r="E1116" s="226"/>
      <c r="F1116" s="226"/>
      <c r="G1116" s="226"/>
      <c r="H1116" s="226"/>
      <c r="I1116" s="9" t="str">
        <f t="shared" si="17"/>
        <v>__</v>
      </c>
    </row>
    <row r="1117" spans="1:9" x14ac:dyDescent="0.35">
      <c r="A1117" s="226"/>
      <c r="B1117" s="226"/>
      <c r="C1117" s="226"/>
      <c r="D1117" s="226"/>
      <c r="E1117" s="226"/>
      <c r="F1117" s="226"/>
      <c r="G1117" s="226"/>
      <c r="H1117" s="226"/>
      <c r="I1117" s="9" t="str">
        <f t="shared" si="17"/>
        <v>__</v>
      </c>
    </row>
    <row r="1118" spans="1:9" x14ac:dyDescent="0.35">
      <c r="A1118" s="226"/>
      <c r="B1118" s="226"/>
      <c r="C1118" s="226"/>
      <c r="D1118" s="226"/>
      <c r="E1118" s="226"/>
      <c r="F1118" s="226"/>
      <c r="G1118" s="226"/>
      <c r="H1118" s="226"/>
      <c r="I1118" s="9" t="str">
        <f t="shared" si="17"/>
        <v>__</v>
      </c>
    </row>
    <row r="1119" spans="1:9" x14ac:dyDescent="0.35">
      <c r="A1119" s="226"/>
      <c r="B1119" s="226"/>
      <c r="C1119" s="226"/>
      <c r="D1119" s="226"/>
      <c r="E1119" s="226"/>
      <c r="F1119" s="226"/>
      <c r="G1119" s="226"/>
      <c r="H1119" s="226"/>
      <c r="I1119" s="9" t="str">
        <f t="shared" si="17"/>
        <v>__</v>
      </c>
    </row>
    <row r="1120" spans="1:9" x14ac:dyDescent="0.35">
      <c r="A1120" s="226"/>
      <c r="B1120" s="226"/>
      <c r="C1120" s="226"/>
      <c r="D1120" s="226"/>
      <c r="E1120" s="226"/>
      <c r="F1120" s="226"/>
      <c r="G1120" s="226"/>
      <c r="H1120" s="226"/>
      <c r="I1120" s="9" t="str">
        <f t="shared" si="17"/>
        <v>__</v>
      </c>
    </row>
    <row r="1121" spans="1:9" x14ac:dyDescent="0.35">
      <c r="A1121" s="226"/>
      <c r="B1121" s="226"/>
      <c r="C1121" s="226"/>
      <c r="D1121" s="226"/>
      <c r="E1121" s="226"/>
      <c r="F1121" s="226"/>
      <c r="G1121" s="226"/>
      <c r="H1121" s="226"/>
      <c r="I1121" s="9" t="str">
        <f t="shared" si="17"/>
        <v>__</v>
      </c>
    </row>
    <row r="1122" spans="1:9" x14ac:dyDescent="0.35">
      <c r="A1122" s="226"/>
      <c r="B1122" s="226"/>
      <c r="C1122" s="226"/>
      <c r="D1122" s="226"/>
      <c r="E1122" s="226"/>
      <c r="F1122" s="226"/>
      <c r="G1122" s="226"/>
      <c r="H1122" s="226"/>
      <c r="I1122" s="9" t="str">
        <f t="shared" si="17"/>
        <v>__</v>
      </c>
    </row>
    <row r="1123" spans="1:9" x14ac:dyDescent="0.35">
      <c r="A1123" s="226"/>
      <c r="B1123" s="226"/>
      <c r="C1123" s="226"/>
      <c r="D1123" s="226"/>
      <c r="E1123" s="226"/>
      <c r="F1123" s="226"/>
      <c r="G1123" s="226"/>
      <c r="H1123" s="226"/>
      <c r="I1123" s="9" t="str">
        <f t="shared" si="17"/>
        <v>__</v>
      </c>
    </row>
    <row r="1124" spans="1:9" x14ac:dyDescent="0.35">
      <c r="A1124" s="226"/>
      <c r="B1124" s="226"/>
      <c r="C1124" s="226"/>
      <c r="D1124" s="226"/>
      <c r="E1124" s="226"/>
      <c r="F1124" s="226"/>
      <c r="G1124" s="226"/>
      <c r="H1124" s="226"/>
      <c r="I1124" s="9" t="str">
        <f t="shared" si="17"/>
        <v>__</v>
      </c>
    </row>
    <row r="1125" spans="1:9" x14ac:dyDescent="0.35">
      <c r="A1125" s="226"/>
      <c r="B1125" s="226"/>
      <c r="C1125" s="226"/>
      <c r="D1125" s="226"/>
      <c r="E1125" s="226"/>
      <c r="F1125" s="226"/>
      <c r="G1125" s="226"/>
      <c r="H1125" s="226"/>
      <c r="I1125" s="9" t="str">
        <f t="shared" si="17"/>
        <v>__</v>
      </c>
    </row>
    <row r="1126" spans="1:9" x14ac:dyDescent="0.35">
      <c r="A1126" s="226"/>
      <c r="B1126" s="226"/>
      <c r="C1126" s="226"/>
      <c r="D1126" s="226"/>
      <c r="E1126" s="226"/>
      <c r="F1126" s="226"/>
      <c r="G1126" s="226"/>
      <c r="H1126" s="226"/>
      <c r="I1126" s="9" t="str">
        <f t="shared" si="17"/>
        <v>__</v>
      </c>
    </row>
    <row r="1127" spans="1:9" x14ac:dyDescent="0.35">
      <c r="A1127" s="226"/>
      <c r="B1127" s="226"/>
      <c r="C1127" s="226"/>
      <c r="D1127" s="226"/>
      <c r="E1127" s="226"/>
      <c r="F1127" s="226"/>
      <c r="G1127" s="226"/>
      <c r="H1127" s="226"/>
      <c r="I1127" s="9" t="str">
        <f t="shared" si="17"/>
        <v>__</v>
      </c>
    </row>
    <row r="1128" spans="1:9" x14ac:dyDescent="0.35">
      <c r="A1128" s="226"/>
      <c r="B1128" s="226"/>
      <c r="C1128" s="226"/>
      <c r="D1128" s="226"/>
      <c r="E1128" s="226"/>
      <c r="F1128" s="226"/>
      <c r="G1128" s="226"/>
      <c r="H1128" s="226"/>
      <c r="I1128" s="9" t="str">
        <f t="shared" si="17"/>
        <v>__</v>
      </c>
    </row>
    <row r="1129" spans="1:9" x14ac:dyDescent="0.35">
      <c r="A1129" s="226"/>
      <c r="B1129" s="226"/>
      <c r="C1129" s="226"/>
      <c r="D1129" s="226"/>
      <c r="E1129" s="226"/>
      <c r="F1129" s="226"/>
      <c r="G1129" s="226"/>
      <c r="H1129" s="226"/>
      <c r="I1129" s="9" t="str">
        <f t="shared" si="17"/>
        <v>__</v>
      </c>
    </row>
    <row r="1130" spans="1:9" x14ac:dyDescent="0.35">
      <c r="A1130" s="226"/>
      <c r="B1130" s="226"/>
      <c r="C1130" s="226"/>
      <c r="D1130" s="226"/>
      <c r="E1130" s="226"/>
      <c r="F1130" s="226"/>
      <c r="G1130" s="226"/>
      <c r="H1130" s="226"/>
      <c r="I1130" s="9" t="str">
        <f t="shared" si="17"/>
        <v>__</v>
      </c>
    </row>
    <row r="1131" spans="1:9" x14ac:dyDescent="0.35">
      <c r="A1131" s="226"/>
      <c r="B1131" s="226"/>
      <c r="C1131" s="226"/>
      <c r="D1131" s="226"/>
      <c r="E1131" s="226"/>
      <c r="F1131" s="226"/>
      <c r="G1131" s="226"/>
      <c r="H1131" s="226"/>
      <c r="I1131" s="9" t="str">
        <f t="shared" si="17"/>
        <v>__</v>
      </c>
    </row>
    <row r="1132" spans="1:9" x14ac:dyDescent="0.35">
      <c r="A1132" s="226"/>
      <c r="B1132" s="226"/>
      <c r="C1132" s="226"/>
      <c r="D1132" s="226"/>
      <c r="E1132" s="226"/>
      <c r="F1132" s="226"/>
      <c r="G1132" s="226"/>
      <c r="H1132" s="226"/>
      <c r="I1132" s="9" t="str">
        <f t="shared" si="17"/>
        <v>__</v>
      </c>
    </row>
    <row r="1133" spans="1:9" x14ac:dyDescent="0.35">
      <c r="A1133" s="226"/>
      <c r="B1133" s="226"/>
      <c r="C1133" s="226"/>
      <c r="D1133" s="226"/>
      <c r="E1133" s="226"/>
      <c r="F1133" s="226"/>
      <c r="G1133" s="226"/>
      <c r="H1133" s="226"/>
      <c r="I1133" s="9" t="str">
        <f t="shared" si="17"/>
        <v>__</v>
      </c>
    </row>
    <row r="1134" spans="1:9" x14ac:dyDescent="0.35">
      <c r="A1134" s="226"/>
      <c r="B1134" s="226"/>
      <c r="C1134" s="226"/>
      <c r="D1134" s="226"/>
      <c r="E1134" s="226"/>
      <c r="F1134" s="226"/>
      <c r="G1134" s="226"/>
      <c r="H1134" s="226"/>
      <c r="I1134" s="9" t="str">
        <f t="shared" si="17"/>
        <v>__</v>
      </c>
    </row>
    <row r="1135" spans="1:9" x14ac:dyDescent="0.35">
      <c r="A1135" s="226"/>
      <c r="B1135" s="226"/>
      <c r="C1135" s="226"/>
      <c r="D1135" s="226"/>
      <c r="E1135" s="226"/>
      <c r="F1135" s="226"/>
      <c r="G1135" s="226"/>
      <c r="H1135" s="226"/>
      <c r="I1135" s="9" t="str">
        <f t="shared" si="17"/>
        <v>__</v>
      </c>
    </row>
    <row r="1136" spans="1:9" x14ac:dyDescent="0.35">
      <c r="A1136" s="226"/>
      <c r="B1136" s="226"/>
      <c r="C1136" s="226"/>
      <c r="D1136" s="226"/>
      <c r="E1136" s="226"/>
      <c r="F1136" s="226"/>
      <c r="G1136" s="226"/>
      <c r="H1136" s="226"/>
      <c r="I1136" s="9" t="str">
        <f t="shared" si="17"/>
        <v>__</v>
      </c>
    </row>
    <row r="1137" spans="1:9" x14ac:dyDescent="0.35">
      <c r="A1137" s="226"/>
      <c r="B1137" s="226"/>
      <c r="C1137" s="226"/>
      <c r="D1137" s="226"/>
      <c r="E1137" s="226"/>
      <c r="F1137" s="226"/>
      <c r="G1137" s="226"/>
      <c r="H1137" s="226"/>
      <c r="I1137" s="9" t="str">
        <f t="shared" si="17"/>
        <v>__</v>
      </c>
    </row>
    <row r="1138" spans="1:9" x14ac:dyDescent="0.35">
      <c r="A1138" s="226"/>
      <c r="B1138" s="226"/>
      <c r="C1138" s="226"/>
      <c r="D1138" s="226"/>
      <c r="E1138" s="226"/>
      <c r="F1138" s="226"/>
      <c r="G1138" s="226"/>
      <c r="H1138" s="226"/>
      <c r="I1138" s="9" t="str">
        <f t="shared" si="17"/>
        <v>__</v>
      </c>
    </row>
    <row r="1139" spans="1:9" x14ac:dyDescent="0.35">
      <c r="A1139" s="226"/>
      <c r="B1139" s="226"/>
      <c r="C1139" s="226"/>
      <c r="D1139" s="226"/>
      <c r="E1139" s="226"/>
      <c r="F1139" s="226"/>
      <c r="G1139" s="226"/>
      <c r="H1139" s="226"/>
      <c r="I1139" s="9" t="str">
        <f t="shared" si="17"/>
        <v>__</v>
      </c>
    </row>
    <row r="1140" spans="1:9" x14ac:dyDescent="0.35">
      <c r="A1140" s="226"/>
      <c r="B1140" s="226"/>
      <c r="C1140" s="226"/>
      <c r="D1140" s="226"/>
      <c r="E1140" s="226"/>
      <c r="F1140" s="226"/>
      <c r="G1140" s="226"/>
      <c r="H1140" s="226"/>
      <c r="I1140" s="9" t="str">
        <f t="shared" si="17"/>
        <v>__</v>
      </c>
    </row>
    <row r="1141" spans="1:9" x14ac:dyDescent="0.35">
      <c r="A1141" s="226"/>
      <c r="B1141" s="226"/>
      <c r="C1141" s="226"/>
      <c r="D1141" s="226"/>
      <c r="E1141" s="226"/>
      <c r="F1141" s="226"/>
      <c r="G1141" s="226"/>
      <c r="H1141" s="226"/>
      <c r="I1141" s="9" t="str">
        <f t="shared" si="17"/>
        <v>__</v>
      </c>
    </row>
    <row r="1142" spans="1:9" x14ac:dyDescent="0.35">
      <c r="A1142" s="226"/>
      <c r="B1142" s="226"/>
      <c r="C1142" s="226"/>
      <c r="D1142" s="226"/>
      <c r="E1142" s="226"/>
      <c r="F1142" s="226"/>
      <c r="G1142" s="226"/>
      <c r="H1142" s="226"/>
      <c r="I1142" s="9" t="str">
        <f t="shared" si="17"/>
        <v>__</v>
      </c>
    </row>
    <row r="1143" spans="1:9" x14ac:dyDescent="0.35">
      <c r="A1143" s="226"/>
      <c r="B1143" s="226"/>
      <c r="C1143" s="226"/>
      <c r="D1143" s="226"/>
      <c r="E1143" s="226"/>
      <c r="F1143" s="226"/>
      <c r="G1143" s="226"/>
      <c r="H1143" s="226"/>
      <c r="I1143" s="9" t="str">
        <f t="shared" si="17"/>
        <v>__</v>
      </c>
    </row>
    <row r="1144" spans="1:9" x14ac:dyDescent="0.35">
      <c r="A1144" s="226"/>
      <c r="B1144" s="226"/>
      <c r="C1144" s="226"/>
      <c r="D1144" s="226"/>
      <c r="E1144" s="226"/>
      <c r="F1144" s="226"/>
      <c r="G1144" s="226"/>
      <c r="H1144" s="226"/>
      <c r="I1144" s="9" t="str">
        <f t="shared" si="17"/>
        <v>__</v>
      </c>
    </row>
    <row r="1145" spans="1:9" x14ac:dyDescent="0.35">
      <c r="A1145" s="226"/>
      <c r="B1145" s="226"/>
      <c r="C1145" s="226"/>
      <c r="D1145" s="226"/>
      <c r="E1145" s="226"/>
      <c r="F1145" s="226"/>
      <c r="G1145" s="226"/>
      <c r="H1145" s="226"/>
      <c r="I1145" s="9" t="str">
        <f t="shared" si="17"/>
        <v>__</v>
      </c>
    </row>
    <row r="1146" spans="1:9" x14ac:dyDescent="0.35">
      <c r="A1146" s="226"/>
      <c r="B1146" s="226"/>
      <c r="C1146" s="226"/>
      <c r="D1146" s="226"/>
      <c r="E1146" s="226"/>
      <c r="F1146" s="226"/>
      <c r="G1146" s="226"/>
      <c r="H1146" s="226"/>
      <c r="I1146" s="9" t="str">
        <f t="shared" si="17"/>
        <v>__</v>
      </c>
    </row>
    <row r="1147" spans="1:9" x14ac:dyDescent="0.35">
      <c r="A1147" s="226"/>
      <c r="B1147" s="226"/>
      <c r="C1147" s="226"/>
      <c r="D1147" s="226"/>
      <c r="E1147" s="226"/>
      <c r="F1147" s="226"/>
      <c r="G1147" s="226"/>
      <c r="H1147" s="226"/>
      <c r="I1147" s="9" t="str">
        <f t="shared" si="17"/>
        <v>__</v>
      </c>
    </row>
    <row r="1148" spans="1:9" x14ac:dyDescent="0.35">
      <c r="A1148" s="226"/>
      <c r="B1148" s="226"/>
      <c r="C1148" s="226"/>
      <c r="D1148" s="226"/>
      <c r="E1148" s="226"/>
      <c r="F1148" s="226"/>
      <c r="G1148" s="226"/>
      <c r="H1148" s="226"/>
      <c r="I1148" s="9" t="str">
        <f t="shared" si="17"/>
        <v>__</v>
      </c>
    </row>
    <row r="1149" spans="1:9" x14ac:dyDescent="0.35">
      <c r="A1149" s="226"/>
      <c r="B1149" s="226"/>
      <c r="C1149" s="226"/>
      <c r="D1149" s="226"/>
      <c r="E1149" s="226"/>
      <c r="F1149" s="226"/>
      <c r="G1149" s="226"/>
      <c r="H1149" s="226"/>
      <c r="I1149" s="9" t="str">
        <f t="shared" si="17"/>
        <v>__</v>
      </c>
    </row>
    <row r="1150" spans="1:9" x14ac:dyDescent="0.35">
      <c r="A1150" s="226"/>
      <c r="B1150" s="226"/>
      <c r="C1150" s="226"/>
      <c r="D1150" s="226"/>
      <c r="E1150" s="226"/>
      <c r="F1150" s="226"/>
      <c r="G1150" s="226"/>
      <c r="H1150" s="226"/>
      <c r="I1150" s="9" t="str">
        <f t="shared" si="17"/>
        <v>__</v>
      </c>
    </row>
    <row r="1151" spans="1:9" x14ac:dyDescent="0.35">
      <c r="A1151" s="226"/>
      <c r="B1151" s="226"/>
      <c r="C1151" s="226"/>
      <c r="D1151" s="226"/>
      <c r="E1151" s="226"/>
      <c r="F1151" s="226"/>
      <c r="G1151" s="226"/>
      <c r="H1151" s="226"/>
      <c r="I1151" s="9" t="str">
        <f t="shared" si="17"/>
        <v>__</v>
      </c>
    </row>
    <row r="1152" spans="1:9" x14ac:dyDescent="0.35">
      <c r="A1152" s="226"/>
      <c r="B1152" s="226"/>
      <c r="C1152" s="226"/>
      <c r="D1152" s="226"/>
      <c r="E1152" s="226"/>
      <c r="F1152" s="226"/>
      <c r="G1152" s="226"/>
      <c r="H1152" s="226"/>
      <c r="I1152" s="9" t="str">
        <f t="shared" si="17"/>
        <v>__</v>
      </c>
    </row>
    <row r="1153" spans="1:9" x14ac:dyDescent="0.35">
      <c r="A1153" s="226"/>
      <c r="B1153" s="226"/>
      <c r="C1153" s="226"/>
      <c r="D1153" s="226"/>
      <c r="E1153" s="226"/>
      <c r="F1153" s="226"/>
      <c r="G1153" s="226"/>
      <c r="H1153" s="226"/>
      <c r="I1153" s="9" t="str">
        <f t="shared" si="17"/>
        <v>__</v>
      </c>
    </row>
    <row r="1154" spans="1:9" x14ac:dyDescent="0.35">
      <c r="A1154" s="226"/>
      <c r="B1154" s="226"/>
      <c r="C1154" s="226"/>
      <c r="D1154" s="226"/>
      <c r="E1154" s="226"/>
      <c r="F1154" s="226"/>
      <c r="G1154" s="226"/>
      <c r="H1154" s="226"/>
      <c r="I1154" s="9" t="str">
        <f t="shared" si="17"/>
        <v>__</v>
      </c>
    </row>
    <row r="1155" spans="1:9" x14ac:dyDescent="0.35">
      <c r="A1155" s="226"/>
      <c r="B1155" s="226"/>
      <c r="C1155" s="226"/>
      <c r="D1155" s="226"/>
      <c r="E1155" s="226"/>
      <c r="F1155" s="226"/>
      <c r="G1155" s="226"/>
      <c r="H1155" s="226"/>
      <c r="I1155" s="9" t="str">
        <f t="shared" si="17"/>
        <v>__</v>
      </c>
    </row>
    <row r="1156" spans="1:9" x14ac:dyDescent="0.35">
      <c r="A1156" s="226"/>
      <c r="B1156" s="226"/>
      <c r="C1156" s="226"/>
      <c r="D1156" s="226"/>
      <c r="E1156" s="226"/>
      <c r="F1156" s="226"/>
      <c r="G1156" s="226"/>
      <c r="H1156" s="226"/>
      <c r="I1156" s="9" t="str">
        <f t="shared" si="17"/>
        <v>__</v>
      </c>
    </row>
    <row r="1157" spans="1:9" x14ac:dyDescent="0.35">
      <c r="A1157" s="226"/>
      <c r="B1157" s="226"/>
      <c r="C1157" s="226"/>
      <c r="D1157" s="226"/>
      <c r="E1157" s="226"/>
      <c r="F1157" s="226"/>
      <c r="G1157" s="226"/>
      <c r="H1157" s="226"/>
      <c r="I1157" s="9" t="str">
        <f t="shared" ref="I1157:I1220" si="18">CONCATENATE(A1157,"_",B1157,"_",C1157)</f>
        <v>__</v>
      </c>
    </row>
    <row r="1158" spans="1:9" x14ac:dyDescent="0.35">
      <c r="A1158" s="226"/>
      <c r="B1158" s="226"/>
      <c r="C1158" s="226"/>
      <c r="D1158" s="226"/>
      <c r="E1158" s="226"/>
      <c r="F1158" s="226"/>
      <c r="G1158" s="226"/>
      <c r="H1158" s="226"/>
      <c r="I1158" s="9" t="str">
        <f t="shared" si="18"/>
        <v>__</v>
      </c>
    </row>
    <row r="1159" spans="1:9" x14ac:dyDescent="0.35">
      <c r="A1159" s="226"/>
      <c r="B1159" s="226"/>
      <c r="C1159" s="226"/>
      <c r="D1159" s="226"/>
      <c r="E1159" s="226"/>
      <c r="F1159" s="226"/>
      <c r="G1159" s="226"/>
      <c r="H1159" s="226"/>
      <c r="I1159" s="9" t="str">
        <f t="shared" si="18"/>
        <v>__</v>
      </c>
    </row>
    <row r="1160" spans="1:9" x14ac:dyDescent="0.35">
      <c r="A1160" s="226"/>
      <c r="B1160" s="226"/>
      <c r="C1160" s="226"/>
      <c r="D1160" s="226"/>
      <c r="E1160" s="226"/>
      <c r="F1160" s="226"/>
      <c r="G1160" s="226"/>
      <c r="H1160" s="226"/>
      <c r="I1160" s="9" t="str">
        <f t="shared" si="18"/>
        <v>__</v>
      </c>
    </row>
    <row r="1161" spans="1:9" x14ac:dyDescent="0.35">
      <c r="A1161" s="226"/>
      <c r="B1161" s="226"/>
      <c r="C1161" s="226"/>
      <c r="D1161" s="226"/>
      <c r="E1161" s="226"/>
      <c r="F1161" s="226"/>
      <c r="G1161" s="226"/>
      <c r="H1161" s="226"/>
      <c r="I1161" s="9" t="str">
        <f t="shared" si="18"/>
        <v>__</v>
      </c>
    </row>
    <row r="1162" spans="1:9" x14ac:dyDescent="0.35">
      <c r="A1162" s="226"/>
      <c r="B1162" s="226"/>
      <c r="C1162" s="226"/>
      <c r="D1162" s="226"/>
      <c r="E1162" s="226"/>
      <c r="F1162" s="226"/>
      <c r="G1162" s="226"/>
      <c r="H1162" s="226"/>
      <c r="I1162" s="9" t="str">
        <f t="shared" si="18"/>
        <v>__</v>
      </c>
    </row>
    <row r="1163" spans="1:9" x14ac:dyDescent="0.35">
      <c r="A1163" s="226"/>
      <c r="B1163" s="226"/>
      <c r="C1163" s="226"/>
      <c r="D1163" s="226"/>
      <c r="E1163" s="226"/>
      <c r="F1163" s="226"/>
      <c r="G1163" s="226"/>
      <c r="H1163" s="226"/>
      <c r="I1163" s="9" t="str">
        <f t="shared" si="18"/>
        <v>__</v>
      </c>
    </row>
    <row r="1164" spans="1:9" x14ac:dyDescent="0.35">
      <c r="A1164" s="226"/>
      <c r="B1164" s="226"/>
      <c r="C1164" s="226"/>
      <c r="D1164" s="226"/>
      <c r="E1164" s="226"/>
      <c r="F1164" s="226"/>
      <c r="G1164" s="226"/>
      <c r="H1164" s="226"/>
      <c r="I1164" s="9" t="str">
        <f t="shared" si="18"/>
        <v>__</v>
      </c>
    </row>
    <row r="1165" spans="1:9" x14ac:dyDescent="0.35">
      <c r="A1165" s="226"/>
      <c r="B1165" s="226"/>
      <c r="C1165" s="226"/>
      <c r="D1165" s="226"/>
      <c r="E1165" s="226"/>
      <c r="F1165" s="226"/>
      <c r="G1165" s="226"/>
      <c r="H1165" s="226"/>
      <c r="I1165" s="9" t="str">
        <f t="shared" si="18"/>
        <v>__</v>
      </c>
    </row>
    <row r="1166" spans="1:9" x14ac:dyDescent="0.35">
      <c r="A1166" s="226"/>
      <c r="B1166" s="226"/>
      <c r="C1166" s="226"/>
      <c r="D1166" s="226"/>
      <c r="E1166" s="226"/>
      <c r="F1166" s="226"/>
      <c r="G1166" s="226"/>
      <c r="H1166" s="226"/>
      <c r="I1166" s="9" t="str">
        <f t="shared" si="18"/>
        <v>__</v>
      </c>
    </row>
    <row r="1167" spans="1:9" x14ac:dyDescent="0.35">
      <c r="A1167" s="226"/>
      <c r="B1167" s="226"/>
      <c r="C1167" s="226"/>
      <c r="D1167" s="226"/>
      <c r="E1167" s="226"/>
      <c r="F1167" s="226"/>
      <c r="G1167" s="226"/>
      <c r="H1167" s="226"/>
      <c r="I1167" s="9" t="str">
        <f t="shared" si="18"/>
        <v>__</v>
      </c>
    </row>
    <row r="1168" spans="1:9" x14ac:dyDescent="0.35">
      <c r="A1168" s="226"/>
      <c r="B1168" s="226"/>
      <c r="C1168" s="226"/>
      <c r="D1168" s="226"/>
      <c r="E1168" s="226"/>
      <c r="F1168" s="226"/>
      <c r="G1168" s="226"/>
      <c r="H1168" s="226"/>
      <c r="I1168" s="9" t="str">
        <f t="shared" si="18"/>
        <v>__</v>
      </c>
    </row>
    <row r="1169" spans="1:9" x14ac:dyDescent="0.35">
      <c r="A1169" s="226"/>
      <c r="B1169" s="226"/>
      <c r="C1169" s="226"/>
      <c r="D1169" s="226"/>
      <c r="E1169" s="226"/>
      <c r="F1169" s="226"/>
      <c r="G1169" s="226"/>
      <c r="H1169" s="226"/>
      <c r="I1169" s="9" t="str">
        <f t="shared" si="18"/>
        <v>__</v>
      </c>
    </row>
    <row r="1170" spans="1:9" x14ac:dyDescent="0.35">
      <c r="A1170" s="226"/>
      <c r="B1170" s="226"/>
      <c r="C1170" s="226"/>
      <c r="D1170" s="226"/>
      <c r="E1170" s="226"/>
      <c r="F1170" s="226"/>
      <c r="G1170" s="226"/>
      <c r="H1170" s="226"/>
      <c r="I1170" s="9" t="str">
        <f t="shared" si="18"/>
        <v>__</v>
      </c>
    </row>
    <row r="1171" spans="1:9" x14ac:dyDescent="0.35">
      <c r="A1171" s="226"/>
      <c r="B1171" s="226"/>
      <c r="C1171" s="226"/>
      <c r="D1171" s="226"/>
      <c r="E1171" s="226"/>
      <c r="F1171" s="226"/>
      <c r="G1171" s="226"/>
      <c r="H1171" s="226"/>
      <c r="I1171" s="9" t="str">
        <f t="shared" si="18"/>
        <v>__</v>
      </c>
    </row>
    <row r="1172" spans="1:9" x14ac:dyDescent="0.35">
      <c r="A1172" s="226"/>
      <c r="B1172" s="226"/>
      <c r="C1172" s="226"/>
      <c r="D1172" s="226"/>
      <c r="E1172" s="226"/>
      <c r="F1172" s="226"/>
      <c r="G1172" s="226"/>
      <c r="H1172" s="226"/>
      <c r="I1172" s="9" t="str">
        <f t="shared" si="18"/>
        <v>__</v>
      </c>
    </row>
    <row r="1173" spans="1:9" x14ac:dyDescent="0.35">
      <c r="A1173" s="226"/>
      <c r="B1173" s="226"/>
      <c r="C1173" s="226"/>
      <c r="D1173" s="226"/>
      <c r="E1173" s="226"/>
      <c r="F1173" s="226"/>
      <c r="G1173" s="226"/>
      <c r="H1173" s="226"/>
      <c r="I1173" s="9" t="str">
        <f t="shared" si="18"/>
        <v>__</v>
      </c>
    </row>
    <row r="1174" spans="1:9" x14ac:dyDescent="0.35">
      <c r="A1174" s="226"/>
      <c r="B1174" s="226"/>
      <c r="C1174" s="226"/>
      <c r="D1174" s="226"/>
      <c r="E1174" s="226"/>
      <c r="F1174" s="226"/>
      <c r="G1174" s="226"/>
      <c r="H1174" s="226"/>
      <c r="I1174" s="9" t="str">
        <f t="shared" si="18"/>
        <v>__</v>
      </c>
    </row>
    <row r="1175" spans="1:9" x14ac:dyDescent="0.35">
      <c r="A1175" s="226"/>
      <c r="B1175" s="226"/>
      <c r="C1175" s="226"/>
      <c r="D1175" s="226"/>
      <c r="E1175" s="226"/>
      <c r="F1175" s="226"/>
      <c r="G1175" s="226"/>
      <c r="H1175" s="226"/>
      <c r="I1175" s="9" t="str">
        <f t="shared" si="18"/>
        <v>__</v>
      </c>
    </row>
    <row r="1176" spans="1:9" x14ac:dyDescent="0.35">
      <c r="A1176" s="226"/>
      <c r="B1176" s="226"/>
      <c r="C1176" s="226"/>
      <c r="D1176" s="226"/>
      <c r="E1176" s="226"/>
      <c r="F1176" s="226"/>
      <c r="G1176" s="226"/>
      <c r="H1176" s="226"/>
      <c r="I1176" s="9" t="str">
        <f t="shared" si="18"/>
        <v>__</v>
      </c>
    </row>
    <row r="1177" spans="1:9" x14ac:dyDescent="0.35">
      <c r="A1177" s="226"/>
      <c r="B1177" s="226"/>
      <c r="C1177" s="226"/>
      <c r="D1177" s="226"/>
      <c r="E1177" s="226"/>
      <c r="F1177" s="226"/>
      <c r="G1177" s="226"/>
      <c r="H1177" s="226"/>
      <c r="I1177" s="9" t="str">
        <f t="shared" si="18"/>
        <v>__</v>
      </c>
    </row>
    <row r="1178" spans="1:9" x14ac:dyDescent="0.35">
      <c r="A1178" s="226"/>
      <c r="B1178" s="226"/>
      <c r="C1178" s="226"/>
      <c r="D1178" s="226"/>
      <c r="E1178" s="226"/>
      <c r="F1178" s="226"/>
      <c r="G1178" s="226"/>
      <c r="H1178" s="226"/>
      <c r="I1178" s="9" t="str">
        <f t="shared" si="18"/>
        <v>__</v>
      </c>
    </row>
    <row r="1179" spans="1:9" x14ac:dyDescent="0.35">
      <c r="A1179" s="226"/>
      <c r="B1179" s="226"/>
      <c r="C1179" s="226"/>
      <c r="D1179" s="226"/>
      <c r="E1179" s="226"/>
      <c r="F1179" s="226"/>
      <c r="G1179" s="226"/>
      <c r="H1179" s="226"/>
      <c r="I1179" s="9" t="str">
        <f t="shared" si="18"/>
        <v>__</v>
      </c>
    </row>
    <row r="1180" spans="1:9" x14ac:dyDescent="0.35">
      <c r="A1180" s="226"/>
      <c r="B1180" s="226"/>
      <c r="C1180" s="226"/>
      <c r="D1180" s="226"/>
      <c r="E1180" s="226"/>
      <c r="F1180" s="226"/>
      <c r="G1180" s="226"/>
      <c r="H1180" s="226"/>
      <c r="I1180" s="9" t="str">
        <f t="shared" si="18"/>
        <v>__</v>
      </c>
    </row>
    <row r="1181" spans="1:9" x14ac:dyDescent="0.35">
      <c r="A1181" s="226"/>
      <c r="B1181" s="226"/>
      <c r="C1181" s="226"/>
      <c r="D1181" s="226"/>
      <c r="E1181" s="226"/>
      <c r="F1181" s="226"/>
      <c r="G1181" s="226"/>
      <c r="H1181" s="226"/>
      <c r="I1181" s="9" t="str">
        <f t="shared" si="18"/>
        <v>__</v>
      </c>
    </row>
    <row r="1182" spans="1:9" x14ac:dyDescent="0.35">
      <c r="A1182" s="226"/>
      <c r="B1182" s="226"/>
      <c r="C1182" s="226"/>
      <c r="D1182" s="226"/>
      <c r="E1182" s="226"/>
      <c r="F1182" s="226"/>
      <c r="G1182" s="226"/>
      <c r="H1182" s="226"/>
      <c r="I1182" s="9" t="str">
        <f t="shared" si="18"/>
        <v>__</v>
      </c>
    </row>
    <row r="1183" spans="1:9" x14ac:dyDescent="0.35">
      <c r="A1183" s="226"/>
      <c r="B1183" s="226"/>
      <c r="C1183" s="226"/>
      <c r="D1183" s="226"/>
      <c r="E1183" s="226"/>
      <c r="F1183" s="226"/>
      <c r="G1183" s="226"/>
      <c r="H1183" s="226"/>
      <c r="I1183" s="9" t="str">
        <f t="shared" si="18"/>
        <v>__</v>
      </c>
    </row>
    <row r="1184" spans="1:9" x14ac:dyDescent="0.35">
      <c r="A1184" s="226"/>
      <c r="B1184" s="226"/>
      <c r="C1184" s="226"/>
      <c r="D1184" s="226"/>
      <c r="E1184" s="226"/>
      <c r="F1184" s="226"/>
      <c r="G1184" s="226"/>
      <c r="H1184" s="226"/>
      <c r="I1184" s="9" t="str">
        <f t="shared" si="18"/>
        <v>__</v>
      </c>
    </row>
    <row r="1185" spans="1:9" x14ac:dyDescent="0.35">
      <c r="A1185" s="226"/>
      <c r="B1185" s="226"/>
      <c r="C1185" s="226"/>
      <c r="D1185" s="226"/>
      <c r="E1185" s="226"/>
      <c r="F1185" s="226"/>
      <c r="G1185" s="226"/>
      <c r="H1185" s="226"/>
      <c r="I1185" s="9" t="str">
        <f t="shared" si="18"/>
        <v>__</v>
      </c>
    </row>
    <row r="1186" spans="1:9" x14ac:dyDescent="0.35">
      <c r="A1186" s="226"/>
      <c r="B1186" s="226"/>
      <c r="C1186" s="226"/>
      <c r="D1186" s="226"/>
      <c r="E1186" s="226"/>
      <c r="F1186" s="226"/>
      <c r="G1186" s="226"/>
      <c r="H1186" s="226"/>
      <c r="I1186" s="9" t="str">
        <f t="shared" si="18"/>
        <v>__</v>
      </c>
    </row>
    <row r="1187" spans="1:9" x14ac:dyDescent="0.35">
      <c r="A1187" s="226"/>
      <c r="B1187" s="226"/>
      <c r="C1187" s="226"/>
      <c r="D1187" s="226"/>
      <c r="E1187" s="226"/>
      <c r="F1187" s="226"/>
      <c r="G1187" s="226"/>
      <c r="H1187" s="226"/>
      <c r="I1187" s="9" t="str">
        <f t="shared" si="18"/>
        <v>__</v>
      </c>
    </row>
    <row r="1188" spans="1:9" x14ac:dyDescent="0.35">
      <c r="A1188" s="226"/>
      <c r="B1188" s="226"/>
      <c r="C1188" s="226"/>
      <c r="D1188" s="226"/>
      <c r="E1188" s="226"/>
      <c r="F1188" s="226"/>
      <c r="G1188" s="226"/>
      <c r="H1188" s="226"/>
      <c r="I1188" s="9" t="str">
        <f t="shared" si="18"/>
        <v>__</v>
      </c>
    </row>
    <row r="1189" spans="1:9" x14ac:dyDescent="0.35">
      <c r="A1189" s="226"/>
      <c r="B1189" s="226"/>
      <c r="C1189" s="226"/>
      <c r="D1189" s="226"/>
      <c r="E1189" s="226"/>
      <c r="F1189" s="226"/>
      <c r="G1189" s="226"/>
      <c r="H1189" s="226"/>
      <c r="I1189" s="9" t="str">
        <f t="shared" si="18"/>
        <v>__</v>
      </c>
    </row>
    <row r="1190" spans="1:9" x14ac:dyDescent="0.35">
      <c r="A1190" s="226"/>
      <c r="B1190" s="226"/>
      <c r="C1190" s="226"/>
      <c r="D1190" s="226"/>
      <c r="E1190" s="226"/>
      <c r="F1190" s="226"/>
      <c r="G1190" s="226"/>
      <c r="H1190" s="226"/>
      <c r="I1190" s="9" t="str">
        <f t="shared" si="18"/>
        <v>__</v>
      </c>
    </row>
    <row r="1191" spans="1:9" x14ac:dyDescent="0.35">
      <c r="A1191" s="226"/>
      <c r="B1191" s="226"/>
      <c r="C1191" s="226"/>
      <c r="D1191" s="226"/>
      <c r="E1191" s="226"/>
      <c r="F1191" s="226"/>
      <c r="G1191" s="226"/>
      <c r="H1191" s="226"/>
      <c r="I1191" s="9" t="str">
        <f t="shared" si="18"/>
        <v>__</v>
      </c>
    </row>
    <row r="1192" spans="1:9" x14ac:dyDescent="0.35">
      <c r="A1192" s="226"/>
      <c r="B1192" s="226"/>
      <c r="C1192" s="226"/>
      <c r="D1192" s="226"/>
      <c r="E1192" s="226"/>
      <c r="F1192" s="226"/>
      <c r="G1192" s="226"/>
      <c r="H1192" s="226"/>
      <c r="I1192" s="9" t="str">
        <f t="shared" si="18"/>
        <v>__</v>
      </c>
    </row>
    <row r="1193" spans="1:9" x14ac:dyDescent="0.35">
      <c r="A1193" s="226"/>
      <c r="B1193" s="226"/>
      <c r="C1193" s="226"/>
      <c r="D1193" s="226"/>
      <c r="E1193" s="226"/>
      <c r="F1193" s="226"/>
      <c r="G1193" s="226"/>
      <c r="H1193" s="226"/>
      <c r="I1193" s="9" t="str">
        <f t="shared" si="18"/>
        <v>__</v>
      </c>
    </row>
    <row r="1194" spans="1:9" x14ac:dyDescent="0.35">
      <c r="A1194" s="226"/>
      <c r="B1194" s="226"/>
      <c r="C1194" s="226"/>
      <c r="D1194" s="226"/>
      <c r="E1194" s="226"/>
      <c r="F1194" s="226"/>
      <c r="G1194" s="226"/>
      <c r="H1194" s="226"/>
      <c r="I1194" s="9" t="str">
        <f t="shared" si="18"/>
        <v>__</v>
      </c>
    </row>
    <row r="1195" spans="1:9" x14ac:dyDescent="0.35">
      <c r="A1195" s="226"/>
      <c r="B1195" s="226"/>
      <c r="C1195" s="226"/>
      <c r="D1195" s="226"/>
      <c r="E1195" s="226"/>
      <c r="F1195" s="226"/>
      <c r="G1195" s="226"/>
      <c r="H1195" s="226"/>
      <c r="I1195" s="9" t="str">
        <f t="shared" si="18"/>
        <v>__</v>
      </c>
    </row>
    <row r="1196" spans="1:9" x14ac:dyDescent="0.35">
      <c r="A1196" s="226"/>
      <c r="B1196" s="226"/>
      <c r="C1196" s="226"/>
      <c r="D1196" s="226"/>
      <c r="E1196" s="226"/>
      <c r="F1196" s="226"/>
      <c r="G1196" s="226"/>
      <c r="H1196" s="226"/>
      <c r="I1196" s="9" t="str">
        <f t="shared" si="18"/>
        <v>__</v>
      </c>
    </row>
    <row r="1197" spans="1:9" x14ac:dyDescent="0.35">
      <c r="A1197" s="226"/>
      <c r="B1197" s="226"/>
      <c r="C1197" s="226"/>
      <c r="D1197" s="226"/>
      <c r="E1197" s="226"/>
      <c r="F1197" s="226"/>
      <c r="G1197" s="226"/>
      <c r="H1197" s="226"/>
      <c r="I1197" s="9" t="str">
        <f t="shared" si="18"/>
        <v>__</v>
      </c>
    </row>
    <row r="1198" spans="1:9" x14ac:dyDescent="0.35">
      <c r="A1198" s="226"/>
      <c r="B1198" s="226"/>
      <c r="C1198" s="226"/>
      <c r="D1198" s="226"/>
      <c r="E1198" s="226"/>
      <c r="F1198" s="226"/>
      <c r="G1198" s="226"/>
      <c r="H1198" s="226"/>
      <c r="I1198" s="9" t="str">
        <f t="shared" si="18"/>
        <v>__</v>
      </c>
    </row>
    <row r="1199" spans="1:9" x14ac:dyDescent="0.35">
      <c r="A1199" s="226"/>
      <c r="B1199" s="226"/>
      <c r="C1199" s="226"/>
      <c r="D1199" s="226"/>
      <c r="E1199" s="226"/>
      <c r="F1199" s="226"/>
      <c r="G1199" s="226"/>
      <c r="H1199" s="226"/>
      <c r="I1199" s="9" t="str">
        <f t="shared" si="18"/>
        <v>__</v>
      </c>
    </row>
    <row r="1200" spans="1:9" x14ac:dyDescent="0.35">
      <c r="A1200" s="226"/>
      <c r="B1200" s="226"/>
      <c r="C1200" s="226"/>
      <c r="D1200" s="226"/>
      <c r="E1200" s="226"/>
      <c r="F1200" s="226"/>
      <c r="G1200" s="226"/>
      <c r="H1200" s="226"/>
      <c r="I1200" s="9" t="str">
        <f t="shared" si="18"/>
        <v>__</v>
      </c>
    </row>
    <row r="1201" spans="1:9" x14ac:dyDescent="0.35">
      <c r="A1201" s="226"/>
      <c r="B1201" s="226"/>
      <c r="C1201" s="226"/>
      <c r="D1201" s="226"/>
      <c r="E1201" s="226"/>
      <c r="F1201" s="226"/>
      <c r="G1201" s="226"/>
      <c r="H1201" s="226"/>
      <c r="I1201" s="9" t="str">
        <f t="shared" si="18"/>
        <v>__</v>
      </c>
    </row>
    <row r="1202" spans="1:9" x14ac:dyDescent="0.35">
      <c r="A1202" s="226"/>
      <c r="B1202" s="226"/>
      <c r="C1202" s="226"/>
      <c r="D1202" s="226"/>
      <c r="E1202" s="226"/>
      <c r="F1202" s="226"/>
      <c r="G1202" s="226"/>
      <c r="H1202" s="226"/>
      <c r="I1202" s="9" t="str">
        <f t="shared" si="18"/>
        <v>__</v>
      </c>
    </row>
    <row r="1203" spans="1:9" x14ac:dyDescent="0.35">
      <c r="A1203" s="226"/>
      <c r="B1203" s="226"/>
      <c r="C1203" s="226"/>
      <c r="D1203" s="226"/>
      <c r="E1203" s="226"/>
      <c r="F1203" s="226"/>
      <c r="G1203" s="226"/>
      <c r="H1203" s="226"/>
      <c r="I1203" s="9" t="str">
        <f t="shared" si="18"/>
        <v>__</v>
      </c>
    </row>
    <row r="1204" spans="1:9" x14ac:dyDescent="0.35">
      <c r="A1204" s="226"/>
      <c r="B1204" s="226"/>
      <c r="C1204" s="226"/>
      <c r="D1204" s="226"/>
      <c r="E1204" s="226"/>
      <c r="F1204" s="226"/>
      <c r="G1204" s="226"/>
      <c r="H1204" s="226"/>
      <c r="I1204" s="9" t="str">
        <f t="shared" si="18"/>
        <v>__</v>
      </c>
    </row>
    <row r="1205" spans="1:9" x14ac:dyDescent="0.35">
      <c r="A1205" s="226"/>
      <c r="B1205" s="226"/>
      <c r="C1205" s="226"/>
      <c r="D1205" s="226"/>
      <c r="E1205" s="226"/>
      <c r="F1205" s="226"/>
      <c r="G1205" s="226"/>
      <c r="H1205" s="226"/>
      <c r="I1205" s="9" t="str">
        <f t="shared" si="18"/>
        <v>__</v>
      </c>
    </row>
    <row r="1206" spans="1:9" x14ac:dyDescent="0.35">
      <c r="A1206" s="226"/>
      <c r="B1206" s="226"/>
      <c r="C1206" s="226"/>
      <c r="D1206" s="226"/>
      <c r="E1206" s="226"/>
      <c r="F1206" s="226"/>
      <c r="G1206" s="226"/>
      <c r="H1206" s="226"/>
      <c r="I1206" s="9" t="str">
        <f t="shared" si="18"/>
        <v>__</v>
      </c>
    </row>
    <row r="1207" spans="1:9" x14ac:dyDescent="0.35">
      <c r="A1207" s="226"/>
      <c r="B1207" s="226"/>
      <c r="C1207" s="226"/>
      <c r="D1207" s="226"/>
      <c r="E1207" s="226"/>
      <c r="F1207" s="226"/>
      <c r="G1207" s="226"/>
      <c r="H1207" s="226"/>
      <c r="I1207" s="9" t="str">
        <f t="shared" si="18"/>
        <v>__</v>
      </c>
    </row>
    <row r="1208" spans="1:9" x14ac:dyDescent="0.35">
      <c r="A1208" s="226"/>
      <c r="B1208" s="226"/>
      <c r="C1208" s="226"/>
      <c r="D1208" s="226"/>
      <c r="E1208" s="226"/>
      <c r="F1208" s="226"/>
      <c r="G1208" s="226"/>
      <c r="H1208" s="226"/>
      <c r="I1208" s="9" t="str">
        <f t="shared" si="18"/>
        <v>__</v>
      </c>
    </row>
    <row r="1209" spans="1:9" x14ac:dyDescent="0.35">
      <c r="A1209" s="226"/>
      <c r="B1209" s="226"/>
      <c r="C1209" s="226"/>
      <c r="D1209" s="226"/>
      <c r="E1209" s="226"/>
      <c r="F1209" s="226"/>
      <c r="G1209" s="226"/>
      <c r="H1209" s="226"/>
      <c r="I1209" s="9" t="str">
        <f t="shared" si="18"/>
        <v>__</v>
      </c>
    </row>
    <row r="1210" spans="1:9" x14ac:dyDescent="0.35">
      <c r="A1210" s="226"/>
      <c r="B1210" s="226"/>
      <c r="C1210" s="226"/>
      <c r="D1210" s="226"/>
      <c r="E1210" s="226"/>
      <c r="F1210" s="226"/>
      <c r="G1210" s="226"/>
      <c r="H1210" s="226"/>
      <c r="I1210" s="9" t="str">
        <f t="shared" si="18"/>
        <v>__</v>
      </c>
    </row>
    <row r="1211" spans="1:9" x14ac:dyDescent="0.35">
      <c r="A1211" s="226"/>
      <c r="B1211" s="226"/>
      <c r="C1211" s="226"/>
      <c r="D1211" s="226"/>
      <c r="E1211" s="226"/>
      <c r="F1211" s="226"/>
      <c r="G1211" s="226"/>
      <c r="H1211" s="226"/>
      <c r="I1211" s="9" t="str">
        <f t="shared" si="18"/>
        <v>__</v>
      </c>
    </row>
    <row r="1212" spans="1:9" x14ac:dyDescent="0.35">
      <c r="A1212" s="226"/>
      <c r="B1212" s="226"/>
      <c r="C1212" s="226"/>
      <c r="D1212" s="226"/>
      <c r="E1212" s="226"/>
      <c r="F1212" s="226"/>
      <c r="G1212" s="226"/>
      <c r="H1212" s="226"/>
      <c r="I1212" s="9" t="str">
        <f t="shared" si="18"/>
        <v>__</v>
      </c>
    </row>
    <row r="1213" spans="1:9" x14ac:dyDescent="0.35">
      <c r="A1213" s="226"/>
      <c r="B1213" s="226"/>
      <c r="C1213" s="226"/>
      <c r="D1213" s="226"/>
      <c r="E1213" s="226"/>
      <c r="F1213" s="226"/>
      <c r="G1213" s="226"/>
      <c r="H1213" s="226"/>
      <c r="I1213" s="9" t="str">
        <f t="shared" si="18"/>
        <v>__</v>
      </c>
    </row>
    <row r="1214" spans="1:9" x14ac:dyDescent="0.35">
      <c r="A1214" s="226"/>
      <c r="B1214" s="226"/>
      <c r="C1214" s="226"/>
      <c r="D1214" s="226"/>
      <c r="E1214" s="226"/>
      <c r="F1214" s="226"/>
      <c r="G1214" s="226"/>
      <c r="H1214" s="226"/>
      <c r="I1214" s="9" t="str">
        <f t="shared" si="18"/>
        <v>__</v>
      </c>
    </row>
    <row r="1215" spans="1:9" x14ac:dyDescent="0.35">
      <c r="A1215" s="226"/>
      <c r="B1215" s="226"/>
      <c r="C1215" s="226"/>
      <c r="D1215" s="226"/>
      <c r="E1215" s="226"/>
      <c r="F1215" s="226"/>
      <c r="G1215" s="226"/>
      <c r="H1215" s="226"/>
      <c r="I1215" s="9" t="str">
        <f t="shared" si="18"/>
        <v>__</v>
      </c>
    </row>
    <row r="1216" spans="1:9" x14ac:dyDescent="0.35">
      <c r="A1216" s="226"/>
      <c r="B1216" s="226"/>
      <c r="C1216" s="226"/>
      <c r="D1216" s="226"/>
      <c r="E1216" s="226"/>
      <c r="F1216" s="226"/>
      <c r="G1216" s="226"/>
      <c r="H1216" s="226"/>
      <c r="I1216" s="9" t="str">
        <f t="shared" si="18"/>
        <v>__</v>
      </c>
    </row>
    <row r="1217" spans="1:9" x14ac:dyDescent="0.35">
      <c r="A1217" s="226"/>
      <c r="B1217" s="226"/>
      <c r="C1217" s="226"/>
      <c r="D1217" s="226"/>
      <c r="E1217" s="226"/>
      <c r="F1217" s="226"/>
      <c r="G1217" s="226"/>
      <c r="H1217" s="226"/>
      <c r="I1217" s="9" t="str">
        <f t="shared" si="18"/>
        <v>__</v>
      </c>
    </row>
    <row r="1218" spans="1:9" x14ac:dyDescent="0.35">
      <c r="A1218" s="226"/>
      <c r="B1218" s="226"/>
      <c r="C1218" s="226"/>
      <c r="D1218" s="226"/>
      <c r="E1218" s="226"/>
      <c r="F1218" s="226"/>
      <c r="G1218" s="226"/>
      <c r="H1218" s="226"/>
      <c r="I1218" s="9" t="str">
        <f t="shared" si="18"/>
        <v>__</v>
      </c>
    </row>
    <row r="1219" spans="1:9" x14ac:dyDescent="0.35">
      <c r="A1219" s="226"/>
      <c r="B1219" s="226"/>
      <c r="C1219" s="226"/>
      <c r="D1219" s="226"/>
      <c r="E1219" s="226"/>
      <c r="F1219" s="226"/>
      <c r="G1219" s="226"/>
      <c r="H1219" s="226"/>
      <c r="I1219" s="9" t="str">
        <f t="shared" si="18"/>
        <v>__</v>
      </c>
    </row>
    <row r="1220" spans="1:9" x14ac:dyDescent="0.35">
      <c r="A1220" s="226"/>
      <c r="B1220" s="226"/>
      <c r="C1220" s="226"/>
      <c r="D1220" s="226"/>
      <c r="E1220" s="226"/>
      <c r="F1220" s="226"/>
      <c r="G1220" s="226"/>
      <c r="H1220" s="226"/>
      <c r="I1220" s="9" t="str">
        <f t="shared" si="18"/>
        <v>__</v>
      </c>
    </row>
    <row r="1221" spans="1:9" x14ac:dyDescent="0.35">
      <c r="A1221" s="226"/>
      <c r="B1221" s="226"/>
      <c r="C1221" s="226"/>
      <c r="D1221" s="226"/>
      <c r="E1221" s="226"/>
      <c r="F1221" s="226"/>
      <c r="G1221" s="226"/>
      <c r="H1221" s="226"/>
      <c r="I1221" s="9" t="str">
        <f t="shared" ref="I1221:I1284" si="19">CONCATENATE(A1221,"_",B1221,"_",C1221)</f>
        <v>__</v>
      </c>
    </row>
    <row r="1222" spans="1:9" x14ac:dyDescent="0.35">
      <c r="A1222" s="226"/>
      <c r="B1222" s="226"/>
      <c r="C1222" s="226"/>
      <c r="D1222" s="226"/>
      <c r="E1222" s="226"/>
      <c r="F1222" s="226"/>
      <c r="G1222" s="226"/>
      <c r="H1222" s="226"/>
      <c r="I1222" s="9" t="str">
        <f t="shared" si="19"/>
        <v>__</v>
      </c>
    </row>
    <row r="1223" spans="1:9" x14ac:dyDescent="0.35">
      <c r="A1223" s="226"/>
      <c r="B1223" s="226"/>
      <c r="C1223" s="226"/>
      <c r="D1223" s="226"/>
      <c r="E1223" s="226"/>
      <c r="F1223" s="226"/>
      <c r="G1223" s="226"/>
      <c r="H1223" s="226"/>
      <c r="I1223" s="9" t="str">
        <f t="shared" si="19"/>
        <v>__</v>
      </c>
    </row>
    <row r="1224" spans="1:9" x14ac:dyDescent="0.35">
      <c r="A1224" s="226"/>
      <c r="B1224" s="226"/>
      <c r="C1224" s="226"/>
      <c r="D1224" s="226"/>
      <c r="E1224" s="226"/>
      <c r="F1224" s="226"/>
      <c r="G1224" s="226"/>
      <c r="H1224" s="226"/>
      <c r="I1224" s="9" t="str">
        <f t="shared" si="19"/>
        <v>__</v>
      </c>
    </row>
    <row r="1225" spans="1:9" x14ac:dyDescent="0.35">
      <c r="A1225" s="226"/>
      <c r="B1225" s="226"/>
      <c r="C1225" s="226"/>
      <c r="D1225" s="226"/>
      <c r="E1225" s="226"/>
      <c r="F1225" s="226"/>
      <c r="G1225" s="226"/>
      <c r="H1225" s="226"/>
      <c r="I1225" s="9" t="str">
        <f t="shared" si="19"/>
        <v>__</v>
      </c>
    </row>
    <row r="1226" spans="1:9" x14ac:dyDescent="0.35">
      <c r="A1226" s="226"/>
      <c r="B1226" s="226"/>
      <c r="C1226" s="226"/>
      <c r="D1226" s="226"/>
      <c r="E1226" s="226"/>
      <c r="F1226" s="226"/>
      <c r="G1226" s="226"/>
      <c r="H1226" s="226"/>
      <c r="I1226" s="9" t="str">
        <f t="shared" si="19"/>
        <v>__</v>
      </c>
    </row>
    <row r="1227" spans="1:9" x14ac:dyDescent="0.35">
      <c r="A1227" s="226"/>
      <c r="B1227" s="226"/>
      <c r="C1227" s="226"/>
      <c r="D1227" s="226"/>
      <c r="E1227" s="226"/>
      <c r="F1227" s="226"/>
      <c r="G1227" s="226"/>
      <c r="H1227" s="226"/>
      <c r="I1227" s="9" t="str">
        <f t="shared" si="19"/>
        <v>__</v>
      </c>
    </row>
    <row r="1228" spans="1:9" x14ac:dyDescent="0.35">
      <c r="A1228" s="226"/>
      <c r="B1228" s="226"/>
      <c r="C1228" s="226"/>
      <c r="D1228" s="226"/>
      <c r="E1228" s="226"/>
      <c r="F1228" s="226"/>
      <c r="G1228" s="226"/>
      <c r="H1228" s="226"/>
      <c r="I1228" s="9" t="str">
        <f t="shared" si="19"/>
        <v>__</v>
      </c>
    </row>
    <row r="1229" spans="1:9" x14ac:dyDescent="0.35">
      <c r="A1229" s="226"/>
      <c r="B1229" s="226"/>
      <c r="C1229" s="226"/>
      <c r="D1229" s="226"/>
      <c r="E1229" s="226"/>
      <c r="F1229" s="226"/>
      <c r="G1229" s="226"/>
      <c r="H1229" s="226"/>
      <c r="I1229" s="9" t="str">
        <f t="shared" si="19"/>
        <v>__</v>
      </c>
    </row>
    <row r="1230" spans="1:9" x14ac:dyDescent="0.35">
      <c r="A1230" s="226"/>
      <c r="B1230" s="226"/>
      <c r="C1230" s="226"/>
      <c r="D1230" s="226"/>
      <c r="E1230" s="226"/>
      <c r="F1230" s="226"/>
      <c r="G1230" s="226"/>
      <c r="H1230" s="226"/>
      <c r="I1230" s="9" t="str">
        <f t="shared" si="19"/>
        <v>__</v>
      </c>
    </row>
    <row r="1231" spans="1:9" x14ac:dyDescent="0.35">
      <c r="A1231" s="226"/>
      <c r="B1231" s="226"/>
      <c r="C1231" s="226"/>
      <c r="D1231" s="226"/>
      <c r="E1231" s="226"/>
      <c r="F1231" s="226"/>
      <c r="G1231" s="226"/>
      <c r="H1231" s="226"/>
      <c r="I1231" s="9" t="str">
        <f t="shared" si="19"/>
        <v>__</v>
      </c>
    </row>
    <row r="1232" spans="1:9" x14ac:dyDescent="0.35">
      <c r="A1232" s="226"/>
      <c r="B1232" s="226"/>
      <c r="C1232" s="226"/>
      <c r="D1232" s="226"/>
      <c r="E1232" s="226"/>
      <c r="F1232" s="226"/>
      <c r="G1232" s="226"/>
      <c r="H1232" s="226"/>
      <c r="I1232" s="9" t="str">
        <f t="shared" si="19"/>
        <v>__</v>
      </c>
    </row>
    <row r="1233" spans="1:9" x14ac:dyDescent="0.35">
      <c r="A1233" s="226"/>
      <c r="B1233" s="226"/>
      <c r="C1233" s="226"/>
      <c r="D1233" s="226"/>
      <c r="E1233" s="226"/>
      <c r="F1233" s="226"/>
      <c r="G1233" s="226"/>
      <c r="H1233" s="226"/>
      <c r="I1233" s="9" t="str">
        <f t="shared" si="19"/>
        <v>__</v>
      </c>
    </row>
    <row r="1234" spans="1:9" x14ac:dyDescent="0.35">
      <c r="A1234" s="226"/>
      <c r="B1234" s="226"/>
      <c r="C1234" s="226"/>
      <c r="D1234" s="226"/>
      <c r="E1234" s="226"/>
      <c r="F1234" s="226"/>
      <c r="G1234" s="226"/>
      <c r="H1234" s="226"/>
      <c r="I1234" s="9" t="str">
        <f t="shared" si="19"/>
        <v>__</v>
      </c>
    </row>
    <row r="1235" spans="1:9" x14ac:dyDescent="0.35">
      <c r="A1235" s="226"/>
      <c r="B1235" s="226"/>
      <c r="C1235" s="226"/>
      <c r="D1235" s="226"/>
      <c r="E1235" s="226"/>
      <c r="F1235" s="226"/>
      <c r="G1235" s="226"/>
      <c r="H1235" s="226"/>
      <c r="I1235" s="9" t="str">
        <f t="shared" si="19"/>
        <v>__</v>
      </c>
    </row>
    <row r="1236" spans="1:9" x14ac:dyDescent="0.35">
      <c r="A1236" s="226"/>
      <c r="B1236" s="226"/>
      <c r="C1236" s="226"/>
      <c r="D1236" s="226"/>
      <c r="E1236" s="226"/>
      <c r="F1236" s="226"/>
      <c r="G1236" s="226"/>
      <c r="H1236" s="226"/>
      <c r="I1236" s="9" t="str">
        <f t="shared" si="19"/>
        <v>__</v>
      </c>
    </row>
    <row r="1237" spans="1:9" x14ac:dyDescent="0.35">
      <c r="A1237" s="226"/>
      <c r="B1237" s="226"/>
      <c r="C1237" s="226"/>
      <c r="D1237" s="226"/>
      <c r="E1237" s="226"/>
      <c r="F1237" s="226"/>
      <c r="G1237" s="226"/>
      <c r="H1237" s="226"/>
      <c r="I1237" s="9" t="str">
        <f t="shared" si="19"/>
        <v>__</v>
      </c>
    </row>
    <row r="1238" spans="1:9" x14ac:dyDescent="0.35">
      <c r="A1238" s="226"/>
      <c r="B1238" s="226"/>
      <c r="C1238" s="226"/>
      <c r="D1238" s="226"/>
      <c r="E1238" s="226"/>
      <c r="F1238" s="226"/>
      <c r="G1238" s="226"/>
      <c r="H1238" s="226"/>
      <c r="I1238" s="9" t="str">
        <f t="shared" si="19"/>
        <v>__</v>
      </c>
    </row>
    <row r="1239" spans="1:9" x14ac:dyDescent="0.35">
      <c r="A1239" s="226"/>
      <c r="B1239" s="226"/>
      <c r="C1239" s="226"/>
      <c r="D1239" s="226"/>
      <c r="E1239" s="226"/>
      <c r="F1239" s="226"/>
      <c r="G1239" s="226"/>
      <c r="H1239" s="226"/>
      <c r="I1239" s="9" t="str">
        <f t="shared" si="19"/>
        <v>__</v>
      </c>
    </row>
    <row r="1240" spans="1:9" x14ac:dyDescent="0.35">
      <c r="A1240" s="226"/>
      <c r="B1240" s="226"/>
      <c r="C1240" s="226"/>
      <c r="D1240" s="226"/>
      <c r="E1240" s="226"/>
      <c r="F1240" s="226"/>
      <c r="G1240" s="226"/>
      <c r="H1240" s="226"/>
      <c r="I1240" s="9" t="str">
        <f t="shared" si="19"/>
        <v>__</v>
      </c>
    </row>
    <row r="1241" spans="1:9" x14ac:dyDescent="0.35">
      <c r="A1241" s="226"/>
      <c r="B1241" s="226"/>
      <c r="C1241" s="226"/>
      <c r="D1241" s="226"/>
      <c r="E1241" s="226"/>
      <c r="F1241" s="226"/>
      <c r="G1241" s="226"/>
      <c r="H1241" s="226"/>
      <c r="I1241" s="9" t="str">
        <f t="shared" si="19"/>
        <v>__</v>
      </c>
    </row>
    <row r="1242" spans="1:9" x14ac:dyDescent="0.35">
      <c r="A1242" s="226"/>
      <c r="B1242" s="226"/>
      <c r="C1242" s="226"/>
      <c r="D1242" s="226"/>
      <c r="E1242" s="226"/>
      <c r="F1242" s="226"/>
      <c r="G1242" s="226"/>
      <c r="H1242" s="226"/>
      <c r="I1242" s="9" t="str">
        <f t="shared" si="19"/>
        <v>__</v>
      </c>
    </row>
    <row r="1243" spans="1:9" x14ac:dyDescent="0.35">
      <c r="A1243" s="226"/>
      <c r="B1243" s="226"/>
      <c r="C1243" s="226"/>
      <c r="D1243" s="226"/>
      <c r="E1243" s="226"/>
      <c r="F1243" s="226"/>
      <c r="G1243" s="226"/>
      <c r="H1243" s="226"/>
      <c r="I1243" s="9" t="str">
        <f t="shared" si="19"/>
        <v>__</v>
      </c>
    </row>
    <row r="1244" spans="1:9" x14ac:dyDescent="0.35">
      <c r="A1244" s="226"/>
      <c r="B1244" s="226"/>
      <c r="C1244" s="226"/>
      <c r="D1244" s="226"/>
      <c r="E1244" s="226"/>
      <c r="F1244" s="226"/>
      <c r="G1244" s="226"/>
      <c r="H1244" s="226"/>
      <c r="I1244" s="9" t="str">
        <f t="shared" si="19"/>
        <v>__</v>
      </c>
    </row>
    <row r="1245" spans="1:9" x14ac:dyDescent="0.35">
      <c r="A1245" s="226"/>
      <c r="B1245" s="226"/>
      <c r="C1245" s="226"/>
      <c r="D1245" s="226"/>
      <c r="E1245" s="226"/>
      <c r="F1245" s="226"/>
      <c r="G1245" s="226"/>
      <c r="H1245" s="226"/>
      <c r="I1245" s="9" t="str">
        <f t="shared" si="19"/>
        <v>__</v>
      </c>
    </row>
    <row r="1246" spans="1:9" x14ac:dyDescent="0.35">
      <c r="A1246" s="226"/>
      <c r="B1246" s="226"/>
      <c r="C1246" s="226"/>
      <c r="D1246" s="226"/>
      <c r="E1246" s="226"/>
      <c r="F1246" s="226"/>
      <c r="G1246" s="226"/>
      <c r="H1246" s="226"/>
      <c r="I1246" s="9" t="str">
        <f t="shared" si="19"/>
        <v>__</v>
      </c>
    </row>
    <row r="1247" spans="1:9" x14ac:dyDescent="0.35">
      <c r="A1247" s="226"/>
      <c r="B1247" s="226"/>
      <c r="C1247" s="226"/>
      <c r="D1247" s="226"/>
      <c r="E1247" s="226"/>
      <c r="F1247" s="226"/>
      <c r="G1247" s="226"/>
      <c r="H1247" s="226"/>
      <c r="I1247" s="9" t="str">
        <f t="shared" si="19"/>
        <v>__</v>
      </c>
    </row>
    <row r="1248" spans="1:9" x14ac:dyDescent="0.35">
      <c r="A1248" s="226"/>
      <c r="B1248" s="226"/>
      <c r="C1248" s="226"/>
      <c r="D1248" s="226"/>
      <c r="E1248" s="226"/>
      <c r="F1248" s="226"/>
      <c r="G1248" s="226"/>
      <c r="H1248" s="226"/>
      <c r="I1248" s="9" t="str">
        <f t="shared" si="19"/>
        <v>__</v>
      </c>
    </row>
    <row r="1249" spans="1:9" x14ac:dyDescent="0.35">
      <c r="A1249" s="226"/>
      <c r="B1249" s="226"/>
      <c r="C1249" s="226"/>
      <c r="D1249" s="226"/>
      <c r="E1249" s="226"/>
      <c r="F1249" s="226"/>
      <c r="G1249" s="226"/>
      <c r="H1249" s="226"/>
      <c r="I1249" s="9" t="str">
        <f t="shared" si="19"/>
        <v>__</v>
      </c>
    </row>
    <row r="1250" spans="1:9" x14ac:dyDescent="0.35">
      <c r="A1250" s="226"/>
      <c r="B1250" s="226"/>
      <c r="C1250" s="226"/>
      <c r="D1250" s="226"/>
      <c r="E1250" s="226"/>
      <c r="F1250" s="226"/>
      <c r="G1250" s="226"/>
      <c r="H1250" s="226"/>
      <c r="I1250" s="9" t="str">
        <f t="shared" si="19"/>
        <v>__</v>
      </c>
    </row>
    <row r="1251" spans="1:9" x14ac:dyDescent="0.35">
      <c r="A1251" s="226"/>
      <c r="B1251" s="226"/>
      <c r="C1251" s="226"/>
      <c r="D1251" s="226"/>
      <c r="E1251" s="226"/>
      <c r="F1251" s="226"/>
      <c r="G1251" s="226"/>
      <c r="H1251" s="226"/>
      <c r="I1251" s="9" t="str">
        <f t="shared" si="19"/>
        <v>__</v>
      </c>
    </row>
    <row r="1252" spans="1:9" x14ac:dyDescent="0.35">
      <c r="A1252" s="226"/>
      <c r="B1252" s="226"/>
      <c r="C1252" s="226"/>
      <c r="D1252" s="226"/>
      <c r="E1252" s="226"/>
      <c r="F1252" s="226"/>
      <c r="G1252" s="226"/>
      <c r="H1252" s="226"/>
      <c r="I1252" s="9" t="str">
        <f t="shared" si="19"/>
        <v>__</v>
      </c>
    </row>
    <row r="1253" spans="1:9" x14ac:dyDescent="0.35">
      <c r="A1253" s="226"/>
      <c r="B1253" s="226"/>
      <c r="C1253" s="226"/>
      <c r="D1253" s="226"/>
      <c r="E1253" s="226"/>
      <c r="F1253" s="226"/>
      <c r="G1253" s="226"/>
      <c r="H1253" s="226"/>
      <c r="I1253" s="9" t="str">
        <f t="shared" si="19"/>
        <v>__</v>
      </c>
    </row>
    <row r="1254" spans="1:9" x14ac:dyDescent="0.35">
      <c r="A1254" s="226"/>
      <c r="B1254" s="226"/>
      <c r="C1254" s="226"/>
      <c r="D1254" s="226"/>
      <c r="E1254" s="226"/>
      <c r="F1254" s="226"/>
      <c r="G1254" s="226"/>
      <c r="H1254" s="226"/>
      <c r="I1254" s="9" t="str">
        <f t="shared" si="19"/>
        <v>__</v>
      </c>
    </row>
    <row r="1255" spans="1:9" x14ac:dyDescent="0.35">
      <c r="A1255" s="226"/>
      <c r="B1255" s="226"/>
      <c r="C1255" s="226"/>
      <c r="D1255" s="226"/>
      <c r="E1255" s="226"/>
      <c r="F1255" s="226"/>
      <c r="G1255" s="226"/>
      <c r="H1255" s="226"/>
      <c r="I1255" s="9" t="str">
        <f t="shared" si="19"/>
        <v>__</v>
      </c>
    </row>
    <row r="1256" spans="1:9" x14ac:dyDescent="0.35">
      <c r="A1256" s="226"/>
      <c r="B1256" s="226"/>
      <c r="C1256" s="226"/>
      <c r="D1256" s="226"/>
      <c r="E1256" s="226"/>
      <c r="F1256" s="226"/>
      <c r="G1256" s="226"/>
      <c r="H1256" s="226"/>
      <c r="I1256" s="9" t="str">
        <f t="shared" si="19"/>
        <v>__</v>
      </c>
    </row>
    <row r="1257" spans="1:9" x14ac:dyDescent="0.35">
      <c r="A1257" s="226"/>
      <c r="B1257" s="226"/>
      <c r="C1257" s="226"/>
      <c r="D1257" s="226"/>
      <c r="E1257" s="226"/>
      <c r="F1257" s="226"/>
      <c r="G1257" s="226"/>
      <c r="H1257" s="226"/>
      <c r="I1257" s="9" t="str">
        <f t="shared" si="19"/>
        <v>__</v>
      </c>
    </row>
    <row r="1258" spans="1:9" x14ac:dyDescent="0.35">
      <c r="A1258" s="226"/>
      <c r="B1258" s="226"/>
      <c r="C1258" s="226"/>
      <c r="D1258" s="226"/>
      <c r="E1258" s="226"/>
      <c r="F1258" s="226"/>
      <c r="G1258" s="226"/>
      <c r="H1258" s="226"/>
      <c r="I1258" s="9" t="str">
        <f t="shared" si="19"/>
        <v>__</v>
      </c>
    </row>
    <row r="1259" spans="1:9" x14ac:dyDescent="0.35">
      <c r="A1259" s="226"/>
      <c r="B1259" s="226"/>
      <c r="C1259" s="226"/>
      <c r="D1259" s="226"/>
      <c r="E1259" s="226"/>
      <c r="F1259" s="226"/>
      <c r="G1259" s="226"/>
      <c r="H1259" s="226"/>
      <c r="I1259" s="9" t="str">
        <f t="shared" si="19"/>
        <v>__</v>
      </c>
    </row>
    <row r="1260" spans="1:9" x14ac:dyDescent="0.35">
      <c r="A1260" s="226"/>
      <c r="B1260" s="226"/>
      <c r="C1260" s="226"/>
      <c r="D1260" s="226"/>
      <c r="E1260" s="226"/>
      <c r="F1260" s="226"/>
      <c r="G1260" s="226"/>
      <c r="H1260" s="226"/>
      <c r="I1260" s="9" t="str">
        <f t="shared" si="19"/>
        <v>__</v>
      </c>
    </row>
    <row r="1261" spans="1:9" x14ac:dyDescent="0.35">
      <c r="A1261" s="226"/>
      <c r="B1261" s="226"/>
      <c r="C1261" s="226"/>
      <c r="D1261" s="226"/>
      <c r="E1261" s="226"/>
      <c r="F1261" s="226"/>
      <c r="G1261" s="226"/>
      <c r="H1261" s="226"/>
      <c r="I1261" s="9" t="str">
        <f t="shared" si="19"/>
        <v>__</v>
      </c>
    </row>
    <row r="1262" spans="1:9" x14ac:dyDescent="0.35">
      <c r="A1262" s="226"/>
      <c r="B1262" s="226"/>
      <c r="C1262" s="226"/>
      <c r="D1262" s="226"/>
      <c r="E1262" s="226"/>
      <c r="F1262" s="226"/>
      <c r="G1262" s="226"/>
      <c r="H1262" s="226"/>
      <c r="I1262" s="9" t="str">
        <f t="shared" si="19"/>
        <v>__</v>
      </c>
    </row>
    <row r="1263" spans="1:9" x14ac:dyDescent="0.35">
      <c r="A1263" s="226"/>
      <c r="B1263" s="226"/>
      <c r="C1263" s="226"/>
      <c r="D1263" s="226"/>
      <c r="E1263" s="226"/>
      <c r="F1263" s="226"/>
      <c r="G1263" s="226"/>
      <c r="H1263" s="226"/>
      <c r="I1263" s="9" t="str">
        <f t="shared" si="19"/>
        <v>__</v>
      </c>
    </row>
    <row r="1264" spans="1:9" x14ac:dyDescent="0.35">
      <c r="A1264" s="226"/>
      <c r="B1264" s="226"/>
      <c r="C1264" s="226"/>
      <c r="D1264" s="226"/>
      <c r="E1264" s="226"/>
      <c r="F1264" s="226"/>
      <c r="G1264" s="226"/>
      <c r="H1264" s="226"/>
      <c r="I1264" s="9" t="str">
        <f t="shared" si="19"/>
        <v>__</v>
      </c>
    </row>
    <row r="1265" spans="1:9" x14ac:dyDescent="0.35">
      <c r="A1265" s="226"/>
      <c r="B1265" s="226"/>
      <c r="C1265" s="226"/>
      <c r="D1265" s="226"/>
      <c r="E1265" s="226"/>
      <c r="F1265" s="226"/>
      <c r="G1265" s="226"/>
      <c r="H1265" s="226"/>
      <c r="I1265" s="9" t="str">
        <f t="shared" si="19"/>
        <v>__</v>
      </c>
    </row>
    <row r="1266" spans="1:9" x14ac:dyDescent="0.35">
      <c r="A1266" s="226"/>
      <c r="B1266" s="226"/>
      <c r="C1266" s="226"/>
      <c r="D1266" s="226"/>
      <c r="E1266" s="226"/>
      <c r="F1266" s="226"/>
      <c r="G1266" s="226"/>
      <c r="H1266" s="226"/>
      <c r="I1266" s="9" t="str">
        <f t="shared" si="19"/>
        <v>__</v>
      </c>
    </row>
    <row r="1267" spans="1:9" x14ac:dyDescent="0.35">
      <c r="A1267" s="226"/>
      <c r="B1267" s="226"/>
      <c r="C1267" s="226"/>
      <c r="D1267" s="226"/>
      <c r="E1267" s="226"/>
      <c r="F1267" s="226"/>
      <c r="G1267" s="226"/>
      <c r="H1267" s="226"/>
      <c r="I1267" s="9" t="str">
        <f t="shared" si="19"/>
        <v>__</v>
      </c>
    </row>
    <row r="1268" spans="1:9" x14ac:dyDescent="0.35">
      <c r="A1268" s="226"/>
      <c r="B1268" s="226"/>
      <c r="C1268" s="226"/>
      <c r="D1268" s="226"/>
      <c r="E1268" s="226"/>
      <c r="F1268" s="226"/>
      <c r="G1268" s="226"/>
      <c r="H1268" s="226"/>
      <c r="I1268" s="9" t="str">
        <f t="shared" si="19"/>
        <v>__</v>
      </c>
    </row>
    <row r="1269" spans="1:9" x14ac:dyDescent="0.35">
      <c r="A1269" s="226"/>
      <c r="B1269" s="226"/>
      <c r="C1269" s="226"/>
      <c r="D1269" s="226"/>
      <c r="E1269" s="226"/>
      <c r="F1269" s="226"/>
      <c r="G1269" s="226"/>
      <c r="H1269" s="226"/>
      <c r="I1269" s="9" t="str">
        <f t="shared" si="19"/>
        <v>__</v>
      </c>
    </row>
    <row r="1270" spans="1:9" x14ac:dyDescent="0.35">
      <c r="A1270" s="226"/>
      <c r="B1270" s="226"/>
      <c r="C1270" s="226"/>
      <c r="D1270" s="226"/>
      <c r="E1270" s="226"/>
      <c r="F1270" s="226"/>
      <c r="G1270" s="226"/>
      <c r="H1270" s="226"/>
      <c r="I1270" s="9" t="str">
        <f t="shared" si="19"/>
        <v>__</v>
      </c>
    </row>
    <row r="1271" spans="1:9" x14ac:dyDescent="0.35">
      <c r="A1271" s="226"/>
      <c r="B1271" s="226"/>
      <c r="C1271" s="226"/>
      <c r="D1271" s="226"/>
      <c r="E1271" s="226"/>
      <c r="F1271" s="226"/>
      <c r="G1271" s="226"/>
      <c r="H1271" s="226"/>
      <c r="I1271" s="9" t="str">
        <f t="shared" si="19"/>
        <v>__</v>
      </c>
    </row>
    <row r="1272" spans="1:9" x14ac:dyDescent="0.35">
      <c r="A1272" s="226"/>
      <c r="B1272" s="226"/>
      <c r="C1272" s="226"/>
      <c r="D1272" s="226"/>
      <c r="E1272" s="226"/>
      <c r="F1272" s="226"/>
      <c r="G1272" s="226"/>
      <c r="H1272" s="226"/>
      <c r="I1272" s="9" t="str">
        <f t="shared" si="19"/>
        <v>__</v>
      </c>
    </row>
    <row r="1273" spans="1:9" x14ac:dyDescent="0.35">
      <c r="A1273" s="226"/>
      <c r="B1273" s="226"/>
      <c r="C1273" s="226"/>
      <c r="D1273" s="226"/>
      <c r="E1273" s="226"/>
      <c r="F1273" s="226"/>
      <c r="G1273" s="226"/>
      <c r="H1273" s="226"/>
      <c r="I1273" s="9" t="str">
        <f t="shared" si="19"/>
        <v>__</v>
      </c>
    </row>
    <row r="1274" spans="1:9" x14ac:dyDescent="0.35">
      <c r="A1274" s="226"/>
      <c r="B1274" s="226"/>
      <c r="C1274" s="226"/>
      <c r="D1274" s="226"/>
      <c r="E1274" s="226"/>
      <c r="F1274" s="226"/>
      <c r="G1274" s="226"/>
      <c r="H1274" s="226"/>
      <c r="I1274" s="9" t="str">
        <f t="shared" si="19"/>
        <v>__</v>
      </c>
    </row>
    <row r="1275" spans="1:9" x14ac:dyDescent="0.35">
      <c r="A1275" s="226"/>
      <c r="B1275" s="226"/>
      <c r="C1275" s="226"/>
      <c r="D1275" s="226"/>
      <c r="E1275" s="226"/>
      <c r="F1275" s="226"/>
      <c r="G1275" s="226"/>
      <c r="H1275" s="226"/>
      <c r="I1275" s="9" t="str">
        <f t="shared" si="19"/>
        <v>__</v>
      </c>
    </row>
    <row r="1276" spans="1:9" x14ac:dyDescent="0.35">
      <c r="A1276" s="226"/>
      <c r="B1276" s="226"/>
      <c r="C1276" s="226"/>
      <c r="D1276" s="226"/>
      <c r="E1276" s="226"/>
      <c r="F1276" s="226"/>
      <c r="G1276" s="226"/>
      <c r="H1276" s="226"/>
      <c r="I1276" s="9" t="str">
        <f t="shared" si="19"/>
        <v>__</v>
      </c>
    </row>
    <row r="1277" spans="1:9" x14ac:dyDescent="0.35">
      <c r="A1277" s="226"/>
      <c r="B1277" s="226"/>
      <c r="C1277" s="226"/>
      <c r="D1277" s="226"/>
      <c r="E1277" s="226"/>
      <c r="F1277" s="226"/>
      <c r="G1277" s="226"/>
      <c r="H1277" s="226"/>
      <c r="I1277" s="9" t="str">
        <f t="shared" si="19"/>
        <v>__</v>
      </c>
    </row>
    <row r="1278" spans="1:9" x14ac:dyDescent="0.35">
      <c r="A1278" s="226"/>
      <c r="B1278" s="226"/>
      <c r="C1278" s="226"/>
      <c r="D1278" s="226"/>
      <c r="E1278" s="226"/>
      <c r="F1278" s="226"/>
      <c r="G1278" s="226"/>
      <c r="H1278" s="226"/>
      <c r="I1278" s="9" t="str">
        <f t="shared" si="19"/>
        <v>__</v>
      </c>
    </row>
    <row r="1279" spans="1:9" x14ac:dyDescent="0.35">
      <c r="A1279" s="226"/>
      <c r="B1279" s="226"/>
      <c r="C1279" s="226"/>
      <c r="D1279" s="226"/>
      <c r="E1279" s="226"/>
      <c r="F1279" s="226"/>
      <c r="G1279" s="226"/>
      <c r="H1279" s="226"/>
      <c r="I1279" s="9" t="str">
        <f t="shared" si="19"/>
        <v>__</v>
      </c>
    </row>
    <row r="1280" spans="1:9" x14ac:dyDescent="0.35">
      <c r="A1280" s="226"/>
      <c r="B1280" s="226"/>
      <c r="C1280" s="226"/>
      <c r="D1280" s="226"/>
      <c r="E1280" s="226"/>
      <c r="F1280" s="226"/>
      <c r="G1280" s="226"/>
      <c r="H1280" s="226"/>
      <c r="I1280" s="9" t="str">
        <f t="shared" si="19"/>
        <v>__</v>
      </c>
    </row>
    <row r="1281" spans="1:9" x14ac:dyDescent="0.35">
      <c r="A1281" s="226"/>
      <c r="B1281" s="226"/>
      <c r="C1281" s="226"/>
      <c r="D1281" s="226"/>
      <c r="E1281" s="226"/>
      <c r="F1281" s="226"/>
      <c r="G1281" s="226"/>
      <c r="H1281" s="226"/>
      <c r="I1281" s="9" t="str">
        <f t="shared" si="19"/>
        <v>__</v>
      </c>
    </row>
    <row r="1282" spans="1:9" x14ac:dyDescent="0.35">
      <c r="A1282" s="226"/>
      <c r="B1282" s="226"/>
      <c r="C1282" s="226"/>
      <c r="D1282" s="226"/>
      <c r="E1282" s="226"/>
      <c r="F1282" s="226"/>
      <c r="G1282" s="226"/>
      <c r="H1282" s="226"/>
      <c r="I1282" s="9" t="str">
        <f t="shared" si="19"/>
        <v>__</v>
      </c>
    </row>
    <row r="1283" spans="1:9" x14ac:dyDescent="0.35">
      <c r="A1283" s="226"/>
      <c r="B1283" s="226"/>
      <c r="C1283" s="226"/>
      <c r="D1283" s="226"/>
      <c r="E1283" s="226"/>
      <c r="F1283" s="226"/>
      <c r="G1283" s="226"/>
      <c r="H1283" s="226"/>
      <c r="I1283" s="9" t="str">
        <f t="shared" si="19"/>
        <v>__</v>
      </c>
    </row>
    <row r="1284" spans="1:9" x14ac:dyDescent="0.35">
      <c r="A1284" s="226"/>
      <c r="B1284" s="226"/>
      <c r="C1284" s="226"/>
      <c r="D1284" s="226"/>
      <c r="E1284" s="226"/>
      <c r="F1284" s="226"/>
      <c r="G1284" s="226"/>
      <c r="H1284" s="226"/>
      <c r="I1284" s="9" t="str">
        <f t="shared" si="19"/>
        <v>__</v>
      </c>
    </row>
    <row r="1285" spans="1:9" x14ac:dyDescent="0.35">
      <c r="A1285" s="226"/>
      <c r="B1285" s="226"/>
      <c r="C1285" s="226"/>
      <c r="D1285" s="226"/>
      <c r="E1285" s="226"/>
      <c r="F1285" s="226"/>
      <c r="G1285" s="226"/>
      <c r="H1285" s="226"/>
      <c r="I1285" s="9" t="str">
        <f t="shared" ref="I1285:I1348" si="20">CONCATENATE(A1285,"_",B1285,"_",C1285)</f>
        <v>__</v>
      </c>
    </row>
    <row r="1286" spans="1:9" x14ac:dyDescent="0.35">
      <c r="A1286" s="226"/>
      <c r="B1286" s="226"/>
      <c r="C1286" s="226"/>
      <c r="D1286" s="226"/>
      <c r="E1286" s="226"/>
      <c r="F1286" s="226"/>
      <c r="G1286" s="226"/>
      <c r="H1286" s="226"/>
      <c r="I1286" s="9" t="str">
        <f t="shared" si="20"/>
        <v>__</v>
      </c>
    </row>
    <row r="1287" spans="1:9" x14ac:dyDescent="0.35">
      <c r="A1287" s="226"/>
      <c r="B1287" s="226"/>
      <c r="C1287" s="226"/>
      <c r="D1287" s="226"/>
      <c r="E1287" s="226"/>
      <c r="F1287" s="226"/>
      <c r="G1287" s="226"/>
      <c r="H1287" s="226"/>
      <c r="I1287" s="9" t="str">
        <f t="shared" si="20"/>
        <v>__</v>
      </c>
    </row>
    <row r="1288" spans="1:9" x14ac:dyDescent="0.35">
      <c r="A1288" s="226"/>
      <c r="B1288" s="226"/>
      <c r="C1288" s="226"/>
      <c r="D1288" s="226"/>
      <c r="E1288" s="226"/>
      <c r="F1288" s="226"/>
      <c r="G1288" s="226"/>
      <c r="H1288" s="226"/>
      <c r="I1288" s="9" t="str">
        <f t="shared" si="20"/>
        <v>__</v>
      </c>
    </row>
    <row r="1289" spans="1:9" x14ac:dyDescent="0.35">
      <c r="A1289" s="226"/>
      <c r="B1289" s="226"/>
      <c r="C1289" s="226"/>
      <c r="D1289" s="226"/>
      <c r="E1289" s="226"/>
      <c r="F1289" s="226"/>
      <c r="G1289" s="226"/>
      <c r="H1289" s="226"/>
      <c r="I1289" s="9" t="str">
        <f t="shared" si="20"/>
        <v>__</v>
      </c>
    </row>
    <row r="1290" spans="1:9" x14ac:dyDescent="0.35">
      <c r="A1290" s="226"/>
      <c r="B1290" s="226"/>
      <c r="C1290" s="226"/>
      <c r="D1290" s="226"/>
      <c r="E1290" s="226"/>
      <c r="F1290" s="226"/>
      <c r="G1290" s="226"/>
      <c r="H1290" s="226"/>
      <c r="I1290" s="9" t="str">
        <f t="shared" si="20"/>
        <v>__</v>
      </c>
    </row>
    <row r="1291" spans="1:9" x14ac:dyDescent="0.35">
      <c r="A1291" s="226"/>
      <c r="B1291" s="226"/>
      <c r="C1291" s="226"/>
      <c r="D1291" s="226"/>
      <c r="E1291" s="226"/>
      <c r="F1291" s="226"/>
      <c r="G1291" s="226"/>
      <c r="H1291" s="226"/>
      <c r="I1291" s="9" t="str">
        <f t="shared" si="20"/>
        <v>__</v>
      </c>
    </row>
    <row r="1292" spans="1:9" x14ac:dyDescent="0.35">
      <c r="A1292" s="226"/>
      <c r="B1292" s="226"/>
      <c r="C1292" s="226"/>
      <c r="D1292" s="226"/>
      <c r="E1292" s="226"/>
      <c r="F1292" s="226"/>
      <c r="G1292" s="226"/>
      <c r="H1292" s="226"/>
      <c r="I1292" s="9" t="str">
        <f t="shared" si="20"/>
        <v>__</v>
      </c>
    </row>
    <row r="1293" spans="1:9" x14ac:dyDescent="0.35">
      <c r="A1293" s="226"/>
      <c r="B1293" s="226"/>
      <c r="C1293" s="226"/>
      <c r="D1293" s="226"/>
      <c r="E1293" s="226"/>
      <c r="F1293" s="226"/>
      <c r="G1293" s="226"/>
      <c r="H1293" s="226"/>
      <c r="I1293" s="9" t="str">
        <f t="shared" si="20"/>
        <v>__</v>
      </c>
    </row>
    <row r="1294" spans="1:9" x14ac:dyDescent="0.35">
      <c r="A1294" s="226"/>
      <c r="B1294" s="226"/>
      <c r="C1294" s="226"/>
      <c r="D1294" s="226"/>
      <c r="E1294" s="226"/>
      <c r="F1294" s="226"/>
      <c r="G1294" s="226"/>
      <c r="H1294" s="226"/>
      <c r="I1294" s="9" t="str">
        <f t="shared" si="20"/>
        <v>__</v>
      </c>
    </row>
    <row r="1295" spans="1:9" x14ac:dyDescent="0.35">
      <c r="A1295" s="226"/>
      <c r="B1295" s="226"/>
      <c r="C1295" s="226"/>
      <c r="D1295" s="226"/>
      <c r="E1295" s="226"/>
      <c r="F1295" s="226"/>
      <c r="G1295" s="226"/>
      <c r="H1295" s="226"/>
      <c r="I1295" s="9" t="str">
        <f t="shared" si="20"/>
        <v>__</v>
      </c>
    </row>
    <row r="1296" spans="1:9" x14ac:dyDescent="0.35">
      <c r="A1296" s="226"/>
      <c r="B1296" s="226"/>
      <c r="C1296" s="226"/>
      <c r="D1296" s="226"/>
      <c r="E1296" s="226"/>
      <c r="F1296" s="226"/>
      <c r="G1296" s="226"/>
      <c r="H1296" s="226"/>
      <c r="I1296" s="9" t="str">
        <f t="shared" si="20"/>
        <v>__</v>
      </c>
    </row>
    <row r="1297" spans="1:9" x14ac:dyDescent="0.35">
      <c r="A1297" s="226"/>
      <c r="B1297" s="226"/>
      <c r="C1297" s="226"/>
      <c r="D1297" s="226"/>
      <c r="E1297" s="226"/>
      <c r="F1297" s="226"/>
      <c r="G1297" s="226"/>
      <c r="H1297" s="226"/>
      <c r="I1297" s="9" t="str">
        <f t="shared" si="20"/>
        <v>__</v>
      </c>
    </row>
    <row r="1298" spans="1:9" x14ac:dyDescent="0.35">
      <c r="A1298" s="226"/>
      <c r="B1298" s="226"/>
      <c r="C1298" s="226"/>
      <c r="D1298" s="226"/>
      <c r="E1298" s="226"/>
      <c r="F1298" s="226"/>
      <c r="G1298" s="226"/>
      <c r="H1298" s="226"/>
      <c r="I1298" s="9" t="str">
        <f t="shared" si="20"/>
        <v>__</v>
      </c>
    </row>
    <row r="1299" spans="1:9" x14ac:dyDescent="0.35">
      <c r="A1299" s="226"/>
      <c r="B1299" s="226"/>
      <c r="C1299" s="226"/>
      <c r="D1299" s="226"/>
      <c r="E1299" s="226"/>
      <c r="F1299" s="226"/>
      <c r="G1299" s="226"/>
      <c r="H1299" s="226"/>
      <c r="I1299" s="9" t="str">
        <f t="shared" si="20"/>
        <v>__</v>
      </c>
    </row>
    <row r="1300" spans="1:9" x14ac:dyDescent="0.35">
      <c r="A1300" s="226"/>
      <c r="B1300" s="226"/>
      <c r="C1300" s="226"/>
      <c r="D1300" s="226"/>
      <c r="E1300" s="226"/>
      <c r="F1300" s="226"/>
      <c r="G1300" s="226"/>
      <c r="H1300" s="226"/>
      <c r="I1300" s="9" t="str">
        <f t="shared" si="20"/>
        <v>__</v>
      </c>
    </row>
    <row r="1301" spans="1:9" x14ac:dyDescent="0.35">
      <c r="A1301" s="226"/>
      <c r="B1301" s="226"/>
      <c r="C1301" s="226"/>
      <c r="D1301" s="226"/>
      <c r="E1301" s="226"/>
      <c r="F1301" s="226"/>
      <c r="G1301" s="226"/>
      <c r="H1301" s="226"/>
      <c r="I1301" s="9" t="str">
        <f t="shared" si="20"/>
        <v>__</v>
      </c>
    </row>
    <row r="1302" spans="1:9" x14ac:dyDescent="0.35">
      <c r="A1302" s="226"/>
      <c r="B1302" s="226"/>
      <c r="C1302" s="226"/>
      <c r="D1302" s="226"/>
      <c r="E1302" s="226"/>
      <c r="F1302" s="226"/>
      <c r="G1302" s="226"/>
      <c r="H1302" s="226"/>
      <c r="I1302" s="9" t="str">
        <f t="shared" si="20"/>
        <v>__</v>
      </c>
    </row>
    <row r="1303" spans="1:9" x14ac:dyDescent="0.35">
      <c r="A1303" s="226"/>
      <c r="B1303" s="226"/>
      <c r="C1303" s="226"/>
      <c r="D1303" s="226"/>
      <c r="E1303" s="226"/>
      <c r="F1303" s="226"/>
      <c r="G1303" s="226"/>
      <c r="H1303" s="226"/>
      <c r="I1303" s="9" t="str">
        <f t="shared" si="20"/>
        <v>__</v>
      </c>
    </row>
    <row r="1304" spans="1:9" x14ac:dyDescent="0.35">
      <c r="A1304" s="226"/>
      <c r="B1304" s="226"/>
      <c r="C1304" s="226"/>
      <c r="D1304" s="226"/>
      <c r="E1304" s="226"/>
      <c r="F1304" s="226"/>
      <c r="G1304" s="226"/>
      <c r="H1304" s="226"/>
      <c r="I1304" s="9" t="str">
        <f t="shared" si="20"/>
        <v>__</v>
      </c>
    </row>
    <row r="1305" spans="1:9" x14ac:dyDescent="0.35">
      <c r="A1305" s="226"/>
      <c r="B1305" s="226"/>
      <c r="C1305" s="226"/>
      <c r="D1305" s="226"/>
      <c r="E1305" s="226"/>
      <c r="F1305" s="226"/>
      <c r="G1305" s="226"/>
      <c r="H1305" s="226"/>
      <c r="I1305" s="9" t="str">
        <f t="shared" si="20"/>
        <v>__</v>
      </c>
    </row>
    <row r="1306" spans="1:9" x14ac:dyDescent="0.35">
      <c r="A1306" s="226"/>
      <c r="B1306" s="226"/>
      <c r="C1306" s="226"/>
      <c r="D1306" s="226"/>
      <c r="E1306" s="226"/>
      <c r="F1306" s="226"/>
      <c r="G1306" s="226"/>
      <c r="H1306" s="226"/>
      <c r="I1306" s="9" t="str">
        <f t="shared" si="20"/>
        <v>__</v>
      </c>
    </row>
    <row r="1307" spans="1:9" x14ac:dyDescent="0.35">
      <c r="A1307" s="226"/>
      <c r="B1307" s="226"/>
      <c r="C1307" s="226"/>
      <c r="D1307" s="226"/>
      <c r="E1307" s="226"/>
      <c r="F1307" s="226"/>
      <c r="G1307" s="226"/>
      <c r="H1307" s="226"/>
      <c r="I1307" s="9" t="str">
        <f t="shared" si="20"/>
        <v>__</v>
      </c>
    </row>
    <row r="1308" spans="1:9" x14ac:dyDescent="0.35">
      <c r="A1308" s="226"/>
      <c r="B1308" s="226"/>
      <c r="C1308" s="226"/>
      <c r="D1308" s="226"/>
      <c r="E1308" s="226"/>
      <c r="F1308" s="226"/>
      <c r="G1308" s="226"/>
      <c r="H1308" s="226"/>
      <c r="I1308" s="9" t="str">
        <f t="shared" si="20"/>
        <v>__</v>
      </c>
    </row>
    <row r="1309" spans="1:9" x14ac:dyDescent="0.35">
      <c r="A1309" s="226"/>
      <c r="B1309" s="226"/>
      <c r="C1309" s="226"/>
      <c r="D1309" s="226"/>
      <c r="E1309" s="226"/>
      <c r="F1309" s="226"/>
      <c r="G1309" s="226"/>
      <c r="H1309" s="226"/>
      <c r="I1309" s="9" t="str">
        <f t="shared" si="20"/>
        <v>__</v>
      </c>
    </row>
    <row r="1310" spans="1:9" x14ac:dyDescent="0.35">
      <c r="A1310" s="226"/>
      <c r="B1310" s="226"/>
      <c r="C1310" s="226"/>
      <c r="D1310" s="226"/>
      <c r="E1310" s="226"/>
      <c r="F1310" s="226"/>
      <c r="G1310" s="226"/>
      <c r="H1310" s="226"/>
      <c r="I1310" s="9" t="str">
        <f t="shared" si="20"/>
        <v>__</v>
      </c>
    </row>
    <row r="1311" spans="1:9" x14ac:dyDescent="0.35">
      <c r="A1311" s="226"/>
      <c r="B1311" s="226"/>
      <c r="C1311" s="226"/>
      <c r="D1311" s="226"/>
      <c r="E1311" s="226"/>
      <c r="F1311" s="226"/>
      <c r="G1311" s="226"/>
      <c r="H1311" s="226"/>
      <c r="I1311" s="9" t="str">
        <f t="shared" si="20"/>
        <v>__</v>
      </c>
    </row>
    <row r="1312" spans="1:9" x14ac:dyDescent="0.35">
      <c r="A1312" s="226"/>
      <c r="B1312" s="226"/>
      <c r="C1312" s="226"/>
      <c r="D1312" s="226"/>
      <c r="E1312" s="226"/>
      <c r="F1312" s="226"/>
      <c r="G1312" s="226"/>
      <c r="H1312" s="226"/>
      <c r="I1312" s="9" t="str">
        <f t="shared" si="20"/>
        <v>__</v>
      </c>
    </row>
    <row r="1313" spans="1:9" x14ac:dyDescent="0.35">
      <c r="A1313" s="226"/>
      <c r="B1313" s="226"/>
      <c r="C1313" s="226"/>
      <c r="D1313" s="226"/>
      <c r="E1313" s="226"/>
      <c r="F1313" s="226"/>
      <c r="G1313" s="226"/>
      <c r="H1313" s="226"/>
      <c r="I1313" s="9" t="str">
        <f t="shared" si="20"/>
        <v>__</v>
      </c>
    </row>
    <row r="1314" spans="1:9" x14ac:dyDescent="0.35">
      <c r="A1314" s="226"/>
      <c r="B1314" s="226"/>
      <c r="C1314" s="226"/>
      <c r="D1314" s="226"/>
      <c r="E1314" s="226"/>
      <c r="F1314" s="226"/>
      <c r="G1314" s="226"/>
      <c r="H1314" s="226"/>
      <c r="I1314" s="9" t="str">
        <f t="shared" si="20"/>
        <v>__</v>
      </c>
    </row>
    <row r="1315" spans="1:9" x14ac:dyDescent="0.35">
      <c r="A1315" s="226"/>
      <c r="B1315" s="226"/>
      <c r="C1315" s="226"/>
      <c r="D1315" s="226"/>
      <c r="E1315" s="226"/>
      <c r="F1315" s="226"/>
      <c r="G1315" s="226"/>
      <c r="H1315" s="226"/>
      <c r="I1315" s="9" t="str">
        <f t="shared" si="20"/>
        <v>__</v>
      </c>
    </row>
    <row r="1316" spans="1:9" x14ac:dyDescent="0.35">
      <c r="A1316" s="226"/>
      <c r="B1316" s="226"/>
      <c r="C1316" s="226"/>
      <c r="D1316" s="226"/>
      <c r="E1316" s="226"/>
      <c r="F1316" s="226"/>
      <c r="G1316" s="226"/>
      <c r="H1316" s="226"/>
      <c r="I1316" s="9" t="str">
        <f t="shared" si="20"/>
        <v>__</v>
      </c>
    </row>
    <row r="1317" spans="1:9" x14ac:dyDescent="0.35">
      <c r="A1317" s="226"/>
      <c r="B1317" s="226"/>
      <c r="C1317" s="226"/>
      <c r="D1317" s="226"/>
      <c r="E1317" s="226"/>
      <c r="F1317" s="226"/>
      <c r="G1317" s="226"/>
      <c r="H1317" s="226"/>
      <c r="I1317" s="9" t="str">
        <f t="shared" si="20"/>
        <v>__</v>
      </c>
    </row>
    <row r="1318" spans="1:9" x14ac:dyDescent="0.35">
      <c r="A1318" s="226"/>
      <c r="B1318" s="226"/>
      <c r="C1318" s="226"/>
      <c r="D1318" s="226"/>
      <c r="E1318" s="226"/>
      <c r="F1318" s="226"/>
      <c r="G1318" s="226"/>
      <c r="H1318" s="226"/>
      <c r="I1318" s="9" t="str">
        <f t="shared" si="20"/>
        <v>__</v>
      </c>
    </row>
    <row r="1319" spans="1:9" x14ac:dyDescent="0.35">
      <c r="A1319" s="226"/>
      <c r="B1319" s="226"/>
      <c r="C1319" s="226"/>
      <c r="D1319" s="226"/>
      <c r="E1319" s="226"/>
      <c r="F1319" s="226"/>
      <c r="G1319" s="226"/>
      <c r="H1319" s="226"/>
      <c r="I1319" s="9" t="str">
        <f t="shared" si="20"/>
        <v>__</v>
      </c>
    </row>
    <row r="1320" spans="1:9" x14ac:dyDescent="0.35">
      <c r="A1320" s="226"/>
      <c r="B1320" s="226"/>
      <c r="C1320" s="226"/>
      <c r="D1320" s="226"/>
      <c r="E1320" s="226"/>
      <c r="F1320" s="226"/>
      <c r="G1320" s="226"/>
      <c r="H1320" s="226"/>
      <c r="I1320" s="9" t="str">
        <f t="shared" si="20"/>
        <v>__</v>
      </c>
    </row>
    <row r="1321" spans="1:9" x14ac:dyDescent="0.35">
      <c r="A1321" s="226"/>
      <c r="B1321" s="226"/>
      <c r="C1321" s="226"/>
      <c r="D1321" s="226"/>
      <c r="E1321" s="226"/>
      <c r="F1321" s="226"/>
      <c r="G1321" s="226"/>
      <c r="H1321" s="226"/>
      <c r="I1321" s="9" t="str">
        <f t="shared" si="20"/>
        <v>__</v>
      </c>
    </row>
    <row r="1322" spans="1:9" x14ac:dyDescent="0.35">
      <c r="A1322" s="226"/>
      <c r="B1322" s="226"/>
      <c r="C1322" s="226"/>
      <c r="D1322" s="226"/>
      <c r="E1322" s="226"/>
      <c r="F1322" s="226"/>
      <c r="G1322" s="226"/>
      <c r="H1322" s="226"/>
      <c r="I1322" s="9" t="str">
        <f t="shared" si="20"/>
        <v>__</v>
      </c>
    </row>
    <row r="1323" spans="1:9" x14ac:dyDescent="0.35">
      <c r="A1323" s="226"/>
      <c r="B1323" s="226"/>
      <c r="C1323" s="226"/>
      <c r="D1323" s="226"/>
      <c r="E1323" s="226"/>
      <c r="F1323" s="226"/>
      <c r="G1323" s="226"/>
      <c r="H1323" s="226"/>
      <c r="I1323" s="9" t="str">
        <f t="shared" si="20"/>
        <v>__</v>
      </c>
    </row>
    <row r="1324" spans="1:9" x14ac:dyDescent="0.35">
      <c r="A1324" s="226"/>
      <c r="B1324" s="226"/>
      <c r="C1324" s="226"/>
      <c r="D1324" s="226"/>
      <c r="E1324" s="226"/>
      <c r="F1324" s="226"/>
      <c r="G1324" s="226"/>
      <c r="H1324" s="226"/>
      <c r="I1324" s="9" t="str">
        <f t="shared" si="20"/>
        <v>__</v>
      </c>
    </row>
    <row r="1325" spans="1:9" x14ac:dyDescent="0.35">
      <c r="A1325" s="226"/>
      <c r="B1325" s="226"/>
      <c r="C1325" s="226"/>
      <c r="D1325" s="226"/>
      <c r="E1325" s="226"/>
      <c r="F1325" s="226"/>
      <c r="G1325" s="226"/>
      <c r="H1325" s="226"/>
      <c r="I1325" s="9" t="str">
        <f t="shared" si="20"/>
        <v>__</v>
      </c>
    </row>
    <row r="1326" spans="1:9" x14ac:dyDescent="0.35">
      <c r="A1326" s="226"/>
      <c r="B1326" s="226"/>
      <c r="C1326" s="226"/>
      <c r="D1326" s="226"/>
      <c r="E1326" s="226"/>
      <c r="F1326" s="226"/>
      <c r="G1326" s="226"/>
      <c r="H1326" s="226"/>
      <c r="I1326" s="9" t="str">
        <f t="shared" si="20"/>
        <v>__</v>
      </c>
    </row>
    <row r="1327" spans="1:9" x14ac:dyDescent="0.35">
      <c r="A1327" s="226"/>
      <c r="B1327" s="226"/>
      <c r="C1327" s="226"/>
      <c r="D1327" s="226"/>
      <c r="E1327" s="226"/>
      <c r="F1327" s="226"/>
      <c r="G1327" s="226"/>
      <c r="H1327" s="226"/>
      <c r="I1327" s="9" t="str">
        <f t="shared" si="20"/>
        <v>__</v>
      </c>
    </row>
    <row r="1328" spans="1:9" x14ac:dyDescent="0.35">
      <c r="A1328" s="226"/>
      <c r="B1328" s="226"/>
      <c r="C1328" s="226"/>
      <c r="D1328" s="226"/>
      <c r="E1328" s="226"/>
      <c r="F1328" s="226"/>
      <c r="G1328" s="226"/>
      <c r="H1328" s="226"/>
      <c r="I1328" s="9" t="str">
        <f t="shared" si="20"/>
        <v>__</v>
      </c>
    </row>
    <row r="1329" spans="1:9" x14ac:dyDescent="0.35">
      <c r="A1329" s="226"/>
      <c r="B1329" s="226"/>
      <c r="C1329" s="226"/>
      <c r="D1329" s="226"/>
      <c r="E1329" s="226"/>
      <c r="F1329" s="226"/>
      <c r="G1329" s="226"/>
      <c r="H1329" s="226"/>
      <c r="I1329" s="9" t="str">
        <f t="shared" si="20"/>
        <v>__</v>
      </c>
    </row>
    <row r="1330" spans="1:9" x14ac:dyDescent="0.35">
      <c r="A1330" s="226"/>
      <c r="B1330" s="226"/>
      <c r="C1330" s="226"/>
      <c r="D1330" s="226"/>
      <c r="E1330" s="226"/>
      <c r="F1330" s="226"/>
      <c r="G1330" s="226"/>
      <c r="H1330" s="226"/>
      <c r="I1330" s="9" t="str">
        <f t="shared" si="20"/>
        <v>__</v>
      </c>
    </row>
    <row r="1331" spans="1:9" x14ac:dyDescent="0.35">
      <c r="A1331" s="226"/>
      <c r="B1331" s="226"/>
      <c r="C1331" s="226"/>
      <c r="D1331" s="226"/>
      <c r="E1331" s="226"/>
      <c r="F1331" s="226"/>
      <c r="G1331" s="226"/>
      <c r="H1331" s="226"/>
      <c r="I1331" s="9" t="str">
        <f t="shared" si="20"/>
        <v>__</v>
      </c>
    </row>
    <row r="1332" spans="1:9" x14ac:dyDescent="0.35">
      <c r="A1332" s="226"/>
      <c r="B1332" s="226"/>
      <c r="C1332" s="226"/>
      <c r="D1332" s="226"/>
      <c r="E1332" s="226"/>
      <c r="F1332" s="226"/>
      <c r="G1332" s="226"/>
      <c r="H1332" s="226"/>
      <c r="I1332" s="9" t="str">
        <f t="shared" si="20"/>
        <v>__</v>
      </c>
    </row>
    <row r="1333" spans="1:9" x14ac:dyDescent="0.35">
      <c r="A1333" s="226"/>
      <c r="B1333" s="226"/>
      <c r="C1333" s="226"/>
      <c r="D1333" s="226"/>
      <c r="E1333" s="226"/>
      <c r="F1333" s="226"/>
      <c r="G1333" s="226"/>
      <c r="H1333" s="226"/>
      <c r="I1333" s="9" t="str">
        <f t="shared" si="20"/>
        <v>__</v>
      </c>
    </row>
    <row r="1334" spans="1:9" x14ac:dyDescent="0.35">
      <c r="A1334" s="226"/>
      <c r="B1334" s="226"/>
      <c r="C1334" s="226"/>
      <c r="D1334" s="226"/>
      <c r="E1334" s="226"/>
      <c r="F1334" s="226"/>
      <c r="G1334" s="226"/>
      <c r="H1334" s="226"/>
      <c r="I1334" s="9" t="str">
        <f t="shared" si="20"/>
        <v>__</v>
      </c>
    </row>
    <row r="1335" spans="1:9" x14ac:dyDescent="0.35">
      <c r="A1335" s="226"/>
      <c r="B1335" s="226"/>
      <c r="C1335" s="226"/>
      <c r="D1335" s="226"/>
      <c r="E1335" s="226"/>
      <c r="F1335" s="226"/>
      <c r="G1335" s="226"/>
      <c r="H1335" s="226"/>
      <c r="I1335" s="9" t="str">
        <f t="shared" si="20"/>
        <v>__</v>
      </c>
    </row>
    <row r="1336" spans="1:9" x14ac:dyDescent="0.35">
      <c r="A1336" s="226"/>
      <c r="B1336" s="226"/>
      <c r="C1336" s="226"/>
      <c r="D1336" s="226"/>
      <c r="E1336" s="226"/>
      <c r="F1336" s="226"/>
      <c r="G1336" s="226"/>
      <c r="H1336" s="226"/>
      <c r="I1336" s="9" t="str">
        <f t="shared" si="20"/>
        <v>__</v>
      </c>
    </row>
    <row r="1337" spans="1:9" x14ac:dyDescent="0.35">
      <c r="A1337" s="226"/>
      <c r="B1337" s="226"/>
      <c r="C1337" s="226"/>
      <c r="D1337" s="226"/>
      <c r="E1337" s="226"/>
      <c r="F1337" s="226"/>
      <c r="G1337" s="226"/>
      <c r="H1337" s="226"/>
      <c r="I1337" s="9" t="str">
        <f t="shared" si="20"/>
        <v>__</v>
      </c>
    </row>
    <row r="1338" spans="1:9" x14ac:dyDescent="0.35">
      <c r="A1338" s="226"/>
      <c r="B1338" s="226"/>
      <c r="C1338" s="226"/>
      <c r="D1338" s="226"/>
      <c r="E1338" s="226"/>
      <c r="F1338" s="226"/>
      <c r="G1338" s="226"/>
      <c r="H1338" s="226"/>
      <c r="I1338" s="9" t="str">
        <f t="shared" si="20"/>
        <v>__</v>
      </c>
    </row>
    <row r="1339" spans="1:9" x14ac:dyDescent="0.35">
      <c r="A1339" s="226"/>
      <c r="B1339" s="226"/>
      <c r="C1339" s="226"/>
      <c r="D1339" s="226"/>
      <c r="E1339" s="226"/>
      <c r="F1339" s="226"/>
      <c r="G1339" s="226"/>
      <c r="H1339" s="226"/>
      <c r="I1339" s="9" t="str">
        <f t="shared" si="20"/>
        <v>__</v>
      </c>
    </row>
    <row r="1340" spans="1:9" x14ac:dyDescent="0.35">
      <c r="A1340" s="226"/>
      <c r="B1340" s="226"/>
      <c r="C1340" s="226"/>
      <c r="D1340" s="226"/>
      <c r="E1340" s="226"/>
      <c r="F1340" s="226"/>
      <c r="G1340" s="226"/>
      <c r="H1340" s="226"/>
      <c r="I1340" s="9" t="str">
        <f t="shared" si="20"/>
        <v>__</v>
      </c>
    </row>
    <row r="1341" spans="1:9" x14ac:dyDescent="0.35">
      <c r="A1341" s="226"/>
      <c r="B1341" s="226"/>
      <c r="C1341" s="226"/>
      <c r="D1341" s="226"/>
      <c r="E1341" s="226"/>
      <c r="F1341" s="226"/>
      <c r="G1341" s="226"/>
      <c r="H1341" s="226"/>
      <c r="I1341" s="9" t="str">
        <f t="shared" si="20"/>
        <v>__</v>
      </c>
    </row>
    <row r="1342" spans="1:9" x14ac:dyDescent="0.35">
      <c r="A1342" s="226"/>
      <c r="B1342" s="226"/>
      <c r="C1342" s="226"/>
      <c r="D1342" s="226"/>
      <c r="E1342" s="226"/>
      <c r="F1342" s="226"/>
      <c r="G1342" s="226"/>
      <c r="H1342" s="226"/>
      <c r="I1342" s="9" t="str">
        <f t="shared" si="20"/>
        <v>__</v>
      </c>
    </row>
    <row r="1343" spans="1:9" x14ac:dyDescent="0.35">
      <c r="A1343" s="226"/>
      <c r="B1343" s="226"/>
      <c r="C1343" s="226"/>
      <c r="D1343" s="226"/>
      <c r="E1343" s="226"/>
      <c r="F1343" s="226"/>
      <c r="G1343" s="226"/>
      <c r="H1343" s="226"/>
      <c r="I1343" s="9" t="str">
        <f t="shared" si="20"/>
        <v>__</v>
      </c>
    </row>
    <row r="1344" spans="1:9" x14ac:dyDescent="0.35">
      <c r="A1344" s="226"/>
      <c r="B1344" s="226"/>
      <c r="C1344" s="226"/>
      <c r="D1344" s="226"/>
      <c r="E1344" s="226"/>
      <c r="F1344" s="226"/>
      <c r="G1344" s="226"/>
      <c r="H1344" s="226"/>
      <c r="I1344" s="9" t="str">
        <f t="shared" si="20"/>
        <v>__</v>
      </c>
    </row>
    <row r="1345" spans="1:9" x14ac:dyDescent="0.35">
      <c r="A1345" s="226"/>
      <c r="B1345" s="226"/>
      <c r="C1345" s="226"/>
      <c r="D1345" s="226"/>
      <c r="E1345" s="226"/>
      <c r="F1345" s="226"/>
      <c r="G1345" s="226"/>
      <c r="H1345" s="226"/>
      <c r="I1345" s="9" t="str">
        <f t="shared" si="20"/>
        <v>__</v>
      </c>
    </row>
    <row r="1346" spans="1:9" x14ac:dyDescent="0.35">
      <c r="A1346" s="226"/>
      <c r="B1346" s="226"/>
      <c r="C1346" s="226"/>
      <c r="D1346" s="226"/>
      <c r="E1346" s="226"/>
      <c r="F1346" s="226"/>
      <c r="G1346" s="226"/>
      <c r="H1346" s="226"/>
      <c r="I1346" s="9" t="str">
        <f t="shared" si="20"/>
        <v>__</v>
      </c>
    </row>
    <row r="1347" spans="1:9" x14ac:dyDescent="0.35">
      <c r="A1347" s="226"/>
      <c r="B1347" s="226"/>
      <c r="C1347" s="226"/>
      <c r="D1347" s="226"/>
      <c r="E1347" s="226"/>
      <c r="F1347" s="226"/>
      <c r="G1347" s="226"/>
      <c r="H1347" s="226"/>
      <c r="I1347" s="9" t="str">
        <f t="shared" si="20"/>
        <v>__</v>
      </c>
    </row>
    <row r="1348" spans="1:9" x14ac:dyDescent="0.35">
      <c r="A1348" s="226"/>
      <c r="B1348" s="226"/>
      <c r="C1348" s="226"/>
      <c r="D1348" s="226"/>
      <c r="E1348" s="226"/>
      <c r="F1348" s="226"/>
      <c r="G1348" s="226"/>
      <c r="H1348" s="226"/>
      <c r="I1348" s="9" t="str">
        <f t="shared" si="20"/>
        <v>__</v>
      </c>
    </row>
    <row r="1349" spans="1:9" x14ac:dyDescent="0.35">
      <c r="A1349" s="226"/>
      <c r="B1349" s="226"/>
      <c r="C1349" s="226"/>
      <c r="D1349" s="226"/>
      <c r="E1349" s="226"/>
      <c r="F1349" s="226"/>
      <c r="G1349" s="226"/>
      <c r="H1349" s="226"/>
      <c r="I1349" s="9" t="str">
        <f t="shared" ref="I1349:I1412" si="21">CONCATENATE(A1349,"_",B1349,"_",C1349)</f>
        <v>__</v>
      </c>
    </row>
    <row r="1350" spans="1:9" x14ac:dyDescent="0.35">
      <c r="A1350" s="226"/>
      <c r="B1350" s="226"/>
      <c r="C1350" s="226"/>
      <c r="D1350" s="226"/>
      <c r="E1350" s="226"/>
      <c r="F1350" s="226"/>
      <c r="G1350" s="226"/>
      <c r="H1350" s="226"/>
      <c r="I1350" s="9" t="str">
        <f t="shared" si="21"/>
        <v>__</v>
      </c>
    </row>
    <row r="1351" spans="1:9" x14ac:dyDescent="0.35">
      <c r="A1351" s="226"/>
      <c r="B1351" s="226"/>
      <c r="C1351" s="226"/>
      <c r="D1351" s="226"/>
      <c r="E1351" s="226"/>
      <c r="F1351" s="226"/>
      <c r="G1351" s="226"/>
      <c r="H1351" s="226"/>
      <c r="I1351" s="9" t="str">
        <f t="shared" si="21"/>
        <v>__</v>
      </c>
    </row>
    <row r="1352" spans="1:9" x14ac:dyDescent="0.35">
      <c r="A1352" s="226"/>
      <c r="B1352" s="226"/>
      <c r="C1352" s="226"/>
      <c r="D1352" s="226"/>
      <c r="E1352" s="226"/>
      <c r="F1352" s="226"/>
      <c r="G1352" s="226"/>
      <c r="H1352" s="226"/>
      <c r="I1352" s="9" t="str">
        <f t="shared" si="21"/>
        <v>__</v>
      </c>
    </row>
    <row r="1353" spans="1:9" x14ac:dyDescent="0.35">
      <c r="A1353" s="226"/>
      <c r="B1353" s="226"/>
      <c r="C1353" s="226"/>
      <c r="D1353" s="226"/>
      <c r="E1353" s="226"/>
      <c r="F1353" s="226"/>
      <c r="G1353" s="226"/>
      <c r="H1353" s="226"/>
      <c r="I1353" s="9" t="str">
        <f t="shared" si="21"/>
        <v>__</v>
      </c>
    </row>
    <row r="1354" spans="1:9" x14ac:dyDescent="0.35">
      <c r="A1354" s="226"/>
      <c r="B1354" s="226"/>
      <c r="C1354" s="226"/>
      <c r="D1354" s="226"/>
      <c r="E1354" s="226"/>
      <c r="F1354" s="226"/>
      <c r="G1354" s="226"/>
      <c r="H1354" s="226"/>
      <c r="I1354" s="9" t="str">
        <f t="shared" si="21"/>
        <v>__</v>
      </c>
    </row>
    <row r="1355" spans="1:9" x14ac:dyDescent="0.35">
      <c r="A1355" s="226"/>
      <c r="B1355" s="226"/>
      <c r="C1355" s="226"/>
      <c r="D1355" s="226"/>
      <c r="E1355" s="226"/>
      <c r="F1355" s="226"/>
      <c r="G1355" s="226"/>
      <c r="H1355" s="226"/>
      <c r="I1355" s="9" t="str">
        <f t="shared" si="21"/>
        <v>__</v>
      </c>
    </row>
    <row r="1356" spans="1:9" x14ac:dyDescent="0.35">
      <c r="A1356" s="226"/>
      <c r="B1356" s="226"/>
      <c r="C1356" s="226"/>
      <c r="D1356" s="226"/>
      <c r="E1356" s="226"/>
      <c r="F1356" s="226"/>
      <c r="G1356" s="226"/>
      <c r="H1356" s="226"/>
      <c r="I1356" s="9" t="str">
        <f t="shared" si="21"/>
        <v>__</v>
      </c>
    </row>
    <row r="1357" spans="1:9" x14ac:dyDescent="0.35">
      <c r="A1357" s="226"/>
      <c r="B1357" s="226"/>
      <c r="C1357" s="226"/>
      <c r="D1357" s="226"/>
      <c r="E1357" s="226"/>
      <c r="F1357" s="226"/>
      <c r="G1357" s="226"/>
      <c r="H1357" s="226"/>
      <c r="I1357" s="9" t="str">
        <f t="shared" si="21"/>
        <v>__</v>
      </c>
    </row>
    <row r="1358" spans="1:9" x14ac:dyDescent="0.35">
      <c r="A1358" s="226"/>
      <c r="B1358" s="226"/>
      <c r="C1358" s="226"/>
      <c r="D1358" s="226"/>
      <c r="E1358" s="226"/>
      <c r="F1358" s="226"/>
      <c r="G1358" s="226"/>
      <c r="H1358" s="226"/>
      <c r="I1358" s="9" t="str">
        <f t="shared" si="21"/>
        <v>__</v>
      </c>
    </row>
    <row r="1359" spans="1:9" x14ac:dyDescent="0.35">
      <c r="A1359" s="226"/>
      <c r="B1359" s="226"/>
      <c r="C1359" s="226"/>
      <c r="D1359" s="226"/>
      <c r="E1359" s="226"/>
      <c r="F1359" s="226"/>
      <c r="G1359" s="226"/>
      <c r="H1359" s="226"/>
      <c r="I1359" s="9" t="str">
        <f t="shared" si="21"/>
        <v>__</v>
      </c>
    </row>
    <row r="1360" spans="1:9" x14ac:dyDescent="0.35">
      <c r="A1360" s="226"/>
      <c r="B1360" s="226"/>
      <c r="C1360" s="226"/>
      <c r="D1360" s="226"/>
      <c r="E1360" s="226"/>
      <c r="F1360" s="226"/>
      <c r="G1360" s="226"/>
      <c r="H1360" s="226"/>
      <c r="I1360" s="9" t="str">
        <f t="shared" si="21"/>
        <v>__</v>
      </c>
    </row>
    <row r="1361" spans="1:9" x14ac:dyDescent="0.35">
      <c r="A1361" s="226"/>
      <c r="B1361" s="226"/>
      <c r="C1361" s="226"/>
      <c r="D1361" s="226"/>
      <c r="E1361" s="226"/>
      <c r="F1361" s="226"/>
      <c r="G1361" s="226"/>
      <c r="H1361" s="226"/>
      <c r="I1361" s="9" t="str">
        <f t="shared" si="21"/>
        <v>__</v>
      </c>
    </row>
    <row r="1362" spans="1:9" x14ac:dyDescent="0.35">
      <c r="A1362" s="226"/>
      <c r="B1362" s="226"/>
      <c r="C1362" s="226"/>
      <c r="D1362" s="226"/>
      <c r="E1362" s="226"/>
      <c r="F1362" s="226"/>
      <c r="G1362" s="226"/>
      <c r="H1362" s="226"/>
      <c r="I1362" s="9" t="str">
        <f t="shared" si="21"/>
        <v>__</v>
      </c>
    </row>
    <row r="1363" spans="1:9" x14ac:dyDescent="0.35">
      <c r="A1363" s="226"/>
      <c r="B1363" s="226"/>
      <c r="C1363" s="226"/>
      <c r="D1363" s="226"/>
      <c r="E1363" s="226"/>
      <c r="F1363" s="226"/>
      <c r="G1363" s="226"/>
      <c r="H1363" s="226"/>
      <c r="I1363" s="9" t="str">
        <f t="shared" si="21"/>
        <v>__</v>
      </c>
    </row>
    <row r="1364" spans="1:9" x14ac:dyDescent="0.35">
      <c r="A1364" s="226"/>
      <c r="B1364" s="226"/>
      <c r="C1364" s="226"/>
      <c r="D1364" s="226"/>
      <c r="E1364" s="226"/>
      <c r="F1364" s="226"/>
      <c r="G1364" s="226"/>
      <c r="H1364" s="226"/>
      <c r="I1364" s="9" t="str">
        <f t="shared" si="21"/>
        <v>__</v>
      </c>
    </row>
    <row r="1365" spans="1:9" x14ac:dyDescent="0.35">
      <c r="A1365" s="226"/>
      <c r="B1365" s="226"/>
      <c r="C1365" s="226"/>
      <c r="D1365" s="226"/>
      <c r="E1365" s="226"/>
      <c r="F1365" s="226"/>
      <c r="G1365" s="226"/>
      <c r="H1365" s="226"/>
      <c r="I1365" s="9" t="str">
        <f t="shared" si="21"/>
        <v>__</v>
      </c>
    </row>
    <row r="1366" spans="1:9" x14ac:dyDescent="0.35">
      <c r="A1366" s="226"/>
      <c r="B1366" s="226"/>
      <c r="C1366" s="226"/>
      <c r="D1366" s="226"/>
      <c r="E1366" s="226"/>
      <c r="F1366" s="226"/>
      <c r="G1366" s="226"/>
      <c r="H1366" s="226"/>
      <c r="I1366" s="9" t="str">
        <f t="shared" si="21"/>
        <v>__</v>
      </c>
    </row>
    <row r="1367" spans="1:9" x14ac:dyDescent="0.35">
      <c r="A1367" s="226"/>
      <c r="B1367" s="226"/>
      <c r="C1367" s="226"/>
      <c r="D1367" s="226"/>
      <c r="E1367" s="226"/>
      <c r="F1367" s="226"/>
      <c r="G1367" s="226"/>
      <c r="H1367" s="226"/>
      <c r="I1367" s="9" t="str">
        <f t="shared" si="21"/>
        <v>__</v>
      </c>
    </row>
    <row r="1368" spans="1:9" x14ac:dyDescent="0.35">
      <c r="A1368" s="226"/>
      <c r="B1368" s="226"/>
      <c r="C1368" s="226"/>
      <c r="D1368" s="226"/>
      <c r="E1368" s="226"/>
      <c r="F1368" s="226"/>
      <c r="G1368" s="226"/>
      <c r="H1368" s="226"/>
      <c r="I1368" s="9" t="str">
        <f t="shared" si="21"/>
        <v>__</v>
      </c>
    </row>
    <row r="1369" spans="1:9" x14ac:dyDescent="0.35">
      <c r="A1369" s="226"/>
      <c r="B1369" s="226"/>
      <c r="C1369" s="226"/>
      <c r="D1369" s="226"/>
      <c r="E1369" s="226"/>
      <c r="F1369" s="226"/>
      <c r="G1369" s="226"/>
      <c r="H1369" s="226"/>
      <c r="I1369" s="9" t="str">
        <f t="shared" si="21"/>
        <v>__</v>
      </c>
    </row>
    <row r="1370" spans="1:9" x14ac:dyDescent="0.35">
      <c r="A1370" s="226"/>
      <c r="B1370" s="226"/>
      <c r="C1370" s="226"/>
      <c r="D1370" s="226"/>
      <c r="E1370" s="226"/>
      <c r="F1370" s="226"/>
      <c r="G1370" s="226"/>
      <c r="H1370" s="226"/>
      <c r="I1370" s="9" t="str">
        <f t="shared" si="21"/>
        <v>__</v>
      </c>
    </row>
    <row r="1371" spans="1:9" x14ac:dyDescent="0.35">
      <c r="A1371" s="226"/>
      <c r="B1371" s="226"/>
      <c r="C1371" s="226"/>
      <c r="D1371" s="226"/>
      <c r="E1371" s="226"/>
      <c r="F1371" s="226"/>
      <c r="G1371" s="226"/>
      <c r="H1371" s="226"/>
      <c r="I1371" s="9" t="str">
        <f t="shared" si="21"/>
        <v>__</v>
      </c>
    </row>
    <row r="1372" spans="1:9" x14ac:dyDescent="0.35">
      <c r="A1372" s="226"/>
      <c r="B1372" s="226"/>
      <c r="C1372" s="226"/>
      <c r="D1372" s="226"/>
      <c r="E1372" s="226"/>
      <c r="F1372" s="226"/>
      <c r="G1372" s="226"/>
      <c r="H1372" s="226"/>
      <c r="I1372" s="9" t="str">
        <f t="shared" si="21"/>
        <v>__</v>
      </c>
    </row>
    <row r="1373" spans="1:9" x14ac:dyDescent="0.35">
      <c r="A1373" s="226"/>
      <c r="B1373" s="226"/>
      <c r="C1373" s="226"/>
      <c r="D1373" s="226"/>
      <c r="E1373" s="226"/>
      <c r="F1373" s="226"/>
      <c r="G1373" s="226"/>
      <c r="H1373" s="226"/>
      <c r="I1373" s="9" t="str">
        <f t="shared" si="21"/>
        <v>__</v>
      </c>
    </row>
    <row r="1374" spans="1:9" x14ac:dyDescent="0.35">
      <c r="A1374" s="226"/>
      <c r="B1374" s="226"/>
      <c r="C1374" s="226"/>
      <c r="D1374" s="226"/>
      <c r="E1374" s="226"/>
      <c r="F1374" s="226"/>
      <c r="G1374" s="226"/>
      <c r="H1374" s="226"/>
      <c r="I1374" s="9" t="str">
        <f t="shared" si="21"/>
        <v>__</v>
      </c>
    </row>
    <row r="1375" spans="1:9" x14ac:dyDescent="0.35">
      <c r="A1375" s="226"/>
      <c r="B1375" s="226"/>
      <c r="C1375" s="226"/>
      <c r="D1375" s="226"/>
      <c r="E1375" s="226"/>
      <c r="F1375" s="226"/>
      <c r="G1375" s="226"/>
      <c r="H1375" s="226"/>
      <c r="I1375" s="9" t="str">
        <f t="shared" si="21"/>
        <v>__</v>
      </c>
    </row>
    <row r="1376" spans="1:9" x14ac:dyDescent="0.35">
      <c r="A1376" s="226"/>
      <c r="B1376" s="226"/>
      <c r="C1376" s="226"/>
      <c r="D1376" s="226"/>
      <c r="E1376" s="226"/>
      <c r="F1376" s="226"/>
      <c r="G1376" s="226"/>
      <c r="H1376" s="226"/>
      <c r="I1376" s="9" t="str">
        <f t="shared" si="21"/>
        <v>__</v>
      </c>
    </row>
    <row r="1377" spans="1:9" x14ac:dyDescent="0.35">
      <c r="A1377" s="226"/>
      <c r="B1377" s="226"/>
      <c r="C1377" s="226"/>
      <c r="D1377" s="226"/>
      <c r="E1377" s="226"/>
      <c r="F1377" s="226"/>
      <c r="G1377" s="226"/>
      <c r="H1377" s="226"/>
      <c r="I1377" s="9" t="str">
        <f t="shared" si="21"/>
        <v>__</v>
      </c>
    </row>
    <row r="1378" spans="1:9" x14ac:dyDescent="0.35">
      <c r="A1378" s="226"/>
      <c r="B1378" s="226"/>
      <c r="C1378" s="226"/>
      <c r="D1378" s="226"/>
      <c r="E1378" s="226"/>
      <c r="F1378" s="226"/>
      <c r="G1378" s="226"/>
      <c r="H1378" s="226"/>
      <c r="I1378" s="9" t="str">
        <f t="shared" si="21"/>
        <v>__</v>
      </c>
    </row>
    <row r="1379" spans="1:9" x14ac:dyDescent="0.35">
      <c r="A1379" s="226"/>
      <c r="B1379" s="226"/>
      <c r="C1379" s="226"/>
      <c r="D1379" s="226"/>
      <c r="E1379" s="226"/>
      <c r="F1379" s="226"/>
      <c r="G1379" s="226"/>
      <c r="H1379" s="226"/>
      <c r="I1379" s="9" t="str">
        <f t="shared" si="21"/>
        <v>__</v>
      </c>
    </row>
    <row r="1380" spans="1:9" x14ac:dyDescent="0.35">
      <c r="A1380" s="226"/>
      <c r="B1380" s="226"/>
      <c r="C1380" s="226"/>
      <c r="D1380" s="226"/>
      <c r="E1380" s="226"/>
      <c r="F1380" s="226"/>
      <c r="G1380" s="226"/>
      <c r="H1380" s="226"/>
      <c r="I1380" s="9" t="str">
        <f t="shared" si="21"/>
        <v>__</v>
      </c>
    </row>
    <row r="1381" spans="1:9" x14ac:dyDescent="0.35">
      <c r="A1381" s="226"/>
      <c r="B1381" s="226"/>
      <c r="C1381" s="226"/>
      <c r="D1381" s="226"/>
      <c r="E1381" s="226"/>
      <c r="F1381" s="226"/>
      <c r="G1381" s="226"/>
      <c r="H1381" s="226"/>
      <c r="I1381" s="9" t="str">
        <f t="shared" si="21"/>
        <v>__</v>
      </c>
    </row>
    <row r="1382" spans="1:9" x14ac:dyDescent="0.35">
      <c r="A1382" s="226"/>
      <c r="B1382" s="226"/>
      <c r="C1382" s="226"/>
      <c r="D1382" s="226"/>
      <c r="E1382" s="226"/>
      <c r="F1382" s="226"/>
      <c r="G1382" s="226"/>
      <c r="H1382" s="226"/>
      <c r="I1382" s="9" t="str">
        <f t="shared" si="21"/>
        <v>__</v>
      </c>
    </row>
    <row r="1383" spans="1:9" x14ac:dyDescent="0.35">
      <c r="A1383" s="226"/>
      <c r="B1383" s="226"/>
      <c r="C1383" s="226"/>
      <c r="D1383" s="226"/>
      <c r="E1383" s="226"/>
      <c r="F1383" s="226"/>
      <c r="G1383" s="226"/>
      <c r="H1383" s="226"/>
      <c r="I1383" s="9" t="str">
        <f t="shared" si="21"/>
        <v>__</v>
      </c>
    </row>
    <row r="1384" spans="1:9" x14ac:dyDescent="0.35">
      <c r="A1384" s="226"/>
      <c r="B1384" s="226"/>
      <c r="C1384" s="226"/>
      <c r="D1384" s="226"/>
      <c r="E1384" s="226"/>
      <c r="F1384" s="226"/>
      <c r="G1384" s="226"/>
      <c r="H1384" s="226"/>
      <c r="I1384" s="9" t="str">
        <f t="shared" si="21"/>
        <v>__</v>
      </c>
    </row>
    <row r="1385" spans="1:9" x14ac:dyDescent="0.35">
      <c r="A1385" s="226"/>
      <c r="B1385" s="226"/>
      <c r="C1385" s="226"/>
      <c r="D1385" s="226"/>
      <c r="E1385" s="226"/>
      <c r="F1385" s="226"/>
      <c r="G1385" s="226"/>
      <c r="H1385" s="226"/>
      <c r="I1385" s="9" t="str">
        <f t="shared" si="21"/>
        <v>__</v>
      </c>
    </row>
    <row r="1386" spans="1:9" x14ac:dyDescent="0.35">
      <c r="A1386" s="226"/>
      <c r="B1386" s="226"/>
      <c r="C1386" s="226"/>
      <c r="D1386" s="226"/>
      <c r="E1386" s="226"/>
      <c r="F1386" s="226"/>
      <c r="G1386" s="226"/>
      <c r="H1386" s="226"/>
      <c r="I1386" s="9" t="str">
        <f t="shared" si="21"/>
        <v>__</v>
      </c>
    </row>
    <row r="1387" spans="1:9" x14ac:dyDescent="0.35">
      <c r="A1387" s="226"/>
      <c r="B1387" s="226"/>
      <c r="C1387" s="226"/>
      <c r="D1387" s="226"/>
      <c r="E1387" s="226"/>
      <c r="F1387" s="226"/>
      <c r="G1387" s="226"/>
      <c r="H1387" s="226"/>
      <c r="I1387" s="9" t="str">
        <f t="shared" si="21"/>
        <v>__</v>
      </c>
    </row>
    <row r="1388" spans="1:9" x14ac:dyDescent="0.35">
      <c r="A1388" s="226"/>
      <c r="B1388" s="226"/>
      <c r="C1388" s="226"/>
      <c r="D1388" s="226"/>
      <c r="E1388" s="226"/>
      <c r="F1388" s="226"/>
      <c r="G1388" s="226"/>
      <c r="H1388" s="226"/>
      <c r="I1388" s="9" t="str">
        <f t="shared" si="21"/>
        <v>__</v>
      </c>
    </row>
    <row r="1389" spans="1:9" x14ac:dyDescent="0.35">
      <c r="A1389" s="226"/>
      <c r="B1389" s="226"/>
      <c r="C1389" s="226"/>
      <c r="D1389" s="226"/>
      <c r="E1389" s="226"/>
      <c r="F1389" s="226"/>
      <c r="G1389" s="226"/>
      <c r="H1389" s="226"/>
      <c r="I1389" s="9" t="str">
        <f t="shared" si="21"/>
        <v>__</v>
      </c>
    </row>
    <row r="1390" spans="1:9" x14ac:dyDescent="0.35">
      <c r="A1390" s="226"/>
      <c r="B1390" s="226"/>
      <c r="C1390" s="226"/>
      <c r="D1390" s="226"/>
      <c r="E1390" s="226"/>
      <c r="F1390" s="226"/>
      <c r="G1390" s="226"/>
      <c r="H1390" s="226"/>
      <c r="I1390" s="9" t="str">
        <f t="shared" si="21"/>
        <v>__</v>
      </c>
    </row>
    <row r="1391" spans="1:9" x14ac:dyDescent="0.35">
      <c r="A1391" s="226"/>
      <c r="B1391" s="226"/>
      <c r="C1391" s="226"/>
      <c r="D1391" s="226"/>
      <c r="E1391" s="226"/>
      <c r="F1391" s="226"/>
      <c r="G1391" s="226"/>
      <c r="H1391" s="226"/>
      <c r="I1391" s="9" t="str">
        <f t="shared" si="21"/>
        <v>__</v>
      </c>
    </row>
    <row r="1392" spans="1:9" x14ac:dyDescent="0.35">
      <c r="A1392" s="226"/>
      <c r="B1392" s="226"/>
      <c r="C1392" s="226"/>
      <c r="D1392" s="226"/>
      <c r="E1392" s="226"/>
      <c r="F1392" s="226"/>
      <c r="G1392" s="226"/>
      <c r="H1392" s="226"/>
      <c r="I1392" s="9" t="str">
        <f t="shared" si="21"/>
        <v>__</v>
      </c>
    </row>
    <row r="1393" spans="1:9" x14ac:dyDescent="0.35">
      <c r="A1393" s="226"/>
      <c r="B1393" s="226"/>
      <c r="C1393" s="226"/>
      <c r="D1393" s="226"/>
      <c r="E1393" s="226"/>
      <c r="F1393" s="226"/>
      <c r="G1393" s="226"/>
      <c r="H1393" s="226"/>
      <c r="I1393" s="9" t="str">
        <f t="shared" si="21"/>
        <v>__</v>
      </c>
    </row>
    <row r="1394" spans="1:9" x14ac:dyDescent="0.35">
      <c r="A1394" s="226"/>
      <c r="B1394" s="226"/>
      <c r="C1394" s="226"/>
      <c r="D1394" s="226"/>
      <c r="E1394" s="226"/>
      <c r="F1394" s="226"/>
      <c r="G1394" s="226"/>
      <c r="H1394" s="226"/>
      <c r="I1394" s="9" t="str">
        <f t="shared" si="21"/>
        <v>__</v>
      </c>
    </row>
    <row r="1395" spans="1:9" x14ac:dyDescent="0.35">
      <c r="A1395" s="226"/>
      <c r="B1395" s="226"/>
      <c r="C1395" s="226"/>
      <c r="D1395" s="226"/>
      <c r="E1395" s="226"/>
      <c r="F1395" s="226"/>
      <c r="G1395" s="226"/>
      <c r="H1395" s="226"/>
      <c r="I1395" s="9" t="str">
        <f t="shared" si="21"/>
        <v>__</v>
      </c>
    </row>
    <row r="1396" spans="1:9" x14ac:dyDescent="0.35">
      <c r="A1396" s="226"/>
      <c r="B1396" s="226"/>
      <c r="C1396" s="226"/>
      <c r="D1396" s="226"/>
      <c r="E1396" s="226"/>
      <c r="F1396" s="226"/>
      <c r="G1396" s="226"/>
      <c r="H1396" s="226"/>
      <c r="I1396" s="9" t="str">
        <f t="shared" si="21"/>
        <v>__</v>
      </c>
    </row>
    <row r="1397" spans="1:9" x14ac:dyDescent="0.35">
      <c r="A1397" s="226"/>
      <c r="B1397" s="226"/>
      <c r="C1397" s="226"/>
      <c r="D1397" s="226"/>
      <c r="E1397" s="226"/>
      <c r="F1397" s="226"/>
      <c r="G1397" s="226"/>
      <c r="H1397" s="226"/>
      <c r="I1397" s="9" t="str">
        <f t="shared" si="21"/>
        <v>__</v>
      </c>
    </row>
    <row r="1398" spans="1:9" x14ac:dyDescent="0.35">
      <c r="A1398" s="226"/>
      <c r="B1398" s="226"/>
      <c r="C1398" s="226"/>
      <c r="D1398" s="226"/>
      <c r="E1398" s="226"/>
      <c r="F1398" s="226"/>
      <c r="G1398" s="226"/>
      <c r="H1398" s="226"/>
      <c r="I1398" s="9" t="str">
        <f t="shared" si="21"/>
        <v>__</v>
      </c>
    </row>
    <row r="1399" spans="1:9" x14ac:dyDescent="0.35">
      <c r="A1399" s="226"/>
      <c r="B1399" s="226"/>
      <c r="C1399" s="226"/>
      <c r="D1399" s="226"/>
      <c r="E1399" s="226"/>
      <c r="F1399" s="226"/>
      <c r="G1399" s="226"/>
      <c r="H1399" s="226"/>
      <c r="I1399" s="9" t="str">
        <f t="shared" si="21"/>
        <v>__</v>
      </c>
    </row>
    <row r="1400" spans="1:9" x14ac:dyDescent="0.35">
      <c r="A1400" s="226"/>
      <c r="B1400" s="226"/>
      <c r="C1400" s="226"/>
      <c r="D1400" s="226"/>
      <c r="E1400" s="226"/>
      <c r="F1400" s="226"/>
      <c r="G1400" s="226"/>
      <c r="H1400" s="226"/>
      <c r="I1400" s="9" t="str">
        <f t="shared" si="21"/>
        <v>__</v>
      </c>
    </row>
    <row r="1401" spans="1:9" x14ac:dyDescent="0.35">
      <c r="A1401" s="226"/>
      <c r="B1401" s="226"/>
      <c r="C1401" s="226"/>
      <c r="D1401" s="226"/>
      <c r="E1401" s="226"/>
      <c r="F1401" s="226"/>
      <c r="G1401" s="226"/>
      <c r="H1401" s="226"/>
      <c r="I1401" s="9" t="str">
        <f t="shared" si="21"/>
        <v>__</v>
      </c>
    </row>
    <row r="1402" spans="1:9" x14ac:dyDescent="0.35">
      <c r="A1402" s="226"/>
      <c r="B1402" s="226"/>
      <c r="C1402" s="226"/>
      <c r="D1402" s="226"/>
      <c r="E1402" s="226"/>
      <c r="F1402" s="226"/>
      <c r="G1402" s="226"/>
      <c r="H1402" s="226"/>
      <c r="I1402" s="9" t="str">
        <f t="shared" si="21"/>
        <v>__</v>
      </c>
    </row>
    <row r="1403" spans="1:9" x14ac:dyDescent="0.35">
      <c r="A1403" s="226"/>
      <c r="B1403" s="226"/>
      <c r="C1403" s="226"/>
      <c r="D1403" s="226"/>
      <c r="E1403" s="226"/>
      <c r="F1403" s="226"/>
      <c r="G1403" s="226"/>
      <c r="H1403" s="226"/>
      <c r="I1403" s="9" t="str">
        <f t="shared" si="21"/>
        <v>__</v>
      </c>
    </row>
    <row r="1404" spans="1:9" x14ac:dyDescent="0.35">
      <c r="A1404" s="226"/>
      <c r="B1404" s="226"/>
      <c r="C1404" s="226"/>
      <c r="D1404" s="226"/>
      <c r="E1404" s="226"/>
      <c r="F1404" s="226"/>
      <c r="G1404" s="226"/>
      <c r="H1404" s="226"/>
      <c r="I1404" s="9" t="str">
        <f t="shared" si="21"/>
        <v>__</v>
      </c>
    </row>
    <row r="1405" spans="1:9" x14ac:dyDescent="0.35">
      <c r="A1405" s="226"/>
      <c r="B1405" s="226"/>
      <c r="C1405" s="226"/>
      <c r="D1405" s="226"/>
      <c r="E1405" s="226"/>
      <c r="F1405" s="226"/>
      <c r="G1405" s="226"/>
      <c r="H1405" s="226"/>
      <c r="I1405" s="9" t="str">
        <f t="shared" si="21"/>
        <v>__</v>
      </c>
    </row>
    <row r="1406" spans="1:9" x14ac:dyDescent="0.35">
      <c r="A1406" s="226"/>
      <c r="B1406" s="226"/>
      <c r="C1406" s="226"/>
      <c r="D1406" s="226"/>
      <c r="E1406" s="226"/>
      <c r="F1406" s="226"/>
      <c r="G1406" s="226"/>
      <c r="H1406" s="226"/>
      <c r="I1406" s="9" t="str">
        <f t="shared" si="21"/>
        <v>__</v>
      </c>
    </row>
    <row r="1407" spans="1:9" x14ac:dyDescent="0.35">
      <c r="A1407" s="226"/>
      <c r="B1407" s="226"/>
      <c r="C1407" s="226"/>
      <c r="D1407" s="226"/>
      <c r="E1407" s="226"/>
      <c r="F1407" s="226"/>
      <c r="G1407" s="226"/>
      <c r="H1407" s="226"/>
      <c r="I1407" s="9" t="str">
        <f t="shared" si="21"/>
        <v>__</v>
      </c>
    </row>
    <row r="1408" spans="1:9" x14ac:dyDescent="0.35">
      <c r="A1408" s="226"/>
      <c r="B1408" s="226"/>
      <c r="C1408" s="226"/>
      <c r="D1408" s="226"/>
      <c r="E1408" s="226"/>
      <c r="F1408" s="226"/>
      <c r="G1408" s="226"/>
      <c r="H1408" s="226"/>
      <c r="I1408" s="9" t="str">
        <f t="shared" si="21"/>
        <v>__</v>
      </c>
    </row>
    <row r="1409" spans="1:9" x14ac:dyDescent="0.35">
      <c r="A1409" s="226"/>
      <c r="B1409" s="226"/>
      <c r="C1409" s="226"/>
      <c r="D1409" s="226"/>
      <c r="E1409" s="226"/>
      <c r="F1409" s="226"/>
      <c r="G1409" s="226"/>
      <c r="H1409" s="226"/>
      <c r="I1409" s="9" t="str">
        <f t="shared" si="21"/>
        <v>__</v>
      </c>
    </row>
    <row r="1410" spans="1:9" x14ac:dyDescent="0.35">
      <c r="A1410" s="226"/>
      <c r="B1410" s="226"/>
      <c r="C1410" s="226"/>
      <c r="D1410" s="226"/>
      <c r="E1410" s="226"/>
      <c r="F1410" s="226"/>
      <c r="G1410" s="226"/>
      <c r="H1410" s="226"/>
      <c r="I1410" s="9" t="str">
        <f t="shared" si="21"/>
        <v>__</v>
      </c>
    </row>
    <row r="1411" spans="1:9" x14ac:dyDescent="0.35">
      <c r="A1411" s="226"/>
      <c r="B1411" s="226"/>
      <c r="C1411" s="226"/>
      <c r="D1411" s="226"/>
      <c r="E1411" s="226"/>
      <c r="F1411" s="226"/>
      <c r="G1411" s="226"/>
      <c r="H1411" s="226"/>
      <c r="I1411" s="9" t="str">
        <f t="shared" si="21"/>
        <v>__</v>
      </c>
    </row>
    <row r="1412" spans="1:9" x14ac:dyDescent="0.35">
      <c r="A1412" s="226"/>
      <c r="B1412" s="226"/>
      <c r="C1412" s="226"/>
      <c r="D1412" s="226"/>
      <c r="E1412" s="226"/>
      <c r="F1412" s="226"/>
      <c r="G1412" s="226"/>
      <c r="H1412" s="226"/>
      <c r="I1412" s="9" t="str">
        <f t="shared" si="21"/>
        <v>__</v>
      </c>
    </row>
    <row r="1413" spans="1:9" x14ac:dyDescent="0.35">
      <c r="A1413" s="226"/>
      <c r="B1413" s="226"/>
      <c r="C1413" s="226"/>
      <c r="D1413" s="226"/>
      <c r="E1413" s="226"/>
      <c r="F1413" s="226"/>
      <c r="G1413" s="226"/>
      <c r="H1413" s="226"/>
      <c r="I1413" s="9" t="str">
        <f t="shared" ref="I1413:I1476" si="22">CONCATENATE(A1413,"_",B1413,"_",C1413)</f>
        <v>__</v>
      </c>
    </row>
    <row r="1414" spans="1:9" x14ac:dyDescent="0.35">
      <c r="A1414" s="226"/>
      <c r="B1414" s="226"/>
      <c r="C1414" s="226"/>
      <c r="D1414" s="226"/>
      <c r="E1414" s="226"/>
      <c r="F1414" s="226"/>
      <c r="G1414" s="226"/>
      <c r="H1414" s="226"/>
      <c r="I1414" s="9" t="str">
        <f t="shared" si="22"/>
        <v>__</v>
      </c>
    </row>
    <row r="1415" spans="1:9" x14ac:dyDescent="0.35">
      <c r="A1415" s="226"/>
      <c r="B1415" s="226"/>
      <c r="C1415" s="226"/>
      <c r="D1415" s="226"/>
      <c r="E1415" s="226"/>
      <c r="F1415" s="226"/>
      <c r="G1415" s="226"/>
      <c r="H1415" s="226"/>
      <c r="I1415" s="9" t="str">
        <f t="shared" si="22"/>
        <v>__</v>
      </c>
    </row>
    <row r="1416" spans="1:9" x14ac:dyDescent="0.35">
      <c r="A1416" s="226"/>
      <c r="B1416" s="226"/>
      <c r="C1416" s="226"/>
      <c r="D1416" s="226"/>
      <c r="E1416" s="226"/>
      <c r="F1416" s="226"/>
      <c r="G1416" s="226"/>
      <c r="H1416" s="226"/>
      <c r="I1416" s="9" t="str">
        <f t="shared" si="22"/>
        <v>__</v>
      </c>
    </row>
    <row r="1417" spans="1:9" x14ac:dyDescent="0.35">
      <c r="A1417" s="226"/>
      <c r="B1417" s="226"/>
      <c r="C1417" s="226"/>
      <c r="D1417" s="226"/>
      <c r="E1417" s="226"/>
      <c r="F1417" s="226"/>
      <c r="G1417" s="226"/>
      <c r="H1417" s="226"/>
      <c r="I1417" s="9" t="str">
        <f t="shared" si="22"/>
        <v>__</v>
      </c>
    </row>
    <row r="1418" spans="1:9" x14ac:dyDescent="0.35">
      <c r="A1418" s="226"/>
      <c r="B1418" s="226"/>
      <c r="C1418" s="226"/>
      <c r="D1418" s="226"/>
      <c r="E1418" s="226"/>
      <c r="F1418" s="226"/>
      <c r="G1418" s="226"/>
      <c r="H1418" s="226"/>
      <c r="I1418" s="9" t="str">
        <f t="shared" si="22"/>
        <v>__</v>
      </c>
    </row>
    <row r="1419" spans="1:9" x14ac:dyDescent="0.35">
      <c r="A1419" s="226"/>
      <c r="B1419" s="226"/>
      <c r="C1419" s="226"/>
      <c r="D1419" s="226"/>
      <c r="E1419" s="226"/>
      <c r="F1419" s="226"/>
      <c r="G1419" s="226"/>
      <c r="H1419" s="226"/>
      <c r="I1419" s="9" t="str">
        <f t="shared" si="22"/>
        <v>__</v>
      </c>
    </row>
    <row r="1420" spans="1:9" x14ac:dyDescent="0.35">
      <c r="A1420" s="226"/>
      <c r="B1420" s="226"/>
      <c r="C1420" s="226"/>
      <c r="D1420" s="226"/>
      <c r="E1420" s="226"/>
      <c r="F1420" s="226"/>
      <c r="G1420" s="226"/>
      <c r="H1420" s="226"/>
      <c r="I1420" s="9" t="str">
        <f t="shared" si="22"/>
        <v>__</v>
      </c>
    </row>
    <row r="1421" spans="1:9" x14ac:dyDescent="0.35">
      <c r="A1421" s="226"/>
      <c r="B1421" s="226"/>
      <c r="C1421" s="226"/>
      <c r="D1421" s="226"/>
      <c r="E1421" s="226"/>
      <c r="F1421" s="226"/>
      <c r="G1421" s="226"/>
      <c r="H1421" s="226"/>
      <c r="I1421" s="9" t="str">
        <f t="shared" si="22"/>
        <v>__</v>
      </c>
    </row>
    <row r="1422" spans="1:9" x14ac:dyDescent="0.35">
      <c r="A1422" s="226"/>
      <c r="B1422" s="226"/>
      <c r="C1422" s="226"/>
      <c r="D1422" s="226"/>
      <c r="E1422" s="226"/>
      <c r="F1422" s="226"/>
      <c r="G1422" s="226"/>
      <c r="H1422" s="226"/>
      <c r="I1422" s="9" t="str">
        <f t="shared" si="22"/>
        <v>__</v>
      </c>
    </row>
    <row r="1423" spans="1:9" x14ac:dyDescent="0.35">
      <c r="A1423" s="226"/>
      <c r="B1423" s="226"/>
      <c r="C1423" s="226"/>
      <c r="D1423" s="226"/>
      <c r="E1423" s="226"/>
      <c r="F1423" s="226"/>
      <c r="G1423" s="226"/>
      <c r="H1423" s="226"/>
      <c r="I1423" s="9" t="str">
        <f t="shared" si="22"/>
        <v>__</v>
      </c>
    </row>
    <row r="1424" spans="1:9" x14ac:dyDescent="0.35">
      <c r="A1424" s="226"/>
      <c r="B1424" s="226"/>
      <c r="C1424" s="226"/>
      <c r="D1424" s="226"/>
      <c r="E1424" s="226"/>
      <c r="F1424" s="226"/>
      <c r="G1424" s="226"/>
      <c r="H1424" s="226"/>
      <c r="I1424" s="9" t="str">
        <f t="shared" si="22"/>
        <v>__</v>
      </c>
    </row>
    <row r="1425" spans="1:9" x14ac:dyDescent="0.35">
      <c r="A1425" s="226"/>
      <c r="B1425" s="226"/>
      <c r="C1425" s="226"/>
      <c r="D1425" s="226"/>
      <c r="E1425" s="226"/>
      <c r="F1425" s="226"/>
      <c r="G1425" s="226"/>
      <c r="H1425" s="226"/>
      <c r="I1425" s="9" t="str">
        <f t="shared" si="22"/>
        <v>__</v>
      </c>
    </row>
    <row r="1426" spans="1:9" x14ac:dyDescent="0.35">
      <c r="A1426" s="226"/>
      <c r="B1426" s="226"/>
      <c r="C1426" s="226"/>
      <c r="D1426" s="226"/>
      <c r="E1426" s="226"/>
      <c r="F1426" s="226"/>
      <c r="G1426" s="226"/>
      <c r="H1426" s="226"/>
      <c r="I1426" s="9" t="str">
        <f t="shared" si="22"/>
        <v>__</v>
      </c>
    </row>
    <row r="1427" spans="1:9" x14ac:dyDescent="0.35">
      <c r="A1427" s="226"/>
      <c r="B1427" s="226"/>
      <c r="C1427" s="226"/>
      <c r="D1427" s="226"/>
      <c r="E1427" s="226"/>
      <c r="F1427" s="226"/>
      <c r="G1427" s="226"/>
      <c r="H1427" s="226"/>
      <c r="I1427" s="9" t="str">
        <f t="shared" si="22"/>
        <v>__</v>
      </c>
    </row>
    <row r="1428" spans="1:9" x14ac:dyDescent="0.35">
      <c r="A1428" s="226"/>
      <c r="B1428" s="226"/>
      <c r="C1428" s="226"/>
      <c r="D1428" s="226"/>
      <c r="E1428" s="226"/>
      <c r="F1428" s="226"/>
      <c r="G1428" s="226"/>
      <c r="H1428" s="226"/>
      <c r="I1428" s="9" t="str">
        <f t="shared" si="22"/>
        <v>__</v>
      </c>
    </row>
    <row r="1429" spans="1:9" x14ac:dyDescent="0.35">
      <c r="A1429" s="226"/>
      <c r="B1429" s="226"/>
      <c r="C1429" s="226"/>
      <c r="D1429" s="226"/>
      <c r="E1429" s="226"/>
      <c r="F1429" s="226"/>
      <c r="G1429" s="226"/>
      <c r="H1429" s="226"/>
      <c r="I1429" s="9" t="str">
        <f t="shared" si="22"/>
        <v>__</v>
      </c>
    </row>
    <row r="1430" spans="1:9" x14ac:dyDescent="0.35">
      <c r="A1430" s="226"/>
      <c r="B1430" s="226"/>
      <c r="C1430" s="226"/>
      <c r="D1430" s="226"/>
      <c r="E1430" s="226"/>
      <c r="F1430" s="226"/>
      <c r="G1430" s="226"/>
      <c r="H1430" s="226"/>
      <c r="I1430" s="9" t="str">
        <f t="shared" si="22"/>
        <v>__</v>
      </c>
    </row>
    <row r="1431" spans="1:9" x14ac:dyDescent="0.35">
      <c r="A1431" s="226"/>
      <c r="B1431" s="226"/>
      <c r="C1431" s="226"/>
      <c r="D1431" s="226"/>
      <c r="E1431" s="226"/>
      <c r="F1431" s="226"/>
      <c r="G1431" s="226"/>
      <c r="H1431" s="226"/>
      <c r="I1431" s="9" t="str">
        <f t="shared" si="22"/>
        <v>__</v>
      </c>
    </row>
    <row r="1432" spans="1:9" x14ac:dyDescent="0.35">
      <c r="A1432" s="226"/>
      <c r="B1432" s="226"/>
      <c r="C1432" s="226"/>
      <c r="D1432" s="226"/>
      <c r="E1432" s="226"/>
      <c r="F1432" s="226"/>
      <c r="G1432" s="226"/>
      <c r="H1432" s="226"/>
      <c r="I1432" s="9" t="str">
        <f t="shared" si="22"/>
        <v>__</v>
      </c>
    </row>
    <row r="1433" spans="1:9" x14ac:dyDescent="0.35">
      <c r="A1433" s="226"/>
      <c r="B1433" s="226"/>
      <c r="C1433" s="226"/>
      <c r="D1433" s="226"/>
      <c r="E1433" s="226"/>
      <c r="F1433" s="226"/>
      <c r="G1433" s="226"/>
      <c r="H1433" s="226"/>
      <c r="I1433" s="9" t="str">
        <f t="shared" si="22"/>
        <v>__</v>
      </c>
    </row>
    <row r="1434" spans="1:9" x14ac:dyDescent="0.35">
      <c r="A1434" s="226"/>
      <c r="B1434" s="226"/>
      <c r="C1434" s="226"/>
      <c r="D1434" s="226"/>
      <c r="E1434" s="226"/>
      <c r="F1434" s="226"/>
      <c r="G1434" s="226"/>
      <c r="H1434" s="226"/>
      <c r="I1434" s="9" t="str">
        <f t="shared" si="22"/>
        <v>__</v>
      </c>
    </row>
    <row r="1435" spans="1:9" x14ac:dyDescent="0.35">
      <c r="A1435" s="226"/>
      <c r="B1435" s="226"/>
      <c r="C1435" s="226"/>
      <c r="D1435" s="226"/>
      <c r="E1435" s="226"/>
      <c r="F1435" s="226"/>
      <c r="G1435" s="226"/>
      <c r="H1435" s="226"/>
      <c r="I1435" s="9" t="str">
        <f t="shared" si="22"/>
        <v>__</v>
      </c>
    </row>
    <row r="1436" spans="1:9" x14ac:dyDescent="0.35">
      <c r="A1436" s="226"/>
      <c r="B1436" s="226"/>
      <c r="C1436" s="226"/>
      <c r="D1436" s="226"/>
      <c r="E1436" s="226"/>
      <c r="F1436" s="226"/>
      <c r="G1436" s="226"/>
      <c r="H1436" s="226"/>
      <c r="I1436" s="9" t="str">
        <f t="shared" si="22"/>
        <v>__</v>
      </c>
    </row>
    <row r="1437" spans="1:9" x14ac:dyDescent="0.35">
      <c r="A1437" s="226"/>
      <c r="B1437" s="226"/>
      <c r="C1437" s="226"/>
      <c r="D1437" s="226"/>
      <c r="E1437" s="226"/>
      <c r="F1437" s="226"/>
      <c r="G1437" s="226"/>
      <c r="H1437" s="226"/>
      <c r="I1437" s="9" t="str">
        <f t="shared" si="22"/>
        <v>__</v>
      </c>
    </row>
    <row r="1438" spans="1:9" x14ac:dyDescent="0.35">
      <c r="A1438" s="226"/>
      <c r="B1438" s="226"/>
      <c r="C1438" s="226"/>
      <c r="D1438" s="226"/>
      <c r="E1438" s="226"/>
      <c r="F1438" s="226"/>
      <c r="G1438" s="226"/>
      <c r="H1438" s="226"/>
      <c r="I1438" s="9" t="str">
        <f t="shared" si="22"/>
        <v>__</v>
      </c>
    </row>
    <row r="1439" spans="1:9" x14ac:dyDescent="0.35">
      <c r="A1439" s="226"/>
      <c r="B1439" s="226"/>
      <c r="C1439" s="226"/>
      <c r="D1439" s="226"/>
      <c r="E1439" s="226"/>
      <c r="F1439" s="226"/>
      <c r="G1439" s="226"/>
      <c r="H1439" s="226"/>
      <c r="I1439" s="9" t="str">
        <f t="shared" si="22"/>
        <v>__</v>
      </c>
    </row>
    <row r="1440" spans="1:9" x14ac:dyDescent="0.35">
      <c r="A1440" s="226"/>
      <c r="B1440" s="226"/>
      <c r="C1440" s="226"/>
      <c r="D1440" s="226"/>
      <c r="E1440" s="226"/>
      <c r="F1440" s="226"/>
      <c r="G1440" s="226"/>
      <c r="H1440" s="226"/>
      <c r="I1440" s="9" t="str">
        <f t="shared" si="22"/>
        <v>__</v>
      </c>
    </row>
    <row r="1441" spans="1:9" x14ac:dyDescent="0.35">
      <c r="A1441" s="226"/>
      <c r="B1441" s="226"/>
      <c r="C1441" s="226"/>
      <c r="D1441" s="226"/>
      <c r="E1441" s="226"/>
      <c r="F1441" s="226"/>
      <c r="G1441" s="226"/>
      <c r="H1441" s="226"/>
      <c r="I1441" s="9" t="str">
        <f t="shared" si="22"/>
        <v>__</v>
      </c>
    </row>
    <row r="1442" spans="1:9" x14ac:dyDescent="0.35">
      <c r="A1442" s="226"/>
      <c r="B1442" s="226"/>
      <c r="C1442" s="226"/>
      <c r="D1442" s="226"/>
      <c r="E1442" s="226"/>
      <c r="F1442" s="226"/>
      <c r="G1442" s="226"/>
      <c r="H1442" s="226"/>
      <c r="I1442" s="9" t="str">
        <f t="shared" si="22"/>
        <v>__</v>
      </c>
    </row>
    <row r="1443" spans="1:9" x14ac:dyDescent="0.35">
      <c r="A1443" s="226"/>
      <c r="B1443" s="226"/>
      <c r="C1443" s="226"/>
      <c r="D1443" s="226"/>
      <c r="E1443" s="226"/>
      <c r="F1443" s="226"/>
      <c r="G1443" s="226"/>
      <c r="H1443" s="226"/>
      <c r="I1443" s="9" t="str">
        <f t="shared" si="22"/>
        <v>__</v>
      </c>
    </row>
    <row r="1444" spans="1:9" x14ac:dyDescent="0.35">
      <c r="A1444" s="226"/>
      <c r="B1444" s="226"/>
      <c r="C1444" s="226"/>
      <c r="D1444" s="226"/>
      <c r="E1444" s="226"/>
      <c r="F1444" s="226"/>
      <c r="G1444" s="226"/>
      <c r="H1444" s="226"/>
      <c r="I1444" s="9" t="str">
        <f t="shared" si="22"/>
        <v>__</v>
      </c>
    </row>
    <row r="1445" spans="1:9" x14ac:dyDescent="0.35">
      <c r="A1445" s="226"/>
      <c r="B1445" s="226"/>
      <c r="C1445" s="226"/>
      <c r="D1445" s="226"/>
      <c r="E1445" s="226"/>
      <c r="F1445" s="226"/>
      <c r="G1445" s="226"/>
      <c r="H1445" s="226"/>
      <c r="I1445" s="9" t="str">
        <f t="shared" si="22"/>
        <v>__</v>
      </c>
    </row>
    <row r="1446" spans="1:9" x14ac:dyDescent="0.35">
      <c r="A1446" s="226"/>
      <c r="B1446" s="226"/>
      <c r="C1446" s="226"/>
      <c r="D1446" s="226"/>
      <c r="E1446" s="226"/>
      <c r="F1446" s="226"/>
      <c r="G1446" s="226"/>
      <c r="H1446" s="226"/>
      <c r="I1446" s="9" t="str">
        <f t="shared" si="22"/>
        <v>__</v>
      </c>
    </row>
    <row r="1447" spans="1:9" x14ac:dyDescent="0.35">
      <c r="A1447" s="226"/>
      <c r="B1447" s="226"/>
      <c r="C1447" s="226"/>
      <c r="D1447" s="226"/>
      <c r="E1447" s="226"/>
      <c r="F1447" s="226"/>
      <c r="G1447" s="226"/>
      <c r="H1447" s="226"/>
      <c r="I1447" s="9" t="str">
        <f t="shared" si="22"/>
        <v>__</v>
      </c>
    </row>
    <row r="1448" spans="1:9" x14ac:dyDescent="0.35">
      <c r="A1448" s="226"/>
      <c r="B1448" s="226"/>
      <c r="C1448" s="226"/>
      <c r="D1448" s="226"/>
      <c r="E1448" s="226"/>
      <c r="F1448" s="226"/>
      <c r="G1448" s="226"/>
      <c r="H1448" s="226"/>
      <c r="I1448" s="9" t="str">
        <f t="shared" si="22"/>
        <v>__</v>
      </c>
    </row>
    <row r="1449" spans="1:9" x14ac:dyDescent="0.35">
      <c r="A1449" s="226"/>
      <c r="B1449" s="226"/>
      <c r="C1449" s="226"/>
      <c r="D1449" s="226"/>
      <c r="E1449" s="226"/>
      <c r="F1449" s="226"/>
      <c r="G1449" s="226"/>
      <c r="H1449" s="226"/>
      <c r="I1449" s="9" t="str">
        <f t="shared" si="22"/>
        <v>__</v>
      </c>
    </row>
    <row r="1450" spans="1:9" x14ac:dyDescent="0.35">
      <c r="A1450" s="226"/>
      <c r="B1450" s="226"/>
      <c r="C1450" s="226"/>
      <c r="D1450" s="226"/>
      <c r="E1450" s="226"/>
      <c r="F1450" s="226"/>
      <c r="G1450" s="226"/>
      <c r="H1450" s="226"/>
      <c r="I1450" s="9" t="str">
        <f t="shared" si="22"/>
        <v>__</v>
      </c>
    </row>
    <row r="1451" spans="1:9" x14ac:dyDescent="0.35">
      <c r="A1451" s="226"/>
      <c r="B1451" s="226"/>
      <c r="C1451" s="226"/>
      <c r="D1451" s="226"/>
      <c r="E1451" s="226"/>
      <c r="F1451" s="226"/>
      <c r="G1451" s="226"/>
      <c r="H1451" s="226"/>
      <c r="I1451" s="9" t="str">
        <f t="shared" si="22"/>
        <v>__</v>
      </c>
    </row>
    <row r="1452" spans="1:9" x14ac:dyDescent="0.35">
      <c r="A1452" s="226"/>
      <c r="B1452" s="226"/>
      <c r="C1452" s="226"/>
      <c r="D1452" s="226"/>
      <c r="E1452" s="226"/>
      <c r="F1452" s="226"/>
      <c r="G1452" s="226"/>
      <c r="H1452" s="226"/>
      <c r="I1452" s="9" t="str">
        <f t="shared" si="22"/>
        <v>__</v>
      </c>
    </row>
    <row r="1453" spans="1:9" x14ac:dyDescent="0.35">
      <c r="A1453" s="226"/>
      <c r="B1453" s="226"/>
      <c r="C1453" s="226"/>
      <c r="D1453" s="226"/>
      <c r="E1453" s="226"/>
      <c r="F1453" s="226"/>
      <c r="G1453" s="226"/>
      <c r="H1453" s="226"/>
      <c r="I1453" s="9" t="str">
        <f t="shared" si="22"/>
        <v>__</v>
      </c>
    </row>
    <row r="1454" spans="1:9" x14ac:dyDescent="0.35">
      <c r="A1454" s="226"/>
      <c r="B1454" s="226"/>
      <c r="C1454" s="226"/>
      <c r="D1454" s="226"/>
      <c r="E1454" s="226"/>
      <c r="F1454" s="226"/>
      <c r="G1454" s="226"/>
      <c r="H1454" s="226"/>
      <c r="I1454" s="9" t="str">
        <f t="shared" si="22"/>
        <v>__</v>
      </c>
    </row>
    <row r="1455" spans="1:9" x14ac:dyDescent="0.35">
      <c r="A1455" s="226"/>
      <c r="B1455" s="226"/>
      <c r="C1455" s="226"/>
      <c r="D1455" s="226"/>
      <c r="E1455" s="226"/>
      <c r="F1455" s="226"/>
      <c r="G1455" s="226"/>
      <c r="H1455" s="226"/>
      <c r="I1455" s="9" t="str">
        <f t="shared" si="22"/>
        <v>__</v>
      </c>
    </row>
    <row r="1456" spans="1:9" x14ac:dyDescent="0.35">
      <c r="A1456" s="226"/>
      <c r="B1456" s="226"/>
      <c r="C1456" s="226"/>
      <c r="D1456" s="226"/>
      <c r="E1456" s="226"/>
      <c r="F1456" s="226"/>
      <c r="G1456" s="226"/>
      <c r="H1456" s="226"/>
      <c r="I1456" s="9" t="str">
        <f t="shared" si="22"/>
        <v>__</v>
      </c>
    </row>
    <row r="1457" spans="1:9" x14ac:dyDescent="0.35">
      <c r="A1457" s="226"/>
      <c r="B1457" s="226"/>
      <c r="C1457" s="226"/>
      <c r="D1457" s="226"/>
      <c r="E1457" s="226"/>
      <c r="F1457" s="226"/>
      <c r="G1457" s="226"/>
      <c r="H1457" s="226"/>
      <c r="I1457" s="9" t="str">
        <f t="shared" si="22"/>
        <v>__</v>
      </c>
    </row>
    <row r="1458" spans="1:9" x14ac:dyDescent="0.35">
      <c r="A1458" s="226"/>
      <c r="B1458" s="226"/>
      <c r="C1458" s="226"/>
      <c r="D1458" s="226"/>
      <c r="E1458" s="226"/>
      <c r="F1458" s="226"/>
      <c r="G1458" s="226"/>
      <c r="H1458" s="226"/>
      <c r="I1458" s="9" t="str">
        <f t="shared" si="22"/>
        <v>__</v>
      </c>
    </row>
    <row r="1459" spans="1:9" x14ac:dyDescent="0.35">
      <c r="A1459" s="226"/>
      <c r="B1459" s="226"/>
      <c r="C1459" s="226"/>
      <c r="D1459" s="226"/>
      <c r="E1459" s="226"/>
      <c r="F1459" s="226"/>
      <c r="G1459" s="226"/>
      <c r="H1459" s="226"/>
      <c r="I1459" s="9" t="str">
        <f t="shared" si="22"/>
        <v>__</v>
      </c>
    </row>
    <row r="1460" spans="1:9" x14ac:dyDescent="0.35">
      <c r="A1460" s="226"/>
      <c r="B1460" s="226"/>
      <c r="C1460" s="226"/>
      <c r="D1460" s="226"/>
      <c r="E1460" s="226"/>
      <c r="F1460" s="226"/>
      <c r="G1460" s="226"/>
      <c r="H1460" s="226"/>
      <c r="I1460" s="9" t="str">
        <f t="shared" si="22"/>
        <v>__</v>
      </c>
    </row>
    <row r="1461" spans="1:9" x14ac:dyDescent="0.35">
      <c r="A1461" s="226"/>
      <c r="B1461" s="226"/>
      <c r="C1461" s="226"/>
      <c r="D1461" s="226"/>
      <c r="E1461" s="226"/>
      <c r="F1461" s="226"/>
      <c r="G1461" s="226"/>
      <c r="H1461" s="226"/>
      <c r="I1461" s="9" t="str">
        <f t="shared" si="22"/>
        <v>__</v>
      </c>
    </row>
    <row r="1462" spans="1:9" x14ac:dyDescent="0.35">
      <c r="A1462" s="226"/>
      <c r="B1462" s="226"/>
      <c r="C1462" s="226"/>
      <c r="D1462" s="226"/>
      <c r="E1462" s="226"/>
      <c r="F1462" s="226"/>
      <c r="G1462" s="226"/>
      <c r="H1462" s="226"/>
      <c r="I1462" s="9" t="str">
        <f t="shared" si="22"/>
        <v>__</v>
      </c>
    </row>
    <row r="1463" spans="1:9" x14ac:dyDescent="0.35">
      <c r="A1463" s="226"/>
      <c r="B1463" s="226"/>
      <c r="C1463" s="226"/>
      <c r="D1463" s="226"/>
      <c r="E1463" s="226"/>
      <c r="F1463" s="226"/>
      <c r="G1463" s="226"/>
      <c r="H1463" s="226"/>
      <c r="I1463" s="9" t="str">
        <f t="shared" si="22"/>
        <v>__</v>
      </c>
    </row>
    <row r="1464" spans="1:9" x14ac:dyDescent="0.35">
      <c r="A1464" s="226"/>
      <c r="B1464" s="226"/>
      <c r="C1464" s="226"/>
      <c r="D1464" s="226"/>
      <c r="E1464" s="226"/>
      <c r="F1464" s="226"/>
      <c r="G1464" s="226"/>
      <c r="H1464" s="226"/>
      <c r="I1464" s="9" t="str">
        <f t="shared" si="22"/>
        <v>__</v>
      </c>
    </row>
    <row r="1465" spans="1:9" x14ac:dyDescent="0.35">
      <c r="A1465" s="226"/>
      <c r="B1465" s="226"/>
      <c r="C1465" s="226"/>
      <c r="D1465" s="226"/>
      <c r="E1465" s="226"/>
      <c r="F1465" s="226"/>
      <c r="G1465" s="226"/>
      <c r="H1465" s="226"/>
      <c r="I1465" s="9" t="str">
        <f t="shared" si="22"/>
        <v>__</v>
      </c>
    </row>
    <row r="1466" spans="1:9" x14ac:dyDescent="0.35">
      <c r="A1466" s="226"/>
      <c r="B1466" s="226"/>
      <c r="C1466" s="226"/>
      <c r="D1466" s="226"/>
      <c r="E1466" s="226"/>
      <c r="F1466" s="226"/>
      <c r="G1466" s="226"/>
      <c r="H1466" s="226"/>
      <c r="I1466" s="9" t="str">
        <f t="shared" si="22"/>
        <v>__</v>
      </c>
    </row>
    <row r="1467" spans="1:9" x14ac:dyDescent="0.35">
      <c r="A1467" s="226"/>
      <c r="B1467" s="226"/>
      <c r="C1467" s="226"/>
      <c r="D1467" s="226"/>
      <c r="E1467" s="226"/>
      <c r="F1467" s="226"/>
      <c r="G1467" s="226"/>
      <c r="H1467" s="226"/>
      <c r="I1467" s="9" t="str">
        <f t="shared" si="22"/>
        <v>__</v>
      </c>
    </row>
    <row r="1468" spans="1:9" x14ac:dyDescent="0.35">
      <c r="A1468" s="226"/>
      <c r="B1468" s="226"/>
      <c r="C1468" s="226"/>
      <c r="D1468" s="226"/>
      <c r="E1468" s="226"/>
      <c r="F1468" s="226"/>
      <c r="G1468" s="226"/>
      <c r="H1468" s="226"/>
      <c r="I1468" s="9" t="str">
        <f t="shared" si="22"/>
        <v>__</v>
      </c>
    </row>
    <row r="1469" spans="1:9" x14ac:dyDescent="0.35">
      <c r="A1469" s="226"/>
      <c r="B1469" s="226"/>
      <c r="C1469" s="226"/>
      <c r="D1469" s="226"/>
      <c r="E1469" s="226"/>
      <c r="F1469" s="226"/>
      <c r="G1469" s="226"/>
      <c r="H1469" s="226"/>
      <c r="I1469" s="9" t="str">
        <f t="shared" si="22"/>
        <v>__</v>
      </c>
    </row>
    <row r="1470" spans="1:9" x14ac:dyDescent="0.35">
      <c r="A1470" s="226"/>
      <c r="B1470" s="226"/>
      <c r="C1470" s="226"/>
      <c r="D1470" s="226"/>
      <c r="E1470" s="226"/>
      <c r="F1470" s="226"/>
      <c r="G1470" s="226"/>
      <c r="H1470" s="226"/>
      <c r="I1470" s="9" t="str">
        <f t="shared" si="22"/>
        <v>__</v>
      </c>
    </row>
    <row r="1471" spans="1:9" x14ac:dyDescent="0.35">
      <c r="A1471" s="226"/>
      <c r="B1471" s="226"/>
      <c r="C1471" s="226"/>
      <c r="D1471" s="226"/>
      <c r="E1471" s="226"/>
      <c r="F1471" s="226"/>
      <c r="G1471" s="226"/>
      <c r="H1471" s="226"/>
      <c r="I1471" s="9" t="str">
        <f t="shared" si="22"/>
        <v>__</v>
      </c>
    </row>
    <row r="1472" spans="1:9" x14ac:dyDescent="0.35">
      <c r="A1472" s="226"/>
      <c r="B1472" s="226"/>
      <c r="C1472" s="226"/>
      <c r="D1472" s="226"/>
      <c r="E1472" s="226"/>
      <c r="F1472" s="226"/>
      <c r="G1472" s="226"/>
      <c r="H1472" s="226"/>
      <c r="I1472" s="9" t="str">
        <f t="shared" si="22"/>
        <v>__</v>
      </c>
    </row>
    <row r="1473" spans="1:9" x14ac:dyDescent="0.35">
      <c r="A1473" s="226"/>
      <c r="B1473" s="226"/>
      <c r="C1473" s="226"/>
      <c r="D1473" s="226"/>
      <c r="E1473" s="226"/>
      <c r="F1473" s="226"/>
      <c r="G1473" s="226"/>
      <c r="H1473" s="226"/>
      <c r="I1473" s="9" t="str">
        <f t="shared" si="22"/>
        <v>__</v>
      </c>
    </row>
    <row r="1474" spans="1:9" x14ac:dyDescent="0.35">
      <c r="A1474" s="226"/>
      <c r="B1474" s="226"/>
      <c r="C1474" s="226"/>
      <c r="D1474" s="226"/>
      <c r="E1474" s="226"/>
      <c r="F1474" s="226"/>
      <c r="G1474" s="226"/>
      <c r="H1474" s="226"/>
      <c r="I1474" s="9" t="str">
        <f t="shared" si="22"/>
        <v>__</v>
      </c>
    </row>
    <row r="1475" spans="1:9" x14ac:dyDescent="0.35">
      <c r="A1475" s="226"/>
      <c r="B1475" s="226"/>
      <c r="C1475" s="226"/>
      <c r="D1475" s="226"/>
      <c r="E1475" s="226"/>
      <c r="F1475" s="226"/>
      <c r="G1475" s="226"/>
      <c r="H1475" s="226"/>
      <c r="I1475" s="9" t="str">
        <f t="shared" si="22"/>
        <v>__</v>
      </c>
    </row>
    <row r="1476" spans="1:9" x14ac:dyDescent="0.35">
      <c r="A1476" s="226"/>
      <c r="B1476" s="226"/>
      <c r="C1476" s="226"/>
      <c r="D1476" s="226"/>
      <c r="E1476" s="226"/>
      <c r="F1476" s="226"/>
      <c r="G1476" s="226"/>
      <c r="H1476" s="226"/>
      <c r="I1476" s="9" t="str">
        <f t="shared" si="22"/>
        <v>__</v>
      </c>
    </row>
    <row r="1477" spans="1:9" x14ac:dyDescent="0.35">
      <c r="A1477" s="226"/>
      <c r="B1477" s="226"/>
      <c r="C1477" s="226"/>
      <c r="D1477" s="226"/>
      <c r="E1477" s="226"/>
      <c r="F1477" s="226"/>
      <c r="G1477" s="226"/>
      <c r="H1477" s="226"/>
      <c r="I1477" s="9" t="str">
        <f t="shared" ref="I1477:I1540" si="23">CONCATENATE(A1477,"_",B1477,"_",C1477)</f>
        <v>__</v>
      </c>
    </row>
    <row r="1478" spans="1:9" x14ac:dyDescent="0.35">
      <c r="A1478" s="226"/>
      <c r="B1478" s="226"/>
      <c r="C1478" s="226"/>
      <c r="D1478" s="226"/>
      <c r="E1478" s="226"/>
      <c r="F1478" s="226"/>
      <c r="G1478" s="226"/>
      <c r="H1478" s="226"/>
      <c r="I1478" s="9" t="str">
        <f t="shared" si="23"/>
        <v>__</v>
      </c>
    </row>
    <row r="1479" spans="1:9" x14ac:dyDescent="0.35">
      <c r="A1479" s="226"/>
      <c r="B1479" s="226"/>
      <c r="C1479" s="226"/>
      <c r="D1479" s="226"/>
      <c r="E1479" s="226"/>
      <c r="F1479" s="226"/>
      <c r="G1479" s="226"/>
      <c r="H1479" s="226"/>
      <c r="I1479" s="9" t="str">
        <f t="shared" si="23"/>
        <v>__</v>
      </c>
    </row>
    <row r="1480" spans="1:9" x14ac:dyDescent="0.35">
      <c r="A1480" s="226"/>
      <c r="B1480" s="226"/>
      <c r="C1480" s="226"/>
      <c r="D1480" s="226"/>
      <c r="E1480" s="226"/>
      <c r="F1480" s="226"/>
      <c r="G1480" s="226"/>
      <c r="H1480" s="226"/>
      <c r="I1480" s="9" t="str">
        <f t="shared" si="23"/>
        <v>__</v>
      </c>
    </row>
    <row r="1481" spans="1:9" x14ac:dyDescent="0.35">
      <c r="A1481" s="226"/>
      <c r="B1481" s="226"/>
      <c r="C1481" s="226"/>
      <c r="D1481" s="226"/>
      <c r="E1481" s="226"/>
      <c r="F1481" s="226"/>
      <c r="G1481" s="226"/>
      <c r="H1481" s="226"/>
      <c r="I1481" s="9" t="str">
        <f t="shared" si="23"/>
        <v>__</v>
      </c>
    </row>
    <row r="1482" spans="1:9" x14ac:dyDescent="0.35">
      <c r="A1482" s="226"/>
      <c r="B1482" s="226"/>
      <c r="C1482" s="226"/>
      <c r="D1482" s="226"/>
      <c r="E1482" s="226"/>
      <c r="F1482" s="226"/>
      <c r="G1482" s="226"/>
      <c r="H1482" s="226"/>
      <c r="I1482" s="9" t="str">
        <f t="shared" si="23"/>
        <v>__</v>
      </c>
    </row>
    <row r="1483" spans="1:9" x14ac:dyDescent="0.35">
      <c r="A1483" s="226"/>
      <c r="B1483" s="226"/>
      <c r="C1483" s="226"/>
      <c r="D1483" s="226"/>
      <c r="E1483" s="226"/>
      <c r="F1483" s="226"/>
      <c r="G1483" s="226"/>
      <c r="H1483" s="226"/>
      <c r="I1483" s="9" t="str">
        <f t="shared" si="23"/>
        <v>__</v>
      </c>
    </row>
    <row r="1484" spans="1:9" x14ac:dyDescent="0.35">
      <c r="A1484" s="226"/>
      <c r="B1484" s="226"/>
      <c r="C1484" s="226"/>
      <c r="D1484" s="226"/>
      <c r="E1484" s="226"/>
      <c r="F1484" s="226"/>
      <c r="G1484" s="226"/>
      <c r="H1484" s="226"/>
      <c r="I1484" s="9" t="str">
        <f t="shared" si="23"/>
        <v>__</v>
      </c>
    </row>
    <row r="1485" spans="1:9" x14ac:dyDescent="0.35">
      <c r="A1485" s="226"/>
      <c r="B1485" s="226"/>
      <c r="C1485" s="226"/>
      <c r="D1485" s="226"/>
      <c r="E1485" s="226"/>
      <c r="F1485" s="226"/>
      <c r="G1485" s="226"/>
      <c r="H1485" s="226"/>
      <c r="I1485" s="9" t="str">
        <f t="shared" si="23"/>
        <v>__</v>
      </c>
    </row>
    <row r="1486" spans="1:9" x14ac:dyDescent="0.35">
      <c r="A1486" s="226"/>
      <c r="B1486" s="226"/>
      <c r="C1486" s="226"/>
      <c r="D1486" s="226"/>
      <c r="E1486" s="226"/>
      <c r="F1486" s="226"/>
      <c r="G1486" s="226"/>
      <c r="H1486" s="226"/>
      <c r="I1486" s="9" t="str">
        <f t="shared" si="23"/>
        <v>__</v>
      </c>
    </row>
    <row r="1487" spans="1:9" x14ac:dyDescent="0.35">
      <c r="A1487" s="226"/>
      <c r="B1487" s="226"/>
      <c r="C1487" s="226"/>
      <c r="D1487" s="226"/>
      <c r="E1487" s="226"/>
      <c r="F1487" s="226"/>
      <c r="G1487" s="226"/>
      <c r="H1487" s="226"/>
      <c r="I1487" s="9" t="str">
        <f t="shared" si="23"/>
        <v>__</v>
      </c>
    </row>
    <row r="1488" spans="1:9" x14ac:dyDescent="0.35">
      <c r="A1488" s="226"/>
      <c r="B1488" s="226"/>
      <c r="C1488" s="226"/>
      <c r="D1488" s="226"/>
      <c r="E1488" s="226"/>
      <c r="F1488" s="226"/>
      <c r="G1488" s="226"/>
      <c r="H1488" s="226"/>
      <c r="I1488" s="9" t="str">
        <f t="shared" si="23"/>
        <v>__</v>
      </c>
    </row>
    <row r="1489" spans="1:9" x14ac:dyDescent="0.35">
      <c r="A1489" s="226"/>
      <c r="B1489" s="226"/>
      <c r="C1489" s="226"/>
      <c r="D1489" s="226"/>
      <c r="E1489" s="226"/>
      <c r="F1489" s="226"/>
      <c r="G1489" s="226"/>
      <c r="H1489" s="226"/>
      <c r="I1489" s="9" t="str">
        <f t="shared" si="23"/>
        <v>__</v>
      </c>
    </row>
    <row r="1490" spans="1:9" x14ac:dyDescent="0.35">
      <c r="A1490" s="226"/>
      <c r="B1490" s="226"/>
      <c r="C1490" s="226"/>
      <c r="D1490" s="226"/>
      <c r="E1490" s="226"/>
      <c r="F1490" s="226"/>
      <c r="G1490" s="226"/>
      <c r="H1490" s="226"/>
      <c r="I1490" s="9" t="str">
        <f t="shared" si="23"/>
        <v>__</v>
      </c>
    </row>
    <row r="1491" spans="1:9" x14ac:dyDescent="0.35">
      <c r="A1491" s="226"/>
      <c r="B1491" s="226"/>
      <c r="C1491" s="226"/>
      <c r="D1491" s="226"/>
      <c r="E1491" s="226"/>
      <c r="F1491" s="226"/>
      <c r="G1491" s="226"/>
      <c r="H1491" s="226"/>
      <c r="I1491" s="9" t="str">
        <f t="shared" si="23"/>
        <v>__</v>
      </c>
    </row>
    <row r="1492" spans="1:9" x14ac:dyDescent="0.35">
      <c r="A1492" s="226"/>
      <c r="B1492" s="226"/>
      <c r="C1492" s="226"/>
      <c r="D1492" s="226"/>
      <c r="E1492" s="226"/>
      <c r="F1492" s="226"/>
      <c r="G1492" s="226"/>
      <c r="H1492" s="226"/>
      <c r="I1492" s="9" t="str">
        <f t="shared" si="23"/>
        <v>__</v>
      </c>
    </row>
    <row r="1493" spans="1:9" x14ac:dyDescent="0.35">
      <c r="A1493" s="226"/>
      <c r="B1493" s="226"/>
      <c r="C1493" s="226"/>
      <c r="D1493" s="226"/>
      <c r="E1493" s="226"/>
      <c r="F1493" s="226"/>
      <c r="G1493" s="226"/>
      <c r="H1493" s="226"/>
      <c r="I1493" s="9" t="str">
        <f t="shared" si="23"/>
        <v>__</v>
      </c>
    </row>
    <row r="1494" spans="1:9" x14ac:dyDescent="0.35">
      <c r="A1494" s="226"/>
      <c r="B1494" s="226"/>
      <c r="C1494" s="226"/>
      <c r="D1494" s="226"/>
      <c r="E1494" s="226"/>
      <c r="F1494" s="226"/>
      <c r="G1494" s="226"/>
      <c r="H1494" s="226"/>
      <c r="I1494" s="9" t="str">
        <f t="shared" si="23"/>
        <v>__</v>
      </c>
    </row>
    <row r="1495" spans="1:9" x14ac:dyDescent="0.35">
      <c r="A1495" s="226"/>
      <c r="B1495" s="226"/>
      <c r="C1495" s="226"/>
      <c r="D1495" s="226"/>
      <c r="E1495" s="226"/>
      <c r="F1495" s="226"/>
      <c r="G1495" s="226"/>
      <c r="H1495" s="226"/>
      <c r="I1495" s="9" t="str">
        <f t="shared" si="23"/>
        <v>__</v>
      </c>
    </row>
    <row r="1496" spans="1:9" x14ac:dyDescent="0.35">
      <c r="A1496" s="226"/>
      <c r="B1496" s="226"/>
      <c r="C1496" s="226"/>
      <c r="D1496" s="226"/>
      <c r="E1496" s="226"/>
      <c r="F1496" s="226"/>
      <c r="G1496" s="226"/>
      <c r="H1496" s="226"/>
      <c r="I1496" s="9" t="str">
        <f t="shared" si="23"/>
        <v>__</v>
      </c>
    </row>
    <row r="1497" spans="1:9" x14ac:dyDescent="0.35">
      <c r="A1497" s="226"/>
      <c r="B1497" s="226"/>
      <c r="C1497" s="226"/>
      <c r="D1497" s="226"/>
      <c r="E1497" s="226"/>
      <c r="F1497" s="226"/>
      <c r="G1497" s="226"/>
      <c r="H1497" s="226"/>
      <c r="I1497" s="9" t="str">
        <f t="shared" si="23"/>
        <v>__</v>
      </c>
    </row>
    <row r="1498" spans="1:9" x14ac:dyDescent="0.35">
      <c r="A1498" s="226"/>
      <c r="B1498" s="226"/>
      <c r="C1498" s="226"/>
      <c r="D1498" s="226"/>
      <c r="E1498" s="226"/>
      <c r="F1498" s="226"/>
      <c r="G1498" s="226"/>
      <c r="H1498" s="226"/>
      <c r="I1498" s="9" t="str">
        <f t="shared" si="23"/>
        <v>__</v>
      </c>
    </row>
    <row r="1499" spans="1:9" x14ac:dyDescent="0.35">
      <c r="A1499" s="226"/>
      <c r="B1499" s="226"/>
      <c r="C1499" s="226"/>
      <c r="D1499" s="226"/>
      <c r="E1499" s="226"/>
      <c r="F1499" s="226"/>
      <c r="G1499" s="226"/>
      <c r="H1499" s="226"/>
      <c r="I1499" s="9" t="str">
        <f t="shared" si="23"/>
        <v>__</v>
      </c>
    </row>
    <row r="1500" spans="1:9" x14ac:dyDescent="0.35">
      <c r="A1500" s="226"/>
      <c r="B1500" s="226"/>
      <c r="C1500" s="226"/>
      <c r="D1500" s="226"/>
      <c r="E1500" s="226"/>
      <c r="F1500" s="226"/>
      <c r="G1500" s="226"/>
      <c r="H1500" s="226"/>
      <c r="I1500" s="9" t="str">
        <f t="shared" si="23"/>
        <v>__</v>
      </c>
    </row>
    <row r="1501" spans="1:9" x14ac:dyDescent="0.35">
      <c r="A1501" s="226"/>
      <c r="B1501" s="226"/>
      <c r="C1501" s="226"/>
      <c r="D1501" s="226"/>
      <c r="E1501" s="226"/>
      <c r="F1501" s="226"/>
      <c r="G1501" s="226"/>
      <c r="H1501" s="226"/>
      <c r="I1501" s="9" t="str">
        <f t="shared" si="23"/>
        <v>__</v>
      </c>
    </row>
    <row r="1502" spans="1:9" x14ac:dyDescent="0.35">
      <c r="A1502" s="226"/>
      <c r="B1502" s="226"/>
      <c r="C1502" s="226"/>
      <c r="D1502" s="226"/>
      <c r="E1502" s="226"/>
      <c r="F1502" s="226"/>
      <c r="G1502" s="226"/>
      <c r="H1502" s="226"/>
      <c r="I1502" s="9" t="str">
        <f t="shared" si="23"/>
        <v>__</v>
      </c>
    </row>
    <row r="1503" spans="1:9" x14ac:dyDescent="0.35">
      <c r="A1503" s="226"/>
      <c r="B1503" s="226"/>
      <c r="C1503" s="226"/>
      <c r="D1503" s="226"/>
      <c r="E1503" s="226"/>
      <c r="F1503" s="226"/>
      <c r="G1503" s="226"/>
      <c r="H1503" s="226"/>
      <c r="I1503" s="9" t="str">
        <f t="shared" si="23"/>
        <v>__</v>
      </c>
    </row>
    <row r="1504" spans="1:9" x14ac:dyDescent="0.35">
      <c r="A1504" s="226"/>
      <c r="B1504" s="226"/>
      <c r="C1504" s="226"/>
      <c r="D1504" s="226"/>
      <c r="E1504" s="226"/>
      <c r="F1504" s="226"/>
      <c r="G1504" s="226"/>
      <c r="H1504" s="226"/>
      <c r="I1504" s="9" t="str">
        <f t="shared" si="23"/>
        <v>__</v>
      </c>
    </row>
    <row r="1505" spans="1:9" x14ac:dyDescent="0.35">
      <c r="A1505" s="226"/>
      <c r="B1505" s="226"/>
      <c r="C1505" s="226"/>
      <c r="D1505" s="226"/>
      <c r="E1505" s="226"/>
      <c r="F1505" s="226"/>
      <c r="G1505" s="226"/>
      <c r="H1505" s="226"/>
      <c r="I1505" s="9" t="str">
        <f t="shared" si="23"/>
        <v>__</v>
      </c>
    </row>
    <row r="1506" spans="1:9" x14ac:dyDescent="0.35">
      <c r="A1506" s="226"/>
      <c r="B1506" s="226"/>
      <c r="C1506" s="226"/>
      <c r="D1506" s="226"/>
      <c r="E1506" s="226"/>
      <c r="F1506" s="226"/>
      <c r="G1506" s="226"/>
      <c r="H1506" s="226"/>
      <c r="I1506" s="9" t="str">
        <f t="shared" si="23"/>
        <v>__</v>
      </c>
    </row>
    <row r="1507" spans="1:9" x14ac:dyDescent="0.35">
      <c r="A1507" s="226"/>
      <c r="B1507" s="226"/>
      <c r="C1507" s="226"/>
      <c r="D1507" s="226"/>
      <c r="E1507" s="226"/>
      <c r="F1507" s="226"/>
      <c r="G1507" s="226"/>
      <c r="H1507" s="226"/>
      <c r="I1507" s="9" t="str">
        <f t="shared" si="23"/>
        <v>__</v>
      </c>
    </row>
    <row r="1508" spans="1:9" x14ac:dyDescent="0.35">
      <c r="A1508" s="226"/>
      <c r="B1508" s="226"/>
      <c r="C1508" s="226"/>
      <c r="D1508" s="226"/>
      <c r="E1508" s="226"/>
      <c r="F1508" s="226"/>
      <c r="G1508" s="226"/>
      <c r="H1508" s="226"/>
      <c r="I1508" s="9" t="str">
        <f t="shared" si="23"/>
        <v>__</v>
      </c>
    </row>
    <row r="1509" spans="1:9" x14ac:dyDescent="0.35">
      <c r="A1509" s="226"/>
      <c r="B1509" s="226"/>
      <c r="C1509" s="226"/>
      <c r="D1509" s="226"/>
      <c r="E1509" s="226"/>
      <c r="F1509" s="226"/>
      <c r="G1509" s="226"/>
      <c r="H1509" s="226"/>
      <c r="I1509" s="9" t="str">
        <f t="shared" si="23"/>
        <v>__</v>
      </c>
    </row>
    <row r="1510" spans="1:9" x14ac:dyDescent="0.35">
      <c r="A1510" s="226"/>
      <c r="B1510" s="226"/>
      <c r="C1510" s="226"/>
      <c r="D1510" s="226"/>
      <c r="E1510" s="226"/>
      <c r="F1510" s="226"/>
      <c r="G1510" s="226"/>
      <c r="H1510" s="226"/>
      <c r="I1510" s="9" t="str">
        <f t="shared" si="23"/>
        <v>__</v>
      </c>
    </row>
    <row r="1511" spans="1:9" x14ac:dyDescent="0.35">
      <c r="A1511" s="226"/>
      <c r="B1511" s="226"/>
      <c r="C1511" s="226"/>
      <c r="D1511" s="226"/>
      <c r="E1511" s="226"/>
      <c r="F1511" s="226"/>
      <c r="G1511" s="226"/>
      <c r="H1511" s="226"/>
      <c r="I1511" s="9" t="str">
        <f t="shared" si="23"/>
        <v>__</v>
      </c>
    </row>
    <row r="1512" spans="1:9" x14ac:dyDescent="0.35">
      <c r="A1512" s="226"/>
      <c r="B1512" s="226"/>
      <c r="C1512" s="226"/>
      <c r="D1512" s="226"/>
      <c r="E1512" s="226"/>
      <c r="F1512" s="226"/>
      <c r="G1512" s="226"/>
      <c r="H1512" s="226"/>
      <c r="I1512" s="9" t="str">
        <f t="shared" si="23"/>
        <v>__</v>
      </c>
    </row>
    <row r="1513" spans="1:9" x14ac:dyDescent="0.35">
      <c r="A1513" s="226"/>
      <c r="B1513" s="226"/>
      <c r="C1513" s="226"/>
      <c r="D1513" s="226"/>
      <c r="E1513" s="226"/>
      <c r="F1513" s="226"/>
      <c r="G1513" s="226"/>
      <c r="H1513" s="226"/>
      <c r="I1513" s="9" t="str">
        <f t="shared" si="23"/>
        <v>__</v>
      </c>
    </row>
    <row r="1514" spans="1:9" x14ac:dyDescent="0.35">
      <c r="A1514" s="226"/>
      <c r="B1514" s="226"/>
      <c r="C1514" s="226"/>
      <c r="D1514" s="226"/>
      <c r="E1514" s="226"/>
      <c r="F1514" s="226"/>
      <c r="G1514" s="226"/>
      <c r="H1514" s="226"/>
      <c r="I1514" s="9" t="str">
        <f t="shared" si="23"/>
        <v>__</v>
      </c>
    </row>
    <row r="1515" spans="1:9" x14ac:dyDescent="0.35">
      <c r="A1515" s="226"/>
      <c r="B1515" s="226"/>
      <c r="C1515" s="226"/>
      <c r="D1515" s="226"/>
      <c r="E1515" s="226"/>
      <c r="F1515" s="226"/>
      <c r="G1515" s="226"/>
      <c r="H1515" s="226"/>
      <c r="I1515" s="9" t="str">
        <f t="shared" si="23"/>
        <v>__</v>
      </c>
    </row>
    <row r="1516" spans="1:9" x14ac:dyDescent="0.35">
      <c r="A1516" s="226"/>
      <c r="B1516" s="226"/>
      <c r="C1516" s="226"/>
      <c r="D1516" s="226"/>
      <c r="E1516" s="226"/>
      <c r="F1516" s="226"/>
      <c r="G1516" s="226"/>
      <c r="H1516" s="226"/>
      <c r="I1516" s="9" t="str">
        <f t="shared" si="23"/>
        <v>__</v>
      </c>
    </row>
    <row r="1517" spans="1:9" x14ac:dyDescent="0.35">
      <c r="A1517" s="226"/>
      <c r="B1517" s="226"/>
      <c r="C1517" s="226"/>
      <c r="D1517" s="226"/>
      <c r="E1517" s="226"/>
      <c r="F1517" s="226"/>
      <c r="G1517" s="226"/>
      <c r="H1517" s="226"/>
      <c r="I1517" s="9" t="str">
        <f t="shared" si="23"/>
        <v>__</v>
      </c>
    </row>
    <row r="1518" spans="1:9" x14ac:dyDescent="0.35">
      <c r="A1518" s="226"/>
      <c r="B1518" s="226"/>
      <c r="C1518" s="226"/>
      <c r="D1518" s="226"/>
      <c r="E1518" s="226"/>
      <c r="F1518" s="226"/>
      <c r="G1518" s="226"/>
      <c r="H1518" s="226"/>
      <c r="I1518" s="9" t="str">
        <f t="shared" si="23"/>
        <v>__</v>
      </c>
    </row>
    <row r="1519" spans="1:9" x14ac:dyDescent="0.35">
      <c r="A1519" s="226"/>
      <c r="B1519" s="226"/>
      <c r="C1519" s="226"/>
      <c r="D1519" s="226"/>
      <c r="E1519" s="226"/>
      <c r="F1519" s="226"/>
      <c r="G1519" s="226"/>
      <c r="H1519" s="226"/>
      <c r="I1519" s="9" t="str">
        <f t="shared" si="23"/>
        <v>__</v>
      </c>
    </row>
    <row r="1520" spans="1:9" x14ac:dyDescent="0.35">
      <c r="A1520" s="226"/>
      <c r="B1520" s="226"/>
      <c r="C1520" s="226"/>
      <c r="D1520" s="226"/>
      <c r="E1520" s="226"/>
      <c r="F1520" s="226"/>
      <c r="G1520" s="226"/>
      <c r="H1520" s="226"/>
      <c r="I1520" s="9" t="str">
        <f t="shared" si="23"/>
        <v>__</v>
      </c>
    </row>
    <row r="1521" spans="1:9" x14ac:dyDescent="0.35">
      <c r="A1521" s="226"/>
      <c r="B1521" s="226"/>
      <c r="C1521" s="226"/>
      <c r="D1521" s="226"/>
      <c r="E1521" s="226"/>
      <c r="F1521" s="226"/>
      <c r="G1521" s="226"/>
      <c r="H1521" s="226"/>
      <c r="I1521" s="9" t="str">
        <f t="shared" si="23"/>
        <v>__</v>
      </c>
    </row>
    <row r="1522" spans="1:9" x14ac:dyDescent="0.35">
      <c r="A1522" s="226"/>
      <c r="B1522" s="226"/>
      <c r="C1522" s="226"/>
      <c r="D1522" s="226"/>
      <c r="E1522" s="226"/>
      <c r="F1522" s="226"/>
      <c r="G1522" s="226"/>
      <c r="H1522" s="226"/>
      <c r="I1522" s="9" t="str">
        <f t="shared" si="23"/>
        <v>__</v>
      </c>
    </row>
    <row r="1523" spans="1:9" x14ac:dyDescent="0.35">
      <c r="A1523" s="226"/>
      <c r="B1523" s="226"/>
      <c r="C1523" s="226"/>
      <c r="D1523" s="226"/>
      <c r="E1523" s="226"/>
      <c r="F1523" s="226"/>
      <c r="G1523" s="226"/>
      <c r="H1523" s="226"/>
      <c r="I1523" s="9" t="str">
        <f t="shared" si="23"/>
        <v>__</v>
      </c>
    </row>
    <row r="1524" spans="1:9" x14ac:dyDescent="0.35">
      <c r="A1524" s="226"/>
      <c r="B1524" s="226"/>
      <c r="C1524" s="226"/>
      <c r="D1524" s="226"/>
      <c r="E1524" s="226"/>
      <c r="F1524" s="226"/>
      <c r="G1524" s="226"/>
      <c r="H1524" s="226"/>
      <c r="I1524" s="9" t="str">
        <f t="shared" si="23"/>
        <v>__</v>
      </c>
    </row>
    <row r="1525" spans="1:9" x14ac:dyDescent="0.35">
      <c r="A1525" s="226"/>
      <c r="B1525" s="226"/>
      <c r="C1525" s="226"/>
      <c r="D1525" s="226"/>
      <c r="E1525" s="226"/>
      <c r="F1525" s="226"/>
      <c r="G1525" s="226"/>
      <c r="H1525" s="226"/>
      <c r="I1525" s="9" t="str">
        <f t="shared" si="23"/>
        <v>__</v>
      </c>
    </row>
    <row r="1526" spans="1:9" x14ac:dyDescent="0.35">
      <c r="A1526" s="226"/>
      <c r="B1526" s="226"/>
      <c r="C1526" s="226"/>
      <c r="D1526" s="226"/>
      <c r="E1526" s="226"/>
      <c r="F1526" s="226"/>
      <c r="G1526" s="226"/>
      <c r="H1526" s="226"/>
      <c r="I1526" s="9" t="str">
        <f t="shared" si="23"/>
        <v>__</v>
      </c>
    </row>
    <row r="1527" spans="1:9" x14ac:dyDescent="0.35">
      <c r="A1527" s="226"/>
      <c r="B1527" s="226"/>
      <c r="C1527" s="226"/>
      <c r="D1527" s="226"/>
      <c r="E1527" s="226"/>
      <c r="F1527" s="226"/>
      <c r="G1527" s="226"/>
      <c r="H1527" s="226"/>
      <c r="I1527" s="9" t="str">
        <f t="shared" si="23"/>
        <v>__</v>
      </c>
    </row>
    <row r="1528" spans="1:9" x14ac:dyDescent="0.35">
      <c r="A1528" s="226"/>
      <c r="B1528" s="226"/>
      <c r="C1528" s="226"/>
      <c r="D1528" s="226"/>
      <c r="E1528" s="226"/>
      <c r="F1528" s="226"/>
      <c r="G1528" s="226"/>
      <c r="H1528" s="226"/>
      <c r="I1528" s="9" t="str">
        <f t="shared" si="23"/>
        <v>__</v>
      </c>
    </row>
    <row r="1529" spans="1:9" x14ac:dyDescent="0.35">
      <c r="A1529" s="226"/>
      <c r="B1529" s="226"/>
      <c r="C1529" s="226"/>
      <c r="D1529" s="226"/>
      <c r="E1529" s="226"/>
      <c r="F1529" s="226"/>
      <c r="G1529" s="226"/>
      <c r="H1529" s="226"/>
      <c r="I1529" s="9" t="str">
        <f t="shared" si="23"/>
        <v>__</v>
      </c>
    </row>
    <row r="1530" spans="1:9" x14ac:dyDescent="0.35">
      <c r="A1530" s="226"/>
      <c r="B1530" s="226"/>
      <c r="C1530" s="226"/>
      <c r="D1530" s="226"/>
      <c r="E1530" s="226"/>
      <c r="F1530" s="226"/>
      <c r="G1530" s="226"/>
      <c r="H1530" s="226"/>
      <c r="I1530" s="9" t="str">
        <f t="shared" si="23"/>
        <v>__</v>
      </c>
    </row>
    <row r="1531" spans="1:9" x14ac:dyDescent="0.35">
      <c r="A1531" s="226"/>
      <c r="B1531" s="226"/>
      <c r="C1531" s="226"/>
      <c r="D1531" s="226"/>
      <c r="E1531" s="226"/>
      <c r="F1531" s="226"/>
      <c r="G1531" s="226"/>
      <c r="H1531" s="226"/>
      <c r="I1531" s="9" t="str">
        <f t="shared" si="23"/>
        <v>__</v>
      </c>
    </row>
    <row r="1532" spans="1:9" x14ac:dyDescent="0.35">
      <c r="A1532" s="226"/>
      <c r="B1532" s="226"/>
      <c r="C1532" s="226"/>
      <c r="D1532" s="226"/>
      <c r="E1532" s="226"/>
      <c r="F1532" s="226"/>
      <c r="G1532" s="226"/>
      <c r="H1532" s="226"/>
      <c r="I1532" s="9" t="str">
        <f t="shared" si="23"/>
        <v>__</v>
      </c>
    </row>
    <row r="1533" spans="1:9" x14ac:dyDescent="0.35">
      <c r="A1533" s="226"/>
      <c r="B1533" s="226"/>
      <c r="C1533" s="226"/>
      <c r="D1533" s="226"/>
      <c r="E1533" s="226"/>
      <c r="F1533" s="226"/>
      <c r="G1533" s="226"/>
      <c r="H1533" s="226"/>
      <c r="I1533" s="9" t="str">
        <f t="shared" si="23"/>
        <v>__</v>
      </c>
    </row>
    <row r="1534" spans="1:9" x14ac:dyDescent="0.35">
      <c r="A1534" s="226"/>
      <c r="B1534" s="226"/>
      <c r="C1534" s="226"/>
      <c r="D1534" s="226"/>
      <c r="E1534" s="226"/>
      <c r="F1534" s="226"/>
      <c r="G1534" s="226"/>
      <c r="H1534" s="226"/>
      <c r="I1534" s="9" t="str">
        <f t="shared" si="23"/>
        <v>__</v>
      </c>
    </row>
    <row r="1535" spans="1:9" x14ac:dyDescent="0.35">
      <c r="A1535" s="226"/>
      <c r="B1535" s="226"/>
      <c r="C1535" s="226"/>
      <c r="D1535" s="226"/>
      <c r="E1535" s="226"/>
      <c r="F1535" s="226"/>
      <c r="G1535" s="226"/>
      <c r="H1535" s="226"/>
      <c r="I1535" s="9" t="str">
        <f t="shared" si="23"/>
        <v>__</v>
      </c>
    </row>
    <row r="1536" spans="1:9" x14ac:dyDescent="0.35">
      <c r="A1536" s="226"/>
      <c r="B1536" s="226"/>
      <c r="C1536" s="226"/>
      <c r="D1536" s="226"/>
      <c r="E1536" s="226"/>
      <c r="F1536" s="226"/>
      <c r="G1536" s="226"/>
      <c r="H1536" s="226"/>
      <c r="I1536" s="9" t="str">
        <f t="shared" si="23"/>
        <v>__</v>
      </c>
    </row>
    <row r="1537" spans="1:9" x14ac:dyDescent="0.35">
      <c r="A1537" s="226"/>
      <c r="B1537" s="226"/>
      <c r="C1537" s="226"/>
      <c r="D1537" s="226"/>
      <c r="E1537" s="226"/>
      <c r="F1537" s="226"/>
      <c r="G1537" s="226"/>
      <c r="H1537" s="226"/>
      <c r="I1537" s="9" t="str">
        <f t="shared" si="23"/>
        <v>__</v>
      </c>
    </row>
    <row r="1538" spans="1:9" x14ac:dyDescent="0.35">
      <c r="A1538" s="226"/>
      <c r="B1538" s="226"/>
      <c r="C1538" s="226"/>
      <c r="D1538" s="226"/>
      <c r="E1538" s="226"/>
      <c r="F1538" s="226"/>
      <c r="G1538" s="226"/>
      <c r="H1538" s="226"/>
      <c r="I1538" s="9" t="str">
        <f t="shared" si="23"/>
        <v>__</v>
      </c>
    </row>
    <row r="1539" spans="1:9" x14ac:dyDescent="0.35">
      <c r="A1539" s="226"/>
      <c r="B1539" s="226"/>
      <c r="C1539" s="226"/>
      <c r="D1539" s="226"/>
      <c r="E1539" s="226"/>
      <c r="F1539" s="226"/>
      <c r="G1539" s="226"/>
      <c r="H1539" s="226"/>
      <c r="I1539" s="9" t="str">
        <f t="shared" si="23"/>
        <v>__</v>
      </c>
    </row>
    <row r="1540" spans="1:9" x14ac:dyDescent="0.35">
      <c r="A1540" s="226"/>
      <c r="B1540" s="226"/>
      <c r="C1540" s="226"/>
      <c r="D1540" s="226"/>
      <c r="E1540" s="226"/>
      <c r="F1540" s="226"/>
      <c r="G1540" s="226"/>
      <c r="H1540" s="226"/>
      <c r="I1540" s="9" t="str">
        <f t="shared" si="23"/>
        <v>__</v>
      </c>
    </row>
    <row r="1541" spans="1:9" x14ac:dyDescent="0.35">
      <c r="A1541" s="226"/>
      <c r="B1541" s="226"/>
      <c r="C1541" s="226"/>
      <c r="D1541" s="226"/>
      <c r="E1541" s="226"/>
      <c r="F1541" s="226"/>
      <c r="G1541" s="226"/>
      <c r="H1541" s="226"/>
      <c r="I1541" s="9" t="str">
        <f t="shared" ref="I1541:I1604" si="24">CONCATENATE(A1541,"_",B1541,"_",C1541)</f>
        <v>__</v>
      </c>
    </row>
    <row r="1542" spans="1:9" x14ac:dyDescent="0.35">
      <c r="A1542" s="226"/>
      <c r="B1542" s="226"/>
      <c r="C1542" s="226"/>
      <c r="D1542" s="226"/>
      <c r="E1542" s="226"/>
      <c r="F1542" s="226"/>
      <c r="G1542" s="226"/>
      <c r="H1542" s="226"/>
      <c r="I1542" s="9" t="str">
        <f t="shared" si="24"/>
        <v>__</v>
      </c>
    </row>
    <row r="1543" spans="1:9" x14ac:dyDescent="0.35">
      <c r="A1543" s="226"/>
      <c r="B1543" s="226"/>
      <c r="C1543" s="226"/>
      <c r="D1543" s="226"/>
      <c r="E1543" s="226"/>
      <c r="F1543" s="226"/>
      <c r="G1543" s="226"/>
      <c r="H1543" s="226"/>
      <c r="I1543" s="9" t="str">
        <f t="shared" si="24"/>
        <v>__</v>
      </c>
    </row>
    <row r="1544" spans="1:9" x14ac:dyDescent="0.35">
      <c r="A1544" s="226"/>
      <c r="B1544" s="226"/>
      <c r="C1544" s="226"/>
      <c r="D1544" s="226"/>
      <c r="E1544" s="226"/>
      <c r="F1544" s="226"/>
      <c r="G1544" s="226"/>
      <c r="H1544" s="226"/>
      <c r="I1544" s="9" t="str">
        <f t="shared" si="24"/>
        <v>__</v>
      </c>
    </row>
    <row r="1545" spans="1:9" x14ac:dyDescent="0.35">
      <c r="A1545" s="226"/>
      <c r="B1545" s="226"/>
      <c r="C1545" s="226"/>
      <c r="D1545" s="226"/>
      <c r="E1545" s="226"/>
      <c r="F1545" s="226"/>
      <c r="G1545" s="226"/>
      <c r="H1545" s="226"/>
      <c r="I1545" s="9" t="str">
        <f t="shared" si="24"/>
        <v>__</v>
      </c>
    </row>
    <row r="1546" spans="1:9" x14ac:dyDescent="0.35">
      <c r="A1546" s="226"/>
      <c r="B1546" s="226"/>
      <c r="C1546" s="226"/>
      <c r="D1546" s="226"/>
      <c r="E1546" s="226"/>
      <c r="F1546" s="226"/>
      <c r="G1546" s="226"/>
      <c r="H1546" s="226"/>
      <c r="I1546" s="9" t="str">
        <f t="shared" si="24"/>
        <v>__</v>
      </c>
    </row>
    <row r="1547" spans="1:9" x14ac:dyDescent="0.35">
      <c r="A1547" s="226"/>
      <c r="B1547" s="226"/>
      <c r="C1547" s="226"/>
      <c r="D1547" s="226"/>
      <c r="E1547" s="226"/>
      <c r="F1547" s="226"/>
      <c r="G1547" s="226"/>
      <c r="H1547" s="226"/>
      <c r="I1547" s="9" t="str">
        <f t="shared" si="24"/>
        <v>__</v>
      </c>
    </row>
    <row r="1548" spans="1:9" x14ac:dyDescent="0.35">
      <c r="A1548" s="226"/>
      <c r="B1548" s="226"/>
      <c r="C1548" s="226"/>
      <c r="D1548" s="226"/>
      <c r="E1548" s="226"/>
      <c r="F1548" s="226"/>
      <c r="G1548" s="226"/>
      <c r="H1548" s="226"/>
      <c r="I1548" s="9" t="str">
        <f t="shared" si="24"/>
        <v>__</v>
      </c>
    </row>
    <row r="1549" spans="1:9" x14ac:dyDescent="0.35">
      <c r="A1549" s="226"/>
      <c r="B1549" s="226"/>
      <c r="C1549" s="226"/>
      <c r="D1549" s="226"/>
      <c r="E1549" s="226"/>
      <c r="F1549" s="226"/>
      <c r="G1549" s="226"/>
      <c r="H1549" s="226"/>
      <c r="I1549" s="9" t="str">
        <f t="shared" si="24"/>
        <v>__</v>
      </c>
    </row>
    <row r="1550" spans="1:9" x14ac:dyDescent="0.35">
      <c r="A1550" s="226"/>
      <c r="B1550" s="226"/>
      <c r="C1550" s="226"/>
      <c r="D1550" s="226"/>
      <c r="E1550" s="226"/>
      <c r="F1550" s="226"/>
      <c r="G1550" s="226"/>
      <c r="H1550" s="226"/>
      <c r="I1550" s="9" t="str">
        <f t="shared" si="24"/>
        <v>__</v>
      </c>
    </row>
    <row r="1551" spans="1:9" x14ac:dyDescent="0.35">
      <c r="A1551" s="226"/>
      <c r="B1551" s="226"/>
      <c r="C1551" s="226"/>
      <c r="D1551" s="226"/>
      <c r="E1551" s="226"/>
      <c r="F1551" s="226"/>
      <c r="G1551" s="226"/>
      <c r="H1551" s="226"/>
      <c r="I1551" s="9" t="str">
        <f t="shared" si="24"/>
        <v>__</v>
      </c>
    </row>
    <row r="1552" spans="1:9" x14ac:dyDescent="0.35">
      <c r="A1552" s="226"/>
      <c r="B1552" s="226"/>
      <c r="C1552" s="226"/>
      <c r="D1552" s="226"/>
      <c r="E1552" s="226"/>
      <c r="F1552" s="226"/>
      <c r="G1552" s="226"/>
      <c r="H1552" s="226"/>
      <c r="I1552" s="9" t="str">
        <f t="shared" si="24"/>
        <v>__</v>
      </c>
    </row>
    <row r="1553" spans="1:9" x14ac:dyDescent="0.35">
      <c r="A1553" s="226"/>
      <c r="B1553" s="226"/>
      <c r="C1553" s="226"/>
      <c r="D1553" s="226"/>
      <c r="E1553" s="226"/>
      <c r="F1553" s="226"/>
      <c r="G1553" s="226"/>
      <c r="H1553" s="226"/>
      <c r="I1553" s="9" t="str">
        <f t="shared" si="24"/>
        <v>__</v>
      </c>
    </row>
    <row r="1554" spans="1:9" x14ac:dyDescent="0.35">
      <c r="A1554" s="226"/>
      <c r="B1554" s="226"/>
      <c r="C1554" s="226"/>
      <c r="D1554" s="226"/>
      <c r="E1554" s="226"/>
      <c r="F1554" s="226"/>
      <c r="G1554" s="226"/>
      <c r="H1554" s="226"/>
      <c r="I1554" s="9" t="str">
        <f t="shared" si="24"/>
        <v>__</v>
      </c>
    </row>
    <row r="1555" spans="1:9" x14ac:dyDescent="0.35">
      <c r="A1555" s="226"/>
      <c r="B1555" s="226"/>
      <c r="C1555" s="226"/>
      <c r="D1555" s="226"/>
      <c r="E1555" s="226"/>
      <c r="F1555" s="226"/>
      <c r="G1555" s="226"/>
      <c r="H1555" s="226"/>
      <c r="I1555" s="9" t="str">
        <f t="shared" si="24"/>
        <v>__</v>
      </c>
    </row>
    <row r="1556" spans="1:9" x14ac:dyDescent="0.35">
      <c r="A1556" s="226"/>
      <c r="B1556" s="226"/>
      <c r="C1556" s="226"/>
      <c r="D1556" s="226"/>
      <c r="E1556" s="226"/>
      <c r="F1556" s="226"/>
      <c r="G1556" s="226"/>
      <c r="H1556" s="226"/>
      <c r="I1556" s="9" t="str">
        <f t="shared" si="24"/>
        <v>__</v>
      </c>
    </row>
    <row r="1557" spans="1:9" x14ac:dyDescent="0.35">
      <c r="A1557" s="226"/>
      <c r="B1557" s="226"/>
      <c r="C1557" s="226"/>
      <c r="D1557" s="226"/>
      <c r="E1557" s="226"/>
      <c r="F1557" s="226"/>
      <c r="G1557" s="226"/>
      <c r="H1557" s="226"/>
      <c r="I1557" s="9" t="str">
        <f t="shared" si="24"/>
        <v>__</v>
      </c>
    </row>
    <row r="1558" spans="1:9" x14ac:dyDescent="0.35">
      <c r="A1558" s="226"/>
      <c r="B1558" s="226"/>
      <c r="C1558" s="226"/>
      <c r="D1558" s="226"/>
      <c r="E1558" s="226"/>
      <c r="F1558" s="226"/>
      <c r="G1558" s="226"/>
      <c r="H1558" s="226"/>
      <c r="I1558" s="9" t="str">
        <f t="shared" si="24"/>
        <v>__</v>
      </c>
    </row>
    <row r="1559" spans="1:9" x14ac:dyDescent="0.35">
      <c r="A1559" s="226"/>
      <c r="B1559" s="226"/>
      <c r="C1559" s="226"/>
      <c r="D1559" s="226"/>
      <c r="E1559" s="226"/>
      <c r="F1559" s="226"/>
      <c r="G1559" s="226"/>
      <c r="H1559" s="226"/>
      <c r="I1559" s="9" t="str">
        <f t="shared" si="24"/>
        <v>__</v>
      </c>
    </row>
    <row r="1560" spans="1:9" x14ac:dyDescent="0.35">
      <c r="A1560" s="226"/>
      <c r="B1560" s="226"/>
      <c r="C1560" s="226"/>
      <c r="D1560" s="226"/>
      <c r="E1560" s="226"/>
      <c r="F1560" s="226"/>
      <c r="G1560" s="226"/>
      <c r="H1560" s="226"/>
      <c r="I1560" s="9" t="str">
        <f t="shared" si="24"/>
        <v>__</v>
      </c>
    </row>
    <row r="1561" spans="1:9" x14ac:dyDescent="0.35">
      <c r="A1561" s="226"/>
      <c r="B1561" s="226"/>
      <c r="C1561" s="226"/>
      <c r="D1561" s="226"/>
      <c r="E1561" s="226"/>
      <c r="F1561" s="226"/>
      <c r="G1561" s="226"/>
      <c r="H1561" s="226"/>
      <c r="I1561" s="9" t="str">
        <f t="shared" si="24"/>
        <v>__</v>
      </c>
    </row>
    <row r="1562" spans="1:9" x14ac:dyDescent="0.35">
      <c r="A1562" s="226"/>
      <c r="B1562" s="226"/>
      <c r="C1562" s="226"/>
      <c r="D1562" s="226"/>
      <c r="E1562" s="226"/>
      <c r="F1562" s="226"/>
      <c r="G1562" s="226"/>
      <c r="H1562" s="226"/>
      <c r="I1562" s="9" t="str">
        <f t="shared" si="24"/>
        <v>__</v>
      </c>
    </row>
    <row r="1563" spans="1:9" x14ac:dyDescent="0.35">
      <c r="A1563" s="226"/>
      <c r="B1563" s="226"/>
      <c r="C1563" s="226"/>
      <c r="D1563" s="226"/>
      <c r="E1563" s="226"/>
      <c r="F1563" s="226"/>
      <c r="G1563" s="226"/>
      <c r="H1563" s="226"/>
      <c r="I1563" s="9" t="str">
        <f t="shared" si="24"/>
        <v>__</v>
      </c>
    </row>
    <row r="1564" spans="1:9" x14ac:dyDescent="0.35">
      <c r="A1564" s="226"/>
      <c r="B1564" s="226"/>
      <c r="C1564" s="226"/>
      <c r="D1564" s="226"/>
      <c r="E1564" s="226"/>
      <c r="F1564" s="226"/>
      <c r="G1564" s="226"/>
      <c r="H1564" s="226"/>
      <c r="I1564" s="9" t="str">
        <f t="shared" si="24"/>
        <v>__</v>
      </c>
    </row>
    <row r="1565" spans="1:9" x14ac:dyDescent="0.35">
      <c r="A1565" s="226"/>
      <c r="B1565" s="226"/>
      <c r="C1565" s="226"/>
      <c r="D1565" s="226"/>
      <c r="E1565" s="226"/>
      <c r="F1565" s="226"/>
      <c r="G1565" s="226"/>
      <c r="H1565" s="226"/>
      <c r="I1565" s="9" t="str">
        <f t="shared" si="24"/>
        <v>__</v>
      </c>
    </row>
    <row r="1566" spans="1:9" x14ac:dyDescent="0.35">
      <c r="A1566" s="226"/>
      <c r="B1566" s="226"/>
      <c r="C1566" s="226"/>
      <c r="D1566" s="226"/>
      <c r="E1566" s="226"/>
      <c r="F1566" s="226"/>
      <c r="G1566" s="226"/>
      <c r="H1566" s="226"/>
      <c r="I1566" s="9" t="str">
        <f t="shared" si="24"/>
        <v>__</v>
      </c>
    </row>
    <row r="1567" spans="1:9" x14ac:dyDescent="0.35">
      <c r="A1567" s="226"/>
      <c r="B1567" s="226"/>
      <c r="C1567" s="226"/>
      <c r="D1567" s="226"/>
      <c r="E1567" s="226"/>
      <c r="F1567" s="226"/>
      <c r="G1567" s="226"/>
      <c r="H1567" s="226"/>
      <c r="I1567" s="9" t="str">
        <f t="shared" si="24"/>
        <v>__</v>
      </c>
    </row>
    <row r="1568" spans="1:9" x14ac:dyDescent="0.35">
      <c r="A1568" s="226"/>
      <c r="B1568" s="226"/>
      <c r="C1568" s="226"/>
      <c r="D1568" s="226"/>
      <c r="E1568" s="226"/>
      <c r="F1568" s="226"/>
      <c r="G1568" s="226"/>
      <c r="H1568" s="226"/>
      <c r="I1568" s="9" t="str">
        <f t="shared" si="24"/>
        <v>__</v>
      </c>
    </row>
    <row r="1569" spans="1:9" x14ac:dyDescent="0.35">
      <c r="A1569" s="226"/>
      <c r="B1569" s="226"/>
      <c r="C1569" s="226"/>
      <c r="D1569" s="226"/>
      <c r="E1569" s="226"/>
      <c r="F1569" s="226"/>
      <c r="G1569" s="226"/>
      <c r="H1569" s="226"/>
      <c r="I1569" s="9" t="str">
        <f t="shared" si="24"/>
        <v>__</v>
      </c>
    </row>
    <row r="1570" spans="1:9" x14ac:dyDescent="0.35">
      <c r="A1570" s="226"/>
      <c r="B1570" s="226"/>
      <c r="C1570" s="226"/>
      <c r="D1570" s="226"/>
      <c r="E1570" s="226"/>
      <c r="F1570" s="226"/>
      <c r="G1570" s="226"/>
      <c r="H1570" s="226"/>
      <c r="I1570" s="9" t="str">
        <f t="shared" si="24"/>
        <v>__</v>
      </c>
    </row>
    <row r="1571" spans="1:9" x14ac:dyDescent="0.35">
      <c r="A1571" s="226"/>
      <c r="B1571" s="226"/>
      <c r="C1571" s="226"/>
      <c r="D1571" s="226"/>
      <c r="E1571" s="226"/>
      <c r="F1571" s="226"/>
      <c r="G1571" s="226"/>
      <c r="H1571" s="226"/>
      <c r="I1571" s="9" t="str">
        <f t="shared" si="24"/>
        <v>__</v>
      </c>
    </row>
    <row r="1572" spans="1:9" x14ac:dyDescent="0.35">
      <c r="A1572" s="226"/>
      <c r="B1572" s="226"/>
      <c r="C1572" s="226"/>
      <c r="D1572" s="226"/>
      <c r="E1572" s="226"/>
      <c r="F1572" s="226"/>
      <c r="G1572" s="226"/>
      <c r="H1572" s="226"/>
      <c r="I1572" s="9" t="str">
        <f t="shared" si="24"/>
        <v>__</v>
      </c>
    </row>
    <row r="1573" spans="1:9" x14ac:dyDescent="0.35">
      <c r="A1573" s="226"/>
      <c r="B1573" s="226"/>
      <c r="C1573" s="226"/>
      <c r="D1573" s="226"/>
      <c r="E1573" s="226"/>
      <c r="F1573" s="226"/>
      <c r="G1573" s="226"/>
      <c r="H1573" s="226"/>
      <c r="I1573" s="9" t="str">
        <f t="shared" si="24"/>
        <v>__</v>
      </c>
    </row>
    <row r="1574" spans="1:9" x14ac:dyDescent="0.35">
      <c r="A1574" s="226"/>
      <c r="B1574" s="226"/>
      <c r="C1574" s="226"/>
      <c r="D1574" s="226"/>
      <c r="E1574" s="226"/>
      <c r="F1574" s="226"/>
      <c r="G1574" s="226"/>
      <c r="H1574" s="226"/>
      <c r="I1574" s="9" t="str">
        <f t="shared" si="24"/>
        <v>__</v>
      </c>
    </row>
    <row r="1575" spans="1:9" x14ac:dyDescent="0.35">
      <c r="A1575" s="226"/>
      <c r="B1575" s="226"/>
      <c r="C1575" s="226"/>
      <c r="D1575" s="226"/>
      <c r="E1575" s="226"/>
      <c r="F1575" s="226"/>
      <c r="G1575" s="226"/>
      <c r="H1575" s="226"/>
      <c r="I1575" s="9" t="str">
        <f t="shared" si="24"/>
        <v>__</v>
      </c>
    </row>
    <row r="1576" spans="1:9" x14ac:dyDescent="0.35">
      <c r="A1576" s="226"/>
      <c r="B1576" s="226"/>
      <c r="C1576" s="226"/>
      <c r="D1576" s="226"/>
      <c r="E1576" s="226"/>
      <c r="F1576" s="226"/>
      <c r="G1576" s="226"/>
      <c r="H1576" s="226"/>
      <c r="I1576" s="9" t="str">
        <f t="shared" si="24"/>
        <v>__</v>
      </c>
    </row>
    <row r="1577" spans="1:9" x14ac:dyDescent="0.35">
      <c r="A1577" s="226"/>
      <c r="B1577" s="226"/>
      <c r="C1577" s="226"/>
      <c r="D1577" s="226"/>
      <c r="E1577" s="226"/>
      <c r="F1577" s="226"/>
      <c r="G1577" s="226"/>
      <c r="H1577" s="226"/>
      <c r="I1577" s="9" t="str">
        <f t="shared" si="24"/>
        <v>__</v>
      </c>
    </row>
    <row r="1578" spans="1:9" x14ac:dyDescent="0.35">
      <c r="A1578" s="226"/>
      <c r="B1578" s="226"/>
      <c r="C1578" s="226"/>
      <c r="D1578" s="226"/>
      <c r="E1578" s="226"/>
      <c r="F1578" s="226"/>
      <c r="G1578" s="226"/>
      <c r="H1578" s="226"/>
      <c r="I1578" s="9" t="str">
        <f t="shared" si="24"/>
        <v>__</v>
      </c>
    </row>
    <row r="1579" spans="1:9" x14ac:dyDescent="0.35">
      <c r="A1579" s="226"/>
      <c r="B1579" s="226"/>
      <c r="C1579" s="226"/>
      <c r="D1579" s="226"/>
      <c r="E1579" s="226"/>
      <c r="F1579" s="226"/>
      <c r="G1579" s="226"/>
      <c r="H1579" s="226"/>
      <c r="I1579" s="9" t="str">
        <f t="shared" si="24"/>
        <v>__</v>
      </c>
    </row>
    <row r="1580" spans="1:9" x14ac:dyDescent="0.35">
      <c r="A1580" s="226"/>
      <c r="B1580" s="226"/>
      <c r="C1580" s="226"/>
      <c r="D1580" s="226"/>
      <c r="E1580" s="226"/>
      <c r="F1580" s="226"/>
      <c r="G1580" s="226"/>
      <c r="H1580" s="226"/>
      <c r="I1580" s="9" t="str">
        <f t="shared" si="24"/>
        <v>__</v>
      </c>
    </row>
    <row r="1581" spans="1:9" x14ac:dyDescent="0.35">
      <c r="A1581" s="226"/>
      <c r="B1581" s="226"/>
      <c r="C1581" s="226"/>
      <c r="D1581" s="226"/>
      <c r="E1581" s="226"/>
      <c r="F1581" s="226"/>
      <c r="G1581" s="226"/>
      <c r="H1581" s="226"/>
      <c r="I1581" s="9" t="str">
        <f t="shared" si="24"/>
        <v>__</v>
      </c>
    </row>
    <row r="1582" spans="1:9" x14ac:dyDescent="0.35">
      <c r="A1582" s="226"/>
      <c r="B1582" s="226"/>
      <c r="C1582" s="226"/>
      <c r="D1582" s="226"/>
      <c r="E1582" s="226"/>
      <c r="F1582" s="226"/>
      <c r="G1582" s="226"/>
      <c r="H1582" s="226"/>
      <c r="I1582" s="9" t="str">
        <f t="shared" si="24"/>
        <v>__</v>
      </c>
    </row>
    <row r="1583" spans="1:9" x14ac:dyDescent="0.35">
      <c r="A1583" s="226"/>
      <c r="B1583" s="226"/>
      <c r="C1583" s="226"/>
      <c r="D1583" s="226"/>
      <c r="E1583" s="226"/>
      <c r="F1583" s="226"/>
      <c r="G1583" s="226"/>
      <c r="H1583" s="226"/>
      <c r="I1583" s="9" t="str">
        <f t="shared" si="24"/>
        <v>__</v>
      </c>
    </row>
    <row r="1584" spans="1:9" x14ac:dyDescent="0.35">
      <c r="A1584" s="226"/>
      <c r="B1584" s="226"/>
      <c r="C1584" s="226"/>
      <c r="D1584" s="226"/>
      <c r="E1584" s="226"/>
      <c r="F1584" s="226"/>
      <c r="G1584" s="226"/>
      <c r="H1584" s="226"/>
      <c r="I1584" s="9" t="str">
        <f t="shared" si="24"/>
        <v>__</v>
      </c>
    </row>
    <row r="1585" spans="1:9" x14ac:dyDescent="0.35">
      <c r="A1585" s="226"/>
      <c r="B1585" s="226"/>
      <c r="C1585" s="226"/>
      <c r="D1585" s="226"/>
      <c r="E1585" s="226"/>
      <c r="F1585" s="226"/>
      <c r="G1585" s="226"/>
      <c r="H1585" s="226"/>
      <c r="I1585" s="9" t="str">
        <f t="shared" si="24"/>
        <v>__</v>
      </c>
    </row>
    <row r="1586" spans="1:9" x14ac:dyDescent="0.35">
      <c r="A1586" s="226"/>
      <c r="B1586" s="226"/>
      <c r="C1586" s="226"/>
      <c r="D1586" s="226"/>
      <c r="E1586" s="226"/>
      <c r="F1586" s="226"/>
      <c r="G1586" s="226"/>
      <c r="H1586" s="226"/>
      <c r="I1586" s="9" t="str">
        <f t="shared" si="24"/>
        <v>__</v>
      </c>
    </row>
    <row r="1587" spans="1:9" x14ac:dyDescent="0.35">
      <c r="A1587" s="226"/>
      <c r="B1587" s="226"/>
      <c r="C1587" s="226"/>
      <c r="D1587" s="226"/>
      <c r="E1587" s="226"/>
      <c r="F1587" s="226"/>
      <c r="G1587" s="226"/>
      <c r="H1587" s="226"/>
      <c r="I1587" s="9" t="str">
        <f t="shared" si="24"/>
        <v>__</v>
      </c>
    </row>
    <row r="1588" spans="1:9" x14ac:dyDescent="0.35">
      <c r="A1588" s="226"/>
      <c r="B1588" s="226"/>
      <c r="C1588" s="226"/>
      <c r="D1588" s="226"/>
      <c r="E1588" s="226"/>
      <c r="F1588" s="226"/>
      <c r="G1588" s="226"/>
      <c r="H1588" s="226"/>
      <c r="I1588" s="9" t="str">
        <f t="shared" si="24"/>
        <v>__</v>
      </c>
    </row>
    <row r="1589" spans="1:9" x14ac:dyDescent="0.35">
      <c r="A1589" s="226"/>
      <c r="B1589" s="226"/>
      <c r="C1589" s="226"/>
      <c r="D1589" s="226"/>
      <c r="E1589" s="226"/>
      <c r="F1589" s="226"/>
      <c r="G1589" s="226"/>
      <c r="H1589" s="226"/>
      <c r="I1589" s="9" t="str">
        <f t="shared" si="24"/>
        <v>__</v>
      </c>
    </row>
    <row r="1590" spans="1:9" x14ac:dyDescent="0.35">
      <c r="A1590" s="226"/>
      <c r="B1590" s="226"/>
      <c r="C1590" s="226"/>
      <c r="D1590" s="226"/>
      <c r="E1590" s="226"/>
      <c r="F1590" s="226"/>
      <c r="G1590" s="226"/>
      <c r="H1590" s="226"/>
      <c r="I1590" s="9" t="str">
        <f t="shared" si="24"/>
        <v>__</v>
      </c>
    </row>
    <row r="1591" spans="1:9" x14ac:dyDescent="0.35">
      <c r="A1591" s="226"/>
      <c r="B1591" s="226"/>
      <c r="C1591" s="226"/>
      <c r="D1591" s="226"/>
      <c r="E1591" s="226"/>
      <c r="F1591" s="226"/>
      <c r="G1591" s="226"/>
      <c r="H1591" s="226"/>
      <c r="I1591" s="9" t="str">
        <f t="shared" si="24"/>
        <v>__</v>
      </c>
    </row>
    <row r="1592" spans="1:9" x14ac:dyDescent="0.35">
      <c r="A1592" s="226"/>
      <c r="B1592" s="226"/>
      <c r="C1592" s="226"/>
      <c r="D1592" s="226"/>
      <c r="E1592" s="226"/>
      <c r="F1592" s="226"/>
      <c r="G1592" s="226"/>
      <c r="H1592" s="226"/>
      <c r="I1592" s="9" t="str">
        <f t="shared" si="24"/>
        <v>__</v>
      </c>
    </row>
    <row r="1593" spans="1:9" x14ac:dyDescent="0.35">
      <c r="A1593" s="226"/>
      <c r="B1593" s="226"/>
      <c r="C1593" s="226"/>
      <c r="D1593" s="226"/>
      <c r="E1593" s="226"/>
      <c r="F1593" s="226"/>
      <c r="G1593" s="226"/>
      <c r="H1593" s="226"/>
      <c r="I1593" s="9" t="str">
        <f t="shared" si="24"/>
        <v>__</v>
      </c>
    </row>
    <row r="1594" spans="1:9" x14ac:dyDescent="0.35">
      <c r="A1594" s="226"/>
      <c r="B1594" s="226"/>
      <c r="C1594" s="226"/>
      <c r="D1594" s="226"/>
      <c r="E1594" s="226"/>
      <c r="F1594" s="226"/>
      <c r="G1594" s="226"/>
      <c r="H1594" s="226"/>
      <c r="I1594" s="9" t="str">
        <f t="shared" si="24"/>
        <v>__</v>
      </c>
    </row>
    <row r="1595" spans="1:9" x14ac:dyDescent="0.35">
      <c r="A1595" s="226"/>
      <c r="B1595" s="226"/>
      <c r="C1595" s="226"/>
      <c r="D1595" s="226"/>
      <c r="E1595" s="226"/>
      <c r="F1595" s="226"/>
      <c r="G1595" s="226"/>
      <c r="H1595" s="226"/>
      <c r="I1595" s="9" t="str">
        <f t="shared" si="24"/>
        <v>__</v>
      </c>
    </row>
    <row r="1596" spans="1:9" x14ac:dyDescent="0.35">
      <c r="A1596" s="226"/>
      <c r="B1596" s="226"/>
      <c r="C1596" s="226"/>
      <c r="D1596" s="226"/>
      <c r="E1596" s="226"/>
      <c r="F1596" s="226"/>
      <c r="G1596" s="226"/>
      <c r="H1596" s="226"/>
      <c r="I1596" s="9" t="str">
        <f t="shared" si="24"/>
        <v>__</v>
      </c>
    </row>
    <row r="1597" spans="1:9" x14ac:dyDescent="0.35">
      <c r="A1597" s="226"/>
      <c r="B1597" s="226"/>
      <c r="C1597" s="226"/>
      <c r="D1597" s="226"/>
      <c r="E1597" s="226"/>
      <c r="F1597" s="226"/>
      <c r="G1597" s="226"/>
      <c r="H1597" s="226"/>
      <c r="I1597" s="9" t="str">
        <f t="shared" si="24"/>
        <v>__</v>
      </c>
    </row>
    <row r="1598" spans="1:9" x14ac:dyDescent="0.35">
      <c r="A1598" s="226"/>
      <c r="B1598" s="226"/>
      <c r="C1598" s="226"/>
      <c r="D1598" s="226"/>
      <c r="E1598" s="226"/>
      <c r="F1598" s="226"/>
      <c r="G1598" s="226"/>
      <c r="H1598" s="226"/>
      <c r="I1598" s="9" t="str">
        <f t="shared" si="24"/>
        <v>__</v>
      </c>
    </row>
    <row r="1599" spans="1:9" x14ac:dyDescent="0.35">
      <c r="A1599" s="226"/>
      <c r="B1599" s="226"/>
      <c r="C1599" s="226"/>
      <c r="D1599" s="226"/>
      <c r="E1599" s="226"/>
      <c r="F1599" s="226"/>
      <c r="G1599" s="226"/>
      <c r="H1599" s="226"/>
      <c r="I1599" s="9" t="str">
        <f t="shared" si="24"/>
        <v>__</v>
      </c>
    </row>
    <row r="1600" spans="1:9" x14ac:dyDescent="0.35">
      <c r="A1600" s="226"/>
      <c r="B1600" s="226"/>
      <c r="C1600" s="226"/>
      <c r="D1600" s="226"/>
      <c r="E1600" s="226"/>
      <c r="F1600" s="226"/>
      <c r="G1600" s="226"/>
      <c r="H1600" s="226"/>
      <c r="I1600" s="9" t="str">
        <f t="shared" si="24"/>
        <v>__</v>
      </c>
    </row>
    <row r="1601" spans="1:9" x14ac:dyDescent="0.35">
      <c r="A1601" s="226"/>
      <c r="B1601" s="226"/>
      <c r="C1601" s="226"/>
      <c r="D1601" s="226"/>
      <c r="E1601" s="226"/>
      <c r="F1601" s="226"/>
      <c r="G1601" s="226"/>
      <c r="H1601" s="226"/>
      <c r="I1601" s="9" t="str">
        <f t="shared" si="24"/>
        <v>__</v>
      </c>
    </row>
    <row r="1602" spans="1:9" x14ac:dyDescent="0.35">
      <c r="A1602" s="226"/>
      <c r="B1602" s="226"/>
      <c r="C1602" s="226"/>
      <c r="D1602" s="226"/>
      <c r="E1602" s="226"/>
      <c r="F1602" s="226"/>
      <c r="G1602" s="226"/>
      <c r="H1602" s="226"/>
      <c r="I1602" s="9" t="str">
        <f t="shared" si="24"/>
        <v>__</v>
      </c>
    </row>
    <row r="1603" spans="1:9" x14ac:dyDescent="0.35">
      <c r="A1603" s="226"/>
      <c r="B1603" s="226"/>
      <c r="C1603" s="226"/>
      <c r="D1603" s="226"/>
      <c r="E1603" s="226"/>
      <c r="F1603" s="226"/>
      <c r="G1603" s="226"/>
      <c r="H1603" s="226"/>
      <c r="I1603" s="9" t="str">
        <f t="shared" si="24"/>
        <v>__</v>
      </c>
    </row>
    <row r="1604" spans="1:9" x14ac:dyDescent="0.35">
      <c r="A1604" s="226"/>
      <c r="B1604" s="226"/>
      <c r="C1604" s="226"/>
      <c r="D1604" s="226"/>
      <c r="E1604" s="226"/>
      <c r="F1604" s="226"/>
      <c r="G1604" s="226"/>
      <c r="H1604" s="226"/>
      <c r="I1604" s="9" t="str">
        <f t="shared" si="24"/>
        <v>__</v>
      </c>
    </row>
    <row r="1605" spans="1:9" x14ac:dyDescent="0.35">
      <c r="A1605" s="226"/>
      <c r="B1605" s="226"/>
      <c r="C1605" s="226"/>
      <c r="D1605" s="226"/>
      <c r="E1605" s="226"/>
      <c r="F1605" s="226"/>
      <c r="G1605" s="226"/>
      <c r="H1605" s="226"/>
      <c r="I1605" s="9" t="str">
        <f t="shared" ref="I1605:I1668" si="25">CONCATENATE(A1605,"_",B1605,"_",C1605)</f>
        <v>__</v>
      </c>
    </row>
    <row r="1606" spans="1:9" x14ac:dyDescent="0.35">
      <c r="A1606" s="226"/>
      <c r="B1606" s="226"/>
      <c r="C1606" s="226"/>
      <c r="D1606" s="226"/>
      <c r="E1606" s="226"/>
      <c r="F1606" s="226"/>
      <c r="G1606" s="226"/>
      <c r="H1606" s="226"/>
      <c r="I1606" s="9" t="str">
        <f t="shared" si="25"/>
        <v>__</v>
      </c>
    </row>
    <row r="1607" spans="1:9" x14ac:dyDescent="0.35">
      <c r="A1607" s="226"/>
      <c r="B1607" s="226"/>
      <c r="C1607" s="226"/>
      <c r="D1607" s="226"/>
      <c r="E1607" s="226"/>
      <c r="F1607" s="226"/>
      <c r="G1607" s="226"/>
      <c r="H1607" s="226"/>
      <c r="I1607" s="9" t="str">
        <f t="shared" si="25"/>
        <v>__</v>
      </c>
    </row>
    <row r="1608" spans="1:9" x14ac:dyDescent="0.35">
      <c r="A1608" s="226"/>
      <c r="B1608" s="226"/>
      <c r="C1608" s="226"/>
      <c r="D1608" s="226"/>
      <c r="E1608" s="226"/>
      <c r="F1608" s="226"/>
      <c r="G1608" s="226"/>
      <c r="H1608" s="226"/>
      <c r="I1608" s="9" t="str">
        <f t="shared" si="25"/>
        <v>__</v>
      </c>
    </row>
    <row r="1609" spans="1:9" x14ac:dyDescent="0.35">
      <c r="A1609" s="226"/>
      <c r="B1609" s="226"/>
      <c r="C1609" s="226"/>
      <c r="D1609" s="226"/>
      <c r="E1609" s="226"/>
      <c r="F1609" s="226"/>
      <c r="G1609" s="226"/>
      <c r="H1609" s="226"/>
      <c r="I1609" s="9" t="str">
        <f t="shared" si="25"/>
        <v>__</v>
      </c>
    </row>
    <row r="1610" spans="1:9" x14ac:dyDescent="0.35">
      <c r="A1610" s="226"/>
      <c r="B1610" s="226"/>
      <c r="C1610" s="226"/>
      <c r="D1610" s="226"/>
      <c r="E1610" s="226"/>
      <c r="F1610" s="226"/>
      <c r="G1610" s="226"/>
      <c r="H1610" s="226"/>
      <c r="I1610" s="9" t="str">
        <f t="shared" si="25"/>
        <v>__</v>
      </c>
    </row>
    <row r="1611" spans="1:9" x14ac:dyDescent="0.35">
      <c r="A1611" s="226"/>
      <c r="B1611" s="226"/>
      <c r="C1611" s="226"/>
      <c r="D1611" s="226"/>
      <c r="E1611" s="226"/>
      <c r="F1611" s="226"/>
      <c r="G1611" s="226"/>
      <c r="H1611" s="226"/>
      <c r="I1611" s="9" t="str">
        <f t="shared" si="25"/>
        <v>__</v>
      </c>
    </row>
    <row r="1612" spans="1:9" x14ac:dyDescent="0.35">
      <c r="A1612" s="226"/>
      <c r="B1612" s="226"/>
      <c r="C1612" s="226"/>
      <c r="D1612" s="226"/>
      <c r="E1612" s="226"/>
      <c r="F1612" s="226"/>
      <c r="G1612" s="226"/>
      <c r="H1612" s="226"/>
      <c r="I1612" s="9" t="str">
        <f t="shared" si="25"/>
        <v>__</v>
      </c>
    </row>
    <row r="1613" spans="1:9" x14ac:dyDescent="0.35">
      <c r="A1613" s="226"/>
      <c r="B1613" s="226"/>
      <c r="C1613" s="226"/>
      <c r="D1613" s="226"/>
      <c r="E1613" s="226"/>
      <c r="F1613" s="226"/>
      <c r="G1613" s="226"/>
      <c r="H1613" s="226"/>
      <c r="I1613" s="9" t="str">
        <f t="shared" si="25"/>
        <v>__</v>
      </c>
    </row>
    <row r="1614" spans="1:9" x14ac:dyDescent="0.35">
      <c r="A1614" s="226"/>
      <c r="B1614" s="226"/>
      <c r="C1614" s="226"/>
      <c r="D1614" s="226"/>
      <c r="E1614" s="226"/>
      <c r="F1614" s="226"/>
      <c r="G1614" s="226"/>
      <c r="H1614" s="226"/>
      <c r="I1614" s="9" t="str">
        <f t="shared" si="25"/>
        <v>__</v>
      </c>
    </row>
    <row r="1615" spans="1:9" x14ac:dyDescent="0.35">
      <c r="A1615" s="226"/>
      <c r="B1615" s="226"/>
      <c r="C1615" s="226"/>
      <c r="D1615" s="226"/>
      <c r="E1615" s="226"/>
      <c r="F1615" s="226"/>
      <c r="G1615" s="226"/>
      <c r="H1615" s="226"/>
      <c r="I1615" s="9" t="str">
        <f t="shared" si="25"/>
        <v>__</v>
      </c>
    </row>
    <row r="1616" spans="1:9" x14ac:dyDescent="0.35">
      <c r="A1616" s="226"/>
      <c r="B1616" s="226"/>
      <c r="C1616" s="226"/>
      <c r="D1616" s="226"/>
      <c r="E1616" s="226"/>
      <c r="F1616" s="226"/>
      <c r="G1616" s="226"/>
      <c r="H1616" s="226"/>
      <c r="I1616" s="9" t="str">
        <f t="shared" si="25"/>
        <v>__</v>
      </c>
    </row>
    <row r="1617" spans="1:9" x14ac:dyDescent="0.35">
      <c r="A1617" s="226"/>
      <c r="B1617" s="226"/>
      <c r="C1617" s="226"/>
      <c r="D1617" s="226"/>
      <c r="E1617" s="226"/>
      <c r="F1617" s="226"/>
      <c r="G1617" s="226"/>
      <c r="H1617" s="226"/>
      <c r="I1617" s="9" t="str">
        <f t="shared" si="25"/>
        <v>__</v>
      </c>
    </row>
    <row r="1618" spans="1:9" x14ac:dyDescent="0.35">
      <c r="A1618" s="226"/>
      <c r="B1618" s="226"/>
      <c r="C1618" s="226"/>
      <c r="D1618" s="226"/>
      <c r="E1618" s="226"/>
      <c r="F1618" s="226"/>
      <c r="G1618" s="226"/>
      <c r="H1618" s="226"/>
      <c r="I1618" s="9" t="str">
        <f t="shared" si="25"/>
        <v>__</v>
      </c>
    </row>
    <row r="1619" spans="1:9" x14ac:dyDescent="0.35">
      <c r="A1619" s="226"/>
      <c r="B1619" s="226"/>
      <c r="C1619" s="226"/>
      <c r="D1619" s="226"/>
      <c r="E1619" s="226"/>
      <c r="F1619" s="226"/>
      <c r="G1619" s="226"/>
      <c r="H1619" s="226"/>
      <c r="I1619" s="9" t="str">
        <f t="shared" si="25"/>
        <v>__</v>
      </c>
    </row>
    <row r="1620" spans="1:9" x14ac:dyDescent="0.35">
      <c r="A1620" s="226"/>
      <c r="B1620" s="226"/>
      <c r="C1620" s="226"/>
      <c r="D1620" s="226"/>
      <c r="E1620" s="226"/>
      <c r="F1620" s="226"/>
      <c r="G1620" s="226"/>
      <c r="H1620" s="226"/>
      <c r="I1620" s="9" t="str">
        <f t="shared" si="25"/>
        <v>__</v>
      </c>
    </row>
    <row r="1621" spans="1:9" x14ac:dyDescent="0.35">
      <c r="A1621" s="226"/>
      <c r="B1621" s="226"/>
      <c r="C1621" s="226"/>
      <c r="D1621" s="226"/>
      <c r="E1621" s="226"/>
      <c r="F1621" s="226"/>
      <c r="G1621" s="226"/>
      <c r="H1621" s="226"/>
      <c r="I1621" s="9" t="str">
        <f t="shared" si="25"/>
        <v>__</v>
      </c>
    </row>
    <row r="1622" spans="1:9" x14ac:dyDescent="0.35">
      <c r="A1622" s="226"/>
      <c r="B1622" s="226"/>
      <c r="C1622" s="226"/>
      <c r="D1622" s="226"/>
      <c r="E1622" s="226"/>
      <c r="F1622" s="226"/>
      <c r="G1622" s="226"/>
      <c r="H1622" s="226"/>
      <c r="I1622" s="9" t="str">
        <f t="shared" si="25"/>
        <v>__</v>
      </c>
    </row>
    <row r="1623" spans="1:9" x14ac:dyDescent="0.35">
      <c r="A1623" s="226"/>
      <c r="B1623" s="226"/>
      <c r="C1623" s="226"/>
      <c r="D1623" s="226"/>
      <c r="E1623" s="226"/>
      <c r="F1623" s="226"/>
      <c r="G1623" s="226"/>
      <c r="H1623" s="226"/>
      <c r="I1623" s="9" t="str">
        <f t="shared" si="25"/>
        <v>__</v>
      </c>
    </row>
    <row r="1624" spans="1:9" x14ac:dyDescent="0.35">
      <c r="A1624" s="226"/>
      <c r="B1624" s="226"/>
      <c r="C1624" s="226"/>
      <c r="D1624" s="226"/>
      <c r="E1624" s="226"/>
      <c r="F1624" s="226"/>
      <c r="G1624" s="226"/>
      <c r="H1624" s="226"/>
      <c r="I1624" s="9" t="str">
        <f t="shared" si="25"/>
        <v>__</v>
      </c>
    </row>
    <row r="1625" spans="1:9" x14ac:dyDescent="0.35">
      <c r="A1625" s="226"/>
      <c r="B1625" s="226"/>
      <c r="C1625" s="226"/>
      <c r="D1625" s="226"/>
      <c r="E1625" s="226"/>
      <c r="F1625" s="226"/>
      <c r="G1625" s="226"/>
      <c r="H1625" s="226"/>
      <c r="I1625" s="9" t="str">
        <f t="shared" si="25"/>
        <v>__</v>
      </c>
    </row>
    <row r="1626" spans="1:9" x14ac:dyDescent="0.35">
      <c r="A1626" s="226"/>
      <c r="B1626" s="226"/>
      <c r="C1626" s="226"/>
      <c r="D1626" s="226"/>
      <c r="E1626" s="226"/>
      <c r="F1626" s="226"/>
      <c r="G1626" s="226"/>
      <c r="H1626" s="226"/>
      <c r="I1626" s="9" t="str">
        <f t="shared" si="25"/>
        <v>__</v>
      </c>
    </row>
    <row r="1627" spans="1:9" x14ac:dyDescent="0.35">
      <c r="A1627" s="226"/>
      <c r="B1627" s="226"/>
      <c r="C1627" s="226"/>
      <c r="D1627" s="226"/>
      <c r="E1627" s="226"/>
      <c r="F1627" s="226"/>
      <c r="G1627" s="226"/>
      <c r="H1627" s="226"/>
      <c r="I1627" s="9" t="str">
        <f t="shared" si="25"/>
        <v>__</v>
      </c>
    </row>
    <row r="1628" spans="1:9" x14ac:dyDescent="0.35">
      <c r="A1628" s="226"/>
      <c r="B1628" s="226"/>
      <c r="C1628" s="226"/>
      <c r="D1628" s="226"/>
      <c r="E1628" s="226"/>
      <c r="F1628" s="226"/>
      <c r="G1628" s="226"/>
      <c r="H1628" s="226"/>
      <c r="I1628" s="9" t="str">
        <f t="shared" si="25"/>
        <v>__</v>
      </c>
    </row>
    <row r="1629" spans="1:9" x14ac:dyDescent="0.35">
      <c r="A1629" s="226"/>
      <c r="B1629" s="226"/>
      <c r="C1629" s="226"/>
      <c r="D1629" s="226"/>
      <c r="E1629" s="226"/>
      <c r="F1629" s="226"/>
      <c r="G1629" s="226"/>
      <c r="H1629" s="226"/>
      <c r="I1629" s="9" t="str">
        <f t="shared" si="25"/>
        <v>__</v>
      </c>
    </row>
    <row r="1630" spans="1:9" x14ac:dyDescent="0.35">
      <c r="A1630" s="226"/>
      <c r="B1630" s="226"/>
      <c r="C1630" s="226"/>
      <c r="D1630" s="226"/>
      <c r="E1630" s="226"/>
      <c r="F1630" s="226"/>
      <c r="G1630" s="226"/>
      <c r="H1630" s="226"/>
      <c r="I1630" s="9" t="str">
        <f t="shared" si="25"/>
        <v>__</v>
      </c>
    </row>
    <row r="1631" spans="1:9" x14ac:dyDescent="0.35">
      <c r="A1631" s="226"/>
      <c r="B1631" s="226"/>
      <c r="C1631" s="226"/>
      <c r="D1631" s="226"/>
      <c r="E1631" s="226"/>
      <c r="F1631" s="226"/>
      <c r="G1631" s="226"/>
      <c r="H1631" s="226"/>
      <c r="I1631" s="9" t="str">
        <f t="shared" si="25"/>
        <v>__</v>
      </c>
    </row>
    <row r="1632" spans="1:9" x14ac:dyDescent="0.35">
      <c r="A1632" s="226"/>
      <c r="B1632" s="226"/>
      <c r="C1632" s="226"/>
      <c r="D1632" s="226"/>
      <c r="E1632" s="226"/>
      <c r="F1632" s="226"/>
      <c r="G1632" s="226"/>
      <c r="H1632" s="226"/>
      <c r="I1632" s="9" t="str">
        <f t="shared" si="25"/>
        <v>__</v>
      </c>
    </row>
    <row r="1633" spans="1:9" x14ac:dyDescent="0.35">
      <c r="A1633" s="226"/>
      <c r="B1633" s="226"/>
      <c r="C1633" s="226"/>
      <c r="D1633" s="226"/>
      <c r="E1633" s="226"/>
      <c r="F1633" s="226"/>
      <c r="G1633" s="226"/>
      <c r="H1633" s="226"/>
      <c r="I1633" s="9" t="str">
        <f t="shared" si="25"/>
        <v>__</v>
      </c>
    </row>
    <row r="1634" spans="1:9" x14ac:dyDescent="0.35">
      <c r="A1634" s="226"/>
      <c r="B1634" s="226"/>
      <c r="C1634" s="226"/>
      <c r="D1634" s="226"/>
      <c r="E1634" s="226"/>
      <c r="F1634" s="226"/>
      <c r="G1634" s="226"/>
      <c r="H1634" s="226"/>
      <c r="I1634" s="9" t="str">
        <f t="shared" si="25"/>
        <v>__</v>
      </c>
    </row>
    <row r="1635" spans="1:9" x14ac:dyDescent="0.35">
      <c r="A1635" s="226"/>
      <c r="B1635" s="226"/>
      <c r="C1635" s="226"/>
      <c r="D1635" s="226"/>
      <c r="E1635" s="226"/>
      <c r="F1635" s="226"/>
      <c r="G1635" s="226"/>
      <c r="H1635" s="226"/>
      <c r="I1635" s="9" t="str">
        <f t="shared" si="25"/>
        <v>__</v>
      </c>
    </row>
    <row r="1636" spans="1:9" x14ac:dyDescent="0.35">
      <c r="A1636" s="226"/>
      <c r="B1636" s="226"/>
      <c r="C1636" s="226"/>
      <c r="D1636" s="226"/>
      <c r="E1636" s="226"/>
      <c r="F1636" s="226"/>
      <c r="G1636" s="226"/>
      <c r="H1636" s="226"/>
      <c r="I1636" s="9" t="str">
        <f t="shared" si="25"/>
        <v>__</v>
      </c>
    </row>
    <row r="1637" spans="1:9" x14ac:dyDescent="0.35">
      <c r="A1637" s="226"/>
      <c r="B1637" s="226"/>
      <c r="C1637" s="226"/>
      <c r="D1637" s="226"/>
      <c r="E1637" s="226"/>
      <c r="F1637" s="226"/>
      <c r="G1637" s="226"/>
      <c r="H1637" s="226"/>
      <c r="I1637" s="9" t="str">
        <f t="shared" si="25"/>
        <v>__</v>
      </c>
    </row>
    <row r="1638" spans="1:9" x14ac:dyDescent="0.35">
      <c r="A1638" s="226"/>
      <c r="B1638" s="226"/>
      <c r="C1638" s="226"/>
      <c r="D1638" s="226"/>
      <c r="E1638" s="226"/>
      <c r="F1638" s="226"/>
      <c r="G1638" s="226"/>
      <c r="H1638" s="226"/>
      <c r="I1638" s="9" t="str">
        <f t="shared" si="25"/>
        <v>__</v>
      </c>
    </row>
    <row r="1639" spans="1:9" x14ac:dyDescent="0.35">
      <c r="A1639" s="226"/>
      <c r="B1639" s="226"/>
      <c r="C1639" s="226"/>
      <c r="D1639" s="226"/>
      <c r="E1639" s="226"/>
      <c r="F1639" s="226"/>
      <c r="G1639" s="226"/>
      <c r="H1639" s="226"/>
      <c r="I1639" s="9" t="str">
        <f t="shared" si="25"/>
        <v>__</v>
      </c>
    </row>
    <row r="1640" spans="1:9" x14ac:dyDescent="0.35">
      <c r="A1640" s="226"/>
      <c r="B1640" s="226"/>
      <c r="C1640" s="226"/>
      <c r="D1640" s="226"/>
      <c r="E1640" s="226"/>
      <c r="F1640" s="226"/>
      <c r="G1640" s="226"/>
      <c r="H1640" s="226"/>
      <c r="I1640" s="9" t="str">
        <f t="shared" si="25"/>
        <v>__</v>
      </c>
    </row>
    <row r="1641" spans="1:9" x14ac:dyDescent="0.35">
      <c r="A1641" s="226"/>
      <c r="B1641" s="226"/>
      <c r="C1641" s="226"/>
      <c r="D1641" s="226"/>
      <c r="E1641" s="226"/>
      <c r="F1641" s="226"/>
      <c r="G1641" s="226"/>
      <c r="H1641" s="226"/>
      <c r="I1641" s="9" t="str">
        <f t="shared" si="25"/>
        <v>__</v>
      </c>
    </row>
    <row r="1642" spans="1:9" x14ac:dyDescent="0.35">
      <c r="A1642" s="226"/>
      <c r="B1642" s="226"/>
      <c r="C1642" s="226"/>
      <c r="D1642" s="226"/>
      <c r="E1642" s="226"/>
      <c r="F1642" s="226"/>
      <c r="G1642" s="226"/>
      <c r="H1642" s="226"/>
      <c r="I1642" s="9" t="str">
        <f t="shared" si="25"/>
        <v>__</v>
      </c>
    </row>
    <row r="1643" spans="1:9" x14ac:dyDescent="0.35">
      <c r="A1643" s="226"/>
      <c r="B1643" s="226"/>
      <c r="C1643" s="226"/>
      <c r="D1643" s="226"/>
      <c r="E1643" s="226"/>
      <c r="F1643" s="226"/>
      <c r="G1643" s="226"/>
      <c r="H1643" s="226"/>
      <c r="I1643" s="9" t="str">
        <f t="shared" si="25"/>
        <v>__</v>
      </c>
    </row>
    <row r="1644" spans="1:9" x14ac:dyDescent="0.35">
      <c r="A1644" s="226"/>
      <c r="B1644" s="226"/>
      <c r="C1644" s="226"/>
      <c r="D1644" s="226"/>
      <c r="E1644" s="226"/>
      <c r="F1644" s="226"/>
      <c r="G1644" s="226"/>
      <c r="H1644" s="226"/>
      <c r="I1644" s="9" t="str">
        <f t="shared" si="25"/>
        <v>__</v>
      </c>
    </row>
    <row r="1645" spans="1:9" x14ac:dyDescent="0.35">
      <c r="A1645" s="226"/>
      <c r="B1645" s="226"/>
      <c r="C1645" s="226"/>
      <c r="D1645" s="226"/>
      <c r="E1645" s="226"/>
      <c r="F1645" s="226"/>
      <c r="G1645" s="226"/>
      <c r="H1645" s="226"/>
      <c r="I1645" s="9" t="str">
        <f t="shared" si="25"/>
        <v>__</v>
      </c>
    </row>
    <row r="1646" spans="1:9" x14ac:dyDescent="0.35">
      <c r="A1646" s="226"/>
      <c r="B1646" s="226"/>
      <c r="C1646" s="226"/>
      <c r="D1646" s="226"/>
      <c r="E1646" s="226"/>
      <c r="F1646" s="226"/>
      <c r="G1646" s="226"/>
      <c r="H1646" s="226"/>
      <c r="I1646" s="9" t="str">
        <f t="shared" si="25"/>
        <v>__</v>
      </c>
    </row>
    <row r="1647" spans="1:9" x14ac:dyDescent="0.35">
      <c r="A1647" s="226"/>
      <c r="B1647" s="226"/>
      <c r="C1647" s="226"/>
      <c r="D1647" s="226"/>
      <c r="E1647" s="226"/>
      <c r="F1647" s="226"/>
      <c r="G1647" s="226"/>
      <c r="H1647" s="226"/>
      <c r="I1647" s="9" t="str">
        <f t="shared" si="25"/>
        <v>__</v>
      </c>
    </row>
    <row r="1648" spans="1:9" x14ac:dyDescent="0.35">
      <c r="A1648" s="226"/>
      <c r="B1648" s="226"/>
      <c r="C1648" s="226"/>
      <c r="D1648" s="226"/>
      <c r="E1648" s="226"/>
      <c r="F1648" s="226"/>
      <c r="G1648" s="226"/>
      <c r="H1648" s="226"/>
      <c r="I1648" s="9" t="str">
        <f t="shared" si="25"/>
        <v>__</v>
      </c>
    </row>
    <row r="1649" spans="1:9" x14ac:dyDescent="0.35">
      <c r="A1649" s="226"/>
      <c r="B1649" s="226"/>
      <c r="C1649" s="226"/>
      <c r="D1649" s="226"/>
      <c r="E1649" s="226"/>
      <c r="F1649" s="226"/>
      <c r="G1649" s="226"/>
      <c r="H1649" s="226"/>
      <c r="I1649" s="9" t="str">
        <f t="shared" si="25"/>
        <v>__</v>
      </c>
    </row>
    <row r="1650" spans="1:9" x14ac:dyDescent="0.35">
      <c r="A1650" s="226"/>
      <c r="B1650" s="226"/>
      <c r="C1650" s="226"/>
      <c r="D1650" s="226"/>
      <c r="E1650" s="226"/>
      <c r="F1650" s="226"/>
      <c r="G1650" s="226"/>
      <c r="H1650" s="226"/>
      <c r="I1650" s="9" t="str">
        <f t="shared" si="25"/>
        <v>__</v>
      </c>
    </row>
    <row r="1651" spans="1:9" x14ac:dyDescent="0.35">
      <c r="A1651" s="226"/>
      <c r="B1651" s="226"/>
      <c r="C1651" s="226"/>
      <c r="D1651" s="226"/>
      <c r="E1651" s="226"/>
      <c r="F1651" s="226"/>
      <c r="G1651" s="226"/>
      <c r="H1651" s="226"/>
      <c r="I1651" s="9" t="str">
        <f t="shared" si="25"/>
        <v>__</v>
      </c>
    </row>
    <row r="1652" spans="1:9" x14ac:dyDescent="0.35">
      <c r="A1652" s="226"/>
      <c r="B1652" s="226"/>
      <c r="C1652" s="226"/>
      <c r="D1652" s="226"/>
      <c r="E1652" s="226"/>
      <c r="F1652" s="226"/>
      <c r="G1652" s="226"/>
      <c r="H1652" s="226"/>
      <c r="I1652" s="9" t="str">
        <f t="shared" si="25"/>
        <v>__</v>
      </c>
    </row>
    <row r="1653" spans="1:9" x14ac:dyDescent="0.35">
      <c r="A1653" s="226"/>
      <c r="B1653" s="226"/>
      <c r="C1653" s="226"/>
      <c r="D1653" s="226"/>
      <c r="E1653" s="226"/>
      <c r="F1653" s="226"/>
      <c r="G1653" s="226"/>
      <c r="H1653" s="226"/>
      <c r="I1653" s="9" t="str">
        <f t="shared" si="25"/>
        <v>__</v>
      </c>
    </row>
    <row r="1654" spans="1:9" x14ac:dyDescent="0.35">
      <c r="A1654" s="226"/>
      <c r="B1654" s="226"/>
      <c r="C1654" s="226"/>
      <c r="D1654" s="226"/>
      <c r="E1654" s="226"/>
      <c r="F1654" s="226"/>
      <c r="G1654" s="226"/>
      <c r="H1654" s="226"/>
      <c r="I1654" s="9" t="str">
        <f t="shared" si="25"/>
        <v>__</v>
      </c>
    </row>
    <row r="1655" spans="1:9" x14ac:dyDescent="0.35">
      <c r="A1655" s="226"/>
      <c r="B1655" s="226"/>
      <c r="C1655" s="226"/>
      <c r="D1655" s="226"/>
      <c r="E1655" s="226"/>
      <c r="F1655" s="226"/>
      <c r="G1655" s="226"/>
      <c r="H1655" s="226"/>
      <c r="I1655" s="9" t="str">
        <f t="shared" si="25"/>
        <v>__</v>
      </c>
    </row>
    <row r="1656" spans="1:9" x14ac:dyDescent="0.35">
      <c r="A1656" s="226"/>
      <c r="B1656" s="226"/>
      <c r="C1656" s="226"/>
      <c r="D1656" s="226"/>
      <c r="E1656" s="226"/>
      <c r="F1656" s="226"/>
      <c r="G1656" s="226"/>
      <c r="H1656" s="226"/>
      <c r="I1656" s="9" t="str">
        <f t="shared" si="25"/>
        <v>__</v>
      </c>
    </row>
    <row r="1657" spans="1:9" x14ac:dyDescent="0.35">
      <c r="A1657" s="226"/>
      <c r="B1657" s="226"/>
      <c r="C1657" s="226"/>
      <c r="D1657" s="226"/>
      <c r="E1657" s="226"/>
      <c r="F1657" s="226"/>
      <c r="G1657" s="226"/>
      <c r="H1657" s="226"/>
      <c r="I1657" s="9" t="str">
        <f t="shared" si="25"/>
        <v>__</v>
      </c>
    </row>
    <row r="1658" spans="1:9" x14ac:dyDescent="0.35">
      <c r="A1658" s="226"/>
      <c r="B1658" s="226"/>
      <c r="C1658" s="226"/>
      <c r="D1658" s="226"/>
      <c r="E1658" s="226"/>
      <c r="F1658" s="226"/>
      <c r="G1658" s="226"/>
      <c r="H1658" s="226"/>
      <c r="I1658" s="9" t="str">
        <f t="shared" si="25"/>
        <v>__</v>
      </c>
    </row>
    <row r="1659" spans="1:9" x14ac:dyDescent="0.35">
      <c r="A1659" s="226"/>
      <c r="B1659" s="226"/>
      <c r="C1659" s="226"/>
      <c r="D1659" s="226"/>
      <c r="E1659" s="226"/>
      <c r="F1659" s="226"/>
      <c r="G1659" s="226"/>
      <c r="H1659" s="226"/>
      <c r="I1659" s="9" t="str">
        <f t="shared" si="25"/>
        <v>__</v>
      </c>
    </row>
    <row r="1660" spans="1:9" x14ac:dyDescent="0.35">
      <c r="A1660" s="226"/>
      <c r="B1660" s="226"/>
      <c r="C1660" s="226"/>
      <c r="D1660" s="226"/>
      <c r="E1660" s="226"/>
      <c r="F1660" s="226"/>
      <c r="G1660" s="226"/>
      <c r="H1660" s="226"/>
      <c r="I1660" s="9" t="str">
        <f t="shared" si="25"/>
        <v>__</v>
      </c>
    </row>
    <row r="1661" spans="1:9" x14ac:dyDescent="0.35">
      <c r="A1661" s="226"/>
      <c r="B1661" s="226"/>
      <c r="C1661" s="226"/>
      <c r="D1661" s="226"/>
      <c r="E1661" s="226"/>
      <c r="F1661" s="226"/>
      <c r="G1661" s="226"/>
      <c r="H1661" s="226"/>
      <c r="I1661" s="9" t="str">
        <f t="shared" si="25"/>
        <v>__</v>
      </c>
    </row>
    <row r="1662" spans="1:9" x14ac:dyDescent="0.35">
      <c r="A1662" s="226"/>
      <c r="B1662" s="226"/>
      <c r="C1662" s="226"/>
      <c r="D1662" s="226"/>
      <c r="E1662" s="226"/>
      <c r="F1662" s="226"/>
      <c r="G1662" s="226"/>
      <c r="H1662" s="226"/>
      <c r="I1662" s="9" t="str">
        <f t="shared" si="25"/>
        <v>__</v>
      </c>
    </row>
    <row r="1663" spans="1:9" x14ac:dyDescent="0.35">
      <c r="A1663" s="226"/>
      <c r="B1663" s="226"/>
      <c r="C1663" s="226"/>
      <c r="D1663" s="226"/>
      <c r="E1663" s="226"/>
      <c r="F1663" s="226"/>
      <c r="G1663" s="226"/>
      <c r="H1663" s="226"/>
      <c r="I1663" s="9" t="str">
        <f t="shared" si="25"/>
        <v>__</v>
      </c>
    </row>
    <row r="1664" spans="1:9" x14ac:dyDescent="0.35">
      <c r="A1664" s="226"/>
      <c r="B1664" s="226"/>
      <c r="C1664" s="226"/>
      <c r="D1664" s="226"/>
      <c r="E1664" s="226"/>
      <c r="F1664" s="226"/>
      <c r="G1664" s="226"/>
      <c r="H1664" s="226"/>
      <c r="I1664" s="9" t="str">
        <f t="shared" si="25"/>
        <v>__</v>
      </c>
    </row>
    <row r="1665" spans="1:9" x14ac:dyDescent="0.35">
      <c r="A1665" s="226"/>
      <c r="B1665" s="226"/>
      <c r="C1665" s="226"/>
      <c r="D1665" s="226"/>
      <c r="E1665" s="226"/>
      <c r="F1665" s="226"/>
      <c r="G1665" s="226"/>
      <c r="H1665" s="226"/>
      <c r="I1665" s="9" t="str">
        <f t="shared" si="25"/>
        <v>__</v>
      </c>
    </row>
    <row r="1666" spans="1:9" x14ac:dyDescent="0.35">
      <c r="A1666" s="226"/>
      <c r="B1666" s="226"/>
      <c r="C1666" s="226"/>
      <c r="D1666" s="226"/>
      <c r="E1666" s="226"/>
      <c r="F1666" s="226"/>
      <c r="G1666" s="226"/>
      <c r="H1666" s="226"/>
      <c r="I1666" s="9" t="str">
        <f t="shared" si="25"/>
        <v>__</v>
      </c>
    </row>
    <row r="1667" spans="1:9" x14ac:dyDescent="0.35">
      <c r="A1667" s="226"/>
      <c r="B1667" s="226"/>
      <c r="C1667" s="226"/>
      <c r="D1667" s="226"/>
      <c r="E1667" s="226"/>
      <c r="F1667" s="226"/>
      <c r="G1667" s="226"/>
      <c r="H1667" s="226"/>
      <c r="I1667" s="9" t="str">
        <f t="shared" si="25"/>
        <v>__</v>
      </c>
    </row>
    <row r="1668" spans="1:9" x14ac:dyDescent="0.35">
      <c r="A1668" s="226"/>
      <c r="B1668" s="226"/>
      <c r="C1668" s="226"/>
      <c r="D1668" s="226"/>
      <c r="E1668" s="226"/>
      <c r="F1668" s="226"/>
      <c r="G1668" s="226"/>
      <c r="H1668" s="226"/>
      <c r="I1668" s="9" t="str">
        <f t="shared" si="25"/>
        <v>__</v>
      </c>
    </row>
    <row r="1669" spans="1:9" x14ac:dyDescent="0.35">
      <c r="A1669" s="226"/>
      <c r="B1669" s="226"/>
      <c r="C1669" s="226"/>
      <c r="D1669" s="226"/>
      <c r="E1669" s="226"/>
      <c r="F1669" s="226"/>
      <c r="G1669" s="226"/>
      <c r="H1669" s="226"/>
      <c r="I1669" s="9" t="str">
        <f t="shared" ref="I1669:I1732" si="26">CONCATENATE(A1669,"_",B1669,"_",C1669)</f>
        <v>__</v>
      </c>
    </row>
    <row r="1670" spans="1:9" x14ac:dyDescent="0.35">
      <c r="A1670" s="226"/>
      <c r="B1670" s="226"/>
      <c r="C1670" s="226"/>
      <c r="D1670" s="226"/>
      <c r="E1670" s="226"/>
      <c r="F1670" s="226"/>
      <c r="G1670" s="226"/>
      <c r="H1670" s="226"/>
      <c r="I1670" s="9" t="str">
        <f t="shared" si="26"/>
        <v>__</v>
      </c>
    </row>
    <row r="1671" spans="1:9" x14ac:dyDescent="0.35">
      <c r="A1671" s="226"/>
      <c r="B1671" s="226"/>
      <c r="C1671" s="226"/>
      <c r="D1671" s="226"/>
      <c r="E1671" s="226"/>
      <c r="F1671" s="226"/>
      <c r="G1671" s="226"/>
      <c r="H1671" s="226"/>
      <c r="I1671" s="9" t="str">
        <f t="shared" si="26"/>
        <v>__</v>
      </c>
    </row>
    <row r="1672" spans="1:9" x14ac:dyDescent="0.35">
      <c r="A1672" s="226"/>
      <c r="B1672" s="226"/>
      <c r="C1672" s="226"/>
      <c r="D1672" s="226"/>
      <c r="E1672" s="226"/>
      <c r="F1672" s="226"/>
      <c r="G1672" s="226"/>
      <c r="H1672" s="226"/>
      <c r="I1672" s="9" t="str">
        <f t="shared" si="26"/>
        <v>__</v>
      </c>
    </row>
    <row r="1673" spans="1:9" x14ac:dyDescent="0.35">
      <c r="A1673" s="226"/>
      <c r="B1673" s="226"/>
      <c r="C1673" s="226"/>
      <c r="D1673" s="226"/>
      <c r="E1673" s="226"/>
      <c r="F1673" s="226"/>
      <c r="G1673" s="226"/>
      <c r="H1673" s="226"/>
      <c r="I1673" s="9" t="str">
        <f t="shared" si="26"/>
        <v>__</v>
      </c>
    </row>
    <row r="1674" spans="1:9" x14ac:dyDescent="0.35">
      <c r="A1674" s="226"/>
      <c r="B1674" s="226"/>
      <c r="C1674" s="226"/>
      <c r="D1674" s="226"/>
      <c r="E1674" s="226"/>
      <c r="F1674" s="226"/>
      <c r="G1674" s="226"/>
      <c r="H1674" s="226"/>
      <c r="I1674" s="9" t="str">
        <f t="shared" si="26"/>
        <v>__</v>
      </c>
    </row>
    <row r="1675" spans="1:9" x14ac:dyDescent="0.35">
      <c r="A1675" s="226"/>
      <c r="B1675" s="226"/>
      <c r="C1675" s="226"/>
      <c r="D1675" s="226"/>
      <c r="E1675" s="226"/>
      <c r="F1675" s="226"/>
      <c r="G1675" s="226"/>
      <c r="H1675" s="226"/>
      <c r="I1675" s="9" t="str">
        <f t="shared" si="26"/>
        <v>__</v>
      </c>
    </row>
    <row r="1676" spans="1:9" x14ac:dyDescent="0.35">
      <c r="A1676" s="226"/>
      <c r="B1676" s="226"/>
      <c r="C1676" s="226"/>
      <c r="D1676" s="226"/>
      <c r="E1676" s="226"/>
      <c r="F1676" s="226"/>
      <c r="G1676" s="226"/>
      <c r="H1676" s="226"/>
      <c r="I1676" s="9" t="str">
        <f t="shared" si="26"/>
        <v>__</v>
      </c>
    </row>
    <row r="1677" spans="1:9" x14ac:dyDescent="0.35">
      <c r="A1677" s="226"/>
      <c r="B1677" s="226"/>
      <c r="C1677" s="226"/>
      <c r="D1677" s="226"/>
      <c r="E1677" s="226"/>
      <c r="F1677" s="226"/>
      <c r="G1677" s="226"/>
      <c r="H1677" s="226"/>
      <c r="I1677" s="9" t="str">
        <f t="shared" si="26"/>
        <v>__</v>
      </c>
    </row>
    <row r="1678" spans="1:9" x14ac:dyDescent="0.35">
      <c r="A1678" s="226"/>
      <c r="B1678" s="226"/>
      <c r="C1678" s="226"/>
      <c r="D1678" s="226"/>
      <c r="E1678" s="226"/>
      <c r="F1678" s="226"/>
      <c r="G1678" s="226"/>
      <c r="H1678" s="226"/>
      <c r="I1678" s="9" t="str">
        <f t="shared" si="26"/>
        <v>__</v>
      </c>
    </row>
    <row r="1679" spans="1:9" x14ac:dyDescent="0.35">
      <c r="A1679" s="226"/>
      <c r="B1679" s="226"/>
      <c r="C1679" s="226"/>
      <c r="D1679" s="226"/>
      <c r="E1679" s="226"/>
      <c r="F1679" s="226"/>
      <c r="G1679" s="226"/>
      <c r="H1679" s="226"/>
      <c r="I1679" s="9" t="str">
        <f t="shared" si="26"/>
        <v>__</v>
      </c>
    </row>
    <row r="1680" spans="1:9" x14ac:dyDescent="0.35">
      <c r="A1680" s="226"/>
      <c r="B1680" s="226"/>
      <c r="C1680" s="226"/>
      <c r="D1680" s="226"/>
      <c r="E1680" s="226"/>
      <c r="F1680" s="226"/>
      <c r="G1680" s="226"/>
      <c r="H1680" s="226"/>
      <c r="I1680" s="9" t="str">
        <f t="shared" si="26"/>
        <v>__</v>
      </c>
    </row>
    <row r="1681" spans="1:9" x14ac:dyDescent="0.35">
      <c r="A1681" s="226"/>
      <c r="B1681" s="226"/>
      <c r="C1681" s="226"/>
      <c r="D1681" s="226"/>
      <c r="E1681" s="226"/>
      <c r="F1681" s="226"/>
      <c r="G1681" s="226"/>
      <c r="H1681" s="226"/>
      <c r="I1681" s="9" t="str">
        <f t="shared" si="26"/>
        <v>__</v>
      </c>
    </row>
    <row r="1682" spans="1:9" x14ac:dyDescent="0.35">
      <c r="A1682" s="226"/>
      <c r="B1682" s="226"/>
      <c r="C1682" s="226"/>
      <c r="D1682" s="226"/>
      <c r="E1682" s="226"/>
      <c r="F1682" s="226"/>
      <c r="G1682" s="226"/>
      <c r="H1682" s="226"/>
      <c r="I1682" s="9" t="str">
        <f t="shared" si="26"/>
        <v>__</v>
      </c>
    </row>
    <row r="1683" spans="1:9" x14ac:dyDescent="0.35">
      <c r="A1683" s="226"/>
      <c r="B1683" s="226"/>
      <c r="C1683" s="226"/>
      <c r="D1683" s="226"/>
      <c r="E1683" s="226"/>
      <c r="F1683" s="226"/>
      <c r="G1683" s="226"/>
      <c r="H1683" s="226"/>
      <c r="I1683" s="9" t="str">
        <f t="shared" si="26"/>
        <v>__</v>
      </c>
    </row>
    <row r="1684" spans="1:9" x14ac:dyDescent="0.35">
      <c r="A1684" s="226"/>
      <c r="B1684" s="226"/>
      <c r="C1684" s="226"/>
      <c r="D1684" s="226"/>
      <c r="E1684" s="226"/>
      <c r="F1684" s="226"/>
      <c r="G1684" s="226"/>
      <c r="H1684" s="226"/>
      <c r="I1684" s="9" t="str">
        <f t="shared" si="26"/>
        <v>__</v>
      </c>
    </row>
    <row r="1685" spans="1:9" x14ac:dyDescent="0.35">
      <c r="A1685" s="226"/>
      <c r="B1685" s="226"/>
      <c r="C1685" s="226"/>
      <c r="D1685" s="226"/>
      <c r="E1685" s="226"/>
      <c r="F1685" s="226"/>
      <c r="G1685" s="226"/>
      <c r="H1685" s="226"/>
      <c r="I1685" s="9" t="str">
        <f t="shared" si="26"/>
        <v>__</v>
      </c>
    </row>
    <row r="1686" spans="1:9" x14ac:dyDescent="0.35">
      <c r="A1686" s="226"/>
      <c r="B1686" s="226"/>
      <c r="C1686" s="226"/>
      <c r="D1686" s="226"/>
      <c r="E1686" s="226"/>
      <c r="F1686" s="226"/>
      <c r="G1686" s="226"/>
      <c r="H1686" s="226"/>
      <c r="I1686" s="9" t="str">
        <f t="shared" si="26"/>
        <v>__</v>
      </c>
    </row>
    <row r="1687" spans="1:9" x14ac:dyDescent="0.35">
      <c r="A1687" s="226"/>
      <c r="B1687" s="226"/>
      <c r="C1687" s="226"/>
      <c r="D1687" s="226"/>
      <c r="E1687" s="226"/>
      <c r="F1687" s="226"/>
      <c r="G1687" s="226"/>
      <c r="H1687" s="226"/>
      <c r="I1687" s="9" t="str">
        <f t="shared" si="26"/>
        <v>__</v>
      </c>
    </row>
    <row r="1688" spans="1:9" x14ac:dyDescent="0.35">
      <c r="A1688" s="226"/>
      <c r="B1688" s="226"/>
      <c r="C1688" s="226"/>
      <c r="D1688" s="226"/>
      <c r="E1688" s="226"/>
      <c r="F1688" s="226"/>
      <c r="G1688" s="226"/>
      <c r="H1688" s="226"/>
      <c r="I1688" s="9" t="str">
        <f t="shared" si="26"/>
        <v>__</v>
      </c>
    </row>
    <row r="1689" spans="1:9" x14ac:dyDescent="0.35">
      <c r="A1689" s="226"/>
      <c r="B1689" s="226"/>
      <c r="C1689" s="226"/>
      <c r="D1689" s="226"/>
      <c r="E1689" s="226"/>
      <c r="F1689" s="226"/>
      <c r="G1689" s="226"/>
      <c r="H1689" s="226"/>
      <c r="I1689" s="9" t="str">
        <f t="shared" si="26"/>
        <v>__</v>
      </c>
    </row>
    <row r="1690" spans="1:9" x14ac:dyDescent="0.35">
      <c r="A1690" s="226"/>
      <c r="B1690" s="226"/>
      <c r="C1690" s="226"/>
      <c r="D1690" s="226"/>
      <c r="E1690" s="226"/>
      <c r="F1690" s="226"/>
      <c r="G1690" s="226"/>
      <c r="H1690" s="226"/>
      <c r="I1690" s="9" t="str">
        <f t="shared" si="26"/>
        <v>__</v>
      </c>
    </row>
    <row r="1691" spans="1:9" x14ac:dyDescent="0.35">
      <c r="A1691" s="226"/>
      <c r="B1691" s="226"/>
      <c r="C1691" s="226"/>
      <c r="D1691" s="226"/>
      <c r="E1691" s="226"/>
      <c r="F1691" s="226"/>
      <c r="G1691" s="226"/>
      <c r="H1691" s="226"/>
      <c r="I1691" s="9" t="str">
        <f t="shared" si="26"/>
        <v>__</v>
      </c>
    </row>
    <row r="1692" spans="1:9" x14ac:dyDescent="0.35">
      <c r="A1692" s="226"/>
      <c r="B1692" s="226"/>
      <c r="C1692" s="226"/>
      <c r="D1692" s="226"/>
      <c r="E1692" s="226"/>
      <c r="F1692" s="226"/>
      <c r="G1692" s="226"/>
      <c r="H1692" s="226"/>
      <c r="I1692" s="9" t="str">
        <f t="shared" si="26"/>
        <v>__</v>
      </c>
    </row>
    <row r="1693" spans="1:9" x14ac:dyDescent="0.35">
      <c r="A1693" s="226"/>
      <c r="B1693" s="226"/>
      <c r="C1693" s="226"/>
      <c r="D1693" s="226"/>
      <c r="E1693" s="226"/>
      <c r="F1693" s="226"/>
      <c r="G1693" s="226"/>
      <c r="H1693" s="226"/>
      <c r="I1693" s="9" t="str">
        <f t="shared" si="26"/>
        <v>__</v>
      </c>
    </row>
    <row r="1694" spans="1:9" x14ac:dyDescent="0.35">
      <c r="A1694" s="226"/>
      <c r="B1694" s="226"/>
      <c r="C1694" s="226"/>
      <c r="D1694" s="226"/>
      <c r="E1694" s="226"/>
      <c r="F1694" s="226"/>
      <c r="G1694" s="226"/>
      <c r="H1694" s="226"/>
      <c r="I1694" s="9" t="str">
        <f t="shared" si="26"/>
        <v>__</v>
      </c>
    </row>
    <row r="1695" spans="1:9" x14ac:dyDescent="0.35">
      <c r="A1695" s="226"/>
      <c r="B1695" s="226"/>
      <c r="C1695" s="226"/>
      <c r="D1695" s="226"/>
      <c r="E1695" s="226"/>
      <c r="F1695" s="226"/>
      <c r="G1695" s="226"/>
      <c r="H1695" s="226"/>
      <c r="I1695" s="9" t="str">
        <f t="shared" si="26"/>
        <v>__</v>
      </c>
    </row>
    <row r="1696" spans="1:9" x14ac:dyDescent="0.35">
      <c r="A1696" s="226"/>
      <c r="B1696" s="226"/>
      <c r="C1696" s="226"/>
      <c r="D1696" s="226"/>
      <c r="E1696" s="226"/>
      <c r="F1696" s="226"/>
      <c r="G1696" s="226"/>
      <c r="H1696" s="226"/>
      <c r="I1696" s="9" t="str">
        <f t="shared" si="26"/>
        <v>__</v>
      </c>
    </row>
    <row r="1697" spans="1:9" x14ac:dyDescent="0.35">
      <c r="A1697" s="226"/>
      <c r="B1697" s="226"/>
      <c r="C1697" s="226"/>
      <c r="D1697" s="226"/>
      <c r="E1697" s="226"/>
      <c r="F1697" s="226"/>
      <c r="G1697" s="226"/>
      <c r="H1697" s="226"/>
      <c r="I1697" s="9" t="str">
        <f t="shared" si="26"/>
        <v>__</v>
      </c>
    </row>
    <row r="1698" spans="1:9" x14ac:dyDescent="0.35">
      <c r="A1698" s="226"/>
      <c r="B1698" s="226"/>
      <c r="C1698" s="226"/>
      <c r="D1698" s="226"/>
      <c r="E1698" s="226"/>
      <c r="F1698" s="226"/>
      <c r="G1698" s="226"/>
      <c r="H1698" s="226"/>
      <c r="I1698" s="9" t="str">
        <f t="shared" si="26"/>
        <v>__</v>
      </c>
    </row>
    <row r="1699" spans="1:9" x14ac:dyDescent="0.35">
      <c r="A1699" s="226"/>
      <c r="B1699" s="226"/>
      <c r="C1699" s="226"/>
      <c r="D1699" s="226"/>
      <c r="E1699" s="226"/>
      <c r="F1699" s="226"/>
      <c r="G1699" s="226"/>
      <c r="H1699" s="226"/>
      <c r="I1699" s="9" t="str">
        <f t="shared" si="26"/>
        <v>__</v>
      </c>
    </row>
    <row r="1700" spans="1:9" x14ac:dyDescent="0.35">
      <c r="A1700" s="226"/>
      <c r="B1700" s="226"/>
      <c r="C1700" s="226"/>
      <c r="D1700" s="226"/>
      <c r="E1700" s="226"/>
      <c r="F1700" s="226"/>
      <c r="G1700" s="226"/>
      <c r="H1700" s="226"/>
      <c r="I1700" s="9" t="str">
        <f t="shared" si="26"/>
        <v>__</v>
      </c>
    </row>
    <row r="1701" spans="1:9" x14ac:dyDescent="0.35">
      <c r="A1701" s="226"/>
      <c r="B1701" s="226"/>
      <c r="C1701" s="226"/>
      <c r="D1701" s="226"/>
      <c r="E1701" s="226"/>
      <c r="F1701" s="226"/>
      <c r="G1701" s="226"/>
      <c r="H1701" s="226"/>
      <c r="I1701" s="9" t="str">
        <f t="shared" si="26"/>
        <v>__</v>
      </c>
    </row>
    <row r="1702" spans="1:9" x14ac:dyDescent="0.35">
      <c r="A1702" s="226"/>
      <c r="B1702" s="226"/>
      <c r="C1702" s="226"/>
      <c r="D1702" s="226"/>
      <c r="E1702" s="226"/>
      <c r="F1702" s="226"/>
      <c r="G1702" s="226"/>
      <c r="H1702" s="226"/>
      <c r="I1702" s="9" t="str">
        <f t="shared" si="26"/>
        <v>__</v>
      </c>
    </row>
    <row r="1703" spans="1:9" x14ac:dyDescent="0.35">
      <c r="A1703" s="226"/>
      <c r="B1703" s="226"/>
      <c r="C1703" s="226"/>
      <c r="D1703" s="226"/>
      <c r="E1703" s="226"/>
      <c r="F1703" s="226"/>
      <c r="G1703" s="226"/>
      <c r="H1703" s="226"/>
      <c r="I1703" s="9" t="str">
        <f t="shared" si="26"/>
        <v>__</v>
      </c>
    </row>
    <row r="1704" spans="1:9" x14ac:dyDescent="0.35">
      <c r="A1704" s="226"/>
      <c r="B1704" s="226"/>
      <c r="C1704" s="226"/>
      <c r="D1704" s="226"/>
      <c r="E1704" s="226"/>
      <c r="F1704" s="226"/>
      <c r="G1704" s="226"/>
      <c r="H1704" s="226"/>
      <c r="I1704" s="9" t="str">
        <f t="shared" si="26"/>
        <v>__</v>
      </c>
    </row>
    <row r="1705" spans="1:9" x14ac:dyDescent="0.35">
      <c r="A1705" s="226"/>
      <c r="B1705" s="226"/>
      <c r="C1705" s="226"/>
      <c r="D1705" s="226"/>
      <c r="E1705" s="226"/>
      <c r="F1705" s="226"/>
      <c r="G1705" s="226"/>
      <c r="H1705" s="226"/>
      <c r="I1705" s="9" t="str">
        <f t="shared" si="26"/>
        <v>__</v>
      </c>
    </row>
    <row r="1706" spans="1:9" x14ac:dyDescent="0.35">
      <c r="A1706" s="226"/>
      <c r="B1706" s="226"/>
      <c r="C1706" s="226"/>
      <c r="D1706" s="226"/>
      <c r="E1706" s="226"/>
      <c r="F1706" s="226"/>
      <c r="G1706" s="226"/>
      <c r="H1706" s="226"/>
      <c r="I1706" s="9" t="str">
        <f t="shared" si="26"/>
        <v>__</v>
      </c>
    </row>
    <row r="1707" spans="1:9" x14ac:dyDescent="0.35">
      <c r="A1707" s="226"/>
      <c r="B1707" s="226"/>
      <c r="C1707" s="226"/>
      <c r="D1707" s="226"/>
      <c r="E1707" s="226"/>
      <c r="F1707" s="226"/>
      <c r="G1707" s="226"/>
      <c r="H1707" s="226"/>
      <c r="I1707" s="9" t="str">
        <f t="shared" si="26"/>
        <v>__</v>
      </c>
    </row>
    <row r="1708" spans="1:9" x14ac:dyDescent="0.35">
      <c r="A1708" s="226"/>
      <c r="B1708" s="226"/>
      <c r="C1708" s="226"/>
      <c r="D1708" s="226"/>
      <c r="E1708" s="226"/>
      <c r="F1708" s="226"/>
      <c r="G1708" s="226"/>
      <c r="H1708" s="226"/>
      <c r="I1708" s="9" t="str">
        <f t="shared" si="26"/>
        <v>__</v>
      </c>
    </row>
    <row r="1709" spans="1:9" x14ac:dyDescent="0.35">
      <c r="A1709" s="226"/>
      <c r="B1709" s="226"/>
      <c r="C1709" s="226"/>
      <c r="D1709" s="226"/>
      <c r="E1709" s="226"/>
      <c r="F1709" s="226"/>
      <c r="G1709" s="226"/>
      <c r="H1709" s="226"/>
      <c r="I1709" s="9" t="str">
        <f t="shared" si="26"/>
        <v>__</v>
      </c>
    </row>
    <row r="1710" spans="1:9" x14ac:dyDescent="0.35">
      <c r="A1710" s="226"/>
      <c r="B1710" s="226"/>
      <c r="C1710" s="226"/>
      <c r="D1710" s="226"/>
      <c r="E1710" s="226"/>
      <c r="F1710" s="226"/>
      <c r="G1710" s="226"/>
      <c r="H1710" s="226"/>
      <c r="I1710" s="9" t="str">
        <f t="shared" si="26"/>
        <v>__</v>
      </c>
    </row>
    <row r="1711" spans="1:9" x14ac:dyDescent="0.35">
      <c r="A1711" s="226"/>
      <c r="B1711" s="226"/>
      <c r="C1711" s="226"/>
      <c r="D1711" s="226"/>
      <c r="E1711" s="226"/>
      <c r="F1711" s="226"/>
      <c r="G1711" s="226"/>
      <c r="H1711" s="226"/>
      <c r="I1711" s="9" t="str">
        <f t="shared" si="26"/>
        <v>__</v>
      </c>
    </row>
    <row r="1712" spans="1:9" x14ac:dyDescent="0.35">
      <c r="A1712" s="226"/>
      <c r="B1712" s="226"/>
      <c r="C1712" s="226"/>
      <c r="D1712" s="226"/>
      <c r="E1712" s="226"/>
      <c r="F1712" s="226"/>
      <c r="G1712" s="226"/>
      <c r="H1712" s="226"/>
      <c r="I1712" s="9" t="str">
        <f t="shared" si="26"/>
        <v>__</v>
      </c>
    </row>
    <row r="1713" spans="1:9" x14ac:dyDescent="0.35">
      <c r="A1713" s="226"/>
      <c r="B1713" s="226"/>
      <c r="C1713" s="226"/>
      <c r="D1713" s="226"/>
      <c r="E1713" s="226"/>
      <c r="F1713" s="226"/>
      <c r="G1713" s="226"/>
      <c r="H1713" s="226"/>
      <c r="I1713" s="9" t="str">
        <f t="shared" si="26"/>
        <v>__</v>
      </c>
    </row>
    <row r="1714" spans="1:9" x14ac:dyDescent="0.35">
      <c r="A1714" s="226"/>
      <c r="B1714" s="226"/>
      <c r="C1714" s="226"/>
      <c r="D1714" s="226"/>
      <c r="E1714" s="226"/>
      <c r="F1714" s="226"/>
      <c r="G1714" s="226"/>
      <c r="H1714" s="226"/>
      <c r="I1714" s="9" t="str">
        <f t="shared" si="26"/>
        <v>__</v>
      </c>
    </row>
    <row r="1715" spans="1:9" x14ac:dyDescent="0.35">
      <c r="A1715" s="226"/>
      <c r="B1715" s="226"/>
      <c r="C1715" s="226"/>
      <c r="D1715" s="226"/>
      <c r="E1715" s="226"/>
      <c r="F1715" s="226"/>
      <c r="G1715" s="226"/>
      <c r="H1715" s="226"/>
      <c r="I1715" s="9" t="str">
        <f t="shared" si="26"/>
        <v>__</v>
      </c>
    </row>
    <row r="1716" spans="1:9" x14ac:dyDescent="0.35">
      <c r="A1716" s="226"/>
      <c r="B1716" s="226"/>
      <c r="C1716" s="226"/>
      <c r="D1716" s="226"/>
      <c r="E1716" s="226"/>
      <c r="F1716" s="226"/>
      <c r="G1716" s="226"/>
      <c r="H1716" s="226"/>
      <c r="I1716" s="9" t="str">
        <f t="shared" si="26"/>
        <v>__</v>
      </c>
    </row>
    <row r="1717" spans="1:9" x14ac:dyDescent="0.35">
      <c r="A1717" s="226"/>
      <c r="B1717" s="226"/>
      <c r="C1717" s="226"/>
      <c r="D1717" s="226"/>
      <c r="E1717" s="226"/>
      <c r="F1717" s="226"/>
      <c r="G1717" s="226"/>
      <c r="H1717" s="226"/>
      <c r="I1717" s="9" t="str">
        <f t="shared" si="26"/>
        <v>__</v>
      </c>
    </row>
    <row r="1718" spans="1:9" x14ac:dyDescent="0.35">
      <c r="A1718" s="226"/>
      <c r="B1718" s="226"/>
      <c r="C1718" s="226"/>
      <c r="D1718" s="226"/>
      <c r="E1718" s="226"/>
      <c r="F1718" s="226"/>
      <c r="G1718" s="226"/>
      <c r="H1718" s="226"/>
      <c r="I1718" s="9" t="str">
        <f t="shared" si="26"/>
        <v>__</v>
      </c>
    </row>
    <row r="1719" spans="1:9" x14ac:dyDescent="0.35">
      <c r="A1719" s="226"/>
      <c r="B1719" s="226"/>
      <c r="C1719" s="226"/>
      <c r="D1719" s="226"/>
      <c r="E1719" s="226"/>
      <c r="F1719" s="226"/>
      <c r="G1719" s="226"/>
      <c r="H1719" s="226"/>
      <c r="I1719" s="9" t="str">
        <f t="shared" si="26"/>
        <v>__</v>
      </c>
    </row>
    <row r="1720" spans="1:9" x14ac:dyDescent="0.35">
      <c r="A1720" s="226"/>
      <c r="B1720" s="226"/>
      <c r="C1720" s="226"/>
      <c r="D1720" s="226"/>
      <c r="E1720" s="226"/>
      <c r="F1720" s="226"/>
      <c r="G1720" s="226"/>
      <c r="H1720" s="226"/>
      <c r="I1720" s="9" t="str">
        <f t="shared" si="26"/>
        <v>__</v>
      </c>
    </row>
    <row r="1721" spans="1:9" x14ac:dyDescent="0.35">
      <c r="A1721" s="226"/>
      <c r="B1721" s="226"/>
      <c r="C1721" s="226"/>
      <c r="D1721" s="226"/>
      <c r="E1721" s="226"/>
      <c r="F1721" s="226"/>
      <c r="G1721" s="226"/>
      <c r="H1721" s="226"/>
      <c r="I1721" s="9" t="str">
        <f t="shared" si="26"/>
        <v>__</v>
      </c>
    </row>
    <row r="1722" spans="1:9" x14ac:dyDescent="0.35">
      <c r="A1722" s="226"/>
      <c r="B1722" s="226"/>
      <c r="C1722" s="226"/>
      <c r="D1722" s="226"/>
      <c r="E1722" s="226"/>
      <c r="F1722" s="226"/>
      <c r="G1722" s="226"/>
      <c r="H1722" s="226"/>
      <c r="I1722" s="9" t="str">
        <f t="shared" si="26"/>
        <v>__</v>
      </c>
    </row>
    <row r="1723" spans="1:9" x14ac:dyDescent="0.35">
      <c r="A1723" s="226"/>
      <c r="B1723" s="226"/>
      <c r="C1723" s="226"/>
      <c r="D1723" s="226"/>
      <c r="E1723" s="226"/>
      <c r="F1723" s="226"/>
      <c r="G1723" s="226"/>
      <c r="H1723" s="226"/>
      <c r="I1723" s="9" t="str">
        <f t="shared" si="26"/>
        <v>__</v>
      </c>
    </row>
    <row r="1724" spans="1:9" x14ac:dyDescent="0.35">
      <c r="A1724" s="226"/>
      <c r="B1724" s="226"/>
      <c r="C1724" s="226"/>
      <c r="D1724" s="226"/>
      <c r="E1724" s="226"/>
      <c r="F1724" s="226"/>
      <c r="G1724" s="226"/>
      <c r="H1724" s="226"/>
      <c r="I1724" s="9" t="str">
        <f t="shared" si="26"/>
        <v>__</v>
      </c>
    </row>
    <row r="1725" spans="1:9" x14ac:dyDescent="0.35">
      <c r="A1725" s="226"/>
      <c r="B1725" s="226"/>
      <c r="C1725" s="226"/>
      <c r="D1725" s="226"/>
      <c r="E1725" s="226"/>
      <c r="F1725" s="226"/>
      <c r="G1725" s="226"/>
      <c r="H1725" s="226"/>
      <c r="I1725" s="9" t="str">
        <f t="shared" si="26"/>
        <v>__</v>
      </c>
    </row>
    <row r="1726" spans="1:9" x14ac:dyDescent="0.35">
      <c r="A1726" s="226"/>
      <c r="B1726" s="226"/>
      <c r="C1726" s="226"/>
      <c r="D1726" s="226"/>
      <c r="E1726" s="226"/>
      <c r="F1726" s="226"/>
      <c r="G1726" s="226"/>
      <c r="H1726" s="226"/>
      <c r="I1726" s="9" t="str">
        <f t="shared" si="26"/>
        <v>__</v>
      </c>
    </row>
    <row r="1727" spans="1:9" x14ac:dyDescent="0.35">
      <c r="A1727" s="226"/>
      <c r="B1727" s="226"/>
      <c r="C1727" s="226"/>
      <c r="D1727" s="226"/>
      <c r="E1727" s="226"/>
      <c r="F1727" s="226"/>
      <c r="G1727" s="226"/>
      <c r="H1727" s="226"/>
      <c r="I1727" s="9" t="str">
        <f t="shared" si="26"/>
        <v>__</v>
      </c>
    </row>
    <row r="1728" spans="1:9" x14ac:dyDescent="0.35">
      <c r="A1728" s="226"/>
      <c r="B1728" s="226"/>
      <c r="C1728" s="226"/>
      <c r="D1728" s="226"/>
      <c r="E1728" s="226"/>
      <c r="F1728" s="226"/>
      <c r="G1728" s="226"/>
      <c r="H1728" s="226"/>
      <c r="I1728" s="9" t="str">
        <f t="shared" si="26"/>
        <v>__</v>
      </c>
    </row>
    <row r="1729" spans="1:9" x14ac:dyDescent="0.35">
      <c r="A1729" s="226"/>
      <c r="B1729" s="226"/>
      <c r="C1729" s="226"/>
      <c r="D1729" s="226"/>
      <c r="E1729" s="226"/>
      <c r="F1729" s="226"/>
      <c r="G1729" s="226"/>
      <c r="H1729" s="226"/>
      <c r="I1729" s="9" t="str">
        <f t="shared" si="26"/>
        <v>__</v>
      </c>
    </row>
    <row r="1730" spans="1:9" x14ac:dyDescent="0.35">
      <c r="A1730" s="226"/>
      <c r="B1730" s="226"/>
      <c r="C1730" s="226"/>
      <c r="D1730" s="226"/>
      <c r="E1730" s="226"/>
      <c r="F1730" s="226"/>
      <c r="G1730" s="226"/>
      <c r="H1730" s="226"/>
      <c r="I1730" s="9" t="str">
        <f t="shared" si="26"/>
        <v>__</v>
      </c>
    </row>
    <row r="1731" spans="1:9" x14ac:dyDescent="0.35">
      <c r="A1731" s="226"/>
      <c r="B1731" s="226"/>
      <c r="C1731" s="226"/>
      <c r="D1731" s="226"/>
      <c r="E1731" s="226"/>
      <c r="F1731" s="226"/>
      <c r="G1731" s="226"/>
      <c r="H1731" s="226"/>
      <c r="I1731" s="9" t="str">
        <f t="shared" si="26"/>
        <v>__</v>
      </c>
    </row>
    <row r="1732" spans="1:9" x14ac:dyDescent="0.35">
      <c r="A1732" s="226"/>
      <c r="B1732" s="226"/>
      <c r="C1732" s="226"/>
      <c r="D1732" s="226"/>
      <c r="E1732" s="226"/>
      <c r="F1732" s="226"/>
      <c r="G1732" s="226"/>
      <c r="H1732" s="226"/>
      <c r="I1732" s="9" t="str">
        <f t="shared" si="26"/>
        <v>__</v>
      </c>
    </row>
    <row r="1733" spans="1:9" x14ac:dyDescent="0.35">
      <c r="A1733" s="226"/>
      <c r="B1733" s="226"/>
      <c r="C1733" s="226"/>
      <c r="D1733" s="226"/>
      <c r="E1733" s="226"/>
      <c r="F1733" s="226"/>
      <c r="G1733" s="226"/>
      <c r="H1733" s="226"/>
      <c r="I1733" s="9" t="str">
        <f t="shared" ref="I1733:I1796" si="27">CONCATENATE(A1733,"_",B1733,"_",C1733)</f>
        <v>__</v>
      </c>
    </row>
    <row r="1734" spans="1:9" x14ac:dyDescent="0.35">
      <c r="A1734" s="226"/>
      <c r="B1734" s="226"/>
      <c r="C1734" s="226"/>
      <c r="D1734" s="226"/>
      <c r="E1734" s="226"/>
      <c r="F1734" s="226"/>
      <c r="G1734" s="226"/>
      <c r="H1734" s="226"/>
      <c r="I1734" s="9" t="str">
        <f t="shared" si="27"/>
        <v>__</v>
      </c>
    </row>
    <row r="1735" spans="1:9" x14ac:dyDescent="0.35">
      <c r="A1735" s="226"/>
      <c r="B1735" s="226"/>
      <c r="C1735" s="226"/>
      <c r="D1735" s="226"/>
      <c r="E1735" s="226"/>
      <c r="F1735" s="226"/>
      <c r="G1735" s="226"/>
      <c r="H1735" s="226"/>
      <c r="I1735" s="9" t="str">
        <f t="shared" si="27"/>
        <v>__</v>
      </c>
    </row>
    <row r="1736" spans="1:9" x14ac:dyDescent="0.35">
      <c r="A1736" s="226"/>
      <c r="B1736" s="226"/>
      <c r="C1736" s="226"/>
      <c r="D1736" s="226"/>
      <c r="E1736" s="226"/>
      <c r="F1736" s="226"/>
      <c r="G1736" s="226"/>
      <c r="H1736" s="226"/>
      <c r="I1736" s="9" t="str">
        <f t="shared" si="27"/>
        <v>__</v>
      </c>
    </row>
    <row r="1737" spans="1:9" x14ac:dyDescent="0.35">
      <c r="A1737" s="226"/>
      <c r="B1737" s="226"/>
      <c r="C1737" s="226"/>
      <c r="D1737" s="226"/>
      <c r="E1737" s="226"/>
      <c r="F1737" s="226"/>
      <c r="G1737" s="226"/>
      <c r="H1737" s="226"/>
      <c r="I1737" s="9" t="str">
        <f t="shared" si="27"/>
        <v>__</v>
      </c>
    </row>
    <row r="1738" spans="1:9" x14ac:dyDescent="0.35">
      <c r="A1738" s="226"/>
      <c r="B1738" s="226"/>
      <c r="C1738" s="226"/>
      <c r="D1738" s="226"/>
      <c r="E1738" s="226"/>
      <c r="F1738" s="226"/>
      <c r="G1738" s="226"/>
      <c r="H1738" s="226"/>
      <c r="I1738" s="9" t="str">
        <f t="shared" si="27"/>
        <v>__</v>
      </c>
    </row>
    <row r="1739" spans="1:9" x14ac:dyDescent="0.35">
      <c r="A1739" s="226"/>
      <c r="B1739" s="226"/>
      <c r="C1739" s="226"/>
      <c r="D1739" s="226"/>
      <c r="E1739" s="226"/>
      <c r="F1739" s="226"/>
      <c r="G1739" s="226"/>
      <c r="H1739" s="226"/>
      <c r="I1739" s="9" t="str">
        <f t="shared" si="27"/>
        <v>__</v>
      </c>
    </row>
    <row r="1740" spans="1:9" x14ac:dyDescent="0.35">
      <c r="A1740" s="226"/>
      <c r="B1740" s="226"/>
      <c r="C1740" s="226"/>
      <c r="D1740" s="226"/>
      <c r="E1740" s="226"/>
      <c r="F1740" s="226"/>
      <c r="G1740" s="226"/>
      <c r="H1740" s="226"/>
      <c r="I1740" s="9" t="str">
        <f t="shared" si="27"/>
        <v>__</v>
      </c>
    </row>
    <row r="1741" spans="1:9" x14ac:dyDescent="0.35">
      <c r="A1741" s="226"/>
      <c r="B1741" s="226"/>
      <c r="C1741" s="226"/>
      <c r="D1741" s="226"/>
      <c r="E1741" s="226"/>
      <c r="F1741" s="226"/>
      <c r="G1741" s="226"/>
      <c r="H1741" s="226"/>
      <c r="I1741" s="9" t="str">
        <f t="shared" si="27"/>
        <v>__</v>
      </c>
    </row>
    <row r="1742" spans="1:9" x14ac:dyDescent="0.35">
      <c r="A1742" s="226"/>
      <c r="B1742" s="226"/>
      <c r="C1742" s="226"/>
      <c r="D1742" s="226"/>
      <c r="E1742" s="226"/>
      <c r="F1742" s="226"/>
      <c r="G1742" s="226"/>
      <c r="H1742" s="226"/>
      <c r="I1742" s="9" t="str">
        <f t="shared" si="27"/>
        <v>__</v>
      </c>
    </row>
    <row r="1743" spans="1:9" x14ac:dyDescent="0.35">
      <c r="A1743" s="226"/>
      <c r="B1743" s="226"/>
      <c r="C1743" s="226"/>
      <c r="D1743" s="226"/>
      <c r="E1743" s="226"/>
      <c r="F1743" s="226"/>
      <c r="G1743" s="226"/>
      <c r="H1743" s="226"/>
      <c r="I1743" s="9" t="str">
        <f t="shared" si="27"/>
        <v>__</v>
      </c>
    </row>
    <row r="1744" spans="1:9" x14ac:dyDescent="0.35">
      <c r="A1744" s="226"/>
      <c r="B1744" s="226"/>
      <c r="C1744" s="226"/>
      <c r="D1744" s="226"/>
      <c r="E1744" s="226"/>
      <c r="F1744" s="226"/>
      <c r="G1744" s="226"/>
      <c r="H1744" s="226"/>
      <c r="I1744" s="9" t="str">
        <f t="shared" si="27"/>
        <v>__</v>
      </c>
    </row>
    <row r="1745" spans="1:9" x14ac:dyDescent="0.35">
      <c r="A1745" s="226"/>
      <c r="B1745" s="226"/>
      <c r="C1745" s="226"/>
      <c r="D1745" s="226"/>
      <c r="E1745" s="226"/>
      <c r="F1745" s="226"/>
      <c r="G1745" s="226"/>
      <c r="H1745" s="226"/>
      <c r="I1745" s="9" t="str">
        <f t="shared" si="27"/>
        <v>__</v>
      </c>
    </row>
    <row r="1746" spans="1:9" x14ac:dyDescent="0.35">
      <c r="A1746" s="226"/>
      <c r="B1746" s="226"/>
      <c r="C1746" s="226"/>
      <c r="D1746" s="226"/>
      <c r="E1746" s="226"/>
      <c r="F1746" s="226"/>
      <c r="G1746" s="226"/>
      <c r="H1746" s="226"/>
      <c r="I1746" s="9" t="str">
        <f t="shared" si="27"/>
        <v>__</v>
      </c>
    </row>
    <row r="1747" spans="1:9" x14ac:dyDescent="0.35">
      <c r="A1747" s="226"/>
      <c r="B1747" s="226"/>
      <c r="C1747" s="226"/>
      <c r="D1747" s="226"/>
      <c r="E1747" s="226"/>
      <c r="F1747" s="226"/>
      <c r="G1747" s="226"/>
      <c r="H1747" s="226"/>
      <c r="I1747" s="9" t="str">
        <f t="shared" si="27"/>
        <v>__</v>
      </c>
    </row>
    <row r="1748" spans="1:9" x14ac:dyDescent="0.35">
      <c r="A1748" s="226"/>
      <c r="B1748" s="226"/>
      <c r="C1748" s="226"/>
      <c r="D1748" s="226"/>
      <c r="E1748" s="226"/>
      <c r="F1748" s="226"/>
      <c r="G1748" s="226"/>
      <c r="H1748" s="226"/>
      <c r="I1748" s="9" t="str">
        <f t="shared" si="27"/>
        <v>__</v>
      </c>
    </row>
    <row r="1749" spans="1:9" x14ac:dyDescent="0.35">
      <c r="A1749" s="226"/>
      <c r="B1749" s="226"/>
      <c r="C1749" s="226"/>
      <c r="D1749" s="226"/>
      <c r="E1749" s="226"/>
      <c r="F1749" s="226"/>
      <c r="G1749" s="226"/>
      <c r="H1749" s="226"/>
      <c r="I1749" s="9" t="str">
        <f t="shared" si="27"/>
        <v>__</v>
      </c>
    </row>
    <row r="1750" spans="1:9" x14ac:dyDescent="0.35">
      <c r="A1750" s="226"/>
      <c r="B1750" s="226"/>
      <c r="C1750" s="226"/>
      <c r="D1750" s="226"/>
      <c r="E1750" s="226"/>
      <c r="F1750" s="226"/>
      <c r="G1750" s="226"/>
      <c r="H1750" s="226"/>
      <c r="I1750" s="9" t="str">
        <f t="shared" si="27"/>
        <v>__</v>
      </c>
    </row>
    <row r="1751" spans="1:9" x14ac:dyDescent="0.35">
      <c r="A1751" s="226"/>
      <c r="B1751" s="226"/>
      <c r="C1751" s="226"/>
      <c r="D1751" s="226"/>
      <c r="E1751" s="226"/>
      <c r="F1751" s="226"/>
      <c r="G1751" s="226"/>
      <c r="H1751" s="226"/>
      <c r="I1751" s="9" t="str">
        <f t="shared" si="27"/>
        <v>__</v>
      </c>
    </row>
    <row r="1752" spans="1:9" x14ac:dyDescent="0.35">
      <c r="A1752" s="226"/>
      <c r="B1752" s="226"/>
      <c r="C1752" s="226"/>
      <c r="D1752" s="226"/>
      <c r="E1752" s="226"/>
      <c r="F1752" s="226"/>
      <c r="G1752" s="226"/>
      <c r="H1752" s="226"/>
      <c r="I1752" s="9" t="str">
        <f t="shared" si="27"/>
        <v>__</v>
      </c>
    </row>
    <row r="1753" spans="1:9" x14ac:dyDescent="0.35">
      <c r="A1753" s="226"/>
      <c r="B1753" s="226"/>
      <c r="C1753" s="226"/>
      <c r="D1753" s="226"/>
      <c r="E1753" s="226"/>
      <c r="F1753" s="226"/>
      <c r="G1753" s="226"/>
      <c r="H1753" s="226"/>
      <c r="I1753" s="9" t="str">
        <f t="shared" si="27"/>
        <v>__</v>
      </c>
    </row>
    <row r="1754" spans="1:9" x14ac:dyDescent="0.35">
      <c r="A1754" s="226"/>
      <c r="B1754" s="226"/>
      <c r="C1754" s="226"/>
      <c r="D1754" s="226"/>
      <c r="E1754" s="226"/>
      <c r="F1754" s="226"/>
      <c r="G1754" s="226"/>
      <c r="H1754" s="226"/>
      <c r="I1754" s="9" t="str">
        <f t="shared" si="27"/>
        <v>__</v>
      </c>
    </row>
    <row r="1755" spans="1:9" x14ac:dyDescent="0.35">
      <c r="A1755" s="226"/>
      <c r="B1755" s="226"/>
      <c r="C1755" s="226"/>
      <c r="D1755" s="226"/>
      <c r="E1755" s="226"/>
      <c r="F1755" s="226"/>
      <c r="G1755" s="226"/>
      <c r="H1755" s="226"/>
      <c r="I1755" s="9" t="str">
        <f t="shared" si="27"/>
        <v>__</v>
      </c>
    </row>
    <row r="1756" spans="1:9" x14ac:dyDescent="0.35">
      <c r="A1756" s="226"/>
      <c r="B1756" s="226"/>
      <c r="C1756" s="226"/>
      <c r="D1756" s="226"/>
      <c r="E1756" s="226"/>
      <c r="F1756" s="226"/>
      <c r="G1756" s="226"/>
      <c r="H1756" s="226"/>
      <c r="I1756" s="9" t="str">
        <f t="shared" si="27"/>
        <v>__</v>
      </c>
    </row>
    <row r="1757" spans="1:9" x14ac:dyDescent="0.35">
      <c r="A1757" s="226"/>
      <c r="B1757" s="226"/>
      <c r="C1757" s="226"/>
      <c r="D1757" s="226"/>
      <c r="E1757" s="226"/>
      <c r="F1757" s="226"/>
      <c r="G1757" s="226"/>
      <c r="H1757" s="226"/>
      <c r="I1757" s="9" t="str">
        <f t="shared" si="27"/>
        <v>__</v>
      </c>
    </row>
    <row r="1758" spans="1:9" x14ac:dyDescent="0.35">
      <c r="A1758" s="226"/>
      <c r="B1758" s="226"/>
      <c r="C1758" s="226"/>
      <c r="D1758" s="226"/>
      <c r="E1758" s="226"/>
      <c r="F1758" s="226"/>
      <c r="G1758" s="226"/>
      <c r="H1758" s="226"/>
      <c r="I1758" s="9" t="str">
        <f t="shared" si="27"/>
        <v>__</v>
      </c>
    </row>
    <row r="1759" spans="1:9" x14ac:dyDescent="0.35">
      <c r="A1759" s="226"/>
      <c r="B1759" s="226"/>
      <c r="C1759" s="226"/>
      <c r="D1759" s="226"/>
      <c r="E1759" s="226"/>
      <c r="F1759" s="226"/>
      <c r="G1759" s="226"/>
      <c r="H1759" s="226"/>
      <c r="I1759" s="9" t="str">
        <f t="shared" si="27"/>
        <v>__</v>
      </c>
    </row>
    <row r="1760" spans="1:9" x14ac:dyDescent="0.35">
      <c r="A1760" s="226"/>
      <c r="B1760" s="226"/>
      <c r="C1760" s="226"/>
      <c r="D1760" s="226"/>
      <c r="E1760" s="226"/>
      <c r="F1760" s="226"/>
      <c r="G1760" s="226"/>
      <c r="H1760" s="226"/>
      <c r="I1760" s="9" t="str">
        <f t="shared" si="27"/>
        <v>__</v>
      </c>
    </row>
    <row r="1761" spans="1:9" x14ac:dyDescent="0.35">
      <c r="A1761" s="226"/>
      <c r="B1761" s="226"/>
      <c r="C1761" s="226"/>
      <c r="D1761" s="226"/>
      <c r="E1761" s="226"/>
      <c r="F1761" s="226"/>
      <c r="G1761" s="226"/>
      <c r="H1761" s="226"/>
      <c r="I1761" s="9" t="str">
        <f t="shared" si="27"/>
        <v>__</v>
      </c>
    </row>
    <row r="1762" spans="1:9" x14ac:dyDescent="0.35">
      <c r="A1762" s="226"/>
      <c r="B1762" s="226"/>
      <c r="C1762" s="226"/>
      <c r="D1762" s="226"/>
      <c r="E1762" s="226"/>
      <c r="F1762" s="226"/>
      <c r="G1762" s="226"/>
      <c r="H1762" s="226"/>
      <c r="I1762" s="9" t="str">
        <f t="shared" si="27"/>
        <v>__</v>
      </c>
    </row>
    <row r="1763" spans="1:9" x14ac:dyDescent="0.35">
      <c r="A1763" s="226"/>
      <c r="B1763" s="226"/>
      <c r="C1763" s="226"/>
      <c r="D1763" s="226"/>
      <c r="E1763" s="226"/>
      <c r="F1763" s="226"/>
      <c r="G1763" s="226"/>
      <c r="H1763" s="226"/>
      <c r="I1763" s="9" t="str">
        <f t="shared" si="27"/>
        <v>__</v>
      </c>
    </row>
    <row r="1764" spans="1:9" x14ac:dyDescent="0.35">
      <c r="A1764" s="226"/>
      <c r="B1764" s="226"/>
      <c r="C1764" s="226"/>
      <c r="D1764" s="226"/>
      <c r="E1764" s="226"/>
      <c r="F1764" s="226"/>
      <c r="G1764" s="226"/>
      <c r="H1764" s="226"/>
      <c r="I1764" s="9" t="str">
        <f t="shared" si="27"/>
        <v>__</v>
      </c>
    </row>
    <row r="1765" spans="1:9" x14ac:dyDescent="0.35">
      <c r="A1765" s="226"/>
      <c r="B1765" s="226"/>
      <c r="C1765" s="226"/>
      <c r="D1765" s="226"/>
      <c r="E1765" s="226"/>
      <c r="F1765" s="226"/>
      <c r="G1765" s="226"/>
      <c r="H1765" s="226"/>
      <c r="I1765" s="9" t="str">
        <f t="shared" si="27"/>
        <v>__</v>
      </c>
    </row>
    <row r="1766" spans="1:9" x14ac:dyDescent="0.35">
      <c r="A1766" s="226"/>
      <c r="B1766" s="226"/>
      <c r="C1766" s="226"/>
      <c r="D1766" s="226"/>
      <c r="E1766" s="226"/>
      <c r="F1766" s="226"/>
      <c r="G1766" s="226"/>
      <c r="H1766" s="226"/>
      <c r="I1766" s="9" t="str">
        <f t="shared" si="27"/>
        <v>__</v>
      </c>
    </row>
    <row r="1767" spans="1:9" x14ac:dyDescent="0.35">
      <c r="A1767" s="226"/>
      <c r="B1767" s="226"/>
      <c r="C1767" s="226"/>
      <c r="D1767" s="226"/>
      <c r="E1767" s="226"/>
      <c r="F1767" s="226"/>
      <c r="G1767" s="226"/>
      <c r="H1767" s="226"/>
      <c r="I1767" s="9" t="str">
        <f t="shared" si="27"/>
        <v>__</v>
      </c>
    </row>
    <row r="1768" spans="1:9" x14ac:dyDescent="0.35">
      <c r="A1768" s="226"/>
      <c r="B1768" s="226"/>
      <c r="C1768" s="226"/>
      <c r="D1768" s="226"/>
      <c r="E1768" s="226"/>
      <c r="F1768" s="226"/>
      <c r="G1768" s="226"/>
      <c r="H1768" s="226"/>
      <c r="I1768" s="9" t="str">
        <f t="shared" si="27"/>
        <v>__</v>
      </c>
    </row>
    <row r="1769" spans="1:9" x14ac:dyDescent="0.35">
      <c r="A1769" s="226"/>
      <c r="B1769" s="226"/>
      <c r="C1769" s="226"/>
      <c r="D1769" s="226"/>
      <c r="E1769" s="226"/>
      <c r="F1769" s="226"/>
      <c r="G1769" s="226"/>
      <c r="H1769" s="226"/>
      <c r="I1769" s="9" t="str">
        <f t="shared" si="27"/>
        <v>__</v>
      </c>
    </row>
    <row r="1770" spans="1:9" x14ac:dyDescent="0.35">
      <c r="A1770" s="226"/>
      <c r="B1770" s="226"/>
      <c r="C1770" s="226"/>
      <c r="D1770" s="226"/>
      <c r="E1770" s="226"/>
      <c r="F1770" s="226"/>
      <c r="G1770" s="226"/>
      <c r="H1770" s="226"/>
      <c r="I1770" s="9" t="str">
        <f t="shared" si="27"/>
        <v>__</v>
      </c>
    </row>
    <row r="1771" spans="1:9" x14ac:dyDescent="0.35">
      <c r="A1771" s="226"/>
      <c r="B1771" s="226"/>
      <c r="C1771" s="226"/>
      <c r="D1771" s="226"/>
      <c r="E1771" s="226"/>
      <c r="F1771" s="226"/>
      <c r="G1771" s="226"/>
      <c r="H1771" s="226"/>
      <c r="I1771" s="9" t="str">
        <f t="shared" si="27"/>
        <v>__</v>
      </c>
    </row>
    <row r="1772" spans="1:9" x14ac:dyDescent="0.35">
      <c r="A1772" s="226"/>
      <c r="B1772" s="226"/>
      <c r="C1772" s="226"/>
      <c r="D1772" s="226"/>
      <c r="E1772" s="226"/>
      <c r="F1772" s="226"/>
      <c r="G1772" s="226"/>
      <c r="H1772" s="226"/>
      <c r="I1772" s="9" t="str">
        <f t="shared" si="27"/>
        <v>__</v>
      </c>
    </row>
    <row r="1773" spans="1:9" x14ac:dyDescent="0.35">
      <c r="A1773" s="226"/>
      <c r="B1773" s="226"/>
      <c r="C1773" s="226"/>
      <c r="D1773" s="226"/>
      <c r="E1773" s="226"/>
      <c r="F1773" s="226"/>
      <c r="G1773" s="226"/>
      <c r="H1773" s="226"/>
      <c r="I1773" s="9" t="str">
        <f t="shared" si="27"/>
        <v>__</v>
      </c>
    </row>
    <row r="1774" spans="1:9" x14ac:dyDescent="0.35">
      <c r="A1774" s="226"/>
      <c r="B1774" s="226"/>
      <c r="C1774" s="226"/>
      <c r="D1774" s="226"/>
      <c r="E1774" s="226"/>
      <c r="F1774" s="226"/>
      <c r="G1774" s="226"/>
      <c r="H1774" s="226"/>
      <c r="I1774" s="9" t="str">
        <f t="shared" si="27"/>
        <v>__</v>
      </c>
    </row>
    <row r="1775" spans="1:9" x14ac:dyDescent="0.35">
      <c r="A1775" s="226"/>
      <c r="B1775" s="226"/>
      <c r="C1775" s="226"/>
      <c r="D1775" s="226"/>
      <c r="E1775" s="226"/>
      <c r="F1775" s="226"/>
      <c r="G1775" s="226"/>
      <c r="H1775" s="226"/>
      <c r="I1775" s="9" t="str">
        <f t="shared" si="27"/>
        <v>__</v>
      </c>
    </row>
    <row r="1776" spans="1:9" x14ac:dyDescent="0.35">
      <c r="A1776" s="226"/>
      <c r="B1776" s="226"/>
      <c r="C1776" s="226"/>
      <c r="D1776" s="226"/>
      <c r="E1776" s="226"/>
      <c r="F1776" s="226"/>
      <c r="G1776" s="226"/>
      <c r="H1776" s="226"/>
      <c r="I1776" s="9" t="str">
        <f t="shared" si="27"/>
        <v>__</v>
      </c>
    </row>
    <row r="1777" spans="1:9" x14ac:dyDescent="0.35">
      <c r="A1777" s="226"/>
      <c r="B1777" s="226"/>
      <c r="C1777" s="226"/>
      <c r="D1777" s="226"/>
      <c r="E1777" s="226"/>
      <c r="F1777" s="226"/>
      <c r="G1777" s="226"/>
      <c r="H1777" s="226"/>
      <c r="I1777" s="9" t="str">
        <f t="shared" si="27"/>
        <v>__</v>
      </c>
    </row>
    <row r="1778" spans="1:9" x14ac:dyDescent="0.35">
      <c r="A1778" s="226"/>
      <c r="B1778" s="226"/>
      <c r="C1778" s="226"/>
      <c r="D1778" s="226"/>
      <c r="E1778" s="226"/>
      <c r="F1778" s="226"/>
      <c r="G1778" s="226"/>
      <c r="H1778" s="226"/>
      <c r="I1778" s="9" t="str">
        <f t="shared" si="27"/>
        <v>__</v>
      </c>
    </row>
    <row r="1779" spans="1:9" x14ac:dyDescent="0.35">
      <c r="A1779" s="226"/>
      <c r="B1779" s="226"/>
      <c r="C1779" s="226"/>
      <c r="D1779" s="226"/>
      <c r="E1779" s="226"/>
      <c r="F1779" s="226"/>
      <c r="G1779" s="226"/>
      <c r="H1779" s="226"/>
      <c r="I1779" s="9" t="str">
        <f t="shared" si="27"/>
        <v>__</v>
      </c>
    </row>
    <row r="1780" spans="1:9" x14ac:dyDescent="0.35">
      <c r="A1780" s="226"/>
      <c r="B1780" s="226"/>
      <c r="C1780" s="226"/>
      <c r="D1780" s="226"/>
      <c r="E1780" s="226"/>
      <c r="F1780" s="226"/>
      <c r="G1780" s="226"/>
      <c r="H1780" s="226"/>
      <c r="I1780" s="9" t="str">
        <f t="shared" si="27"/>
        <v>__</v>
      </c>
    </row>
    <row r="1781" spans="1:9" x14ac:dyDescent="0.35">
      <c r="A1781" s="226"/>
      <c r="B1781" s="226"/>
      <c r="C1781" s="226"/>
      <c r="D1781" s="226"/>
      <c r="E1781" s="226"/>
      <c r="F1781" s="226"/>
      <c r="G1781" s="226"/>
      <c r="H1781" s="226"/>
      <c r="I1781" s="9" t="str">
        <f t="shared" si="27"/>
        <v>__</v>
      </c>
    </row>
    <row r="1782" spans="1:9" x14ac:dyDescent="0.35">
      <c r="A1782" s="226"/>
      <c r="B1782" s="226"/>
      <c r="C1782" s="226"/>
      <c r="D1782" s="226"/>
      <c r="E1782" s="226"/>
      <c r="F1782" s="226"/>
      <c r="G1782" s="226"/>
      <c r="H1782" s="226"/>
      <c r="I1782" s="9" t="str">
        <f t="shared" si="27"/>
        <v>__</v>
      </c>
    </row>
    <row r="1783" spans="1:9" x14ac:dyDescent="0.35">
      <c r="A1783" s="226"/>
      <c r="B1783" s="226"/>
      <c r="C1783" s="226"/>
      <c r="D1783" s="226"/>
      <c r="E1783" s="226"/>
      <c r="F1783" s="226"/>
      <c r="G1783" s="226"/>
      <c r="H1783" s="226"/>
      <c r="I1783" s="9" t="str">
        <f t="shared" si="27"/>
        <v>__</v>
      </c>
    </row>
    <row r="1784" spans="1:9" x14ac:dyDescent="0.35">
      <c r="A1784" s="226"/>
      <c r="B1784" s="226"/>
      <c r="C1784" s="226"/>
      <c r="D1784" s="226"/>
      <c r="E1784" s="226"/>
      <c r="F1784" s="226"/>
      <c r="G1784" s="226"/>
      <c r="H1784" s="226"/>
      <c r="I1784" s="9" t="str">
        <f t="shared" si="27"/>
        <v>__</v>
      </c>
    </row>
    <row r="1785" spans="1:9" x14ac:dyDescent="0.35">
      <c r="A1785" s="226"/>
      <c r="B1785" s="226"/>
      <c r="C1785" s="226"/>
      <c r="D1785" s="226"/>
      <c r="E1785" s="226"/>
      <c r="F1785" s="226"/>
      <c r="G1785" s="226"/>
      <c r="H1785" s="226"/>
      <c r="I1785" s="9" t="str">
        <f t="shared" si="27"/>
        <v>__</v>
      </c>
    </row>
    <row r="1786" spans="1:9" x14ac:dyDescent="0.35">
      <c r="A1786" s="226"/>
      <c r="B1786" s="226"/>
      <c r="C1786" s="226"/>
      <c r="D1786" s="226"/>
      <c r="E1786" s="226"/>
      <c r="F1786" s="226"/>
      <c r="G1786" s="226"/>
      <c r="H1786" s="226"/>
      <c r="I1786" s="9" t="str">
        <f t="shared" si="27"/>
        <v>__</v>
      </c>
    </row>
    <row r="1787" spans="1:9" x14ac:dyDescent="0.35">
      <c r="A1787" s="226"/>
      <c r="B1787" s="226"/>
      <c r="C1787" s="226"/>
      <c r="D1787" s="226"/>
      <c r="E1787" s="226"/>
      <c r="F1787" s="226"/>
      <c r="G1787" s="226"/>
      <c r="H1787" s="226"/>
      <c r="I1787" s="9" t="str">
        <f t="shared" si="27"/>
        <v>__</v>
      </c>
    </row>
    <row r="1788" spans="1:9" x14ac:dyDescent="0.35">
      <c r="A1788" s="226"/>
      <c r="B1788" s="226"/>
      <c r="C1788" s="226"/>
      <c r="D1788" s="226"/>
      <c r="E1788" s="226"/>
      <c r="F1788" s="226"/>
      <c r="G1788" s="226"/>
      <c r="H1788" s="226"/>
      <c r="I1788" s="9" t="str">
        <f t="shared" si="27"/>
        <v>__</v>
      </c>
    </row>
    <row r="1789" spans="1:9" x14ac:dyDescent="0.35">
      <c r="A1789" s="226"/>
      <c r="B1789" s="226"/>
      <c r="C1789" s="226"/>
      <c r="D1789" s="226"/>
      <c r="E1789" s="226"/>
      <c r="F1789" s="226"/>
      <c r="G1789" s="226"/>
      <c r="H1789" s="226"/>
      <c r="I1789" s="9" t="str">
        <f t="shared" si="27"/>
        <v>__</v>
      </c>
    </row>
    <row r="1790" spans="1:9" x14ac:dyDescent="0.35">
      <c r="A1790" s="226"/>
      <c r="B1790" s="226"/>
      <c r="C1790" s="226"/>
      <c r="D1790" s="226"/>
      <c r="E1790" s="226"/>
      <c r="F1790" s="226"/>
      <c r="G1790" s="226"/>
      <c r="H1790" s="226"/>
      <c r="I1790" s="9" t="str">
        <f t="shared" si="27"/>
        <v>__</v>
      </c>
    </row>
    <row r="1791" spans="1:9" x14ac:dyDescent="0.35">
      <c r="A1791" s="226"/>
      <c r="B1791" s="226"/>
      <c r="C1791" s="226"/>
      <c r="D1791" s="226"/>
      <c r="E1791" s="226"/>
      <c r="F1791" s="226"/>
      <c r="G1791" s="226"/>
      <c r="H1791" s="226"/>
      <c r="I1791" s="9" t="str">
        <f t="shared" si="27"/>
        <v>__</v>
      </c>
    </row>
    <row r="1792" spans="1:9" x14ac:dyDescent="0.35">
      <c r="A1792" s="226"/>
      <c r="B1792" s="226"/>
      <c r="C1792" s="226"/>
      <c r="D1792" s="226"/>
      <c r="E1792" s="226"/>
      <c r="F1792" s="226"/>
      <c r="G1792" s="226"/>
      <c r="H1792" s="226"/>
      <c r="I1792" s="9" t="str">
        <f t="shared" si="27"/>
        <v>__</v>
      </c>
    </row>
    <row r="1793" spans="1:9" x14ac:dyDescent="0.35">
      <c r="A1793" s="226"/>
      <c r="B1793" s="226"/>
      <c r="C1793" s="226"/>
      <c r="D1793" s="226"/>
      <c r="E1793" s="226"/>
      <c r="F1793" s="226"/>
      <c r="G1793" s="226"/>
      <c r="H1793" s="226"/>
      <c r="I1793" s="9" t="str">
        <f t="shared" si="27"/>
        <v>__</v>
      </c>
    </row>
    <row r="1794" spans="1:9" x14ac:dyDescent="0.35">
      <c r="A1794" s="226"/>
      <c r="B1794" s="226"/>
      <c r="C1794" s="226"/>
      <c r="D1794" s="226"/>
      <c r="E1794" s="226"/>
      <c r="F1794" s="226"/>
      <c r="G1794" s="226"/>
      <c r="H1794" s="226"/>
      <c r="I1794" s="9" t="str">
        <f t="shared" si="27"/>
        <v>__</v>
      </c>
    </row>
    <row r="1795" spans="1:9" x14ac:dyDescent="0.35">
      <c r="A1795" s="226"/>
      <c r="B1795" s="226"/>
      <c r="C1795" s="226"/>
      <c r="D1795" s="226"/>
      <c r="E1795" s="226"/>
      <c r="F1795" s="226"/>
      <c r="G1795" s="226"/>
      <c r="H1795" s="226"/>
      <c r="I1795" s="9" t="str">
        <f t="shared" si="27"/>
        <v>__</v>
      </c>
    </row>
    <row r="1796" spans="1:9" x14ac:dyDescent="0.35">
      <c r="A1796" s="226"/>
      <c r="B1796" s="226"/>
      <c r="C1796" s="226"/>
      <c r="D1796" s="226"/>
      <c r="E1796" s="226"/>
      <c r="F1796" s="226"/>
      <c r="G1796" s="226"/>
      <c r="H1796" s="226"/>
      <c r="I1796" s="9" t="str">
        <f t="shared" si="27"/>
        <v>__</v>
      </c>
    </row>
    <row r="1797" spans="1:9" x14ac:dyDescent="0.35">
      <c r="A1797" s="226"/>
      <c r="B1797" s="226"/>
      <c r="C1797" s="226"/>
      <c r="D1797" s="226"/>
      <c r="E1797" s="226"/>
      <c r="F1797" s="226"/>
      <c r="G1797" s="226"/>
      <c r="H1797" s="226"/>
      <c r="I1797" s="9" t="str">
        <f t="shared" ref="I1797:I1860" si="28">CONCATENATE(A1797,"_",B1797,"_",C1797)</f>
        <v>__</v>
      </c>
    </row>
    <row r="1798" spans="1:9" x14ac:dyDescent="0.35">
      <c r="A1798" s="226"/>
      <c r="B1798" s="226"/>
      <c r="C1798" s="226"/>
      <c r="D1798" s="226"/>
      <c r="E1798" s="226"/>
      <c r="F1798" s="226"/>
      <c r="G1798" s="226"/>
      <c r="H1798" s="226"/>
      <c r="I1798" s="9" t="str">
        <f t="shared" si="28"/>
        <v>__</v>
      </c>
    </row>
    <row r="1799" spans="1:9" x14ac:dyDescent="0.35">
      <c r="A1799" s="226"/>
      <c r="B1799" s="226"/>
      <c r="C1799" s="226"/>
      <c r="D1799" s="226"/>
      <c r="E1799" s="226"/>
      <c r="F1799" s="226"/>
      <c r="G1799" s="226"/>
      <c r="H1799" s="226"/>
      <c r="I1799" s="9" t="str">
        <f t="shared" si="28"/>
        <v>__</v>
      </c>
    </row>
    <row r="1800" spans="1:9" x14ac:dyDescent="0.35">
      <c r="A1800" s="226"/>
      <c r="B1800" s="226"/>
      <c r="C1800" s="226"/>
      <c r="D1800" s="226"/>
      <c r="E1800" s="226"/>
      <c r="F1800" s="226"/>
      <c r="G1800" s="226"/>
      <c r="H1800" s="226"/>
      <c r="I1800" s="9" t="str">
        <f t="shared" si="28"/>
        <v>__</v>
      </c>
    </row>
    <row r="1801" spans="1:9" x14ac:dyDescent="0.35">
      <c r="A1801" s="226"/>
      <c r="B1801" s="226"/>
      <c r="C1801" s="226"/>
      <c r="D1801" s="226"/>
      <c r="E1801" s="226"/>
      <c r="F1801" s="226"/>
      <c r="G1801" s="226"/>
      <c r="H1801" s="226"/>
      <c r="I1801" s="9" t="str">
        <f t="shared" si="28"/>
        <v>__</v>
      </c>
    </row>
    <row r="1802" spans="1:9" x14ac:dyDescent="0.35">
      <c r="A1802" s="226"/>
      <c r="B1802" s="226"/>
      <c r="C1802" s="226"/>
      <c r="D1802" s="226"/>
      <c r="E1802" s="226"/>
      <c r="F1802" s="226"/>
      <c r="G1802" s="226"/>
      <c r="H1802" s="226"/>
      <c r="I1802" s="9" t="str">
        <f t="shared" si="28"/>
        <v>__</v>
      </c>
    </row>
    <row r="1803" spans="1:9" x14ac:dyDescent="0.35">
      <c r="A1803" s="226"/>
      <c r="B1803" s="226"/>
      <c r="C1803" s="226"/>
      <c r="D1803" s="226"/>
      <c r="E1803" s="226"/>
      <c r="F1803" s="226"/>
      <c r="G1803" s="226"/>
      <c r="H1803" s="226"/>
      <c r="I1803" s="9" t="str">
        <f t="shared" si="28"/>
        <v>__</v>
      </c>
    </row>
    <row r="1804" spans="1:9" x14ac:dyDescent="0.35">
      <c r="A1804" s="226"/>
      <c r="B1804" s="226"/>
      <c r="C1804" s="226"/>
      <c r="D1804" s="226"/>
      <c r="E1804" s="226"/>
      <c r="F1804" s="226"/>
      <c r="G1804" s="226"/>
      <c r="H1804" s="226"/>
      <c r="I1804" s="9" t="str">
        <f t="shared" si="28"/>
        <v>__</v>
      </c>
    </row>
    <row r="1805" spans="1:9" x14ac:dyDescent="0.35">
      <c r="A1805" s="226"/>
      <c r="B1805" s="226"/>
      <c r="C1805" s="226"/>
      <c r="D1805" s="226"/>
      <c r="E1805" s="226"/>
      <c r="F1805" s="226"/>
      <c r="G1805" s="226"/>
      <c r="H1805" s="226"/>
      <c r="I1805" s="9" t="str">
        <f t="shared" si="28"/>
        <v>__</v>
      </c>
    </row>
    <row r="1806" spans="1:9" x14ac:dyDescent="0.35">
      <c r="A1806" s="226"/>
      <c r="B1806" s="226"/>
      <c r="C1806" s="226"/>
      <c r="D1806" s="226"/>
      <c r="E1806" s="226"/>
      <c r="F1806" s="226"/>
      <c r="G1806" s="226"/>
      <c r="H1806" s="226"/>
      <c r="I1806" s="9" t="str">
        <f t="shared" si="28"/>
        <v>__</v>
      </c>
    </row>
    <row r="1807" spans="1:9" x14ac:dyDescent="0.35">
      <c r="A1807" s="226"/>
      <c r="B1807" s="226"/>
      <c r="C1807" s="226"/>
      <c r="D1807" s="226"/>
      <c r="E1807" s="226"/>
      <c r="F1807" s="226"/>
      <c r="G1807" s="226"/>
      <c r="H1807" s="226"/>
      <c r="I1807" s="9" t="str">
        <f t="shared" si="28"/>
        <v>__</v>
      </c>
    </row>
    <row r="1808" spans="1:9" x14ac:dyDescent="0.35">
      <c r="A1808" s="226"/>
      <c r="B1808" s="226"/>
      <c r="C1808" s="226"/>
      <c r="D1808" s="226"/>
      <c r="E1808" s="226"/>
      <c r="F1808" s="226"/>
      <c r="G1808" s="226"/>
      <c r="H1808" s="226"/>
      <c r="I1808" s="9" t="str">
        <f t="shared" si="28"/>
        <v>__</v>
      </c>
    </row>
    <row r="1809" spans="1:9" x14ac:dyDescent="0.35">
      <c r="A1809" s="226"/>
      <c r="B1809" s="226"/>
      <c r="C1809" s="226"/>
      <c r="D1809" s="226"/>
      <c r="E1809" s="226"/>
      <c r="F1809" s="226"/>
      <c r="G1809" s="226"/>
      <c r="H1809" s="226"/>
      <c r="I1809" s="9" t="str">
        <f t="shared" si="28"/>
        <v>__</v>
      </c>
    </row>
    <row r="1810" spans="1:9" x14ac:dyDescent="0.35">
      <c r="A1810" s="226"/>
      <c r="B1810" s="226"/>
      <c r="C1810" s="226"/>
      <c r="D1810" s="226"/>
      <c r="E1810" s="226"/>
      <c r="F1810" s="226"/>
      <c r="G1810" s="226"/>
      <c r="H1810" s="226"/>
      <c r="I1810" s="9" t="str">
        <f t="shared" si="28"/>
        <v>__</v>
      </c>
    </row>
    <row r="1811" spans="1:9" x14ac:dyDescent="0.35">
      <c r="A1811" s="226"/>
      <c r="B1811" s="226"/>
      <c r="C1811" s="226"/>
      <c r="D1811" s="226"/>
      <c r="E1811" s="226"/>
      <c r="F1811" s="226"/>
      <c r="G1811" s="226"/>
      <c r="H1811" s="226"/>
      <c r="I1811" s="9" t="str">
        <f t="shared" si="28"/>
        <v>__</v>
      </c>
    </row>
    <row r="1812" spans="1:9" x14ac:dyDescent="0.35">
      <c r="A1812" s="226"/>
      <c r="B1812" s="226"/>
      <c r="C1812" s="226"/>
      <c r="D1812" s="226"/>
      <c r="E1812" s="226"/>
      <c r="F1812" s="226"/>
      <c r="G1812" s="226"/>
      <c r="H1812" s="226"/>
      <c r="I1812" s="9" t="str">
        <f t="shared" si="28"/>
        <v>__</v>
      </c>
    </row>
    <row r="1813" spans="1:9" x14ac:dyDescent="0.35">
      <c r="A1813" s="226"/>
      <c r="B1813" s="226"/>
      <c r="C1813" s="226"/>
      <c r="D1813" s="226"/>
      <c r="E1813" s="226"/>
      <c r="F1813" s="226"/>
      <c r="G1813" s="226"/>
      <c r="H1813" s="226"/>
      <c r="I1813" s="9" t="str">
        <f t="shared" si="28"/>
        <v>__</v>
      </c>
    </row>
    <row r="1814" spans="1:9" x14ac:dyDescent="0.35">
      <c r="A1814" s="226"/>
      <c r="B1814" s="226"/>
      <c r="C1814" s="226"/>
      <c r="D1814" s="226"/>
      <c r="E1814" s="226"/>
      <c r="F1814" s="226"/>
      <c r="G1814" s="226"/>
      <c r="H1814" s="226"/>
      <c r="I1814" s="9" t="str">
        <f t="shared" si="28"/>
        <v>__</v>
      </c>
    </row>
    <row r="1815" spans="1:9" x14ac:dyDescent="0.35">
      <c r="A1815" s="226"/>
      <c r="B1815" s="226"/>
      <c r="C1815" s="226"/>
      <c r="D1815" s="226"/>
      <c r="E1815" s="226"/>
      <c r="F1815" s="226"/>
      <c r="G1815" s="226"/>
      <c r="H1815" s="226"/>
      <c r="I1815" s="9" t="str">
        <f t="shared" si="28"/>
        <v>__</v>
      </c>
    </row>
    <row r="1816" spans="1:9" x14ac:dyDescent="0.35">
      <c r="A1816" s="226"/>
      <c r="B1816" s="226"/>
      <c r="C1816" s="226"/>
      <c r="D1816" s="226"/>
      <c r="E1816" s="226"/>
      <c r="F1816" s="226"/>
      <c r="G1816" s="226"/>
      <c r="H1816" s="226"/>
      <c r="I1816" s="9" t="str">
        <f t="shared" si="28"/>
        <v>__</v>
      </c>
    </row>
    <row r="1817" spans="1:9" x14ac:dyDescent="0.35">
      <c r="A1817" s="226"/>
      <c r="B1817" s="226"/>
      <c r="C1817" s="226"/>
      <c r="D1817" s="226"/>
      <c r="E1817" s="226"/>
      <c r="F1817" s="226"/>
      <c r="G1817" s="226"/>
      <c r="H1817" s="226"/>
      <c r="I1817" s="9" t="str">
        <f t="shared" si="28"/>
        <v>__</v>
      </c>
    </row>
    <row r="1818" spans="1:9" x14ac:dyDescent="0.35">
      <c r="A1818" s="226"/>
      <c r="B1818" s="226"/>
      <c r="C1818" s="226"/>
      <c r="D1818" s="226"/>
      <c r="E1818" s="226"/>
      <c r="F1818" s="226"/>
      <c r="G1818" s="226"/>
      <c r="H1818" s="226"/>
      <c r="I1818" s="9" t="str">
        <f t="shared" si="28"/>
        <v>__</v>
      </c>
    </row>
    <row r="1819" spans="1:9" x14ac:dyDescent="0.35">
      <c r="A1819" s="226"/>
      <c r="B1819" s="226"/>
      <c r="C1819" s="226"/>
      <c r="D1819" s="226"/>
      <c r="E1819" s="226"/>
      <c r="F1819" s="226"/>
      <c r="G1819" s="226"/>
      <c r="H1819" s="226"/>
      <c r="I1819" s="9" t="str">
        <f t="shared" si="28"/>
        <v>__</v>
      </c>
    </row>
    <row r="1820" spans="1:9" x14ac:dyDescent="0.35">
      <c r="A1820" s="226"/>
      <c r="B1820" s="226"/>
      <c r="C1820" s="226"/>
      <c r="D1820" s="226"/>
      <c r="E1820" s="226"/>
      <c r="F1820" s="226"/>
      <c r="G1820" s="226"/>
      <c r="H1820" s="226"/>
      <c r="I1820" s="9" t="str">
        <f t="shared" si="28"/>
        <v>__</v>
      </c>
    </row>
    <row r="1821" spans="1:9" x14ac:dyDescent="0.35">
      <c r="A1821" s="226"/>
      <c r="B1821" s="226"/>
      <c r="C1821" s="226"/>
      <c r="D1821" s="226"/>
      <c r="E1821" s="226"/>
      <c r="F1821" s="226"/>
      <c r="G1821" s="226"/>
      <c r="H1821" s="226"/>
      <c r="I1821" s="9" t="str">
        <f t="shared" si="28"/>
        <v>__</v>
      </c>
    </row>
    <row r="1822" spans="1:9" x14ac:dyDescent="0.35">
      <c r="A1822" s="226"/>
      <c r="B1822" s="226"/>
      <c r="C1822" s="226"/>
      <c r="D1822" s="226"/>
      <c r="E1822" s="226"/>
      <c r="F1822" s="226"/>
      <c r="G1822" s="226"/>
      <c r="H1822" s="226"/>
      <c r="I1822" s="9" t="str">
        <f t="shared" si="28"/>
        <v>__</v>
      </c>
    </row>
    <row r="1823" spans="1:9" x14ac:dyDescent="0.35">
      <c r="A1823" s="226"/>
      <c r="B1823" s="226"/>
      <c r="C1823" s="226"/>
      <c r="D1823" s="226"/>
      <c r="E1823" s="226"/>
      <c r="F1823" s="226"/>
      <c r="G1823" s="226"/>
      <c r="H1823" s="226"/>
      <c r="I1823" s="9" t="str">
        <f t="shared" si="28"/>
        <v>__</v>
      </c>
    </row>
    <row r="1824" spans="1:9" x14ac:dyDescent="0.35">
      <c r="A1824" s="226"/>
      <c r="B1824" s="226"/>
      <c r="C1824" s="226"/>
      <c r="D1824" s="226"/>
      <c r="E1824" s="226"/>
      <c r="F1824" s="226"/>
      <c r="G1824" s="226"/>
      <c r="H1824" s="226"/>
      <c r="I1824" s="9" t="str">
        <f t="shared" si="28"/>
        <v>__</v>
      </c>
    </row>
    <row r="1825" spans="1:9" x14ac:dyDescent="0.35">
      <c r="A1825" s="226"/>
      <c r="B1825" s="226"/>
      <c r="C1825" s="226"/>
      <c r="D1825" s="226"/>
      <c r="E1825" s="226"/>
      <c r="F1825" s="226"/>
      <c r="G1825" s="226"/>
      <c r="H1825" s="226"/>
      <c r="I1825" s="9" t="str">
        <f t="shared" si="28"/>
        <v>__</v>
      </c>
    </row>
    <row r="1826" spans="1:9" x14ac:dyDescent="0.35">
      <c r="A1826" s="226"/>
      <c r="B1826" s="226"/>
      <c r="C1826" s="226"/>
      <c r="D1826" s="226"/>
      <c r="E1826" s="226"/>
      <c r="F1826" s="226"/>
      <c r="G1826" s="226"/>
      <c r="H1826" s="226"/>
      <c r="I1826" s="9" t="str">
        <f t="shared" si="28"/>
        <v>__</v>
      </c>
    </row>
    <row r="1827" spans="1:9" x14ac:dyDescent="0.35">
      <c r="A1827" s="226"/>
      <c r="B1827" s="226"/>
      <c r="C1827" s="226"/>
      <c r="D1827" s="226"/>
      <c r="E1827" s="226"/>
      <c r="F1827" s="226"/>
      <c r="G1827" s="226"/>
      <c r="H1827" s="226"/>
      <c r="I1827" s="9" t="str">
        <f t="shared" si="28"/>
        <v>__</v>
      </c>
    </row>
    <row r="1828" spans="1:9" x14ac:dyDescent="0.35">
      <c r="A1828" s="226"/>
      <c r="B1828" s="226"/>
      <c r="C1828" s="226"/>
      <c r="D1828" s="226"/>
      <c r="E1828" s="226"/>
      <c r="F1828" s="226"/>
      <c r="G1828" s="226"/>
      <c r="H1828" s="226"/>
      <c r="I1828" s="9" t="str">
        <f t="shared" si="28"/>
        <v>__</v>
      </c>
    </row>
    <row r="1829" spans="1:9" x14ac:dyDescent="0.35">
      <c r="A1829" s="226"/>
      <c r="B1829" s="226"/>
      <c r="C1829" s="226"/>
      <c r="D1829" s="226"/>
      <c r="E1829" s="226"/>
      <c r="F1829" s="226"/>
      <c r="G1829" s="226"/>
      <c r="H1829" s="226"/>
      <c r="I1829" s="9" t="str">
        <f t="shared" si="28"/>
        <v>__</v>
      </c>
    </row>
    <row r="1830" spans="1:9" x14ac:dyDescent="0.35">
      <c r="A1830" s="226"/>
      <c r="B1830" s="226"/>
      <c r="C1830" s="226"/>
      <c r="D1830" s="226"/>
      <c r="E1830" s="226"/>
      <c r="F1830" s="226"/>
      <c r="G1830" s="226"/>
      <c r="H1830" s="226"/>
      <c r="I1830" s="9" t="str">
        <f t="shared" si="28"/>
        <v>__</v>
      </c>
    </row>
    <row r="1831" spans="1:9" x14ac:dyDescent="0.35">
      <c r="A1831" s="226"/>
      <c r="B1831" s="226"/>
      <c r="C1831" s="226"/>
      <c r="D1831" s="226"/>
      <c r="E1831" s="226"/>
      <c r="F1831" s="226"/>
      <c r="G1831" s="226"/>
      <c r="H1831" s="226"/>
      <c r="I1831" s="9" t="str">
        <f t="shared" si="28"/>
        <v>__</v>
      </c>
    </row>
    <row r="1832" spans="1:9" x14ac:dyDescent="0.35">
      <c r="A1832" s="226"/>
      <c r="B1832" s="226"/>
      <c r="C1832" s="226"/>
      <c r="D1832" s="226"/>
      <c r="E1832" s="226"/>
      <c r="F1832" s="226"/>
      <c r="G1832" s="226"/>
      <c r="H1832" s="226"/>
      <c r="I1832" s="9" t="str">
        <f t="shared" si="28"/>
        <v>__</v>
      </c>
    </row>
    <row r="1833" spans="1:9" x14ac:dyDescent="0.35">
      <c r="A1833" s="226"/>
      <c r="B1833" s="226"/>
      <c r="C1833" s="226"/>
      <c r="D1833" s="226"/>
      <c r="E1833" s="226"/>
      <c r="F1833" s="226"/>
      <c r="G1833" s="226"/>
      <c r="H1833" s="226"/>
      <c r="I1833" s="9" t="str">
        <f t="shared" si="28"/>
        <v>__</v>
      </c>
    </row>
    <row r="1834" spans="1:9" x14ac:dyDescent="0.35">
      <c r="A1834" s="226"/>
      <c r="B1834" s="226"/>
      <c r="C1834" s="226"/>
      <c r="D1834" s="226"/>
      <c r="E1834" s="226"/>
      <c r="F1834" s="226"/>
      <c r="G1834" s="226"/>
      <c r="H1834" s="226"/>
      <c r="I1834" s="9" t="str">
        <f t="shared" si="28"/>
        <v>__</v>
      </c>
    </row>
    <row r="1835" spans="1:9" x14ac:dyDescent="0.35">
      <c r="A1835" s="226"/>
      <c r="B1835" s="226"/>
      <c r="C1835" s="226"/>
      <c r="D1835" s="226"/>
      <c r="E1835" s="226"/>
      <c r="F1835" s="226"/>
      <c r="G1835" s="226"/>
      <c r="H1835" s="226"/>
      <c r="I1835" s="9" t="str">
        <f t="shared" si="28"/>
        <v>__</v>
      </c>
    </row>
    <row r="1836" spans="1:9" x14ac:dyDescent="0.35">
      <c r="A1836" s="226"/>
      <c r="B1836" s="226"/>
      <c r="C1836" s="226"/>
      <c r="D1836" s="226"/>
      <c r="E1836" s="226"/>
      <c r="F1836" s="226"/>
      <c r="G1836" s="226"/>
      <c r="H1836" s="226"/>
      <c r="I1836" s="9" t="str">
        <f t="shared" si="28"/>
        <v>__</v>
      </c>
    </row>
    <row r="1837" spans="1:9" x14ac:dyDescent="0.35">
      <c r="A1837" s="226"/>
      <c r="B1837" s="226"/>
      <c r="C1837" s="226"/>
      <c r="D1837" s="226"/>
      <c r="E1837" s="226"/>
      <c r="F1837" s="226"/>
      <c r="G1837" s="226"/>
      <c r="H1837" s="226"/>
      <c r="I1837" s="9" t="str">
        <f t="shared" si="28"/>
        <v>__</v>
      </c>
    </row>
    <row r="1838" spans="1:9" x14ac:dyDescent="0.35">
      <c r="A1838" s="226"/>
      <c r="B1838" s="226"/>
      <c r="C1838" s="226"/>
      <c r="D1838" s="226"/>
      <c r="E1838" s="226"/>
      <c r="F1838" s="226"/>
      <c r="G1838" s="226"/>
      <c r="H1838" s="226"/>
      <c r="I1838" s="9" t="str">
        <f t="shared" si="28"/>
        <v>__</v>
      </c>
    </row>
    <row r="1839" spans="1:9" x14ac:dyDescent="0.35">
      <c r="A1839" s="226"/>
      <c r="B1839" s="226"/>
      <c r="C1839" s="226"/>
      <c r="D1839" s="226"/>
      <c r="E1839" s="226"/>
      <c r="F1839" s="226"/>
      <c r="G1839" s="226"/>
      <c r="H1839" s="226"/>
      <c r="I1839" s="9" t="str">
        <f t="shared" si="28"/>
        <v>__</v>
      </c>
    </row>
    <row r="1840" spans="1:9" x14ac:dyDescent="0.35">
      <c r="A1840" s="226"/>
      <c r="B1840" s="226"/>
      <c r="C1840" s="226"/>
      <c r="D1840" s="226"/>
      <c r="E1840" s="226"/>
      <c r="F1840" s="226"/>
      <c r="G1840" s="226"/>
      <c r="H1840" s="226"/>
      <c r="I1840" s="9" t="str">
        <f t="shared" si="28"/>
        <v>__</v>
      </c>
    </row>
    <row r="1841" spans="1:9" x14ac:dyDescent="0.35">
      <c r="A1841" s="226"/>
      <c r="B1841" s="226"/>
      <c r="C1841" s="226"/>
      <c r="D1841" s="226"/>
      <c r="E1841" s="226"/>
      <c r="F1841" s="226"/>
      <c r="G1841" s="226"/>
      <c r="H1841" s="226"/>
      <c r="I1841" s="9" t="str">
        <f t="shared" si="28"/>
        <v>__</v>
      </c>
    </row>
    <row r="1842" spans="1:9" x14ac:dyDescent="0.35">
      <c r="A1842" s="226"/>
      <c r="B1842" s="226"/>
      <c r="C1842" s="226"/>
      <c r="D1842" s="226"/>
      <c r="E1842" s="226"/>
      <c r="F1842" s="226"/>
      <c r="G1842" s="226"/>
      <c r="H1842" s="226"/>
      <c r="I1842" s="9" t="str">
        <f t="shared" si="28"/>
        <v>__</v>
      </c>
    </row>
    <row r="1843" spans="1:9" x14ac:dyDescent="0.35">
      <c r="A1843" s="226"/>
      <c r="B1843" s="226"/>
      <c r="C1843" s="226"/>
      <c r="D1843" s="226"/>
      <c r="E1843" s="226"/>
      <c r="F1843" s="226"/>
      <c r="G1843" s="226"/>
      <c r="H1843" s="226"/>
      <c r="I1843" s="9" t="str">
        <f t="shared" si="28"/>
        <v>__</v>
      </c>
    </row>
    <row r="1844" spans="1:9" x14ac:dyDescent="0.35">
      <c r="A1844" s="226"/>
      <c r="B1844" s="226"/>
      <c r="C1844" s="226"/>
      <c r="D1844" s="226"/>
      <c r="E1844" s="226"/>
      <c r="F1844" s="226"/>
      <c r="G1844" s="226"/>
      <c r="H1844" s="226"/>
      <c r="I1844" s="9" t="str">
        <f t="shared" si="28"/>
        <v>__</v>
      </c>
    </row>
    <row r="1845" spans="1:9" x14ac:dyDescent="0.35">
      <c r="A1845" s="226"/>
      <c r="B1845" s="226"/>
      <c r="C1845" s="226"/>
      <c r="D1845" s="226"/>
      <c r="E1845" s="226"/>
      <c r="F1845" s="226"/>
      <c r="G1845" s="226"/>
      <c r="H1845" s="226"/>
      <c r="I1845" s="9" t="str">
        <f t="shared" si="28"/>
        <v>__</v>
      </c>
    </row>
    <row r="1846" spans="1:9" x14ac:dyDescent="0.35">
      <c r="A1846" s="226"/>
      <c r="B1846" s="226"/>
      <c r="C1846" s="226"/>
      <c r="D1846" s="226"/>
      <c r="E1846" s="226"/>
      <c r="F1846" s="226"/>
      <c r="G1846" s="226"/>
      <c r="H1846" s="226"/>
      <c r="I1846" s="9" t="str">
        <f t="shared" si="28"/>
        <v>__</v>
      </c>
    </row>
    <row r="1847" spans="1:9" x14ac:dyDescent="0.35">
      <c r="A1847" s="226"/>
      <c r="B1847" s="226"/>
      <c r="C1847" s="226"/>
      <c r="D1847" s="226"/>
      <c r="E1847" s="226"/>
      <c r="F1847" s="226"/>
      <c r="G1847" s="226"/>
      <c r="H1847" s="226"/>
      <c r="I1847" s="9" t="str">
        <f t="shared" si="28"/>
        <v>__</v>
      </c>
    </row>
    <row r="1848" spans="1:9" x14ac:dyDescent="0.35">
      <c r="A1848" s="226"/>
      <c r="B1848" s="226"/>
      <c r="C1848" s="226"/>
      <c r="D1848" s="226"/>
      <c r="E1848" s="226"/>
      <c r="F1848" s="226"/>
      <c r="G1848" s="226"/>
      <c r="H1848" s="226"/>
      <c r="I1848" s="9" t="str">
        <f t="shared" si="28"/>
        <v>__</v>
      </c>
    </row>
    <row r="1849" spans="1:9" x14ac:dyDescent="0.35">
      <c r="A1849" s="226"/>
      <c r="B1849" s="226"/>
      <c r="C1849" s="226"/>
      <c r="D1849" s="226"/>
      <c r="E1849" s="226"/>
      <c r="F1849" s="226"/>
      <c r="G1849" s="226"/>
      <c r="H1849" s="226"/>
      <c r="I1849" s="9" t="str">
        <f t="shared" si="28"/>
        <v>__</v>
      </c>
    </row>
    <row r="1850" spans="1:9" x14ac:dyDescent="0.35">
      <c r="A1850" s="226"/>
      <c r="B1850" s="226"/>
      <c r="C1850" s="226"/>
      <c r="D1850" s="226"/>
      <c r="E1850" s="226"/>
      <c r="F1850" s="226"/>
      <c r="G1850" s="226"/>
      <c r="H1850" s="226"/>
      <c r="I1850" s="9" t="str">
        <f t="shared" si="28"/>
        <v>__</v>
      </c>
    </row>
    <row r="1851" spans="1:9" x14ac:dyDescent="0.35">
      <c r="A1851" s="226"/>
      <c r="B1851" s="226"/>
      <c r="C1851" s="226"/>
      <c r="D1851" s="226"/>
      <c r="E1851" s="226"/>
      <c r="F1851" s="226"/>
      <c r="G1851" s="226"/>
      <c r="H1851" s="226"/>
      <c r="I1851" s="9" t="str">
        <f t="shared" si="28"/>
        <v>__</v>
      </c>
    </row>
    <row r="1852" spans="1:9" x14ac:dyDescent="0.35">
      <c r="A1852" s="226"/>
      <c r="B1852" s="226"/>
      <c r="C1852" s="226"/>
      <c r="D1852" s="226"/>
      <c r="E1852" s="226"/>
      <c r="F1852" s="226"/>
      <c r="G1852" s="226"/>
      <c r="H1852" s="226"/>
      <c r="I1852" s="9" t="str">
        <f t="shared" si="28"/>
        <v>__</v>
      </c>
    </row>
    <row r="1853" spans="1:9" x14ac:dyDescent="0.35">
      <c r="A1853" s="226"/>
      <c r="B1853" s="226"/>
      <c r="C1853" s="226"/>
      <c r="D1853" s="226"/>
      <c r="E1853" s="226"/>
      <c r="F1853" s="226"/>
      <c r="G1853" s="226"/>
      <c r="H1853" s="226"/>
      <c r="I1853" s="9" t="str">
        <f t="shared" si="28"/>
        <v>__</v>
      </c>
    </row>
    <row r="1854" spans="1:9" x14ac:dyDescent="0.35">
      <c r="A1854" s="226"/>
      <c r="B1854" s="226"/>
      <c r="C1854" s="226"/>
      <c r="D1854" s="226"/>
      <c r="E1854" s="226"/>
      <c r="F1854" s="226"/>
      <c r="G1854" s="226"/>
      <c r="H1854" s="226"/>
      <c r="I1854" s="9" t="str">
        <f t="shared" si="28"/>
        <v>__</v>
      </c>
    </row>
    <row r="1855" spans="1:9" x14ac:dyDescent="0.35">
      <c r="A1855" s="226"/>
      <c r="B1855" s="226"/>
      <c r="C1855" s="226"/>
      <c r="D1855" s="226"/>
      <c r="E1855" s="226"/>
      <c r="F1855" s="226"/>
      <c r="G1855" s="226"/>
      <c r="H1855" s="226"/>
      <c r="I1855" s="9" t="str">
        <f t="shared" si="28"/>
        <v>__</v>
      </c>
    </row>
    <row r="1856" spans="1:9" x14ac:dyDescent="0.35">
      <c r="A1856" s="226"/>
      <c r="B1856" s="226"/>
      <c r="C1856" s="226"/>
      <c r="D1856" s="226"/>
      <c r="E1856" s="226"/>
      <c r="F1856" s="226"/>
      <c r="G1856" s="226"/>
      <c r="H1856" s="226"/>
      <c r="I1856" s="9" t="str">
        <f t="shared" si="28"/>
        <v>__</v>
      </c>
    </row>
    <row r="1857" spans="1:9" x14ac:dyDescent="0.35">
      <c r="A1857" s="226"/>
      <c r="B1857" s="226"/>
      <c r="C1857" s="226"/>
      <c r="D1857" s="226"/>
      <c r="E1857" s="226"/>
      <c r="F1857" s="226"/>
      <c r="G1857" s="226"/>
      <c r="H1857" s="226"/>
      <c r="I1857" s="9" t="str">
        <f t="shared" si="28"/>
        <v>__</v>
      </c>
    </row>
    <row r="1858" spans="1:9" x14ac:dyDescent="0.35">
      <c r="A1858" s="226"/>
      <c r="B1858" s="226"/>
      <c r="C1858" s="226"/>
      <c r="D1858" s="226"/>
      <c r="E1858" s="226"/>
      <c r="F1858" s="226"/>
      <c r="G1858" s="226"/>
      <c r="H1858" s="226"/>
      <c r="I1858" s="9" t="str">
        <f t="shared" si="28"/>
        <v>__</v>
      </c>
    </row>
    <row r="1859" spans="1:9" x14ac:dyDescent="0.35">
      <c r="A1859" s="226"/>
      <c r="B1859" s="226"/>
      <c r="C1859" s="226"/>
      <c r="D1859" s="226"/>
      <c r="E1859" s="226"/>
      <c r="F1859" s="226"/>
      <c r="G1859" s="226"/>
      <c r="H1859" s="226"/>
      <c r="I1859" s="9" t="str">
        <f t="shared" si="28"/>
        <v>__</v>
      </c>
    </row>
    <row r="1860" spans="1:9" x14ac:dyDescent="0.35">
      <c r="A1860" s="226"/>
      <c r="B1860" s="226"/>
      <c r="C1860" s="226"/>
      <c r="D1860" s="226"/>
      <c r="E1860" s="226"/>
      <c r="F1860" s="226"/>
      <c r="G1860" s="226"/>
      <c r="H1860" s="226"/>
      <c r="I1860" s="9" t="str">
        <f t="shared" si="28"/>
        <v>__</v>
      </c>
    </row>
    <row r="1861" spans="1:9" x14ac:dyDescent="0.35">
      <c r="A1861" s="226"/>
      <c r="B1861" s="226"/>
      <c r="C1861" s="226"/>
      <c r="D1861" s="226"/>
      <c r="E1861" s="226"/>
      <c r="F1861" s="226"/>
      <c r="G1861" s="226"/>
      <c r="H1861" s="226"/>
      <c r="I1861" s="9" t="str">
        <f t="shared" ref="I1861:I1924" si="29">CONCATENATE(A1861,"_",B1861,"_",C1861)</f>
        <v>__</v>
      </c>
    </row>
    <row r="1862" spans="1:9" x14ac:dyDescent="0.35">
      <c r="A1862" s="226"/>
      <c r="B1862" s="226"/>
      <c r="C1862" s="226"/>
      <c r="D1862" s="226"/>
      <c r="E1862" s="226"/>
      <c r="F1862" s="226"/>
      <c r="G1862" s="226"/>
      <c r="H1862" s="226"/>
      <c r="I1862" s="9" t="str">
        <f t="shared" si="29"/>
        <v>__</v>
      </c>
    </row>
    <row r="1863" spans="1:9" x14ac:dyDescent="0.35">
      <c r="A1863" s="226"/>
      <c r="B1863" s="226"/>
      <c r="C1863" s="226"/>
      <c r="D1863" s="226"/>
      <c r="E1863" s="226"/>
      <c r="F1863" s="226"/>
      <c r="G1863" s="226"/>
      <c r="H1863" s="226"/>
      <c r="I1863" s="9" t="str">
        <f t="shared" si="29"/>
        <v>__</v>
      </c>
    </row>
    <row r="1864" spans="1:9" x14ac:dyDescent="0.35">
      <c r="A1864" s="226"/>
      <c r="B1864" s="226"/>
      <c r="C1864" s="226"/>
      <c r="D1864" s="226"/>
      <c r="E1864" s="226"/>
      <c r="F1864" s="226"/>
      <c r="G1864" s="226"/>
      <c r="H1864" s="226"/>
      <c r="I1864" s="9" t="str">
        <f t="shared" si="29"/>
        <v>__</v>
      </c>
    </row>
    <row r="1865" spans="1:9" x14ac:dyDescent="0.35">
      <c r="A1865" s="226"/>
      <c r="B1865" s="226"/>
      <c r="C1865" s="226"/>
      <c r="D1865" s="226"/>
      <c r="E1865" s="226"/>
      <c r="F1865" s="226"/>
      <c r="G1865" s="226"/>
      <c r="H1865" s="226"/>
      <c r="I1865" s="9" t="str">
        <f t="shared" si="29"/>
        <v>__</v>
      </c>
    </row>
    <row r="1866" spans="1:9" x14ac:dyDescent="0.35">
      <c r="A1866" s="226"/>
      <c r="B1866" s="226"/>
      <c r="C1866" s="226"/>
      <c r="D1866" s="226"/>
      <c r="E1866" s="226"/>
      <c r="F1866" s="226"/>
      <c r="G1866" s="226"/>
      <c r="H1866" s="226"/>
      <c r="I1866" s="9" t="str">
        <f t="shared" si="29"/>
        <v>__</v>
      </c>
    </row>
    <row r="1867" spans="1:9" x14ac:dyDescent="0.35">
      <c r="A1867" s="226"/>
      <c r="B1867" s="226"/>
      <c r="C1867" s="226"/>
      <c r="D1867" s="226"/>
      <c r="E1867" s="226"/>
      <c r="F1867" s="226"/>
      <c r="G1867" s="226"/>
      <c r="H1867" s="226"/>
      <c r="I1867" s="9" t="str">
        <f t="shared" si="29"/>
        <v>__</v>
      </c>
    </row>
    <row r="1868" spans="1:9" x14ac:dyDescent="0.35">
      <c r="A1868" s="226"/>
      <c r="B1868" s="226"/>
      <c r="C1868" s="226"/>
      <c r="D1868" s="226"/>
      <c r="E1868" s="226"/>
      <c r="F1868" s="226"/>
      <c r="G1868" s="226"/>
      <c r="H1868" s="226"/>
      <c r="I1868" s="9" t="str">
        <f t="shared" si="29"/>
        <v>__</v>
      </c>
    </row>
    <row r="1869" spans="1:9" x14ac:dyDescent="0.35">
      <c r="A1869" s="226"/>
      <c r="B1869" s="226"/>
      <c r="C1869" s="226"/>
      <c r="D1869" s="226"/>
      <c r="E1869" s="226"/>
      <c r="F1869" s="226"/>
      <c r="G1869" s="226"/>
      <c r="H1869" s="226"/>
      <c r="I1869" s="9" t="str">
        <f t="shared" si="29"/>
        <v>__</v>
      </c>
    </row>
    <row r="1870" spans="1:9" x14ac:dyDescent="0.35">
      <c r="A1870" s="226"/>
      <c r="B1870" s="226"/>
      <c r="C1870" s="226"/>
      <c r="D1870" s="226"/>
      <c r="E1870" s="226"/>
      <c r="F1870" s="226"/>
      <c r="G1870" s="226"/>
      <c r="H1870" s="226"/>
      <c r="I1870" s="9" t="str">
        <f t="shared" si="29"/>
        <v>__</v>
      </c>
    </row>
    <row r="1871" spans="1:9" x14ac:dyDescent="0.35">
      <c r="A1871" s="226"/>
      <c r="B1871" s="226"/>
      <c r="C1871" s="226"/>
      <c r="D1871" s="226"/>
      <c r="E1871" s="226"/>
      <c r="F1871" s="226"/>
      <c r="G1871" s="226"/>
      <c r="H1871" s="226"/>
      <c r="I1871" s="9" t="str">
        <f t="shared" si="29"/>
        <v>__</v>
      </c>
    </row>
    <row r="1872" spans="1:9" x14ac:dyDescent="0.35">
      <c r="A1872" s="226"/>
      <c r="B1872" s="226"/>
      <c r="C1872" s="226"/>
      <c r="D1872" s="226"/>
      <c r="E1872" s="226"/>
      <c r="F1872" s="226"/>
      <c r="G1872" s="226"/>
      <c r="H1872" s="226"/>
      <c r="I1872" s="9" t="str">
        <f t="shared" si="29"/>
        <v>__</v>
      </c>
    </row>
    <row r="1873" spans="1:9" x14ac:dyDescent="0.35">
      <c r="A1873" s="226"/>
      <c r="B1873" s="226"/>
      <c r="C1873" s="226"/>
      <c r="D1873" s="226"/>
      <c r="E1873" s="226"/>
      <c r="F1873" s="226"/>
      <c r="G1873" s="226"/>
      <c r="H1873" s="226"/>
      <c r="I1873" s="9" t="str">
        <f t="shared" si="29"/>
        <v>__</v>
      </c>
    </row>
    <row r="1874" spans="1:9" x14ac:dyDescent="0.35">
      <c r="A1874" s="226"/>
      <c r="B1874" s="226"/>
      <c r="C1874" s="226"/>
      <c r="D1874" s="226"/>
      <c r="E1874" s="226"/>
      <c r="F1874" s="226"/>
      <c r="G1874" s="226"/>
      <c r="H1874" s="226"/>
      <c r="I1874" s="9" t="str">
        <f t="shared" si="29"/>
        <v>__</v>
      </c>
    </row>
    <row r="1875" spans="1:9" x14ac:dyDescent="0.35">
      <c r="A1875" s="226"/>
      <c r="B1875" s="226"/>
      <c r="C1875" s="226"/>
      <c r="D1875" s="226"/>
      <c r="E1875" s="226"/>
      <c r="F1875" s="226"/>
      <c r="G1875" s="226"/>
      <c r="H1875" s="226"/>
      <c r="I1875" s="9" t="str">
        <f t="shared" si="29"/>
        <v>__</v>
      </c>
    </row>
    <row r="1876" spans="1:9" x14ac:dyDescent="0.35">
      <c r="A1876" s="226"/>
      <c r="B1876" s="226"/>
      <c r="C1876" s="226"/>
      <c r="D1876" s="226"/>
      <c r="E1876" s="226"/>
      <c r="F1876" s="226"/>
      <c r="G1876" s="226"/>
      <c r="H1876" s="226"/>
      <c r="I1876" s="9" t="str">
        <f t="shared" si="29"/>
        <v>__</v>
      </c>
    </row>
    <row r="1877" spans="1:9" x14ac:dyDescent="0.35">
      <c r="A1877" s="226"/>
      <c r="B1877" s="226"/>
      <c r="C1877" s="226"/>
      <c r="D1877" s="226"/>
      <c r="E1877" s="226"/>
      <c r="F1877" s="226"/>
      <c r="G1877" s="226"/>
      <c r="H1877" s="226"/>
      <c r="I1877" s="9" t="str">
        <f t="shared" si="29"/>
        <v>__</v>
      </c>
    </row>
    <row r="1878" spans="1:9" x14ac:dyDescent="0.35">
      <c r="A1878" s="226"/>
      <c r="B1878" s="226"/>
      <c r="C1878" s="226"/>
      <c r="D1878" s="226"/>
      <c r="E1878" s="226"/>
      <c r="F1878" s="226"/>
      <c r="G1878" s="226"/>
      <c r="H1878" s="226"/>
      <c r="I1878" s="9" t="str">
        <f t="shared" si="29"/>
        <v>__</v>
      </c>
    </row>
    <row r="1879" spans="1:9" x14ac:dyDescent="0.35">
      <c r="A1879" s="226"/>
      <c r="B1879" s="226"/>
      <c r="C1879" s="226"/>
      <c r="D1879" s="226"/>
      <c r="E1879" s="226"/>
      <c r="F1879" s="226"/>
      <c r="G1879" s="226"/>
      <c r="H1879" s="226"/>
      <c r="I1879" s="9" t="str">
        <f t="shared" si="29"/>
        <v>__</v>
      </c>
    </row>
    <row r="1880" spans="1:9" x14ac:dyDescent="0.35">
      <c r="A1880" s="226"/>
      <c r="B1880" s="226"/>
      <c r="C1880" s="226"/>
      <c r="D1880" s="226"/>
      <c r="E1880" s="226"/>
      <c r="F1880" s="226"/>
      <c r="G1880" s="226"/>
      <c r="H1880" s="226"/>
      <c r="I1880" s="9" t="str">
        <f t="shared" si="29"/>
        <v>__</v>
      </c>
    </row>
    <row r="1881" spans="1:9" x14ac:dyDescent="0.35">
      <c r="A1881" s="226"/>
      <c r="B1881" s="226"/>
      <c r="C1881" s="226"/>
      <c r="D1881" s="226"/>
      <c r="E1881" s="226"/>
      <c r="F1881" s="226"/>
      <c r="G1881" s="226"/>
      <c r="H1881" s="226"/>
      <c r="I1881" s="9" t="str">
        <f t="shared" si="29"/>
        <v>__</v>
      </c>
    </row>
    <row r="1882" spans="1:9" x14ac:dyDescent="0.35">
      <c r="A1882" s="226"/>
      <c r="B1882" s="226"/>
      <c r="C1882" s="226"/>
      <c r="D1882" s="226"/>
      <c r="E1882" s="226"/>
      <c r="F1882" s="226"/>
      <c r="G1882" s="226"/>
      <c r="H1882" s="226"/>
      <c r="I1882" s="9" t="str">
        <f t="shared" si="29"/>
        <v>__</v>
      </c>
    </row>
    <row r="1883" spans="1:9" x14ac:dyDescent="0.35">
      <c r="A1883" s="226"/>
      <c r="B1883" s="226"/>
      <c r="C1883" s="226"/>
      <c r="D1883" s="226"/>
      <c r="E1883" s="226"/>
      <c r="F1883" s="226"/>
      <c r="G1883" s="226"/>
      <c r="H1883" s="226"/>
      <c r="I1883" s="9" t="str">
        <f t="shared" si="29"/>
        <v>__</v>
      </c>
    </row>
    <row r="1884" spans="1:9" x14ac:dyDescent="0.35">
      <c r="A1884" s="226"/>
      <c r="B1884" s="226"/>
      <c r="C1884" s="226"/>
      <c r="D1884" s="226"/>
      <c r="E1884" s="226"/>
      <c r="F1884" s="226"/>
      <c r="G1884" s="226"/>
      <c r="H1884" s="226"/>
      <c r="I1884" s="9" t="str">
        <f t="shared" si="29"/>
        <v>__</v>
      </c>
    </row>
    <row r="1885" spans="1:9" x14ac:dyDescent="0.35">
      <c r="A1885" s="226"/>
      <c r="B1885" s="226"/>
      <c r="C1885" s="226"/>
      <c r="D1885" s="226"/>
      <c r="E1885" s="226"/>
      <c r="F1885" s="226"/>
      <c r="G1885" s="226"/>
      <c r="H1885" s="226"/>
      <c r="I1885" s="9" t="str">
        <f t="shared" si="29"/>
        <v>__</v>
      </c>
    </row>
    <row r="1886" spans="1:9" x14ac:dyDescent="0.35">
      <c r="A1886" s="226"/>
      <c r="B1886" s="226"/>
      <c r="C1886" s="226"/>
      <c r="D1886" s="226"/>
      <c r="E1886" s="226"/>
      <c r="F1886" s="226"/>
      <c r="G1886" s="226"/>
      <c r="H1886" s="226"/>
      <c r="I1886" s="9" t="str">
        <f t="shared" si="29"/>
        <v>__</v>
      </c>
    </row>
    <row r="1887" spans="1:9" x14ac:dyDescent="0.35">
      <c r="A1887" s="226"/>
      <c r="B1887" s="226"/>
      <c r="C1887" s="226"/>
      <c r="D1887" s="226"/>
      <c r="E1887" s="226"/>
      <c r="F1887" s="226"/>
      <c r="G1887" s="226"/>
      <c r="H1887" s="226"/>
      <c r="I1887" s="9" t="str">
        <f t="shared" si="29"/>
        <v>__</v>
      </c>
    </row>
    <row r="1888" spans="1:9" x14ac:dyDescent="0.35">
      <c r="A1888" s="226"/>
      <c r="B1888" s="226"/>
      <c r="C1888" s="226"/>
      <c r="D1888" s="226"/>
      <c r="E1888" s="226"/>
      <c r="F1888" s="226"/>
      <c r="G1888" s="226"/>
      <c r="H1888" s="226"/>
      <c r="I1888" s="9" t="str">
        <f t="shared" si="29"/>
        <v>__</v>
      </c>
    </row>
    <row r="1889" spans="1:9" x14ac:dyDescent="0.35">
      <c r="A1889" s="226"/>
      <c r="B1889" s="226"/>
      <c r="C1889" s="226"/>
      <c r="D1889" s="226"/>
      <c r="E1889" s="226"/>
      <c r="F1889" s="226"/>
      <c r="G1889" s="226"/>
      <c r="H1889" s="226"/>
      <c r="I1889" s="9" t="str">
        <f t="shared" si="29"/>
        <v>__</v>
      </c>
    </row>
    <row r="1890" spans="1:9" x14ac:dyDescent="0.35">
      <c r="A1890" s="226"/>
      <c r="B1890" s="226"/>
      <c r="C1890" s="226"/>
      <c r="D1890" s="226"/>
      <c r="E1890" s="226"/>
      <c r="F1890" s="226"/>
      <c r="G1890" s="226"/>
      <c r="H1890" s="226"/>
      <c r="I1890" s="9" t="str">
        <f t="shared" si="29"/>
        <v>__</v>
      </c>
    </row>
    <row r="1891" spans="1:9" x14ac:dyDescent="0.35">
      <c r="A1891" s="226"/>
      <c r="B1891" s="226"/>
      <c r="C1891" s="226"/>
      <c r="D1891" s="226"/>
      <c r="E1891" s="226"/>
      <c r="F1891" s="226"/>
      <c r="G1891" s="226"/>
      <c r="H1891" s="226"/>
      <c r="I1891" s="9" t="str">
        <f t="shared" si="29"/>
        <v>__</v>
      </c>
    </row>
    <row r="1892" spans="1:9" x14ac:dyDescent="0.35">
      <c r="A1892" s="226"/>
      <c r="B1892" s="226"/>
      <c r="C1892" s="226"/>
      <c r="D1892" s="226"/>
      <c r="E1892" s="226"/>
      <c r="F1892" s="226"/>
      <c r="G1892" s="226"/>
      <c r="H1892" s="226"/>
      <c r="I1892" s="9" t="str">
        <f t="shared" si="29"/>
        <v>__</v>
      </c>
    </row>
    <row r="1893" spans="1:9" x14ac:dyDescent="0.35">
      <c r="A1893" s="226"/>
      <c r="B1893" s="226"/>
      <c r="C1893" s="226"/>
      <c r="D1893" s="226"/>
      <c r="E1893" s="226"/>
      <c r="F1893" s="226"/>
      <c r="G1893" s="226"/>
      <c r="H1893" s="226"/>
      <c r="I1893" s="9" t="str">
        <f t="shared" si="29"/>
        <v>__</v>
      </c>
    </row>
    <row r="1894" spans="1:9" x14ac:dyDescent="0.35">
      <c r="A1894" s="226"/>
      <c r="B1894" s="226"/>
      <c r="C1894" s="226"/>
      <c r="D1894" s="226"/>
      <c r="E1894" s="226"/>
      <c r="F1894" s="226"/>
      <c r="G1894" s="226"/>
      <c r="H1894" s="226"/>
      <c r="I1894" s="9" t="str">
        <f t="shared" si="29"/>
        <v>__</v>
      </c>
    </row>
    <row r="1895" spans="1:9" x14ac:dyDescent="0.35">
      <c r="A1895" s="226"/>
      <c r="B1895" s="226"/>
      <c r="C1895" s="226"/>
      <c r="D1895" s="226"/>
      <c r="E1895" s="226"/>
      <c r="F1895" s="226"/>
      <c r="G1895" s="226"/>
      <c r="H1895" s="226"/>
      <c r="I1895" s="9" t="str">
        <f t="shared" si="29"/>
        <v>__</v>
      </c>
    </row>
    <row r="1896" spans="1:9" x14ac:dyDescent="0.35">
      <c r="A1896" s="226"/>
      <c r="B1896" s="226"/>
      <c r="C1896" s="226"/>
      <c r="D1896" s="226"/>
      <c r="E1896" s="226"/>
      <c r="F1896" s="226"/>
      <c r="G1896" s="226"/>
      <c r="H1896" s="226"/>
      <c r="I1896" s="9" t="str">
        <f t="shared" si="29"/>
        <v>__</v>
      </c>
    </row>
    <row r="1897" spans="1:9" x14ac:dyDescent="0.35">
      <c r="A1897" s="226"/>
      <c r="B1897" s="226"/>
      <c r="C1897" s="226"/>
      <c r="D1897" s="226"/>
      <c r="E1897" s="226"/>
      <c r="F1897" s="226"/>
      <c r="G1897" s="226"/>
      <c r="H1897" s="226"/>
      <c r="I1897" s="9" t="str">
        <f t="shared" si="29"/>
        <v>__</v>
      </c>
    </row>
    <row r="1898" spans="1:9" x14ac:dyDescent="0.35">
      <c r="A1898" s="226"/>
      <c r="B1898" s="226"/>
      <c r="C1898" s="226"/>
      <c r="D1898" s="226"/>
      <c r="E1898" s="226"/>
      <c r="F1898" s="226"/>
      <c r="G1898" s="226"/>
      <c r="H1898" s="226"/>
      <c r="I1898" s="9" t="str">
        <f t="shared" si="29"/>
        <v>__</v>
      </c>
    </row>
    <row r="1899" spans="1:9" x14ac:dyDescent="0.35">
      <c r="A1899" s="226"/>
      <c r="B1899" s="226"/>
      <c r="C1899" s="226"/>
      <c r="D1899" s="226"/>
      <c r="E1899" s="226"/>
      <c r="F1899" s="226"/>
      <c r="G1899" s="226"/>
      <c r="H1899" s="226"/>
      <c r="I1899" s="9" t="str">
        <f t="shared" si="29"/>
        <v>__</v>
      </c>
    </row>
    <row r="1900" spans="1:9" x14ac:dyDescent="0.35">
      <c r="A1900" s="226"/>
      <c r="B1900" s="226"/>
      <c r="C1900" s="226"/>
      <c r="D1900" s="226"/>
      <c r="E1900" s="226"/>
      <c r="F1900" s="226"/>
      <c r="G1900" s="226"/>
      <c r="H1900" s="226"/>
      <c r="I1900" s="9" t="str">
        <f t="shared" si="29"/>
        <v>__</v>
      </c>
    </row>
    <row r="1901" spans="1:9" x14ac:dyDescent="0.35">
      <c r="A1901" s="226"/>
      <c r="B1901" s="226"/>
      <c r="C1901" s="226"/>
      <c r="D1901" s="226"/>
      <c r="E1901" s="226"/>
      <c r="F1901" s="226"/>
      <c r="G1901" s="226"/>
      <c r="H1901" s="226"/>
      <c r="I1901" s="9" t="str">
        <f t="shared" si="29"/>
        <v>__</v>
      </c>
    </row>
    <row r="1902" spans="1:9" x14ac:dyDescent="0.35">
      <c r="A1902" s="226"/>
      <c r="B1902" s="226"/>
      <c r="C1902" s="226"/>
      <c r="D1902" s="226"/>
      <c r="E1902" s="226"/>
      <c r="F1902" s="226"/>
      <c r="G1902" s="226"/>
      <c r="H1902" s="226"/>
      <c r="I1902" s="9" t="str">
        <f t="shared" si="29"/>
        <v>__</v>
      </c>
    </row>
    <row r="1903" spans="1:9" x14ac:dyDescent="0.35">
      <c r="A1903" s="226"/>
      <c r="B1903" s="226"/>
      <c r="C1903" s="226"/>
      <c r="D1903" s="226"/>
      <c r="E1903" s="226"/>
      <c r="F1903" s="226"/>
      <c r="G1903" s="226"/>
      <c r="H1903" s="226"/>
      <c r="I1903" s="9" t="str">
        <f t="shared" si="29"/>
        <v>__</v>
      </c>
    </row>
    <row r="1904" spans="1:9" x14ac:dyDescent="0.35">
      <c r="A1904" s="226"/>
      <c r="B1904" s="226"/>
      <c r="C1904" s="226"/>
      <c r="D1904" s="226"/>
      <c r="E1904" s="226"/>
      <c r="F1904" s="226"/>
      <c r="G1904" s="226"/>
      <c r="H1904" s="226"/>
      <c r="I1904" s="9" t="str">
        <f t="shared" si="29"/>
        <v>__</v>
      </c>
    </row>
    <row r="1905" spans="1:9" x14ac:dyDescent="0.35">
      <c r="A1905" s="226"/>
      <c r="B1905" s="226"/>
      <c r="C1905" s="226"/>
      <c r="D1905" s="226"/>
      <c r="E1905" s="226"/>
      <c r="F1905" s="226"/>
      <c r="G1905" s="226"/>
      <c r="H1905" s="226"/>
      <c r="I1905" s="9" t="str">
        <f t="shared" si="29"/>
        <v>__</v>
      </c>
    </row>
    <row r="1906" spans="1:9" x14ac:dyDescent="0.35">
      <c r="A1906" s="226"/>
      <c r="B1906" s="226"/>
      <c r="C1906" s="226"/>
      <c r="D1906" s="226"/>
      <c r="E1906" s="226"/>
      <c r="F1906" s="226"/>
      <c r="G1906" s="226"/>
      <c r="H1906" s="226"/>
      <c r="I1906" s="9" t="str">
        <f t="shared" si="29"/>
        <v>__</v>
      </c>
    </row>
    <row r="1907" spans="1:9" x14ac:dyDescent="0.35">
      <c r="A1907" s="226"/>
      <c r="B1907" s="226"/>
      <c r="C1907" s="226"/>
      <c r="D1907" s="226"/>
      <c r="E1907" s="226"/>
      <c r="F1907" s="226"/>
      <c r="G1907" s="226"/>
      <c r="H1907" s="226"/>
      <c r="I1907" s="9" t="str">
        <f t="shared" si="29"/>
        <v>__</v>
      </c>
    </row>
    <row r="1908" spans="1:9" x14ac:dyDescent="0.35">
      <c r="A1908" s="226"/>
      <c r="B1908" s="226"/>
      <c r="C1908" s="226"/>
      <c r="D1908" s="226"/>
      <c r="E1908" s="226"/>
      <c r="F1908" s="226"/>
      <c r="G1908" s="226"/>
      <c r="H1908" s="226"/>
      <c r="I1908" s="9" t="str">
        <f t="shared" si="29"/>
        <v>__</v>
      </c>
    </row>
    <row r="1909" spans="1:9" x14ac:dyDescent="0.35">
      <c r="A1909" s="226"/>
      <c r="B1909" s="226"/>
      <c r="C1909" s="226"/>
      <c r="D1909" s="226"/>
      <c r="E1909" s="226"/>
      <c r="F1909" s="226"/>
      <c r="G1909" s="226"/>
      <c r="H1909" s="226"/>
      <c r="I1909" s="9" t="str">
        <f t="shared" si="29"/>
        <v>__</v>
      </c>
    </row>
    <row r="1910" spans="1:9" x14ac:dyDescent="0.35">
      <c r="A1910" s="226"/>
      <c r="B1910" s="226"/>
      <c r="C1910" s="226"/>
      <c r="D1910" s="226"/>
      <c r="E1910" s="226"/>
      <c r="F1910" s="226"/>
      <c r="G1910" s="226"/>
      <c r="H1910" s="226"/>
      <c r="I1910" s="9" t="str">
        <f t="shared" si="29"/>
        <v>__</v>
      </c>
    </row>
    <row r="1911" spans="1:9" x14ac:dyDescent="0.35">
      <c r="A1911" s="226"/>
      <c r="B1911" s="226"/>
      <c r="C1911" s="226"/>
      <c r="D1911" s="226"/>
      <c r="E1911" s="226"/>
      <c r="F1911" s="226"/>
      <c r="G1911" s="226"/>
      <c r="H1911" s="226"/>
      <c r="I1911" s="9" t="str">
        <f t="shared" si="29"/>
        <v>__</v>
      </c>
    </row>
    <row r="1912" spans="1:9" x14ac:dyDescent="0.35">
      <c r="A1912" s="226"/>
      <c r="B1912" s="226"/>
      <c r="C1912" s="226"/>
      <c r="D1912" s="226"/>
      <c r="E1912" s="226"/>
      <c r="F1912" s="226"/>
      <c r="G1912" s="226"/>
      <c r="H1912" s="226"/>
      <c r="I1912" s="9" t="str">
        <f t="shared" si="29"/>
        <v>__</v>
      </c>
    </row>
    <row r="1913" spans="1:9" x14ac:dyDescent="0.35">
      <c r="A1913" s="226"/>
      <c r="B1913" s="226"/>
      <c r="C1913" s="226"/>
      <c r="D1913" s="226"/>
      <c r="E1913" s="226"/>
      <c r="F1913" s="226"/>
      <c r="G1913" s="226"/>
      <c r="H1913" s="226"/>
      <c r="I1913" s="9" t="str">
        <f t="shared" si="29"/>
        <v>__</v>
      </c>
    </row>
    <row r="1914" spans="1:9" x14ac:dyDescent="0.35">
      <c r="A1914" s="226"/>
      <c r="B1914" s="226"/>
      <c r="C1914" s="226"/>
      <c r="D1914" s="226"/>
      <c r="E1914" s="226"/>
      <c r="F1914" s="226"/>
      <c r="G1914" s="226"/>
      <c r="H1914" s="226"/>
      <c r="I1914" s="9" t="str">
        <f t="shared" si="29"/>
        <v>__</v>
      </c>
    </row>
    <row r="1915" spans="1:9" x14ac:dyDescent="0.35">
      <c r="A1915" s="226"/>
      <c r="B1915" s="226"/>
      <c r="C1915" s="226"/>
      <c r="D1915" s="226"/>
      <c r="E1915" s="226"/>
      <c r="F1915" s="226"/>
      <c r="G1915" s="226"/>
      <c r="H1915" s="226"/>
      <c r="I1915" s="9" t="str">
        <f t="shared" si="29"/>
        <v>__</v>
      </c>
    </row>
    <row r="1916" spans="1:9" x14ac:dyDescent="0.35">
      <c r="A1916" s="226"/>
      <c r="B1916" s="226"/>
      <c r="C1916" s="226"/>
      <c r="D1916" s="226"/>
      <c r="E1916" s="226"/>
      <c r="F1916" s="226"/>
      <c r="G1916" s="226"/>
      <c r="H1916" s="226"/>
      <c r="I1916" s="9" t="str">
        <f t="shared" si="29"/>
        <v>__</v>
      </c>
    </row>
    <row r="1917" spans="1:9" x14ac:dyDescent="0.35">
      <c r="A1917" s="226"/>
      <c r="B1917" s="226"/>
      <c r="C1917" s="226"/>
      <c r="D1917" s="226"/>
      <c r="E1917" s="226"/>
      <c r="F1917" s="226"/>
      <c r="G1917" s="226"/>
      <c r="H1917" s="226"/>
      <c r="I1917" s="9" t="str">
        <f t="shared" si="29"/>
        <v>__</v>
      </c>
    </row>
    <row r="1918" spans="1:9" x14ac:dyDescent="0.35">
      <c r="A1918" s="226"/>
      <c r="B1918" s="226"/>
      <c r="C1918" s="226"/>
      <c r="D1918" s="226"/>
      <c r="E1918" s="226"/>
      <c r="F1918" s="226"/>
      <c r="G1918" s="226"/>
      <c r="H1918" s="226"/>
      <c r="I1918" s="9" t="str">
        <f t="shared" si="29"/>
        <v>__</v>
      </c>
    </row>
    <row r="1919" spans="1:9" x14ac:dyDescent="0.35">
      <c r="A1919" s="226"/>
      <c r="B1919" s="226"/>
      <c r="C1919" s="226"/>
      <c r="D1919" s="226"/>
      <c r="E1919" s="226"/>
      <c r="F1919" s="226"/>
      <c r="G1919" s="226"/>
      <c r="H1919" s="226"/>
      <c r="I1919" s="9" t="str">
        <f t="shared" si="29"/>
        <v>__</v>
      </c>
    </row>
    <row r="1920" spans="1:9" x14ac:dyDescent="0.35">
      <c r="A1920" s="226"/>
      <c r="B1920" s="226"/>
      <c r="C1920" s="226"/>
      <c r="D1920" s="226"/>
      <c r="E1920" s="226"/>
      <c r="F1920" s="226"/>
      <c r="G1920" s="226"/>
      <c r="H1920" s="226"/>
      <c r="I1920" s="9" t="str">
        <f t="shared" si="29"/>
        <v>__</v>
      </c>
    </row>
    <row r="1921" spans="1:9" x14ac:dyDescent="0.35">
      <c r="A1921" s="226"/>
      <c r="B1921" s="226"/>
      <c r="C1921" s="226"/>
      <c r="D1921" s="226"/>
      <c r="E1921" s="226"/>
      <c r="F1921" s="226"/>
      <c r="G1921" s="226"/>
      <c r="H1921" s="226"/>
      <c r="I1921" s="9" t="str">
        <f t="shared" si="29"/>
        <v>__</v>
      </c>
    </row>
    <row r="1922" spans="1:9" x14ac:dyDescent="0.35">
      <c r="A1922" s="226"/>
      <c r="B1922" s="226"/>
      <c r="C1922" s="226"/>
      <c r="D1922" s="226"/>
      <c r="E1922" s="226"/>
      <c r="F1922" s="226"/>
      <c r="G1922" s="226"/>
      <c r="H1922" s="226"/>
      <c r="I1922" s="9" t="str">
        <f t="shared" si="29"/>
        <v>__</v>
      </c>
    </row>
    <row r="1923" spans="1:9" x14ac:dyDescent="0.35">
      <c r="A1923" s="226"/>
      <c r="B1923" s="226"/>
      <c r="C1923" s="226"/>
      <c r="D1923" s="226"/>
      <c r="E1923" s="226"/>
      <c r="F1923" s="226"/>
      <c r="G1923" s="226"/>
      <c r="H1923" s="226"/>
      <c r="I1923" s="9" t="str">
        <f t="shared" si="29"/>
        <v>__</v>
      </c>
    </row>
    <row r="1924" spans="1:9" x14ac:dyDescent="0.35">
      <c r="A1924" s="226"/>
      <c r="B1924" s="226"/>
      <c r="C1924" s="226"/>
      <c r="D1924" s="226"/>
      <c r="E1924" s="226"/>
      <c r="F1924" s="226"/>
      <c r="G1924" s="226"/>
      <c r="H1924" s="226"/>
      <c r="I1924" s="9" t="str">
        <f t="shared" si="29"/>
        <v>__</v>
      </c>
    </row>
    <row r="1925" spans="1:9" x14ac:dyDescent="0.35">
      <c r="A1925" s="226"/>
      <c r="B1925" s="226"/>
      <c r="C1925" s="226"/>
      <c r="D1925" s="226"/>
      <c r="E1925" s="226"/>
      <c r="F1925" s="226"/>
      <c r="G1925" s="226"/>
      <c r="H1925" s="226"/>
      <c r="I1925" s="9" t="str">
        <f t="shared" ref="I1925:I1988" si="30">CONCATENATE(A1925,"_",B1925,"_",C1925)</f>
        <v>__</v>
      </c>
    </row>
    <row r="1926" spans="1:9" x14ac:dyDescent="0.35">
      <c r="A1926" s="226"/>
      <c r="B1926" s="226"/>
      <c r="C1926" s="226"/>
      <c r="D1926" s="226"/>
      <c r="E1926" s="226"/>
      <c r="F1926" s="226"/>
      <c r="G1926" s="226"/>
      <c r="H1926" s="226"/>
      <c r="I1926" s="9" t="str">
        <f t="shared" si="30"/>
        <v>__</v>
      </c>
    </row>
    <row r="1927" spans="1:9" x14ac:dyDescent="0.35">
      <c r="A1927" s="226"/>
      <c r="B1927" s="226"/>
      <c r="C1927" s="226"/>
      <c r="D1927" s="226"/>
      <c r="E1927" s="226"/>
      <c r="F1927" s="226"/>
      <c r="G1927" s="226"/>
      <c r="H1927" s="226"/>
      <c r="I1927" s="9" t="str">
        <f t="shared" si="30"/>
        <v>__</v>
      </c>
    </row>
    <row r="1928" spans="1:9" x14ac:dyDescent="0.35">
      <c r="A1928" s="226"/>
      <c r="B1928" s="226"/>
      <c r="C1928" s="226"/>
      <c r="D1928" s="226"/>
      <c r="E1928" s="226"/>
      <c r="F1928" s="226"/>
      <c r="G1928" s="226"/>
      <c r="H1928" s="226"/>
      <c r="I1928" s="9" t="str">
        <f t="shared" si="30"/>
        <v>__</v>
      </c>
    </row>
    <row r="1929" spans="1:9" x14ac:dyDescent="0.35">
      <c r="A1929" s="226"/>
      <c r="B1929" s="226"/>
      <c r="C1929" s="226"/>
      <c r="D1929" s="226"/>
      <c r="E1929" s="226"/>
      <c r="F1929" s="226"/>
      <c r="G1929" s="226"/>
      <c r="H1929" s="226"/>
      <c r="I1929" s="9" t="str">
        <f t="shared" si="30"/>
        <v>__</v>
      </c>
    </row>
    <row r="1930" spans="1:9" x14ac:dyDescent="0.35">
      <c r="A1930" s="226"/>
      <c r="B1930" s="226"/>
      <c r="C1930" s="226"/>
      <c r="D1930" s="226"/>
      <c r="E1930" s="226"/>
      <c r="F1930" s="226"/>
      <c r="G1930" s="226"/>
      <c r="H1930" s="226"/>
      <c r="I1930" s="9" t="str">
        <f t="shared" si="30"/>
        <v>__</v>
      </c>
    </row>
    <row r="1931" spans="1:9" x14ac:dyDescent="0.35">
      <c r="A1931" s="226"/>
      <c r="B1931" s="226"/>
      <c r="C1931" s="226"/>
      <c r="D1931" s="226"/>
      <c r="E1931" s="226"/>
      <c r="F1931" s="226"/>
      <c r="G1931" s="226"/>
      <c r="H1931" s="226"/>
      <c r="I1931" s="9" t="str">
        <f t="shared" si="30"/>
        <v>__</v>
      </c>
    </row>
    <row r="1932" spans="1:9" x14ac:dyDescent="0.35">
      <c r="A1932" s="226"/>
      <c r="B1932" s="226"/>
      <c r="C1932" s="226"/>
      <c r="D1932" s="226"/>
      <c r="E1932" s="226"/>
      <c r="F1932" s="226"/>
      <c r="G1932" s="226"/>
      <c r="H1932" s="226"/>
      <c r="I1932" s="9" t="str">
        <f t="shared" si="30"/>
        <v>__</v>
      </c>
    </row>
    <row r="1933" spans="1:9" x14ac:dyDescent="0.35">
      <c r="A1933" s="226"/>
      <c r="B1933" s="226"/>
      <c r="C1933" s="226"/>
      <c r="D1933" s="226"/>
      <c r="E1933" s="226"/>
      <c r="F1933" s="226"/>
      <c r="G1933" s="226"/>
      <c r="H1933" s="226"/>
      <c r="I1933" s="9" t="str">
        <f t="shared" si="30"/>
        <v>__</v>
      </c>
    </row>
    <row r="1934" spans="1:9" x14ac:dyDescent="0.35">
      <c r="A1934" s="226"/>
      <c r="B1934" s="226"/>
      <c r="C1934" s="226"/>
      <c r="D1934" s="226"/>
      <c r="E1934" s="226"/>
      <c r="F1934" s="226"/>
      <c r="G1934" s="226"/>
      <c r="H1934" s="226"/>
      <c r="I1934" s="9" t="str">
        <f t="shared" si="30"/>
        <v>__</v>
      </c>
    </row>
    <row r="1935" spans="1:9" x14ac:dyDescent="0.35">
      <c r="A1935" s="226"/>
      <c r="B1935" s="226"/>
      <c r="C1935" s="226"/>
      <c r="D1935" s="226"/>
      <c r="E1935" s="226"/>
      <c r="F1935" s="226"/>
      <c r="G1935" s="226"/>
      <c r="H1935" s="226"/>
      <c r="I1935" s="9" t="str">
        <f t="shared" si="30"/>
        <v>__</v>
      </c>
    </row>
    <row r="1936" spans="1:9" x14ac:dyDescent="0.35">
      <c r="A1936" s="226"/>
      <c r="B1936" s="226"/>
      <c r="C1936" s="226"/>
      <c r="D1936" s="226"/>
      <c r="E1936" s="226"/>
      <c r="F1936" s="226"/>
      <c r="G1936" s="226"/>
      <c r="H1936" s="226"/>
      <c r="I1936" s="9" t="str">
        <f t="shared" si="30"/>
        <v>__</v>
      </c>
    </row>
    <row r="1937" spans="1:9" x14ac:dyDescent="0.35">
      <c r="A1937" s="226"/>
      <c r="B1937" s="226"/>
      <c r="C1937" s="226"/>
      <c r="D1937" s="226"/>
      <c r="E1937" s="226"/>
      <c r="F1937" s="226"/>
      <c r="G1937" s="226"/>
      <c r="H1937" s="226"/>
      <c r="I1937" s="9" t="str">
        <f t="shared" si="30"/>
        <v>__</v>
      </c>
    </row>
    <row r="1938" spans="1:9" x14ac:dyDescent="0.35">
      <c r="A1938" s="226"/>
      <c r="B1938" s="226"/>
      <c r="C1938" s="226"/>
      <c r="D1938" s="226"/>
      <c r="E1938" s="226"/>
      <c r="F1938" s="226"/>
      <c r="G1938" s="226"/>
      <c r="H1938" s="226"/>
      <c r="I1938" s="9" t="str">
        <f t="shared" si="30"/>
        <v>__</v>
      </c>
    </row>
    <row r="1939" spans="1:9" x14ac:dyDescent="0.35">
      <c r="A1939" s="226"/>
      <c r="B1939" s="226"/>
      <c r="C1939" s="226"/>
      <c r="D1939" s="226"/>
      <c r="E1939" s="226"/>
      <c r="F1939" s="226"/>
      <c r="G1939" s="226"/>
      <c r="H1939" s="226"/>
      <c r="I1939" s="9" t="str">
        <f t="shared" si="30"/>
        <v>__</v>
      </c>
    </row>
    <row r="1940" spans="1:9" x14ac:dyDescent="0.35">
      <c r="A1940" s="226"/>
      <c r="B1940" s="226"/>
      <c r="C1940" s="226"/>
      <c r="D1940" s="226"/>
      <c r="E1940" s="226"/>
      <c r="F1940" s="226"/>
      <c r="G1940" s="226"/>
      <c r="H1940" s="226"/>
      <c r="I1940" s="9" t="str">
        <f t="shared" si="30"/>
        <v>__</v>
      </c>
    </row>
    <row r="1941" spans="1:9" x14ac:dyDescent="0.35">
      <c r="A1941" s="226"/>
      <c r="B1941" s="226"/>
      <c r="C1941" s="226"/>
      <c r="D1941" s="226"/>
      <c r="E1941" s="226"/>
      <c r="F1941" s="226"/>
      <c r="G1941" s="226"/>
      <c r="H1941" s="226"/>
      <c r="I1941" s="9" t="str">
        <f t="shared" si="30"/>
        <v>__</v>
      </c>
    </row>
    <row r="1942" spans="1:9" x14ac:dyDescent="0.35">
      <c r="A1942" s="226"/>
      <c r="B1942" s="226"/>
      <c r="C1942" s="226"/>
      <c r="D1942" s="226"/>
      <c r="E1942" s="226"/>
      <c r="F1942" s="226"/>
      <c r="G1942" s="226"/>
      <c r="H1942" s="226"/>
      <c r="I1942" s="9" t="str">
        <f t="shared" si="30"/>
        <v>__</v>
      </c>
    </row>
    <row r="1943" spans="1:9" x14ac:dyDescent="0.35">
      <c r="A1943" s="226"/>
      <c r="B1943" s="226"/>
      <c r="C1943" s="226"/>
      <c r="D1943" s="226"/>
      <c r="E1943" s="226"/>
      <c r="F1943" s="226"/>
      <c r="G1943" s="226"/>
      <c r="H1943" s="226"/>
      <c r="I1943" s="9" t="str">
        <f t="shared" si="30"/>
        <v>__</v>
      </c>
    </row>
    <row r="1944" spans="1:9" x14ac:dyDescent="0.35">
      <c r="A1944" s="226"/>
      <c r="B1944" s="226"/>
      <c r="C1944" s="226"/>
      <c r="D1944" s="226"/>
      <c r="E1944" s="226"/>
      <c r="F1944" s="226"/>
      <c r="G1944" s="226"/>
      <c r="H1944" s="226"/>
      <c r="I1944" s="9" t="str">
        <f t="shared" si="30"/>
        <v>__</v>
      </c>
    </row>
    <row r="1945" spans="1:9" x14ac:dyDescent="0.35">
      <c r="A1945" s="226"/>
      <c r="B1945" s="226"/>
      <c r="C1945" s="226"/>
      <c r="D1945" s="226"/>
      <c r="E1945" s="226"/>
      <c r="F1945" s="226"/>
      <c r="G1945" s="226"/>
      <c r="H1945" s="226"/>
      <c r="I1945" s="9" t="str">
        <f t="shared" si="30"/>
        <v>__</v>
      </c>
    </row>
    <row r="1946" spans="1:9" x14ac:dyDescent="0.35">
      <c r="A1946" s="226"/>
      <c r="B1946" s="226"/>
      <c r="C1946" s="226"/>
      <c r="D1946" s="226"/>
      <c r="E1946" s="226"/>
      <c r="F1946" s="226"/>
      <c r="G1946" s="226"/>
      <c r="H1946" s="226"/>
      <c r="I1946" s="9" t="str">
        <f t="shared" si="30"/>
        <v>__</v>
      </c>
    </row>
    <row r="1947" spans="1:9" x14ac:dyDescent="0.35">
      <c r="A1947" s="226"/>
      <c r="B1947" s="226"/>
      <c r="C1947" s="226"/>
      <c r="D1947" s="226"/>
      <c r="E1947" s="226"/>
      <c r="F1947" s="226"/>
      <c r="G1947" s="226"/>
      <c r="H1947" s="226"/>
      <c r="I1947" s="9" t="str">
        <f t="shared" si="30"/>
        <v>__</v>
      </c>
    </row>
    <row r="1948" spans="1:9" x14ac:dyDescent="0.35">
      <c r="A1948" s="226"/>
      <c r="B1948" s="226"/>
      <c r="C1948" s="226"/>
      <c r="D1948" s="226"/>
      <c r="E1948" s="226"/>
      <c r="F1948" s="226"/>
      <c r="G1948" s="226"/>
      <c r="H1948" s="226"/>
      <c r="I1948" s="9" t="str">
        <f t="shared" si="30"/>
        <v>__</v>
      </c>
    </row>
    <row r="1949" spans="1:9" x14ac:dyDescent="0.35">
      <c r="A1949" s="226"/>
      <c r="B1949" s="226"/>
      <c r="C1949" s="226"/>
      <c r="D1949" s="226"/>
      <c r="E1949" s="226"/>
      <c r="F1949" s="226"/>
      <c r="G1949" s="226"/>
      <c r="H1949" s="226"/>
      <c r="I1949" s="9" t="str">
        <f t="shared" si="30"/>
        <v>__</v>
      </c>
    </row>
    <row r="1950" spans="1:9" x14ac:dyDescent="0.35">
      <c r="A1950" s="226"/>
      <c r="B1950" s="226"/>
      <c r="C1950" s="226"/>
      <c r="D1950" s="226"/>
      <c r="E1950" s="226"/>
      <c r="F1950" s="226"/>
      <c r="G1950" s="226"/>
      <c r="H1950" s="226"/>
      <c r="I1950" s="9" t="str">
        <f t="shared" si="30"/>
        <v>__</v>
      </c>
    </row>
    <row r="1951" spans="1:9" x14ac:dyDescent="0.35">
      <c r="A1951" s="226"/>
      <c r="B1951" s="226"/>
      <c r="C1951" s="226"/>
      <c r="D1951" s="226"/>
      <c r="E1951" s="226"/>
      <c r="F1951" s="226"/>
      <c r="G1951" s="226"/>
      <c r="H1951" s="226"/>
      <c r="I1951" s="9" t="str">
        <f t="shared" si="30"/>
        <v>__</v>
      </c>
    </row>
    <row r="1952" spans="1:9" x14ac:dyDescent="0.35">
      <c r="A1952" s="226"/>
      <c r="B1952" s="226"/>
      <c r="C1952" s="226"/>
      <c r="D1952" s="226"/>
      <c r="E1952" s="226"/>
      <c r="F1952" s="226"/>
      <c r="G1952" s="226"/>
      <c r="H1952" s="226"/>
      <c r="I1952" s="9" t="str">
        <f t="shared" si="30"/>
        <v>__</v>
      </c>
    </row>
    <row r="1953" spans="1:9" x14ac:dyDescent="0.35">
      <c r="A1953" s="226"/>
      <c r="B1953" s="226"/>
      <c r="C1953" s="226"/>
      <c r="D1953" s="226"/>
      <c r="E1953" s="226"/>
      <c r="F1953" s="226"/>
      <c r="G1953" s="226"/>
      <c r="H1953" s="226"/>
      <c r="I1953" s="9" t="str">
        <f t="shared" si="30"/>
        <v>__</v>
      </c>
    </row>
    <row r="1954" spans="1:9" x14ac:dyDescent="0.35">
      <c r="A1954" s="226"/>
      <c r="B1954" s="226"/>
      <c r="C1954" s="226"/>
      <c r="D1954" s="226"/>
      <c r="E1954" s="226"/>
      <c r="F1954" s="226"/>
      <c r="G1954" s="226"/>
      <c r="H1954" s="226"/>
      <c r="I1954" s="9" t="str">
        <f t="shared" si="30"/>
        <v>__</v>
      </c>
    </row>
    <row r="1955" spans="1:9" x14ac:dyDescent="0.35">
      <c r="A1955" s="226"/>
      <c r="B1955" s="226"/>
      <c r="C1955" s="226"/>
      <c r="D1955" s="226"/>
      <c r="E1955" s="226"/>
      <c r="F1955" s="226"/>
      <c r="G1955" s="226"/>
      <c r="H1955" s="226"/>
      <c r="I1955" s="9" t="str">
        <f t="shared" si="30"/>
        <v>__</v>
      </c>
    </row>
    <row r="1956" spans="1:9" x14ac:dyDescent="0.35">
      <c r="A1956" s="226"/>
      <c r="B1956" s="226"/>
      <c r="C1956" s="226"/>
      <c r="D1956" s="226"/>
      <c r="E1956" s="226"/>
      <c r="F1956" s="226"/>
      <c r="G1956" s="226"/>
      <c r="H1956" s="226"/>
      <c r="I1956" s="9" t="str">
        <f t="shared" si="30"/>
        <v>__</v>
      </c>
    </row>
    <row r="1957" spans="1:9" x14ac:dyDescent="0.35">
      <c r="A1957" s="226"/>
      <c r="B1957" s="226"/>
      <c r="C1957" s="226"/>
      <c r="D1957" s="226"/>
      <c r="E1957" s="226"/>
      <c r="F1957" s="226"/>
      <c r="G1957" s="226"/>
      <c r="H1957" s="226"/>
      <c r="I1957" s="9" t="str">
        <f t="shared" si="30"/>
        <v>__</v>
      </c>
    </row>
    <row r="1958" spans="1:9" x14ac:dyDescent="0.35">
      <c r="A1958" s="226"/>
      <c r="B1958" s="226"/>
      <c r="C1958" s="226"/>
      <c r="D1958" s="226"/>
      <c r="E1958" s="226"/>
      <c r="F1958" s="226"/>
      <c r="G1958" s="226"/>
      <c r="H1958" s="226"/>
      <c r="I1958" s="9" t="str">
        <f t="shared" si="30"/>
        <v>__</v>
      </c>
    </row>
    <row r="1959" spans="1:9" x14ac:dyDescent="0.35">
      <c r="A1959" s="226"/>
      <c r="B1959" s="226"/>
      <c r="C1959" s="226"/>
      <c r="D1959" s="226"/>
      <c r="E1959" s="226"/>
      <c r="F1959" s="226"/>
      <c r="G1959" s="226"/>
      <c r="H1959" s="226"/>
      <c r="I1959" s="9" t="str">
        <f t="shared" si="30"/>
        <v>__</v>
      </c>
    </row>
    <row r="1960" spans="1:9" x14ac:dyDescent="0.35">
      <c r="A1960" s="226"/>
      <c r="B1960" s="226"/>
      <c r="C1960" s="226"/>
      <c r="D1960" s="226"/>
      <c r="E1960" s="226"/>
      <c r="F1960" s="226"/>
      <c r="G1960" s="226"/>
      <c r="H1960" s="226"/>
      <c r="I1960" s="9" t="str">
        <f t="shared" si="30"/>
        <v>__</v>
      </c>
    </row>
    <row r="1961" spans="1:9" x14ac:dyDescent="0.35">
      <c r="A1961" s="226"/>
      <c r="B1961" s="226"/>
      <c r="C1961" s="226"/>
      <c r="D1961" s="226"/>
      <c r="E1961" s="226"/>
      <c r="F1961" s="226"/>
      <c r="G1961" s="226"/>
      <c r="H1961" s="226"/>
      <c r="I1961" s="9" t="str">
        <f t="shared" si="30"/>
        <v>__</v>
      </c>
    </row>
    <row r="1962" spans="1:9" x14ac:dyDescent="0.35">
      <c r="A1962" s="226"/>
      <c r="B1962" s="226"/>
      <c r="C1962" s="226"/>
      <c r="D1962" s="226"/>
      <c r="E1962" s="226"/>
      <c r="F1962" s="226"/>
      <c r="G1962" s="226"/>
      <c r="H1962" s="226"/>
      <c r="I1962" s="9" t="str">
        <f t="shared" si="30"/>
        <v>__</v>
      </c>
    </row>
    <row r="1963" spans="1:9" x14ac:dyDescent="0.35">
      <c r="A1963" s="226"/>
      <c r="B1963" s="226"/>
      <c r="C1963" s="226"/>
      <c r="D1963" s="226"/>
      <c r="E1963" s="226"/>
      <c r="F1963" s="226"/>
      <c r="G1963" s="226"/>
      <c r="H1963" s="226"/>
      <c r="I1963" s="9" t="str">
        <f t="shared" si="30"/>
        <v>__</v>
      </c>
    </row>
    <row r="1964" spans="1:9" x14ac:dyDescent="0.35">
      <c r="A1964" s="226"/>
      <c r="B1964" s="226"/>
      <c r="C1964" s="226"/>
      <c r="D1964" s="226"/>
      <c r="E1964" s="226"/>
      <c r="F1964" s="226"/>
      <c r="G1964" s="226"/>
      <c r="H1964" s="226"/>
      <c r="I1964" s="9" t="str">
        <f t="shared" si="30"/>
        <v>__</v>
      </c>
    </row>
    <row r="1965" spans="1:9" x14ac:dyDescent="0.35">
      <c r="A1965" s="226"/>
      <c r="B1965" s="226"/>
      <c r="C1965" s="226"/>
      <c r="D1965" s="226"/>
      <c r="E1965" s="226"/>
      <c r="F1965" s="226"/>
      <c r="G1965" s="226"/>
      <c r="H1965" s="226"/>
      <c r="I1965" s="9" t="str">
        <f t="shared" si="30"/>
        <v>__</v>
      </c>
    </row>
    <row r="1966" spans="1:9" x14ac:dyDescent="0.35">
      <c r="A1966" s="226"/>
      <c r="B1966" s="226"/>
      <c r="C1966" s="226"/>
      <c r="D1966" s="226"/>
      <c r="E1966" s="226"/>
      <c r="F1966" s="226"/>
      <c r="G1966" s="226"/>
      <c r="H1966" s="226"/>
      <c r="I1966" s="9" t="str">
        <f t="shared" si="30"/>
        <v>__</v>
      </c>
    </row>
    <row r="1967" spans="1:9" x14ac:dyDescent="0.35">
      <c r="A1967" s="226"/>
      <c r="B1967" s="226"/>
      <c r="C1967" s="226"/>
      <c r="D1967" s="226"/>
      <c r="E1967" s="226"/>
      <c r="F1967" s="226"/>
      <c r="G1967" s="226"/>
      <c r="H1967" s="226"/>
      <c r="I1967" s="9" t="str">
        <f t="shared" si="30"/>
        <v>__</v>
      </c>
    </row>
    <row r="1968" spans="1:9" x14ac:dyDescent="0.35">
      <c r="A1968" s="226"/>
      <c r="B1968" s="226"/>
      <c r="C1968" s="226"/>
      <c r="D1968" s="226"/>
      <c r="E1968" s="226"/>
      <c r="F1968" s="226"/>
      <c r="G1968" s="226"/>
      <c r="H1968" s="226"/>
      <c r="I1968" s="9" t="str">
        <f t="shared" si="30"/>
        <v>__</v>
      </c>
    </row>
    <row r="1969" spans="1:9" x14ac:dyDescent="0.35">
      <c r="A1969" s="226"/>
      <c r="B1969" s="226"/>
      <c r="C1969" s="226"/>
      <c r="D1969" s="226"/>
      <c r="E1969" s="226"/>
      <c r="F1969" s="226"/>
      <c r="G1969" s="226"/>
      <c r="H1969" s="226"/>
      <c r="I1969" s="9" t="str">
        <f t="shared" si="30"/>
        <v>__</v>
      </c>
    </row>
    <row r="1970" spans="1:9" x14ac:dyDescent="0.35">
      <c r="A1970" s="226"/>
      <c r="B1970" s="226"/>
      <c r="C1970" s="226"/>
      <c r="D1970" s="226"/>
      <c r="E1970" s="226"/>
      <c r="F1970" s="226"/>
      <c r="G1970" s="226"/>
      <c r="H1970" s="226"/>
      <c r="I1970" s="9" t="str">
        <f t="shared" si="30"/>
        <v>__</v>
      </c>
    </row>
    <row r="1971" spans="1:9" x14ac:dyDescent="0.35">
      <c r="A1971" s="226"/>
      <c r="B1971" s="226"/>
      <c r="C1971" s="226"/>
      <c r="D1971" s="226"/>
      <c r="E1971" s="226"/>
      <c r="F1971" s="226"/>
      <c r="G1971" s="226"/>
      <c r="H1971" s="226"/>
      <c r="I1971" s="9" t="str">
        <f t="shared" si="30"/>
        <v>__</v>
      </c>
    </row>
    <row r="1972" spans="1:9" x14ac:dyDescent="0.35">
      <c r="A1972" s="226"/>
      <c r="B1972" s="226"/>
      <c r="C1972" s="226"/>
      <c r="D1972" s="226"/>
      <c r="E1972" s="226"/>
      <c r="F1972" s="226"/>
      <c r="G1972" s="226"/>
      <c r="H1972" s="226"/>
      <c r="I1972" s="9" t="str">
        <f t="shared" si="30"/>
        <v>__</v>
      </c>
    </row>
    <row r="1973" spans="1:9" x14ac:dyDescent="0.35">
      <c r="A1973" s="226"/>
      <c r="B1973" s="226"/>
      <c r="C1973" s="226"/>
      <c r="D1973" s="226"/>
      <c r="E1973" s="226"/>
      <c r="F1973" s="226"/>
      <c r="G1973" s="226"/>
      <c r="H1973" s="226"/>
      <c r="I1973" s="9" t="str">
        <f t="shared" si="30"/>
        <v>__</v>
      </c>
    </row>
    <row r="1974" spans="1:9" x14ac:dyDescent="0.35">
      <c r="A1974" s="226"/>
      <c r="B1974" s="226"/>
      <c r="C1974" s="226"/>
      <c r="D1974" s="226"/>
      <c r="E1974" s="226"/>
      <c r="F1974" s="226"/>
      <c r="G1974" s="226"/>
      <c r="H1974" s="226"/>
      <c r="I1974" s="9" t="str">
        <f t="shared" si="30"/>
        <v>__</v>
      </c>
    </row>
    <row r="1975" spans="1:9" x14ac:dyDescent="0.35">
      <c r="A1975" s="226"/>
      <c r="B1975" s="226"/>
      <c r="C1975" s="226"/>
      <c r="D1975" s="226"/>
      <c r="E1975" s="226"/>
      <c r="F1975" s="226"/>
      <c r="G1975" s="226"/>
      <c r="H1975" s="226"/>
      <c r="I1975" s="9" t="str">
        <f t="shared" si="30"/>
        <v>__</v>
      </c>
    </row>
    <row r="1976" spans="1:9" x14ac:dyDescent="0.35">
      <c r="A1976" s="226"/>
      <c r="B1976" s="226"/>
      <c r="C1976" s="226"/>
      <c r="D1976" s="226"/>
      <c r="E1976" s="226"/>
      <c r="F1976" s="226"/>
      <c r="G1976" s="226"/>
      <c r="H1976" s="226"/>
      <c r="I1976" s="9" t="str">
        <f t="shared" si="30"/>
        <v>__</v>
      </c>
    </row>
    <row r="1977" spans="1:9" x14ac:dyDescent="0.35">
      <c r="A1977" s="226"/>
      <c r="B1977" s="226"/>
      <c r="C1977" s="226"/>
      <c r="D1977" s="226"/>
      <c r="E1977" s="226"/>
      <c r="F1977" s="226"/>
      <c r="G1977" s="226"/>
      <c r="H1977" s="226"/>
      <c r="I1977" s="9" t="str">
        <f t="shared" si="30"/>
        <v>__</v>
      </c>
    </row>
    <row r="1978" spans="1:9" x14ac:dyDescent="0.35">
      <c r="A1978" s="226"/>
      <c r="B1978" s="226"/>
      <c r="C1978" s="226"/>
      <c r="D1978" s="226"/>
      <c r="E1978" s="226"/>
      <c r="F1978" s="226"/>
      <c r="G1978" s="226"/>
      <c r="H1978" s="226"/>
      <c r="I1978" s="9" t="str">
        <f t="shared" si="30"/>
        <v>__</v>
      </c>
    </row>
    <row r="1979" spans="1:9" x14ac:dyDescent="0.35">
      <c r="A1979" s="226"/>
      <c r="B1979" s="226"/>
      <c r="C1979" s="226"/>
      <c r="D1979" s="226"/>
      <c r="E1979" s="226"/>
      <c r="F1979" s="226"/>
      <c r="G1979" s="226"/>
      <c r="H1979" s="226"/>
      <c r="I1979" s="9" t="str">
        <f t="shared" si="30"/>
        <v>__</v>
      </c>
    </row>
    <row r="1980" spans="1:9" x14ac:dyDescent="0.35">
      <c r="A1980" s="226"/>
      <c r="B1980" s="226"/>
      <c r="C1980" s="226"/>
      <c r="D1980" s="226"/>
      <c r="E1980" s="226"/>
      <c r="F1980" s="226"/>
      <c r="G1980" s="226"/>
      <c r="H1980" s="226"/>
      <c r="I1980" s="9" t="str">
        <f t="shared" si="30"/>
        <v>__</v>
      </c>
    </row>
    <row r="1981" spans="1:9" x14ac:dyDescent="0.35">
      <c r="A1981" s="226"/>
      <c r="B1981" s="226"/>
      <c r="C1981" s="226"/>
      <c r="D1981" s="226"/>
      <c r="E1981" s="226"/>
      <c r="F1981" s="226"/>
      <c r="G1981" s="226"/>
      <c r="H1981" s="226"/>
      <c r="I1981" s="9" t="str">
        <f t="shared" si="30"/>
        <v>__</v>
      </c>
    </row>
    <row r="1982" spans="1:9" x14ac:dyDescent="0.35">
      <c r="A1982" s="226"/>
      <c r="B1982" s="226"/>
      <c r="C1982" s="226"/>
      <c r="D1982" s="226"/>
      <c r="E1982" s="226"/>
      <c r="F1982" s="226"/>
      <c r="G1982" s="226"/>
      <c r="H1982" s="226"/>
      <c r="I1982" s="9" t="str">
        <f t="shared" si="30"/>
        <v>__</v>
      </c>
    </row>
    <row r="1983" spans="1:9" x14ac:dyDescent="0.35">
      <c r="A1983" s="226"/>
      <c r="B1983" s="226"/>
      <c r="C1983" s="226"/>
      <c r="D1983" s="226"/>
      <c r="E1983" s="226"/>
      <c r="F1983" s="226"/>
      <c r="G1983" s="226"/>
      <c r="H1983" s="226"/>
      <c r="I1983" s="9" t="str">
        <f t="shared" si="30"/>
        <v>__</v>
      </c>
    </row>
    <row r="1984" spans="1:9" x14ac:dyDescent="0.35">
      <c r="A1984" s="226"/>
      <c r="B1984" s="226"/>
      <c r="C1984" s="226"/>
      <c r="D1984" s="226"/>
      <c r="E1984" s="226"/>
      <c r="F1984" s="226"/>
      <c r="G1984" s="226"/>
      <c r="H1984" s="226"/>
      <c r="I1984" s="9" t="str">
        <f t="shared" si="30"/>
        <v>__</v>
      </c>
    </row>
    <row r="1985" spans="1:9" x14ac:dyDescent="0.35">
      <c r="A1985" s="226"/>
      <c r="B1985" s="226"/>
      <c r="C1985" s="226"/>
      <c r="D1985" s="226"/>
      <c r="E1985" s="226"/>
      <c r="F1985" s="226"/>
      <c r="G1985" s="226"/>
      <c r="H1985" s="226"/>
      <c r="I1985" s="9" t="str">
        <f t="shared" si="30"/>
        <v>__</v>
      </c>
    </row>
    <row r="1986" spans="1:9" x14ac:dyDescent="0.35">
      <c r="A1986" s="226"/>
      <c r="B1986" s="226"/>
      <c r="C1986" s="226"/>
      <c r="D1986" s="226"/>
      <c r="E1986" s="226"/>
      <c r="F1986" s="226"/>
      <c r="G1986" s="226"/>
      <c r="H1986" s="226"/>
      <c r="I1986" s="9" t="str">
        <f t="shared" si="30"/>
        <v>__</v>
      </c>
    </row>
    <row r="1987" spans="1:9" x14ac:dyDescent="0.35">
      <c r="A1987" s="226"/>
      <c r="B1987" s="226"/>
      <c r="C1987" s="226"/>
      <c r="D1987" s="226"/>
      <c r="E1987" s="226"/>
      <c r="F1987" s="226"/>
      <c r="G1987" s="226"/>
      <c r="H1987" s="226"/>
      <c r="I1987" s="9" t="str">
        <f t="shared" si="30"/>
        <v>__</v>
      </c>
    </row>
    <row r="1988" spans="1:9" x14ac:dyDescent="0.35">
      <c r="A1988" s="226"/>
      <c r="B1988" s="226"/>
      <c r="C1988" s="226"/>
      <c r="D1988" s="226"/>
      <c r="E1988" s="226"/>
      <c r="F1988" s="226"/>
      <c r="G1988" s="226"/>
      <c r="H1988" s="226"/>
      <c r="I1988" s="9" t="str">
        <f t="shared" si="30"/>
        <v>__</v>
      </c>
    </row>
    <row r="1989" spans="1:9" x14ac:dyDescent="0.35">
      <c r="A1989" s="226"/>
      <c r="B1989" s="226"/>
      <c r="C1989" s="226"/>
      <c r="D1989" s="226"/>
      <c r="E1989" s="226"/>
      <c r="F1989" s="226"/>
      <c r="G1989" s="226"/>
      <c r="H1989" s="226"/>
      <c r="I1989" s="9" t="str">
        <f t="shared" ref="I1989:I2052" si="31">CONCATENATE(A1989,"_",B1989,"_",C1989)</f>
        <v>__</v>
      </c>
    </row>
    <row r="1990" spans="1:9" x14ac:dyDescent="0.35">
      <c r="A1990" s="226"/>
      <c r="B1990" s="226"/>
      <c r="C1990" s="226"/>
      <c r="D1990" s="226"/>
      <c r="E1990" s="226"/>
      <c r="F1990" s="226"/>
      <c r="G1990" s="226"/>
      <c r="H1990" s="226"/>
      <c r="I1990" s="9" t="str">
        <f t="shared" si="31"/>
        <v>__</v>
      </c>
    </row>
    <row r="1991" spans="1:9" x14ac:dyDescent="0.35">
      <c r="A1991" s="226"/>
      <c r="B1991" s="226"/>
      <c r="C1991" s="226"/>
      <c r="D1991" s="226"/>
      <c r="E1991" s="226"/>
      <c r="F1991" s="226"/>
      <c r="G1991" s="226"/>
      <c r="H1991" s="226"/>
      <c r="I1991" s="9" t="str">
        <f t="shared" si="31"/>
        <v>__</v>
      </c>
    </row>
    <row r="1992" spans="1:9" x14ac:dyDescent="0.35">
      <c r="A1992" s="226"/>
      <c r="B1992" s="226"/>
      <c r="C1992" s="226"/>
      <c r="D1992" s="226"/>
      <c r="E1992" s="226"/>
      <c r="F1992" s="226"/>
      <c r="G1992" s="226"/>
      <c r="H1992" s="226"/>
      <c r="I1992" s="9" t="str">
        <f t="shared" si="31"/>
        <v>__</v>
      </c>
    </row>
    <row r="1993" spans="1:9" x14ac:dyDescent="0.35">
      <c r="A1993" s="226"/>
      <c r="B1993" s="226"/>
      <c r="C1993" s="226"/>
      <c r="D1993" s="226"/>
      <c r="E1993" s="226"/>
      <c r="F1993" s="226"/>
      <c r="G1993" s="226"/>
      <c r="H1993" s="226"/>
      <c r="I1993" s="9" t="str">
        <f t="shared" si="31"/>
        <v>__</v>
      </c>
    </row>
    <row r="1994" spans="1:9" x14ac:dyDescent="0.35">
      <c r="A1994" s="226"/>
      <c r="B1994" s="226"/>
      <c r="C1994" s="226"/>
      <c r="D1994" s="226"/>
      <c r="E1994" s="226"/>
      <c r="F1994" s="226"/>
      <c r="G1994" s="226"/>
      <c r="H1994" s="226"/>
      <c r="I1994" s="9" t="str">
        <f t="shared" si="31"/>
        <v>__</v>
      </c>
    </row>
    <row r="1995" spans="1:9" x14ac:dyDescent="0.35">
      <c r="A1995" s="226"/>
      <c r="B1995" s="226"/>
      <c r="C1995" s="226"/>
      <c r="D1995" s="226"/>
      <c r="E1995" s="226"/>
      <c r="F1995" s="226"/>
      <c r="G1995" s="226"/>
      <c r="H1995" s="226"/>
      <c r="I1995" s="9" t="str">
        <f t="shared" si="31"/>
        <v>__</v>
      </c>
    </row>
    <row r="1996" spans="1:9" x14ac:dyDescent="0.35">
      <c r="A1996" s="226"/>
      <c r="B1996" s="226"/>
      <c r="C1996" s="226"/>
      <c r="D1996" s="226"/>
      <c r="E1996" s="226"/>
      <c r="F1996" s="226"/>
      <c r="G1996" s="226"/>
      <c r="H1996" s="226"/>
      <c r="I1996" s="9" t="str">
        <f t="shared" si="31"/>
        <v>__</v>
      </c>
    </row>
    <row r="1997" spans="1:9" x14ac:dyDescent="0.35">
      <c r="A1997" s="226"/>
      <c r="B1997" s="226"/>
      <c r="C1997" s="226"/>
      <c r="D1997" s="226"/>
      <c r="E1997" s="226"/>
      <c r="F1997" s="226"/>
      <c r="G1997" s="226"/>
      <c r="H1997" s="226"/>
      <c r="I1997" s="9" t="str">
        <f t="shared" si="31"/>
        <v>__</v>
      </c>
    </row>
    <row r="1998" spans="1:9" x14ac:dyDescent="0.35">
      <c r="A1998" s="226"/>
      <c r="B1998" s="226"/>
      <c r="C1998" s="226"/>
      <c r="D1998" s="226"/>
      <c r="E1998" s="226"/>
      <c r="F1998" s="226"/>
      <c r="G1998" s="226"/>
      <c r="H1998" s="226"/>
      <c r="I1998" s="9" t="str">
        <f t="shared" si="31"/>
        <v>__</v>
      </c>
    </row>
    <row r="1999" spans="1:9" x14ac:dyDescent="0.35">
      <c r="A1999" s="226"/>
      <c r="B1999" s="226"/>
      <c r="C1999" s="226"/>
      <c r="D1999" s="226"/>
      <c r="E1999" s="226"/>
      <c r="F1999" s="226"/>
      <c r="G1999" s="226"/>
      <c r="H1999" s="226"/>
      <c r="I1999" s="9" t="str">
        <f t="shared" si="31"/>
        <v>__</v>
      </c>
    </row>
    <row r="2000" spans="1:9" x14ac:dyDescent="0.35">
      <c r="A2000" s="226"/>
      <c r="B2000" s="226"/>
      <c r="C2000" s="226"/>
      <c r="D2000" s="226"/>
      <c r="E2000" s="226"/>
      <c r="F2000" s="226"/>
      <c r="G2000" s="226"/>
      <c r="H2000" s="226"/>
      <c r="I2000" s="9" t="str">
        <f t="shared" si="31"/>
        <v>__</v>
      </c>
    </row>
    <row r="2001" spans="1:9" x14ac:dyDescent="0.35">
      <c r="A2001" s="226"/>
      <c r="B2001" s="226"/>
      <c r="C2001" s="226"/>
      <c r="D2001" s="226"/>
      <c r="E2001" s="226"/>
      <c r="F2001" s="226"/>
      <c r="G2001" s="226"/>
      <c r="H2001" s="226"/>
      <c r="I2001" s="9" t="str">
        <f t="shared" si="31"/>
        <v>__</v>
      </c>
    </row>
    <row r="2002" spans="1:9" x14ac:dyDescent="0.35">
      <c r="A2002" s="226"/>
      <c r="B2002" s="226"/>
      <c r="C2002" s="226"/>
      <c r="D2002" s="226"/>
      <c r="E2002" s="226"/>
      <c r="F2002" s="226"/>
      <c r="G2002" s="226"/>
      <c r="H2002" s="226"/>
      <c r="I2002" s="9" t="str">
        <f t="shared" si="31"/>
        <v>__</v>
      </c>
    </row>
    <row r="2003" spans="1:9" x14ac:dyDescent="0.35">
      <c r="A2003" s="226"/>
      <c r="B2003" s="226"/>
      <c r="C2003" s="226"/>
      <c r="D2003" s="226"/>
      <c r="E2003" s="226"/>
      <c r="F2003" s="226"/>
      <c r="G2003" s="226"/>
      <c r="H2003" s="226"/>
      <c r="I2003" s="9" t="str">
        <f t="shared" si="31"/>
        <v>__</v>
      </c>
    </row>
    <row r="2004" spans="1:9" x14ac:dyDescent="0.35">
      <c r="A2004" s="226"/>
      <c r="B2004" s="226"/>
      <c r="C2004" s="226"/>
      <c r="D2004" s="226"/>
      <c r="E2004" s="226"/>
      <c r="F2004" s="226"/>
      <c r="G2004" s="226"/>
      <c r="H2004" s="226"/>
      <c r="I2004" s="9" t="str">
        <f t="shared" si="31"/>
        <v>__</v>
      </c>
    </row>
    <row r="2005" spans="1:9" x14ac:dyDescent="0.35">
      <c r="A2005" s="226"/>
      <c r="B2005" s="226"/>
      <c r="C2005" s="226"/>
      <c r="D2005" s="226"/>
      <c r="E2005" s="226"/>
      <c r="F2005" s="226"/>
      <c r="G2005" s="226"/>
      <c r="H2005" s="226"/>
      <c r="I2005" s="9" t="str">
        <f t="shared" si="31"/>
        <v>__</v>
      </c>
    </row>
    <row r="2006" spans="1:9" x14ac:dyDescent="0.35">
      <c r="A2006" s="226"/>
      <c r="B2006" s="226"/>
      <c r="C2006" s="226"/>
      <c r="D2006" s="226"/>
      <c r="E2006" s="226"/>
      <c r="F2006" s="226"/>
      <c r="G2006" s="226"/>
      <c r="H2006" s="226"/>
      <c r="I2006" s="9" t="str">
        <f t="shared" si="31"/>
        <v>__</v>
      </c>
    </row>
    <row r="2007" spans="1:9" x14ac:dyDescent="0.35">
      <c r="A2007" s="226"/>
      <c r="B2007" s="226"/>
      <c r="C2007" s="226"/>
      <c r="D2007" s="226"/>
      <c r="E2007" s="226"/>
      <c r="F2007" s="226"/>
      <c r="G2007" s="226"/>
      <c r="H2007" s="226"/>
      <c r="I2007" s="9" t="str">
        <f t="shared" si="31"/>
        <v>__</v>
      </c>
    </row>
    <row r="2008" spans="1:9" x14ac:dyDescent="0.35">
      <c r="A2008" s="226"/>
      <c r="B2008" s="226"/>
      <c r="C2008" s="226"/>
      <c r="D2008" s="226"/>
      <c r="E2008" s="226"/>
      <c r="F2008" s="226"/>
      <c r="G2008" s="226"/>
      <c r="H2008" s="226"/>
      <c r="I2008" s="9" t="str">
        <f t="shared" si="31"/>
        <v>__</v>
      </c>
    </row>
    <row r="2009" spans="1:9" x14ac:dyDescent="0.35">
      <c r="A2009" s="226"/>
      <c r="B2009" s="226"/>
      <c r="C2009" s="226"/>
      <c r="D2009" s="226"/>
      <c r="E2009" s="226"/>
      <c r="F2009" s="226"/>
      <c r="G2009" s="226"/>
      <c r="H2009" s="226"/>
      <c r="I2009" s="9" t="str">
        <f t="shared" si="31"/>
        <v>__</v>
      </c>
    </row>
    <row r="2010" spans="1:9" x14ac:dyDescent="0.35">
      <c r="A2010" s="226"/>
      <c r="B2010" s="226"/>
      <c r="C2010" s="226"/>
      <c r="D2010" s="226"/>
      <c r="E2010" s="226"/>
      <c r="F2010" s="226"/>
      <c r="G2010" s="226"/>
      <c r="H2010" s="226"/>
      <c r="I2010" s="9" t="str">
        <f t="shared" si="31"/>
        <v>__</v>
      </c>
    </row>
    <row r="2011" spans="1:9" x14ac:dyDescent="0.35">
      <c r="A2011" s="226"/>
      <c r="B2011" s="226"/>
      <c r="C2011" s="226"/>
      <c r="D2011" s="226"/>
      <c r="E2011" s="226"/>
      <c r="F2011" s="226"/>
      <c r="G2011" s="226"/>
      <c r="H2011" s="226"/>
      <c r="I2011" s="9" t="str">
        <f t="shared" si="31"/>
        <v>__</v>
      </c>
    </row>
    <row r="2012" spans="1:9" x14ac:dyDescent="0.35">
      <c r="A2012" s="226"/>
      <c r="B2012" s="226"/>
      <c r="C2012" s="226"/>
      <c r="D2012" s="226"/>
      <c r="E2012" s="226"/>
      <c r="F2012" s="226"/>
      <c r="G2012" s="226"/>
      <c r="H2012" s="226"/>
      <c r="I2012" s="9" t="str">
        <f t="shared" si="31"/>
        <v>__</v>
      </c>
    </row>
    <row r="2013" spans="1:9" x14ac:dyDescent="0.35">
      <c r="A2013" s="226"/>
      <c r="B2013" s="226"/>
      <c r="C2013" s="226"/>
      <c r="D2013" s="226"/>
      <c r="E2013" s="226"/>
      <c r="F2013" s="226"/>
      <c r="G2013" s="226"/>
      <c r="H2013" s="226"/>
      <c r="I2013" s="9" t="str">
        <f t="shared" si="31"/>
        <v>__</v>
      </c>
    </row>
    <row r="2014" spans="1:9" x14ac:dyDescent="0.35">
      <c r="A2014" s="226"/>
      <c r="B2014" s="226"/>
      <c r="C2014" s="226"/>
      <c r="D2014" s="226"/>
      <c r="E2014" s="226"/>
      <c r="F2014" s="226"/>
      <c r="G2014" s="226"/>
      <c r="H2014" s="226"/>
      <c r="I2014" s="9" t="str">
        <f t="shared" si="31"/>
        <v>__</v>
      </c>
    </row>
    <row r="2015" spans="1:9" x14ac:dyDescent="0.35">
      <c r="A2015" s="226"/>
      <c r="B2015" s="226"/>
      <c r="C2015" s="226"/>
      <c r="D2015" s="226"/>
      <c r="E2015" s="226"/>
      <c r="F2015" s="226"/>
      <c r="G2015" s="226"/>
      <c r="H2015" s="226"/>
      <c r="I2015" s="9" t="str">
        <f t="shared" si="31"/>
        <v>__</v>
      </c>
    </row>
    <row r="2016" spans="1:9" x14ac:dyDescent="0.35">
      <c r="A2016" s="226"/>
      <c r="B2016" s="226"/>
      <c r="C2016" s="226"/>
      <c r="D2016" s="226"/>
      <c r="E2016" s="226"/>
      <c r="F2016" s="226"/>
      <c r="G2016" s="226"/>
      <c r="H2016" s="226"/>
      <c r="I2016" s="9" t="str">
        <f t="shared" si="31"/>
        <v>__</v>
      </c>
    </row>
    <row r="2017" spans="1:9" x14ac:dyDescent="0.35">
      <c r="A2017" s="226"/>
      <c r="B2017" s="226"/>
      <c r="C2017" s="226"/>
      <c r="D2017" s="226"/>
      <c r="E2017" s="226"/>
      <c r="F2017" s="226"/>
      <c r="G2017" s="226"/>
      <c r="H2017" s="226"/>
      <c r="I2017" s="9" t="str">
        <f t="shared" si="31"/>
        <v>__</v>
      </c>
    </row>
    <row r="2018" spans="1:9" x14ac:dyDescent="0.35">
      <c r="A2018" s="226"/>
      <c r="B2018" s="226"/>
      <c r="C2018" s="226"/>
      <c r="D2018" s="226"/>
      <c r="E2018" s="226"/>
      <c r="F2018" s="226"/>
      <c r="G2018" s="226"/>
      <c r="H2018" s="226"/>
      <c r="I2018" s="9" t="str">
        <f t="shared" si="31"/>
        <v>__</v>
      </c>
    </row>
    <row r="2019" spans="1:9" x14ac:dyDescent="0.35">
      <c r="A2019" s="226"/>
      <c r="B2019" s="226"/>
      <c r="C2019" s="226"/>
      <c r="D2019" s="226"/>
      <c r="E2019" s="226"/>
      <c r="F2019" s="226"/>
      <c r="G2019" s="226"/>
      <c r="H2019" s="226"/>
      <c r="I2019" s="9" t="str">
        <f t="shared" si="31"/>
        <v>__</v>
      </c>
    </row>
    <row r="2020" spans="1:9" x14ac:dyDescent="0.35">
      <c r="A2020" s="226"/>
      <c r="B2020" s="226"/>
      <c r="C2020" s="226"/>
      <c r="D2020" s="226"/>
      <c r="E2020" s="226"/>
      <c r="F2020" s="226"/>
      <c r="G2020" s="226"/>
      <c r="H2020" s="226"/>
      <c r="I2020" s="9" t="str">
        <f t="shared" si="31"/>
        <v>__</v>
      </c>
    </row>
    <row r="2021" spans="1:9" x14ac:dyDescent="0.35">
      <c r="A2021" s="226"/>
      <c r="B2021" s="226"/>
      <c r="C2021" s="226"/>
      <c r="D2021" s="226"/>
      <c r="E2021" s="226"/>
      <c r="F2021" s="226"/>
      <c r="G2021" s="226"/>
      <c r="H2021" s="226"/>
      <c r="I2021" s="9" t="str">
        <f t="shared" si="31"/>
        <v>__</v>
      </c>
    </row>
    <row r="2022" spans="1:9" x14ac:dyDescent="0.35">
      <c r="A2022" s="226"/>
      <c r="B2022" s="226"/>
      <c r="C2022" s="226"/>
      <c r="D2022" s="226"/>
      <c r="E2022" s="226"/>
      <c r="F2022" s="226"/>
      <c r="G2022" s="226"/>
      <c r="H2022" s="226"/>
      <c r="I2022" s="9" t="str">
        <f t="shared" si="31"/>
        <v>__</v>
      </c>
    </row>
    <row r="2023" spans="1:9" x14ac:dyDescent="0.35">
      <c r="A2023" s="226"/>
      <c r="B2023" s="226"/>
      <c r="C2023" s="226"/>
      <c r="D2023" s="226"/>
      <c r="E2023" s="226"/>
      <c r="F2023" s="226"/>
      <c r="G2023" s="226"/>
      <c r="H2023" s="226"/>
      <c r="I2023" s="9" t="str">
        <f t="shared" si="31"/>
        <v>__</v>
      </c>
    </row>
    <row r="2024" spans="1:9" x14ac:dyDescent="0.35">
      <c r="A2024" s="226"/>
      <c r="B2024" s="226"/>
      <c r="C2024" s="226"/>
      <c r="D2024" s="226"/>
      <c r="E2024" s="226"/>
      <c r="F2024" s="226"/>
      <c r="G2024" s="226"/>
      <c r="H2024" s="226"/>
      <c r="I2024" s="9" t="str">
        <f t="shared" si="31"/>
        <v>__</v>
      </c>
    </row>
    <row r="2025" spans="1:9" x14ac:dyDescent="0.35">
      <c r="A2025" s="226"/>
      <c r="B2025" s="226"/>
      <c r="C2025" s="226"/>
      <c r="D2025" s="226"/>
      <c r="E2025" s="226"/>
      <c r="F2025" s="226"/>
      <c r="G2025" s="226"/>
      <c r="H2025" s="226"/>
      <c r="I2025" s="9" t="str">
        <f t="shared" si="31"/>
        <v>__</v>
      </c>
    </row>
    <row r="2026" spans="1:9" x14ac:dyDescent="0.35">
      <c r="A2026" s="226"/>
      <c r="B2026" s="226"/>
      <c r="C2026" s="226"/>
      <c r="D2026" s="226"/>
      <c r="E2026" s="226"/>
      <c r="F2026" s="226"/>
      <c r="G2026" s="226"/>
      <c r="H2026" s="226"/>
      <c r="I2026" s="9" t="str">
        <f t="shared" si="31"/>
        <v>__</v>
      </c>
    </row>
    <row r="2027" spans="1:9" x14ac:dyDescent="0.35">
      <c r="A2027" s="226"/>
      <c r="B2027" s="226"/>
      <c r="C2027" s="226"/>
      <c r="D2027" s="226"/>
      <c r="E2027" s="226"/>
      <c r="F2027" s="226"/>
      <c r="G2027" s="226"/>
      <c r="H2027" s="226"/>
      <c r="I2027" s="9" t="str">
        <f t="shared" si="31"/>
        <v>__</v>
      </c>
    </row>
    <row r="2028" spans="1:9" x14ac:dyDescent="0.35">
      <c r="A2028" s="226"/>
      <c r="B2028" s="226"/>
      <c r="C2028" s="226"/>
      <c r="D2028" s="226"/>
      <c r="E2028" s="226"/>
      <c r="F2028" s="226"/>
      <c r="G2028" s="226"/>
      <c r="H2028" s="226"/>
      <c r="I2028" s="9" t="str">
        <f t="shared" si="31"/>
        <v>__</v>
      </c>
    </row>
    <row r="2029" spans="1:9" x14ac:dyDescent="0.35">
      <c r="A2029" s="226"/>
      <c r="B2029" s="226"/>
      <c r="C2029" s="226"/>
      <c r="D2029" s="226"/>
      <c r="E2029" s="226"/>
      <c r="F2029" s="226"/>
      <c r="G2029" s="226"/>
      <c r="H2029" s="226"/>
      <c r="I2029" s="9" t="str">
        <f t="shared" si="31"/>
        <v>__</v>
      </c>
    </row>
    <row r="2030" spans="1:9" x14ac:dyDescent="0.35">
      <c r="A2030" s="226"/>
      <c r="B2030" s="226"/>
      <c r="C2030" s="226"/>
      <c r="D2030" s="226"/>
      <c r="E2030" s="226"/>
      <c r="F2030" s="226"/>
      <c r="G2030" s="226"/>
      <c r="H2030" s="226"/>
      <c r="I2030" s="9" t="str">
        <f t="shared" si="31"/>
        <v>__</v>
      </c>
    </row>
    <row r="2031" spans="1:9" x14ac:dyDescent="0.35">
      <c r="A2031" s="226"/>
      <c r="B2031" s="226"/>
      <c r="C2031" s="226"/>
      <c r="D2031" s="226"/>
      <c r="E2031" s="226"/>
      <c r="F2031" s="226"/>
      <c r="G2031" s="226"/>
      <c r="H2031" s="226"/>
      <c r="I2031" s="9" t="str">
        <f t="shared" si="31"/>
        <v>__</v>
      </c>
    </row>
    <row r="2032" spans="1:9" x14ac:dyDescent="0.35">
      <c r="A2032" s="226"/>
      <c r="B2032" s="226"/>
      <c r="C2032" s="226"/>
      <c r="D2032" s="226"/>
      <c r="E2032" s="226"/>
      <c r="F2032" s="226"/>
      <c r="G2032" s="226"/>
      <c r="H2032" s="226"/>
      <c r="I2032" s="9" t="str">
        <f t="shared" si="31"/>
        <v>__</v>
      </c>
    </row>
    <row r="2033" spans="1:9" x14ac:dyDescent="0.35">
      <c r="A2033" s="226"/>
      <c r="B2033" s="226"/>
      <c r="C2033" s="226"/>
      <c r="D2033" s="226"/>
      <c r="E2033" s="226"/>
      <c r="F2033" s="226"/>
      <c r="G2033" s="226"/>
      <c r="H2033" s="226"/>
      <c r="I2033" s="9" t="str">
        <f t="shared" si="31"/>
        <v>__</v>
      </c>
    </row>
    <row r="2034" spans="1:9" x14ac:dyDescent="0.35">
      <c r="A2034" s="226"/>
      <c r="B2034" s="226"/>
      <c r="C2034" s="226"/>
      <c r="D2034" s="226"/>
      <c r="E2034" s="226"/>
      <c r="F2034" s="226"/>
      <c r="G2034" s="226"/>
      <c r="H2034" s="226"/>
      <c r="I2034" s="9" t="str">
        <f t="shared" si="31"/>
        <v>__</v>
      </c>
    </row>
    <row r="2035" spans="1:9" x14ac:dyDescent="0.35">
      <c r="A2035" s="226"/>
      <c r="B2035" s="226"/>
      <c r="C2035" s="226"/>
      <c r="D2035" s="226"/>
      <c r="E2035" s="226"/>
      <c r="F2035" s="226"/>
      <c r="G2035" s="226"/>
      <c r="H2035" s="226"/>
      <c r="I2035" s="9" t="str">
        <f t="shared" si="31"/>
        <v>__</v>
      </c>
    </row>
    <row r="2036" spans="1:9" x14ac:dyDescent="0.35">
      <c r="A2036" s="226"/>
      <c r="B2036" s="226"/>
      <c r="C2036" s="226"/>
      <c r="D2036" s="226"/>
      <c r="E2036" s="226"/>
      <c r="F2036" s="226"/>
      <c r="G2036" s="226"/>
      <c r="H2036" s="226"/>
      <c r="I2036" s="9" t="str">
        <f t="shared" si="31"/>
        <v>__</v>
      </c>
    </row>
    <row r="2037" spans="1:9" x14ac:dyDescent="0.35">
      <c r="A2037" s="226"/>
      <c r="B2037" s="226"/>
      <c r="C2037" s="226"/>
      <c r="D2037" s="226"/>
      <c r="E2037" s="226"/>
      <c r="F2037" s="226"/>
      <c r="G2037" s="226"/>
      <c r="H2037" s="226"/>
      <c r="I2037" s="9" t="str">
        <f t="shared" si="31"/>
        <v>__</v>
      </c>
    </row>
    <row r="2038" spans="1:9" x14ac:dyDescent="0.35">
      <c r="A2038" s="226"/>
      <c r="B2038" s="226"/>
      <c r="C2038" s="226"/>
      <c r="D2038" s="226"/>
      <c r="E2038" s="226"/>
      <c r="F2038" s="226"/>
      <c r="G2038" s="226"/>
      <c r="H2038" s="226"/>
      <c r="I2038" s="9" t="str">
        <f t="shared" si="31"/>
        <v>__</v>
      </c>
    </row>
    <row r="2039" spans="1:9" x14ac:dyDescent="0.35">
      <c r="A2039" s="226"/>
      <c r="B2039" s="226"/>
      <c r="C2039" s="226"/>
      <c r="D2039" s="226"/>
      <c r="E2039" s="226"/>
      <c r="F2039" s="226"/>
      <c r="G2039" s="226"/>
      <c r="H2039" s="226"/>
      <c r="I2039" s="9" t="str">
        <f t="shared" si="31"/>
        <v>__</v>
      </c>
    </row>
    <row r="2040" spans="1:9" x14ac:dyDescent="0.35">
      <c r="A2040" s="226"/>
      <c r="B2040" s="226"/>
      <c r="C2040" s="226"/>
      <c r="D2040" s="226"/>
      <c r="E2040" s="226"/>
      <c r="F2040" s="226"/>
      <c r="G2040" s="226"/>
      <c r="H2040" s="226"/>
      <c r="I2040" s="9" t="str">
        <f t="shared" si="31"/>
        <v>__</v>
      </c>
    </row>
    <row r="2041" spans="1:9" x14ac:dyDescent="0.35">
      <c r="A2041" s="226"/>
      <c r="B2041" s="226"/>
      <c r="C2041" s="226"/>
      <c r="D2041" s="226"/>
      <c r="E2041" s="226"/>
      <c r="F2041" s="226"/>
      <c r="G2041" s="226"/>
      <c r="H2041" s="226"/>
      <c r="I2041" s="9" t="str">
        <f t="shared" si="31"/>
        <v>__</v>
      </c>
    </row>
    <row r="2042" spans="1:9" x14ac:dyDescent="0.35">
      <c r="A2042" s="226"/>
      <c r="B2042" s="226"/>
      <c r="C2042" s="226"/>
      <c r="D2042" s="226"/>
      <c r="E2042" s="226"/>
      <c r="F2042" s="226"/>
      <c r="G2042" s="226"/>
      <c r="H2042" s="226"/>
      <c r="I2042" s="9" t="str">
        <f t="shared" si="31"/>
        <v>__</v>
      </c>
    </row>
    <row r="2043" spans="1:9" x14ac:dyDescent="0.35">
      <c r="A2043" s="226"/>
      <c r="B2043" s="226"/>
      <c r="C2043" s="226"/>
      <c r="D2043" s="226"/>
      <c r="E2043" s="226"/>
      <c r="F2043" s="226"/>
      <c r="G2043" s="226"/>
      <c r="H2043" s="226"/>
      <c r="I2043" s="9" t="str">
        <f t="shared" si="31"/>
        <v>__</v>
      </c>
    </row>
    <row r="2044" spans="1:9" x14ac:dyDescent="0.35">
      <c r="A2044" s="226"/>
      <c r="B2044" s="226"/>
      <c r="C2044" s="226"/>
      <c r="D2044" s="226"/>
      <c r="E2044" s="226"/>
      <c r="F2044" s="226"/>
      <c r="G2044" s="226"/>
      <c r="H2044" s="226"/>
      <c r="I2044" s="9" t="str">
        <f t="shared" si="31"/>
        <v>__</v>
      </c>
    </row>
    <row r="2045" spans="1:9" x14ac:dyDescent="0.35">
      <c r="A2045" s="226"/>
      <c r="B2045" s="226"/>
      <c r="C2045" s="226"/>
      <c r="D2045" s="226"/>
      <c r="E2045" s="226"/>
      <c r="F2045" s="226"/>
      <c r="G2045" s="226"/>
      <c r="H2045" s="226"/>
      <c r="I2045" s="9" t="str">
        <f t="shared" si="31"/>
        <v>__</v>
      </c>
    </row>
    <row r="2046" spans="1:9" x14ac:dyDescent="0.35">
      <c r="A2046" s="226"/>
      <c r="B2046" s="226"/>
      <c r="C2046" s="226"/>
      <c r="D2046" s="226"/>
      <c r="E2046" s="226"/>
      <c r="F2046" s="226"/>
      <c r="G2046" s="226"/>
      <c r="H2046" s="226"/>
      <c r="I2046" s="9" t="str">
        <f t="shared" si="31"/>
        <v>__</v>
      </c>
    </row>
    <row r="2047" spans="1:9" x14ac:dyDescent="0.35">
      <c r="A2047" s="226"/>
      <c r="B2047" s="226"/>
      <c r="C2047" s="226"/>
      <c r="D2047" s="226"/>
      <c r="E2047" s="226"/>
      <c r="F2047" s="226"/>
      <c r="G2047" s="226"/>
      <c r="H2047" s="226"/>
      <c r="I2047" s="9" t="str">
        <f t="shared" si="31"/>
        <v>__</v>
      </c>
    </row>
    <row r="2048" spans="1:9" x14ac:dyDescent="0.35">
      <c r="A2048" s="226"/>
      <c r="B2048" s="226"/>
      <c r="C2048" s="226"/>
      <c r="D2048" s="226"/>
      <c r="E2048" s="226"/>
      <c r="F2048" s="226"/>
      <c r="G2048" s="226"/>
      <c r="H2048" s="226"/>
      <c r="I2048" s="9" t="str">
        <f t="shared" si="31"/>
        <v>__</v>
      </c>
    </row>
    <row r="2049" spans="1:9" x14ac:dyDescent="0.35">
      <c r="A2049" s="226"/>
      <c r="B2049" s="226"/>
      <c r="C2049" s="226"/>
      <c r="D2049" s="226"/>
      <c r="E2049" s="226"/>
      <c r="F2049" s="226"/>
      <c r="G2049" s="226"/>
      <c r="H2049" s="226"/>
      <c r="I2049" s="9" t="str">
        <f t="shared" si="31"/>
        <v>__</v>
      </c>
    </row>
    <row r="2050" spans="1:9" x14ac:dyDescent="0.35">
      <c r="A2050" s="226"/>
      <c r="B2050" s="226"/>
      <c r="C2050" s="226"/>
      <c r="D2050" s="226"/>
      <c r="E2050" s="226"/>
      <c r="F2050" s="226"/>
      <c r="G2050" s="226"/>
      <c r="H2050" s="226"/>
      <c r="I2050" s="9" t="str">
        <f t="shared" si="31"/>
        <v>__</v>
      </c>
    </row>
    <row r="2051" spans="1:9" x14ac:dyDescent="0.35">
      <c r="A2051" s="226"/>
      <c r="B2051" s="226"/>
      <c r="C2051" s="226"/>
      <c r="D2051" s="226"/>
      <c r="E2051" s="226"/>
      <c r="F2051" s="226"/>
      <c r="G2051" s="226"/>
      <c r="H2051" s="226"/>
      <c r="I2051" s="9" t="str">
        <f t="shared" si="31"/>
        <v>__</v>
      </c>
    </row>
    <row r="2052" spans="1:9" x14ac:dyDescent="0.35">
      <c r="A2052" s="226"/>
      <c r="B2052" s="226"/>
      <c r="C2052" s="226"/>
      <c r="D2052" s="226"/>
      <c r="E2052" s="226"/>
      <c r="F2052" s="226"/>
      <c r="G2052" s="226"/>
      <c r="H2052" s="226"/>
      <c r="I2052" s="9" t="str">
        <f t="shared" si="31"/>
        <v>__</v>
      </c>
    </row>
    <row r="2053" spans="1:9" x14ac:dyDescent="0.35">
      <c r="A2053" s="226"/>
      <c r="B2053" s="226"/>
      <c r="C2053" s="226"/>
      <c r="D2053" s="226"/>
      <c r="E2053" s="226"/>
      <c r="F2053" s="226"/>
      <c r="G2053" s="226"/>
      <c r="H2053" s="226"/>
      <c r="I2053" s="9" t="str">
        <f t="shared" ref="I2053:I2116" si="32">CONCATENATE(A2053,"_",B2053,"_",C2053)</f>
        <v>__</v>
      </c>
    </row>
    <row r="2054" spans="1:9" x14ac:dyDescent="0.35">
      <c r="A2054" s="226"/>
      <c r="B2054" s="226"/>
      <c r="C2054" s="226"/>
      <c r="D2054" s="226"/>
      <c r="E2054" s="226"/>
      <c r="F2054" s="226"/>
      <c r="G2054" s="226"/>
      <c r="H2054" s="226"/>
      <c r="I2054" s="9" t="str">
        <f t="shared" si="32"/>
        <v>__</v>
      </c>
    </row>
    <row r="2055" spans="1:9" x14ac:dyDescent="0.35">
      <c r="A2055" s="226"/>
      <c r="B2055" s="226"/>
      <c r="C2055" s="226"/>
      <c r="D2055" s="226"/>
      <c r="E2055" s="226"/>
      <c r="F2055" s="226"/>
      <c r="G2055" s="226"/>
      <c r="H2055" s="226"/>
      <c r="I2055" s="9" t="str">
        <f t="shared" si="32"/>
        <v>__</v>
      </c>
    </row>
    <row r="2056" spans="1:9" x14ac:dyDescent="0.35">
      <c r="A2056" s="226"/>
      <c r="B2056" s="226"/>
      <c r="C2056" s="226"/>
      <c r="D2056" s="226"/>
      <c r="E2056" s="226"/>
      <c r="F2056" s="226"/>
      <c r="G2056" s="226"/>
      <c r="H2056" s="226"/>
      <c r="I2056" s="9" t="str">
        <f t="shared" si="32"/>
        <v>__</v>
      </c>
    </row>
    <row r="2057" spans="1:9" x14ac:dyDescent="0.35">
      <c r="A2057" s="226"/>
      <c r="B2057" s="226"/>
      <c r="C2057" s="226"/>
      <c r="D2057" s="226"/>
      <c r="E2057" s="226"/>
      <c r="F2057" s="226"/>
      <c r="G2057" s="226"/>
      <c r="H2057" s="226"/>
      <c r="I2057" s="9" t="str">
        <f t="shared" si="32"/>
        <v>__</v>
      </c>
    </row>
    <row r="2058" spans="1:9" x14ac:dyDescent="0.35">
      <c r="A2058" s="226"/>
      <c r="B2058" s="226"/>
      <c r="C2058" s="226"/>
      <c r="D2058" s="226"/>
      <c r="E2058" s="226"/>
      <c r="F2058" s="226"/>
      <c r="G2058" s="226"/>
      <c r="H2058" s="226"/>
      <c r="I2058" s="9" t="str">
        <f t="shared" si="32"/>
        <v>__</v>
      </c>
    </row>
    <row r="2059" spans="1:9" x14ac:dyDescent="0.35">
      <c r="A2059" s="226"/>
      <c r="B2059" s="226"/>
      <c r="C2059" s="226"/>
      <c r="D2059" s="226"/>
      <c r="E2059" s="226"/>
      <c r="F2059" s="226"/>
      <c r="G2059" s="226"/>
      <c r="H2059" s="226"/>
      <c r="I2059" s="9" t="str">
        <f t="shared" si="32"/>
        <v>__</v>
      </c>
    </row>
    <row r="2060" spans="1:9" x14ac:dyDescent="0.35">
      <c r="A2060" s="226"/>
      <c r="B2060" s="226"/>
      <c r="C2060" s="226"/>
      <c r="D2060" s="226"/>
      <c r="E2060" s="226"/>
      <c r="F2060" s="226"/>
      <c r="G2060" s="226"/>
      <c r="H2060" s="226"/>
      <c r="I2060" s="9" t="str">
        <f t="shared" si="32"/>
        <v>__</v>
      </c>
    </row>
    <row r="2061" spans="1:9" x14ac:dyDescent="0.35">
      <c r="A2061" s="226"/>
      <c r="B2061" s="226"/>
      <c r="C2061" s="226"/>
      <c r="D2061" s="226"/>
      <c r="E2061" s="226"/>
      <c r="F2061" s="226"/>
      <c r="G2061" s="226"/>
      <c r="H2061" s="226"/>
      <c r="I2061" s="9" t="str">
        <f t="shared" si="32"/>
        <v>__</v>
      </c>
    </row>
    <row r="2062" spans="1:9" x14ac:dyDescent="0.35">
      <c r="A2062" s="226"/>
      <c r="B2062" s="226"/>
      <c r="C2062" s="226"/>
      <c r="D2062" s="226"/>
      <c r="E2062" s="226"/>
      <c r="F2062" s="226"/>
      <c r="G2062" s="226"/>
      <c r="H2062" s="226"/>
      <c r="I2062" s="9" t="str">
        <f t="shared" si="32"/>
        <v>__</v>
      </c>
    </row>
    <row r="2063" spans="1:9" x14ac:dyDescent="0.35">
      <c r="A2063" s="226"/>
      <c r="B2063" s="226"/>
      <c r="C2063" s="226"/>
      <c r="D2063" s="226"/>
      <c r="E2063" s="226"/>
      <c r="F2063" s="226"/>
      <c r="G2063" s="226"/>
      <c r="H2063" s="226"/>
      <c r="I2063" s="9" t="str">
        <f t="shared" si="32"/>
        <v>__</v>
      </c>
    </row>
    <row r="2064" spans="1:9" x14ac:dyDescent="0.35">
      <c r="A2064" s="226"/>
      <c r="B2064" s="226"/>
      <c r="C2064" s="226"/>
      <c r="D2064" s="226"/>
      <c r="E2064" s="226"/>
      <c r="F2064" s="226"/>
      <c r="G2064" s="226"/>
      <c r="H2064" s="226"/>
      <c r="I2064" s="9" t="str">
        <f t="shared" si="32"/>
        <v>__</v>
      </c>
    </row>
    <row r="2065" spans="1:9" x14ac:dyDescent="0.35">
      <c r="A2065" s="226"/>
      <c r="B2065" s="226"/>
      <c r="C2065" s="226"/>
      <c r="D2065" s="226"/>
      <c r="E2065" s="226"/>
      <c r="F2065" s="226"/>
      <c r="G2065" s="226"/>
      <c r="H2065" s="226"/>
      <c r="I2065" s="9" t="str">
        <f t="shared" si="32"/>
        <v>__</v>
      </c>
    </row>
    <row r="2066" spans="1:9" x14ac:dyDescent="0.35">
      <c r="A2066" s="226"/>
      <c r="B2066" s="226"/>
      <c r="C2066" s="226"/>
      <c r="D2066" s="226"/>
      <c r="E2066" s="226"/>
      <c r="F2066" s="226"/>
      <c r="G2066" s="226"/>
      <c r="H2066" s="226"/>
      <c r="I2066" s="9" t="str">
        <f t="shared" si="32"/>
        <v>__</v>
      </c>
    </row>
    <row r="2067" spans="1:9" x14ac:dyDescent="0.35">
      <c r="A2067" s="226"/>
      <c r="B2067" s="226"/>
      <c r="C2067" s="226"/>
      <c r="D2067" s="226"/>
      <c r="E2067" s="226"/>
      <c r="F2067" s="226"/>
      <c r="G2067" s="226"/>
      <c r="H2067" s="226"/>
      <c r="I2067" s="9" t="str">
        <f t="shared" si="32"/>
        <v>__</v>
      </c>
    </row>
    <row r="2068" spans="1:9" x14ac:dyDescent="0.35">
      <c r="A2068" s="226"/>
      <c r="B2068" s="226"/>
      <c r="C2068" s="226"/>
      <c r="D2068" s="226"/>
      <c r="E2068" s="226"/>
      <c r="F2068" s="226"/>
      <c r="G2068" s="226"/>
      <c r="H2068" s="226"/>
      <c r="I2068" s="9" t="str">
        <f t="shared" si="32"/>
        <v>__</v>
      </c>
    </row>
    <row r="2069" spans="1:9" x14ac:dyDescent="0.35">
      <c r="A2069" s="226"/>
      <c r="B2069" s="226"/>
      <c r="C2069" s="226"/>
      <c r="D2069" s="226"/>
      <c r="E2069" s="226"/>
      <c r="F2069" s="226"/>
      <c r="G2069" s="226"/>
      <c r="H2069" s="226"/>
      <c r="I2069" s="9" t="str">
        <f t="shared" si="32"/>
        <v>__</v>
      </c>
    </row>
    <row r="2070" spans="1:9" x14ac:dyDescent="0.35">
      <c r="A2070" s="226"/>
      <c r="B2070" s="226"/>
      <c r="C2070" s="226"/>
      <c r="D2070" s="226"/>
      <c r="E2070" s="226"/>
      <c r="F2070" s="226"/>
      <c r="G2070" s="226"/>
      <c r="H2070" s="226"/>
      <c r="I2070" s="9" t="str">
        <f t="shared" si="32"/>
        <v>__</v>
      </c>
    </row>
    <row r="2071" spans="1:9" x14ac:dyDescent="0.35">
      <c r="A2071" s="226"/>
      <c r="B2071" s="226"/>
      <c r="C2071" s="226"/>
      <c r="D2071" s="226"/>
      <c r="E2071" s="226"/>
      <c r="F2071" s="226"/>
      <c r="G2071" s="226"/>
      <c r="H2071" s="226"/>
      <c r="I2071" s="9" t="str">
        <f t="shared" si="32"/>
        <v>__</v>
      </c>
    </row>
    <row r="2072" spans="1:9" x14ac:dyDescent="0.35">
      <c r="A2072" s="226"/>
      <c r="B2072" s="226"/>
      <c r="C2072" s="226"/>
      <c r="D2072" s="226"/>
      <c r="E2072" s="226"/>
      <c r="F2072" s="226"/>
      <c r="G2072" s="226"/>
      <c r="H2072" s="226"/>
      <c r="I2072" s="9" t="str">
        <f t="shared" si="32"/>
        <v>__</v>
      </c>
    </row>
    <row r="2073" spans="1:9" x14ac:dyDescent="0.35">
      <c r="A2073" s="226"/>
      <c r="B2073" s="226"/>
      <c r="C2073" s="226"/>
      <c r="D2073" s="226"/>
      <c r="E2073" s="226"/>
      <c r="F2073" s="226"/>
      <c r="G2073" s="226"/>
      <c r="H2073" s="226"/>
      <c r="I2073" s="9" t="str">
        <f t="shared" si="32"/>
        <v>__</v>
      </c>
    </row>
    <row r="2074" spans="1:9" x14ac:dyDescent="0.35">
      <c r="A2074" s="226"/>
      <c r="B2074" s="226"/>
      <c r="C2074" s="226"/>
      <c r="D2074" s="226"/>
      <c r="E2074" s="226"/>
      <c r="F2074" s="226"/>
      <c r="G2074" s="226"/>
      <c r="H2074" s="226"/>
      <c r="I2074" s="9" t="str">
        <f t="shared" si="32"/>
        <v>__</v>
      </c>
    </row>
    <row r="2075" spans="1:9" x14ac:dyDescent="0.35">
      <c r="A2075" s="226"/>
      <c r="B2075" s="226"/>
      <c r="C2075" s="226"/>
      <c r="D2075" s="226"/>
      <c r="E2075" s="226"/>
      <c r="F2075" s="226"/>
      <c r="G2075" s="226"/>
      <c r="H2075" s="226"/>
      <c r="I2075" s="9" t="str">
        <f t="shared" si="32"/>
        <v>__</v>
      </c>
    </row>
    <row r="2076" spans="1:9" x14ac:dyDescent="0.35">
      <c r="A2076" s="226"/>
      <c r="B2076" s="226"/>
      <c r="C2076" s="226"/>
      <c r="D2076" s="226"/>
      <c r="E2076" s="226"/>
      <c r="F2076" s="226"/>
      <c r="G2076" s="226"/>
      <c r="H2076" s="226"/>
      <c r="I2076" s="9" t="str">
        <f t="shared" si="32"/>
        <v>__</v>
      </c>
    </row>
    <row r="2077" spans="1:9" x14ac:dyDescent="0.35">
      <c r="A2077" s="226"/>
      <c r="B2077" s="226"/>
      <c r="C2077" s="226"/>
      <c r="D2077" s="226"/>
      <c r="E2077" s="226"/>
      <c r="F2077" s="226"/>
      <c r="G2077" s="226"/>
      <c r="H2077" s="226"/>
      <c r="I2077" s="9" t="str">
        <f t="shared" si="32"/>
        <v>__</v>
      </c>
    </row>
    <row r="2078" spans="1:9" x14ac:dyDescent="0.35">
      <c r="A2078" s="226"/>
      <c r="B2078" s="226"/>
      <c r="C2078" s="226"/>
      <c r="D2078" s="226"/>
      <c r="E2078" s="226"/>
      <c r="F2078" s="226"/>
      <c r="G2078" s="226"/>
      <c r="H2078" s="226"/>
      <c r="I2078" s="9" t="str">
        <f t="shared" si="32"/>
        <v>__</v>
      </c>
    </row>
    <row r="2079" spans="1:9" x14ac:dyDescent="0.35">
      <c r="A2079" s="226"/>
      <c r="B2079" s="226"/>
      <c r="C2079" s="226"/>
      <c r="D2079" s="226"/>
      <c r="E2079" s="226"/>
      <c r="F2079" s="226"/>
      <c r="G2079" s="226"/>
      <c r="H2079" s="226"/>
      <c r="I2079" s="9" t="str">
        <f t="shared" si="32"/>
        <v>__</v>
      </c>
    </row>
    <row r="2080" spans="1:9" x14ac:dyDescent="0.35">
      <c r="A2080" s="226"/>
      <c r="B2080" s="226"/>
      <c r="C2080" s="226"/>
      <c r="D2080" s="226"/>
      <c r="E2080" s="226"/>
      <c r="F2080" s="226"/>
      <c r="G2080" s="226"/>
      <c r="H2080" s="226"/>
      <c r="I2080" s="9" t="str">
        <f t="shared" si="32"/>
        <v>__</v>
      </c>
    </row>
    <row r="2081" spans="1:9" x14ac:dyDescent="0.35">
      <c r="A2081" s="226"/>
      <c r="B2081" s="226"/>
      <c r="C2081" s="226"/>
      <c r="D2081" s="226"/>
      <c r="E2081" s="226"/>
      <c r="F2081" s="226"/>
      <c r="G2081" s="226"/>
      <c r="H2081" s="226"/>
      <c r="I2081" s="9" t="str">
        <f t="shared" si="32"/>
        <v>__</v>
      </c>
    </row>
    <row r="2082" spans="1:9" x14ac:dyDescent="0.35">
      <c r="A2082" s="226"/>
      <c r="B2082" s="226"/>
      <c r="C2082" s="226"/>
      <c r="D2082" s="226"/>
      <c r="E2082" s="226"/>
      <c r="F2082" s="226"/>
      <c r="G2082" s="226"/>
      <c r="H2082" s="226"/>
      <c r="I2082" s="9" t="str">
        <f t="shared" si="32"/>
        <v>__</v>
      </c>
    </row>
    <row r="2083" spans="1:9" x14ac:dyDescent="0.35">
      <c r="A2083" s="226"/>
      <c r="B2083" s="226"/>
      <c r="C2083" s="226"/>
      <c r="D2083" s="226"/>
      <c r="E2083" s="226"/>
      <c r="F2083" s="226"/>
      <c r="G2083" s="226"/>
      <c r="H2083" s="226"/>
      <c r="I2083" s="9" t="str">
        <f t="shared" si="32"/>
        <v>__</v>
      </c>
    </row>
    <row r="2084" spans="1:9" x14ac:dyDescent="0.35">
      <c r="A2084" s="226"/>
      <c r="B2084" s="226"/>
      <c r="C2084" s="226"/>
      <c r="D2084" s="226"/>
      <c r="E2084" s="226"/>
      <c r="F2084" s="226"/>
      <c r="G2084" s="226"/>
      <c r="H2084" s="226"/>
      <c r="I2084" s="9" t="str">
        <f t="shared" si="32"/>
        <v>__</v>
      </c>
    </row>
    <row r="2085" spans="1:9" x14ac:dyDescent="0.35">
      <c r="A2085" s="226"/>
      <c r="B2085" s="226"/>
      <c r="C2085" s="226"/>
      <c r="D2085" s="226"/>
      <c r="E2085" s="226"/>
      <c r="F2085" s="226"/>
      <c r="G2085" s="226"/>
      <c r="H2085" s="226"/>
      <c r="I2085" s="9" t="str">
        <f t="shared" si="32"/>
        <v>__</v>
      </c>
    </row>
    <row r="2086" spans="1:9" x14ac:dyDescent="0.35">
      <c r="A2086" s="226"/>
      <c r="B2086" s="226"/>
      <c r="C2086" s="226"/>
      <c r="D2086" s="226"/>
      <c r="E2086" s="226"/>
      <c r="F2086" s="226"/>
      <c r="G2086" s="226"/>
      <c r="H2086" s="226"/>
      <c r="I2086" s="9" t="str">
        <f t="shared" si="32"/>
        <v>__</v>
      </c>
    </row>
    <row r="2087" spans="1:9" x14ac:dyDescent="0.35">
      <c r="A2087" s="226"/>
      <c r="B2087" s="226"/>
      <c r="C2087" s="226"/>
      <c r="D2087" s="226"/>
      <c r="E2087" s="226"/>
      <c r="F2087" s="226"/>
      <c r="G2087" s="226"/>
      <c r="H2087" s="226"/>
      <c r="I2087" s="9" t="str">
        <f t="shared" si="32"/>
        <v>__</v>
      </c>
    </row>
    <row r="2088" spans="1:9" x14ac:dyDescent="0.35">
      <c r="A2088" s="226"/>
      <c r="B2088" s="226"/>
      <c r="C2088" s="226"/>
      <c r="D2088" s="226"/>
      <c r="E2088" s="226"/>
      <c r="F2088" s="226"/>
      <c r="G2088" s="226"/>
      <c r="H2088" s="226"/>
      <c r="I2088" s="9" t="str">
        <f t="shared" si="32"/>
        <v>__</v>
      </c>
    </row>
    <row r="2089" spans="1:9" x14ac:dyDescent="0.35">
      <c r="A2089" s="226"/>
      <c r="B2089" s="226"/>
      <c r="C2089" s="226"/>
      <c r="D2089" s="226"/>
      <c r="E2089" s="226"/>
      <c r="F2089" s="226"/>
      <c r="G2089" s="226"/>
      <c r="H2089" s="226"/>
      <c r="I2089" s="9" t="str">
        <f t="shared" si="32"/>
        <v>__</v>
      </c>
    </row>
    <row r="2090" spans="1:9" x14ac:dyDescent="0.35">
      <c r="A2090" s="226"/>
      <c r="B2090" s="226"/>
      <c r="C2090" s="226"/>
      <c r="D2090" s="226"/>
      <c r="E2090" s="226"/>
      <c r="F2090" s="226"/>
      <c r="G2090" s="226"/>
      <c r="H2090" s="226"/>
      <c r="I2090" s="9" t="str">
        <f t="shared" si="32"/>
        <v>__</v>
      </c>
    </row>
    <row r="2091" spans="1:9" x14ac:dyDescent="0.35">
      <c r="A2091" s="226"/>
      <c r="B2091" s="226"/>
      <c r="C2091" s="226"/>
      <c r="D2091" s="226"/>
      <c r="E2091" s="226"/>
      <c r="F2091" s="226"/>
      <c r="G2091" s="226"/>
      <c r="H2091" s="226"/>
      <c r="I2091" s="9" t="str">
        <f t="shared" si="32"/>
        <v>__</v>
      </c>
    </row>
    <row r="2092" spans="1:9" x14ac:dyDescent="0.35">
      <c r="A2092" s="226"/>
      <c r="B2092" s="226"/>
      <c r="C2092" s="226"/>
      <c r="D2092" s="226"/>
      <c r="E2092" s="226"/>
      <c r="F2092" s="226"/>
      <c r="G2092" s="226"/>
      <c r="H2092" s="226"/>
      <c r="I2092" s="9" t="str">
        <f t="shared" si="32"/>
        <v>__</v>
      </c>
    </row>
    <row r="2093" spans="1:9" x14ac:dyDescent="0.35">
      <c r="A2093" s="226"/>
      <c r="B2093" s="226"/>
      <c r="C2093" s="226"/>
      <c r="D2093" s="226"/>
      <c r="E2093" s="226"/>
      <c r="F2093" s="226"/>
      <c r="G2093" s="226"/>
      <c r="H2093" s="226"/>
      <c r="I2093" s="9" t="str">
        <f t="shared" si="32"/>
        <v>__</v>
      </c>
    </row>
    <row r="2094" spans="1:9" x14ac:dyDescent="0.35">
      <c r="A2094" s="226"/>
      <c r="B2094" s="226"/>
      <c r="C2094" s="226"/>
      <c r="D2094" s="226"/>
      <c r="E2094" s="226"/>
      <c r="F2094" s="226"/>
      <c r="G2094" s="226"/>
      <c r="H2094" s="226"/>
      <c r="I2094" s="9" t="str">
        <f t="shared" si="32"/>
        <v>__</v>
      </c>
    </row>
    <row r="2095" spans="1:9" x14ac:dyDescent="0.35">
      <c r="A2095" s="226"/>
      <c r="B2095" s="226"/>
      <c r="C2095" s="226"/>
      <c r="D2095" s="226"/>
      <c r="E2095" s="226"/>
      <c r="F2095" s="226"/>
      <c r="G2095" s="226"/>
      <c r="H2095" s="226"/>
      <c r="I2095" s="9" t="str">
        <f t="shared" si="32"/>
        <v>__</v>
      </c>
    </row>
    <row r="2096" spans="1:9" x14ac:dyDescent="0.35">
      <c r="A2096" s="226"/>
      <c r="B2096" s="226"/>
      <c r="C2096" s="226"/>
      <c r="D2096" s="226"/>
      <c r="E2096" s="226"/>
      <c r="F2096" s="226"/>
      <c r="G2096" s="226"/>
      <c r="H2096" s="226"/>
      <c r="I2096" s="9" t="str">
        <f t="shared" si="32"/>
        <v>__</v>
      </c>
    </row>
    <row r="2097" spans="1:9" x14ac:dyDescent="0.35">
      <c r="A2097" s="226"/>
      <c r="B2097" s="226"/>
      <c r="C2097" s="226"/>
      <c r="D2097" s="226"/>
      <c r="E2097" s="226"/>
      <c r="F2097" s="226"/>
      <c r="G2097" s="226"/>
      <c r="H2097" s="226"/>
      <c r="I2097" s="9" t="str">
        <f t="shared" si="32"/>
        <v>__</v>
      </c>
    </row>
    <row r="2098" spans="1:9" x14ac:dyDescent="0.35">
      <c r="A2098" s="226"/>
      <c r="B2098" s="226"/>
      <c r="C2098" s="226"/>
      <c r="D2098" s="226"/>
      <c r="E2098" s="226"/>
      <c r="F2098" s="226"/>
      <c r="G2098" s="226"/>
      <c r="H2098" s="226"/>
      <c r="I2098" s="9" t="str">
        <f t="shared" si="32"/>
        <v>__</v>
      </c>
    </row>
    <row r="2099" spans="1:9" x14ac:dyDescent="0.35">
      <c r="A2099" s="226"/>
      <c r="B2099" s="226"/>
      <c r="C2099" s="226"/>
      <c r="D2099" s="226"/>
      <c r="E2099" s="226"/>
      <c r="F2099" s="226"/>
      <c r="G2099" s="226"/>
      <c r="H2099" s="226"/>
      <c r="I2099" s="9" t="str">
        <f t="shared" si="32"/>
        <v>__</v>
      </c>
    </row>
    <row r="2100" spans="1:9" x14ac:dyDescent="0.35">
      <c r="A2100" s="226"/>
      <c r="B2100" s="226"/>
      <c r="C2100" s="226"/>
      <c r="D2100" s="226"/>
      <c r="E2100" s="226"/>
      <c r="F2100" s="226"/>
      <c r="G2100" s="226"/>
      <c r="H2100" s="226"/>
      <c r="I2100" s="9" t="str">
        <f t="shared" si="32"/>
        <v>__</v>
      </c>
    </row>
    <row r="2101" spans="1:9" x14ac:dyDescent="0.35">
      <c r="A2101" s="226"/>
      <c r="B2101" s="226"/>
      <c r="C2101" s="226"/>
      <c r="D2101" s="226"/>
      <c r="E2101" s="226"/>
      <c r="F2101" s="226"/>
      <c r="G2101" s="226"/>
      <c r="H2101" s="226"/>
      <c r="I2101" s="9" t="str">
        <f t="shared" si="32"/>
        <v>__</v>
      </c>
    </row>
    <row r="2102" spans="1:9" x14ac:dyDescent="0.35">
      <c r="A2102" s="226"/>
      <c r="B2102" s="226"/>
      <c r="C2102" s="226"/>
      <c r="D2102" s="226"/>
      <c r="E2102" s="226"/>
      <c r="F2102" s="226"/>
      <c r="G2102" s="226"/>
      <c r="H2102" s="226"/>
      <c r="I2102" s="9" t="str">
        <f t="shared" si="32"/>
        <v>__</v>
      </c>
    </row>
    <row r="2103" spans="1:9" x14ac:dyDescent="0.35">
      <c r="A2103" s="226"/>
      <c r="B2103" s="226"/>
      <c r="C2103" s="226"/>
      <c r="D2103" s="226"/>
      <c r="E2103" s="226"/>
      <c r="F2103" s="226"/>
      <c r="G2103" s="226"/>
      <c r="H2103" s="226"/>
      <c r="I2103" s="9" t="str">
        <f t="shared" si="32"/>
        <v>__</v>
      </c>
    </row>
    <row r="2104" spans="1:9" x14ac:dyDescent="0.35">
      <c r="A2104" s="226"/>
      <c r="B2104" s="226"/>
      <c r="C2104" s="226"/>
      <c r="D2104" s="226"/>
      <c r="E2104" s="226"/>
      <c r="F2104" s="226"/>
      <c r="G2104" s="226"/>
      <c r="H2104" s="226"/>
      <c r="I2104" s="9" t="str">
        <f t="shared" si="32"/>
        <v>__</v>
      </c>
    </row>
    <row r="2105" spans="1:9" x14ac:dyDescent="0.35">
      <c r="A2105" s="226"/>
      <c r="B2105" s="226"/>
      <c r="C2105" s="226"/>
      <c r="D2105" s="226"/>
      <c r="E2105" s="226"/>
      <c r="F2105" s="226"/>
      <c r="G2105" s="226"/>
      <c r="H2105" s="226"/>
      <c r="I2105" s="9" t="str">
        <f t="shared" si="32"/>
        <v>__</v>
      </c>
    </row>
    <row r="2106" spans="1:9" x14ac:dyDescent="0.35">
      <c r="A2106" s="226"/>
      <c r="B2106" s="226"/>
      <c r="C2106" s="226"/>
      <c r="D2106" s="226"/>
      <c r="E2106" s="226"/>
      <c r="F2106" s="226"/>
      <c r="G2106" s="226"/>
      <c r="H2106" s="226"/>
      <c r="I2106" s="9" t="str">
        <f t="shared" si="32"/>
        <v>__</v>
      </c>
    </row>
    <row r="2107" spans="1:9" x14ac:dyDescent="0.35">
      <c r="A2107" s="226"/>
      <c r="B2107" s="226"/>
      <c r="C2107" s="226"/>
      <c r="D2107" s="226"/>
      <c r="E2107" s="226"/>
      <c r="F2107" s="226"/>
      <c r="G2107" s="226"/>
      <c r="H2107" s="226"/>
      <c r="I2107" s="9" t="str">
        <f t="shared" si="32"/>
        <v>__</v>
      </c>
    </row>
    <row r="2108" spans="1:9" x14ac:dyDescent="0.35">
      <c r="A2108" s="226"/>
      <c r="B2108" s="226"/>
      <c r="C2108" s="226"/>
      <c r="D2108" s="226"/>
      <c r="E2108" s="226"/>
      <c r="F2108" s="226"/>
      <c r="G2108" s="226"/>
      <c r="H2108" s="226"/>
      <c r="I2108" s="9" t="str">
        <f t="shared" si="32"/>
        <v>__</v>
      </c>
    </row>
    <row r="2109" spans="1:9" x14ac:dyDescent="0.35">
      <c r="A2109" s="226"/>
      <c r="B2109" s="226"/>
      <c r="C2109" s="226"/>
      <c r="D2109" s="226"/>
      <c r="E2109" s="226"/>
      <c r="F2109" s="226"/>
      <c r="G2109" s="226"/>
      <c r="H2109" s="226"/>
      <c r="I2109" s="9" t="str">
        <f t="shared" si="32"/>
        <v>__</v>
      </c>
    </row>
    <row r="2110" spans="1:9" x14ac:dyDescent="0.35">
      <c r="A2110" s="226"/>
      <c r="B2110" s="226"/>
      <c r="C2110" s="226"/>
      <c r="D2110" s="226"/>
      <c r="E2110" s="226"/>
      <c r="F2110" s="226"/>
      <c r="G2110" s="226"/>
      <c r="H2110" s="226"/>
      <c r="I2110" s="9" t="str">
        <f t="shared" si="32"/>
        <v>__</v>
      </c>
    </row>
    <row r="2111" spans="1:9" x14ac:dyDescent="0.35">
      <c r="A2111" s="226"/>
      <c r="B2111" s="226"/>
      <c r="C2111" s="226"/>
      <c r="D2111" s="226"/>
      <c r="E2111" s="226"/>
      <c r="F2111" s="226"/>
      <c r="G2111" s="226"/>
      <c r="H2111" s="226"/>
      <c r="I2111" s="9" t="str">
        <f t="shared" si="32"/>
        <v>__</v>
      </c>
    </row>
    <row r="2112" spans="1:9" x14ac:dyDescent="0.35">
      <c r="A2112" s="226"/>
      <c r="B2112" s="226"/>
      <c r="C2112" s="226"/>
      <c r="D2112" s="226"/>
      <c r="E2112" s="226"/>
      <c r="F2112" s="226"/>
      <c r="G2112" s="226"/>
      <c r="H2112" s="226"/>
      <c r="I2112" s="9" t="str">
        <f t="shared" si="32"/>
        <v>__</v>
      </c>
    </row>
    <row r="2113" spans="1:9" x14ac:dyDescent="0.35">
      <c r="A2113" s="226"/>
      <c r="B2113" s="226"/>
      <c r="C2113" s="226"/>
      <c r="D2113" s="226"/>
      <c r="E2113" s="226"/>
      <c r="F2113" s="226"/>
      <c r="G2113" s="226"/>
      <c r="H2113" s="226"/>
      <c r="I2113" s="9" t="str">
        <f t="shared" si="32"/>
        <v>__</v>
      </c>
    </row>
    <row r="2114" spans="1:9" x14ac:dyDescent="0.35">
      <c r="A2114" s="226"/>
      <c r="B2114" s="226"/>
      <c r="C2114" s="226"/>
      <c r="D2114" s="226"/>
      <c r="E2114" s="226"/>
      <c r="F2114" s="226"/>
      <c r="G2114" s="226"/>
      <c r="H2114" s="226"/>
      <c r="I2114" s="9" t="str">
        <f t="shared" si="32"/>
        <v>__</v>
      </c>
    </row>
    <row r="2115" spans="1:9" x14ac:dyDescent="0.35">
      <c r="A2115" s="226"/>
      <c r="B2115" s="226"/>
      <c r="C2115" s="226"/>
      <c r="D2115" s="226"/>
      <c r="E2115" s="226"/>
      <c r="F2115" s="226"/>
      <c r="G2115" s="226"/>
      <c r="H2115" s="226"/>
      <c r="I2115" s="9" t="str">
        <f t="shared" si="32"/>
        <v>__</v>
      </c>
    </row>
    <row r="2116" spans="1:9" x14ac:dyDescent="0.35">
      <c r="A2116" s="226"/>
      <c r="B2116" s="226"/>
      <c r="C2116" s="226"/>
      <c r="D2116" s="226"/>
      <c r="E2116" s="226"/>
      <c r="F2116" s="226"/>
      <c r="G2116" s="226"/>
      <c r="H2116" s="226"/>
      <c r="I2116" s="9" t="str">
        <f t="shared" si="32"/>
        <v>__</v>
      </c>
    </row>
    <row r="2117" spans="1:9" x14ac:dyDescent="0.35">
      <c r="A2117" s="226"/>
      <c r="B2117" s="226"/>
      <c r="C2117" s="226"/>
      <c r="D2117" s="226"/>
      <c r="E2117" s="226"/>
      <c r="F2117" s="226"/>
      <c r="G2117" s="226"/>
      <c r="H2117" s="226"/>
      <c r="I2117" s="9" t="str">
        <f t="shared" ref="I2117:I2180" si="33">CONCATENATE(A2117,"_",B2117,"_",C2117)</f>
        <v>__</v>
      </c>
    </row>
    <row r="2118" spans="1:9" x14ac:dyDescent="0.35">
      <c r="A2118" s="226"/>
      <c r="B2118" s="226"/>
      <c r="C2118" s="226"/>
      <c r="D2118" s="226"/>
      <c r="E2118" s="226"/>
      <c r="F2118" s="226"/>
      <c r="G2118" s="226"/>
      <c r="H2118" s="226"/>
      <c r="I2118" s="9" t="str">
        <f t="shared" si="33"/>
        <v>__</v>
      </c>
    </row>
    <row r="2119" spans="1:9" x14ac:dyDescent="0.35">
      <c r="A2119" s="226"/>
      <c r="B2119" s="226"/>
      <c r="C2119" s="226"/>
      <c r="D2119" s="226"/>
      <c r="E2119" s="226"/>
      <c r="F2119" s="226"/>
      <c r="G2119" s="226"/>
      <c r="H2119" s="226"/>
      <c r="I2119" s="9" t="str">
        <f t="shared" si="33"/>
        <v>__</v>
      </c>
    </row>
    <row r="2120" spans="1:9" x14ac:dyDescent="0.35">
      <c r="A2120" s="226"/>
      <c r="B2120" s="226"/>
      <c r="C2120" s="226"/>
      <c r="D2120" s="226"/>
      <c r="E2120" s="226"/>
      <c r="F2120" s="226"/>
      <c r="G2120" s="226"/>
      <c r="H2120" s="226"/>
      <c r="I2120" s="9" t="str">
        <f t="shared" si="33"/>
        <v>__</v>
      </c>
    </row>
    <row r="2121" spans="1:9" x14ac:dyDescent="0.35">
      <c r="A2121" s="226"/>
      <c r="B2121" s="226"/>
      <c r="C2121" s="226"/>
      <c r="D2121" s="226"/>
      <c r="E2121" s="226"/>
      <c r="F2121" s="226"/>
      <c r="G2121" s="226"/>
      <c r="H2121" s="226"/>
      <c r="I2121" s="9" t="str">
        <f t="shared" si="33"/>
        <v>__</v>
      </c>
    </row>
    <row r="2122" spans="1:9" x14ac:dyDescent="0.35">
      <c r="A2122" s="226"/>
      <c r="B2122" s="226"/>
      <c r="C2122" s="226"/>
      <c r="D2122" s="226"/>
      <c r="E2122" s="226"/>
      <c r="F2122" s="226"/>
      <c r="G2122" s="226"/>
      <c r="H2122" s="226"/>
      <c r="I2122" s="9" t="str">
        <f t="shared" si="33"/>
        <v>__</v>
      </c>
    </row>
    <row r="2123" spans="1:9" x14ac:dyDescent="0.35">
      <c r="A2123" s="226"/>
      <c r="B2123" s="226"/>
      <c r="C2123" s="226"/>
      <c r="D2123" s="226"/>
      <c r="E2123" s="226"/>
      <c r="F2123" s="226"/>
      <c r="G2123" s="226"/>
      <c r="H2123" s="226"/>
      <c r="I2123" s="9" t="str">
        <f t="shared" si="33"/>
        <v>__</v>
      </c>
    </row>
    <row r="2124" spans="1:9" x14ac:dyDescent="0.35">
      <c r="A2124" s="226"/>
      <c r="B2124" s="226"/>
      <c r="C2124" s="226"/>
      <c r="D2124" s="226"/>
      <c r="E2124" s="226"/>
      <c r="F2124" s="226"/>
      <c r="G2124" s="226"/>
      <c r="H2124" s="226"/>
      <c r="I2124" s="9" t="str">
        <f t="shared" si="33"/>
        <v>__</v>
      </c>
    </row>
    <row r="2125" spans="1:9" x14ac:dyDescent="0.35">
      <c r="A2125" s="226"/>
      <c r="B2125" s="226"/>
      <c r="C2125" s="226"/>
      <c r="D2125" s="226"/>
      <c r="E2125" s="226"/>
      <c r="F2125" s="226"/>
      <c r="G2125" s="226"/>
      <c r="H2125" s="226"/>
      <c r="I2125" s="9" t="str">
        <f t="shared" si="33"/>
        <v>__</v>
      </c>
    </row>
    <row r="2126" spans="1:9" x14ac:dyDescent="0.35">
      <c r="A2126" s="226"/>
      <c r="B2126" s="226"/>
      <c r="C2126" s="226"/>
      <c r="D2126" s="226"/>
      <c r="E2126" s="226"/>
      <c r="F2126" s="226"/>
      <c r="G2126" s="226"/>
      <c r="H2126" s="226"/>
      <c r="I2126" s="9" t="str">
        <f t="shared" si="33"/>
        <v>__</v>
      </c>
    </row>
    <row r="2127" spans="1:9" x14ac:dyDescent="0.35">
      <c r="A2127" s="226"/>
      <c r="B2127" s="226"/>
      <c r="C2127" s="226"/>
      <c r="D2127" s="226"/>
      <c r="E2127" s="226"/>
      <c r="F2127" s="226"/>
      <c r="G2127" s="226"/>
      <c r="H2127" s="226"/>
      <c r="I2127" s="9" t="str">
        <f t="shared" si="33"/>
        <v>__</v>
      </c>
    </row>
    <row r="2128" spans="1:9" x14ac:dyDescent="0.35">
      <c r="A2128" s="226"/>
      <c r="B2128" s="226"/>
      <c r="C2128" s="226"/>
      <c r="D2128" s="226"/>
      <c r="E2128" s="226"/>
      <c r="F2128" s="226"/>
      <c r="G2128" s="226"/>
      <c r="H2128" s="226"/>
      <c r="I2128" s="9" t="str">
        <f t="shared" si="33"/>
        <v>__</v>
      </c>
    </row>
    <row r="2129" spans="1:9" x14ac:dyDescent="0.35">
      <c r="A2129" s="226"/>
      <c r="B2129" s="226"/>
      <c r="C2129" s="226"/>
      <c r="D2129" s="226"/>
      <c r="E2129" s="226"/>
      <c r="F2129" s="226"/>
      <c r="G2129" s="226"/>
      <c r="H2129" s="226"/>
      <c r="I2129" s="9" t="str">
        <f t="shared" si="33"/>
        <v>__</v>
      </c>
    </row>
    <row r="2130" spans="1:9" x14ac:dyDescent="0.35">
      <c r="A2130" s="226"/>
      <c r="B2130" s="226"/>
      <c r="C2130" s="226"/>
      <c r="D2130" s="226"/>
      <c r="E2130" s="226"/>
      <c r="F2130" s="226"/>
      <c r="G2130" s="226"/>
      <c r="H2130" s="226"/>
      <c r="I2130" s="9" t="str">
        <f t="shared" si="33"/>
        <v>__</v>
      </c>
    </row>
    <row r="2131" spans="1:9" x14ac:dyDescent="0.35">
      <c r="A2131" s="226"/>
      <c r="B2131" s="226"/>
      <c r="C2131" s="226"/>
      <c r="D2131" s="226"/>
      <c r="E2131" s="226"/>
      <c r="F2131" s="226"/>
      <c r="G2131" s="226"/>
      <c r="H2131" s="226"/>
      <c r="I2131" s="9" t="str">
        <f t="shared" si="33"/>
        <v>__</v>
      </c>
    </row>
    <row r="2132" spans="1:9" x14ac:dyDescent="0.35">
      <c r="A2132" s="226"/>
      <c r="B2132" s="226"/>
      <c r="C2132" s="226"/>
      <c r="D2132" s="226"/>
      <c r="E2132" s="226"/>
      <c r="F2132" s="226"/>
      <c r="G2132" s="226"/>
      <c r="H2132" s="226"/>
      <c r="I2132" s="9" t="str">
        <f t="shared" si="33"/>
        <v>__</v>
      </c>
    </row>
    <row r="2133" spans="1:9" x14ac:dyDescent="0.35">
      <c r="A2133" s="226"/>
      <c r="B2133" s="226"/>
      <c r="C2133" s="226"/>
      <c r="D2133" s="226"/>
      <c r="E2133" s="226"/>
      <c r="F2133" s="226"/>
      <c r="G2133" s="226"/>
      <c r="H2133" s="226"/>
      <c r="I2133" s="9" t="str">
        <f t="shared" si="33"/>
        <v>__</v>
      </c>
    </row>
    <row r="2134" spans="1:9" x14ac:dyDescent="0.35">
      <c r="A2134" s="226"/>
      <c r="B2134" s="226"/>
      <c r="C2134" s="226"/>
      <c r="D2134" s="226"/>
      <c r="E2134" s="226"/>
      <c r="F2134" s="226"/>
      <c r="G2134" s="226"/>
      <c r="H2134" s="226"/>
      <c r="I2134" s="9" t="str">
        <f t="shared" si="33"/>
        <v>__</v>
      </c>
    </row>
    <row r="2135" spans="1:9" x14ac:dyDescent="0.35">
      <c r="A2135" s="226"/>
      <c r="B2135" s="226"/>
      <c r="C2135" s="226"/>
      <c r="D2135" s="226"/>
      <c r="E2135" s="226"/>
      <c r="F2135" s="226"/>
      <c r="G2135" s="226"/>
      <c r="H2135" s="226"/>
      <c r="I2135" s="9" t="str">
        <f t="shared" si="33"/>
        <v>__</v>
      </c>
    </row>
    <row r="2136" spans="1:9" x14ac:dyDescent="0.35">
      <c r="A2136" s="226"/>
      <c r="B2136" s="226"/>
      <c r="C2136" s="226"/>
      <c r="D2136" s="226"/>
      <c r="E2136" s="226"/>
      <c r="F2136" s="226"/>
      <c r="G2136" s="226"/>
      <c r="H2136" s="226"/>
      <c r="I2136" s="9" t="str">
        <f t="shared" si="33"/>
        <v>__</v>
      </c>
    </row>
    <row r="2137" spans="1:9" x14ac:dyDescent="0.35">
      <c r="A2137" s="226"/>
      <c r="B2137" s="226"/>
      <c r="C2137" s="226"/>
      <c r="D2137" s="226"/>
      <c r="E2137" s="226"/>
      <c r="F2137" s="226"/>
      <c r="G2137" s="226"/>
      <c r="H2137" s="226"/>
      <c r="I2137" s="9" t="str">
        <f t="shared" si="33"/>
        <v>__</v>
      </c>
    </row>
    <row r="2138" spans="1:9" x14ac:dyDescent="0.35">
      <c r="A2138" s="226"/>
      <c r="B2138" s="226"/>
      <c r="C2138" s="226"/>
      <c r="D2138" s="226"/>
      <c r="E2138" s="226"/>
      <c r="F2138" s="226"/>
      <c r="G2138" s="226"/>
      <c r="H2138" s="226"/>
      <c r="I2138" s="9" t="str">
        <f t="shared" si="33"/>
        <v>__</v>
      </c>
    </row>
    <row r="2139" spans="1:9" x14ac:dyDescent="0.35">
      <c r="A2139" s="226"/>
      <c r="B2139" s="226"/>
      <c r="C2139" s="226"/>
      <c r="D2139" s="226"/>
      <c r="E2139" s="226"/>
      <c r="F2139" s="226"/>
      <c r="G2139" s="226"/>
      <c r="H2139" s="226"/>
      <c r="I2139" s="9" t="str">
        <f t="shared" si="33"/>
        <v>__</v>
      </c>
    </row>
    <row r="2140" spans="1:9" x14ac:dyDescent="0.35">
      <c r="A2140" s="226"/>
      <c r="B2140" s="226"/>
      <c r="C2140" s="226"/>
      <c r="D2140" s="226"/>
      <c r="E2140" s="226"/>
      <c r="F2140" s="226"/>
      <c r="G2140" s="226"/>
      <c r="H2140" s="226"/>
      <c r="I2140" s="9" t="str">
        <f t="shared" si="33"/>
        <v>__</v>
      </c>
    </row>
    <row r="2141" spans="1:9" x14ac:dyDescent="0.35">
      <c r="A2141" s="226"/>
      <c r="B2141" s="226"/>
      <c r="C2141" s="226"/>
      <c r="D2141" s="226"/>
      <c r="E2141" s="226"/>
      <c r="F2141" s="226"/>
      <c r="G2141" s="226"/>
      <c r="H2141" s="226"/>
      <c r="I2141" s="9" t="str">
        <f t="shared" si="33"/>
        <v>__</v>
      </c>
    </row>
    <row r="2142" spans="1:9" x14ac:dyDescent="0.35">
      <c r="A2142" s="226"/>
      <c r="B2142" s="226"/>
      <c r="C2142" s="226"/>
      <c r="D2142" s="226"/>
      <c r="E2142" s="226"/>
      <c r="F2142" s="226"/>
      <c r="G2142" s="226"/>
      <c r="H2142" s="226"/>
      <c r="I2142" s="9" t="str">
        <f t="shared" si="33"/>
        <v>__</v>
      </c>
    </row>
    <row r="2143" spans="1:9" x14ac:dyDescent="0.35">
      <c r="A2143" s="226"/>
      <c r="B2143" s="226"/>
      <c r="C2143" s="226"/>
      <c r="D2143" s="226"/>
      <c r="E2143" s="226"/>
      <c r="F2143" s="226"/>
      <c r="G2143" s="226"/>
      <c r="H2143" s="226"/>
      <c r="I2143" s="9" t="str">
        <f t="shared" si="33"/>
        <v>__</v>
      </c>
    </row>
    <row r="2144" spans="1:9" x14ac:dyDescent="0.35">
      <c r="A2144" s="226"/>
      <c r="B2144" s="226"/>
      <c r="C2144" s="226"/>
      <c r="D2144" s="226"/>
      <c r="E2144" s="226"/>
      <c r="F2144" s="226"/>
      <c r="G2144" s="226"/>
      <c r="H2144" s="226"/>
      <c r="I2144" s="9" t="str">
        <f t="shared" si="33"/>
        <v>__</v>
      </c>
    </row>
    <row r="2145" spans="1:9" x14ac:dyDescent="0.35">
      <c r="A2145" s="226"/>
      <c r="B2145" s="226"/>
      <c r="C2145" s="226"/>
      <c r="D2145" s="226"/>
      <c r="E2145" s="226"/>
      <c r="F2145" s="226"/>
      <c r="G2145" s="226"/>
      <c r="H2145" s="226"/>
      <c r="I2145" s="9" t="str">
        <f t="shared" si="33"/>
        <v>__</v>
      </c>
    </row>
    <row r="2146" spans="1:9" x14ac:dyDescent="0.35">
      <c r="A2146" s="226"/>
      <c r="B2146" s="226"/>
      <c r="C2146" s="226"/>
      <c r="D2146" s="226"/>
      <c r="E2146" s="226"/>
      <c r="F2146" s="226"/>
      <c r="G2146" s="226"/>
      <c r="H2146" s="226"/>
      <c r="I2146" s="9" t="str">
        <f t="shared" si="33"/>
        <v>__</v>
      </c>
    </row>
    <row r="2147" spans="1:9" x14ac:dyDescent="0.35">
      <c r="A2147" s="226"/>
      <c r="B2147" s="226"/>
      <c r="C2147" s="226"/>
      <c r="D2147" s="226"/>
      <c r="E2147" s="226"/>
      <c r="F2147" s="226"/>
      <c r="G2147" s="226"/>
      <c r="H2147" s="226"/>
      <c r="I2147" s="9" t="str">
        <f t="shared" si="33"/>
        <v>__</v>
      </c>
    </row>
    <row r="2148" spans="1:9" x14ac:dyDescent="0.35">
      <c r="A2148" s="226"/>
      <c r="B2148" s="226"/>
      <c r="C2148" s="226"/>
      <c r="D2148" s="226"/>
      <c r="E2148" s="226"/>
      <c r="F2148" s="226"/>
      <c r="G2148" s="226"/>
      <c r="H2148" s="226"/>
      <c r="I2148" s="9" t="str">
        <f t="shared" si="33"/>
        <v>__</v>
      </c>
    </row>
    <row r="2149" spans="1:9" x14ac:dyDescent="0.35">
      <c r="A2149" s="226"/>
      <c r="B2149" s="226"/>
      <c r="C2149" s="226"/>
      <c r="D2149" s="226"/>
      <c r="E2149" s="226"/>
      <c r="F2149" s="226"/>
      <c r="G2149" s="226"/>
      <c r="H2149" s="226"/>
      <c r="I2149" s="9" t="str">
        <f t="shared" si="33"/>
        <v>__</v>
      </c>
    </row>
    <row r="2150" spans="1:9" x14ac:dyDescent="0.35">
      <c r="A2150" s="226"/>
      <c r="B2150" s="226"/>
      <c r="C2150" s="226"/>
      <c r="D2150" s="226"/>
      <c r="E2150" s="226"/>
      <c r="F2150" s="226"/>
      <c r="G2150" s="226"/>
      <c r="H2150" s="226"/>
      <c r="I2150" s="9" t="str">
        <f t="shared" si="33"/>
        <v>__</v>
      </c>
    </row>
    <row r="2151" spans="1:9" x14ac:dyDescent="0.35">
      <c r="A2151" s="226"/>
      <c r="B2151" s="226"/>
      <c r="C2151" s="226"/>
      <c r="D2151" s="226"/>
      <c r="E2151" s="226"/>
      <c r="F2151" s="226"/>
      <c r="G2151" s="226"/>
      <c r="H2151" s="226"/>
      <c r="I2151" s="9" t="str">
        <f t="shared" si="33"/>
        <v>__</v>
      </c>
    </row>
    <row r="2152" spans="1:9" x14ac:dyDescent="0.35">
      <c r="A2152" s="226"/>
      <c r="B2152" s="226"/>
      <c r="C2152" s="226"/>
      <c r="D2152" s="226"/>
      <c r="E2152" s="226"/>
      <c r="F2152" s="226"/>
      <c r="G2152" s="226"/>
      <c r="H2152" s="226"/>
      <c r="I2152" s="9" t="str">
        <f t="shared" si="33"/>
        <v>__</v>
      </c>
    </row>
    <row r="2153" spans="1:9" x14ac:dyDescent="0.35">
      <c r="A2153" s="226"/>
      <c r="B2153" s="226"/>
      <c r="C2153" s="226"/>
      <c r="D2153" s="226"/>
      <c r="E2153" s="226"/>
      <c r="F2153" s="226"/>
      <c r="G2153" s="226"/>
      <c r="H2153" s="226"/>
      <c r="I2153" s="9" t="str">
        <f t="shared" si="33"/>
        <v>__</v>
      </c>
    </row>
    <row r="2154" spans="1:9" x14ac:dyDescent="0.35">
      <c r="A2154" s="226"/>
      <c r="B2154" s="226"/>
      <c r="C2154" s="226"/>
      <c r="D2154" s="226"/>
      <c r="E2154" s="226"/>
      <c r="F2154" s="226"/>
      <c r="G2154" s="226"/>
      <c r="H2154" s="226"/>
      <c r="I2154" s="9" t="str">
        <f t="shared" si="33"/>
        <v>__</v>
      </c>
    </row>
    <row r="2155" spans="1:9" x14ac:dyDescent="0.35">
      <c r="A2155" s="226"/>
      <c r="B2155" s="226"/>
      <c r="C2155" s="226"/>
      <c r="D2155" s="226"/>
      <c r="E2155" s="226"/>
      <c r="F2155" s="226"/>
      <c r="G2155" s="226"/>
      <c r="H2155" s="226"/>
      <c r="I2155" s="9" t="str">
        <f t="shared" si="33"/>
        <v>__</v>
      </c>
    </row>
    <row r="2156" spans="1:9" x14ac:dyDescent="0.35">
      <c r="A2156" s="226"/>
      <c r="B2156" s="226"/>
      <c r="C2156" s="226"/>
      <c r="D2156" s="226"/>
      <c r="E2156" s="226"/>
      <c r="F2156" s="226"/>
      <c r="G2156" s="226"/>
      <c r="H2156" s="226"/>
      <c r="I2156" s="9" t="str">
        <f t="shared" si="33"/>
        <v>__</v>
      </c>
    </row>
    <row r="2157" spans="1:9" x14ac:dyDescent="0.35">
      <c r="A2157" s="226"/>
      <c r="B2157" s="226"/>
      <c r="C2157" s="226"/>
      <c r="D2157" s="226"/>
      <c r="E2157" s="226"/>
      <c r="F2157" s="226"/>
      <c r="G2157" s="226"/>
      <c r="H2157" s="226"/>
      <c r="I2157" s="9" t="str">
        <f t="shared" si="33"/>
        <v>__</v>
      </c>
    </row>
    <row r="2158" spans="1:9" x14ac:dyDescent="0.35">
      <c r="A2158" s="226"/>
      <c r="B2158" s="226"/>
      <c r="C2158" s="226"/>
      <c r="D2158" s="226"/>
      <c r="E2158" s="226"/>
      <c r="F2158" s="226"/>
      <c r="G2158" s="226"/>
      <c r="H2158" s="226"/>
      <c r="I2158" s="9" t="str">
        <f t="shared" si="33"/>
        <v>__</v>
      </c>
    </row>
    <row r="2159" spans="1:9" x14ac:dyDescent="0.35">
      <c r="A2159" s="226"/>
      <c r="B2159" s="226"/>
      <c r="C2159" s="226"/>
      <c r="D2159" s="226"/>
      <c r="E2159" s="226"/>
      <c r="F2159" s="226"/>
      <c r="G2159" s="226"/>
      <c r="H2159" s="226"/>
      <c r="I2159" s="9" t="str">
        <f t="shared" si="33"/>
        <v>__</v>
      </c>
    </row>
    <row r="2160" spans="1:9" x14ac:dyDescent="0.35">
      <c r="A2160" s="226"/>
      <c r="B2160" s="226"/>
      <c r="C2160" s="226"/>
      <c r="D2160" s="226"/>
      <c r="E2160" s="226"/>
      <c r="F2160" s="226"/>
      <c r="G2160" s="226"/>
      <c r="H2160" s="226"/>
      <c r="I2160" s="9" t="str">
        <f t="shared" si="33"/>
        <v>__</v>
      </c>
    </row>
    <row r="2161" spans="1:9" x14ac:dyDescent="0.35">
      <c r="A2161" s="226"/>
      <c r="B2161" s="226"/>
      <c r="C2161" s="226"/>
      <c r="D2161" s="226"/>
      <c r="E2161" s="226"/>
      <c r="F2161" s="226"/>
      <c r="G2161" s="226"/>
      <c r="H2161" s="226"/>
      <c r="I2161" s="9" t="str">
        <f t="shared" si="33"/>
        <v>__</v>
      </c>
    </row>
    <row r="2162" spans="1:9" x14ac:dyDescent="0.35">
      <c r="A2162" s="226"/>
      <c r="B2162" s="226"/>
      <c r="C2162" s="226"/>
      <c r="D2162" s="226"/>
      <c r="E2162" s="226"/>
      <c r="F2162" s="226"/>
      <c r="G2162" s="226"/>
      <c r="H2162" s="226"/>
      <c r="I2162" s="9" t="str">
        <f t="shared" si="33"/>
        <v>__</v>
      </c>
    </row>
    <row r="2163" spans="1:9" x14ac:dyDescent="0.35">
      <c r="A2163" s="226"/>
      <c r="B2163" s="226"/>
      <c r="C2163" s="226"/>
      <c r="D2163" s="226"/>
      <c r="E2163" s="226"/>
      <c r="F2163" s="226"/>
      <c r="G2163" s="226"/>
      <c r="H2163" s="226"/>
      <c r="I2163" s="9" t="str">
        <f t="shared" si="33"/>
        <v>__</v>
      </c>
    </row>
    <row r="2164" spans="1:9" x14ac:dyDescent="0.35">
      <c r="A2164" s="226"/>
      <c r="B2164" s="226"/>
      <c r="C2164" s="226"/>
      <c r="D2164" s="226"/>
      <c r="E2164" s="226"/>
      <c r="F2164" s="226"/>
      <c r="G2164" s="226"/>
      <c r="H2164" s="226"/>
      <c r="I2164" s="9" t="str">
        <f t="shared" si="33"/>
        <v>__</v>
      </c>
    </row>
    <row r="2165" spans="1:9" x14ac:dyDescent="0.35">
      <c r="A2165" s="226"/>
      <c r="B2165" s="226"/>
      <c r="C2165" s="226"/>
      <c r="D2165" s="226"/>
      <c r="E2165" s="226"/>
      <c r="F2165" s="226"/>
      <c r="G2165" s="226"/>
      <c r="H2165" s="226"/>
      <c r="I2165" s="9" t="str">
        <f t="shared" si="33"/>
        <v>__</v>
      </c>
    </row>
    <row r="2166" spans="1:9" x14ac:dyDescent="0.35">
      <c r="A2166" s="226"/>
      <c r="B2166" s="226"/>
      <c r="C2166" s="226"/>
      <c r="D2166" s="226"/>
      <c r="E2166" s="226"/>
      <c r="F2166" s="226"/>
      <c r="G2166" s="226"/>
      <c r="H2166" s="226"/>
      <c r="I2166" s="9" t="str">
        <f t="shared" si="33"/>
        <v>__</v>
      </c>
    </row>
    <row r="2167" spans="1:9" x14ac:dyDescent="0.35">
      <c r="A2167" s="226"/>
      <c r="B2167" s="226"/>
      <c r="C2167" s="226"/>
      <c r="D2167" s="226"/>
      <c r="E2167" s="226"/>
      <c r="F2167" s="226"/>
      <c r="G2167" s="226"/>
      <c r="H2167" s="226"/>
      <c r="I2167" s="9" t="str">
        <f t="shared" si="33"/>
        <v>__</v>
      </c>
    </row>
    <row r="2168" spans="1:9" x14ac:dyDescent="0.35">
      <c r="A2168" s="226"/>
      <c r="B2168" s="226"/>
      <c r="C2168" s="226"/>
      <c r="D2168" s="226"/>
      <c r="E2168" s="226"/>
      <c r="F2168" s="226"/>
      <c r="G2168" s="226"/>
      <c r="H2168" s="226"/>
      <c r="I2168" s="9" t="str">
        <f t="shared" si="33"/>
        <v>__</v>
      </c>
    </row>
    <row r="2169" spans="1:9" x14ac:dyDescent="0.35">
      <c r="A2169" s="226"/>
      <c r="B2169" s="226"/>
      <c r="C2169" s="226"/>
      <c r="D2169" s="226"/>
      <c r="E2169" s="226"/>
      <c r="F2169" s="226"/>
      <c r="G2169" s="226"/>
      <c r="H2169" s="226"/>
      <c r="I2169" s="9" t="str">
        <f t="shared" si="33"/>
        <v>__</v>
      </c>
    </row>
    <row r="2170" spans="1:9" x14ac:dyDescent="0.35">
      <c r="A2170" s="226"/>
      <c r="B2170" s="226"/>
      <c r="C2170" s="226"/>
      <c r="D2170" s="226"/>
      <c r="E2170" s="226"/>
      <c r="F2170" s="226"/>
      <c r="G2170" s="226"/>
      <c r="H2170" s="226"/>
      <c r="I2170" s="9" t="str">
        <f t="shared" si="33"/>
        <v>__</v>
      </c>
    </row>
    <row r="2171" spans="1:9" x14ac:dyDescent="0.35">
      <c r="A2171" s="226"/>
      <c r="B2171" s="226"/>
      <c r="C2171" s="226"/>
      <c r="D2171" s="226"/>
      <c r="E2171" s="226"/>
      <c r="F2171" s="226"/>
      <c r="G2171" s="226"/>
      <c r="H2171" s="226"/>
      <c r="I2171" s="9" t="str">
        <f t="shared" si="33"/>
        <v>__</v>
      </c>
    </row>
    <row r="2172" spans="1:9" x14ac:dyDescent="0.35">
      <c r="A2172" s="226"/>
      <c r="B2172" s="226"/>
      <c r="C2172" s="226"/>
      <c r="D2172" s="226"/>
      <c r="E2172" s="226"/>
      <c r="F2172" s="226"/>
      <c r="G2172" s="226"/>
      <c r="H2172" s="226"/>
      <c r="I2172" s="9" t="str">
        <f t="shared" si="33"/>
        <v>__</v>
      </c>
    </row>
    <row r="2173" spans="1:9" x14ac:dyDescent="0.35">
      <c r="A2173" s="226"/>
      <c r="B2173" s="226"/>
      <c r="C2173" s="226"/>
      <c r="D2173" s="226"/>
      <c r="E2173" s="226"/>
      <c r="F2173" s="226"/>
      <c r="G2173" s="226"/>
      <c r="H2173" s="226"/>
      <c r="I2173" s="9" t="str">
        <f t="shared" si="33"/>
        <v>__</v>
      </c>
    </row>
    <row r="2174" spans="1:9" x14ac:dyDescent="0.35">
      <c r="A2174" s="226"/>
      <c r="B2174" s="226"/>
      <c r="C2174" s="226"/>
      <c r="D2174" s="226"/>
      <c r="E2174" s="226"/>
      <c r="F2174" s="226"/>
      <c r="G2174" s="226"/>
      <c r="H2174" s="226"/>
      <c r="I2174" s="9" t="str">
        <f t="shared" si="33"/>
        <v>__</v>
      </c>
    </row>
    <row r="2175" spans="1:9" x14ac:dyDescent="0.35">
      <c r="A2175" s="226"/>
      <c r="B2175" s="226"/>
      <c r="C2175" s="226"/>
      <c r="D2175" s="226"/>
      <c r="E2175" s="226"/>
      <c r="F2175" s="226"/>
      <c r="G2175" s="226"/>
      <c r="H2175" s="226"/>
      <c r="I2175" s="9" t="str">
        <f t="shared" si="33"/>
        <v>__</v>
      </c>
    </row>
    <row r="2176" spans="1:9" x14ac:dyDescent="0.35">
      <c r="A2176" s="226"/>
      <c r="B2176" s="226"/>
      <c r="C2176" s="226"/>
      <c r="D2176" s="226"/>
      <c r="E2176" s="226"/>
      <c r="F2176" s="226"/>
      <c r="G2176" s="226"/>
      <c r="H2176" s="226"/>
      <c r="I2176" s="9" t="str">
        <f t="shared" si="33"/>
        <v>__</v>
      </c>
    </row>
    <row r="2177" spans="1:9" x14ac:dyDescent="0.35">
      <c r="A2177" s="226"/>
      <c r="B2177" s="226"/>
      <c r="C2177" s="226"/>
      <c r="D2177" s="226"/>
      <c r="E2177" s="226"/>
      <c r="F2177" s="226"/>
      <c r="G2177" s="226"/>
      <c r="H2177" s="226"/>
      <c r="I2177" s="9" t="str">
        <f t="shared" si="33"/>
        <v>__</v>
      </c>
    </row>
    <row r="2178" spans="1:9" x14ac:dyDescent="0.35">
      <c r="A2178" s="226"/>
      <c r="B2178" s="226"/>
      <c r="C2178" s="226"/>
      <c r="D2178" s="226"/>
      <c r="E2178" s="226"/>
      <c r="F2178" s="226"/>
      <c r="G2178" s="226"/>
      <c r="H2178" s="226"/>
      <c r="I2178" s="9" t="str">
        <f t="shared" si="33"/>
        <v>__</v>
      </c>
    </row>
    <row r="2179" spans="1:9" x14ac:dyDescent="0.35">
      <c r="A2179" s="226"/>
      <c r="B2179" s="226"/>
      <c r="C2179" s="226"/>
      <c r="D2179" s="226"/>
      <c r="E2179" s="226"/>
      <c r="F2179" s="226"/>
      <c r="G2179" s="226"/>
      <c r="H2179" s="226"/>
      <c r="I2179" s="9" t="str">
        <f t="shared" si="33"/>
        <v>__</v>
      </c>
    </row>
    <row r="2180" spans="1:9" x14ac:dyDescent="0.35">
      <c r="A2180" s="226"/>
      <c r="B2180" s="226"/>
      <c r="C2180" s="226"/>
      <c r="D2180" s="226"/>
      <c r="E2180" s="226"/>
      <c r="F2180" s="226"/>
      <c r="G2180" s="226"/>
      <c r="H2180" s="226"/>
      <c r="I2180" s="9" t="str">
        <f t="shared" si="33"/>
        <v>__</v>
      </c>
    </row>
    <row r="2181" spans="1:9" x14ac:dyDescent="0.35">
      <c r="A2181" s="226"/>
      <c r="B2181" s="226"/>
      <c r="C2181" s="226"/>
      <c r="D2181" s="226"/>
      <c r="E2181" s="226"/>
      <c r="F2181" s="226"/>
      <c r="G2181" s="226"/>
      <c r="H2181" s="226"/>
      <c r="I2181" s="9" t="str">
        <f t="shared" ref="I2181:I2244" si="34">CONCATENATE(A2181,"_",B2181,"_",C2181)</f>
        <v>__</v>
      </c>
    </row>
    <row r="2182" spans="1:9" x14ac:dyDescent="0.35">
      <c r="A2182" s="226"/>
      <c r="B2182" s="226"/>
      <c r="C2182" s="226"/>
      <c r="D2182" s="226"/>
      <c r="E2182" s="226"/>
      <c r="F2182" s="226"/>
      <c r="G2182" s="226"/>
      <c r="H2182" s="226"/>
      <c r="I2182" s="9" t="str">
        <f t="shared" si="34"/>
        <v>__</v>
      </c>
    </row>
    <row r="2183" spans="1:9" x14ac:dyDescent="0.35">
      <c r="A2183" s="226"/>
      <c r="B2183" s="226"/>
      <c r="C2183" s="226"/>
      <c r="D2183" s="226"/>
      <c r="E2183" s="226"/>
      <c r="F2183" s="226"/>
      <c r="G2183" s="226"/>
      <c r="H2183" s="226"/>
      <c r="I2183" s="9" t="str">
        <f t="shared" si="34"/>
        <v>__</v>
      </c>
    </row>
    <row r="2184" spans="1:9" x14ac:dyDescent="0.35">
      <c r="A2184" s="226"/>
      <c r="B2184" s="226"/>
      <c r="C2184" s="226"/>
      <c r="D2184" s="226"/>
      <c r="E2184" s="226"/>
      <c r="F2184" s="226"/>
      <c r="G2184" s="226"/>
      <c r="H2184" s="226"/>
      <c r="I2184" s="9" t="str">
        <f t="shared" si="34"/>
        <v>__</v>
      </c>
    </row>
    <row r="2185" spans="1:9" x14ac:dyDescent="0.35">
      <c r="A2185" s="226"/>
      <c r="B2185" s="226"/>
      <c r="C2185" s="226"/>
      <c r="D2185" s="226"/>
      <c r="E2185" s="226"/>
      <c r="F2185" s="226"/>
      <c r="G2185" s="226"/>
      <c r="H2185" s="226"/>
      <c r="I2185" s="9" t="str">
        <f t="shared" si="34"/>
        <v>__</v>
      </c>
    </row>
    <row r="2186" spans="1:9" x14ac:dyDescent="0.35">
      <c r="A2186" s="226"/>
      <c r="B2186" s="226"/>
      <c r="C2186" s="226"/>
      <c r="D2186" s="226"/>
      <c r="E2186" s="226"/>
      <c r="F2186" s="226"/>
      <c r="G2186" s="226"/>
      <c r="H2186" s="226"/>
      <c r="I2186" s="9" t="str">
        <f t="shared" si="34"/>
        <v>__</v>
      </c>
    </row>
    <row r="2187" spans="1:9" x14ac:dyDescent="0.35">
      <c r="A2187" s="226"/>
      <c r="B2187" s="226"/>
      <c r="C2187" s="226"/>
      <c r="D2187" s="226"/>
      <c r="E2187" s="226"/>
      <c r="F2187" s="226"/>
      <c r="G2187" s="226"/>
      <c r="H2187" s="226"/>
      <c r="I2187" s="9" t="str">
        <f t="shared" si="34"/>
        <v>__</v>
      </c>
    </row>
    <row r="2188" spans="1:9" x14ac:dyDescent="0.35">
      <c r="A2188" s="226"/>
      <c r="B2188" s="226"/>
      <c r="C2188" s="226"/>
      <c r="D2188" s="226"/>
      <c r="E2188" s="226"/>
      <c r="F2188" s="226"/>
      <c r="G2188" s="226"/>
      <c r="H2188" s="226"/>
      <c r="I2188" s="9" t="str">
        <f t="shared" si="34"/>
        <v>__</v>
      </c>
    </row>
    <row r="2189" spans="1:9" x14ac:dyDescent="0.35">
      <c r="A2189" s="226"/>
      <c r="B2189" s="226"/>
      <c r="C2189" s="226"/>
      <c r="D2189" s="226"/>
      <c r="E2189" s="226"/>
      <c r="F2189" s="226"/>
      <c r="G2189" s="226"/>
      <c r="H2189" s="226"/>
      <c r="I2189" s="9" t="str">
        <f t="shared" si="34"/>
        <v>__</v>
      </c>
    </row>
    <row r="2190" spans="1:9" x14ac:dyDescent="0.35">
      <c r="A2190" s="226"/>
      <c r="B2190" s="226"/>
      <c r="C2190" s="226"/>
      <c r="D2190" s="226"/>
      <c r="E2190" s="226"/>
      <c r="F2190" s="226"/>
      <c r="G2190" s="226"/>
      <c r="H2190" s="226"/>
      <c r="I2190" s="9" t="str">
        <f t="shared" si="34"/>
        <v>__</v>
      </c>
    </row>
    <row r="2191" spans="1:9" x14ac:dyDescent="0.35">
      <c r="A2191" s="226"/>
      <c r="B2191" s="226"/>
      <c r="C2191" s="226"/>
      <c r="D2191" s="226"/>
      <c r="E2191" s="226"/>
      <c r="F2191" s="226"/>
      <c r="G2191" s="226"/>
      <c r="H2191" s="226"/>
      <c r="I2191" s="9" t="str">
        <f t="shared" si="34"/>
        <v>__</v>
      </c>
    </row>
    <row r="2192" spans="1:9" x14ac:dyDescent="0.35">
      <c r="A2192" s="226"/>
      <c r="B2192" s="226"/>
      <c r="C2192" s="226"/>
      <c r="D2192" s="226"/>
      <c r="E2192" s="226"/>
      <c r="F2192" s="226"/>
      <c r="G2192" s="226"/>
      <c r="H2192" s="226"/>
      <c r="I2192" s="9" t="str">
        <f t="shared" si="34"/>
        <v>__</v>
      </c>
    </row>
    <row r="2193" spans="1:9" x14ac:dyDescent="0.35">
      <c r="A2193" s="226"/>
      <c r="B2193" s="226"/>
      <c r="C2193" s="226"/>
      <c r="D2193" s="226"/>
      <c r="E2193" s="226"/>
      <c r="F2193" s="226"/>
      <c r="G2193" s="226"/>
      <c r="H2193" s="226"/>
      <c r="I2193" s="9" t="str">
        <f t="shared" si="34"/>
        <v>__</v>
      </c>
    </row>
    <row r="2194" spans="1:9" x14ac:dyDescent="0.35">
      <c r="A2194" s="226"/>
      <c r="B2194" s="226"/>
      <c r="C2194" s="226"/>
      <c r="D2194" s="226"/>
      <c r="E2194" s="226"/>
      <c r="F2194" s="226"/>
      <c r="G2194" s="226"/>
      <c r="H2194" s="226"/>
      <c r="I2194" s="9" t="str">
        <f t="shared" si="34"/>
        <v>__</v>
      </c>
    </row>
    <row r="2195" spans="1:9" x14ac:dyDescent="0.35">
      <c r="A2195" s="226"/>
      <c r="B2195" s="226"/>
      <c r="C2195" s="226"/>
      <c r="D2195" s="226"/>
      <c r="E2195" s="226"/>
      <c r="F2195" s="226"/>
      <c r="G2195" s="226"/>
      <c r="H2195" s="226"/>
      <c r="I2195" s="9" t="str">
        <f t="shared" si="34"/>
        <v>__</v>
      </c>
    </row>
    <row r="2196" spans="1:9" x14ac:dyDescent="0.35">
      <c r="A2196" s="226"/>
      <c r="B2196" s="226"/>
      <c r="C2196" s="226"/>
      <c r="D2196" s="226"/>
      <c r="E2196" s="226"/>
      <c r="F2196" s="226"/>
      <c r="G2196" s="226"/>
      <c r="H2196" s="226"/>
      <c r="I2196" s="9" t="str">
        <f t="shared" si="34"/>
        <v>__</v>
      </c>
    </row>
    <row r="2197" spans="1:9" x14ac:dyDescent="0.35">
      <c r="A2197" s="226"/>
      <c r="B2197" s="226"/>
      <c r="C2197" s="226"/>
      <c r="D2197" s="226"/>
      <c r="E2197" s="226"/>
      <c r="F2197" s="226"/>
      <c r="G2197" s="226"/>
      <c r="H2197" s="226"/>
      <c r="I2197" s="9" t="str">
        <f t="shared" si="34"/>
        <v>__</v>
      </c>
    </row>
    <row r="2198" spans="1:9" x14ac:dyDescent="0.35">
      <c r="A2198" s="226"/>
      <c r="B2198" s="226"/>
      <c r="C2198" s="226"/>
      <c r="D2198" s="226"/>
      <c r="E2198" s="226"/>
      <c r="F2198" s="226"/>
      <c r="G2198" s="226"/>
      <c r="H2198" s="226"/>
      <c r="I2198" s="9" t="str">
        <f t="shared" si="34"/>
        <v>__</v>
      </c>
    </row>
    <row r="2199" spans="1:9" x14ac:dyDescent="0.35">
      <c r="A2199" s="226"/>
      <c r="B2199" s="226"/>
      <c r="C2199" s="226"/>
      <c r="D2199" s="226"/>
      <c r="E2199" s="226"/>
      <c r="F2199" s="226"/>
      <c r="G2199" s="226"/>
      <c r="H2199" s="226"/>
      <c r="I2199" s="9" t="str">
        <f t="shared" si="34"/>
        <v>__</v>
      </c>
    </row>
    <row r="2200" spans="1:9" x14ac:dyDescent="0.35">
      <c r="A2200" s="226"/>
      <c r="B2200" s="226"/>
      <c r="C2200" s="226"/>
      <c r="D2200" s="226"/>
      <c r="E2200" s="226"/>
      <c r="F2200" s="226"/>
      <c r="G2200" s="226"/>
      <c r="H2200" s="226"/>
      <c r="I2200" s="9" t="str">
        <f t="shared" si="34"/>
        <v>__</v>
      </c>
    </row>
    <row r="2201" spans="1:9" x14ac:dyDescent="0.35">
      <c r="A2201" s="226"/>
      <c r="B2201" s="226"/>
      <c r="C2201" s="226"/>
      <c r="D2201" s="226"/>
      <c r="E2201" s="226"/>
      <c r="F2201" s="226"/>
      <c r="G2201" s="226"/>
      <c r="H2201" s="226"/>
      <c r="I2201" s="9" t="str">
        <f t="shared" si="34"/>
        <v>__</v>
      </c>
    </row>
    <row r="2202" spans="1:9" x14ac:dyDescent="0.35">
      <c r="A2202" s="226"/>
      <c r="B2202" s="226"/>
      <c r="C2202" s="226"/>
      <c r="D2202" s="226"/>
      <c r="E2202" s="226"/>
      <c r="F2202" s="226"/>
      <c r="G2202" s="226"/>
      <c r="H2202" s="226"/>
      <c r="I2202" s="9" t="str">
        <f t="shared" si="34"/>
        <v>__</v>
      </c>
    </row>
    <row r="2203" spans="1:9" x14ac:dyDescent="0.35">
      <c r="A2203" s="226"/>
      <c r="B2203" s="226"/>
      <c r="C2203" s="226"/>
      <c r="D2203" s="226"/>
      <c r="E2203" s="226"/>
      <c r="F2203" s="226"/>
      <c r="G2203" s="226"/>
      <c r="H2203" s="226"/>
      <c r="I2203" s="9" t="str">
        <f t="shared" si="34"/>
        <v>__</v>
      </c>
    </row>
    <row r="2204" spans="1:9" x14ac:dyDescent="0.35">
      <c r="A2204" s="226"/>
      <c r="B2204" s="226"/>
      <c r="C2204" s="226"/>
      <c r="D2204" s="226"/>
      <c r="E2204" s="226"/>
      <c r="F2204" s="226"/>
      <c r="G2204" s="226"/>
      <c r="H2204" s="226"/>
      <c r="I2204" s="9" t="str">
        <f t="shared" si="34"/>
        <v>__</v>
      </c>
    </row>
    <row r="2205" spans="1:9" x14ac:dyDescent="0.35">
      <c r="A2205" s="226"/>
      <c r="B2205" s="226"/>
      <c r="C2205" s="226"/>
      <c r="D2205" s="226"/>
      <c r="E2205" s="226"/>
      <c r="F2205" s="226"/>
      <c r="G2205" s="226"/>
      <c r="H2205" s="226"/>
      <c r="I2205" s="9" t="str">
        <f t="shared" si="34"/>
        <v>__</v>
      </c>
    </row>
    <row r="2206" spans="1:9" x14ac:dyDescent="0.35">
      <c r="A2206" s="226"/>
      <c r="B2206" s="226"/>
      <c r="C2206" s="226"/>
      <c r="D2206" s="226"/>
      <c r="E2206" s="226"/>
      <c r="F2206" s="226"/>
      <c r="G2206" s="226"/>
      <c r="H2206" s="226"/>
      <c r="I2206" s="9" t="str">
        <f t="shared" si="34"/>
        <v>__</v>
      </c>
    </row>
    <row r="2207" spans="1:9" x14ac:dyDescent="0.35">
      <c r="A2207" s="226"/>
      <c r="B2207" s="226"/>
      <c r="C2207" s="226"/>
      <c r="D2207" s="226"/>
      <c r="E2207" s="226"/>
      <c r="F2207" s="226"/>
      <c r="G2207" s="226"/>
      <c r="H2207" s="226"/>
      <c r="I2207" s="9" t="str">
        <f t="shared" si="34"/>
        <v>__</v>
      </c>
    </row>
    <row r="2208" spans="1:9" x14ac:dyDescent="0.35">
      <c r="A2208" s="226"/>
      <c r="B2208" s="226"/>
      <c r="C2208" s="226"/>
      <c r="D2208" s="226"/>
      <c r="E2208" s="226"/>
      <c r="F2208" s="226"/>
      <c r="G2208" s="226"/>
      <c r="H2208" s="226"/>
      <c r="I2208" s="9" t="str">
        <f t="shared" si="34"/>
        <v>__</v>
      </c>
    </row>
    <row r="2209" spans="1:9" x14ac:dyDescent="0.35">
      <c r="A2209" s="226"/>
      <c r="B2209" s="226"/>
      <c r="C2209" s="226"/>
      <c r="D2209" s="226"/>
      <c r="E2209" s="226"/>
      <c r="F2209" s="226"/>
      <c r="G2209" s="226"/>
      <c r="H2209" s="226"/>
      <c r="I2209" s="9" t="str">
        <f t="shared" si="34"/>
        <v>__</v>
      </c>
    </row>
    <row r="2210" spans="1:9" x14ac:dyDescent="0.35">
      <c r="A2210" s="226"/>
      <c r="B2210" s="226"/>
      <c r="C2210" s="226"/>
      <c r="D2210" s="226"/>
      <c r="E2210" s="226"/>
      <c r="F2210" s="226"/>
      <c r="G2210" s="226"/>
      <c r="H2210" s="226"/>
      <c r="I2210" s="9" t="str">
        <f t="shared" si="34"/>
        <v>__</v>
      </c>
    </row>
    <row r="2211" spans="1:9" x14ac:dyDescent="0.35">
      <c r="A2211" s="226"/>
      <c r="B2211" s="226"/>
      <c r="C2211" s="226"/>
      <c r="D2211" s="226"/>
      <c r="E2211" s="226"/>
      <c r="F2211" s="226"/>
      <c r="G2211" s="226"/>
      <c r="H2211" s="226"/>
      <c r="I2211" s="9" t="str">
        <f t="shared" si="34"/>
        <v>__</v>
      </c>
    </row>
    <row r="2212" spans="1:9" x14ac:dyDescent="0.35">
      <c r="A2212" s="226"/>
      <c r="B2212" s="226"/>
      <c r="C2212" s="226"/>
      <c r="D2212" s="226"/>
      <c r="E2212" s="226"/>
      <c r="F2212" s="226"/>
      <c r="G2212" s="226"/>
      <c r="H2212" s="226"/>
      <c r="I2212" s="9" t="str">
        <f t="shared" si="34"/>
        <v>__</v>
      </c>
    </row>
    <row r="2213" spans="1:9" x14ac:dyDescent="0.35">
      <c r="A2213" s="226"/>
      <c r="B2213" s="226"/>
      <c r="C2213" s="226"/>
      <c r="D2213" s="226"/>
      <c r="E2213" s="226"/>
      <c r="F2213" s="226"/>
      <c r="G2213" s="226"/>
      <c r="H2213" s="226"/>
      <c r="I2213" s="9" t="str">
        <f t="shared" si="34"/>
        <v>__</v>
      </c>
    </row>
    <row r="2214" spans="1:9" x14ac:dyDescent="0.35">
      <c r="A2214" s="226"/>
      <c r="B2214" s="226"/>
      <c r="C2214" s="226"/>
      <c r="D2214" s="226"/>
      <c r="E2214" s="226"/>
      <c r="F2214" s="226"/>
      <c r="G2214" s="226"/>
      <c r="H2214" s="226"/>
      <c r="I2214" s="9" t="str">
        <f t="shared" si="34"/>
        <v>__</v>
      </c>
    </row>
    <row r="2215" spans="1:9" x14ac:dyDescent="0.35">
      <c r="A2215" s="226"/>
      <c r="B2215" s="226"/>
      <c r="C2215" s="226"/>
      <c r="D2215" s="226"/>
      <c r="E2215" s="226"/>
      <c r="F2215" s="226"/>
      <c r="G2215" s="226"/>
      <c r="H2215" s="226"/>
      <c r="I2215" s="9" t="str">
        <f t="shared" si="34"/>
        <v>__</v>
      </c>
    </row>
    <row r="2216" spans="1:9" x14ac:dyDescent="0.35">
      <c r="A2216" s="226"/>
      <c r="B2216" s="226"/>
      <c r="C2216" s="226"/>
      <c r="D2216" s="226"/>
      <c r="E2216" s="226"/>
      <c r="F2216" s="226"/>
      <c r="G2216" s="226"/>
      <c r="H2216" s="226"/>
      <c r="I2216" s="9" t="str">
        <f t="shared" si="34"/>
        <v>__</v>
      </c>
    </row>
    <row r="2217" spans="1:9" x14ac:dyDescent="0.35">
      <c r="A2217" s="226"/>
      <c r="B2217" s="226"/>
      <c r="C2217" s="226"/>
      <c r="D2217" s="226"/>
      <c r="E2217" s="226"/>
      <c r="F2217" s="226"/>
      <c r="G2217" s="226"/>
      <c r="H2217" s="226"/>
      <c r="I2217" s="9" t="str">
        <f t="shared" si="34"/>
        <v>__</v>
      </c>
    </row>
    <row r="2218" spans="1:9" x14ac:dyDescent="0.35">
      <c r="A2218" s="226"/>
      <c r="B2218" s="226"/>
      <c r="C2218" s="226"/>
      <c r="D2218" s="226"/>
      <c r="E2218" s="226"/>
      <c r="F2218" s="226"/>
      <c r="G2218" s="226"/>
      <c r="H2218" s="226"/>
      <c r="I2218" s="9" t="str">
        <f t="shared" si="34"/>
        <v>__</v>
      </c>
    </row>
    <row r="2219" spans="1:9" x14ac:dyDescent="0.35">
      <c r="A2219" s="226"/>
      <c r="B2219" s="226"/>
      <c r="C2219" s="226"/>
      <c r="D2219" s="226"/>
      <c r="E2219" s="226"/>
      <c r="F2219" s="226"/>
      <c r="G2219" s="226"/>
      <c r="H2219" s="226"/>
      <c r="I2219" s="9" t="str">
        <f t="shared" si="34"/>
        <v>__</v>
      </c>
    </row>
    <row r="2220" spans="1:9" x14ac:dyDescent="0.35">
      <c r="A2220" s="226"/>
      <c r="B2220" s="226"/>
      <c r="C2220" s="226"/>
      <c r="D2220" s="226"/>
      <c r="E2220" s="226"/>
      <c r="F2220" s="226"/>
      <c r="G2220" s="226"/>
      <c r="H2220" s="226"/>
      <c r="I2220" s="9" t="str">
        <f t="shared" si="34"/>
        <v>__</v>
      </c>
    </row>
    <row r="2221" spans="1:9" x14ac:dyDescent="0.35">
      <c r="A2221" s="226"/>
      <c r="B2221" s="226"/>
      <c r="C2221" s="226"/>
      <c r="D2221" s="226"/>
      <c r="E2221" s="226"/>
      <c r="F2221" s="226"/>
      <c r="G2221" s="226"/>
      <c r="H2221" s="226"/>
      <c r="I2221" s="9" t="str">
        <f t="shared" si="34"/>
        <v>__</v>
      </c>
    </row>
    <row r="2222" spans="1:9" x14ac:dyDescent="0.35">
      <c r="A2222" s="226"/>
      <c r="B2222" s="226"/>
      <c r="C2222" s="226"/>
      <c r="D2222" s="226"/>
      <c r="E2222" s="226"/>
      <c r="F2222" s="226"/>
      <c r="G2222" s="226"/>
      <c r="H2222" s="226"/>
      <c r="I2222" s="9" t="str">
        <f t="shared" si="34"/>
        <v>__</v>
      </c>
    </row>
    <row r="2223" spans="1:9" x14ac:dyDescent="0.35">
      <c r="A2223" s="226"/>
      <c r="B2223" s="226"/>
      <c r="C2223" s="226"/>
      <c r="D2223" s="226"/>
      <c r="E2223" s="226"/>
      <c r="F2223" s="226"/>
      <c r="G2223" s="226"/>
      <c r="H2223" s="226"/>
      <c r="I2223" s="9" t="str">
        <f t="shared" si="34"/>
        <v>__</v>
      </c>
    </row>
    <row r="2224" spans="1:9" x14ac:dyDescent="0.35">
      <c r="A2224" s="226"/>
      <c r="B2224" s="226"/>
      <c r="C2224" s="226"/>
      <c r="D2224" s="226"/>
      <c r="E2224" s="226"/>
      <c r="F2224" s="226"/>
      <c r="G2224" s="226"/>
      <c r="H2224" s="226"/>
      <c r="I2224" s="9" t="str">
        <f t="shared" si="34"/>
        <v>__</v>
      </c>
    </row>
    <row r="2225" spans="1:9" x14ac:dyDescent="0.35">
      <c r="A2225" s="226"/>
      <c r="B2225" s="226"/>
      <c r="C2225" s="226"/>
      <c r="D2225" s="226"/>
      <c r="E2225" s="226"/>
      <c r="F2225" s="226"/>
      <c r="G2225" s="226"/>
      <c r="H2225" s="226"/>
      <c r="I2225" s="9" t="str">
        <f t="shared" si="34"/>
        <v>__</v>
      </c>
    </row>
    <row r="2226" spans="1:9" x14ac:dyDescent="0.35">
      <c r="A2226" s="226"/>
      <c r="B2226" s="226"/>
      <c r="C2226" s="226"/>
      <c r="D2226" s="226"/>
      <c r="E2226" s="226"/>
      <c r="F2226" s="226"/>
      <c r="G2226" s="226"/>
      <c r="H2226" s="226"/>
      <c r="I2226" s="9" t="str">
        <f t="shared" si="34"/>
        <v>__</v>
      </c>
    </row>
    <row r="2227" spans="1:9" x14ac:dyDescent="0.35">
      <c r="A2227" s="226"/>
      <c r="B2227" s="226"/>
      <c r="C2227" s="226"/>
      <c r="D2227" s="226"/>
      <c r="E2227" s="226"/>
      <c r="F2227" s="226"/>
      <c r="G2227" s="226"/>
      <c r="H2227" s="226"/>
      <c r="I2227" s="9" t="str">
        <f t="shared" si="34"/>
        <v>__</v>
      </c>
    </row>
    <row r="2228" spans="1:9" x14ac:dyDescent="0.35">
      <c r="A2228" s="226"/>
      <c r="B2228" s="226"/>
      <c r="C2228" s="226"/>
      <c r="D2228" s="226"/>
      <c r="E2228" s="226"/>
      <c r="F2228" s="226"/>
      <c r="G2228" s="226"/>
      <c r="H2228" s="226"/>
      <c r="I2228" s="9" t="str">
        <f t="shared" si="34"/>
        <v>__</v>
      </c>
    </row>
    <row r="2229" spans="1:9" x14ac:dyDescent="0.35">
      <c r="A2229" s="226"/>
      <c r="B2229" s="226"/>
      <c r="C2229" s="226"/>
      <c r="D2229" s="226"/>
      <c r="E2229" s="226"/>
      <c r="F2229" s="226"/>
      <c r="G2229" s="226"/>
      <c r="H2229" s="226"/>
      <c r="I2229" s="9" t="str">
        <f t="shared" si="34"/>
        <v>__</v>
      </c>
    </row>
    <row r="2230" spans="1:9" x14ac:dyDescent="0.35">
      <c r="A2230" s="226"/>
      <c r="B2230" s="226"/>
      <c r="C2230" s="226"/>
      <c r="D2230" s="226"/>
      <c r="E2230" s="226"/>
      <c r="F2230" s="226"/>
      <c r="G2230" s="226"/>
      <c r="H2230" s="226"/>
      <c r="I2230" s="9" t="str">
        <f t="shared" si="34"/>
        <v>__</v>
      </c>
    </row>
    <row r="2231" spans="1:9" x14ac:dyDescent="0.35">
      <c r="A2231" s="226"/>
      <c r="B2231" s="226"/>
      <c r="C2231" s="226"/>
      <c r="D2231" s="226"/>
      <c r="E2231" s="226"/>
      <c r="F2231" s="226"/>
      <c r="G2231" s="226"/>
      <c r="H2231" s="226"/>
      <c r="I2231" s="9" t="str">
        <f t="shared" si="34"/>
        <v>__</v>
      </c>
    </row>
    <row r="2232" spans="1:9" x14ac:dyDescent="0.35">
      <c r="A2232" s="226"/>
      <c r="B2232" s="226"/>
      <c r="C2232" s="226"/>
      <c r="D2232" s="226"/>
      <c r="E2232" s="226"/>
      <c r="F2232" s="226"/>
      <c r="G2232" s="226"/>
      <c r="H2232" s="226"/>
      <c r="I2232" s="9" t="str">
        <f t="shared" si="34"/>
        <v>__</v>
      </c>
    </row>
    <row r="2233" spans="1:9" x14ac:dyDescent="0.35">
      <c r="A2233" s="226"/>
      <c r="B2233" s="226"/>
      <c r="C2233" s="226"/>
      <c r="D2233" s="226"/>
      <c r="E2233" s="226"/>
      <c r="F2233" s="226"/>
      <c r="G2233" s="226"/>
      <c r="H2233" s="226"/>
      <c r="I2233" s="9" t="str">
        <f t="shared" si="34"/>
        <v>__</v>
      </c>
    </row>
    <row r="2234" spans="1:9" x14ac:dyDescent="0.35">
      <c r="A2234" s="226"/>
      <c r="B2234" s="226"/>
      <c r="C2234" s="226"/>
      <c r="D2234" s="226"/>
      <c r="E2234" s="226"/>
      <c r="F2234" s="226"/>
      <c r="G2234" s="226"/>
      <c r="H2234" s="226"/>
      <c r="I2234" s="9" t="str">
        <f t="shared" si="34"/>
        <v>__</v>
      </c>
    </row>
    <row r="2235" spans="1:9" x14ac:dyDescent="0.35">
      <c r="A2235" s="226"/>
      <c r="B2235" s="226"/>
      <c r="C2235" s="226"/>
      <c r="D2235" s="226"/>
      <c r="E2235" s="226"/>
      <c r="F2235" s="226"/>
      <c r="G2235" s="226"/>
      <c r="H2235" s="226"/>
      <c r="I2235" s="9" t="str">
        <f t="shared" si="34"/>
        <v>__</v>
      </c>
    </row>
    <row r="2236" spans="1:9" x14ac:dyDescent="0.35">
      <c r="A2236" s="226"/>
      <c r="B2236" s="226"/>
      <c r="C2236" s="226"/>
      <c r="D2236" s="226"/>
      <c r="E2236" s="226"/>
      <c r="F2236" s="226"/>
      <c r="G2236" s="226"/>
      <c r="H2236" s="226"/>
      <c r="I2236" s="9" t="str">
        <f t="shared" si="34"/>
        <v>__</v>
      </c>
    </row>
    <row r="2237" spans="1:9" x14ac:dyDescent="0.35">
      <c r="A2237" s="226"/>
      <c r="B2237" s="226"/>
      <c r="C2237" s="226"/>
      <c r="D2237" s="226"/>
      <c r="E2237" s="226"/>
      <c r="F2237" s="226"/>
      <c r="G2237" s="226"/>
      <c r="H2237" s="226"/>
      <c r="I2237" s="9" t="str">
        <f t="shared" si="34"/>
        <v>__</v>
      </c>
    </row>
    <row r="2238" spans="1:9" x14ac:dyDescent="0.35">
      <c r="A2238" s="226"/>
      <c r="B2238" s="226"/>
      <c r="C2238" s="226"/>
      <c r="D2238" s="226"/>
      <c r="E2238" s="226"/>
      <c r="F2238" s="226"/>
      <c r="G2238" s="226"/>
      <c r="H2238" s="226"/>
      <c r="I2238" s="9" t="str">
        <f t="shared" si="34"/>
        <v>__</v>
      </c>
    </row>
    <row r="2239" spans="1:9" x14ac:dyDescent="0.35">
      <c r="A2239" s="226"/>
      <c r="B2239" s="226"/>
      <c r="C2239" s="226"/>
      <c r="D2239" s="226"/>
      <c r="E2239" s="226"/>
      <c r="F2239" s="226"/>
      <c r="G2239" s="226"/>
      <c r="H2239" s="226"/>
      <c r="I2239" s="9" t="str">
        <f t="shared" si="34"/>
        <v>__</v>
      </c>
    </row>
    <row r="2240" spans="1:9" x14ac:dyDescent="0.35">
      <c r="A2240" s="226"/>
      <c r="B2240" s="226"/>
      <c r="C2240" s="226"/>
      <c r="D2240" s="226"/>
      <c r="E2240" s="226"/>
      <c r="F2240" s="226"/>
      <c r="G2240" s="226"/>
      <c r="H2240" s="226"/>
      <c r="I2240" s="9" t="str">
        <f t="shared" si="34"/>
        <v>__</v>
      </c>
    </row>
    <row r="2241" spans="1:9" x14ac:dyDescent="0.35">
      <c r="A2241" s="226"/>
      <c r="B2241" s="226"/>
      <c r="C2241" s="226"/>
      <c r="D2241" s="226"/>
      <c r="E2241" s="226"/>
      <c r="F2241" s="226"/>
      <c r="G2241" s="226"/>
      <c r="H2241" s="226"/>
      <c r="I2241" s="9" t="str">
        <f t="shared" si="34"/>
        <v>__</v>
      </c>
    </row>
    <row r="2242" spans="1:9" x14ac:dyDescent="0.35">
      <c r="A2242" s="226"/>
      <c r="B2242" s="226"/>
      <c r="C2242" s="226"/>
      <c r="D2242" s="226"/>
      <c r="E2242" s="226"/>
      <c r="F2242" s="226"/>
      <c r="G2242" s="226"/>
      <c r="H2242" s="226"/>
      <c r="I2242" s="9" t="str">
        <f t="shared" si="34"/>
        <v>__</v>
      </c>
    </row>
    <row r="2243" spans="1:9" x14ac:dyDescent="0.35">
      <c r="A2243" s="226"/>
      <c r="B2243" s="226"/>
      <c r="C2243" s="226"/>
      <c r="D2243" s="226"/>
      <c r="E2243" s="226"/>
      <c r="F2243" s="226"/>
      <c r="G2243" s="226"/>
      <c r="H2243" s="226"/>
      <c r="I2243" s="9" t="str">
        <f t="shared" si="34"/>
        <v>__</v>
      </c>
    </row>
    <row r="2244" spans="1:9" x14ac:dyDescent="0.35">
      <c r="A2244" s="226"/>
      <c r="B2244" s="226"/>
      <c r="C2244" s="226"/>
      <c r="D2244" s="226"/>
      <c r="E2244" s="226"/>
      <c r="F2244" s="226"/>
      <c r="G2244" s="226"/>
      <c r="H2244" s="226"/>
      <c r="I2244" s="9" t="str">
        <f t="shared" si="34"/>
        <v>__</v>
      </c>
    </row>
    <row r="2245" spans="1:9" x14ac:dyDescent="0.35">
      <c r="A2245" s="226"/>
      <c r="B2245" s="226"/>
      <c r="C2245" s="226"/>
      <c r="D2245" s="226"/>
      <c r="E2245" s="226"/>
      <c r="F2245" s="226"/>
      <c r="G2245" s="226"/>
      <c r="H2245" s="226"/>
      <c r="I2245" s="9" t="str">
        <f t="shared" ref="I2245:I2308" si="35">CONCATENATE(A2245,"_",B2245,"_",C2245)</f>
        <v>__</v>
      </c>
    </row>
    <row r="2246" spans="1:9" x14ac:dyDescent="0.35">
      <c r="A2246" s="226"/>
      <c r="B2246" s="226"/>
      <c r="C2246" s="226"/>
      <c r="D2246" s="226"/>
      <c r="E2246" s="226"/>
      <c r="F2246" s="226"/>
      <c r="G2246" s="226"/>
      <c r="H2246" s="226"/>
      <c r="I2246" s="9" t="str">
        <f t="shared" si="35"/>
        <v>__</v>
      </c>
    </row>
    <row r="2247" spans="1:9" x14ac:dyDescent="0.35">
      <c r="A2247" s="226"/>
      <c r="B2247" s="226"/>
      <c r="C2247" s="226"/>
      <c r="D2247" s="226"/>
      <c r="E2247" s="226"/>
      <c r="F2247" s="226"/>
      <c r="G2247" s="226"/>
      <c r="H2247" s="226"/>
      <c r="I2247" s="9" t="str">
        <f t="shared" si="35"/>
        <v>__</v>
      </c>
    </row>
    <row r="2248" spans="1:9" x14ac:dyDescent="0.35">
      <c r="A2248" s="226"/>
      <c r="B2248" s="226"/>
      <c r="C2248" s="226"/>
      <c r="D2248" s="226"/>
      <c r="E2248" s="226"/>
      <c r="F2248" s="226"/>
      <c r="G2248" s="226"/>
      <c r="H2248" s="226"/>
      <c r="I2248" s="9" t="str">
        <f t="shared" si="35"/>
        <v>__</v>
      </c>
    </row>
    <row r="2249" spans="1:9" x14ac:dyDescent="0.35">
      <c r="A2249" s="226"/>
      <c r="B2249" s="226"/>
      <c r="C2249" s="226"/>
      <c r="D2249" s="226"/>
      <c r="E2249" s="226"/>
      <c r="F2249" s="226"/>
      <c r="G2249" s="226"/>
      <c r="H2249" s="226"/>
      <c r="I2249" s="9" t="str">
        <f t="shared" si="35"/>
        <v>__</v>
      </c>
    </row>
    <row r="2250" spans="1:9" x14ac:dyDescent="0.35">
      <c r="A2250" s="226"/>
      <c r="B2250" s="226"/>
      <c r="C2250" s="226"/>
      <c r="D2250" s="226"/>
      <c r="E2250" s="226"/>
      <c r="F2250" s="226"/>
      <c r="G2250" s="226"/>
      <c r="H2250" s="226"/>
      <c r="I2250" s="9" t="str">
        <f t="shared" si="35"/>
        <v>__</v>
      </c>
    </row>
    <row r="2251" spans="1:9" x14ac:dyDescent="0.35">
      <c r="A2251" s="226"/>
      <c r="B2251" s="226"/>
      <c r="C2251" s="226"/>
      <c r="D2251" s="226"/>
      <c r="E2251" s="226"/>
      <c r="F2251" s="226"/>
      <c r="G2251" s="226"/>
      <c r="H2251" s="226"/>
      <c r="I2251" s="9" t="str">
        <f t="shared" si="35"/>
        <v>__</v>
      </c>
    </row>
    <row r="2252" spans="1:9" x14ac:dyDescent="0.35">
      <c r="A2252" s="226"/>
      <c r="B2252" s="226"/>
      <c r="C2252" s="226"/>
      <c r="D2252" s="226"/>
      <c r="E2252" s="226"/>
      <c r="F2252" s="226"/>
      <c r="G2252" s="226"/>
      <c r="H2252" s="226"/>
      <c r="I2252" s="9" t="str">
        <f t="shared" si="35"/>
        <v>__</v>
      </c>
    </row>
    <row r="2253" spans="1:9" x14ac:dyDescent="0.35">
      <c r="A2253" s="226"/>
      <c r="B2253" s="226"/>
      <c r="C2253" s="226"/>
      <c r="D2253" s="226"/>
      <c r="E2253" s="226"/>
      <c r="F2253" s="226"/>
      <c r="G2253" s="226"/>
      <c r="H2253" s="226"/>
      <c r="I2253" s="9" t="str">
        <f t="shared" si="35"/>
        <v>__</v>
      </c>
    </row>
    <row r="2254" spans="1:9" x14ac:dyDescent="0.35">
      <c r="A2254" s="226"/>
      <c r="B2254" s="226"/>
      <c r="C2254" s="226"/>
      <c r="D2254" s="226"/>
      <c r="E2254" s="226"/>
      <c r="F2254" s="226"/>
      <c r="G2254" s="226"/>
      <c r="H2254" s="226"/>
      <c r="I2254" s="9" t="str">
        <f t="shared" si="35"/>
        <v>__</v>
      </c>
    </row>
    <row r="2255" spans="1:9" x14ac:dyDescent="0.35">
      <c r="A2255" s="226"/>
      <c r="B2255" s="226"/>
      <c r="C2255" s="226"/>
      <c r="D2255" s="226"/>
      <c r="E2255" s="226"/>
      <c r="F2255" s="226"/>
      <c r="G2255" s="226"/>
      <c r="H2255" s="226"/>
      <c r="I2255" s="9" t="str">
        <f t="shared" si="35"/>
        <v>__</v>
      </c>
    </row>
    <row r="2256" spans="1:9" x14ac:dyDescent="0.35">
      <c r="A2256" s="226"/>
      <c r="B2256" s="226"/>
      <c r="C2256" s="226"/>
      <c r="D2256" s="226"/>
      <c r="E2256" s="226"/>
      <c r="F2256" s="226"/>
      <c r="G2256" s="226"/>
      <c r="H2256" s="226"/>
      <c r="I2256" s="9" t="str">
        <f t="shared" si="35"/>
        <v>__</v>
      </c>
    </row>
    <row r="2257" spans="1:9" x14ac:dyDescent="0.35">
      <c r="A2257" s="226"/>
      <c r="B2257" s="226"/>
      <c r="C2257" s="226"/>
      <c r="D2257" s="226"/>
      <c r="E2257" s="226"/>
      <c r="F2257" s="226"/>
      <c r="G2257" s="226"/>
      <c r="H2257" s="226"/>
      <c r="I2257" s="9" t="str">
        <f t="shared" si="35"/>
        <v>__</v>
      </c>
    </row>
    <row r="2258" spans="1:9" x14ac:dyDescent="0.35">
      <c r="A2258" s="226"/>
      <c r="B2258" s="226"/>
      <c r="C2258" s="226"/>
      <c r="D2258" s="226"/>
      <c r="E2258" s="226"/>
      <c r="F2258" s="226"/>
      <c r="G2258" s="226"/>
      <c r="H2258" s="226"/>
      <c r="I2258" s="9" t="str">
        <f t="shared" si="35"/>
        <v>__</v>
      </c>
    </row>
    <row r="2259" spans="1:9" x14ac:dyDescent="0.35">
      <c r="A2259" s="226"/>
      <c r="B2259" s="226"/>
      <c r="C2259" s="226"/>
      <c r="D2259" s="226"/>
      <c r="E2259" s="226"/>
      <c r="F2259" s="226"/>
      <c r="G2259" s="226"/>
      <c r="H2259" s="226"/>
      <c r="I2259" s="9" t="str">
        <f t="shared" si="35"/>
        <v>__</v>
      </c>
    </row>
    <row r="2260" spans="1:9" x14ac:dyDescent="0.35">
      <c r="A2260" s="226"/>
      <c r="B2260" s="226"/>
      <c r="C2260" s="226"/>
      <c r="D2260" s="226"/>
      <c r="E2260" s="226"/>
      <c r="F2260" s="226"/>
      <c r="G2260" s="226"/>
      <c r="H2260" s="226"/>
      <c r="I2260" s="9" t="str">
        <f t="shared" si="35"/>
        <v>__</v>
      </c>
    </row>
    <row r="2261" spans="1:9" x14ac:dyDescent="0.35">
      <c r="A2261" s="226"/>
      <c r="B2261" s="226"/>
      <c r="C2261" s="226"/>
      <c r="D2261" s="226"/>
      <c r="E2261" s="226"/>
      <c r="F2261" s="226"/>
      <c r="G2261" s="226"/>
      <c r="H2261" s="226"/>
      <c r="I2261" s="9" t="str">
        <f t="shared" si="35"/>
        <v>__</v>
      </c>
    </row>
    <row r="2262" spans="1:9" x14ac:dyDescent="0.35">
      <c r="A2262" s="226"/>
      <c r="B2262" s="226"/>
      <c r="C2262" s="226"/>
      <c r="D2262" s="226"/>
      <c r="E2262" s="226"/>
      <c r="F2262" s="226"/>
      <c r="G2262" s="226"/>
      <c r="H2262" s="226"/>
      <c r="I2262" s="9" t="str">
        <f t="shared" si="35"/>
        <v>__</v>
      </c>
    </row>
    <row r="2263" spans="1:9" x14ac:dyDescent="0.35">
      <c r="A2263" s="226"/>
      <c r="B2263" s="226"/>
      <c r="C2263" s="226"/>
      <c r="D2263" s="226"/>
      <c r="E2263" s="226"/>
      <c r="F2263" s="226"/>
      <c r="G2263" s="226"/>
      <c r="H2263" s="226"/>
      <c r="I2263" s="9" t="str">
        <f t="shared" si="35"/>
        <v>__</v>
      </c>
    </row>
    <row r="2264" spans="1:9" x14ac:dyDescent="0.35">
      <c r="A2264" s="226"/>
      <c r="B2264" s="226"/>
      <c r="C2264" s="226"/>
      <c r="D2264" s="226"/>
      <c r="E2264" s="226"/>
      <c r="F2264" s="226"/>
      <c r="G2264" s="226"/>
      <c r="H2264" s="226"/>
      <c r="I2264" s="9" t="str">
        <f t="shared" si="35"/>
        <v>__</v>
      </c>
    </row>
    <row r="2265" spans="1:9" x14ac:dyDescent="0.35">
      <c r="A2265" s="226"/>
      <c r="B2265" s="226"/>
      <c r="C2265" s="226"/>
      <c r="D2265" s="226"/>
      <c r="E2265" s="226"/>
      <c r="F2265" s="226"/>
      <c r="G2265" s="226"/>
      <c r="H2265" s="226"/>
      <c r="I2265" s="9" t="str">
        <f t="shared" si="35"/>
        <v>__</v>
      </c>
    </row>
    <row r="2266" spans="1:9" x14ac:dyDescent="0.35">
      <c r="A2266" s="226"/>
      <c r="B2266" s="226"/>
      <c r="C2266" s="226"/>
      <c r="D2266" s="226"/>
      <c r="E2266" s="226"/>
      <c r="F2266" s="226"/>
      <c r="G2266" s="226"/>
      <c r="H2266" s="226"/>
      <c r="I2266" s="9" t="str">
        <f t="shared" si="35"/>
        <v>__</v>
      </c>
    </row>
    <row r="2267" spans="1:9" x14ac:dyDescent="0.35">
      <c r="A2267" s="226"/>
      <c r="B2267" s="226"/>
      <c r="C2267" s="226"/>
      <c r="D2267" s="226"/>
      <c r="E2267" s="226"/>
      <c r="F2267" s="226"/>
      <c r="G2267" s="226"/>
      <c r="H2267" s="226"/>
      <c r="I2267" s="9" t="str">
        <f t="shared" si="35"/>
        <v>__</v>
      </c>
    </row>
    <row r="2268" spans="1:9" x14ac:dyDescent="0.35">
      <c r="A2268" s="226"/>
      <c r="B2268" s="226"/>
      <c r="C2268" s="226"/>
      <c r="D2268" s="226"/>
      <c r="E2268" s="226"/>
      <c r="F2268" s="226"/>
      <c r="G2268" s="226"/>
      <c r="H2268" s="226"/>
      <c r="I2268" s="9" t="str">
        <f t="shared" si="35"/>
        <v>__</v>
      </c>
    </row>
    <row r="2269" spans="1:9" x14ac:dyDescent="0.35">
      <c r="A2269" s="226"/>
      <c r="B2269" s="226"/>
      <c r="C2269" s="226"/>
      <c r="D2269" s="226"/>
      <c r="E2269" s="226"/>
      <c r="F2269" s="226"/>
      <c r="G2269" s="226"/>
      <c r="H2269" s="226"/>
      <c r="I2269" s="9" t="str">
        <f t="shared" si="35"/>
        <v>__</v>
      </c>
    </row>
    <row r="2270" spans="1:9" x14ac:dyDescent="0.35">
      <c r="A2270" s="226"/>
      <c r="B2270" s="226"/>
      <c r="C2270" s="226"/>
      <c r="D2270" s="226"/>
      <c r="E2270" s="226"/>
      <c r="F2270" s="226"/>
      <c r="G2270" s="226"/>
      <c r="H2270" s="226"/>
      <c r="I2270" s="9" t="str">
        <f t="shared" si="35"/>
        <v>__</v>
      </c>
    </row>
    <row r="2271" spans="1:9" x14ac:dyDescent="0.35">
      <c r="A2271" s="226"/>
      <c r="B2271" s="226"/>
      <c r="C2271" s="226"/>
      <c r="D2271" s="226"/>
      <c r="E2271" s="226"/>
      <c r="F2271" s="226"/>
      <c r="G2271" s="226"/>
      <c r="H2271" s="226"/>
      <c r="I2271" s="9" t="str">
        <f t="shared" si="35"/>
        <v>__</v>
      </c>
    </row>
    <row r="2272" spans="1:9" x14ac:dyDescent="0.35">
      <c r="A2272" s="226"/>
      <c r="B2272" s="226"/>
      <c r="C2272" s="226"/>
      <c r="D2272" s="226"/>
      <c r="E2272" s="226"/>
      <c r="F2272" s="226"/>
      <c r="G2272" s="226"/>
      <c r="H2272" s="226"/>
      <c r="I2272" s="9" t="str">
        <f t="shared" si="35"/>
        <v>__</v>
      </c>
    </row>
    <row r="2273" spans="1:9" x14ac:dyDescent="0.35">
      <c r="A2273" s="226"/>
      <c r="B2273" s="226"/>
      <c r="C2273" s="226"/>
      <c r="D2273" s="226"/>
      <c r="E2273" s="226"/>
      <c r="F2273" s="226"/>
      <c r="G2273" s="226"/>
      <c r="H2273" s="226"/>
      <c r="I2273" s="9" t="str">
        <f t="shared" si="35"/>
        <v>__</v>
      </c>
    </row>
    <row r="2274" spans="1:9" x14ac:dyDescent="0.35">
      <c r="A2274" s="226"/>
      <c r="B2274" s="226"/>
      <c r="C2274" s="226"/>
      <c r="D2274" s="226"/>
      <c r="E2274" s="226"/>
      <c r="F2274" s="226"/>
      <c r="G2274" s="226"/>
      <c r="H2274" s="226"/>
      <c r="I2274" s="9" t="str">
        <f t="shared" si="35"/>
        <v>__</v>
      </c>
    </row>
    <row r="2275" spans="1:9" x14ac:dyDescent="0.35">
      <c r="A2275" s="226"/>
      <c r="B2275" s="226"/>
      <c r="C2275" s="226"/>
      <c r="D2275" s="226"/>
      <c r="E2275" s="226"/>
      <c r="F2275" s="226"/>
      <c r="G2275" s="226"/>
      <c r="H2275" s="226"/>
      <c r="I2275" s="9" t="str">
        <f t="shared" si="35"/>
        <v>__</v>
      </c>
    </row>
    <row r="2276" spans="1:9" x14ac:dyDescent="0.35">
      <c r="A2276" s="226"/>
      <c r="B2276" s="226"/>
      <c r="C2276" s="226"/>
      <c r="D2276" s="226"/>
      <c r="E2276" s="226"/>
      <c r="F2276" s="226"/>
      <c r="G2276" s="226"/>
      <c r="H2276" s="226"/>
      <c r="I2276" s="9" t="str">
        <f t="shared" si="35"/>
        <v>__</v>
      </c>
    </row>
    <row r="2277" spans="1:9" x14ac:dyDescent="0.35">
      <c r="A2277" s="226"/>
      <c r="B2277" s="226"/>
      <c r="C2277" s="226"/>
      <c r="D2277" s="226"/>
      <c r="E2277" s="226"/>
      <c r="F2277" s="226"/>
      <c r="G2277" s="226"/>
      <c r="H2277" s="226"/>
      <c r="I2277" s="9" t="str">
        <f t="shared" si="35"/>
        <v>__</v>
      </c>
    </row>
    <row r="2278" spans="1:9" x14ac:dyDescent="0.35">
      <c r="A2278" s="226"/>
      <c r="B2278" s="226"/>
      <c r="C2278" s="226"/>
      <c r="D2278" s="226"/>
      <c r="E2278" s="226"/>
      <c r="F2278" s="226"/>
      <c r="G2278" s="226"/>
      <c r="H2278" s="226"/>
      <c r="I2278" s="9" t="str">
        <f t="shared" si="35"/>
        <v>__</v>
      </c>
    </row>
    <row r="2279" spans="1:9" x14ac:dyDescent="0.35">
      <c r="A2279" s="226"/>
      <c r="B2279" s="226"/>
      <c r="C2279" s="226"/>
      <c r="D2279" s="226"/>
      <c r="E2279" s="226"/>
      <c r="F2279" s="226"/>
      <c r="G2279" s="226"/>
      <c r="H2279" s="226"/>
      <c r="I2279" s="9" t="str">
        <f t="shared" si="35"/>
        <v>__</v>
      </c>
    </row>
    <row r="2280" spans="1:9" x14ac:dyDescent="0.35">
      <c r="A2280" s="226"/>
      <c r="B2280" s="226"/>
      <c r="C2280" s="226"/>
      <c r="D2280" s="226"/>
      <c r="E2280" s="226"/>
      <c r="F2280" s="226"/>
      <c r="G2280" s="226"/>
      <c r="H2280" s="226"/>
      <c r="I2280" s="9" t="str">
        <f t="shared" si="35"/>
        <v>__</v>
      </c>
    </row>
    <row r="2281" spans="1:9" x14ac:dyDescent="0.35">
      <c r="A2281" s="226"/>
      <c r="B2281" s="226"/>
      <c r="C2281" s="226"/>
      <c r="D2281" s="226"/>
      <c r="E2281" s="226"/>
      <c r="F2281" s="226"/>
      <c r="G2281" s="226"/>
      <c r="H2281" s="226"/>
      <c r="I2281" s="9" t="str">
        <f t="shared" si="35"/>
        <v>__</v>
      </c>
    </row>
    <row r="2282" spans="1:9" x14ac:dyDescent="0.35">
      <c r="A2282" s="226"/>
      <c r="B2282" s="226"/>
      <c r="C2282" s="226"/>
      <c r="D2282" s="226"/>
      <c r="E2282" s="226"/>
      <c r="F2282" s="226"/>
      <c r="G2282" s="226"/>
      <c r="H2282" s="226"/>
      <c r="I2282" s="9" t="str">
        <f t="shared" si="35"/>
        <v>__</v>
      </c>
    </row>
    <row r="2283" spans="1:9" x14ac:dyDescent="0.35">
      <c r="A2283" s="226"/>
      <c r="B2283" s="226"/>
      <c r="C2283" s="226"/>
      <c r="D2283" s="226"/>
      <c r="E2283" s="226"/>
      <c r="F2283" s="226"/>
      <c r="G2283" s="226"/>
      <c r="H2283" s="226"/>
      <c r="I2283" s="9" t="str">
        <f t="shared" si="35"/>
        <v>__</v>
      </c>
    </row>
    <row r="2284" spans="1:9" x14ac:dyDescent="0.35">
      <c r="A2284" s="226"/>
      <c r="B2284" s="226"/>
      <c r="C2284" s="226"/>
      <c r="D2284" s="226"/>
      <c r="E2284" s="226"/>
      <c r="F2284" s="226"/>
      <c r="G2284" s="226"/>
      <c r="H2284" s="226"/>
      <c r="I2284" s="9" t="str">
        <f t="shared" si="35"/>
        <v>__</v>
      </c>
    </row>
    <row r="2285" spans="1:9" x14ac:dyDescent="0.35">
      <c r="A2285" s="226"/>
      <c r="B2285" s="226"/>
      <c r="C2285" s="226"/>
      <c r="D2285" s="226"/>
      <c r="E2285" s="226"/>
      <c r="F2285" s="226"/>
      <c r="G2285" s="226"/>
      <c r="H2285" s="226"/>
      <c r="I2285" s="9" t="str">
        <f t="shared" si="35"/>
        <v>__</v>
      </c>
    </row>
    <row r="2286" spans="1:9" x14ac:dyDescent="0.35">
      <c r="A2286" s="226"/>
      <c r="B2286" s="226"/>
      <c r="C2286" s="226"/>
      <c r="D2286" s="226"/>
      <c r="E2286" s="226"/>
      <c r="F2286" s="226"/>
      <c r="G2286" s="226"/>
      <c r="H2286" s="226"/>
      <c r="I2286" s="9" t="str">
        <f t="shared" si="35"/>
        <v>__</v>
      </c>
    </row>
    <row r="2287" spans="1:9" x14ac:dyDescent="0.35">
      <c r="A2287" s="226"/>
      <c r="B2287" s="226"/>
      <c r="C2287" s="226"/>
      <c r="D2287" s="226"/>
      <c r="E2287" s="226"/>
      <c r="F2287" s="226"/>
      <c r="G2287" s="226"/>
      <c r="H2287" s="226"/>
      <c r="I2287" s="9" t="str">
        <f t="shared" si="35"/>
        <v>__</v>
      </c>
    </row>
    <row r="2288" spans="1:9" x14ac:dyDescent="0.35">
      <c r="A2288" s="226"/>
      <c r="B2288" s="226"/>
      <c r="C2288" s="226"/>
      <c r="D2288" s="226"/>
      <c r="E2288" s="226"/>
      <c r="F2288" s="226"/>
      <c r="G2288" s="226"/>
      <c r="H2288" s="226"/>
      <c r="I2288" s="9" t="str">
        <f t="shared" si="35"/>
        <v>__</v>
      </c>
    </row>
    <row r="2289" spans="1:9" x14ac:dyDescent="0.35">
      <c r="A2289" s="226"/>
      <c r="B2289" s="226"/>
      <c r="C2289" s="226"/>
      <c r="D2289" s="226"/>
      <c r="E2289" s="226"/>
      <c r="F2289" s="226"/>
      <c r="G2289" s="226"/>
      <c r="H2289" s="226"/>
      <c r="I2289" s="9" t="str">
        <f t="shared" si="35"/>
        <v>__</v>
      </c>
    </row>
    <row r="2290" spans="1:9" x14ac:dyDescent="0.35">
      <c r="A2290" s="226"/>
      <c r="B2290" s="226"/>
      <c r="C2290" s="226"/>
      <c r="D2290" s="226"/>
      <c r="E2290" s="226"/>
      <c r="F2290" s="226"/>
      <c r="G2290" s="226"/>
      <c r="H2290" s="226"/>
      <c r="I2290" s="9" t="str">
        <f t="shared" si="35"/>
        <v>__</v>
      </c>
    </row>
    <row r="2291" spans="1:9" x14ac:dyDescent="0.35">
      <c r="A2291" s="226"/>
      <c r="B2291" s="226"/>
      <c r="C2291" s="226"/>
      <c r="D2291" s="226"/>
      <c r="E2291" s="226"/>
      <c r="F2291" s="226"/>
      <c r="G2291" s="226"/>
      <c r="H2291" s="226"/>
      <c r="I2291" s="9" t="str">
        <f t="shared" si="35"/>
        <v>__</v>
      </c>
    </row>
    <row r="2292" spans="1:9" x14ac:dyDescent="0.35">
      <c r="A2292" s="226"/>
      <c r="B2292" s="226"/>
      <c r="C2292" s="226"/>
      <c r="D2292" s="226"/>
      <c r="E2292" s="226"/>
      <c r="F2292" s="226"/>
      <c r="G2292" s="226"/>
      <c r="H2292" s="226"/>
      <c r="I2292" s="9" t="str">
        <f t="shared" si="35"/>
        <v>__</v>
      </c>
    </row>
    <row r="2293" spans="1:9" x14ac:dyDescent="0.35">
      <c r="A2293" s="226"/>
      <c r="B2293" s="226"/>
      <c r="C2293" s="226"/>
      <c r="D2293" s="226"/>
      <c r="E2293" s="226"/>
      <c r="F2293" s="226"/>
      <c r="G2293" s="226"/>
      <c r="H2293" s="226"/>
      <c r="I2293" s="9" t="str">
        <f t="shared" si="35"/>
        <v>__</v>
      </c>
    </row>
    <row r="2294" spans="1:9" x14ac:dyDescent="0.35">
      <c r="A2294" s="226"/>
      <c r="B2294" s="226"/>
      <c r="C2294" s="226"/>
      <c r="D2294" s="226"/>
      <c r="E2294" s="226"/>
      <c r="F2294" s="226"/>
      <c r="G2294" s="226"/>
      <c r="H2294" s="226"/>
      <c r="I2294" s="9" t="str">
        <f t="shared" si="35"/>
        <v>__</v>
      </c>
    </row>
    <row r="2295" spans="1:9" x14ac:dyDescent="0.35">
      <c r="A2295" s="226"/>
      <c r="B2295" s="226"/>
      <c r="C2295" s="226"/>
      <c r="D2295" s="226"/>
      <c r="E2295" s="226"/>
      <c r="F2295" s="226"/>
      <c r="G2295" s="226"/>
      <c r="H2295" s="226"/>
      <c r="I2295" s="9" t="str">
        <f t="shared" si="35"/>
        <v>__</v>
      </c>
    </row>
    <row r="2296" spans="1:9" x14ac:dyDescent="0.35">
      <c r="A2296" s="226"/>
      <c r="B2296" s="226"/>
      <c r="C2296" s="226"/>
      <c r="D2296" s="226"/>
      <c r="E2296" s="226"/>
      <c r="F2296" s="226"/>
      <c r="G2296" s="226"/>
      <c r="H2296" s="226"/>
      <c r="I2296" s="9" t="str">
        <f t="shared" si="35"/>
        <v>__</v>
      </c>
    </row>
    <row r="2297" spans="1:9" x14ac:dyDescent="0.35">
      <c r="A2297" s="226"/>
      <c r="B2297" s="226"/>
      <c r="C2297" s="226"/>
      <c r="D2297" s="226"/>
      <c r="E2297" s="226"/>
      <c r="F2297" s="226"/>
      <c r="G2297" s="226"/>
      <c r="H2297" s="226"/>
      <c r="I2297" s="9" t="str">
        <f t="shared" si="35"/>
        <v>__</v>
      </c>
    </row>
    <row r="2298" spans="1:9" x14ac:dyDescent="0.35">
      <c r="A2298" s="226"/>
      <c r="B2298" s="226"/>
      <c r="C2298" s="226"/>
      <c r="D2298" s="226"/>
      <c r="E2298" s="226"/>
      <c r="F2298" s="226"/>
      <c r="G2298" s="226"/>
      <c r="H2298" s="226"/>
      <c r="I2298" s="9" t="str">
        <f t="shared" si="35"/>
        <v>__</v>
      </c>
    </row>
    <row r="2299" spans="1:9" x14ac:dyDescent="0.35">
      <c r="A2299" s="226"/>
      <c r="B2299" s="226"/>
      <c r="C2299" s="226"/>
      <c r="D2299" s="226"/>
      <c r="E2299" s="226"/>
      <c r="F2299" s="226"/>
      <c r="G2299" s="226"/>
      <c r="H2299" s="226"/>
      <c r="I2299" s="9" t="str">
        <f t="shared" si="35"/>
        <v>__</v>
      </c>
    </row>
    <row r="2300" spans="1:9" x14ac:dyDescent="0.35">
      <c r="A2300" s="226"/>
      <c r="B2300" s="226"/>
      <c r="C2300" s="226"/>
      <c r="D2300" s="226"/>
      <c r="E2300" s="226"/>
      <c r="F2300" s="226"/>
      <c r="G2300" s="226"/>
      <c r="H2300" s="226"/>
      <c r="I2300" s="9" t="str">
        <f t="shared" si="35"/>
        <v>__</v>
      </c>
    </row>
    <row r="2301" spans="1:9" x14ac:dyDescent="0.35">
      <c r="A2301" s="226"/>
      <c r="B2301" s="226"/>
      <c r="C2301" s="226"/>
      <c r="D2301" s="226"/>
      <c r="E2301" s="226"/>
      <c r="F2301" s="226"/>
      <c r="G2301" s="226"/>
      <c r="H2301" s="226"/>
      <c r="I2301" s="9" t="str">
        <f t="shared" si="35"/>
        <v>__</v>
      </c>
    </row>
    <row r="2302" spans="1:9" x14ac:dyDescent="0.35">
      <c r="A2302" s="226"/>
      <c r="B2302" s="226"/>
      <c r="C2302" s="226"/>
      <c r="D2302" s="226"/>
      <c r="E2302" s="226"/>
      <c r="F2302" s="226"/>
      <c r="G2302" s="226"/>
      <c r="H2302" s="226"/>
      <c r="I2302" s="9" t="str">
        <f t="shared" si="35"/>
        <v>__</v>
      </c>
    </row>
    <row r="2303" spans="1:9" x14ac:dyDescent="0.35">
      <c r="A2303" s="226"/>
      <c r="B2303" s="226"/>
      <c r="C2303" s="226"/>
      <c r="D2303" s="226"/>
      <c r="E2303" s="226"/>
      <c r="F2303" s="226"/>
      <c r="G2303" s="226"/>
      <c r="H2303" s="226"/>
      <c r="I2303" s="9" t="str">
        <f t="shared" si="35"/>
        <v>__</v>
      </c>
    </row>
    <row r="2304" spans="1:9" x14ac:dyDescent="0.35">
      <c r="A2304" s="226"/>
      <c r="B2304" s="226"/>
      <c r="C2304" s="226"/>
      <c r="D2304" s="226"/>
      <c r="E2304" s="226"/>
      <c r="F2304" s="226"/>
      <c r="G2304" s="226"/>
      <c r="H2304" s="226"/>
      <c r="I2304" s="9" t="str">
        <f t="shared" si="35"/>
        <v>__</v>
      </c>
    </row>
    <row r="2305" spans="1:9" x14ac:dyDescent="0.35">
      <c r="A2305" s="226"/>
      <c r="B2305" s="226"/>
      <c r="C2305" s="226"/>
      <c r="D2305" s="226"/>
      <c r="E2305" s="226"/>
      <c r="F2305" s="226"/>
      <c r="G2305" s="226"/>
      <c r="H2305" s="226"/>
      <c r="I2305" s="9" t="str">
        <f t="shared" si="35"/>
        <v>__</v>
      </c>
    </row>
    <row r="2306" spans="1:9" x14ac:dyDescent="0.35">
      <c r="A2306" s="226"/>
      <c r="B2306" s="226"/>
      <c r="C2306" s="226"/>
      <c r="D2306" s="226"/>
      <c r="E2306" s="226"/>
      <c r="F2306" s="226"/>
      <c r="G2306" s="226"/>
      <c r="H2306" s="226"/>
      <c r="I2306" s="9" t="str">
        <f t="shared" si="35"/>
        <v>__</v>
      </c>
    </row>
    <row r="2307" spans="1:9" x14ac:dyDescent="0.35">
      <c r="A2307" s="226"/>
      <c r="B2307" s="226"/>
      <c r="C2307" s="226"/>
      <c r="D2307" s="226"/>
      <c r="E2307" s="226"/>
      <c r="F2307" s="226"/>
      <c r="G2307" s="226"/>
      <c r="H2307" s="226"/>
      <c r="I2307" s="9" t="str">
        <f t="shared" si="35"/>
        <v>__</v>
      </c>
    </row>
    <row r="2308" spans="1:9" x14ac:dyDescent="0.35">
      <c r="A2308" s="226"/>
      <c r="B2308" s="226"/>
      <c r="C2308" s="226"/>
      <c r="D2308" s="226"/>
      <c r="E2308" s="226"/>
      <c r="F2308" s="226"/>
      <c r="G2308" s="226"/>
      <c r="H2308" s="226"/>
      <c r="I2308" s="9" t="str">
        <f t="shared" si="35"/>
        <v>__</v>
      </c>
    </row>
    <row r="2309" spans="1:9" x14ac:dyDescent="0.35">
      <c r="A2309" s="226"/>
      <c r="B2309" s="226"/>
      <c r="C2309" s="226"/>
      <c r="D2309" s="226"/>
      <c r="E2309" s="226"/>
      <c r="F2309" s="226"/>
      <c r="G2309" s="226"/>
      <c r="H2309" s="226"/>
      <c r="I2309" s="9" t="str">
        <f t="shared" ref="I2309:I2372" si="36">CONCATENATE(A2309,"_",B2309,"_",C2309)</f>
        <v>__</v>
      </c>
    </row>
    <row r="2310" spans="1:9" x14ac:dyDescent="0.35">
      <c r="A2310" s="226"/>
      <c r="B2310" s="226"/>
      <c r="C2310" s="226"/>
      <c r="D2310" s="226"/>
      <c r="E2310" s="226"/>
      <c r="F2310" s="226"/>
      <c r="G2310" s="226"/>
      <c r="H2310" s="226"/>
      <c r="I2310" s="9" t="str">
        <f t="shared" si="36"/>
        <v>__</v>
      </c>
    </row>
    <row r="2311" spans="1:9" x14ac:dyDescent="0.35">
      <c r="A2311" s="226"/>
      <c r="B2311" s="226"/>
      <c r="C2311" s="226"/>
      <c r="D2311" s="226"/>
      <c r="E2311" s="226"/>
      <c r="F2311" s="226"/>
      <c r="G2311" s="226"/>
      <c r="H2311" s="226"/>
      <c r="I2311" s="9" t="str">
        <f t="shared" si="36"/>
        <v>__</v>
      </c>
    </row>
    <row r="2312" spans="1:9" x14ac:dyDescent="0.35">
      <c r="A2312" s="226"/>
      <c r="B2312" s="226"/>
      <c r="C2312" s="226"/>
      <c r="D2312" s="226"/>
      <c r="E2312" s="226"/>
      <c r="F2312" s="226"/>
      <c r="G2312" s="226"/>
      <c r="H2312" s="226"/>
      <c r="I2312" s="9" t="str">
        <f t="shared" si="36"/>
        <v>__</v>
      </c>
    </row>
    <row r="2313" spans="1:9" x14ac:dyDescent="0.35">
      <c r="A2313" s="226"/>
      <c r="B2313" s="226"/>
      <c r="C2313" s="226"/>
      <c r="D2313" s="226"/>
      <c r="E2313" s="226"/>
      <c r="F2313" s="226"/>
      <c r="G2313" s="226"/>
      <c r="H2313" s="226"/>
      <c r="I2313" s="9" t="str">
        <f t="shared" si="36"/>
        <v>__</v>
      </c>
    </row>
    <row r="2314" spans="1:9" x14ac:dyDescent="0.35">
      <c r="A2314" s="226"/>
      <c r="B2314" s="226"/>
      <c r="C2314" s="226"/>
      <c r="D2314" s="226"/>
      <c r="E2314" s="226"/>
      <c r="F2314" s="226"/>
      <c r="G2314" s="226"/>
      <c r="H2314" s="226"/>
      <c r="I2314" s="9" t="str">
        <f t="shared" si="36"/>
        <v>__</v>
      </c>
    </row>
    <row r="2315" spans="1:9" x14ac:dyDescent="0.35">
      <c r="A2315" s="226"/>
      <c r="B2315" s="226"/>
      <c r="C2315" s="226"/>
      <c r="D2315" s="226"/>
      <c r="E2315" s="226"/>
      <c r="F2315" s="226"/>
      <c r="G2315" s="226"/>
      <c r="H2315" s="226"/>
      <c r="I2315" s="9" t="str">
        <f t="shared" si="36"/>
        <v>__</v>
      </c>
    </row>
    <row r="2316" spans="1:9" x14ac:dyDescent="0.35">
      <c r="A2316" s="226"/>
      <c r="B2316" s="226"/>
      <c r="C2316" s="226"/>
      <c r="D2316" s="226"/>
      <c r="E2316" s="226"/>
      <c r="F2316" s="226"/>
      <c r="G2316" s="226"/>
      <c r="H2316" s="226"/>
      <c r="I2316" s="9" t="str">
        <f t="shared" si="36"/>
        <v>__</v>
      </c>
    </row>
    <row r="2317" spans="1:9" x14ac:dyDescent="0.35">
      <c r="A2317" s="226"/>
      <c r="B2317" s="226"/>
      <c r="C2317" s="226"/>
      <c r="D2317" s="226"/>
      <c r="E2317" s="226"/>
      <c r="F2317" s="226"/>
      <c r="G2317" s="226"/>
      <c r="H2317" s="226"/>
      <c r="I2317" s="9" t="str">
        <f t="shared" si="36"/>
        <v>__</v>
      </c>
    </row>
    <row r="2318" spans="1:9" x14ac:dyDescent="0.35">
      <c r="A2318" s="226"/>
      <c r="B2318" s="226"/>
      <c r="C2318" s="226"/>
      <c r="D2318" s="226"/>
      <c r="E2318" s="226"/>
      <c r="F2318" s="226"/>
      <c r="G2318" s="226"/>
      <c r="H2318" s="226"/>
      <c r="I2318" s="9" t="str">
        <f t="shared" si="36"/>
        <v>__</v>
      </c>
    </row>
    <row r="2319" spans="1:9" x14ac:dyDescent="0.35">
      <c r="A2319" s="226"/>
      <c r="B2319" s="226"/>
      <c r="C2319" s="226"/>
      <c r="D2319" s="226"/>
      <c r="E2319" s="226"/>
      <c r="F2319" s="226"/>
      <c r="G2319" s="226"/>
      <c r="H2319" s="226"/>
      <c r="I2319" s="9" t="str">
        <f t="shared" si="36"/>
        <v>__</v>
      </c>
    </row>
    <row r="2320" spans="1:9" x14ac:dyDescent="0.35">
      <c r="A2320" s="226"/>
      <c r="B2320" s="226"/>
      <c r="C2320" s="226"/>
      <c r="D2320" s="226"/>
      <c r="E2320" s="226"/>
      <c r="F2320" s="226"/>
      <c r="G2320" s="226"/>
      <c r="H2320" s="226"/>
      <c r="I2320" s="9" t="str">
        <f t="shared" si="36"/>
        <v>__</v>
      </c>
    </row>
    <row r="2321" spans="1:9" x14ac:dyDescent="0.35">
      <c r="A2321" s="226"/>
      <c r="B2321" s="226"/>
      <c r="C2321" s="226"/>
      <c r="D2321" s="226"/>
      <c r="E2321" s="226"/>
      <c r="F2321" s="226"/>
      <c r="G2321" s="226"/>
      <c r="H2321" s="226"/>
      <c r="I2321" s="9" t="str">
        <f t="shared" si="36"/>
        <v>__</v>
      </c>
    </row>
    <row r="2322" spans="1:9" x14ac:dyDescent="0.35">
      <c r="A2322" s="226"/>
      <c r="B2322" s="226"/>
      <c r="C2322" s="226"/>
      <c r="D2322" s="226"/>
      <c r="E2322" s="226"/>
      <c r="F2322" s="226"/>
      <c r="G2322" s="226"/>
      <c r="H2322" s="226"/>
      <c r="I2322" s="9" t="str">
        <f t="shared" si="36"/>
        <v>__</v>
      </c>
    </row>
    <row r="2323" spans="1:9" x14ac:dyDescent="0.35">
      <c r="A2323" s="226"/>
      <c r="B2323" s="226"/>
      <c r="C2323" s="226"/>
      <c r="D2323" s="226"/>
      <c r="E2323" s="226"/>
      <c r="F2323" s="226"/>
      <c r="G2323" s="226"/>
      <c r="H2323" s="226"/>
      <c r="I2323" s="9" t="str">
        <f t="shared" si="36"/>
        <v>__</v>
      </c>
    </row>
    <row r="2324" spans="1:9" x14ac:dyDescent="0.35">
      <c r="A2324" s="226"/>
      <c r="B2324" s="226"/>
      <c r="C2324" s="226"/>
      <c r="D2324" s="226"/>
      <c r="E2324" s="226"/>
      <c r="F2324" s="226"/>
      <c r="G2324" s="226"/>
      <c r="H2324" s="226"/>
      <c r="I2324" s="9" t="str">
        <f t="shared" si="36"/>
        <v>__</v>
      </c>
    </row>
    <row r="2325" spans="1:9" x14ac:dyDescent="0.35">
      <c r="A2325" s="226"/>
      <c r="B2325" s="226"/>
      <c r="C2325" s="226"/>
      <c r="D2325" s="226"/>
      <c r="E2325" s="226"/>
      <c r="F2325" s="226"/>
      <c r="G2325" s="226"/>
      <c r="H2325" s="226"/>
      <c r="I2325" s="9" t="str">
        <f t="shared" si="36"/>
        <v>__</v>
      </c>
    </row>
    <row r="2326" spans="1:9" x14ac:dyDescent="0.35">
      <c r="A2326" s="226"/>
      <c r="B2326" s="226"/>
      <c r="C2326" s="226"/>
      <c r="D2326" s="226"/>
      <c r="E2326" s="226"/>
      <c r="F2326" s="226"/>
      <c r="G2326" s="226"/>
      <c r="H2326" s="226"/>
      <c r="I2326" s="9" t="str">
        <f t="shared" si="36"/>
        <v>__</v>
      </c>
    </row>
    <row r="2327" spans="1:9" x14ac:dyDescent="0.35">
      <c r="A2327" s="226"/>
      <c r="B2327" s="226"/>
      <c r="C2327" s="226"/>
      <c r="D2327" s="226"/>
      <c r="E2327" s="226"/>
      <c r="F2327" s="226"/>
      <c r="G2327" s="226"/>
      <c r="H2327" s="226"/>
      <c r="I2327" s="9" t="str">
        <f t="shared" si="36"/>
        <v>__</v>
      </c>
    </row>
    <row r="2328" spans="1:9" x14ac:dyDescent="0.35">
      <c r="A2328" s="226"/>
      <c r="B2328" s="226"/>
      <c r="C2328" s="226"/>
      <c r="D2328" s="226"/>
      <c r="E2328" s="226"/>
      <c r="F2328" s="226"/>
      <c r="G2328" s="226"/>
      <c r="H2328" s="226"/>
      <c r="I2328" s="9" t="str">
        <f t="shared" si="36"/>
        <v>__</v>
      </c>
    </row>
    <row r="2329" spans="1:9" x14ac:dyDescent="0.35">
      <c r="A2329" s="226"/>
      <c r="B2329" s="226"/>
      <c r="C2329" s="226"/>
      <c r="D2329" s="226"/>
      <c r="E2329" s="226"/>
      <c r="F2329" s="226"/>
      <c r="G2329" s="226"/>
      <c r="H2329" s="226"/>
      <c r="I2329" s="9" t="str">
        <f t="shared" si="36"/>
        <v>__</v>
      </c>
    </row>
    <row r="2330" spans="1:9" x14ac:dyDescent="0.35">
      <c r="A2330" s="226"/>
      <c r="B2330" s="226"/>
      <c r="C2330" s="226"/>
      <c r="D2330" s="226"/>
      <c r="E2330" s="226"/>
      <c r="F2330" s="226"/>
      <c r="G2330" s="226"/>
      <c r="H2330" s="226"/>
      <c r="I2330" s="9" t="str">
        <f t="shared" si="36"/>
        <v>__</v>
      </c>
    </row>
    <row r="2331" spans="1:9" x14ac:dyDescent="0.35">
      <c r="A2331" s="226"/>
      <c r="B2331" s="226"/>
      <c r="C2331" s="226"/>
      <c r="D2331" s="226"/>
      <c r="E2331" s="226"/>
      <c r="F2331" s="226"/>
      <c r="G2331" s="226"/>
      <c r="H2331" s="226"/>
      <c r="I2331" s="9" t="str">
        <f t="shared" si="36"/>
        <v>__</v>
      </c>
    </row>
    <row r="2332" spans="1:9" x14ac:dyDescent="0.35">
      <c r="A2332" s="226"/>
      <c r="B2332" s="226"/>
      <c r="C2332" s="226"/>
      <c r="D2332" s="226"/>
      <c r="E2332" s="226"/>
      <c r="F2332" s="226"/>
      <c r="G2332" s="226"/>
      <c r="H2332" s="226"/>
      <c r="I2332" s="9" t="str">
        <f t="shared" si="36"/>
        <v>__</v>
      </c>
    </row>
    <row r="2333" spans="1:9" x14ac:dyDescent="0.35">
      <c r="A2333" s="226"/>
      <c r="B2333" s="226"/>
      <c r="C2333" s="226"/>
      <c r="D2333" s="226"/>
      <c r="E2333" s="226"/>
      <c r="F2333" s="226"/>
      <c r="G2333" s="226"/>
      <c r="H2333" s="226"/>
      <c r="I2333" s="9" t="str">
        <f t="shared" si="36"/>
        <v>__</v>
      </c>
    </row>
    <row r="2334" spans="1:9" x14ac:dyDescent="0.35">
      <c r="A2334" s="226"/>
      <c r="B2334" s="226"/>
      <c r="C2334" s="226"/>
      <c r="D2334" s="226"/>
      <c r="E2334" s="226"/>
      <c r="F2334" s="226"/>
      <c r="G2334" s="226"/>
      <c r="H2334" s="226"/>
      <c r="I2334" s="9" t="str">
        <f t="shared" si="36"/>
        <v>__</v>
      </c>
    </row>
    <row r="2335" spans="1:9" x14ac:dyDescent="0.35">
      <c r="A2335" s="226"/>
      <c r="B2335" s="226"/>
      <c r="C2335" s="226"/>
      <c r="D2335" s="226"/>
      <c r="E2335" s="226"/>
      <c r="F2335" s="226"/>
      <c r="G2335" s="226"/>
      <c r="H2335" s="226"/>
      <c r="I2335" s="9" t="str">
        <f t="shared" si="36"/>
        <v>__</v>
      </c>
    </row>
    <row r="2336" spans="1:9" x14ac:dyDescent="0.35">
      <c r="A2336" s="226"/>
      <c r="B2336" s="226"/>
      <c r="C2336" s="226"/>
      <c r="D2336" s="226"/>
      <c r="E2336" s="226"/>
      <c r="F2336" s="226"/>
      <c r="G2336" s="226"/>
      <c r="H2336" s="226"/>
      <c r="I2336" s="9" t="str">
        <f t="shared" si="36"/>
        <v>__</v>
      </c>
    </row>
    <row r="2337" spans="1:9" x14ac:dyDescent="0.35">
      <c r="A2337" s="226"/>
      <c r="B2337" s="226"/>
      <c r="C2337" s="226"/>
      <c r="D2337" s="226"/>
      <c r="E2337" s="226"/>
      <c r="F2337" s="226"/>
      <c r="G2337" s="226"/>
      <c r="H2337" s="226"/>
      <c r="I2337" s="9" t="str">
        <f t="shared" si="36"/>
        <v>__</v>
      </c>
    </row>
    <row r="2338" spans="1:9" x14ac:dyDescent="0.35">
      <c r="A2338" s="226"/>
      <c r="B2338" s="226"/>
      <c r="C2338" s="226"/>
      <c r="D2338" s="226"/>
      <c r="E2338" s="226"/>
      <c r="F2338" s="226"/>
      <c r="G2338" s="226"/>
      <c r="H2338" s="226"/>
      <c r="I2338" s="9" t="str">
        <f t="shared" si="36"/>
        <v>__</v>
      </c>
    </row>
    <row r="2339" spans="1:9" x14ac:dyDescent="0.35">
      <c r="A2339" s="226"/>
      <c r="B2339" s="226"/>
      <c r="C2339" s="226"/>
      <c r="D2339" s="226"/>
      <c r="E2339" s="226"/>
      <c r="F2339" s="226"/>
      <c r="G2339" s="226"/>
      <c r="H2339" s="226"/>
      <c r="I2339" s="9" t="str">
        <f t="shared" si="36"/>
        <v>__</v>
      </c>
    </row>
    <row r="2340" spans="1:9" x14ac:dyDescent="0.35">
      <c r="A2340" s="226"/>
      <c r="B2340" s="226"/>
      <c r="C2340" s="226"/>
      <c r="D2340" s="226"/>
      <c r="E2340" s="226"/>
      <c r="F2340" s="226"/>
      <c r="G2340" s="226"/>
      <c r="H2340" s="226"/>
      <c r="I2340" s="9" t="str">
        <f t="shared" si="36"/>
        <v>__</v>
      </c>
    </row>
    <row r="2341" spans="1:9" x14ac:dyDescent="0.35">
      <c r="A2341" s="226"/>
      <c r="B2341" s="226"/>
      <c r="C2341" s="226"/>
      <c r="D2341" s="226"/>
      <c r="E2341" s="226"/>
      <c r="F2341" s="226"/>
      <c r="G2341" s="226"/>
      <c r="H2341" s="226"/>
      <c r="I2341" s="9" t="str">
        <f t="shared" si="36"/>
        <v>__</v>
      </c>
    </row>
    <row r="2342" spans="1:9" x14ac:dyDescent="0.35">
      <c r="A2342" s="226"/>
      <c r="B2342" s="226"/>
      <c r="C2342" s="226"/>
      <c r="D2342" s="226"/>
      <c r="E2342" s="226"/>
      <c r="F2342" s="226"/>
      <c r="G2342" s="226"/>
      <c r="H2342" s="226"/>
      <c r="I2342" s="9" t="str">
        <f t="shared" si="36"/>
        <v>__</v>
      </c>
    </row>
    <row r="2343" spans="1:9" x14ac:dyDescent="0.35">
      <c r="A2343" s="226"/>
      <c r="B2343" s="226"/>
      <c r="C2343" s="226"/>
      <c r="D2343" s="226"/>
      <c r="E2343" s="226"/>
      <c r="F2343" s="226"/>
      <c r="G2343" s="226"/>
      <c r="H2343" s="226"/>
      <c r="I2343" s="9" t="str">
        <f t="shared" si="36"/>
        <v>__</v>
      </c>
    </row>
    <row r="2344" spans="1:9" x14ac:dyDescent="0.35">
      <c r="A2344" s="226"/>
      <c r="B2344" s="226"/>
      <c r="C2344" s="226"/>
      <c r="D2344" s="226"/>
      <c r="E2344" s="226"/>
      <c r="F2344" s="226"/>
      <c r="G2344" s="226"/>
      <c r="H2344" s="226"/>
      <c r="I2344" s="9" t="str">
        <f t="shared" si="36"/>
        <v>__</v>
      </c>
    </row>
    <row r="2345" spans="1:9" x14ac:dyDescent="0.35">
      <c r="A2345" s="226"/>
      <c r="B2345" s="226"/>
      <c r="C2345" s="226"/>
      <c r="D2345" s="226"/>
      <c r="E2345" s="226"/>
      <c r="F2345" s="226"/>
      <c r="G2345" s="226"/>
      <c r="H2345" s="226"/>
      <c r="I2345" s="9" t="str">
        <f t="shared" si="36"/>
        <v>__</v>
      </c>
    </row>
    <row r="2346" spans="1:9" x14ac:dyDescent="0.35">
      <c r="A2346" s="226"/>
      <c r="B2346" s="226"/>
      <c r="C2346" s="226"/>
      <c r="D2346" s="226"/>
      <c r="E2346" s="226"/>
      <c r="F2346" s="226"/>
      <c r="G2346" s="226"/>
      <c r="H2346" s="226"/>
      <c r="I2346" s="9" t="str">
        <f t="shared" si="36"/>
        <v>__</v>
      </c>
    </row>
    <row r="2347" spans="1:9" x14ac:dyDescent="0.35">
      <c r="A2347" s="226"/>
      <c r="B2347" s="226"/>
      <c r="C2347" s="226"/>
      <c r="D2347" s="226"/>
      <c r="E2347" s="226"/>
      <c r="F2347" s="226"/>
      <c r="G2347" s="226"/>
      <c r="H2347" s="226"/>
      <c r="I2347" s="9" t="str">
        <f t="shared" si="36"/>
        <v>__</v>
      </c>
    </row>
    <row r="2348" spans="1:9" x14ac:dyDescent="0.35">
      <c r="A2348" s="226"/>
      <c r="B2348" s="226"/>
      <c r="C2348" s="226"/>
      <c r="D2348" s="226"/>
      <c r="E2348" s="226"/>
      <c r="F2348" s="226"/>
      <c r="G2348" s="226"/>
      <c r="H2348" s="226"/>
      <c r="I2348" s="9" t="str">
        <f t="shared" si="36"/>
        <v>__</v>
      </c>
    </row>
    <row r="2349" spans="1:9" x14ac:dyDescent="0.35">
      <c r="A2349" s="226"/>
      <c r="B2349" s="226"/>
      <c r="C2349" s="226"/>
      <c r="D2349" s="226"/>
      <c r="E2349" s="226"/>
      <c r="F2349" s="226"/>
      <c r="G2349" s="226"/>
      <c r="H2349" s="226"/>
      <c r="I2349" s="9" t="str">
        <f t="shared" si="36"/>
        <v>__</v>
      </c>
    </row>
    <row r="2350" spans="1:9" x14ac:dyDescent="0.35">
      <c r="A2350" s="226"/>
      <c r="B2350" s="226"/>
      <c r="C2350" s="226"/>
      <c r="D2350" s="226"/>
      <c r="E2350" s="226"/>
      <c r="F2350" s="226"/>
      <c r="G2350" s="226"/>
      <c r="H2350" s="226"/>
      <c r="I2350" s="9" t="str">
        <f t="shared" si="36"/>
        <v>__</v>
      </c>
    </row>
    <row r="2351" spans="1:9" x14ac:dyDescent="0.35">
      <c r="A2351" s="226"/>
      <c r="B2351" s="226"/>
      <c r="C2351" s="226"/>
      <c r="D2351" s="226"/>
      <c r="E2351" s="226"/>
      <c r="F2351" s="226"/>
      <c r="G2351" s="226"/>
      <c r="H2351" s="226"/>
      <c r="I2351" s="9" t="str">
        <f t="shared" si="36"/>
        <v>__</v>
      </c>
    </row>
    <row r="2352" spans="1:9" x14ac:dyDescent="0.35">
      <c r="A2352" s="226"/>
      <c r="B2352" s="226"/>
      <c r="C2352" s="226"/>
      <c r="D2352" s="226"/>
      <c r="E2352" s="226"/>
      <c r="F2352" s="226"/>
      <c r="G2352" s="226"/>
      <c r="H2352" s="226"/>
      <c r="I2352" s="9" t="str">
        <f t="shared" si="36"/>
        <v>__</v>
      </c>
    </row>
    <row r="2353" spans="1:9" x14ac:dyDescent="0.35">
      <c r="A2353" s="226"/>
      <c r="B2353" s="226"/>
      <c r="C2353" s="226"/>
      <c r="D2353" s="226"/>
      <c r="E2353" s="226"/>
      <c r="F2353" s="226"/>
      <c r="G2353" s="226"/>
      <c r="H2353" s="226"/>
      <c r="I2353" s="9" t="str">
        <f t="shared" si="36"/>
        <v>__</v>
      </c>
    </row>
    <row r="2354" spans="1:9" x14ac:dyDescent="0.35">
      <c r="A2354" s="226"/>
      <c r="B2354" s="226"/>
      <c r="C2354" s="226"/>
      <c r="D2354" s="226"/>
      <c r="E2354" s="226"/>
      <c r="F2354" s="226"/>
      <c r="G2354" s="226"/>
      <c r="H2354" s="226"/>
      <c r="I2354" s="9" t="str">
        <f t="shared" si="36"/>
        <v>__</v>
      </c>
    </row>
    <row r="2355" spans="1:9" x14ac:dyDescent="0.35">
      <c r="A2355" s="226"/>
      <c r="B2355" s="226"/>
      <c r="C2355" s="226"/>
      <c r="D2355" s="226"/>
      <c r="E2355" s="226"/>
      <c r="F2355" s="226"/>
      <c r="G2355" s="226"/>
      <c r="H2355" s="226"/>
      <c r="I2355" s="9" t="str">
        <f t="shared" si="36"/>
        <v>__</v>
      </c>
    </row>
    <row r="2356" spans="1:9" x14ac:dyDescent="0.35">
      <c r="A2356" s="226"/>
      <c r="B2356" s="226"/>
      <c r="C2356" s="226"/>
      <c r="D2356" s="226"/>
      <c r="E2356" s="226"/>
      <c r="F2356" s="226"/>
      <c r="G2356" s="226"/>
      <c r="H2356" s="226"/>
      <c r="I2356" s="9" t="str">
        <f t="shared" si="36"/>
        <v>__</v>
      </c>
    </row>
    <row r="2357" spans="1:9" x14ac:dyDescent="0.35">
      <c r="A2357" s="226"/>
      <c r="B2357" s="226"/>
      <c r="C2357" s="226"/>
      <c r="D2357" s="226"/>
      <c r="E2357" s="226"/>
      <c r="F2357" s="226"/>
      <c r="G2357" s="226"/>
      <c r="H2357" s="226"/>
      <c r="I2357" s="9" t="str">
        <f t="shared" si="36"/>
        <v>__</v>
      </c>
    </row>
    <row r="2358" spans="1:9" x14ac:dyDescent="0.35">
      <c r="A2358" s="226"/>
      <c r="B2358" s="226"/>
      <c r="C2358" s="226"/>
      <c r="D2358" s="226"/>
      <c r="E2358" s="226"/>
      <c r="F2358" s="226"/>
      <c r="G2358" s="226"/>
      <c r="H2358" s="226"/>
      <c r="I2358" s="9" t="str">
        <f t="shared" si="36"/>
        <v>__</v>
      </c>
    </row>
    <row r="2359" spans="1:9" x14ac:dyDescent="0.35">
      <c r="A2359" s="226"/>
      <c r="B2359" s="226"/>
      <c r="C2359" s="226"/>
      <c r="D2359" s="226"/>
      <c r="E2359" s="226"/>
      <c r="F2359" s="226"/>
      <c r="G2359" s="226"/>
      <c r="H2359" s="226"/>
      <c r="I2359" s="9" t="str">
        <f t="shared" si="36"/>
        <v>__</v>
      </c>
    </row>
    <row r="2360" spans="1:9" x14ac:dyDescent="0.35">
      <c r="A2360" s="226"/>
      <c r="B2360" s="226"/>
      <c r="C2360" s="226"/>
      <c r="D2360" s="226"/>
      <c r="E2360" s="226"/>
      <c r="F2360" s="226"/>
      <c r="G2360" s="226"/>
      <c r="H2360" s="226"/>
      <c r="I2360" s="9" t="str">
        <f t="shared" si="36"/>
        <v>__</v>
      </c>
    </row>
    <row r="2361" spans="1:9" x14ac:dyDescent="0.35">
      <c r="A2361" s="226"/>
      <c r="B2361" s="226"/>
      <c r="C2361" s="226"/>
      <c r="D2361" s="226"/>
      <c r="E2361" s="226"/>
      <c r="F2361" s="226"/>
      <c r="G2361" s="226"/>
      <c r="H2361" s="226"/>
      <c r="I2361" s="9" t="str">
        <f t="shared" si="36"/>
        <v>__</v>
      </c>
    </row>
    <row r="2362" spans="1:9" x14ac:dyDescent="0.35">
      <c r="A2362" s="226"/>
      <c r="B2362" s="226"/>
      <c r="C2362" s="226"/>
      <c r="D2362" s="226"/>
      <c r="E2362" s="226"/>
      <c r="F2362" s="226"/>
      <c r="G2362" s="226"/>
      <c r="H2362" s="226"/>
      <c r="I2362" s="9" t="str">
        <f t="shared" si="36"/>
        <v>__</v>
      </c>
    </row>
    <row r="2363" spans="1:9" x14ac:dyDescent="0.35">
      <c r="A2363" s="226"/>
      <c r="B2363" s="226"/>
      <c r="C2363" s="226"/>
      <c r="D2363" s="226"/>
      <c r="E2363" s="226"/>
      <c r="F2363" s="226"/>
      <c r="G2363" s="226"/>
      <c r="H2363" s="226"/>
      <c r="I2363" s="9" t="str">
        <f t="shared" si="36"/>
        <v>__</v>
      </c>
    </row>
    <row r="2364" spans="1:9" x14ac:dyDescent="0.35">
      <c r="A2364" s="226"/>
      <c r="B2364" s="226"/>
      <c r="C2364" s="226"/>
      <c r="D2364" s="226"/>
      <c r="E2364" s="226"/>
      <c r="F2364" s="226"/>
      <c r="G2364" s="226"/>
      <c r="H2364" s="226"/>
      <c r="I2364" s="9" t="str">
        <f t="shared" si="36"/>
        <v>__</v>
      </c>
    </row>
    <row r="2365" spans="1:9" x14ac:dyDescent="0.35">
      <c r="A2365" s="226"/>
      <c r="B2365" s="226"/>
      <c r="C2365" s="226"/>
      <c r="D2365" s="226"/>
      <c r="E2365" s="226"/>
      <c r="F2365" s="226"/>
      <c r="G2365" s="226"/>
      <c r="H2365" s="226"/>
      <c r="I2365" s="9" t="str">
        <f t="shared" si="36"/>
        <v>__</v>
      </c>
    </row>
    <row r="2366" spans="1:9" x14ac:dyDescent="0.35">
      <c r="A2366" s="226"/>
      <c r="B2366" s="226"/>
      <c r="C2366" s="226"/>
      <c r="D2366" s="226"/>
      <c r="E2366" s="226"/>
      <c r="F2366" s="226"/>
      <c r="G2366" s="226"/>
      <c r="H2366" s="226"/>
      <c r="I2366" s="9" t="str">
        <f t="shared" si="36"/>
        <v>__</v>
      </c>
    </row>
    <row r="2367" spans="1:9" x14ac:dyDescent="0.35">
      <c r="A2367" s="226"/>
      <c r="B2367" s="226"/>
      <c r="C2367" s="226"/>
      <c r="D2367" s="226"/>
      <c r="E2367" s="226"/>
      <c r="F2367" s="226"/>
      <c r="G2367" s="226"/>
      <c r="H2367" s="226"/>
      <c r="I2367" s="9" t="str">
        <f t="shared" si="36"/>
        <v>__</v>
      </c>
    </row>
    <row r="2368" spans="1:9" x14ac:dyDescent="0.35">
      <c r="A2368" s="226"/>
      <c r="B2368" s="226"/>
      <c r="C2368" s="226"/>
      <c r="D2368" s="226"/>
      <c r="E2368" s="226"/>
      <c r="F2368" s="226"/>
      <c r="G2368" s="226"/>
      <c r="H2368" s="226"/>
      <c r="I2368" s="9" t="str">
        <f t="shared" si="36"/>
        <v>__</v>
      </c>
    </row>
    <row r="2369" spans="1:9" x14ac:dyDescent="0.35">
      <c r="A2369" s="226"/>
      <c r="B2369" s="226"/>
      <c r="C2369" s="226"/>
      <c r="D2369" s="226"/>
      <c r="E2369" s="226"/>
      <c r="F2369" s="226"/>
      <c r="G2369" s="226"/>
      <c r="H2369" s="226"/>
      <c r="I2369" s="9" t="str">
        <f t="shared" si="36"/>
        <v>__</v>
      </c>
    </row>
    <row r="2370" spans="1:9" x14ac:dyDescent="0.35">
      <c r="A2370" s="226"/>
      <c r="B2370" s="226"/>
      <c r="C2370" s="226"/>
      <c r="D2370" s="226"/>
      <c r="E2370" s="226"/>
      <c r="F2370" s="226"/>
      <c r="G2370" s="226"/>
      <c r="H2370" s="226"/>
      <c r="I2370" s="9" t="str">
        <f t="shared" si="36"/>
        <v>__</v>
      </c>
    </row>
    <row r="2371" spans="1:9" x14ac:dyDescent="0.35">
      <c r="A2371" s="226"/>
      <c r="B2371" s="226"/>
      <c r="C2371" s="226"/>
      <c r="D2371" s="226"/>
      <c r="E2371" s="226"/>
      <c r="F2371" s="226"/>
      <c r="G2371" s="226"/>
      <c r="H2371" s="226"/>
      <c r="I2371" s="9" t="str">
        <f t="shared" si="36"/>
        <v>__</v>
      </c>
    </row>
    <row r="2372" spans="1:9" x14ac:dyDescent="0.35">
      <c r="A2372" s="226"/>
      <c r="B2372" s="226"/>
      <c r="C2372" s="226"/>
      <c r="D2372" s="226"/>
      <c r="E2372" s="226"/>
      <c r="F2372" s="226"/>
      <c r="G2372" s="226"/>
      <c r="H2372" s="226"/>
      <c r="I2372" s="9" t="str">
        <f t="shared" si="36"/>
        <v>__</v>
      </c>
    </row>
    <row r="2373" spans="1:9" x14ac:dyDescent="0.35">
      <c r="A2373" s="226"/>
      <c r="B2373" s="226"/>
      <c r="C2373" s="226"/>
      <c r="D2373" s="226"/>
      <c r="E2373" s="226"/>
      <c r="F2373" s="226"/>
      <c r="G2373" s="226"/>
      <c r="H2373" s="226"/>
      <c r="I2373" s="9" t="str">
        <f t="shared" ref="I2373:I2436" si="37">CONCATENATE(A2373,"_",B2373,"_",C2373)</f>
        <v>__</v>
      </c>
    </row>
    <row r="2374" spans="1:9" x14ac:dyDescent="0.35">
      <c r="A2374" s="226"/>
      <c r="B2374" s="226"/>
      <c r="C2374" s="226"/>
      <c r="D2374" s="226"/>
      <c r="E2374" s="226"/>
      <c r="F2374" s="226"/>
      <c r="G2374" s="226"/>
      <c r="H2374" s="226"/>
      <c r="I2374" s="9" t="str">
        <f t="shared" si="37"/>
        <v>__</v>
      </c>
    </row>
    <row r="2375" spans="1:9" x14ac:dyDescent="0.35">
      <c r="A2375" s="226"/>
      <c r="B2375" s="226"/>
      <c r="C2375" s="226"/>
      <c r="D2375" s="226"/>
      <c r="E2375" s="226"/>
      <c r="F2375" s="226"/>
      <c r="G2375" s="226"/>
      <c r="H2375" s="226"/>
      <c r="I2375" s="9" t="str">
        <f t="shared" si="37"/>
        <v>__</v>
      </c>
    </row>
    <row r="2376" spans="1:9" x14ac:dyDescent="0.35">
      <c r="A2376" s="226"/>
      <c r="B2376" s="226"/>
      <c r="C2376" s="226"/>
      <c r="D2376" s="226"/>
      <c r="E2376" s="226"/>
      <c r="F2376" s="226"/>
      <c r="G2376" s="226"/>
      <c r="H2376" s="226"/>
      <c r="I2376" s="9" t="str">
        <f t="shared" si="37"/>
        <v>__</v>
      </c>
    </row>
    <row r="2377" spans="1:9" x14ac:dyDescent="0.35">
      <c r="A2377" s="226"/>
      <c r="B2377" s="226"/>
      <c r="C2377" s="226"/>
      <c r="D2377" s="226"/>
      <c r="E2377" s="226"/>
      <c r="F2377" s="226"/>
      <c r="G2377" s="226"/>
      <c r="H2377" s="226"/>
      <c r="I2377" s="9" t="str">
        <f t="shared" si="37"/>
        <v>__</v>
      </c>
    </row>
    <row r="2378" spans="1:9" x14ac:dyDescent="0.35">
      <c r="A2378" s="226"/>
      <c r="B2378" s="226"/>
      <c r="C2378" s="226"/>
      <c r="D2378" s="226"/>
      <c r="E2378" s="226"/>
      <c r="F2378" s="226"/>
      <c r="G2378" s="226"/>
      <c r="H2378" s="226"/>
      <c r="I2378" s="9" t="str">
        <f t="shared" si="37"/>
        <v>__</v>
      </c>
    </row>
    <row r="2379" spans="1:9" x14ac:dyDescent="0.35">
      <c r="A2379" s="226"/>
      <c r="B2379" s="226"/>
      <c r="C2379" s="226"/>
      <c r="D2379" s="226"/>
      <c r="E2379" s="226"/>
      <c r="F2379" s="226"/>
      <c r="G2379" s="226"/>
      <c r="H2379" s="226"/>
      <c r="I2379" s="9" t="str">
        <f t="shared" si="37"/>
        <v>__</v>
      </c>
    </row>
    <row r="2380" spans="1:9" x14ac:dyDescent="0.35">
      <c r="A2380" s="226"/>
      <c r="B2380" s="226"/>
      <c r="C2380" s="226"/>
      <c r="D2380" s="226"/>
      <c r="E2380" s="226"/>
      <c r="F2380" s="226"/>
      <c r="G2380" s="226"/>
      <c r="H2380" s="226"/>
      <c r="I2380" s="9" t="str">
        <f t="shared" si="37"/>
        <v>__</v>
      </c>
    </row>
    <row r="2381" spans="1:9" x14ac:dyDescent="0.35">
      <c r="A2381" s="226"/>
      <c r="B2381" s="226"/>
      <c r="C2381" s="226"/>
      <c r="D2381" s="226"/>
      <c r="E2381" s="226"/>
      <c r="F2381" s="226"/>
      <c r="G2381" s="226"/>
      <c r="H2381" s="226"/>
      <c r="I2381" s="9" t="str">
        <f t="shared" si="37"/>
        <v>__</v>
      </c>
    </row>
    <row r="2382" spans="1:9" x14ac:dyDescent="0.35">
      <c r="A2382" s="226"/>
      <c r="B2382" s="226"/>
      <c r="C2382" s="226"/>
      <c r="D2382" s="226"/>
      <c r="E2382" s="226"/>
      <c r="F2382" s="226"/>
      <c r="G2382" s="226"/>
      <c r="H2382" s="226"/>
      <c r="I2382" s="9" t="str">
        <f t="shared" si="37"/>
        <v>__</v>
      </c>
    </row>
    <row r="2383" spans="1:9" x14ac:dyDescent="0.35">
      <c r="A2383" s="226"/>
      <c r="B2383" s="226"/>
      <c r="C2383" s="226"/>
      <c r="D2383" s="226"/>
      <c r="E2383" s="226"/>
      <c r="F2383" s="226"/>
      <c r="G2383" s="226"/>
      <c r="H2383" s="226"/>
      <c r="I2383" s="9" t="str">
        <f t="shared" si="37"/>
        <v>__</v>
      </c>
    </row>
    <row r="2384" spans="1:9" x14ac:dyDescent="0.35">
      <c r="A2384" s="226"/>
      <c r="B2384" s="226"/>
      <c r="C2384" s="226"/>
      <c r="D2384" s="226"/>
      <c r="E2384" s="226"/>
      <c r="F2384" s="226"/>
      <c r="G2384" s="226"/>
      <c r="H2384" s="226"/>
      <c r="I2384" s="9" t="str">
        <f t="shared" si="37"/>
        <v>__</v>
      </c>
    </row>
    <row r="2385" spans="1:9" x14ac:dyDescent="0.35">
      <c r="A2385" s="226"/>
      <c r="B2385" s="226"/>
      <c r="C2385" s="226"/>
      <c r="D2385" s="226"/>
      <c r="E2385" s="226"/>
      <c r="F2385" s="226"/>
      <c r="G2385" s="226"/>
      <c r="H2385" s="226"/>
      <c r="I2385" s="9" t="str">
        <f t="shared" si="37"/>
        <v>__</v>
      </c>
    </row>
    <row r="2386" spans="1:9" x14ac:dyDescent="0.35">
      <c r="A2386" s="226"/>
      <c r="B2386" s="226"/>
      <c r="C2386" s="226"/>
      <c r="D2386" s="226"/>
      <c r="E2386" s="226"/>
      <c r="F2386" s="226"/>
      <c r="G2386" s="226"/>
      <c r="H2386" s="226"/>
      <c r="I2386" s="9" t="str">
        <f t="shared" si="37"/>
        <v>__</v>
      </c>
    </row>
    <row r="2387" spans="1:9" x14ac:dyDescent="0.35">
      <c r="A2387" s="226"/>
      <c r="B2387" s="226"/>
      <c r="C2387" s="226"/>
      <c r="D2387" s="226"/>
      <c r="E2387" s="226"/>
      <c r="F2387" s="226"/>
      <c r="G2387" s="226"/>
      <c r="H2387" s="226"/>
      <c r="I2387" s="9" t="str">
        <f t="shared" si="37"/>
        <v>__</v>
      </c>
    </row>
    <row r="2388" spans="1:9" x14ac:dyDescent="0.35">
      <c r="A2388" s="226"/>
      <c r="B2388" s="226"/>
      <c r="C2388" s="226"/>
      <c r="D2388" s="226"/>
      <c r="E2388" s="226"/>
      <c r="F2388" s="226"/>
      <c r="G2388" s="226"/>
      <c r="H2388" s="226"/>
      <c r="I2388" s="9" t="str">
        <f t="shared" si="37"/>
        <v>__</v>
      </c>
    </row>
    <row r="2389" spans="1:9" x14ac:dyDescent="0.35">
      <c r="A2389" s="226"/>
      <c r="B2389" s="226"/>
      <c r="C2389" s="226"/>
      <c r="D2389" s="226"/>
      <c r="E2389" s="226"/>
      <c r="F2389" s="226"/>
      <c r="G2389" s="226"/>
      <c r="H2389" s="226"/>
      <c r="I2389" s="9" t="str">
        <f t="shared" si="37"/>
        <v>__</v>
      </c>
    </row>
    <row r="2390" spans="1:9" x14ac:dyDescent="0.35">
      <c r="A2390" s="226"/>
      <c r="B2390" s="226"/>
      <c r="C2390" s="226"/>
      <c r="D2390" s="226"/>
      <c r="E2390" s="226"/>
      <c r="F2390" s="226"/>
      <c r="G2390" s="226"/>
      <c r="H2390" s="226"/>
      <c r="I2390" s="9" t="str">
        <f t="shared" si="37"/>
        <v>__</v>
      </c>
    </row>
    <row r="2391" spans="1:9" x14ac:dyDescent="0.35">
      <c r="A2391" s="226"/>
      <c r="B2391" s="226"/>
      <c r="C2391" s="226"/>
      <c r="D2391" s="226"/>
      <c r="E2391" s="226"/>
      <c r="F2391" s="226"/>
      <c r="G2391" s="226"/>
      <c r="H2391" s="226"/>
      <c r="I2391" s="9" t="str">
        <f t="shared" si="37"/>
        <v>__</v>
      </c>
    </row>
    <row r="2392" spans="1:9" x14ac:dyDescent="0.35">
      <c r="A2392" s="226"/>
      <c r="B2392" s="226"/>
      <c r="C2392" s="226"/>
      <c r="D2392" s="226"/>
      <c r="E2392" s="226"/>
      <c r="F2392" s="226"/>
      <c r="G2392" s="226"/>
      <c r="H2392" s="226"/>
      <c r="I2392" s="9" t="str">
        <f t="shared" si="37"/>
        <v>__</v>
      </c>
    </row>
    <row r="2393" spans="1:9" x14ac:dyDescent="0.35">
      <c r="A2393" s="226"/>
      <c r="B2393" s="226"/>
      <c r="C2393" s="226"/>
      <c r="D2393" s="226"/>
      <c r="E2393" s="226"/>
      <c r="F2393" s="226"/>
      <c r="G2393" s="226"/>
      <c r="H2393" s="226"/>
      <c r="I2393" s="9" t="str">
        <f t="shared" si="37"/>
        <v>__</v>
      </c>
    </row>
    <row r="2394" spans="1:9" x14ac:dyDescent="0.35">
      <c r="A2394" s="226"/>
      <c r="B2394" s="226"/>
      <c r="C2394" s="226"/>
      <c r="D2394" s="226"/>
      <c r="E2394" s="226"/>
      <c r="F2394" s="226"/>
      <c r="G2394" s="226"/>
      <c r="H2394" s="226"/>
      <c r="I2394" s="9" t="str">
        <f t="shared" si="37"/>
        <v>__</v>
      </c>
    </row>
    <row r="2395" spans="1:9" x14ac:dyDescent="0.35">
      <c r="A2395" s="226"/>
      <c r="B2395" s="226"/>
      <c r="C2395" s="226"/>
      <c r="D2395" s="226"/>
      <c r="E2395" s="226"/>
      <c r="F2395" s="226"/>
      <c r="G2395" s="226"/>
      <c r="H2395" s="226"/>
      <c r="I2395" s="9" t="str">
        <f t="shared" si="37"/>
        <v>__</v>
      </c>
    </row>
    <row r="2396" spans="1:9" x14ac:dyDescent="0.35">
      <c r="A2396" s="226"/>
      <c r="B2396" s="226"/>
      <c r="C2396" s="226"/>
      <c r="D2396" s="226"/>
      <c r="E2396" s="226"/>
      <c r="F2396" s="226"/>
      <c r="G2396" s="226"/>
      <c r="H2396" s="226"/>
      <c r="I2396" s="9" t="str">
        <f t="shared" si="37"/>
        <v>__</v>
      </c>
    </row>
    <row r="2397" spans="1:9" x14ac:dyDescent="0.35">
      <c r="A2397" s="226"/>
      <c r="B2397" s="226"/>
      <c r="C2397" s="226"/>
      <c r="D2397" s="226"/>
      <c r="E2397" s="226"/>
      <c r="F2397" s="226"/>
      <c r="G2397" s="226"/>
      <c r="H2397" s="226"/>
      <c r="I2397" s="9" t="str">
        <f t="shared" si="37"/>
        <v>__</v>
      </c>
    </row>
    <row r="2398" spans="1:9" x14ac:dyDescent="0.35">
      <c r="A2398" s="226"/>
      <c r="B2398" s="226"/>
      <c r="C2398" s="226"/>
      <c r="D2398" s="226"/>
      <c r="E2398" s="226"/>
      <c r="F2398" s="226"/>
      <c r="G2398" s="226"/>
      <c r="H2398" s="226"/>
      <c r="I2398" s="9" t="str">
        <f t="shared" si="37"/>
        <v>__</v>
      </c>
    </row>
    <row r="2399" spans="1:9" x14ac:dyDescent="0.35">
      <c r="A2399" s="226"/>
      <c r="B2399" s="226"/>
      <c r="C2399" s="226"/>
      <c r="D2399" s="226"/>
      <c r="E2399" s="226"/>
      <c r="F2399" s="226"/>
      <c r="G2399" s="226"/>
      <c r="H2399" s="226"/>
      <c r="I2399" s="9" t="str">
        <f t="shared" si="37"/>
        <v>__</v>
      </c>
    </row>
    <row r="2400" spans="1:9" x14ac:dyDescent="0.35">
      <c r="A2400" s="226"/>
      <c r="B2400" s="226"/>
      <c r="C2400" s="226"/>
      <c r="D2400" s="226"/>
      <c r="E2400" s="226"/>
      <c r="F2400" s="226"/>
      <c r="G2400" s="226"/>
      <c r="H2400" s="226"/>
      <c r="I2400" s="9" t="str">
        <f t="shared" si="37"/>
        <v>__</v>
      </c>
    </row>
    <row r="2401" spans="1:9" x14ac:dyDescent="0.35">
      <c r="A2401" s="226"/>
      <c r="B2401" s="226"/>
      <c r="C2401" s="226"/>
      <c r="D2401" s="226"/>
      <c r="E2401" s="226"/>
      <c r="F2401" s="226"/>
      <c r="G2401" s="226"/>
      <c r="H2401" s="226"/>
      <c r="I2401" s="9" t="str">
        <f t="shared" si="37"/>
        <v>__</v>
      </c>
    </row>
    <row r="2402" spans="1:9" x14ac:dyDescent="0.35">
      <c r="A2402" s="226"/>
      <c r="B2402" s="226"/>
      <c r="C2402" s="226"/>
      <c r="D2402" s="226"/>
      <c r="E2402" s="226"/>
      <c r="F2402" s="226"/>
      <c r="G2402" s="226"/>
      <c r="H2402" s="226"/>
      <c r="I2402" s="9" t="str">
        <f t="shared" si="37"/>
        <v>__</v>
      </c>
    </row>
    <row r="2403" spans="1:9" x14ac:dyDescent="0.35">
      <c r="A2403" s="226"/>
      <c r="B2403" s="226"/>
      <c r="C2403" s="226"/>
      <c r="D2403" s="226"/>
      <c r="E2403" s="226"/>
      <c r="F2403" s="226"/>
      <c r="G2403" s="226"/>
      <c r="H2403" s="226"/>
      <c r="I2403" s="9" t="str">
        <f t="shared" si="37"/>
        <v>__</v>
      </c>
    </row>
    <row r="2404" spans="1:9" x14ac:dyDescent="0.35">
      <c r="A2404" s="226"/>
      <c r="B2404" s="226"/>
      <c r="C2404" s="226"/>
      <c r="D2404" s="226"/>
      <c r="E2404" s="226"/>
      <c r="F2404" s="226"/>
      <c r="G2404" s="226"/>
      <c r="H2404" s="226"/>
      <c r="I2404" s="9" t="str">
        <f t="shared" si="37"/>
        <v>__</v>
      </c>
    </row>
    <row r="2405" spans="1:9" x14ac:dyDescent="0.35">
      <c r="A2405" s="226"/>
      <c r="B2405" s="226"/>
      <c r="C2405" s="226"/>
      <c r="D2405" s="226"/>
      <c r="E2405" s="226"/>
      <c r="F2405" s="226"/>
      <c r="G2405" s="226"/>
      <c r="H2405" s="226"/>
      <c r="I2405" s="9" t="str">
        <f t="shared" si="37"/>
        <v>__</v>
      </c>
    </row>
    <row r="2406" spans="1:9" x14ac:dyDescent="0.35">
      <c r="A2406" s="226"/>
      <c r="B2406" s="226"/>
      <c r="C2406" s="226"/>
      <c r="D2406" s="226"/>
      <c r="E2406" s="226"/>
      <c r="F2406" s="226"/>
      <c r="G2406" s="226"/>
      <c r="H2406" s="226"/>
      <c r="I2406" s="9" t="str">
        <f t="shared" si="37"/>
        <v>__</v>
      </c>
    </row>
    <row r="2407" spans="1:9" x14ac:dyDescent="0.35">
      <c r="A2407" s="226"/>
      <c r="B2407" s="226"/>
      <c r="C2407" s="226"/>
      <c r="D2407" s="226"/>
      <c r="E2407" s="226"/>
      <c r="F2407" s="226"/>
      <c r="G2407" s="226"/>
      <c r="H2407" s="226"/>
      <c r="I2407" s="9" t="str">
        <f t="shared" si="37"/>
        <v>__</v>
      </c>
    </row>
    <row r="2408" spans="1:9" x14ac:dyDescent="0.35">
      <c r="A2408" s="226"/>
      <c r="B2408" s="226"/>
      <c r="C2408" s="226"/>
      <c r="D2408" s="226"/>
      <c r="E2408" s="226"/>
      <c r="F2408" s="226"/>
      <c r="G2408" s="226"/>
      <c r="H2408" s="226"/>
      <c r="I2408" s="9" t="str">
        <f t="shared" si="37"/>
        <v>__</v>
      </c>
    </row>
    <row r="2409" spans="1:9" x14ac:dyDescent="0.35">
      <c r="A2409" s="226"/>
      <c r="B2409" s="226"/>
      <c r="C2409" s="226"/>
      <c r="D2409" s="226"/>
      <c r="E2409" s="226"/>
      <c r="F2409" s="226"/>
      <c r="G2409" s="226"/>
      <c r="H2409" s="226"/>
      <c r="I2409" s="9" t="str">
        <f t="shared" si="37"/>
        <v>__</v>
      </c>
    </row>
    <row r="2410" spans="1:9" x14ac:dyDescent="0.35">
      <c r="A2410" s="226"/>
      <c r="B2410" s="226"/>
      <c r="C2410" s="226"/>
      <c r="D2410" s="226"/>
      <c r="E2410" s="226"/>
      <c r="F2410" s="226"/>
      <c r="G2410" s="226"/>
      <c r="H2410" s="226"/>
      <c r="I2410" s="9" t="str">
        <f t="shared" si="37"/>
        <v>__</v>
      </c>
    </row>
    <row r="2411" spans="1:9" x14ac:dyDescent="0.35">
      <c r="A2411" s="226"/>
      <c r="B2411" s="226"/>
      <c r="C2411" s="226"/>
      <c r="D2411" s="226"/>
      <c r="E2411" s="226"/>
      <c r="F2411" s="226"/>
      <c r="G2411" s="226"/>
      <c r="H2411" s="226"/>
      <c r="I2411" s="9" t="str">
        <f t="shared" si="37"/>
        <v>__</v>
      </c>
    </row>
    <row r="2412" spans="1:9" x14ac:dyDescent="0.35">
      <c r="A2412" s="226"/>
      <c r="B2412" s="226"/>
      <c r="C2412" s="226"/>
      <c r="D2412" s="226"/>
      <c r="E2412" s="226"/>
      <c r="F2412" s="226"/>
      <c r="G2412" s="226"/>
      <c r="H2412" s="226"/>
      <c r="I2412" s="9" t="str">
        <f t="shared" si="37"/>
        <v>__</v>
      </c>
    </row>
    <row r="2413" spans="1:9" x14ac:dyDescent="0.35">
      <c r="A2413" s="226"/>
      <c r="B2413" s="226"/>
      <c r="C2413" s="226"/>
      <c r="D2413" s="226"/>
      <c r="E2413" s="226"/>
      <c r="F2413" s="226"/>
      <c r="G2413" s="226"/>
      <c r="H2413" s="226"/>
      <c r="I2413" s="9" t="str">
        <f t="shared" si="37"/>
        <v>__</v>
      </c>
    </row>
    <row r="2414" spans="1:9" x14ac:dyDescent="0.35">
      <c r="A2414" s="226"/>
      <c r="B2414" s="226"/>
      <c r="C2414" s="226"/>
      <c r="D2414" s="226"/>
      <c r="E2414" s="226"/>
      <c r="F2414" s="226"/>
      <c r="G2414" s="226"/>
      <c r="H2414" s="226"/>
      <c r="I2414" s="9" t="str">
        <f t="shared" si="37"/>
        <v>__</v>
      </c>
    </row>
    <row r="2415" spans="1:9" x14ac:dyDescent="0.35">
      <c r="A2415" s="226"/>
      <c r="B2415" s="226"/>
      <c r="C2415" s="226"/>
      <c r="D2415" s="226"/>
      <c r="E2415" s="226"/>
      <c r="F2415" s="226"/>
      <c r="G2415" s="226"/>
      <c r="H2415" s="226"/>
      <c r="I2415" s="9" t="str">
        <f t="shared" si="37"/>
        <v>__</v>
      </c>
    </row>
    <row r="2416" spans="1:9" x14ac:dyDescent="0.35">
      <c r="A2416" s="226"/>
      <c r="B2416" s="226"/>
      <c r="C2416" s="226"/>
      <c r="D2416" s="226"/>
      <c r="E2416" s="226"/>
      <c r="F2416" s="226"/>
      <c r="G2416" s="226"/>
      <c r="H2416" s="226"/>
      <c r="I2416" s="9" t="str">
        <f t="shared" si="37"/>
        <v>__</v>
      </c>
    </row>
    <row r="2417" spans="1:9" x14ac:dyDescent="0.35">
      <c r="A2417" s="226"/>
      <c r="B2417" s="226"/>
      <c r="C2417" s="226"/>
      <c r="D2417" s="226"/>
      <c r="E2417" s="226"/>
      <c r="F2417" s="226"/>
      <c r="G2417" s="226"/>
      <c r="H2417" s="226"/>
      <c r="I2417" s="9" t="str">
        <f t="shared" si="37"/>
        <v>__</v>
      </c>
    </row>
    <row r="2418" spans="1:9" x14ac:dyDescent="0.35">
      <c r="A2418" s="226"/>
      <c r="B2418" s="226"/>
      <c r="C2418" s="226"/>
      <c r="D2418" s="226"/>
      <c r="E2418" s="226"/>
      <c r="F2418" s="226"/>
      <c r="G2418" s="226"/>
      <c r="H2418" s="226"/>
      <c r="I2418" s="9" t="str">
        <f t="shared" si="37"/>
        <v>__</v>
      </c>
    </row>
    <row r="2419" spans="1:9" x14ac:dyDescent="0.35">
      <c r="A2419" s="226"/>
      <c r="B2419" s="226"/>
      <c r="C2419" s="226"/>
      <c r="D2419" s="226"/>
      <c r="E2419" s="226"/>
      <c r="F2419" s="226"/>
      <c r="G2419" s="226"/>
      <c r="H2419" s="226"/>
      <c r="I2419" s="9" t="str">
        <f t="shared" si="37"/>
        <v>__</v>
      </c>
    </row>
    <row r="2420" spans="1:9" x14ac:dyDescent="0.35">
      <c r="A2420" s="226"/>
      <c r="B2420" s="226"/>
      <c r="C2420" s="226"/>
      <c r="D2420" s="226"/>
      <c r="E2420" s="226"/>
      <c r="F2420" s="226"/>
      <c r="G2420" s="226"/>
      <c r="H2420" s="226"/>
      <c r="I2420" s="9" t="str">
        <f t="shared" si="37"/>
        <v>__</v>
      </c>
    </row>
    <row r="2421" spans="1:9" x14ac:dyDescent="0.35">
      <c r="A2421" s="226"/>
      <c r="B2421" s="226"/>
      <c r="C2421" s="226"/>
      <c r="D2421" s="226"/>
      <c r="E2421" s="226"/>
      <c r="F2421" s="226"/>
      <c r="G2421" s="226"/>
      <c r="H2421" s="226"/>
      <c r="I2421" s="9" t="str">
        <f t="shared" si="37"/>
        <v>__</v>
      </c>
    </row>
    <row r="2422" spans="1:9" x14ac:dyDescent="0.35">
      <c r="A2422" s="226"/>
      <c r="B2422" s="226"/>
      <c r="C2422" s="226"/>
      <c r="D2422" s="226"/>
      <c r="E2422" s="226"/>
      <c r="F2422" s="226"/>
      <c r="G2422" s="226"/>
      <c r="H2422" s="226"/>
      <c r="I2422" s="9" t="str">
        <f t="shared" si="37"/>
        <v>__</v>
      </c>
    </row>
    <row r="2423" spans="1:9" x14ac:dyDescent="0.35">
      <c r="A2423" s="226"/>
      <c r="B2423" s="226"/>
      <c r="C2423" s="226"/>
      <c r="D2423" s="226"/>
      <c r="E2423" s="226"/>
      <c r="F2423" s="226"/>
      <c r="G2423" s="226"/>
      <c r="H2423" s="226"/>
      <c r="I2423" s="9" t="str">
        <f t="shared" si="37"/>
        <v>__</v>
      </c>
    </row>
    <row r="2424" spans="1:9" x14ac:dyDescent="0.35">
      <c r="A2424" s="226"/>
      <c r="B2424" s="226"/>
      <c r="C2424" s="226"/>
      <c r="D2424" s="226"/>
      <c r="E2424" s="226"/>
      <c r="F2424" s="226"/>
      <c r="G2424" s="226"/>
      <c r="H2424" s="226"/>
      <c r="I2424" s="9" t="str">
        <f t="shared" si="37"/>
        <v>__</v>
      </c>
    </row>
    <row r="2425" spans="1:9" x14ac:dyDescent="0.35">
      <c r="A2425" s="226"/>
      <c r="B2425" s="226"/>
      <c r="C2425" s="226"/>
      <c r="D2425" s="226"/>
      <c r="E2425" s="226"/>
      <c r="F2425" s="226"/>
      <c r="G2425" s="226"/>
      <c r="H2425" s="226"/>
      <c r="I2425" s="9" t="str">
        <f t="shared" si="37"/>
        <v>__</v>
      </c>
    </row>
    <row r="2426" spans="1:9" x14ac:dyDescent="0.35">
      <c r="A2426" s="226"/>
      <c r="B2426" s="226"/>
      <c r="C2426" s="226"/>
      <c r="D2426" s="226"/>
      <c r="E2426" s="226"/>
      <c r="F2426" s="226"/>
      <c r="G2426" s="226"/>
      <c r="H2426" s="226"/>
      <c r="I2426" s="9" t="str">
        <f t="shared" si="37"/>
        <v>__</v>
      </c>
    </row>
    <row r="2427" spans="1:9" x14ac:dyDescent="0.35">
      <c r="A2427" s="226"/>
      <c r="B2427" s="226"/>
      <c r="C2427" s="226"/>
      <c r="D2427" s="226"/>
      <c r="E2427" s="226"/>
      <c r="F2427" s="226"/>
      <c r="G2427" s="226"/>
      <c r="H2427" s="226"/>
      <c r="I2427" s="9" t="str">
        <f t="shared" si="37"/>
        <v>__</v>
      </c>
    </row>
    <row r="2428" spans="1:9" x14ac:dyDescent="0.35">
      <c r="A2428" s="226"/>
      <c r="B2428" s="226"/>
      <c r="C2428" s="226"/>
      <c r="D2428" s="226"/>
      <c r="E2428" s="226"/>
      <c r="F2428" s="226"/>
      <c r="G2428" s="226"/>
      <c r="H2428" s="226"/>
      <c r="I2428" s="9" t="str">
        <f t="shared" si="37"/>
        <v>__</v>
      </c>
    </row>
    <row r="2429" spans="1:9" x14ac:dyDescent="0.35">
      <c r="A2429" s="226"/>
      <c r="B2429" s="226"/>
      <c r="C2429" s="226"/>
      <c r="D2429" s="226"/>
      <c r="E2429" s="226"/>
      <c r="F2429" s="226"/>
      <c r="G2429" s="226"/>
      <c r="H2429" s="226"/>
      <c r="I2429" s="9" t="str">
        <f t="shared" si="37"/>
        <v>__</v>
      </c>
    </row>
    <row r="2430" spans="1:9" x14ac:dyDescent="0.35">
      <c r="A2430" s="226"/>
      <c r="B2430" s="226"/>
      <c r="C2430" s="226"/>
      <c r="D2430" s="226"/>
      <c r="E2430" s="226"/>
      <c r="F2430" s="226"/>
      <c r="G2430" s="226"/>
      <c r="H2430" s="226"/>
      <c r="I2430" s="9" t="str">
        <f t="shared" si="37"/>
        <v>__</v>
      </c>
    </row>
    <row r="2431" spans="1:9" x14ac:dyDescent="0.35">
      <c r="A2431" s="226"/>
      <c r="B2431" s="226"/>
      <c r="C2431" s="226"/>
      <c r="D2431" s="226"/>
      <c r="E2431" s="226"/>
      <c r="F2431" s="226"/>
      <c r="G2431" s="226"/>
      <c r="H2431" s="226"/>
      <c r="I2431" s="9" t="str">
        <f t="shared" si="37"/>
        <v>__</v>
      </c>
    </row>
    <row r="2432" spans="1:9" x14ac:dyDescent="0.35">
      <c r="A2432" s="226"/>
      <c r="B2432" s="226"/>
      <c r="C2432" s="226"/>
      <c r="D2432" s="226"/>
      <c r="E2432" s="226"/>
      <c r="F2432" s="226"/>
      <c r="G2432" s="226"/>
      <c r="H2432" s="226"/>
      <c r="I2432" s="9" t="str">
        <f t="shared" si="37"/>
        <v>__</v>
      </c>
    </row>
    <row r="2433" spans="1:9" x14ac:dyDescent="0.35">
      <c r="A2433" s="226"/>
      <c r="B2433" s="226"/>
      <c r="C2433" s="226"/>
      <c r="D2433" s="226"/>
      <c r="E2433" s="226"/>
      <c r="F2433" s="226"/>
      <c r="G2433" s="226"/>
      <c r="H2433" s="226"/>
      <c r="I2433" s="9" t="str">
        <f t="shared" si="37"/>
        <v>__</v>
      </c>
    </row>
    <row r="2434" spans="1:9" x14ac:dyDescent="0.35">
      <c r="A2434" s="226"/>
      <c r="B2434" s="226"/>
      <c r="C2434" s="226"/>
      <c r="D2434" s="226"/>
      <c r="E2434" s="226"/>
      <c r="F2434" s="226"/>
      <c r="G2434" s="226"/>
      <c r="H2434" s="226"/>
      <c r="I2434" s="9" t="str">
        <f t="shared" si="37"/>
        <v>__</v>
      </c>
    </row>
    <row r="2435" spans="1:9" x14ac:dyDescent="0.35">
      <c r="A2435" s="226"/>
      <c r="B2435" s="226"/>
      <c r="C2435" s="226"/>
      <c r="D2435" s="226"/>
      <c r="E2435" s="226"/>
      <c r="F2435" s="226"/>
      <c r="G2435" s="226"/>
      <c r="H2435" s="226"/>
      <c r="I2435" s="9" t="str">
        <f t="shared" si="37"/>
        <v>__</v>
      </c>
    </row>
    <row r="2436" spans="1:9" x14ac:dyDescent="0.35">
      <c r="A2436" s="226"/>
      <c r="B2436" s="226"/>
      <c r="C2436" s="226"/>
      <c r="D2436" s="226"/>
      <c r="E2436" s="226"/>
      <c r="F2436" s="226"/>
      <c r="G2436" s="226"/>
      <c r="H2436" s="226"/>
      <c r="I2436" s="9" t="str">
        <f t="shared" si="37"/>
        <v>__</v>
      </c>
    </row>
    <row r="2437" spans="1:9" x14ac:dyDescent="0.35">
      <c r="A2437" s="226"/>
      <c r="B2437" s="226"/>
      <c r="C2437" s="226"/>
      <c r="D2437" s="226"/>
      <c r="E2437" s="226"/>
      <c r="F2437" s="226"/>
      <c r="G2437" s="226"/>
      <c r="H2437" s="226"/>
      <c r="I2437" s="9" t="str">
        <f t="shared" ref="I2437:I2500" si="38">CONCATENATE(A2437,"_",B2437,"_",C2437)</f>
        <v>__</v>
      </c>
    </row>
    <row r="2438" spans="1:9" x14ac:dyDescent="0.35">
      <c r="A2438" s="226"/>
      <c r="B2438" s="226"/>
      <c r="C2438" s="226"/>
      <c r="D2438" s="226"/>
      <c r="E2438" s="226"/>
      <c r="F2438" s="226"/>
      <c r="G2438" s="226"/>
      <c r="H2438" s="226"/>
      <c r="I2438" s="9" t="str">
        <f t="shared" si="38"/>
        <v>__</v>
      </c>
    </row>
    <row r="2439" spans="1:9" x14ac:dyDescent="0.35">
      <c r="A2439" s="226"/>
      <c r="B2439" s="226"/>
      <c r="C2439" s="226"/>
      <c r="D2439" s="226"/>
      <c r="E2439" s="226"/>
      <c r="F2439" s="226"/>
      <c r="G2439" s="226"/>
      <c r="H2439" s="226"/>
      <c r="I2439" s="9" t="str">
        <f t="shared" si="38"/>
        <v>__</v>
      </c>
    </row>
    <row r="2440" spans="1:9" x14ac:dyDescent="0.35">
      <c r="A2440" s="226"/>
      <c r="B2440" s="226"/>
      <c r="C2440" s="226"/>
      <c r="D2440" s="226"/>
      <c r="E2440" s="226"/>
      <c r="F2440" s="226"/>
      <c r="G2440" s="226"/>
      <c r="H2440" s="226"/>
      <c r="I2440" s="9" t="str">
        <f t="shared" si="38"/>
        <v>__</v>
      </c>
    </row>
    <row r="2441" spans="1:9" x14ac:dyDescent="0.35">
      <c r="A2441" s="226"/>
      <c r="B2441" s="226"/>
      <c r="C2441" s="226"/>
      <c r="D2441" s="226"/>
      <c r="E2441" s="226"/>
      <c r="F2441" s="226"/>
      <c r="G2441" s="226"/>
      <c r="H2441" s="226"/>
      <c r="I2441" s="9" t="str">
        <f t="shared" si="38"/>
        <v>__</v>
      </c>
    </row>
    <row r="2442" spans="1:9" x14ac:dyDescent="0.35">
      <c r="A2442" s="226"/>
      <c r="B2442" s="226"/>
      <c r="C2442" s="226"/>
      <c r="D2442" s="226"/>
      <c r="E2442" s="226"/>
      <c r="F2442" s="226"/>
      <c r="G2442" s="226"/>
      <c r="H2442" s="226"/>
      <c r="I2442" s="9" t="str">
        <f t="shared" si="38"/>
        <v>__</v>
      </c>
    </row>
    <row r="2443" spans="1:9" x14ac:dyDescent="0.35">
      <c r="A2443" s="226"/>
      <c r="B2443" s="226"/>
      <c r="C2443" s="226"/>
      <c r="D2443" s="226"/>
      <c r="E2443" s="226"/>
      <c r="F2443" s="226"/>
      <c r="G2443" s="226"/>
      <c r="H2443" s="226"/>
      <c r="I2443" s="9" t="str">
        <f t="shared" si="38"/>
        <v>__</v>
      </c>
    </row>
    <row r="2444" spans="1:9" x14ac:dyDescent="0.35">
      <c r="A2444" s="226"/>
      <c r="B2444" s="226"/>
      <c r="C2444" s="226"/>
      <c r="D2444" s="226"/>
      <c r="E2444" s="226"/>
      <c r="F2444" s="226"/>
      <c r="G2444" s="226"/>
      <c r="H2444" s="226"/>
      <c r="I2444" s="9" t="str">
        <f t="shared" si="38"/>
        <v>__</v>
      </c>
    </row>
    <row r="2445" spans="1:9" x14ac:dyDescent="0.35">
      <c r="A2445" s="226"/>
      <c r="B2445" s="226"/>
      <c r="C2445" s="226"/>
      <c r="D2445" s="226"/>
      <c r="E2445" s="226"/>
      <c r="F2445" s="226"/>
      <c r="G2445" s="226"/>
      <c r="H2445" s="226"/>
      <c r="I2445" s="9" t="str">
        <f t="shared" si="38"/>
        <v>__</v>
      </c>
    </row>
    <row r="2446" spans="1:9" x14ac:dyDescent="0.35">
      <c r="A2446" s="226"/>
      <c r="B2446" s="226"/>
      <c r="C2446" s="226"/>
      <c r="D2446" s="226"/>
      <c r="E2446" s="226"/>
      <c r="F2446" s="226"/>
      <c r="G2446" s="226"/>
      <c r="H2446" s="226"/>
      <c r="I2446" s="9" t="str">
        <f t="shared" si="38"/>
        <v>__</v>
      </c>
    </row>
    <row r="2447" spans="1:9" x14ac:dyDescent="0.35">
      <c r="A2447" s="226"/>
      <c r="B2447" s="226"/>
      <c r="C2447" s="226"/>
      <c r="D2447" s="226"/>
      <c r="E2447" s="226"/>
      <c r="F2447" s="226"/>
      <c r="G2447" s="226"/>
      <c r="H2447" s="226"/>
      <c r="I2447" s="9" t="str">
        <f t="shared" si="38"/>
        <v>__</v>
      </c>
    </row>
    <row r="2448" spans="1:9" x14ac:dyDescent="0.35">
      <c r="A2448" s="226"/>
      <c r="B2448" s="226"/>
      <c r="C2448" s="226"/>
      <c r="D2448" s="226"/>
      <c r="E2448" s="226"/>
      <c r="F2448" s="226"/>
      <c r="G2448" s="226"/>
      <c r="H2448" s="226"/>
      <c r="I2448" s="9" t="str">
        <f t="shared" si="38"/>
        <v>__</v>
      </c>
    </row>
    <row r="2449" spans="1:9" x14ac:dyDescent="0.35">
      <c r="A2449" s="226"/>
      <c r="B2449" s="226"/>
      <c r="C2449" s="226"/>
      <c r="D2449" s="226"/>
      <c r="E2449" s="226"/>
      <c r="F2449" s="226"/>
      <c r="G2449" s="226"/>
      <c r="H2449" s="226"/>
      <c r="I2449" s="9" t="str">
        <f t="shared" si="38"/>
        <v>__</v>
      </c>
    </row>
    <row r="2450" spans="1:9" x14ac:dyDescent="0.35">
      <c r="A2450" s="226"/>
      <c r="B2450" s="226"/>
      <c r="C2450" s="226"/>
      <c r="D2450" s="226"/>
      <c r="E2450" s="226"/>
      <c r="F2450" s="226"/>
      <c r="G2450" s="226"/>
      <c r="H2450" s="226"/>
      <c r="I2450" s="9" t="str">
        <f t="shared" si="38"/>
        <v>__</v>
      </c>
    </row>
    <row r="2451" spans="1:9" x14ac:dyDescent="0.35">
      <c r="A2451" s="226"/>
      <c r="B2451" s="226"/>
      <c r="C2451" s="226"/>
      <c r="D2451" s="226"/>
      <c r="E2451" s="226"/>
      <c r="F2451" s="226"/>
      <c r="G2451" s="226"/>
      <c r="H2451" s="226"/>
      <c r="I2451" s="9" t="str">
        <f t="shared" si="38"/>
        <v>__</v>
      </c>
    </row>
    <row r="2452" spans="1:9" x14ac:dyDescent="0.35">
      <c r="A2452" s="226"/>
      <c r="B2452" s="226"/>
      <c r="C2452" s="226"/>
      <c r="D2452" s="226"/>
      <c r="E2452" s="226"/>
      <c r="F2452" s="226"/>
      <c r="G2452" s="226"/>
      <c r="H2452" s="226"/>
      <c r="I2452" s="9" t="str">
        <f t="shared" si="38"/>
        <v>__</v>
      </c>
    </row>
    <row r="2453" spans="1:9" x14ac:dyDescent="0.35">
      <c r="A2453" s="226"/>
      <c r="B2453" s="226"/>
      <c r="C2453" s="226"/>
      <c r="D2453" s="226"/>
      <c r="E2453" s="226"/>
      <c r="F2453" s="226"/>
      <c r="G2453" s="226"/>
      <c r="H2453" s="226"/>
      <c r="I2453" s="9" t="str">
        <f t="shared" si="38"/>
        <v>__</v>
      </c>
    </row>
    <row r="2454" spans="1:9" x14ac:dyDescent="0.35">
      <c r="A2454" s="226"/>
      <c r="B2454" s="226"/>
      <c r="C2454" s="226"/>
      <c r="D2454" s="226"/>
      <c r="E2454" s="226"/>
      <c r="F2454" s="226"/>
      <c r="G2454" s="226"/>
      <c r="H2454" s="226"/>
      <c r="I2454" s="9" t="str">
        <f t="shared" si="38"/>
        <v>__</v>
      </c>
    </row>
    <row r="2455" spans="1:9" x14ac:dyDescent="0.35">
      <c r="A2455" s="226"/>
      <c r="B2455" s="226"/>
      <c r="C2455" s="226"/>
      <c r="D2455" s="226"/>
      <c r="E2455" s="226"/>
      <c r="F2455" s="226"/>
      <c r="G2455" s="226"/>
      <c r="H2455" s="226"/>
      <c r="I2455" s="9" t="str">
        <f t="shared" si="38"/>
        <v>__</v>
      </c>
    </row>
    <row r="2456" spans="1:9" x14ac:dyDescent="0.35">
      <c r="A2456" s="226"/>
      <c r="B2456" s="226"/>
      <c r="C2456" s="226"/>
      <c r="D2456" s="226"/>
      <c r="E2456" s="226"/>
      <c r="F2456" s="226"/>
      <c r="G2456" s="226"/>
      <c r="H2456" s="226"/>
      <c r="I2456" s="9" t="str">
        <f t="shared" si="38"/>
        <v>__</v>
      </c>
    </row>
    <row r="2457" spans="1:9" x14ac:dyDescent="0.35">
      <c r="A2457" s="226"/>
      <c r="B2457" s="226"/>
      <c r="C2457" s="226"/>
      <c r="D2457" s="226"/>
      <c r="E2457" s="226"/>
      <c r="F2457" s="226"/>
      <c r="G2457" s="226"/>
      <c r="H2457" s="226"/>
      <c r="I2457" s="9" t="str">
        <f t="shared" si="38"/>
        <v>__</v>
      </c>
    </row>
    <row r="2458" spans="1:9" x14ac:dyDescent="0.35">
      <c r="A2458" s="226"/>
      <c r="B2458" s="226"/>
      <c r="C2458" s="226"/>
      <c r="D2458" s="226"/>
      <c r="E2458" s="226"/>
      <c r="F2458" s="226"/>
      <c r="G2458" s="226"/>
      <c r="H2458" s="226"/>
      <c r="I2458" s="9" t="str">
        <f t="shared" si="38"/>
        <v>__</v>
      </c>
    </row>
    <row r="2459" spans="1:9" x14ac:dyDescent="0.35">
      <c r="A2459" s="226"/>
      <c r="B2459" s="226"/>
      <c r="C2459" s="226"/>
      <c r="D2459" s="226"/>
      <c r="E2459" s="226"/>
      <c r="F2459" s="226"/>
      <c r="G2459" s="226"/>
      <c r="H2459" s="226"/>
      <c r="I2459" s="9" t="str">
        <f t="shared" si="38"/>
        <v>__</v>
      </c>
    </row>
    <row r="2460" spans="1:9" x14ac:dyDescent="0.35">
      <c r="A2460" s="226"/>
      <c r="B2460" s="226"/>
      <c r="C2460" s="226"/>
      <c r="D2460" s="226"/>
      <c r="E2460" s="226"/>
      <c r="F2460" s="226"/>
      <c r="G2460" s="226"/>
      <c r="H2460" s="226"/>
      <c r="I2460" s="9" t="str">
        <f t="shared" si="38"/>
        <v>__</v>
      </c>
    </row>
    <row r="2461" spans="1:9" x14ac:dyDescent="0.35">
      <c r="A2461" s="226"/>
      <c r="B2461" s="226"/>
      <c r="C2461" s="226"/>
      <c r="D2461" s="226"/>
      <c r="E2461" s="226"/>
      <c r="F2461" s="226"/>
      <c r="G2461" s="226"/>
      <c r="H2461" s="226"/>
      <c r="I2461" s="9" t="str">
        <f t="shared" si="38"/>
        <v>__</v>
      </c>
    </row>
    <row r="2462" spans="1:9" x14ac:dyDescent="0.35">
      <c r="A2462" s="226"/>
      <c r="B2462" s="226"/>
      <c r="C2462" s="226"/>
      <c r="D2462" s="226"/>
      <c r="E2462" s="226"/>
      <c r="F2462" s="226"/>
      <c r="G2462" s="226"/>
      <c r="H2462" s="226"/>
      <c r="I2462" s="9" t="str">
        <f t="shared" si="38"/>
        <v>__</v>
      </c>
    </row>
    <row r="2463" spans="1:9" x14ac:dyDescent="0.35">
      <c r="A2463" s="226"/>
      <c r="B2463" s="226"/>
      <c r="C2463" s="226"/>
      <c r="D2463" s="226"/>
      <c r="E2463" s="226"/>
      <c r="F2463" s="226"/>
      <c r="G2463" s="226"/>
      <c r="H2463" s="226"/>
      <c r="I2463" s="9" t="str">
        <f t="shared" si="38"/>
        <v>__</v>
      </c>
    </row>
    <row r="2464" spans="1:9" x14ac:dyDescent="0.35">
      <c r="A2464" s="226"/>
      <c r="B2464" s="226"/>
      <c r="C2464" s="226"/>
      <c r="D2464" s="226"/>
      <c r="E2464" s="226"/>
      <c r="F2464" s="226"/>
      <c r="G2464" s="226"/>
      <c r="H2464" s="226"/>
      <c r="I2464" s="9" t="str">
        <f t="shared" si="38"/>
        <v>__</v>
      </c>
    </row>
    <row r="2465" spans="1:9" x14ac:dyDescent="0.35">
      <c r="A2465" s="226"/>
      <c r="B2465" s="226"/>
      <c r="C2465" s="226"/>
      <c r="D2465" s="226"/>
      <c r="E2465" s="226"/>
      <c r="F2465" s="226"/>
      <c r="G2465" s="226"/>
      <c r="H2465" s="226"/>
      <c r="I2465" s="9" t="str">
        <f t="shared" si="38"/>
        <v>__</v>
      </c>
    </row>
    <row r="2466" spans="1:9" x14ac:dyDescent="0.35">
      <c r="A2466" s="226"/>
      <c r="B2466" s="226"/>
      <c r="C2466" s="226"/>
      <c r="D2466" s="226"/>
      <c r="E2466" s="226"/>
      <c r="F2466" s="226"/>
      <c r="G2466" s="226"/>
      <c r="H2466" s="226"/>
      <c r="I2466" s="9" t="str">
        <f t="shared" si="38"/>
        <v>__</v>
      </c>
    </row>
    <row r="2467" spans="1:9" x14ac:dyDescent="0.35">
      <c r="A2467" s="226"/>
      <c r="B2467" s="226"/>
      <c r="C2467" s="226"/>
      <c r="D2467" s="226"/>
      <c r="E2467" s="226"/>
      <c r="F2467" s="226"/>
      <c r="G2467" s="226"/>
      <c r="H2467" s="226"/>
      <c r="I2467" s="9" t="str">
        <f t="shared" si="38"/>
        <v>__</v>
      </c>
    </row>
    <row r="2468" spans="1:9" x14ac:dyDescent="0.35">
      <c r="A2468" s="226"/>
      <c r="B2468" s="226"/>
      <c r="C2468" s="226"/>
      <c r="D2468" s="226"/>
      <c r="E2468" s="226"/>
      <c r="F2468" s="226"/>
      <c r="G2468" s="226"/>
      <c r="H2468" s="226"/>
      <c r="I2468" s="9" t="str">
        <f t="shared" si="38"/>
        <v>__</v>
      </c>
    </row>
    <row r="2469" spans="1:9" x14ac:dyDescent="0.35">
      <c r="A2469" s="226"/>
      <c r="B2469" s="226"/>
      <c r="C2469" s="226"/>
      <c r="D2469" s="226"/>
      <c r="E2469" s="226"/>
      <c r="F2469" s="226"/>
      <c r="G2469" s="226"/>
      <c r="H2469" s="226"/>
      <c r="I2469" s="9" t="str">
        <f t="shared" si="38"/>
        <v>__</v>
      </c>
    </row>
    <row r="2470" spans="1:9" x14ac:dyDescent="0.35">
      <c r="A2470" s="226"/>
      <c r="B2470" s="226"/>
      <c r="C2470" s="226"/>
      <c r="D2470" s="226"/>
      <c r="E2470" s="226"/>
      <c r="F2470" s="226"/>
      <c r="G2470" s="226"/>
      <c r="H2470" s="226"/>
      <c r="I2470" s="9" t="str">
        <f t="shared" si="38"/>
        <v>__</v>
      </c>
    </row>
    <row r="2471" spans="1:9" x14ac:dyDescent="0.35">
      <c r="A2471" s="226"/>
      <c r="B2471" s="226"/>
      <c r="C2471" s="226"/>
      <c r="D2471" s="226"/>
      <c r="E2471" s="226"/>
      <c r="F2471" s="226"/>
      <c r="G2471" s="226"/>
      <c r="H2471" s="226"/>
      <c r="I2471" s="9" t="str">
        <f t="shared" si="38"/>
        <v>__</v>
      </c>
    </row>
    <row r="2472" spans="1:9" x14ac:dyDescent="0.35">
      <c r="A2472" s="226"/>
      <c r="B2472" s="226"/>
      <c r="C2472" s="226"/>
      <c r="D2472" s="226"/>
      <c r="E2472" s="226"/>
      <c r="F2472" s="226"/>
      <c r="G2472" s="226"/>
      <c r="H2472" s="226"/>
      <c r="I2472" s="9" t="str">
        <f t="shared" si="38"/>
        <v>__</v>
      </c>
    </row>
    <row r="2473" spans="1:9" x14ac:dyDescent="0.35">
      <c r="A2473" s="226"/>
      <c r="B2473" s="226"/>
      <c r="C2473" s="226"/>
      <c r="D2473" s="226"/>
      <c r="E2473" s="226"/>
      <c r="F2473" s="226"/>
      <c r="G2473" s="226"/>
      <c r="H2473" s="226"/>
      <c r="I2473" s="9" t="str">
        <f t="shared" si="38"/>
        <v>__</v>
      </c>
    </row>
    <row r="2474" spans="1:9" x14ac:dyDescent="0.35">
      <c r="A2474" s="226"/>
      <c r="B2474" s="226"/>
      <c r="C2474" s="226"/>
      <c r="D2474" s="226"/>
      <c r="E2474" s="226"/>
      <c r="F2474" s="226"/>
      <c r="G2474" s="226"/>
      <c r="H2474" s="226"/>
      <c r="I2474" s="9" t="str">
        <f t="shared" si="38"/>
        <v>__</v>
      </c>
    </row>
    <row r="2475" spans="1:9" x14ac:dyDescent="0.35">
      <c r="A2475" s="226"/>
      <c r="B2475" s="226"/>
      <c r="C2475" s="226"/>
      <c r="D2475" s="226"/>
      <c r="E2475" s="226"/>
      <c r="F2475" s="226"/>
      <c r="G2475" s="226"/>
      <c r="H2475" s="226"/>
      <c r="I2475" s="9" t="str">
        <f t="shared" si="38"/>
        <v>__</v>
      </c>
    </row>
    <row r="2476" spans="1:9" x14ac:dyDescent="0.35">
      <c r="A2476" s="226"/>
      <c r="B2476" s="226"/>
      <c r="C2476" s="226"/>
      <c r="D2476" s="226"/>
      <c r="E2476" s="226"/>
      <c r="F2476" s="226"/>
      <c r="G2476" s="226"/>
      <c r="H2476" s="226"/>
      <c r="I2476" s="9" t="str">
        <f t="shared" si="38"/>
        <v>__</v>
      </c>
    </row>
    <row r="2477" spans="1:9" x14ac:dyDescent="0.35">
      <c r="A2477" s="226"/>
      <c r="B2477" s="226"/>
      <c r="C2477" s="226"/>
      <c r="D2477" s="226"/>
      <c r="E2477" s="226"/>
      <c r="F2477" s="226"/>
      <c r="G2477" s="226"/>
      <c r="H2477" s="226"/>
      <c r="I2477" s="9" t="str">
        <f t="shared" si="38"/>
        <v>__</v>
      </c>
    </row>
    <row r="2478" spans="1:9" x14ac:dyDescent="0.35">
      <c r="A2478" s="226"/>
      <c r="B2478" s="226"/>
      <c r="C2478" s="226"/>
      <c r="D2478" s="226"/>
      <c r="E2478" s="226"/>
      <c r="F2478" s="226"/>
      <c r="G2478" s="226"/>
      <c r="H2478" s="226"/>
      <c r="I2478" s="9" t="str">
        <f t="shared" si="38"/>
        <v>__</v>
      </c>
    </row>
    <row r="2479" spans="1:9" x14ac:dyDescent="0.35">
      <c r="A2479" s="226"/>
      <c r="B2479" s="226"/>
      <c r="C2479" s="226"/>
      <c r="D2479" s="226"/>
      <c r="E2479" s="226"/>
      <c r="F2479" s="226"/>
      <c r="G2479" s="226"/>
      <c r="H2479" s="226"/>
      <c r="I2479" s="9" t="str">
        <f t="shared" si="38"/>
        <v>__</v>
      </c>
    </row>
    <row r="2480" spans="1:9" x14ac:dyDescent="0.35">
      <c r="A2480" s="226"/>
      <c r="B2480" s="226"/>
      <c r="C2480" s="226"/>
      <c r="D2480" s="226"/>
      <c r="E2480" s="226"/>
      <c r="F2480" s="226"/>
      <c r="G2480" s="226"/>
      <c r="H2480" s="226"/>
      <c r="I2480" s="9" t="str">
        <f t="shared" si="38"/>
        <v>__</v>
      </c>
    </row>
    <row r="2481" spans="1:9" x14ac:dyDescent="0.35">
      <c r="A2481" s="226"/>
      <c r="B2481" s="226"/>
      <c r="C2481" s="226"/>
      <c r="D2481" s="226"/>
      <c r="E2481" s="226"/>
      <c r="F2481" s="226"/>
      <c r="G2481" s="226"/>
      <c r="H2481" s="226"/>
      <c r="I2481" s="9" t="str">
        <f t="shared" si="38"/>
        <v>__</v>
      </c>
    </row>
    <row r="2482" spans="1:9" x14ac:dyDescent="0.35">
      <c r="A2482" s="226"/>
      <c r="B2482" s="226"/>
      <c r="C2482" s="226"/>
      <c r="D2482" s="226"/>
      <c r="E2482" s="226"/>
      <c r="F2482" s="226"/>
      <c r="G2482" s="226"/>
      <c r="H2482" s="226"/>
      <c r="I2482" s="9" t="str">
        <f t="shared" si="38"/>
        <v>__</v>
      </c>
    </row>
    <row r="2483" spans="1:9" x14ac:dyDescent="0.35">
      <c r="A2483" s="226"/>
      <c r="B2483" s="226"/>
      <c r="C2483" s="226"/>
      <c r="D2483" s="226"/>
      <c r="E2483" s="226"/>
      <c r="F2483" s="226"/>
      <c r="G2483" s="226"/>
      <c r="H2483" s="226"/>
      <c r="I2483" s="9" t="str">
        <f t="shared" si="38"/>
        <v>__</v>
      </c>
    </row>
    <row r="2484" spans="1:9" x14ac:dyDescent="0.35">
      <c r="A2484" s="226"/>
      <c r="B2484" s="226"/>
      <c r="C2484" s="226"/>
      <c r="D2484" s="226"/>
      <c r="E2484" s="226"/>
      <c r="F2484" s="226"/>
      <c r="G2484" s="226"/>
      <c r="H2484" s="226"/>
      <c r="I2484" s="9" t="str">
        <f t="shared" si="38"/>
        <v>__</v>
      </c>
    </row>
    <row r="2485" spans="1:9" x14ac:dyDescent="0.35">
      <c r="A2485" s="226"/>
      <c r="B2485" s="226"/>
      <c r="C2485" s="226"/>
      <c r="D2485" s="226"/>
      <c r="E2485" s="226"/>
      <c r="F2485" s="226"/>
      <c r="G2485" s="226"/>
      <c r="H2485" s="226"/>
      <c r="I2485" s="9" t="str">
        <f t="shared" si="38"/>
        <v>__</v>
      </c>
    </row>
    <row r="2486" spans="1:9" x14ac:dyDescent="0.35">
      <c r="A2486" s="226"/>
      <c r="B2486" s="226"/>
      <c r="C2486" s="226"/>
      <c r="D2486" s="226"/>
      <c r="E2486" s="226"/>
      <c r="F2486" s="226"/>
      <c r="G2486" s="226"/>
      <c r="H2486" s="226"/>
      <c r="I2486" s="9" t="str">
        <f t="shared" si="38"/>
        <v>__</v>
      </c>
    </row>
    <row r="2487" spans="1:9" x14ac:dyDescent="0.35">
      <c r="A2487" s="226"/>
      <c r="B2487" s="226"/>
      <c r="C2487" s="226"/>
      <c r="D2487" s="226"/>
      <c r="E2487" s="226"/>
      <c r="F2487" s="226"/>
      <c r="G2487" s="226"/>
      <c r="H2487" s="226"/>
      <c r="I2487" s="9" t="str">
        <f t="shared" si="38"/>
        <v>__</v>
      </c>
    </row>
    <row r="2488" spans="1:9" x14ac:dyDescent="0.35">
      <c r="A2488" s="226"/>
      <c r="B2488" s="226"/>
      <c r="C2488" s="226"/>
      <c r="D2488" s="226"/>
      <c r="E2488" s="226"/>
      <c r="F2488" s="226"/>
      <c r="G2488" s="226"/>
      <c r="H2488" s="226"/>
      <c r="I2488" s="9" t="str">
        <f t="shared" si="38"/>
        <v>__</v>
      </c>
    </row>
    <row r="2489" spans="1:9" x14ac:dyDescent="0.35">
      <c r="A2489" s="226"/>
      <c r="B2489" s="226"/>
      <c r="C2489" s="226"/>
      <c r="D2489" s="226"/>
      <c r="E2489" s="226"/>
      <c r="F2489" s="226"/>
      <c r="G2489" s="226"/>
      <c r="H2489" s="226"/>
      <c r="I2489" s="9" t="str">
        <f t="shared" si="38"/>
        <v>__</v>
      </c>
    </row>
    <row r="2490" spans="1:9" x14ac:dyDescent="0.35">
      <c r="A2490" s="226"/>
      <c r="B2490" s="226"/>
      <c r="C2490" s="226"/>
      <c r="D2490" s="226"/>
      <c r="E2490" s="226"/>
      <c r="F2490" s="226"/>
      <c r="G2490" s="226"/>
      <c r="H2490" s="226"/>
      <c r="I2490" s="9" t="str">
        <f t="shared" si="38"/>
        <v>__</v>
      </c>
    </row>
    <row r="2491" spans="1:9" x14ac:dyDescent="0.35">
      <c r="A2491" s="226"/>
      <c r="B2491" s="226"/>
      <c r="C2491" s="226"/>
      <c r="D2491" s="226"/>
      <c r="E2491" s="226"/>
      <c r="F2491" s="226"/>
      <c r="G2491" s="226"/>
      <c r="H2491" s="226"/>
      <c r="I2491" s="9" t="str">
        <f t="shared" si="38"/>
        <v>__</v>
      </c>
    </row>
    <row r="2492" spans="1:9" x14ac:dyDescent="0.35">
      <c r="A2492" s="226"/>
      <c r="B2492" s="226"/>
      <c r="C2492" s="226"/>
      <c r="D2492" s="226"/>
      <c r="E2492" s="226"/>
      <c r="F2492" s="226"/>
      <c r="G2492" s="226"/>
      <c r="H2492" s="226"/>
      <c r="I2492" s="9" t="str">
        <f t="shared" si="38"/>
        <v>__</v>
      </c>
    </row>
    <row r="2493" spans="1:9" x14ac:dyDescent="0.35">
      <c r="A2493" s="226"/>
      <c r="B2493" s="226"/>
      <c r="C2493" s="226"/>
      <c r="D2493" s="226"/>
      <c r="E2493" s="226"/>
      <c r="F2493" s="226"/>
      <c r="G2493" s="226"/>
      <c r="H2493" s="226"/>
      <c r="I2493" s="9" t="str">
        <f t="shared" si="38"/>
        <v>__</v>
      </c>
    </row>
    <row r="2494" spans="1:9" x14ac:dyDescent="0.35">
      <c r="A2494" s="226"/>
      <c r="B2494" s="226"/>
      <c r="C2494" s="226"/>
      <c r="D2494" s="226"/>
      <c r="E2494" s="226"/>
      <c r="F2494" s="226"/>
      <c r="G2494" s="226"/>
      <c r="H2494" s="226"/>
      <c r="I2494" s="9" t="str">
        <f t="shared" si="38"/>
        <v>__</v>
      </c>
    </row>
    <row r="2495" spans="1:9" x14ac:dyDescent="0.35">
      <c r="A2495" s="226"/>
      <c r="B2495" s="226"/>
      <c r="C2495" s="226"/>
      <c r="D2495" s="226"/>
      <c r="E2495" s="226"/>
      <c r="F2495" s="226"/>
      <c r="G2495" s="226"/>
      <c r="H2495" s="226"/>
      <c r="I2495" s="9" t="str">
        <f t="shared" si="38"/>
        <v>__</v>
      </c>
    </row>
    <row r="2496" spans="1:9" x14ac:dyDescent="0.35">
      <c r="A2496" s="226"/>
      <c r="B2496" s="226"/>
      <c r="C2496" s="226"/>
      <c r="D2496" s="226"/>
      <c r="E2496" s="226"/>
      <c r="F2496" s="226"/>
      <c r="G2496" s="226"/>
      <c r="H2496" s="226"/>
      <c r="I2496" s="9" t="str">
        <f t="shared" si="38"/>
        <v>__</v>
      </c>
    </row>
    <row r="2497" spans="1:9" x14ac:dyDescent="0.35">
      <c r="A2497" s="226"/>
      <c r="B2497" s="226"/>
      <c r="C2497" s="226"/>
      <c r="D2497" s="226"/>
      <c r="E2497" s="226"/>
      <c r="F2497" s="226"/>
      <c r="G2497" s="226"/>
      <c r="H2497" s="226"/>
      <c r="I2497" s="9" t="str">
        <f t="shared" si="38"/>
        <v>__</v>
      </c>
    </row>
    <row r="2498" spans="1:9" x14ac:dyDescent="0.35">
      <c r="A2498" s="226"/>
      <c r="B2498" s="226"/>
      <c r="C2498" s="226"/>
      <c r="D2498" s="226"/>
      <c r="E2498" s="226"/>
      <c r="F2498" s="226"/>
      <c r="G2498" s="226"/>
      <c r="H2498" s="226"/>
      <c r="I2498" s="9" t="str">
        <f t="shared" si="38"/>
        <v>__</v>
      </c>
    </row>
    <row r="2499" spans="1:9" x14ac:dyDescent="0.35">
      <c r="A2499" s="226"/>
      <c r="B2499" s="226"/>
      <c r="C2499" s="226"/>
      <c r="D2499" s="226"/>
      <c r="E2499" s="226"/>
      <c r="F2499" s="226"/>
      <c r="G2499" s="226"/>
      <c r="H2499" s="226"/>
      <c r="I2499" s="9" t="str">
        <f t="shared" si="38"/>
        <v>__</v>
      </c>
    </row>
    <row r="2500" spans="1:9" x14ac:dyDescent="0.35">
      <c r="A2500" s="226"/>
      <c r="B2500" s="226"/>
      <c r="C2500" s="226"/>
      <c r="D2500" s="226"/>
      <c r="E2500" s="226"/>
      <c r="F2500" s="226"/>
      <c r="G2500" s="226"/>
      <c r="H2500" s="226"/>
      <c r="I2500" s="9" t="str">
        <f t="shared" si="38"/>
        <v>__</v>
      </c>
    </row>
    <row r="2501" spans="1:9" x14ac:dyDescent="0.35">
      <c r="A2501" s="226"/>
      <c r="B2501" s="226"/>
      <c r="C2501" s="226"/>
      <c r="D2501" s="226"/>
      <c r="E2501" s="226"/>
      <c r="F2501" s="226"/>
      <c r="G2501" s="226"/>
      <c r="H2501" s="226"/>
      <c r="I2501" s="9" t="str">
        <f t="shared" ref="I2501:I2564" si="39">CONCATENATE(A2501,"_",B2501,"_",C2501)</f>
        <v>__</v>
      </c>
    </row>
    <row r="2502" spans="1:9" x14ac:dyDescent="0.35">
      <c r="A2502" s="226"/>
      <c r="B2502" s="226"/>
      <c r="C2502" s="226"/>
      <c r="D2502" s="226"/>
      <c r="E2502" s="226"/>
      <c r="F2502" s="226"/>
      <c r="G2502" s="226"/>
      <c r="H2502" s="226"/>
      <c r="I2502" s="9" t="str">
        <f t="shared" si="39"/>
        <v>__</v>
      </c>
    </row>
    <row r="2503" spans="1:9" x14ac:dyDescent="0.35">
      <c r="A2503" s="226"/>
      <c r="B2503" s="226"/>
      <c r="C2503" s="226"/>
      <c r="D2503" s="226"/>
      <c r="E2503" s="226"/>
      <c r="F2503" s="226"/>
      <c r="G2503" s="226"/>
      <c r="H2503" s="226"/>
      <c r="I2503" s="9" t="str">
        <f t="shared" si="39"/>
        <v>__</v>
      </c>
    </row>
    <row r="2504" spans="1:9" x14ac:dyDescent="0.35">
      <c r="A2504" s="226"/>
      <c r="B2504" s="226"/>
      <c r="C2504" s="226"/>
      <c r="D2504" s="226"/>
      <c r="E2504" s="226"/>
      <c r="F2504" s="226"/>
      <c r="G2504" s="226"/>
      <c r="H2504" s="226"/>
      <c r="I2504" s="9" t="str">
        <f t="shared" si="39"/>
        <v>__</v>
      </c>
    </row>
    <row r="2505" spans="1:9" x14ac:dyDescent="0.35">
      <c r="A2505" s="226"/>
      <c r="B2505" s="226"/>
      <c r="C2505" s="226"/>
      <c r="D2505" s="226"/>
      <c r="E2505" s="226"/>
      <c r="F2505" s="226"/>
      <c r="G2505" s="226"/>
      <c r="H2505" s="226"/>
      <c r="I2505" s="9" t="str">
        <f t="shared" si="39"/>
        <v>__</v>
      </c>
    </row>
    <row r="2506" spans="1:9" x14ac:dyDescent="0.35">
      <c r="A2506" s="226"/>
      <c r="B2506" s="226"/>
      <c r="C2506" s="226"/>
      <c r="D2506" s="226"/>
      <c r="E2506" s="226"/>
      <c r="F2506" s="226"/>
      <c r="G2506" s="226"/>
      <c r="H2506" s="226"/>
      <c r="I2506" s="9" t="str">
        <f t="shared" si="39"/>
        <v>__</v>
      </c>
    </row>
    <row r="2507" spans="1:9" x14ac:dyDescent="0.35">
      <c r="A2507" s="226"/>
      <c r="B2507" s="226"/>
      <c r="C2507" s="226"/>
      <c r="D2507" s="226"/>
      <c r="E2507" s="226"/>
      <c r="F2507" s="226"/>
      <c r="G2507" s="226"/>
      <c r="H2507" s="226"/>
      <c r="I2507" s="9" t="str">
        <f t="shared" si="39"/>
        <v>__</v>
      </c>
    </row>
    <row r="2508" spans="1:9" x14ac:dyDescent="0.35">
      <c r="A2508" s="226"/>
      <c r="B2508" s="226"/>
      <c r="C2508" s="226"/>
      <c r="D2508" s="226"/>
      <c r="E2508" s="226"/>
      <c r="F2508" s="226"/>
      <c r="G2508" s="226"/>
      <c r="H2508" s="226"/>
      <c r="I2508" s="9" t="str">
        <f t="shared" si="39"/>
        <v>__</v>
      </c>
    </row>
    <row r="2509" spans="1:9" x14ac:dyDescent="0.35">
      <c r="A2509" s="226"/>
      <c r="B2509" s="226"/>
      <c r="C2509" s="226"/>
      <c r="D2509" s="226"/>
      <c r="E2509" s="226"/>
      <c r="F2509" s="226"/>
      <c r="G2509" s="226"/>
      <c r="H2509" s="226"/>
      <c r="I2509" s="9" t="str">
        <f t="shared" si="39"/>
        <v>__</v>
      </c>
    </row>
    <row r="2510" spans="1:9" x14ac:dyDescent="0.35">
      <c r="A2510" s="226"/>
      <c r="B2510" s="226"/>
      <c r="C2510" s="226"/>
      <c r="D2510" s="226"/>
      <c r="E2510" s="226"/>
      <c r="F2510" s="226"/>
      <c r="G2510" s="226"/>
      <c r="H2510" s="226"/>
      <c r="I2510" s="9" t="str">
        <f t="shared" si="39"/>
        <v>__</v>
      </c>
    </row>
    <row r="2511" spans="1:9" x14ac:dyDescent="0.35">
      <c r="A2511" s="226"/>
      <c r="B2511" s="226"/>
      <c r="C2511" s="226"/>
      <c r="D2511" s="226"/>
      <c r="E2511" s="226"/>
      <c r="F2511" s="226"/>
      <c r="G2511" s="226"/>
      <c r="H2511" s="226"/>
      <c r="I2511" s="9" t="str">
        <f t="shared" si="39"/>
        <v>__</v>
      </c>
    </row>
    <row r="2512" spans="1:9" x14ac:dyDescent="0.35">
      <c r="A2512" s="226"/>
      <c r="B2512" s="226"/>
      <c r="C2512" s="226"/>
      <c r="D2512" s="226"/>
      <c r="E2512" s="226"/>
      <c r="F2512" s="226"/>
      <c r="G2512" s="226"/>
      <c r="H2512" s="226"/>
      <c r="I2512" s="9" t="str">
        <f t="shared" si="39"/>
        <v>__</v>
      </c>
    </row>
    <row r="2513" spans="1:9" x14ac:dyDescent="0.35">
      <c r="A2513" s="226"/>
      <c r="B2513" s="226"/>
      <c r="C2513" s="226"/>
      <c r="D2513" s="226"/>
      <c r="E2513" s="226"/>
      <c r="F2513" s="226"/>
      <c r="G2513" s="226"/>
      <c r="H2513" s="226"/>
      <c r="I2513" s="9" t="str">
        <f t="shared" si="39"/>
        <v>__</v>
      </c>
    </row>
    <row r="2514" spans="1:9" x14ac:dyDescent="0.35">
      <c r="A2514" s="226"/>
      <c r="B2514" s="226"/>
      <c r="C2514" s="226"/>
      <c r="D2514" s="226"/>
      <c r="E2514" s="226"/>
      <c r="F2514" s="226"/>
      <c r="G2514" s="226"/>
      <c r="H2514" s="226"/>
      <c r="I2514" s="9" t="str">
        <f t="shared" si="39"/>
        <v>__</v>
      </c>
    </row>
    <row r="2515" spans="1:9" x14ac:dyDescent="0.35">
      <c r="A2515" s="226"/>
      <c r="B2515" s="226"/>
      <c r="C2515" s="226"/>
      <c r="D2515" s="226"/>
      <c r="E2515" s="226"/>
      <c r="F2515" s="226"/>
      <c r="G2515" s="226"/>
      <c r="H2515" s="226"/>
      <c r="I2515" s="9" t="str">
        <f t="shared" si="39"/>
        <v>__</v>
      </c>
    </row>
    <row r="2516" spans="1:9" x14ac:dyDescent="0.35">
      <c r="A2516" s="226"/>
      <c r="B2516" s="226"/>
      <c r="C2516" s="226"/>
      <c r="D2516" s="226"/>
      <c r="E2516" s="226"/>
      <c r="F2516" s="226"/>
      <c r="G2516" s="226"/>
      <c r="H2516" s="226"/>
      <c r="I2516" s="9" t="str">
        <f t="shared" si="39"/>
        <v>__</v>
      </c>
    </row>
    <row r="2517" spans="1:9" x14ac:dyDescent="0.35">
      <c r="A2517" s="226"/>
      <c r="B2517" s="226"/>
      <c r="C2517" s="226"/>
      <c r="D2517" s="226"/>
      <c r="E2517" s="226"/>
      <c r="F2517" s="226"/>
      <c r="G2517" s="226"/>
      <c r="H2517" s="226"/>
      <c r="I2517" s="9" t="str">
        <f t="shared" si="39"/>
        <v>__</v>
      </c>
    </row>
    <row r="2518" spans="1:9" x14ac:dyDescent="0.35">
      <c r="A2518" s="226"/>
      <c r="B2518" s="226"/>
      <c r="C2518" s="226"/>
      <c r="D2518" s="226"/>
      <c r="E2518" s="226"/>
      <c r="F2518" s="226"/>
      <c r="G2518" s="226"/>
      <c r="H2518" s="226"/>
      <c r="I2518" s="9" t="str">
        <f t="shared" si="39"/>
        <v>__</v>
      </c>
    </row>
    <row r="2519" spans="1:9" x14ac:dyDescent="0.35">
      <c r="A2519" s="226"/>
      <c r="B2519" s="226"/>
      <c r="C2519" s="226"/>
      <c r="D2519" s="226"/>
      <c r="E2519" s="226"/>
      <c r="F2519" s="226"/>
      <c r="G2519" s="226"/>
      <c r="H2519" s="226"/>
      <c r="I2519" s="9" t="str">
        <f t="shared" si="39"/>
        <v>__</v>
      </c>
    </row>
    <row r="2520" spans="1:9" x14ac:dyDescent="0.35">
      <c r="A2520" s="226"/>
      <c r="B2520" s="226"/>
      <c r="C2520" s="226"/>
      <c r="D2520" s="226"/>
      <c r="E2520" s="226"/>
      <c r="F2520" s="226"/>
      <c r="G2520" s="226"/>
      <c r="H2520" s="226"/>
      <c r="I2520" s="9" t="str">
        <f t="shared" si="39"/>
        <v>__</v>
      </c>
    </row>
    <row r="2521" spans="1:9" x14ac:dyDescent="0.35">
      <c r="A2521" s="226"/>
      <c r="B2521" s="226"/>
      <c r="C2521" s="226"/>
      <c r="D2521" s="226"/>
      <c r="E2521" s="226"/>
      <c r="F2521" s="226"/>
      <c r="G2521" s="226"/>
      <c r="H2521" s="226"/>
      <c r="I2521" s="9" t="str">
        <f t="shared" si="39"/>
        <v>__</v>
      </c>
    </row>
    <row r="2522" spans="1:9" x14ac:dyDescent="0.35">
      <c r="A2522" s="226"/>
      <c r="B2522" s="226"/>
      <c r="C2522" s="226"/>
      <c r="D2522" s="226"/>
      <c r="E2522" s="226"/>
      <c r="F2522" s="226"/>
      <c r="G2522" s="226"/>
      <c r="H2522" s="226"/>
      <c r="I2522" s="9" t="str">
        <f t="shared" si="39"/>
        <v>__</v>
      </c>
    </row>
    <row r="2523" spans="1:9" x14ac:dyDescent="0.35">
      <c r="A2523" s="226"/>
      <c r="B2523" s="226"/>
      <c r="C2523" s="226"/>
      <c r="D2523" s="226"/>
      <c r="E2523" s="226"/>
      <c r="F2523" s="226"/>
      <c r="G2523" s="226"/>
      <c r="H2523" s="226"/>
      <c r="I2523" s="9" t="str">
        <f t="shared" si="39"/>
        <v>__</v>
      </c>
    </row>
    <row r="2524" spans="1:9" x14ac:dyDescent="0.35">
      <c r="A2524" s="226"/>
      <c r="B2524" s="226"/>
      <c r="C2524" s="226"/>
      <c r="D2524" s="226"/>
      <c r="E2524" s="226"/>
      <c r="F2524" s="226"/>
      <c r="G2524" s="226"/>
      <c r="H2524" s="226"/>
      <c r="I2524" s="9" t="str">
        <f t="shared" si="39"/>
        <v>__</v>
      </c>
    </row>
    <row r="2525" spans="1:9" x14ac:dyDescent="0.35">
      <c r="A2525" s="226"/>
      <c r="B2525" s="226"/>
      <c r="C2525" s="226"/>
      <c r="D2525" s="226"/>
      <c r="E2525" s="226"/>
      <c r="F2525" s="226"/>
      <c r="G2525" s="226"/>
      <c r="H2525" s="226"/>
      <c r="I2525" s="9" t="str">
        <f t="shared" si="39"/>
        <v>__</v>
      </c>
    </row>
    <row r="2526" spans="1:9" x14ac:dyDescent="0.35">
      <c r="A2526" s="226"/>
      <c r="B2526" s="226"/>
      <c r="C2526" s="226"/>
      <c r="D2526" s="226"/>
      <c r="E2526" s="226"/>
      <c r="F2526" s="226"/>
      <c r="G2526" s="226"/>
      <c r="H2526" s="226"/>
      <c r="I2526" s="9" t="str">
        <f t="shared" si="39"/>
        <v>__</v>
      </c>
    </row>
    <row r="2527" spans="1:9" x14ac:dyDescent="0.35">
      <c r="A2527" s="226"/>
      <c r="B2527" s="226"/>
      <c r="C2527" s="226"/>
      <c r="D2527" s="226"/>
      <c r="E2527" s="226"/>
      <c r="F2527" s="226"/>
      <c r="G2527" s="226"/>
      <c r="H2527" s="226"/>
      <c r="I2527" s="9" t="str">
        <f t="shared" si="39"/>
        <v>__</v>
      </c>
    </row>
    <row r="2528" spans="1:9" x14ac:dyDescent="0.35">
      <c r="A2528" s="226"/>
      <c r="B2528" s="226"/>
      <c r="C2528" s="226"/>
      <c r="D2528" s="226"/>
      <c r="E2528" s="226"/>
      <c r="F2528" s="226"/>
      <c r="G2528" s="226"/>
      <c r="H2528" s="226"/>
      <c r="I2528" s="9" t="str">
        <f t="shared" si="39"/>
        <v>__</v>
      </c>
    </row>
    <row r="2529" spans="1:9" x14ac:dyDescent="0.35">
      <c r="A2529" s="226"/>
      <c r="B2529" s="226"/>
      <c r="C2529" s="226"/>
      <c r="D2529" s="226"/>
      <c r="E2529" s="226"/>
      <c r="F2529" s="226"/>
      <c r="G2529" s="226"/>
      <c r="H2529" s="226"/>
      <c r="I2529" s="9" t="str">
        <f t="shared" si="39"/>
        <v>__</v>
      </c>
    </row>
    <row r="2530" spans="1:9" x14ac:dyDescent="0.35">
      <c r="A2530" s="226"/>
      <c r="B2530" s="226"/>
      <c r="C2530" s="226"/>
      <c r="D2530" s="226"/>
      <c r="E2530" s="226"/>
      <c r="F2530" s="226"/>
      <c r="G2530" s="226"/>
      <c r="H2530" s="226"/>
      <c r="I2530" s="9" t="str">
        <f t="shared" si="39"/>
        <v>__</v>
      </c>
    </row>
    <row r="2531" spans="1:9" x14ac:dyDescent="0.35">
      <c r="A2531" s="226"/>
      <c r="B2531" s="226"/>
      <c r="C2531" s="226"/>
      <c r="D2531" s="226"/>
      <c r="E2531" s="226"/>
      <c r="F2531" s="226"/>
      <c r="G2531" s="226"/>
      <c r="H2531" s="226"/>
      <c r="I2531" s="9" t="str">
        <f t="shared" si="39"/>
        <v>__</v>
      </c>
    </row>
    <row r="2532" spans="1:9" x14ac:dyDescent="0.35">
      <c r="A2532" s="226"/>
      <c r="B2532" s="226"/>
      <c r="C2532" s="226"/>
      <c r="D2532" s="226"/>
      <c r="E2532" s="226"/>
      <c r="F2532" s="226"/>
      <c r="G2532" s="226"/>
      <c r="H2532" s="226"/>
      <c r="I2532" s="9" t="str">
        <f t="shared" si="39"/>
        <v>__</v>
      </c>
    </row>
    <row r="2533" spans="1:9" x14ac:dyDescent="0.35">
      <c r="A2533" s="226"/>
      <c r="B2533" s="226"/>
      <c r="C2533" s="226"/>
      <c r="D2533" s="226"/>
      <c r="E2533" s="226"/>
      <c r="F2533" s="226"/>
      <c r="G2533" s="226"/>
      <c r="H2533" s="226"/>
      <c r="I2533" s="9" t="str">
        <f t="shared" si="39"/>
        <v>__</v>
      </c>
    </row>
    <row r="2534" spans="1:9" x14ac:dyDescent="0.35">
      <c r="A2534" s="226"/>
      <c r="B2534" s="226"/>
      <c r="C2534" s="226"/>
      <c r="D2534" s="226"/>
      <c r="E2534" s="226"/>
      <c r="F2534" s="226"/>
      <c r="G2534" s="226"/>
      <c r="H2534" s="226"/>
      <c r="I2534" s="9" t="str">
        <f t="shared" si="39"/>
        <v>__</v>
      </c>
    </row>
    <row r="2535" spans="1:9" x14ac:dyDescent="0.35">
      <c r="A2535" s="226"/>
      <c r="B2535" s="226"/>
      <c r="C2535" s="226"/>
      <c r="D2535" s="226"/>
      <c r="E2535" s="226"/>
      <c r="F2535" s="226"/>
      <c r="G2535" s="226"/>
      <c r="H2535" s="226"/>
      <c r="I2535" s="9" t="str">
        <f t="shared" si="39"/>
        <v>__</v>
      </c>
    </row>
    <row r="2536" spans="1:9" x14ac:dyDescent="0.35">
      <c r="A2536" s="226"/>
      <c r="B2536" s="226"/>
      <c r="C2536" s="226"/>
      <c r="D2536" s="226"/>
      <c r="E2536" s="226"/>
      <c r="F2536" s="226"/>
      <c r="G2536" s="226"/>
      <c r="H2536" s="226"/>
      <c r="I2536" s="9" t="str">
        <f t="shared" si="39"/>
        <v>__</v>
      </c>
    </row>
    <row r="2537" spans="1:9" x14ac:dyDescent="0.35">
      <c r="A2537" s="226"/>
      <c r="B2537" s="226"/>
      <c r="C2537" s="226"/>
      <c r="D2537" s="226"/>
      <c r="E2537" s="226"/>
      <c r="F2537" s="226"/>
      <c r="G2537" s="226"/>
      <c r="H2537" s="226"/>
      <c r="I2537" s="9" t="str">
        <f t="shared" si="39"/>
        <v>__</v>
      </c>
    </row>
    <row r="2538" spans="1:9" x14ac:dyDescent="0.35">
      <c r="A2538" s="226"/>
      <c r="B2538" s="226"/>
      <c r="C2538" s="226"/>
      <c r="D2538" s="226"/>
      <c r="E2538" s="226"/>
      <c r="F2538" s="226"/>
      <c r="G2538" s="226"/>
      <c r="H2538" s="226"/>
      <c r="I2538" s="9" t="str">
        <f t="shared" si="39"/>
        <v>__</v>
      </c>
    </row>
    <row r="2539" spans="1:9" x14ac:dyDescent="0.35">
      <c r="A2539" s="226"/>
      <c r="B2539" s="226"/>
      <c r="C2539" s="226"/>
      <c r="D2539" s="226"/>
      <c r="E2539" s="226"/>
      <c r="F2539" s="226"/>
      <c r="G2539" s="226"/>
      <c r="H2539" s="226"/>
      <c r="I2539" s="9" t="str">
        <f t="shared" si="39"/>
        <v>__</v>
      </c>
    </row>
    <row r="2540" spans="1:9" x14ac:dyDescent="0.35">
      <c r="A2540" s="226"/>
      <c r="B2540" s="226"/>
      <c r="C2540" s="226"/>
      <c r="D2540" s="226"/>
      <c r="E2540" s="226"/>
      <c r="F2540" s="226"/>
      <c r="G2540" s="226"/>
      <c r="H2540" s="226"/>
      <c r="I2540" s="9" t="str">
        <f t="shared" si="39"/>
        <v>__</v>
      </c>
    </row>
    <row r="2541" spans="1:9" x14ac:dyDescent="0.35">
      <c r="A2541" s="226"/>
      <c r="B2541" s="226"/>
      <c r="C2541" s="226"/>
      <c r="D2541" s="226"/>
      <c r="E2541" s="226"/>
      <c r="F2541" s="226"/>
      <c r="G2541" s="226"/>
      <c r="H2541" s="226"/>
      <c r="I2541" s="9" t="str">
        <f t="shared" si="39"/>
        <v>__</v>
      </c>
    </row>
    <row r="2542" spans="1:9" x14ac:dyDescent="0.35">
      <c r="A2542" s="226"/>
      <c r="B2542" s="226"/>
      <c r="C2542" s="226"/>
      <c r="D2542" s="226"/>
      <c r="E2542" s="226"/>
      <c r="F2542" s="226"/>
      <c r="G2542" s="226"/>
      <c r="H2542" s="226"/>
      <c r="I2542" s="9" t="str">
        <f t="shared" si="39"/>
        <v>__</v>
      </c>
    </row>
    <row r="2543" spans="1:9" x14ac:dyDescent="0.35">
      <c r="A2543" s="226"/>
      <c r="B2543" s="226"/>
      <c r="C2543" s="226"/>
      <c r="D2543" s="226"/>
      <c r="E2543" s="226"/>
      <c r="F2543" s="226"/>
      <c r="G2543" s="226"/>
      <c r="H2543" s="226"/>
      <c r="I2543" s="9" t="str">
        <f t="shared" si="39"/>
        <v>__</v>
      </c>
    </row>
    <row r="2544" spans="1:9" x14ac:dyDescent="0.35">
      <c r="A2544" s="226"/>
      <c r="B2544" s="226"/>
      <c r="C2544" s="226"/>
      <c r="D2544" s="226"/>
      <c r="E2544" s="226"/>
      <c r="F2544" s="226"/>
      <c r="G2544" s="226"/>
      <c r="H2544" s="226"/>
      <c r="I2544" s="9" t="str">
        <f t="shared" si="39"/>
        <v>__</v>
      </c>
    </row>
    <row r="2545" spans="1:9" x14ac:dyDescent="0.35">
      <c r="A2545" s="226"/>
      <c r="B2545" s="226"/>
      <c r="C2545" s="226"/>
      <c r="D2545" s="226"/>
      <c r="E2545" s="226"/>
      <c r="F2545" s="226"/>
      <c r="G2545" s="226"/>
      <c r="H2545" s="226"/>
      <c r="I2545" s="9" t="str">
        <f t="shared" si="39"/>
        <v>__</v>
      </c>
    </row>
    <row r="2546" spans="1:9" x14ac:dyDescent="0.35">
      <c r="A2546" s="226"/>
      <c r="B2546" s="226"/>
      <c r="C2546" s="226"/>
      <c r="D2546" s="226"/>
      <c r="E2546" s="226"/>
      <c r="F2546" s="226"/>
      <c r="G2546" s="226"/>
      <c r="H2546" s="226"/>
      <c r="I2546" s="9" t="str">
        <f t="shared" si="39"/>
        <v>__</v>
      </c>
    </row>
    <row r="2547" spans="1:9" x14ac:dyDescent="0.35">
      <c r="A2547" s="226"/>
      <c r="B2547" s="226"/>
      <c r="C2547" s="226"/>
      <c r="D2547" s="226"/>
      <c r="E2547" s="226"/>
      <c r="F2547" s="226"/>
      <c r="G2547" s="226"/>
      <c r="H2547" s="226"/>
      <c r="I2547" s="9" t="str">
        <f t="shared" si="39"/>
        <v>__</v>
      </c>
    </row>
    <row r="2548" spans="1:9" x14ac:dyDescent="0.35">
      <c r="A2548" s="226"/>
      <c r="B2548" s="226"/>
      <c r="C2548" s="226"/>
      <c r="D2548" s="226"/>
      <c r="E2548" s="226"/>
      <c r="F2548" s="226"/>
      <c r="G2548" s="226"/>
      <c r="H2548" s="226"/>
      <c r="I2548" s="9" t="str">
        <f t="shared" si="39"/>
        <v>__</v>
      </c>
    </row>
    <row r="2549" spans="1:9" x14ac:dyDescent="0.35">
      <c r="A2549" s="226"/>
      <c r="B2549" s="226"/>
      <c r="C2549" s="226"/>
      <c r="D2549" s="226"/>
      <c r="E2549" s="226"/>
      <c r="F2549" s="226"/>
      <c r="G2549" s="226"/>
      <c r="H2549" s="226"/>
      <c r="I2549" s="9" t="str">
        <f t="shared" si="39"/>
        <v>__</v>
      </c>
    </row>
    <row r="2550" spans="1:9" x14ac:dyDescent="0.35">
      <c r="A2550" s="226"/>
      <c r="B2550" s="226"/>
      <c r="C2550" s="226"/>
      <c r="D2550" s="226"/>
      <c r="E2550" s="226"/>
      <c r="F2550" s="226"/>
      <c r="G2550" s="226"/>
      <c r="H2550" s="226"/>
      <c r="I2550" s="9" t="str">
        <f t="shared" si="39"/>
        <v>__</v>
      </c>
    </row>
    <row r="2551" spans="1:9" x14ac:dyDescent="0.35">
      <c r="A2551" s="226"/>
      <c r="B2551" s="226"/>
      <c r="C2551" s="226"/>
      <c r="D2551" s="226"/>
      <c r="E2551" s="226"/>
      <c r="F2551" s="226"/>
      <c r="G2551" s="226"/>
      <c r="H2551" s="226"/>
      <c r="I2551" s="9" t="str">
        <f t="shared" si="39"/>
        <v>__</v>
      </c>
    </row>
    <row r="2552" spans="1:9" x14ac:dyDescent="0.35">
      <c r="A2552" s="226"/>
      <c r="B2552" s="226"/>
      <c r="C2552" s="226"/>
      <c r="D2552" s="226"/>
      <c r="E2552" s="226"/>
      <c r="F2552" s="226"/>
      <c r="G2552" s="226"/>
      <c r="H2552" s="226"/>
      <c r="I2552" s="9" t="str">
        <f t="shared" si="39"/>
        <v>__</v>
      </c>
    </row>
    <row r="2553" spans="1:9" x14ac:dyDescent="0.35">
      <c r="A2553" s="226"/>
      <c r="B2553" s="226"/>
      <c r="C2553" s="226"/>
      <c r="D2553" s="226"/>
      <c r="E2553" s="226"/>
      <c r="F2553" s="226"/>
      <c r="G2553" s="226"/>
      <c r="H2553" s="226"/>
      <c r="I2553" s="9" t="str">
        <f t="shared" si="39"/>
        <v>__</v>
      </c>
    </row>
    <row r="2554" spans="1:9" x14ac:dyDescent="0.35">
      <c r="A2554" s="226"/>
      <c r="B2554" s="226"/>
      <c r="C2554" s="226"/>
      <c r="D2554" s="226"/>
      <c r="E2554" s="226"/>
      <c r="F2554" s="226"/>
      <c r="G2554" s="226"/>
      <c r="H2554" s="226"/>
      <c r="I2554" s="9" t="str">
        <f t="shared" si="39"/>
        <v>__</v>
      </c>
    </row>
    <row r="2555" spans="1:9" x14ac:dyDescent="0.35">
      <c r="A2555" s="226"/>
      <c r="B2555" s="226"/>
      <c r="C2555" s="226"/>
      <c r="D2555" s="226"/>
      <c r="E2555" s="226"/>
      <c r="F2555" s="226"/>
      <c r="G2555" s="226"/>
      <c r="H2555" s="226"/>
      <c r="I2555" s="9" t="str">
        <f t="shared" si="39"/>
        <v>__</v>
      </c>
    </row>
    <row r="2556" spans="1:9" x14ac:dyDescent="0.35">
      <c r="A2556" s="226"/>
      <c r="B2556" s="226"/>
      <c r="C2556" s="226"/>
      <c r="D2556" s="226"/>
      <c r="E2556" s="226"/>
      <c r="F2556" s="226"/>
      <c r="G2556" s="226"/>
      <c r="H2556" s="226"/>
      <c r="I2556" s="9" t="str">
        <f t="shared" si="39"/>
        <v>__</v>
      </c>
    </row>
    <row r="2557" spans="1:9" x14ac:dyDescent="0.35">
      <c r="A2557" s="226"/>
      <c r="B2557" s="226"/>
      <c r="C2557" s="226"/>
      <c r="D2557" s="226"/>
      <c r="E2557" s="226"/>
      <c r="F2557" s="226"/>
      <c r="G2557" s="226"/>
      <c r="H2557" s="226"/>
      <c r="I2557" s="9" t="str">
        <f t="shared" si="39"/>
        <v>__</v>
      </c>
    </row>
    <row r="2558" spans="1:9" x14ac:dyDescent="0.35">
      <c r="A2558" s="226"/>
      <c r="B2558" s="226"/>
      <c r="C2558" s="226"/>
      <c r="D2558" s="226"/>
      <c r="E2558" s="226"/>
      <c r="F2558" s="226"/>
      <c r="G2558" s="226"/>
      <c r="H2558" s="226"/>
      <c r="I2558" s="9" t="str">
        <f t="shared" si="39"/>
        <v>__</v>
      </c>
    </row>
    <row r="2559" spans="1:9" x14ac:dyDescent="0.35">
      <c r="A2559" s="226"/>
      <c r="B2559" s="226"/>
      <c r="C2559" s="226"/>
      <c r="D2559" s="226"/>
      <c r="E2559" s="226"/>
      <c r="F2559" s="226"/>
      <c r="G2559" s="226"/>
      <c r="H2559" s="226"/>
      <c r="I2559" s="9" t="str">
        <f t="shared" si="39"/>
        <v>__</v>
      </c>
    </row>
    <row r="2560" spans="1:9" x14ac:dyDescent="0.35">
      <c r="A2560" s="226"/>
      <c r="B2560" s="226"/>
      <c r="C2560" s="226"/>
      <c r="D2560" s="226"/>
      <c r="E2560" s="226"/>
      <c r="F2560" s="226"/>
      <c r="G2560" s="226"/>
      <c r="H2560" s="226"/>
      <c r="I2560" s="9" t="str">
        <f t="shared" si="39"/>
        <v>__</v>
      </c>
    </row>
    <row r="2561" spans="1:9" x14ac:dyDescent="0.35">
      <c r="A2561" s="226"/>
      <c r="B2561" s="226"/>
      <c r="C2561" s="226"/>
      <c r="D2561" s="226"/>
      <c r="E2561" s="226"/>
      <c r="F2561" s="226"/>
      <c r="G2561" s="226"/>
      <c r="H2561" s="226"/>
      <c r="I2561" s="9" t="str">
        <f t="shared" si="39"/>
        <v>__</v>
      </c>
    </row>
    <row r="2562" spans="1:9" x14ac:dyDescent="0.35">
      <c r="A2562" s="226"/>
      <c r="B2562" s="226"/>
      <c r="C2562" s="226"/>
      <c r="D2562" s="226"/>
      <c r="E2562" s="226"/>
      <c r="F2562" s="226"/>
      <c r="G2562" s="226"/>
      <c r="H2562" s="226"/>
      <c r="I2562" s="9" t="str">
        <f t="shared" si="39"/>
        <v>__</v>
      </c>
    </row>
    <row r="2563" spans="1:9" x14ac:dyDescent="0.35">
      <c r="A2563" s="226"/>
      <c r="B2563" s="226"/>
      <c r="C2563" s="226"/>
      <c r="D2563" s="226"/>
      <c r="E2563" s="226"/>
      <c r="F2563" s="226"/>
      <c r="G2563" s="226"/>
      <c r="H2563" s="226"/>
      <c r="I2563" s="9" t="str">
        <f t="shared" si="39"/>
        <v>__</v>
      </c>
    </row>
    <row r="2564" spans="1:9" x14ac:dyDescent="0.35">
      <c r="A2564" s="226"/>
      <c r="B2564" s="226"/>
      <c r="C2564" s="226"/>
      <c r="D2564" s="226"/>
      <c r="E2564" s="226"/>
      <c r="F2564" s="226"/>
      <c r="G2564" s="226"/>
      <c r="H2564" s="226"/>
      <c r="I2564" s="9" t="str">
        <f t="shared" si="39"/>
        <v>__</v>
      </c>
    </row>
    <row r="2565" spans="1:9" x14ac:dyDescent="0.35">
      <c r="A2565" s="226"/>
      <c r="B2565" s="226"/>
      <c r="C2565" s="226"/>
      <c r="D2565" s="226"/>
      <c r="E2565" s="226"/>
      <c r="F2565" s="226"/>
      <c r="G2565" s="226"/>
      <c r="H2565" s="226"/>
      <c r="I2565" s="9" t="str">
        <f t="shared" ref="I2565:I2628" si="40">CONCATENATE(A2565,"_",B2565,"_",C2565)</f>
        <v>__</v>
      </c>
    </row>
    <row r="2566" spans="1:9" x14ac:dyDescent="0.35">
      <c r="A2566" s="226"/>
      <c r="B2566" s="226"/>
      <c r="C2566" s="226"/>
      <c r="D2566" s="226"/>
      <c r="E2566" s="226"/>
      <c r="F2566" s="226"/>
      <c r="G2566" s="226"/>
      <c r="H2566" s="226"/>
      <c r="I2566" s="9" t="str">
        <f t="shared" si="40"/>
        <v>__</v>
      </c>
    </row>
    <row r="2567" spans="1:9" x14ac:dyDescent="0.35">
      <c r="A2567" s="226"/>
      <c r="B2567" s="226"/>
      <c r="C2567" s="226"/>
      <c r="D2567" s="226"/>
      <c r="E2567" s="226"/>
      <c r="F2567" s="226"/>
      <c r="G2567" s="226"/>
      <c r="H2567" s="226"/>
      <c r="I2567" s="9" t="str">
        <f t="shared" si="40"/>
        <v>__</v>
      </c>
    </row>
    <row r="2568" spans="1:9" x14ac:dyDescent="0.35">
      <c r="A2568" s="226"/>
      <c r="B2568" s="226"/>
      <c r="C2568" s="226"/>
      <c r="D2568" s="226"/>
      <c r="E2568" s="226"/>
      <c r="F2568" s="226"/>
      <c r="G2568" s="226"/>
      <c r="H2568" s="226"/>
      <c r="I2568" s="9" t="str">
        <f t="shared" si="40"/>
        <v>__</v>
      </c>
    </row>
    <row r="2569" spans="1:9" x14ac:dyDescent="0.35">
      <c r="A2569" s="226"/>
      <c r="B2569" s="226"/>
      <c r="C2569" s="226"/>
      <c r="D2569" s="226"/>
      <c r="E2569" s="226"/>
      <c r="F2569" s="226"/>
      <c r="G2569" s="226"/>
      <c r="H2569" s="226"/>
      <c r="I2569" s="9" t="str">
        <f t="shared" si="40"/>
        <v>__</v>
      </c>
    </row>
    <row r="2570" spans="1:9" x14ac:dyDescent="0.35">
      <c r="A2570" s="226"/>
      <c r="B2570" s="226"/>
      <c r="C2570" s="226"/>
      <c r="D2570" s="226"/>
      <c r="E2570" s="226"/>
      <c r="F2570" s="226"/>
      <c r="G2570" s="226"/>
      <c r="H2570" s="226"/>
      <c r="I2570" s="9" t="str">
        <f t="shared" si="40"/>
        <v>__</v>
      </c>
    </row>
    <row r="2571" spans="1:9" x14ac:dyDescent="0.35">
      <c r="A2571" s="226"/>
      <c r="B2571" s="226"/>
      <c r="C2571" s="226"/>
      <c r="D2571" s="226"/>
      <c r="E2571" s="226"/>
      <c r="F2571" s="226"/>
      <c r="G2571" s="226"/>
      <c r="H2571" s="226"/>
      <c r="I2571" s="9" t="str">
        <f t="shared" si="40"/>
        <v>__</v>
      </c>
    </row>
    <row r="2572" spans="1:9" x14ac:dyDescent="0.35">
      <c r="A2572" s="226"/>
      <c r="B2572" s="226"/>
      <c r="C2572" s="226"/>
      <c r="D2572" s="226"/>
      <c r="E2572" s="226"/>
      <c r="F2572" s="226"/>
      <c r="G2572" s="226"/>
      <c r="H2572" s="226"/>
      <c r="I2572" s="9" t="str">
        <f t="shared" si="40"/>
        <v>__</v>
      </c>
    </row>
    <row r="2573" spans="1:9" x14ac:dyDescent="0.35">
      <c r="A2573" s="226"/>
      <c r="B2573" s="226"/>
      <c r="C2573" s="226"/>
      <c r="D2573" s="226"/>
      <c r="E2573" s="226"/>
      <c r="F2573" s="226"/>
      <c r="G2573" s="226"/>
      <c r="H2573" s="226"/>
      <c r="I2573" s="9" t="str">
        <f t="shared" si="40"/>
        <v>__</v>
      </c>
    </row>
    <row r="2574" spans="1:9" x14ac:dyDescent="0.35">
      <c r="A2574" s="226"/>
      <c r="B2574" s="226"/>
      <c r="C2574" s="226"/>
      <c r="D2574" s="226"/>
      <c r="E2574" s="226"/>
      <c r="F2574" s="226"/>
      <c r="G2574" s="226"/>
      <c r="H2574" s="226"/>
      <c r="I2574" s="9" t="str">
        <f t="shared" si="40"/>
        <v>__</v>
      </c>
    </row>
    <row r="2575" spans="1:9" x14ac:dyDescent="0.35">
      <c r="A2575" s="226"/>
      <c r="B2575" s="226"/>
      <c r="C2575" s="226"/>
      <c r="D2575" s="226"/>
      <c r="E2575" s="226"/>
      <c r="F2575" s="226"/>
      <c r="G2575" s="226"/>
      <c r="H2575" s="226"/>
      <c r="I2575" s="9" t="str">
        <f t="shared" si="40"/>
        <v>__</v>
      </c>
    </row>
    <row r="2576" spans="1:9" x14ac:dyDescent="0.35">
      <c r="A2576" s="226"/>
      <c r="B2576" s="226"/>
      <c r="C2576" s="226"/>
      <c r="D2576" s="226"/>
      <c r="E2576" s="226"/>
      <c r="F2576" s="226"/>
      <c r="G2576" s="226"/>
      <c r="H2576" s="226"/>
      <c r="I2576" s="9" t="str">
        <f t="shared" si="40"/>
        <v>__</v>
      </c>
    </row>
    <row r="2577" spans="1:9" x14ac:dyDescent="0.35">
      <c r="A2577" s="226"/>
      <c r="B2577" s="226"/>
      <c r="C2577" s="226"/>
      <c r="D2577" s="226"/>
      <c r="E2577" s="226"/>
      <c r="F2577" s="226"/>
      <c r="G2577" s="226"/>
      <c r="H2577" s="226"/>
      <c r="I2577" s="9" t="str">
        <f t="shared" si="40"/>
        <v>__</v>
      </c>
    </row>
    <row r="2578" spans="1:9" x14ac:dyDescent="0.35">
      <c r="A2578" s="226"/>
      <c r="B2578" s="226"/>
      <c r="C2578" s="226"/>
      <c r="D2578" s="226"/>
      <c r="E2578" s="226"/>
      <c r="F2578" s="226"/>
      <c r="G2578" s="226"/>
      <c r="H2578" s="226"/>
      <c r="I2578" s="9" t="str">
        <f t="shared" si="40"/>
        <v>__</v>
      </c>
    </row>
    <row r="2579" spans="1:9" x14ac:dyDescent="0.35">
      <c r="A2579" s="226"/>
      <c r="B2579" s="226"/>
      <c r="C2579" s="226"/>
      <c r="D2579" s="226"/>
      <c r="E2579" s="226"/>
      <c r="F2579" s="226"/>
      <c r="G2579" s="226"/>
      <c r="H2579" s="226"/>
      <c r="I2579" s="9" t="str">
        <f t="shared" si="40"/>
        <v>__</v>
      </c>
    </row>
    <row r="2580" spans="1:9" x14ac:dyDescent="0.35">
      <c r="A2580" s="226"/>
      <c r="B2580" s="226"/>
      <c r="C2580" s="226"/>
      <c r="D2580" s="226"/>
      <c r="E2580" s="226"/>
      <c r="F2580" s="226"/>
      <c r="G2580" s="226"/>
      <c r="H2580" s="226"/>
      <c r="I2580" s="9" t="str">
        <f t="shared" si="40"/>
        <v>__</v>
      </c>
    </row>
    <row r="2581" spans="1:9" x14ac:dyDescent="0.35">
      <c r="A2581" s="226"/>
      <c r="B2581" s="226"/>
      <c r="C2581" s="226"/>
      <c r="D2581" s="226"/>
      <c r="E2581" s="226"/>
      <c r="F2581" s="226"/>
      <c r="G2581" s="226"/>
      <c r="H2581" s="226"/>
      <c r="I2581" s="9" t="str">
        <f t="shared" si="40"/>
        <v>__</v>
      </c>
    </row>
    <row r="2582" spans="1:9" x14ac:dyDescent="0.35">
      <c r="A2582" s="226"/>
      <c r="B2582" s="226"/>
      <c r="C2582" s="226"/>
      <c r="D2582" s="226"/>
      <c r="E2582" s="226"/>
      <c r="F2582" s="226"/>
      <c r="G2582" s="226"/>
      <c r="H2582" s="226"/>
      <c r="I2582" s="9" t="str">
        <f t="shared" si="40"/>
        <v>__</v>
      </c>
    </row>
    <row r="2583" spans="1:9" x14ac:dyDescent="0.35">
      <c r="A2583" s="226"/>
      <c r="B2583" s="226"/>
      <c r="C2583" s="226"/>
      <c r="D2583" s="226"/>
      <c r="E2583" s="226"/>
      <c r="F2583" s="226"/>
      <c r="G2583" s="226"/>
      <c r="H2583" s="226"/>
      <c r="I2583" s="9" t="str">
        <f t="shared" si="40"/>
        <v>__</v>
      </c>
    </row>
    <row r="2584" spans="1:9" x14ac:dyDescent="0.35">
      <c r="A2584" s="226"/>
      <c r="B2584" s="226"/>
      <c r="C2584" s="226"/>
      <c r="D2584" s="226"/>
      <c r="E2584" s="226"/>
      <c r="F2584" s="226"/>
      <c r="G2584" s="226"/>
      <c r="H2584" s="226"/>
      <c r="I2584" s="9" t="str">
        <f t="shared" si="40"/>
        <v>__</v>
      </c>
    </row>
    <row r="2585" spans="1:9" x14ac:dyDescent="0.35">
      <c r="A2585" s="226"/>
      <c r="B2585" s="226"/>
      <c r="C2585" s="226"/>
      <c r="D2585" s="226"/>
      <c r="E2585" s="226"/>
      <c r="F2585" s="226"/>
      <c r="G2585" s="226"/>
      <c r="H2585" s="226"/>
      <c r="I2585" s="9" t="str">
        <f t="shared" si="40"/>
        <v>__</v>
      </c>
    </row>
    <row r="2586" spans="1:9" x14ac:dyDescent="0.35">
      <c r="A2586" s="226"/>
      <c r="B2586" s="226"/>
      <c r="C2586" s="226"/>
      <c r="D2586" s="226"/>
      <c r="E2586" s="226"/>
      <c r="F2586" s="226"/>
      <c r="G2586" s="226"/>
      <c r="H2586" s="226"/>
      <c r="I2586" s="9" t="str">
        <f t="shared" si="40"/>
        <v>__</v>
      </c>
    </row>
    <row r="2587" spans="1:9" x14ac:dyDescent="0.35">
      <c r="A2587" s="226"/>
      <c r="B2587" s="226"/>
      <c r="C2587" s="226"/>
      <c r="D2587" s="226"/>
      <c r="E2587" s="226"/>
      <c r="F2587" s="226"/>
      <c r="G2587" s="226"/>
      <c r="H2587" s="226"/>
      <c r="I2587" s="9" t="str">
        <f t="shared" si="40"/>
        <v>__</v>
      </c>
    </row>
    <row r="2588" spans="1:9" x14ac:dyDescent="0.35">
      <c r="A2588" s="226"/>
      <c r="B2588" s="226"/>
      <c r="C2588" s="226"/>
      <c r="D2588" s="226"/>
      <c r="E2588" s="226"/>
      <c r="F2588" s="226"/>
      <c r="G2588" s="226"/>
      <c r="H2588" s="226"/>
      <c r="I2588" s="9" t="str">
        <f t="shared" si="40"/>
        <v>__</v>
      </c>
    </row>
    <row r="2589" spans="1:9" x14ac:dyDescent="0.35">
      <c r="A2589" s="226"/>
      <c r="B2589" s="226"/>
      <c r="C2589" s="226"/>
      <c r="D2589" s="226"/>
      <c r="E2589" s="226"/>
      <c r="F2589" s="226"/>
      <c r="G2589" s="226"/>
      <c r="H2589" s="226"/>
      <c r="I2589" s="9" t="str">
        <f t="shared" si="40"/>
        <v>__</v>
      </c>
    </row>
    <row r="2590" spans="1:9" x14ac:dyDescent="0.35">
      <c r="A2590" s="226"/>
      <c r="B2590" s="226"/>
      <c r="C2590" s="226"/>
      <c r="D2590" s="226"/>
      <c r="E2590" s="226"/>
      <c r="F2590" s="226"/>
      <c r="G2590" s="226"/>
      <c r="H2590" s="226"/>
      <c r="I2590" s="9" t="str">
        <f t="shared" si="40"/>
        <v>__</v>
      </c>
    </row>
    <row r="2591" spans="1:9" x14ac:dyDescent="0.35">
      <c r="A2591" s="226"/>
      <c r="B2591" s="226"/>
      <c r="C2591" s="226"/>
      <c r="D2591" s="226"/>
      <c r="E2591" s="226"/>
      <c r="F2591" s="226"/>
      <c r="G2591" s="226"/>
      <c r="H2591" s="226"/>
      <c r="I2591" s="9" t="str">
        <f t="shared" si="40"/>
        <v>__</v>
      </c>
    </row>
    <row r="2592" spans="1:9" x14ac:dyDescent="0.35">
      <c r="A2592" s="226"/>
      <c r="B2592" s="226"/>
      <c r="C2592" s="226"/>
      <c r="D2592" s="226"/>
      <c r="E2592" s="226"/>
      <c r="F2592" s="226"/>
      <c r="G2592" s="226"/>
      <c r="H2592" s="226"/>
      <c r="I2592" s="9" t="str">
        <f t="shared" si="40"/>
        <v>__</v>
      </c>
    </row>
    <row r="2593" spans="1:9" x14ac:dyDescent="0.35">
      <c r="A2593" s="226"/>
      <c r="B2593" s="226"/>
      <c r="C2593" s="226"/>
      <c r="D2593" s="226"/>
      <c r="E2593" s="226"/>
      <c r="F2593" s="226"/>
      <c r="G2593" s="226"/>
      <c r="H2593" s="226"/>
      <c r="I2593" s="9" t="str">
        <f t="shared" si="40"/>
        <v>__</v>
      </c>
    </row>
    <row r="2594" spans="1:9" x14ac:dyDescent="0.35">
      <c r="A2594" s="226"/>
      <c r="B2594" s="226"/>
      <c r="C2594" s="226"/>
      <c r="D2594" s="226"/>
      <c r="E2594" s="226"/>
      <c r="F2594" s="226"/>
      <c r="G2594" s="226"/>
      <c r="H2594" s="226"/>
      <c r="I2594" s="9" t="str">
        <f t="shared" si="40"/>
        <v>__</v>
      </c>
    </row>
    <row r="2595" spans="1:9" x14ac:dyDescent="0.35">
      <c r="A2595" s="226"/>
      <c r="B2595" s="226"/>
      <c r="C2595" s="226"/>
      <c r="D2595" s="226"/>
      <c r="E2595" s="226"/>
      <c r="F2595" s="226"/>
      <c r="G2595" s="226"/>
      <c r="H2595" s="226"/>
      <c r="I2595" s="9" t="str">
        <f t="shared" si="40"/>
        <v>__</v>
      </c>
    </row>
    <row r="2596" spans="1:9" x14ac:dyDescent="0.35">
      <c r="A2596" s="226"/>
      <c r="B2596" s="226"/>
      <c r="C2596" s="226"/>
      <c r="D2596" s="226"/>
      <c r="E2596" s="226"/>
      <c r="F2596" s="226"/>
      <c r="G2596" s="226"/>
      <c r="H2596" s="226"/>
      <c r="I2596" s="9" t="str">
        <f t="shared" si="40"/>
        <v>__</v>
      </c>
    </row>
    <row r="2597" spans="1:9" x14ac:dyDescent="0.35">
      <c r="A2597" s="226"/>
      <c r="B2597" s="226"/>
      <c r="C2597" s="226"/>
      <c r="D2597" s="226"/>
      <c r="E2597" s="226"/>
      <c r="F2597" s="226"/>
      <c r="G2597" s="226"/>
      <c r="H2597" s="226"/>
      <c r="I2597" s="9" t="str">
        <f t="shared" si="40"/>
        <v>__</v>
      </c>
    </row>
    <row r="2598" spans="1:9" x14ac:dyDescent="0.35">
      <c r="A2598" s="226"/>
      <c r="B2598" s="226"/>
      <c r="C2598" s="226"/>
      <c r="D2598" s="226"/>
      <c r="E2598" s="226"/>
      <c r="F2598" s="226"/>
      <c r="G2598" s="226"/>
      <c r="H2598" s="226"/>
      <c r="I2598" s="9" t="str">
        <f t="shared" si="40"/>
        <v>__</v>
      </c>
    </row>
    <row r="2599" spans="1:9" x14ac:dyDescent="0.35">
      <c r="A2599" s="226"/>
      <c r="B2599" s="226"/>
      <c r="C2599" s="226"/>
      <c r="D2599" s="226"/>
      <c r="E2599" s="226"/>
      <c r="F2599" s="226"/>
      <c r="G2599" s="226"/>
      <c r="H2599" s="226"/>
      <c r="I2599" s="9" t="str">
        <f t="shared" si="40"/>
        <v>__</v>
      </c>
    </row>
    <row r="2600" spans="1:9" x14ac:dyDescent="0.35">
      <c r="A2600" s="226"/>
      <c r="B2600" s="226"/>
      <c r="C2600" s="226"/>
      <c r="D2600" s="226"/>
      <c r="E2600" s="226"/>
      <c r="F2600" s="226"/>
      <c r="G2600" s="226"/>
      <c r="H2600" s="226"/>
      <c r="I2600" s="9" t="str">
        <f t="shared" si="40"/>
        <v>__</v>
      </c>
    </row>
    <row r="2601" spans="1:9" x14ac:dyDescent="0.35">
      <c r="A2601" s="226"/>
      <c r="B2601" s="226"/>
      <c r="C2601" s="226"/>
      <c r="D2601" s="226"/>
      <c r="E2601" s="226"/>
      <c r="F2601" s="226"/>
      <c r="G2601" s="226"/>
      <c r="H2601" s="226"/>
      <c r="I2601" s="9" t="str">
        <f t="shared" si="40"/>
        <v>__</v>
      </c>
    </row>
    <row r="2602" spans="1:9" x14ac:dyDescent="0.35">
      <c r="A2602" s="226"/>
      <c r="B2602" s="226"/>
      <c r="C2602" s="226"/>
      <c r="D2602" s="226"/>
      <c r="E2602" s="226"/>
      <c r="F2602" s="226"/>
      <c r="G2602" s="226"/>
      <c r="H2602" s="226"/>
      <c r="I2602" s="9" t="str">
        <f t="shared" si="40"/>
        <v>__</v>
      </c>
    </row>
    <row r="2603" spans="1:9" x14ac:dyDescent="0.35">
      <c r="A2603" s="226"/>
      <c r="B2603" s="226"/>
      <c r="C2603" s="226"/>
      <c r="D2603" s="226"/>
      <c r="E2603" s="226"/>
      <c r="F2603" s="226"/>
      <c r="G2603" s="226"/>
      <c r="H2603" s="226"/>
      <c r="I2603" s="9" t="str">
        <f t="shared" si="40"/>
        <v>__</v>
      </c>
    </row>
    <row r="2604" spans="1:9" x14ac:dyDescent="0.35">
      <c r="A2604" s="226"/>
      <c r="B2604" s="226"/>
      <c r="C2604" s="226"/>
      <c r="D2604" s="226"/>
      <c r="E2604" s="226"/>
      <c r="F2604" s="226"/>
      <c r="G2604" s="226"/>
      <c r="H2604" s="226"/>
      <c r="I2604" s="9" t="str">
        <f t="shared" si="40"/>
        <v>__</v>
      </c>
    </row>
    <row r="2605" spans="1:9" x14ac:dyDescent="0.35">
      <c r="A2605" s="226"/>
      <c r="B2605" s="226"/>
      <c r="C2605" s="226"/>
      <c r="D2605" s="226"/>
      <c r="E2605" s="226"/>
      <c r="F2605" s="226"/>
      <c r="G2605" s="226"/>
      <c r="H2605" s="226"/>
      <c r="I2605" s="9" t="str">
        <f t="shared" si="40"/>
        <v>__</v>
      </c>
    </row>
    <row r="2606" spans="1:9" x14ac:dyDescent="0.35">
      <c r="A2606" s="226"/>
      <c r="B2606" s="226"/>
      <c r="C2606" s="226"/>
      <c r="D2606" s="226"/>
      <c r="E2606" s="226"/>
      <c r="F2606" s="226"/>
      <c r="G2606" s="226"/>
      <c r="H2606" s="226"/>
      <c r="I2606" s="9" t="str">
        <f t="shared" si="40"/>
        <v>__</v>
      </c>
    </row>
    <row r="2607" spans="1:9" x14ac:dyDescent="0.35">
      <c r="A2607" s="226"/>
      <c r="B2607" s="226"/>
      <c r="C2607" s="226"/>
      <c r="D2607" s="226"/>
      <c r="E2607" s="226"/>
      <c r="F2607" s="226"/>
      <c r="G2607" s="226"/>
      <c r="H2607" s="226"/>
      <c r="I2607" s="9" t="str">
        <f t="shared" si="40"/>
        <v>__</v>
      </c>
    </row>
    <row r="2608" spans="1:9" x14ac:dyDescent="0.35">
      <c r="A2608" s="226"/>
      <c r="B2608" s="226"/>
      <c r="C2608" s="226"/>
      <c r="D2608" s="226"/>
      <c r="E2608" s="226"/>
      <c r="F2608" s="226"/>
      <c r="G2608" s="226"/>
      <c r="H2608" s="226"/>
      <c r="I2608" s="9" t="str">
        <f t="shared" si="40"/>
        <v>__</v>
      </c>
    </row>
    <row r="2609" spans="1:9" x14ac:dyDescent="0.35">
      <c r="A2609" s="226"/>
      <c r="B2609" s="226"/>
      <c r="C2609" s="226"/>
      <c r="D2609" s="226"/>
      <c r="E2609" s="226"/>
      <c r="F2609" s="226"/>
      <c r="G2609" s="226"/>
      <c r="H2609" s="226"/>
      <c r="I2609" s="9" t="str">
        <f t="shared" si="40"/>
        <v>__</v>
      </c>
    </row>
    <row r="2610" spans="1:9" x14ac:dyDescent="0.35">
      <c r="A2610" s="226"/>
      <c r="B2610" s="226"/>
      <c r="C2610" s="226"/>
      <c r="D2610" s="226"/>
      <c r="E2610" s="226"/>
      <c r="F2610" s="226"/>
      <c r="G2610" s="226"/>
      <c r="H2610" s="226"/>
      <c r="I2610" s="9" t="str">
        <f t="shared" si="40"/>
        <v>__</v>
      </c>
    </row>
    <row r="2611" spans="1:9" x14ac:dyDescent="0.35">
      <c r="A2611" s="226"/>
      <c r="B2611" s="226"/>
      <c r="C2611" s="226"/>
      <c r="D2611" s="226"/>
      <c r="E2611" s="226"/>
      <c r="F2611" s="226"/>
      <c r="G2611" s="226"/>
      <c r="H2611" s="226"/>
      <c r="I2611" s="9" t="str">
        <f t="shared" si="40"/>
        <v>__</v>
      </c>
    </row>
    <row r="2612" spans="1:9" x14ac:dyDescent="0.35">
      <c r="A2612" s="226"/>
      <c r="B2612" s="226"/>
      <c r="C2612" s="226"/>
      <c r="D2612" s="226"/>
      <c r="E2612" s="226"/>
      <c r="F2612" s="226"/>
      <c r="G2612" s="226"/>
      <c r="H2612" s="226"/>
      <c r="I2612" s="9" t="str">
        <f t="shared" si="40"/>
        <v>__</v>
      </c>
    </row>
    <row r="2613" spans="1:9" x14ac:dyDescent="0.35">
      <c r="A2613" s="226"/>
      <c r="B2613" s="226"/>
      <c r="C2613" s="226"/>
      <c r="D2613" s="226"/>
      <c r="E2613" s="226"/>
      <c r="F2613" s="226"/>
      <c r="G2613" s="226"/>
      <c r="H2613" s="226"/>
      <c r="I2613" s="9" t="str">
        <f t="shared" si="40"/>
        <v>__</v>
      </c>
    </row>
    <row r="2614" spans="1:9" x14ac:dyDescent="0.35">
      <c r="A2614" s="226"/>
      <c r="B2614" s="226"/>
      <c r="C2614" s="226"/>
      <c r="D2614" s="226"/>
      <c r="E2614" s="226"/>
      <c r="F2614" s="226"/>
      <c r="G2614" s="226"/>
      <c r="H2614" s="226"/>
      <c r="I2614" s="9" t="str">
        <f t="shared" si="40"/>
        <v>__</v>
      </c>
    </row>
    <row r="2615" spans="1:9" x14ac:dyDescent="0.35">
      <c r="A2615" s="226"/>
      <c r="B2615" s="226"/>
      <c r="C2615" s="226"/>
      <c r="D2615" s="226"/>
      <c r="E2615" s="226"/>
      <c r="F2615" s="226"/>
      <c r="G2615" s="226"/>
      <c r="H2615" s="226"/>
      <c r="I2615" s="9" t="str">
        <f t="shared" si="40"/>
        <v>__</v>
      </c>
    </row>
    <row r="2616" spans="1:9" x14ac:dyDescent="0.35">
      <c r="A2616" s="226"/>
      <c r="B2616" s="226"/>
      <c r="C2616" s="226"/>
      <c r="D2616" s="226"/>
      <c r="E2616" s="226"/>
      <c r="F2616" s="226"/>
      <c r="G2616" s="226"/>
      <c r="H2616" s="226"/>
      <c r="I2616" s="9" t="str">
        <f t="shared" si="40"/>
        <v>__</v>
      </c>
    </row>
    <row r="2617" spans="1:9" x14ac:dyDescent="0.35">
      <c r="A2617" s="226"/>
      <c r="B2617" s="226"/>
      <c r="C2617" s="226"/>
      <c r="D2617" s="226"/>
      <c r="E2617" s="226"/>
      <c r="F2617" s="226"/>
      <c r="G2617" s="226"/>
      <c r="H2617" s="226"/>
      <c r="I2617" s="9" t="str">
        <f t="shared" si="40"/>
        <v>__</v>
      </c>
    </row>
    <row r="2618" spans="1:9" x14ac:dyDescent="0.35">
      <c r="A2618" s="226"/>
      <c r="B2618" s="226"/>
      <c r="C2618" s="226"/>
      <c r="D2618" s="226"/>
      <c r="E2618" s="226"/>
      <c r="F2618" s="226"/>
      <c r="G2618" s="226"/>
      <c r="H2618" s="226"/>
      <c r="I2618" s="9" t="str">
        <f t="shared" si="40"/>
        <v>__</v>
      </c>
    </row>
    <row r="2619" spans="1:9" x14ac:dyDescent="0.35">
      <c r="A2619" s="226"/>
      <c r="B2619" s="226"/>
      <c r="C2619" s="226"/>
      <c r="D2619" s="226"/>
      <c r="E2619" s="226"/>
      <c r="F2619" s="226"/>
      <c r="G2619" s="226"/>
      <c r="H2619" s="226"/>
      <c r="I2619" s="9" t="str">
        <f t="shared" si="40"/>
        <v>__</v>
      </c>
    </row>
    <row r="2620" spans="1:9" x14ac:dyDescent="0.35">
      <c r="A2620" s="226"/>
      <c r="B2620" s="226"/>
      <c r="C2620" s="226"/>
      <c r="D2620" s="226"/>
      <c r="E2620" s="226"/>
      <c r="F2620" s="226"/>
      <c r="G2620" s="226"/>
      <c r="H2620" s="226"/>
      <c r="I2620" s="9" t="str">
        <f t="shared" si="40"/>
        <v>__</v>
      </c>
    </row>
    <row r="2621" spans="1:9" x14ac:dyDescent="0.35">
      <c r="A2621" s="226"/>
      <c r="B2621" s="226"/>
      <c r="C2621" s="226"/>
      <c r="D2621" s="226"/>
      <c r="E2621" s="226"/>
      <c r="F2621" s="226"/>
      <c r="G2621" s="226"/>
      <c r="H2621" s="226"/>
      <c r="I2621" s="9" t="str">
        <f t="shared" si="40"/>
        <v>__</v>
      </c>
    </row>
    <row r="2622" spans="1:9" x14ac:dyDescent="0.35">
      <c r="A2622" s="226"/>
      <c r="B2622" s="226"/>
      <c r="C2622" s="226"/>
      <c r="D2622" s="226"/>
      <c r="E2622" s="226"/>
      <c r="F2622" s="226"/>
      <c r="G2622" s="226"/>
      <c r="H2622" s="226"/>
      <c r="I2622" s="9" t="str">
        <f t="shared" si="40"/>
        <v>__</v>
      </c>
    </row>
    <row r="2623" spans="1:9" x14ac:dyDescent="0.35">
      <c r="A2623" s="226"/>
      <c r="B2623" s="226"/>
      <c r="C2623" s="226"/>
      <c r="D2623" s="226"/>
      <c r="E2623" s="226"/>
      <c r="F2623" s="226"/>
      <c r="G2623" s="226"/>
      <c r="H2623" s="226"/>
      <c r="I2623" s="9" t="str">
        <f t="shared" si="40"/>
        <v>__</v>
      </c>
    </row>
    <row r="2624" spans="1:9" x14ac:dyDescent="0.35">
      <c r="A2624" s="226"/>
      <c r="B2624" s="226"/>
      <c r="C2624" s="226"/>
      <c r="D2624" s="226"/>
      <c r="E2624" s="226"/>
      <c r="F2624" s="226"/>
      <c r="G2624" s="226"/>
      <c r="H2624" s="226"/>
      <c r="I2624" s="9" t="str">
        <f t="shared" si="40"/>
        <v>__</v>
      </c>
    </row>
    <row r="2625" spans="1:9" x14ac:dyDescent="0.35">
      <c r="A2625" s="226"/>
      <c r="B2625" s="226"/>
      <c r="C2625" s="226"/>
      <c r="D2625" s="226"/>
      <c r="E2625" s="226"/>
      <c r="F2625" s="226"/>
      <c r="G2625" s="226"/>
      <c r="H2625" s="226"/>
      <c r="I2625" s="9" t="str">
        <f t="shared" si="40"/>
        <v>__</v>
      </c>
    </row>
    <row r="2626" spans="1:9" x14ac:dyDescent="0.35">
      <c r="A2626" s="226"/>
      <c r="B2626" s="226"/>
      <c r="C2626" s="226"/>
      <c r="D2626" s="226"/>
      <c r="E2626" s="226"/>
      <c r="F2626" s="226"/>
      <c r="G2626" s="226"/>
      <c r="H2626" s="226"/>
      <c r="I2626" s="9" t="str">
        <f t="shared" si="40"/>
        <v>__</v>
      </c>
    </row>
    <row r="2627" spans="1:9" x14ac:dyDescent="0.35">
      <c r="A2627" s="226"/>
      <c r="B2627" s="226"/>
      <c r="C2627" s="226"/>
      <c r="D2627" s="226"/>
      <c r="E2627" s="226"/>
      <c r="F2627" s="226"/>
      <c r="G2627" s="226"/>
      <c r="H2627" s="226"/>
      <c r="I2627" s="9" t="str">
        <f t="shared" si="40"/>
        <v>__</v>
      </c>
    </row>
    <row r="2628" spans="1:9" x14ac:dyDescent="0.35">
      <c r="A2628" s="226"/>
      <c r="B2628" s="226"/>
      <c r="C2628" s="226"/>
      <c r="D2628" s="226"/>
      <c r="E2628" s="226"/>
      <c r="F2628" s="226"/>
      <c r="G2628" s="226"/>
      <c r="H2628" s="226"/>
      <c r="I2628" s="9" t="str">
        <f t="shared" si="40"/>
        <v>__</v>
      </c>
    </row>
    <row r="2629" spans="1:9" x14ac:dyDescent="0.35">
      <c r="A2629" s="226"/>
      <c r="B2629" s="226"/>
      <c r="C2629" s="226"/>
      <c r="D2629" s="226"/>
      <c r="E2629" s="226"/>
      <c r="F2629" s="226"/>
      <c r="G2629" s="226"/>
      <c r="H2629" s="226"/>
      <c r="I2629" s="9" t="str">
        <f t="shared" ref="I2629:I2692" si="41">CONCATENATE(A2629,"_",B2629,"_",C2629)</f>
        <v>__</v>
      </c>
    </row>
    <row r="2630" spans="1:9" x14ac:dyDescent="0.35">
      <c r="A2630" s="226"/>
      <c r="B2630" s="226"/>
      <c r="C2630" s="226"/>
      <c r="D2630" s="226"/>
      <c r="E2630" s="226"/>
      <c r="F2630" s="226"/>
      <c r="G2630" s="226"/>
      <c r="H2630" s="226"/>
      <c r="I2630" s="9" t="str">
        <f t="shared" si="41"/>
        <v>__</v>
      </c>
    </row>
    <row r="2631" spans="1:9" x14ac:dyDescent="0.35">
      <c r="A2631" s="226"/>
      <c r="B2631" s="226"/>
      <c r="C2631" s="226"/>
      <c r="D2631" s="226"/>
      <c r="E2631" s="226"/>
      <c r="F2631" s="226"/>
      <c r="G2631" s="226"/>
      <c r="H2631" s="226"/>
      <c r="I2631" s="9" t="str">
        <f t="shared" si="41"/>
        <v>__</v>
      </c>
    </row>
    <row r="2632" spans="1:9" x14ac:dyDescent="0.35">
      <c r="A2632" s="226"/>
      <c r="B2632" s="226"/>
      <c r="C2632" s="226"/>
      <c r="D2632" s="226"/>
      <c r="E2632" s="226"/>
      <c r="F2632" s="226"/>
      <c r="G2632" s="226"/>
      <c r="H2632" s="226"/>
      <c r="I2632" s="9" t="str">
        <f t="shared" si="41"/>
        <v>__</v>
      </c>
    </row>
    <row r="2633" spans="1:9" x14ac:dyDescent="0.35">
      <c r="A2633" s="226"/>
      <c r="B2633" s="226"/>
      <c r="C2633" s="226"/>
      <c r="D2633" s="226"/>
      <c r="E2633" s="226"/>
      <c r="F2633" s="226"/>
      <c r="G2633" s="226"/>
      <c r="H2633" s="226"/>
      <c r="I2633" s="9" t="str">
        <f t="shared" si="41"/>
        <v>__</v>
      </c>
    </row>
    <row r="2634" spans="1:9" x14ac:dyDescent="0.35">
      <c r="A2634" s="226"/>
      <c r="B2634" s="226"/>
      <c r="C2634" s="226"/>
      <c r="D2634" s="226"/>
      <c r="E2634" s="226"/>
      <c r="F2634" s="226"/>
      <c r="G2634" s="226"/>
      <c r="H2634" s="226"/>
      <c r="I2634" s="9" t="str">
        <f t="shared" si="41"/>
        <v>__</v>
      </c>
    </row>
    <row r="2635" spans="1:9" x14ac:dyDescent="0.35">
      <c r="A2635" s="226"/>
      <c r="B2635" s="226"/>
      <c r="C2635" s="226"/>
      <c r="D2635" s="226"/>
      <c r="E2635" s="226"/>
      <c r="F2635" s="226"/>
      <c r="G2635" s="226"/>
      <c r="H2635" s="226"/>
      <c r="I2635" s="9" t="str">
        <f t="shared" si="41"/>
        <v>__</v>
      </c>
    </row>
    <row r="2636" spans="1:9" x14ac:dyDescent="0.35">
      <c r="A2636" s="226"/>
      <c r="B2636" s="226"/>
      <c r="C2636" s="226"/>
      <c r="D2636" s="226"/>
      <c r="E2636" s="226"/>
      <c r="F2636" s="226"/>
      <c r="G2636" s="226"/>
      <c r="H2636" s="226"/>
      <c r="I2636" s="9" t="str">
        <f t="shared" si="41"/>
        <v>__</v>
      </c>
    </row>
    <row r="2637" spans="1:9" x14ac:dyDescent="0.35">
      <c r="A2637" s="226"/>
      <c r="B2637" s="226"/>
      <c r="C2637" s="226"/>
      <c r="D2637" s="226"/>
      <c r="E2637" s="226"/>
      <c r="F2637" s="226"/>
      <c r="G2637" s="226"/>
      <c r="H2637" s="226"/>
      <c r="I2637" s="9" t="str">
        <f t="shared" si="41"/>
        <v>__</v>
      </c>
    </row>
    <row r="2638" spans="1:9" x14ac:dyDescent="0.35">
      <c r="A2638" s="226"/>
      <c r="B2638" s="226"/>
      <c r="C2638" s="226"/>
      <c r="D2638" s="226"/>
      <c r="E2638" s="226"/>
      <c r="F2638" s="226"/>
      <c r="G2638" s="226"/>
      <c r="H2638" s="226"/>
      <c r="I2638" s="9" t="str">
        <f t="shared" si="41"/>
        <v>__</v>
      </c>
    </row>
    <row r="2639" spans="1:9" x14ac:dyDescent="0.35">
      <c r="A2639" s="226"/>
      <c r="B2639" s="226"/>
      <c r="C2639" s="226"/>
      <c r="D2639" s="226"/>
      <c r="E2639" s="226"/>
      <c r="F2639" s="226"/>
      <c r="G2639" s="226"/>
      <c r="H2639" s="226"/>
      <c r="I2639" s="9" t="str">
        <f t="shared" si="41"/>
        <v>__</v>
      </c>
    </row>
    <row r="2640" spans="1:9" x14ac:dyDescent="0.35">
      <c r="A2640" s="226"/>
      <c r="B2640" s="226"/>
      <c r="C2640" s="226"/>
      <c r="D2640" s="226"/>
      <c r="E2640" s="226"/>
      <c r="F2640" s="226"/>
      <c r="G2640" s="226"/>
      <c r="H2640" s="226"/>
      <c r="I2640" s="9" t="str">
        <f t="shared" si="41"/>
        <v>__</v>
      </c>
    </row>
    <row r="2641" spans="1:9" x14ac:dyDescent="0.35">
      <c r="A2641" s="226"/>
      <c r="B2641" s="226"/>
      <c r="C2641" s="226"/>
      <c r="D2641" s="226"/>
      <c r="E2641" s="226"/>
      <c r="F2641" s="226"/>
      <c r="G2641" s="226"/>
      <c r="H2641" s="226"/>
      <c r="I2641" s="9" t="str">
        <f t="shared" si="41"/>
        <v>__</v>
      </c>
    </row>
    <row r="2642" spans="1:9" x14ac:dyDescent="0.35">
      <c r="A2642" s="226"/>
      <c r="B2642" s="226"/>
      <c r="C2642" s="226"/>
      <c r="D2642" s="226"/>
      <c r="E2642" s="226"/>
      <c r="F2642" s="226"/>
      <c r="G2642" s="226"/>
      <c r="H2642" s="226"/>
      <c r="I2642" s="9" t="str">
        <f t="shared" si="41"/>
        <v>__</v>
      </c>
    </row>
    <row r="2643" spans="1:9" x14ac:dyDescent="0.35">
      <c r="A2643" s="226"/>
      <c r="B2643" s="226"/>
      <c r="C2643" s="226"/>
      <c r="D2643" s="226"/>
      <c r="E2643" s="226"/>
      <c r="F2643" s="226"/>
      <c r="G2643" s="226"/>
      <c r="H2643" s="226"/>
      <c r="I2643" s="9" t="str">
        <f t="shared" si="41"/>
        <v>__</v>
      </c>
    </row>
    <row r="2644" spans="1:9" x14ac:dyDescent="0.35">
      <c r="A2644" s="226"/>
      <c r="B2644" s="226"/>
      <c r="C2644" s="226"/>
      <c r="D2644" s="226"/>
      <c r="E2644" s="226"/>
      <c r="F2644" s="226"/>
      <c r="G2644" s="226"/>
      <c r="H2644" s="226"/>
      <c r="I2644" s="9" t="str">
        <f t="shared" si="41"/>
        <v>__</v>
      </c>
    </row>
    <row r="2645" spans="1:9" x14ac:dyDescent="0.35">
      <c r="A2645" s="226"/>
      <c r="B2645" s="226"/>
      <c r="C2645" s="226"/>
      <c r="D2645" s="226"/>
      <c r="E2645" s="226"/>
      <c r="F2645" s="226"/>
      <c r="G2645" s="226"/>
      <c r="H2645" s="226"/>
      <c r="I2645" s="9" t="str">
        <f t="shared" si="41"/>
        <v>__</v>
      </c>
    </row>
    <row r="2646" spans="1:9" x14ac:dyDescent="0.35">
      <c r="A2646" s="226"/>
      <c r="B2646" s="226"/>
      <c r="C2646" s="226"/>
      <c r="D2646" s="226"/>
      <c r="E2646" s="226"/>
      <c r="F2646" s="226"/>
      <c r="G2646" s="226"/>
      <c r="H2646" s="226"/>
      <c r="I2646" s="9" t="str">
        <f t="shared" si="41"/>
        <v>__</v>
      </c>
    </row>
    <row r="2647" spans="1:9" x14ac:dyDescent="0.35">
      <c r="A2647" s="226"/>
      <c r="B2647" s="226"/>
      <c r="C2647" s="226"/>
      <c r="D2647" s="226"/>
      <c r="E2647" s="226"/>
      <c r="F2647" s="226"/>
      <c r="G2647" s="226"/>
      <c r="H2647" s="226"/>
      <c r="I2647" s="9" t="str">
        <f t="shared" si="41"/>
        <v>__</v>
      </c>
    </row>
    <row r="2648" spans="1:9" x14ac:dyDescent="0.35">
      <c r="A2648" s="226"/>
      <c r="B2648" s="226"/>
      <c r="C2648" s="226"/>
      <c r="D2648" s="226"/>
      <c r="E2648" s="226"/>
      <c r="F2648" s="226"/>
      <c r="G2648" s="226"/>
      <c r="H2648" s="226"/>
      <c r="I2648" s="9" t="str">
        <f t="shared" si="41"/>
        <v>__</v>
      </c>
    </row>
    <row r="2649" spans="1:9" x14ac:dyDescent="0.35">
      <c r="A2649" s="226"/>
      <c r="B2649" s="226"/>
      <c r="C2649" s="226"/>
      <c r="D2649" s="226"/>
      <c r="E2649" s="226"/>
      <c r="F2649" s="226"/>
      <c r="G2649" s="226"/>
      <c r="H2649" s="226"/>
      <c r="I2649" s="9" t="str">
        <f t="shared" si="41"/>
        <v>__</v>
      </c>
    </row>
    <row r="2650" spans="1:9" x14ac:dyDescent="0.35">
      <c r="A2650" s="226"/>
      <c r="B2650" s="226"/>
      <c r="C2650" s="226"/>
      <c r="D2650" s="226"/>
      <c r="E2650" s="226"/>
      <c r="F2650" s="226"/>
      <c r="G2650" s="226"/>
      <c r="H2650" s="226"/>
      <c r="I2650" s="9" t="str">
        <f t="shared" si="41"/>
        <v>__</v>
      </c>
    </row>
    <row r="2651" spans="1:9" x14ac:dyDescent="0.35">
      <c r="A2651" s="226"/>
      <c r="B2651" s="226"/>
      <c r="C2651" s="226"/>
      <c r="D2651" s="226"/>
      <c r="E2651" s="226"/>
      <c r="F2651" s="226"/>
      <c r="G2651" s="226"/>
      <c r="H2651" s="226"/>
      <c r="I2651" s="9" t="str">
        <f t="shared" si="41"/>
        <v>__</v>
      </c>
    </row>
    <row r="2652" spans="1:9" x14ac:dyDescent="0.35">
      <c r="A2652" s="226"/>
      <c r="B2652" s="226"/>
      <c r="C2652" s="226"/>
      <c r="D2652" s="226"/>
      <c r="E2652" s="226"/>
      <c r="F2652" s="226"/>
      <c r="G2652" s="226"/>
      <c r="H2652" s="226"/>
      <c r="I2652" s="9" t="str">
        <f t="shared" si="41"/>
        <v>__</v>
      </c>
    </row>
    <row r="2653" spans="1:9" x14ac:dyDescent="0.35">
      <c r="A2653" s="226"/>
      <c r="B2653" s="226"/>
      <c r="C2653" s="226"/>
      <c r="D2653" s="226"/>
      <c r="E2653" s="226"/>
      <c r="F2653" s="226"/>
      <c r="G2653" s="226"/>
      <c r="H2653" s="226"/>
      <c r="I2653" s="9" t="str">
        <f t="shared" si="41"/>
        <v>__</v>
      </c>
    </row>
    <row r="2654" spans="1:9" x14ac:dyDescent="0.35">
      <c r="A2654" s="226"/>
      <c r="B2654" s="226"/>
      <c r="C2654" s="226"/>
      <c r="D2654" s="226"/>
      <c r="E2654" s="226"/>
      <c r="F2654" s="226"/>
      <c r="G2654" s="226"/>
      <c r="H2654" s="226"/>
      <c r="I2654" s="9" t="str">
        <f t="shared" si="41"/>
        <v>__</v>
      </c>
    </row>
    <row r="2655" spans="1:9" x14ac:dyDescent="0.35">
      <c r="A2655" s="226"/>
      <c r="B2655" s="226"/>
      <c r="C2655" s="226"/>
      <c r="D2655" s="226"/>
      <c r="E2655" s="226"/>
      <c r="F2655" s="226"/>
      <c r="G2655" s="226"/>
      <c r="H2655" s="226"/>
      <c r="I2655" s="9" t="str">
        <f t="shared" si="41"/>
        <v>__</v>
      </c>
    </row>
    <row r="2656" spans="1:9" x14ac:dyDescent="0.35">
      <c r="A2656" s="226"/>
      <c r="B2656" s="226"/>
      <c r="C2656" s="226"/>
      <c r="D2656" s="226"/>
      <c r="E2656" s="226"/>
      <c r="F2656" s="226"/>
      <c r="G2656" s="226"/>
      <c r="H2656" s="226"/>
      <c r="I2656" s="9" t="str">
        <f t="shared" si="41"/>
        <v>__</v>
      </c>
    </row>
    <row r="2657" spans="1:9" x14ac:dyDescent="0.35">
      <c r="A2657" s="226"/>
      <c r="B2657" s="226"/>
      <c r="C2657" s="226"/>
      <c r="D2657" s="226"/>
      <c r="E2657" s="226"/>
      <c r="F2657" s="226"/>
      <c r="G2657" s="226"/>
      <c r="H2657" s="226"/>
      <c r="I2657" s="9" t="str">
        <f t="shared" si="41"/>
        <v>__</v>
      </c>
    </row>
    <row r="2658" spans="1:9" x14ac:dyDescent="0.35">
      <c r="A2658" s="226"/>
      <c r="B2658" s="226"/>
      <c r="C2658" s="226"/>
      <c r="D2658" s="226"/>
      <c r="E2658" s="226"/>
      <c r="F2658" s="226"/>
      <c r="G2658" s="226"/>
      <c r="H2658" s="226"/>
      <c r="I2658" s="9" t="str">
        <f t="shared" si="41"/>
        <v>__</v>
      </c>
    </row>
    <row r="2659" spans="1:9" x14ac:dyDescent="0.35">
      <c r="A2659" s="226"/>
      <c r="B2659" s="226"/>
      <c r="C2659" s="226"/>
      <c r="D2659" s="226"/>
      <c r="E2659" s="226"/>
      <c r="F2659" s="226"/>
      <c r="G2659" s="226"/>
      <c r="H2659" s="226"/>
      <c r="I2659" s="9" t="str">
        <f t="shared" si="41"/>
        <v>__</v>
      </c>
    </row>
    <row r="2660" spans="1:9" x14ac:dyDescent="0.35">
      <c r="A2660" s="226"/>
      <c r="B2660" s="226"/>
      <c r="C2660" s="226"/>
      <c r="D2660" s="226"/>
      <c r="E2660" s="226"/>
      <c r="F2660" s="226"/>
      <c r="G2660" s="226"/>
      <c r="H2660" s="226"/>
      <c r="I2660" s="9" t="str">
        <f t="shared" si="41"/>
        <v>__</v>
      </c>
    </row>
    <row r="2661" spans="1:9" x14ac:dyDescent="0.35">
      <c r="A2661" s="226"/>
      <c r="B2661" s="226"/>
      <c r="C2661" s="226"/>
      <c r="D2661" s="226"/>
      <c r="E2661" s="226"/>
      <c r="F2661" s="226"/>
      <c r="G2661" s="226"/>
      <c r="H2661" s="226"/>
      <c r="I2661" s="9" t="str">
        <f t="shared" si="41"/>
        <v>__</v>
      </c>
    </row>
    <row r="2662" spans="1:9" x14ac:dyDescent="0.35">
      <c r="A2662" s="226"/>
      <c r="B2662" s="226"/>
      <c r="C2662" s="226"/>
      <c r="D2662" s="226"/>
      <c r="E2662" s="226"/>
      <c r="F2662" s="226"/>
      <c r="G2662" s="226"/>
      <c r="H2662" s="226"/>
      <c r="I2662" s="9" t="str">
        <f t="shared" si="41"/>
        <v>__</v>
      </c>
    </row>
    <row r="2663" spans="1:9" x14ac:dyDescent="0.35">
      <c r="A2663" s="226"/>
      <c r="B2663" s="226"/>
      <c r="C2663" s="226"/>
      <c r="D2663" s="226"/>
      <c r="E2663" s="226"/>
      <c r="F2663" s="226"/>
      <c r="G2663" s="226"/>
      <c r="H2663" s="226"/>
      <c r="I2663" s="9" t="str">
        <f t="shared" si="41"/>
        <v>__</v>
      </c>
    </row>
    <row r="2664" spans="1:9" x14ac:dyDescent="0.35">
      <c r="A2664" s="226"/>
      <c r="B2664" s="226"/>
      <c r="C2664" s="226"/>
      <c r="D2664" s="226"/>
      <c r="E2664" s="226"/>
      <c r="F2664" s="226"/>
      <c r="G2664" s="226"/>
      <c r="H2664" s="226"/>
      <c r="I2664" s="9" t="str">
        <f t="shared" si="41"/>
        <v>__</v>
      </c>
    </row>
    <row r="2665" spans="1:9" x14ac:dyDescent="0.35">
      <c r="A2665" s="226"/>
      <c r="B2665" s="226"/>
      <c r="C2665" s="226"/>
      <c r="D2665" s="226"/>
      <c r="E2665" s="226"/>
      <c r="F2665" s="226"/>
      <c r="G2665" s="226"/>
      <c r="H2665" s="226"/>
      <c r="I2665" s="9" t="str">
        <f t="shared" si="41"/>
        <v>__</v>
      </c>
    </row>
    <row r="2666" spans="1:9" x14ac:dyDescent="0.35">
      <c r="A2666" s="226"/>
      <c r="B2666" s="226"/>
      <c r="C2666" s="226"/>
      <c r="D2666" s="226"/>
      <c r="E2666" s="226"/>
      <c r="F2666" s="226"/>
      <c r="G2666" s="226"/>
      <c r="H2666" s="226"/>
      <c r="I2666" s="9" t="str">
        <f t="shared" si="41"/>
        <v>__</v>
      </c>
    </row>
    <row r="2667" spans="1:9" x14ac:dyDescent="0.35">
      <c r="A2667" s="226"/>
      <c r="B2667" s="226"/>
      <c r="C2667" s="226"/>
      <c r="D2667" s="226"/>
      <c r="E2667" s="226"/>
      <c r="F2667" s="226"/>
      <c r="G2667" s="226"/>
      <c r="H2667" s="226"/>
      <c r="I2667" s="9" t="str">
        <f t="shared" si="41"/>
        <v>__</v>
      </c>
    </row>
    <row r="2668" spans="1:9" x14ac:dyDescent="0.35">
      <c r="A2668" s="226"/>
      <c r="B2668" s="226"/>
      <c r="C2668" s="226"/>
      <c r="D2668" s="226"/>
      <c r="E2668" s="226"/>
      <c r="F2668" s="226"/>
      <c r="G2668" s="226"/>
      <c r="H2668" s="226"/>
      <c r="I2668" s="9" t="str">
        <f t="shared" si="41"/>
        <v>__</v>
      </c>
    </row>
    <row r="2669" spans="1:9" x14ac:dyDescent="0.35">
      <c r="A2669" s="226"/>
      <c r="B2669" s="226"/>
      <c r="C2669" s="226"/>
      <c r="D2669" s="226"/>
      <c r="E2669" s="226"/>
      <c r="F2669" s="226"/>
      <c r="G2669" s="226"/>
      <c r="H2669" s="226"/>
      <c r="I2669" s="9" t="str">
        <f t="shared" si="41"/>
        <v>__</v>
      </c>
    </row>
    <row r="2670" spans="1:9" x14ac:dyDescent="0.35">
      <c r="A2670" s="226"/>
      <c r="B2670" s="226"/>
      <c r="C2670" s="226"/>
      <c r="D2670" s="226"/>
      <c r="E2670" s="226"/>
      <c r="F2670" s="226"/>
      <c r="G2670" s="226"/>
      <c r="H2670" s="226"/>
      <c r="I2670" s="9" t="str">
        <f t="shared" si="41"/>
        <v>__</v>
      </c>
    </row>
    <row r="2671" spans="1:9" x14ac:dyDescent="0.35">
      <c r="A2671" s="226"/>
      <c r="B2671" s="226"/>
      <c r="C2671" s="226"/>
      <c r="D2671" s="226"/>
      <c r="E2671" s="226"/>
      <c r="F2671" s="226"/>
      <c r="G2671" s="226"/>
      <c r="H2671" s="226"/>
      <c r="I2671" s="9" t="str">
        <f t="shared" si="41"/>
        <v>__</v>
      </c>
    </row>
    <row r="2672" spans="1:9" x14ac:dyDescent="0.35">
      <c r="A2672" s="226"/>
      <c r="B2672" s="226"/>
      <c r="C2672" s="226"/>
      <c r="D2672" s="226"/>
      <c r="E2672" s="226"/>
      <c r="F2672" s="226"/>
      <c r="G2672" s="226"/>
      <c r="H2672" s="226"/>
      <c r="I2672" s="9" t="str">
        <f t="shared" si="41"/>
        <v>__</v>
      </c>
    </row>
    <row r="2673" spans="1:9" x14ac:dyDescent="0.35">
      <c r="A2673" s="226"/>
      <c r="B2673" s="226"/>
      <c r="C2673" s="226"/>
      <c r="D2673" s="226"/>
      <c r="E2673" s="226"/>
      <c r="F2673" s="226"/>
      <c r="G2673" s="226"/>
      <c r="H2673" s="226"/>
      <c r="I2673" s="9" t="str">
        <f t="shared" si="41"/>
        <v>__</v>
      </c>
    </row>
    <row r="2674" spans="1:9" x14ac:dyDescent="0.35">
      <c r="A2674" s="226"/>
      <c r="B2674" s="226"/>
      <c r="C2674" s="226"/>
      <c r="D2674" s="226"/>
      <c r="E2674" s="226"/>
      <c r="F2674" s="226"/>
      <c r="G2674" s="226"/>
      <c r="H2674" s="226"/>
      <c r="I2674" s="9" t="str">
        <f t="shared" si="41"/>
        <v>__</v>
      </c>
    </row>
    <row r="2675" spans="1:9" x14ac:dyDescent="0.35">
      <c r="A2675" s="226"/>
      <c r="B2675" s="226"/>
      <c r="C2675" s="226"/>
      <c r="D2675" s="226"/>
      <c r="E2675" s="226"/>
      <c r="F2675" s="226"/>
      <c r="G2675" s="226"/>
      <c r="H2675" s="226"/>
      <c r="I2675" s="9" t="str">
        <f t="shared" si="41"/>
        <v>__</v>
      </c>
    </row>
    <row r="2676" spans="1:9" x14ac:dyDescent="0.35">
      <c r="A2676" s="226"/>
      <c r="B2676" s="226"/>
      <c r="C2676" s="226"/>
      <c r="D2676" s="226"/>
      <c r="E2676" s="226"/>
      <c r="F2676" s="226"/>
      <c r="G2676" s="226"/>
      <c r="H2676" s="226"/>
      <c r="I2676" s="9" t="str">
        <f t="shared" si="41"/>
        <v>__</v>
      </c>
    </row>
    <row r="2677" spans="1:9" x14ac:dyDescent="0.35">
      <c r="A2677" s="226"/>
      <c r="B2677" s="226"/>
      <c r="C2677" s="226"/>
      <c r="D2677" s="226"/>
      <c r="E2677" s="226"/>
      <c r="F2677" s="226"/>
      <c r="G2677" s="226"/>
      <c r="H2677" s="226"/>
      <c r="I2677" s="9" t="str">
        <f t="shared" si="41"/>
        <v>__</v>
      </c>
    </row>
    <row r="2678" spans="1:9" x14ac:dyDescent="0.35">
      <c r="A2678" s="226"/>
      <c r="B2678" s="226"/>
      <c r="C2678" s="226"/>
      <c r="D2678" s="226"/>
      <c r="E2678" s="226"/>
      <c r="F2678" s="226"/>
      <c r="G2678" s="226"/>
      <c r="H2678" s="226"/>
      <c r="I2678" s="9" t="str">
        <f t="shared" si="41"/>
        <v>__</v>
      </c>
    </row>
    <row r="2679" spans="1:9" x14ac:dyDescent="0.35">
      <c r="A2679" s="226"/>
      <c r="B2679" s="226"/>
      <c r="C2679" s="226"/>
      <c r="D2679" s="226"/>
      <c r="E2679" s="226"/>
      <c r="F2679" s="226"/>
      <c r="G2679" s="226"/>
      <c r="H2679" s="226"/>
      <c r="I2679" s="9" t="str">
        <f t="shared" si="41"/>
        <v>__</v>
      </c>
    </row>
    <row r="2680" spans="1:9" x14ac:dyDescent="0.35">
      <c r="A2680" s="226"/>
      <c r="B2680" s="226"/>
      <c r="C2680" s="226"/>
      <c r="D2680" s="226"/>
      <c r="E2680" s="226"/>
      <c r="F2680" s="226"/>
      <c r="G2680" s="226"/>
      <c r="H2680" s="226"/>
      <c r="I2680" s="9" t="str">
        <f t="shared" si="41"/>
        <v>__</v>
      </c>
    </row>
    <row r="2681" spans="1:9" x14ac:dyDescent="0.35">
      <c r="A2681" s="226"/>
      <c r="B2681" s="226"/>
      <c r="C2681" s="226"/>
      <c r="D2681" s="226"/>
      <c r="E2681" s="226"/>
      <c r="F2681" s="226"/>
      <c r="G2681" s="226"/>
      <c r="H2681" s="226"/>
      <c r="I2681" s="9" t="str">
        <f t="shared" si="41"/>
        <v>__</v>
      </c>
    </row>
    <row r="2682" spans="1:9" x14ac:dyDescent="0.35">
      <c r="A2682" s="226"/>
      <c r="B2682" s="226"/>
      <c r="C2682" s="226"/>
      <c r="D2682" s="226"/>
      <c r="E2682" s="226"/>
      <c r="F2682" s="226"/>
      <c r="G2682" s="226"/>
      <c r="H2682" s="226"/>
      <c r="I2682" s="9" t="str">
        <f t="shared" si="41"/>
        <v>__</v>
      </c>
    </row>
    <row r="2683" spans="1:9" x14ac:dyDescent="0.35">
      <c r="A2683" s="226"/>
      <c r="B2683" s="226"/>
      <c r="C2683" s="226"/>
      <c r="D2683" s="226"/>
      <c r="E2683" s="226"/>
      <c r="F2683" s="226"/>
      <c r="G2683" s="226"/>
      <c r="H2683" s="226"/>
      <c r="I2683" s="9" t="str">
        <f t="shared" si="41"/>
        <v>__</v>
      </c>
    </row>
    <row r="2684" spans="1:9" x14ac:dyDescent="0.35">
      <c r="A2684" s="226"/>
      <c r="B2684" s="226"/>
      <c r="C2684" s="226"/>
      <c r="D2684" s="226"/>
      <c r="E2684" s="226"/>
      <c r="F2684" s="226"/>
      <c r="G2684" s="226"/>
      <c r="H2684" s="226"/>
      <c r="I2684" s="9" t="str">
        <f t="shared" si="41"/>
        <v>__</v>
      </c>
    </row>
    <row r="2685" spans="1:9" x14ac:dyDescent="0.35">
      <c r="A2685" s="226"/>
      <c r="B2685" s="226"/>
      <c r="C2685" s="226"/>
      <c r="D2685" s="226"/>
      <c r="E2685" s="226"/>
      <c r="F2685" s="226"/>
      <c r="G2685" s="226"/>
      <c r="H2685" s="226"/>
      <c r="I2685" s="9" t="str">
        <f t="shared" si="41"/>
        <v>__</v>
      </c>
    </row>
    <row r="2686" spans="1:9" x14ac:dyDescent="0.35">
      <c r="A2686" s="226"/>
      <c r="B2686" s="226"/>
      <c r="C2686" s="226"/>
      <c r="D2686" s="226"/>
      <c r="E2686" s="226"/>
      <c r="F2686" s="226"/>
      <c r="G2686" s="226"/>
      <c r="H2686" s="226"/>
      <c r="I2686" s="9" t="str">
        <f t="shared" si="41"/>
        <v>__</v>
      </c>
    </row>
    <row r="2687" spans="1:9" x14ac:dyDescent="0.35">
      <c r="A2687" s="226"/>
      <c r="B2687" s="226"/>
      <c r="C2687" s="226"/>
      <c r="D2687" s="226"/>
      <c r="E2687" s="226"/>
      <c r="F2687" s="226"/>
      <c r="G2687" s="226"/>
      <c r="H2687" s="226"/>
      <c r="I2687" s="9" t="str">
        <f t="shared" si="41"/>
        <v>__</v>
      </c>
    </row>
    <row r="2688" spans="1:9" x14ac:dyDescent="0.35">
      <c r="A2688" s="226"/>
      <c r="B2688" s="226"/>
      <c r="C2688" s="226"/>
      <c r="D2688" s="226"/>
      <c r="E2688" s="226"/>
      <c r="F2688" s="226"/>
      <c r="G2688" s="226"/>
      <c r="H2688" s="226"/>
      <c r="I2688" s="9" t="str">
        <f t="shared" si="41"/>
        <v>__</v>
      </c>
    </row>
    <row r="2689" spans="1:9" x14ac:dyDescent="0.35">
      <c r="A2689" s="226"/>
      <c r="B2689" s="226"/>
      <c r="C2689" s="226"/>
      <c r="D2689" s="226"/>
      <c r="E2689" s="226"/>
      <c r="F2689" s="226"/>
      <c r="G2689" s="226"/>
      <c r="H2689" s="226"/>
      <c r="I2689" s="9" t="str">
        <f t="shared" si="41"/>
        <v>__</v>
      </c>
    </row>
    <row r="2690" spans="1:9" x14ac:dyDescent="0.35">
      <c r="A2690" s="226"/>
      <c r="B2690" s="226"/>
      <c r="C2690" s="226"/>
      <c r="D2690" s="226"/>
      <c r="E2690" s="226"/>
      <c r="F2690" s="226"/>
      <c r="G2690" s="226"/>
      <c r="H2690" s="226"/>
      <c r="I2690" s="9" t="str">
        <f t="shared" si="41"/>
        <v>__</v>
      </c>
    </row>
    <row r="2691" spans="1:9" x14ac:dyDescent="0.35">
      <c r="A2691" s="226"/>
      <c r="B2691" s="226"/>
      <c r="C2691" s="226"/>
      <c r="D2691" s="226"/>
      <c r="E2691" s="226"/>
      <c r="F2691" s="226"/>
      <c r="G2691" s="226"/>
      <c r="H2691" s="226"/>
      <c r="I2691" s="9" t="str">
        <f t="shared" si="41"/>
        <v>__</v>
      </c>
    </row>
    <row r="2692" spans="1:9" x14ac:dyDescent="0.35">
      <c r="A2692" s="226"/>
      <c r="B2692" s="226"/>
      <c r="C2692" s="226"/>
      <c r="D2692" s="226"/>
      <c r="E2692" s="226"/>
      <c r="F2692" s="226"/>
      <c r="G2692" s="226"/>
      <c r="H2692" s="226"/>
      <c r="I2692" s="9" t="str">
        <f t="shared" si="41"/>
        <v>__</v>
      </c>
    </row>
    <row r="2693" spans="1:9" x14ac:dyDescent="0.35">
      <c r="A2693" s="226"/>
      <c r="B2693" s="226"/>
      <c r="C2693" s="226"/>
      <c r="D2693" s="226"/>
      <c r="E2693" s="226"/>
      <c r="F2693" s="226"/>
      <c r="G2693" s="226"/>
      <c r="H2693" s="226"/>
      <c r="I2693" s="9" t="str">
        <f t="shared" ref="I2693:I2756" si="42">CONCATENATE(A2693,"_",B2693,"_",C2693)</f>
        <v>__</v>
      </c>
    </row>
    <row r="2694" spans="1:9" x14ac:dyDescent="0.35">
      <c r="A2694" s="226"/>
      <c r="B2694" s="226"/>
      <c r="C2694" s="226"/>
      <c r="D2694" s="226"/>
      <c r="E2694" s="226"/>
      <c r="F2694" s="226"/>
      <c r="G2694" s="226"/>
      <c r="H2694" s="226"/>
      <c r="I2694" s="9" t="str">
        <f t="shared" si="42"/>
        <v>__</v>
      </c>
    </row>
    <row r="2695" spans="1:9" x14ac:dyDescent="0.35">
      <c r="A2695" s="226"/>
      <c r="B2695" s="226"/>
      <c r="C2695" s="226"/>
      <c r="D2695" s="226"/>
      <c r="E2695" s="226"/>
      <c r="F2695" s="226"/>
      <c r="G2695" s="226"/>
      <c r="H2695" s="226"/>
      <c r="I2695" s="9" t="str">
        <f t="shared" si="42"/>
        <v>__</v>
      </c>
    </row>
    <row r="2696" spans="1:9" x14ac:dyDescent="0.35">
      <c r="A2696" s="226"/>
      <c r="B2696" s="226"/>
      <c r="C2696" s="226"/>
      <c r="D2696" s="226"/>
      <c r="E2696" s="226"/>
      <c r="F2696" s="226"/>
      <c r="G2696" s="226"/>
      <c r="H2696" s="226"/>
      <c r="I2696" s="9" t="str">
        <f t="shared" si="42"/>
        <v>__</v>
      </c>
    </row>
    <row r="2697" spans="1:9" x14ac:dyDescent="0.35">
      <c r="A2697" s="226"/>
      <c r="B2697" s="226"/>
      <c r="C2697" s="226"/>
      <c r="D2697" s="226"/>
      <c r="E2697" s="226"/>
      <c r="F2697" s="226"/>
      <c r="G2697" s="226"/>
      <c r="H2697" s="226"/>
      <c r="I2697" s="9" t="str">
        <f t="shared" si="42"/>
        <v>__</v>
      </c>
    </row>
    <row r="2698" spans="1:9" x14ac:dyDescent="0.35">
      <c r="A2698" s="226"/>
      <c r="B2698" s="226"/>
      <c r="C2698" s="226"/>
      <c r="D2698" s="226"/>
      <c r="E2698" s="226"/>
      <c r="F2698" s="226"/>
      <c r="G2698" s="226"/>
      <c r="H2698" s="226"/>
      <c r="I2698" s="9" t="str">
        <f t="shared" si="42"/>
        <v>__</v>
      </c>
    </row>
    <row r="2699" spans="1:9" x14ac:dyDescent="0.35">
      <c r="A2699" s="226"/>
      <c r="B2699" s="226"/>
      <c r="C2699" s="226"/>
      <c r="D2699" s="226"/>
      <c r="E2699" s="226"/>
      <c r="F2699" s="226"/>
      <c r="G2699" s="226"/>
      <c r="H2699" s="226"/>
      <c r="I2699" s="9" t="str">
        <f t="shared" si="42"/>
        <v>__</v>
      </c>
    </row>
    <row r="2700" spans="1:9" x14ac:dyDescent="0.35">
      <c r="A2700" s="226"/>
      <c r="B2700" s="226"/>
      <c r="C2700" s="226"/>
      <c r="D2700" s="226"/>
      <c r="E2700" s="226"/>
      <c r="F2700" s="226"/>
      <c r="G2700" s="226"/>
      <c r="H2700" s="226"/>
      <c r="I2700" s="9" t="str">
        <f t="shared" si="42"/>
        <v>__</v>
      </c>
    </row>
    <row r="2701" spans="1:9" x14ac:dyDescent="0.35">
      <c r="A2701" s="226"/>
      <c r="B2701" s="226"/>
      <c r="C2701" s="226"/>
      <c r="D2701" s="226"/>
      <c r="E2701" s="226"/>
      <c r="F2701" s="226"/>
      <c r="G2701" s="226"/>
      <c r="H2701" s="226"/>
      <c r="I2701" s="9" t="str">
        <f t="shared" si="42"/>
        <v>__</v>
      </c>
    </row>
    <row r="2702" spans="1:9" x14ac:dyDescent="0.35">
      <c r="A2702" s="226"/>
      <c r="B2702" s="226"/>
      <c r="C2702" s="226"/>
      <c r="D2702" s="226"/>
      <c r="E2702" s="226"/>
      <c r="F2702" s="226"/>
      <c r="G2702" s="226"/>
      <c r="H2702" s="226"/>
      <c r="I2702" s="9" t="str">
        <f t="shared" si="42"/>
        <v>__</v>
      </c>
    </row>
    <row r="2703" spans="1:9" x14ac:dyDescent="0.35">
      <c r="A2703" s="226"/>
      <c r="B2703" s="226"/>
      <c r="C2703" s="226"/>
      <c r="D2703" s="226"/>
      <c r="E2703" s="226"/>
      <c r="F2703" s="226"/>
      <c r="G2703" s="226"/>
      <c r="H2703" s="226"/>
      <c r="I2703" s="9" t="str">
        <f t="shared" si="42"/>
        <v>__</v>
      </c>
    </row>
    <row r="2704" spans="1:9" x14ac:dyDescent="0.35">
      <c r="A2704" s="226"/>
      <c r="B2704" s="226"/>
      <c r="C2704" s="226"/>
      <c r="D2704" s="226"/>
      <c r="E2704" s="226"/>
      <c r="F2704" s="226"/>
      <c r="G2704" s="226"/>
      <c r="H2704" s="226"/>
      <c r="I2704" s="9" t="str">
        <f t="shared" si="42"/>
        <v>__</v>
      </c>
    </row>
    <row r="2705" spans="1:9" x14ac:dyDescent="0.35">
      <c r="A2705" s="226"/>
      <c r="B2705" s="226"/>
      <c r="C2705" s="226"/>
      <c r="D2705" s="226"/>
      <c r="E2705" s="226"/>
      <c r="F2705" s="226"/>
      <c r="G2705" s="226"/>
      <c r="H2705" s="226"/>
      <c r="I2705" s="9" t="str">
        <f t="shared" si="42"/>
        <v>__</v>
      </c>
    </row>
    <row r="2706" spans="1:9" x14ac:dyDescent="0.35">
      <c r="A2706" s="226"/>
      <c r="B2706" s="226"/>
      <c r="C2706" s="226"/>
      <c r="D2706" s="226"/>
      <c r="E2706" s="226"/>
      <c r="F2706" s="226"/>
      <c r="G2706" s="226"/>
      <c r="H2706" s="226"/>
      <c r="I2706" s="9" t="str">
        <f t="shared" si="42"/>
        <v>__</v>
      </c>
    </row>
    <row r="2707" spans="1:9" x14ac:dyDescent="0.35">
      <c r="A2707" s="226"/>
      <c r="B2707" s="226"/>
      <c r="C2707" s="226"/>
      <c r="D2707" s="226"/>
      <c r="E2707" s="226"/>
      <c r="F2707" s="226"/>
      <c r="G2707" s="226"/>
      <c r="H2707" s="226"/>
      <c r="I2707" s="9" t="str">
        <f t="shared" si="42"/>
        <v>__</v>
      </c>
    </row>
    <row r="2708" spans="1:9" x14ac:dyDescent="0.35">
      <c r="A2708" s="226"/>
      <c r="B2708" s="226"/>
      <c r="C2708" s="226"/>
      <c r="D2708" s="226"/>
      <c r="E2708" s="226"/>
      <c r="F2708" s="226"/>
      <c r="G2708" s="226"/>
      <c r="H2708" s="226"/>
      <c r="I2708" s="9" t="str">
        <f t="shared" si="42"/>
        <v>__</v>
      </c>
    </row>
    <row r="2709" spans="1:9" x14ac:dyDescent="0.35">
      <c r="A2709" s="226"/>
      <c r="B2709" s="226"/>
      <c r="C2709" s="226"/>
      <c r="D2709" s="226"/>
      <c r="E2709" s="226"/>
      <c r="F2709" s="226"/>
      <c r="G2709" s="226"/>
      <c r="H2709" s="226"/>
      <c r="I2709" s="9" t="str">
        <f t="shared" si="42"/>
        <v>__</v>
      </c>
    </row>
    <row r="2710" spans="1:9" x14ac:dyDescent="0.35">
      <c r="A2710" s="226"/>
      <c r="B2710" s="226"/>
      <c r="C2710" s="226"/>
      <c r="D2710" s="226"/>
      <c r="E2710" s="226"/>
      <c r="F2710" s="226"/>
      <c r="G2710" s="226"/>
      <c r="H2710" s="226"/>
      <c r="I2710" s="9" t="str">
        <f t="shared" si="42"/>
        <v>__</v>
      </c>
    </row>
    <row r="2711" spans="1:9" x14ac:dyDescent="0.35">
      <c r="A2711" s="226"/>
      <c r="B2711" s="226"/>
      <c r="C2711" s="226"/>
      <c r="D2711" s="226"/>
      <c r="E2711" s="226"/>
      <c r="F2711" s="226"/>
      <c r="G2711" s="226"/>
      <c r="H2711" s="226"/>
      <c r="I2711" s="9" t="str">
        <f t="shared" si="42"/>
        <v>__</v>
      </c>
    </row>
    <row r="2712" spans="1:9" x14ac:dyDescent="0.35">
      <c r="A2712" s="226"/>
      <c r="B2712" s="226"/>
      <c r="C2712" s="226"/>
      <c r="D2712" s="226"/>
      <c r="E2712" s="226"/>
      <c r="F2712" s="226"/>
      <c r="G2712" s="226"/>
      <c r="H2712" s="226"/>
      <c r="I2712" s="9" t="str">
        <f t="shared" si="42"/>
        <v>__</v>
      </c>
    </row>
    <row r="2713" spans="1:9" x14ac:dyDescent="0.35">
      <c r="A2713" s="226"/>
      <c r="B2713" s="226"/>
      <c r="C2713" s="226"/>
      <c r="D2713" s="226"/>
      <c r="E2713" s="226"/>
      <c r="F2713" s="226"/>
      <c r="G2713" s="226"/>
      <c r="H2713" s="226"/>
      <c r="I2713" s="9" t="str">
        <f t="shared" si="42"/>
        <v>__</v>
      </c>
    </row>
    <row r="2714" spans="1:9" x14ac:dyDescent="0.35">
      <c r="A2714" s="226"/>
      <c r="B2714" s="226"/>
      <c r="C2714" s="226"/>
      <c r="D2714" s="226"/>
      <c r="E2714" s="226"/>
      <c r="F2714" s="226"/>
      <c r="G2714" s="226"/>
      <c r="H2714" s="226"/>
      <c r="I2714" s="9" t="str">
        <f t="shared" si="42"/>
        <v>__</v>
      </c>
    </row>
    <row r="2715" spans="1:9" x14ac:dyDescent="0.35">
      <c r="A2715" s="226"/>
      <c r="B2715" s="226"/>
      <c r="C2715" s="226"/>
      <c r="D2715" s="226"/>
      <c r="E2715" s="226"/>
      <c r="F2715" s="226"/>
      <c r="G2715" s="226"/>
      <c r="H2715" s="226"/>
      <c r="I2715" s="9" t="str">
        <f t="shared" si="42"/>
        <v>__</v>
      </c>
    </row>
    <row r="2716" spans="1:9" x14ac:dyDescent="0.35">
      <c r="A2716" s="226"/>
      <c r="B2716" s="226"/>
      <c r="C2716" s="226"/>
      <c r="D2716" s="226"/>
      <c r="E2716" s="226"/>
      <c r="F2716" s="226"/>
      <c r="G2716" s="226"/>
      <c r="H2716" s="226"/>
      <c r="I2716" s="9" t="str">
        <f t="shared" si="42"/>
        <v>__</v>
      </c>
    </row>
    <row r="2717" spans="1:9" x14ac:dyDescent="0.35">
      <c r="A2717" s="226"/>
      <c r="B2717" s="226"/>
      <c r="C2717" s="226"/>
      <c r="D2717" s="226"/>
      <c r="E2717" s="226"/>
      <c r="F2717" s="226"/>
      <c r="G2717" s="226"/>
      <c r="H2717" s="226"/>
      <c r="I2717" s="9" t="str">
        <f t="shared" si="42"/>
        <v>__</v>
      </c>
    </row>
    <row r="2718" spans="1:9" x14ac:dyDescent="0.35">
      <c r="A2718" s="226"/>
      <c r="B2718" s="226"/>
      <c r="C2718" s="226"/>
      <c r="D2718" s="226"/>
      <c r="E2718" s="226"/>
      <c r="F2718" s="226"/>
      <c r="G2718" s="226"/>
      <c r="H2718" s="226"/>
      <c r="I2718" s="9" t="str">
        <f t="shared" si="42"/>
        <v>__</v>
      </c>
    </row>
    <row r="2719" spans="1:9" x14ac:dyDescent="0.35">
      <c r="A2719" s="226"/>
      <c r="B2719" s="226"/>
      <c r="C2719" s="226"/>
      <c r="D2719" s="226"/>
      <c r="E2719" s="226"/>
      <c r="F2719" s="226"/>
      <c r="G2719" s="226"/>
      <c r="H2719" s="226"/>
      <c r="I2719" s="9" t="str">
        <f t="shared" si="42"/>
        <v>__</v>
      </c>
    </row>
    <row r="2720" spans="1:9" x14ac:dyDescent="0.35">
      <c r="A2720" s="226"/>
      <c r="B2720" s="226"/>
      <c r="C2720" s="226"/>
      <c r="D2720" s="226"/>
      <c r="E2720" s="226"/>
      <c r="F2720" s="226"/>
      <c r="G2720" s="226"/>
      <c r="H2720" s="226"/>
      <c r="I2720" s="9" t="str">
        <f t="shared" si="42"/>
        <v>__</v>
      </c>
    </row>
    <row r="2721" spans="1:9" x14ac:dyDescent="0.35">
      <c r="A2721" s="226"/>
      <c r="B2721" s="226"/>
      <c r="C2721" s="226"/>
      <c r="D2721" s="226"/>
      <c r="E2721" s="226"/>
      <c r="F2721" s="226"/>
      <c r="G2721" s="226"/>
      <c r="H2721" s="226"/>
      <c r="I2721" s="9" t="str">
        <f t="shared" si="42"/>
        <v>__</v>
      </c>
    </row>
    <row r="2722" spans="1:9" x14ac:dyDescent="0.35">
      <c r="A2722" s="226"/>
      <c r="B2722" s="226"/>
      <c r="C2722" s="226"/>
      <c r="D2722" s="226"/>
      <c r="E2722" s="226"/>
      <c r="F2722" s="226"/>
      <c r="G2722" s="226"/>
      <c r="H2722" s="226"/>
      <c r="I2722" s="9" t="str">
        <f t="shared" si="42"/>
        <v>__</v>
      </c>
    </row>
    <row r="2723" spans="1:9" x14ac:dyDescent="0.35">
      <c r="A2723" s="226"/>
      <c r="B2723" s="226"/>
      <c r="C2723" s="226"/>
      <c r="D2723" s="226"/>
      <c r="E2723" s="226"/>
      <c r="F2723" s="226"/>
      <c r="G2723" s="226"/>
      <c r="H2723" s="226"/>
      <c r="I2723" s="9" t="str">
        <f t="shared" si="42"/>
        <v>__</v>
      </c>
    </row>
    <row r="2724" spans="1:9" x14ac:dyDescent="0.35">
      <c r="A2724" s="226"/>
      <c r="B2724" s="226"/>
      <c r="C2724" s="226"/>
      <c r="D2724" s="226"/>
      <c r="E2724" s="226"/>
      <c r="F2724" s="226"/>
      <c r="G2724" s="226"/>
      <c r="H2724" s="226"/>
      <c r="I2724" s="9" t="str">
        <f t="shared" si="42"/>
        <v>__</v>
      </c>
    </row>
    <row r="2725" spans="1:9" x14ac:dyDescent="0.35">
      <c r="A2725" s="226"/>
      <c r="B2725" s="226"/>
      <c r="C2725" s="226"/>
      <c r="D2725" s="226"/>
      <c r="E2725" s="226"/>
      <c r="F2725" s="226"/>
      <c r="G2725" s="226"/>
      <c r="H2725" s="226"/>
      <c r="I2725" s="9" t="str">
        <f t="shared" si="42"/>
        <v>__</v>
      </c>
    </row>
    <row r="2726" spans="1:9" x14ac:dyDescent="0.35">
      <c r="A2726" s="226"/>
      <c r="B2726" s="226"/>
      <c r="C2726" s="226"/>
      <c r="D2726" s="226"/>
      <c r="E2726" s="226"/>
      <c r="F2726" s="226"/>
      <c r="G2726" s="226"/>
      <c r="H2726" s="226"/>
      <c r="I2726" s="9" t="str">
        <f t="shared" si="42"/>
        <v>__</v>
      </c>
    </row>
    <row r="2727" spans="1:9" x14ac:dyDescent="0.35">
      <c r="A2727" s="226"/>
      <c r="B2727" s="226"/>
      <c r="C2727" s="226"/>
      <c r="D2727" s="226"/>
      <c r="E2727" s="226"/>
      <c r="F2727" s="226"/>
      <c r="G2727" s="226"/>
      <c r="H2727" s="226"/>
      <c r="I2727" s="9" t="str">
        <f t="shared" si="42"/>
        <v>__</v>
      </c>
    </row>
    <row r="2728" spans="1:9" x14ac:dyDescent="0.35">
      <c r="A2728" s="226"/>
      <c r="B2728" s="226"/>
      <c r="C2728" s="226"/>
      <c r="D2728" s="226"/>
      <c r="E2728" s="226"/>
      <c r="F2728" s="226"/>
      <c r="G2728" s="226"/>
      <c r="H2728" s="226"/>
      <c r="I2728" s="9" t="str">
        <f t="shared" si="42"/>
        <v>__</v>
      </c>
    </row>
    <row r="2729" spans="1:9" x14ac:dyDescent="0.35">
      <c r="A2729" s="226"/>
      <c r="B2729" s="226"/>
      <c r="C2729" s="226"/>
      <c r="D2729" s="226"/>
      <c r="E2729" s="226"/>
      <c r="F2729" s="226"/>
      <c r="G2729" s="226"/>
      <c r="H2729" s="226"/>
      <c r="I2729" s="9" t="str">
        <f t="shared" si="42"/>
        <v>__</v>
      </c>
    </row>
    <row r="2730" spans="1:9" x14ac:dyDescent="0.35">
      <c r="A2730" s="226"/>
      <c r="B2730" s="226"/>
      <c r="C2730" s="226"/>
      <c r="D2730" s="226"/>
      <c r="E2730" s="226"/>
      <c r="F2730" s="226"/>
      <c r="G2730" s="226"/>
      <c r="H2730" s="226"/>
      <c r="I2730" s="9" t="str">
        <f t="shared" si="42"/>
        <v>__</v>
      </c>
    </row>
    <row r="2731" spans="1:9" x14ac:dyDescent="0.35">
      <c r="A2731" s="226"/>
      <c r="B2731" s="226"/>
      <c r="C2731" s="226"/>
      <c r="D2731" s="226"/>
      <c r="E2731" s="226"/>
      <c r="F2731" s="226"/>
      <c r="G2731" s="226"/>
      <c r="H2731" s="226"/>
      <c r="I2731" s="9" t="str">
        <f t="shared" si="42"/>
        <v>__</v>
      </c>
    </row>
    <row r="2732" spans="1:9" x14ac:dyDescent="0.35">
      <c r="A2732" s="226"/>
      <c r="B2732" s="226"/>
      <c r="C2732" s="226"/>
      <c r="D2732" s="226"/>
      <c r="E2732" s="226"/>
      <c r="F2732" s="226"/>
      <c r="G2732" s="226"/>
      <c r="H2732" s="226"/>
      <c r="I2732" s="9" t="str">
        <f t="shared" si="42"/>
        <v>__</v>
      </c>
    </row>
    <row r="2733" spans="1:9" x14ac:dyDescent="0.35">
      <c r="A2733" s="226"/>
      <c r="B2733" s="226"/>
      <c r="C2733" s="226"/>
      <c r="D2733" s="226"/>
      <c r="E2733" s="226"/>
      <c r="F2733" s="226"/>
      <c r="G2733" s="226"/>
      <c r="H2733" s="226"/>
      <c r="I2733" s="9" t="str">
        <f t="shared" si="42"/>
        <v>__</v>
      </c>
    </row>
    <row r="2734" spans="1:9" x14ac:dyDescent="0.35">
      <c r="A2734" s="226"/>
      <c r="B2734" s="226"/>
      <c r="C2734" s="226"/>
      <c r="D2734" s="226"/>
      <c r="E2734" s="226"/>
      <c r="F2734" s="226"/>
      <c r="G2734" s="226"/>
      <c r="H2734" s="226"/>
      <c r="I2734" s="9" t="str">
        <f t="shared" si="42"/>
        <v>__</v>
      </c>
    </row>
    <row r="2735" spans="1:9" x14ac:dyDescent="0.35">
      <c r="A2735" s="226"/>
      <c r="B2735" s="226"/>
      <c r="C2735" s="226"/>
      <c r="D2735" s="226"/>
      <c r="E2735" s="226"/>
      <c r="F2735" s="226"/>
      <c r="G2735" s="226"/>
      <c r="H2735" s="226"/>
      <c r="I2735" s="9" t="str">
        <f t="shared" si="42"/>
        <v>__</v>
      </c>
    </row>
    <row r="2736" spans="1:9" x14ac:dyDescent="0.35">
      <c r="A2736" s="226"/>
      <c r="B2736" s="226"/>
      <c r="C2736" s="226"/>
      <c r="D2736" s="226"/>
      <c r="E2736" s="226"/>
      <c r="F2736" s="226"/>
      <c r="G2736" s="226"/>
      <c r="H2736" s="226"/>
      <c r="I2736" s="9" t="str">
        <f t="shared" si="42"/>
        <v>__</v>
      </c>
    </row>
    <row r="2737" spans="1:9" x14ac:dyDescent="0.35">
      <c r="A2737" s="226"/>
      <c r="B2737" s="226"/>
      <c r="C2737" s="226"/>
      <c r="D2737" s="226"/>
      <c r="E2737" s="226"/>
      <c r="F2737" s="226"/>
      <c r="G2737" s="226"/>
      <c r="H2737" s="226"/>
      <c r="I2737" s="9" t="str">
        <f t="shared" si="42"/>
        <v>__</v>
      </c>
    </row>
    <row r="2738" spans="1:9" x14ac:dyDescent="0.35">
      <c r="A2738" s="226"/>
      <c r="B2738" s="226"/>
      <c r="C2738" s="226"/>
      <c r="D2738" s="226"/>
      <c r="E2738" s="226"/>
      <c r="F2738" s="226"/>
      <c r="G2738" s="226"/>
      <c r="H2738" s="226"/>
      <c r="I2738" s="9" t="str">
        <f t="shared" si="42"/>
        <v>__</v>
      </c>
    </row>
    <row r="2739" spans="1:9" x14ac:dyDescent="0.35">
      <c r="A2739" s="226"/>
      <c r="B2739" s="226"/>
      <c r="C2739" s="226"/>
      <c r="D2739" s="226"/>
      <c r="E2739" s="226"/>
      <c r="F2739" s="226"/>
      <c r="G2739" s="226"/>
      <c r="H2739" s="226"/>
      <c r="I2739" s="9" t="str">
        <f t="shared" si="42"/>
        <v>__</v>
      </c>
    </row>
    <row r="2740" spans="1:9" x14ac:dyDescent="0.35">
      <c r="A2740" s="226"/>
      <c r="B2740" s="226"/>
      <c r="C2740" s="226"/>
      <c r="D2740" s="226"/>
      <c r="E2740" s="226"/>
      <c r="F2740" s="226"/>
      <c r="G2740" s="226"/>
      <c r="H2740" s="226"/>
      <c r="I2740" s="9" t="str">
        <f t="shared" si="42"/>
        <v>__</v>
      </c>
    </row>
    <row r="2741" spans="1:9" x14ac:dyDescent="0.35">
      <c r="A2741" s="226"/>
      <c r="B2741" s="226"/>
      <c r="C2741" s="226"/>
      <c r="D2741" s="226"/>
      <c r="E2741" s="226"/>
      <c r="F2741" s="226"/>
      <c r="G2741" s="226"/>
      <c r="H2741" s="226"/>
      <c r="I2741" s="9" t="str">
        <f t="shared" si="42"/>
        <v>__</v>
      </c>
    </row>
    <row r="2742" spans="1:9" x14ac:dyDescent="0.35">
      <c r="A2742" s="226"/>
      <c r="B2742" s="226"/>
      <c r="C2742" s="226"/>
      <c r="D2742" s="226"/>
      <c r="E2742" s="226"/>
      <c r="F2742" s="226"/>
      <c r="G2742" s="226"/>
      <c r="H2742" s="226"/>
      <c r="I2742" s="9" t="str">
        <f t="shared" si="42"/>
        <v>__</v>
      </c>
    </row>
    <row r="2743" spans="1:9" x14ac:dyDescent="0.35">
      <c r="A2743" s="226"/>
      <c r="B2743" s="226"/>
      <c r="C2743" s="226"/>
      <c r="D2743" s="226"/>
      <c r="E2743" s="226"/>
      <c r="F2743" s="226"/>
      <c r="G2743" s="226"/>
      <c r="H2743" s="226"/>
      <c r="I2743" s="9" t="str">
        <f t="shared" si="42"/>
        <v>__</v>
      </c>
    </row>
    <row r="2744" spans="1:9" x14ac:dyDescent="0.35">
      <c r="A2744" s="226"/>
      <c r="B2744" s="226"/>
      <c r="C2744" s="226"/>
      <c r="D2744" s="226"/>
      <c r="E2744" s="226"/>
      <c r="F2744" s="226"/>
      <c r="G2744" s="226"/>
      <c r="H2744" s="226"/>
      <c r="I2744" s="9" t="str">
        <f t="shared" si="42"/>
        <v>__</v>
      </c>
    </row>
    <row r="2745" spans="1:9" x14ac:dyDescent="0.35">
      <c r="A2745" s="226"/>
      <c r="B2745" s="226"/>
      <c r="C2745" s="226"/>
      <c r="D2745" s="226"/>
      <c r="E2745" s="226"/>
      <c r="F2745" s="226"/>
      <c r="G2745" s="226"/>
      <c r="H2745" s="226"/>
      <c r="I2745" s="9" t="str">
        <f t="shared" si="42"/>
        <v>__</v>
      </c>
    </row>
    <row r="2746" spans="1:9" x14ac:dyDescent="0.35">
      <c r="A2746" s="226"/>
      <c r="B2746" s="226"/>
      <c r="C2746" s="226"/>
      <c r="D2746" s="226"/>
      <c r="E2746" s="226"/>
      <c r="F2746" s="226"/>
      <c r="G2746" s="226"/>
      <c r="H2746" s="226"/>
      <c r="I2746" s="9" t="str">
        <f t="shared" si="42"/>
        <v>__</v>
      </c>
    </row>
    <row r="2747" spans="1:9" x14ac:dyDescent="0.35">
      <c r="A2747" s="226"/>
      <c r="B2747" s="226"/>
      <c r="C2747" s="226"/>
      <c r="D2747" s="226"/>
      <c r="E2747" s="226"/>
      <c r="F2747" s="226"/>
      <c r="G2747" s="226"/>
      <c r="H2747" s="226"/>
      <c r="I2747" s="9" t="str">
        <f t="shared" si="42"/>
        <v>__</v>
      </c>
    </row>
    <row r="2748" spans="1:9" x14ac:dyDescent="0.35">
      <c r="A2748" s="226"/>
      <c r="B2748" s="226"/>
      <c r="C2748" s="226"/>
      <c r="D2748" s="226"/>
      <c r="E2748" s="226"/>
      <c r="F2748" s="226"/>
      <c r="G2748" s="226"/>
      <c r="H2748" s="226"/>
      <c r="I2748" s="9" t="str">
        <f t="shared" si="42"/>
        <v>__</v>
      </c>
    </row>
    <row r="2749" spans="1:9" x14ac:dyDescent="0.35">
      <c r="A2749" s="226"/>
      <c r="B2749" s="226"/>
      <c r="C2749" s="226"/>
      <c r="D2749" s="226"/>
      <c r="E2749" s="226"/>
      <c r="F2749" s="226"/>
      <c r="G2749" s="226"/>
      <c r="H2749" s="226"/>
      <c r="I2749" s="9" t="str">
        <f t="shared" si="42"/>
        <v>__</v>
      </c>
    </row>
    <row r="2750" spans="1:9" x14ac:dyDescent="0.35">
      <c r="A2750" s="226"/>
      <c r="B2750" s="226"/>
      <c r="C2750" s="226"/>
      <c r="D2750" s="226"/>
      <c r="E2750" s="226"/>
      <c r="F2750" s="226"/>
      <c r="G2750" s="226"/>
      <c r="H2750" s="226"/>
      <c r="I2750" s="9" t="str">
        <f t="shared" si="42"/>
        <v>__</v>
      </c>
    </row>
    <row r="2751" spans="1:9" x14ac:dyDescent="0.35">
      <c r="A2751" s="226"/>
      <c r="B2751" s="226"/>
      <c r="C2751" s="226"/>
      <c r="D2751" s="226"/>
      <c r="E2751" s="226"/>
      <c r="F2751" s="226"/>
      <c r="G2751" s="226"/>
      <c r="H2751" s="226"/>
      <c r="I2751" s="9" t="str">
        <f t="shared" si="42"/>
        <v>__</v>
      </c>
    </row>
    <row r="2752" spans="1:9" x14ac:dyDescent="0.35">
      <c r="A2752" s="226"/>
      <c r="B2752" s="226"/>
      <c r="C2752" s="226"/>
      <c r="D2752" s="226"/>
      <c r="E2752" s="226"/>
      <c r="F2752" s="226"/>
      <c r="G2752" s="226"/>
      <c r="H2752" s="226"/>
      <c r="I2752" s="9" t="str">
        <f t="shared" si="42"/>
        <v>__</v>
      </c>
    </row>
    <row r="2753" spans="1:9" x14ac:dyDescent="0.35">
      <c r="A2753" s="226"/>
      <c r="B2753" s="226"/>
      <c r="C2753" s="226"/>
      <c r="D2753" s="226"/>
      <c r="E2753" s="226"/>
      <c r="F2753" s="226"/>
      <c r="G2753" s="226"/>
      <c r="H2753" s="226"/>
      <c r="I2753" s="9" t="str">
        <f t="shared" si="42"/>
        <v>__</v>
      </c>
    </row>
    <row r="2754" spans="1:9" x14ac:dyDescent="0.35">
      <c r="A2754" s="226"/>
      <c r="B2754" s="226"/>
      <c r="C2754" s="226"/>
      <c r="D2754" s="226"/>
      <c r="E2754" s="226"/>
      <c r="F2754" s="226"/>
      <c r="G2754" s="226"/>
      <c r="H2754" s="226"/>
      <c r="I2754" s="9" t="str">
        <f t="shared" si="42"/>
        <v>__</v>
      </c>
    </row>
    <row r="2755" spans="1:9" x14ac:dyDescent="0.35">
      <c r="A2755" s="226"/>
      <c r="B2755" s="226"/>
      <c r="C2755" s="226"/>
      <c r="D2755" s="226"/>
      <c r="E2755" s="226"/>
      <c r="F2755" s="226"/>
      <c r="G2755" s="226"/>
      <c r="H2755" s="226"/>
      <c r="I2755" s="9" t="str">
        <f t="shared" si="42"/>
        <v>__</v>
      </c>
    </row>
    <row r="2756" spans="1:9" x14ac:dyDescent="0.35">
      <c r="A2756" s="226"/>
      <c r="B2756" s="226"/>
      <c r="C2756" s="226"/>
      <c r="D2756" s="226"/>
      <c r="E2756" s="226"/>
      <c r="F2756" s="226"/>
      <c r="G2756" s="226"/>
      <c r="H2756" s="226"/>
      <c r="I2756" s="9" t="str">
        <f t="shared" si="42"/>
        <v>__</v>
      </c>
    </row>
    <row r="2757" spans="1:9" x14ac:dyDescent="0.35">
      <c r="A2757" s="226"/>
      <c r="B2757" s="226"/>
      <c r="C2757" s="226"/>
      <c r="D2757" s="226"/>
      <c r="E2757" s="226"/>
      <c r="F2757" s="226"/>
      <c r="G2757" s="226"/>
      <c r="H2757" s="226"/>
      <c r="I2757" s="9" t="str">
        <f t="shared" ref="I2757:I2820" si="43">CONCATENATE(A2757,"_",B2757,"_",C2757)</f>
        <v>__</v>
      </c>
    </row>
    <row r="2758" spans="1:9" x14ac:dyDescent="0.35">
      <c r="A2758" s="226"/>
      <c r="B2758" s="226"/>
      <c r="C2758" s="226"/>
      <c r="D2758" s="226"/>
      <c r="E2758" s="226"/>
      <c r="F2758" s="226"/>
      <c r="G2758" s="226"/>
      <c r="H2758" s="226"/>
      <c r="I2758" s="9" t="str">
        <f t="shared" si="43"/>
        <v>__</v>
      </c>
    </row>
    <row r="2759" spans="1:9" x14ac:dyDescent="0.35">
      <c r="A2759" s="226"/>
      <c r="B2759" s="226"/>
      <c r="C2759" s="226"/>
      <c r="D2759" s="226"/>
      <c r="E2759" s="226"/>
      <c r="F2759" s="226"/>
      <c r="G2759" s="226"/>
      <c r="H2759" s="226"/>
      <c r="I2759" s="9" t="str">
        <f t="shared" si="43"/>
        <v>__</v>
      </c>
    </row>
    <row r="2760" spans="1:9" x14ac:dyDescent="0.35">
      <c r="A2760" s="226"/>
      <c r="B2760" s="226"/>
      <c r="C2760" s="226"/>
      <c r="D2760" s="226"/>
      <c r="E2760" s="226"/>
      <c r="F2760" s="226"/>
      <c r="G2760" s="226"/>
      <c r="H2760" s="226"/>
      <c r="I2760" s="9" t="str">
        <f t="shared" si="43"/>
        <v>__</v>
      </c>
    </row>
    <row r="2761" spans="1:9" x14ac:dyDescent="0.35">
      <c r="A2761" s="226"/>
      <c r="B2761" s="226"/>
      <c r="C2761" s="226"/>
      <c r="D2761" s="226"/>
      <c r="E2761" s="226"/>
      <c r="F2761" s="226"/>
      <c r="G2761" s="226"/>
      <c r="H2761" s="226"/>
      <c r="I2761" s="9" t="str">
        <f t="shared" si="43"/>
        <v>__</v>
      </c>
    </row>
    <row r="2762" spans="1:9" x14ac:dyDescent="0.35">
      <c r="A2762" s="226"/>
      <c r="B2762" s="226"/>
      <c r="C2762" s="226"/>
      <c r="D2762" s="226"/>
      <c r="E2762" s="226"/>
      <c r="F2762" s="226"/>
      <c r="G2762" s="226"/>
      <c r="H2762" s="226"/>
      <c r="I2762" s="9" t="str">
        <f t="shared" si="43"/>
        <v>__</v>
      </c>
    </row>
    <row r="2763" spans="1:9" x14ac:dyDescent="0.35">
      <c r="A2763" s="226"/>
      <c r="B2763" s="226"/>
      <c r="C2763" s="226"/>
      <c r="D2763" s="226"/>
      <c r="E2763" s="226"/>
      <c r="F2763" s="226"/>
      <c r="G2763" s="226"/>
      <c r="H2763" s="226"/>
      <c r="I2763" s="9" t="str">
        <f t="shared" si="43"/>
        <v>__</v>
      </c>
    </row>
    <row r="2764" spans="1:9" x14ac:dyDescent="0.35">
      <c r="A2764" s="226"/>
      <c r="B2764" s="226"/>
      <c r="C2764" s="226"/>
      <c r="D2764" s="226"/>
      <c r="E2764" s="226"/>
      <c r="F2764" s="226"/>
      <c r="G2764" s="226"/>
      <c r="H2764" s="226"/>
      <c r="I2764" s="9" t="str">
        <f t="shared" si="43"/>
        <v>__</v>
      </c>
    </row>
    <row r="2765" spans="1:9" x14ac:dyDescent="0.35">
      <c r="A2765" s="226"/>
      <c r="B2765" s="226"/>
      <c r="C2765" s="226"/>
      <c r="D2765" s="226"/>
      <c r="E2765" s="226"/>
      <c r="F2765" s="226"/>
      <c r="G2765" s="226"/>
      <c r="H2765" s="226"/>
      <c r="I2765" s="9" t="str">
        <f t="shared" si="43"/>
        <v>__</v>
      </c>
    </row>
    <row r="2766" spans="1:9" x14ac:dyDescent="0.35">
      <c r="A2766" s="226"/>
      <c r="B2766" s="226"/>
      <c r="C2766" s="226"/>
      <c r="D2766" s="226"/>
      <c r="E2766" s="226"/>
      <c r="F2766" s="226"/>
      <c r="G2766" s="226"/>
      <c r="H2766" s="226"/>
      <c r="I2766" s="9" t="str">
        <f t="shared" si="43"/>
        <v>__</v>
      </c>
    </row>
    <row r="2767" spans="1:9" x14ac:dyDescent="0.35">
      <c r="A2767" s="226"/>
      <c r="B2767" s="226"/>
      <c r="C2767" s="226"/>
      <c r="D2767" s="226"/>
      <c r="E2767" s="226"/>
      <c r="F2767" s="226"/>
      <c r="G2767" s="226"/>
      <c r="H2767" s="226"/>
      <c r="I2767" s="9" t="str">
        <f t="shared" si="43"/>
        <v>__</v>
      </c>
    </row>
    <row r="2768" spans="1:9" x14ac:dyDescent="0.35">
      <c r="A2768" s="226"/>
      <c r="B2768" s="226"/>
      <c r="C2768" s="226"/>
      <c r="D2768" s="226"/>
      <c r="E2768" s="226"/>
      <c r="F2768" s="226"/>
      <c r="G2768" s="226"/>
      <c r="H2768" s="226"/>
      <c r="I2768" s="9" t="str">
        <f t="shared" si="43"/>
        <v>__</v>
      </c>
    </row>
    <row r="2769" spans="1:9" x14ac:dyDescent="0.35">
      <c r="A2769" s="226"/>
      <c r="B2769" s="226"/>
      <c r="C2769" s="226"/>
      <c r="D2769" s="226"/>
      <c r="E2769" s="226"/>
      <c r="F2769" s="226"/>
      <c r="G2769" s="226"/>
      <c r="H2769" s="226"/>
      <c r="I2769" s="9" t="str">
        <f t="shared" si="43"/>
        <v>__</v>
      </c>
    </row>
    <row r="2770" spans="1:9" x14ac:dyDescent="0.35">
      <c r="A2770" s="226"/>
      <c r="B2770" s="226"/>
      <c r="C2770" s="226"/>
      <c r="D2770" s="226"/>
      <c r="E2770" s="226"/>
      <c r="F2770" s="226"/>
      <c r="G2770" s="226"/>
      <c r="H2770" s="226"/>
      <c r="I2770" s="9" t="str">
        <f t="shared" si="43"/>
        <v>__</v>
      </c>
    </row>
    <row r="2771" spans="1:9" x14ac:dyDescent="0.35">
      <c r="A2771" s="226"/>
      <c r="B2771" s="226"/>
      <c r="C2771" s="226"/>
      <c r="D2771" s="226"/>
      <c r="E2771" s="226"/>
      <c r="F2771" s="226"/>
      <c r="G2771" s="226"/>
      <c r="H2771" s="226"/>
      <c r="I2771" s="9" t="str">
        <f t="shared" si="43"/>
        <v>__</v>
      </c>
    </row>
    <row r="2772" spans="1:9" x14ac:dyDescent="0.35">
      <c r="A2772" s="226"/>
      <c r="B2772" s="226"/>
      <c r="C2772" s="226"/>
      <c r="D2772" s="226"/>
      <c r="E2772" s="226"/>
      <c r="F2772" s="226"/>
      <c r="G2772" s="226"/>
      <c r="H2772" s="226"/>
      <c r="I2772" s="9" t="str">
        <f t="shared" si="43"/>
        <v>__</v>
      </c>
    </row>
    <row r="2773" spans="1:9" x14ac:dyDescent="0.35">
      <c r="A2773" s="226"/>
      <c r="B2773" s="226"/>
      <c r="C2773" s="226"/>
      <c r="D2773" s="226"/>
      <c r="E2773" s="226"/>
      <c r="F2773" s="226"/>
      <c r="G2773" s="226"/>
      <c r="H2773" s="226"/>
      <c r="I2773" s="9" t="str">
        <f t="shared" si="43"/>
        <v>__</v>
      </c>
    </row>
    <row r="2774" spans="1:9" x14ac:dyDescent="0.35">
      <c r="A2774" s="226"/>
      <c r="B2774" s="226"/>
      <c r="C2774" s="226"/>
      <c r="D2774" s="226"/>
      <c r="E2774" s="226"/>
      <c r="F2774" s="226"/>
      <c r="G2774" s="226"/>
      <c r="H2774" s="226"/>
      <c r="I2774" s="9" t="str">
        <f t="shared" si="43"/>
        <v>__</v>
      </c>
    </row>
    <row r="2775" spans="1:9" x14ac:dyDescent="0.35">
      <c r="A2775" s="226"/>
      <c r="B2775" s="226"/>
      <c r="C2775" s="226"/>
      <c r="D2775" s="226"/>
      <c r="E2775" s="226"/>
      <c r="F2775" s="226"/>
      <c r="G2775" s="226"/>
      <c r="H2775" s="226"/>
      <c r="I2775" s="9" t="str">
        <f t="shared" si="43"/>
        <v>__</v>
      </c>
    </row>
    <row r="2776" spans="1:9" x14ac:dyDescent="0.35">
      <c r="A2776" s="226"/>
      <c r="B2776" s="226"/>
      <c r="C2776" s="226"/>
      <c r="D2776" s="226"/>
      <c r="E2776" s="226"/>
      <c r="F2776" s="226"/>
      <c r="G2776" s="226"/>
      <c r="H2776" s="226"/>
      <c r="I2776" s="9" t="str">
        <f t="shared" si="43"/>
        <v>__</v>
      </c>
    </row>
    <row r="2777" spans="1:9" x14ac:dyDescent="0.35">
      <c r="A2777" s="226"/>
      <c r="B2777" s="226"/>
      <c r="C2777" s="226"/>
      <c r="D2777" s="226"/>
      <c r="E2777" s="226"/>
      <c r="F2777" s="226"/>
      <c r="G2777" s="226"/>
      <c r="H2777" s="226"/>
      <c r="I2777" s="9" t="str">
        <f t="shared" si="43"/>
        <v>__</v>
      </c>
    </row>
    <row r="2778" spans="1:9" x14ac:dyDescent="0.35">
      <c r="A2778" s="226"/>
      <c r="B2778" s="226"/>
      <c r="C2778" s="226"/>
      <c r="D2778" s="226"/>
      <c r="E2778" s="226"/>
      <c r="F2778" s="226"/>
      <c r="G2778" s="226"/>
      <c r="H2778" s="226"/>
      <c r="I2778" s="9" t="str">
        <f t="shared" si="43"/>
        <v>__</v>
      </c>
    </row>
    <row r="2779" spans="1:9" x14ac:dyDescent="0.35">
      <c r="A2779" s="226"/>
      <c r="B2779" s="226"/>
      <c r="C2779" s="226"/>
      <c r="D2779" s="226"/>
      <c r="E2779" s="226"/>
      <c r="F2779" s="226"/>
      <c r="G2779" s="226"/>
      <c r="H2779" s="226"/>
      <c r="I2779" s="9" t="str">
        <f t="shared" si="43"/>
        <v>__</v>
      </c>
    </row>
    <row r="2780" spans="1:9" x14ac:dyDescent="0.35">
      <c r="A2780" s="226"/>
      <c r="B2780" s="226"/>
      <c r="C2780" s="226"/>
      <c r="D2780" s="226"/>
      <c r="E2780" s="226"/>
      <c r="F2780" s="226"/>
      <c r="G2780" s="226"/>
      <c r="H2780" s="226"/>
      <c r="I2780" s="9" t="str">
        <f t="shared" si="43"/>
        <v>__</v>
      </c>
    </row>
    <row r="2781" spans="1:9" x14ac:dyDescent="0.35">
      <c r="A2781" s="226"/>
      <c r="B2781" s="226"/>
      <c r="C2781" s="226"/>
      <c r="D2781" s="226"/>
      <c r="E2781" s="226"/>
      <c r="F2781" s="226"/>
      <c r="G2781" s="226"/>
      <c r="H2781" s="226"/>
      <c r="I2781" s="9" t="str">
        <f t="shared" si="43"/>
        <v>__</v>
      </c>
    </row>
    <row r="2782" spans="1:9" x14ac:dyDescent="0.35">
      <c r="A2782" s="226"/>
      <c r="B2782" s="226"/>
      <c r="C2782" s="226"/>
      <c r="D2782" s="226"/>
      <c r="E2782" s="226"/>
      <c r="F2782" s="226"/>
      <c r="G2782" s="226"/>
      <c r="H2782" s="226"/>
      <c r="I2782" s="9" t="str">
        <f t="shared" si="43"/>
        <v>__</v>
      </c>
    </row>
    <row r="2783" spans="1:9" x14ac:dyDescent="0.35">
      <c r="A2783" s="226"/>
      <c r="B2783" s="226"/>
      <c r="C2783" s="226"/>
      <c r="D2783" s="226"/>
      <c r="E2783" s="226"/>
      <c r="F2783" s="226"/>
      <c r="G2783" s="226"/>
      <c r="H2783" s="226"/>
      <c r="I2783" s="9" t="str">
        <f t="shared" si="43"/>
        <v>__</v>
      </c>
    </row>
    <row r="2784" spans="1:9" x14ac:dyDescent="0.35">
      <c r="A2784" s="226"/>
      <c r="B2784" s="226"/>
      <c r="C2784" s="226"/>
      <c r="D2784" s="226"/>
      <c r="E2784" s="226"/>
      <c r="F2784" s="226"/>
      <c r="G2784" s="226"/>
      <c r="H2784" s="226"/>
      <c r="I2784" s="9" t="str">
        <f t="shared" si="43"/>
        <v>__</v>
      </c>
    </row>
    <row r="2785" spans="1:9" x14ac:dyDescent="0.35">
      <c r="A2785" s="226"/>
      <c r="B2785" s="226"/>
      <c r="C2785" s="226"/>
      <c r="D2785" s="226"/>
      <c r="E2785" s="226"/>
      <c r="F2785" s="226"/>
      <c r="G2785" s="226"/>
      <c r="H2785" s="226"/>
      <c r="I2785" s="9" t="str">
        <f t="shared" si="43"/>
        <v>__</v>
      </c>
    </row>
    <row r="2786" spans="1:9" x14ac:dyDescent="0.35">
      <c r="A2786" s="226"/>
      <c r="B2786" s="226"/>
      <c r="C2786" s="226"/>
      <c r="D2786" s="226"/>
      <c r="E2786" s="226"/>
      <c r="F2786" s="226"/>
      <c r="G2786" s="226"/>
      <c r="H2786" s="226"/>
      <c r="I2786" s="9" t="str">
        <f t="shared" si="43"/>
        <v>__</v>
      </c>
    </row>
    <row r="2787" spans="1:9" x14ac:dyDescent="0.35">
      <c r="A2787" s="226"/>
      <c r="B2787" s="226"/>
      <c r="C2787" s="226"/>
      <c r="D2787" s="226"/>
      <c r="E2787" s="226"/>
      <c r="F2787" s="226"/>
      <c r="G2787" s="226"/>
      <c r="H2787" s="226"/>
      <c r="I2787" s="9" t="str">
        <f t="shared" si="43"/>
        <v>__</v>
      </c>
    </row>
    <row r="2788" spans="1:9" x14ac:dyDescent="0.35">
      <c r="A2788" s="226"/>
      <c r="B2788" s="226"/>
      <c r="C2788" s="226"/>
      <c r="D2788" s="226"/>
      <c r="E2788" s="226"/>
      <c r="F2788" s="226"/>
      <c r="G2788" s="226"/>
      <c r="H2788" s="226"/>
      <c r="I2788" s="9" t="str">
        <f t="shared" si="43"/>
        <v>__</v>
      </c>
    </row>
    <row r="2789" spans="1:9" x14ac:dyDescent="0.35">
      <c r="A2789" s="226"/>
      <c r="B2789" s="226"/>
      <c r="C2789" s="226"/>
      <c r="D2789" s="226"/>
      <c r="E2789" s="226"/>
      <c r="F2789" s="226"/>
      <c r="G2789" s="226"/>
      <c r="H2789" s="226"/>
      <c r="I2789" s="9" t="str">
        <f t="shared" si="43"/>
        <v>__</v>
      </c>
    </row>
    <row r="2790" spans="1:9" x14ac:dyDescent="0.35">
      <c r="A2790" s="226"/>
      <c r="B2790" s="226"/>
      <c r="C2790" s="226"/>
      <c r="D2790" s="226"/>
      <c r="E2790" s="226"/>
      <c r="F2790" s="226"/>
      <c r="G2790" s="226"/>
      <c r="H2790" s="226"/>
      <c r="I2790" s="9" t="str">
        <f t="shared" si="43"/>
        <v>__</v>
      </c>
    </row>
    <row r="2791" spans="1:9" x14ac:dyDescent="0.35">
      <c r="A2791" s="226"/>
      <c r="B2791" s="226"/>
      <c r="C2791" s="226"/>
      <c r="D2791" s="226"/>
      <c r="E2791" s="226"/>
      <c r="F2791" s="226"/>
      <c r="G2791" s="226"/>
      <c r="H2791" s="226"/>
      <c r="I2791" s="9" t="str">
        <f t="shared" si="43"/>
        <v>__</v>
      </c>
    </row>
    <row r="2792" spans="1:9" x14ac:dyDescent="0.35">
      <c r="A2792" s="226"/>
      <c r="B2792" s="226"/>
      <c r="C2792" s="226"/>
      <c r="D2792" s="226"/>
      <c r="E2792" s="226"/>
      <c r="F2792" s="226"/>
      <c r="G2792" s="226"/>
      <c r="H2792" s="226"/>
      <c r="I2792" s="9" t="str">
        <f t="shared" si="43"/>
        <v>__</v>
      </c>
    </row>
    <row r="2793" spans="1:9" x14ac:dyDescent="0.35">
      <c r="A2793" s="226"/>
      <c r="B2793" s="226"/>
      <c r="C2793" s="226"/>
      <c r="D2793" s="226"/>
      <c r="E2793" s="226"/>
      <c r="F2793" s="226"/>
      <c r="G2793" s="226"/>
      <c r="H2793" s="226"/>
      <c r="I2793" s="9" t="str">
        <f t="shared" si="43"/>
        <v>__</v>
      </c>
    </row>
    <row r="2794" spans="1:9" x14ac:dyDescent="0.35">
      <c r="A2794" s="226"/>
      <c r="B2794" s="226"/>
      <c r="C2794" s="226"/>
      <c r="D2794" s="226"/>
      <c r="E2794" s="226"/>
      <c r="F2794" s="226"/>
      <c r="G2794" s="226"/>
      <c r="H2794" s="226"/>
      <c r="I2794" s="9" t="str">
        <f t="shared" si="43"/>
        <v>__</v>
      </c>
    </row>
    <row r="2795" spans="1:9" x14ac:dyDescent="0.35">
      <c r="A2795" s="226"/>
      <c r="B2795" s="226"/>
      <c r="C2795" s="226"/>
      <c r="D2795" s="226"/>
      <c r="E2795" s="226"/>
      <c r="F2795" s="226"/>
      <c r="G2795" s="226"/>
      <c r="H2795" s="226"/>
      <c r="I2795" s="9" t="str">
        <f t="shared" si="43"/>
        <v>__</v>
      </c>
    </row>
    <row r="2796" spans="1:9" x14ac:dyDescent="0.35">
      <c r="A2796" s="226"/>
      <c r="B2796" s="226"/>
      <c r="C2796" s="226"/>
      <c r="D2796" s="226"/>
      <c r="E2796" s="226"/>
      <c r="F2796" s="226"/>
      <c r="G2796" s="226"/>
      <c r="H2796" s="226"/>
      <c r="I2796" s="9" t="str">
        <f t="shared" si="43"/>
        <v>__</v>
      </c>
    </row>
    <row r="2797" spans="1:9" x14ac:dyDescent="0.35">
      <c r="A2797" s="226"/>
      <c r="B2797" s="226"/>
      <c r="C2797" s="226"/>
      <c r="D2797" s="226"/>
      <c r="E2797" s="226"/>
      <c r="F2797" s="226"/>
      <c r="G2797" s="226"/>
      <c r="H2797" s="226"/>
      <c r="I2797" s="9" t="str">
        <f t="shared" si="43"/>
        <v>__</v>
      </c>
    </row>
    <row r="2798" spans="1:9" x14ac:dyDescent="0.35">
      <c r="A2798" s="226"/>
      <c r="B2798" s="226"/>
      <c r="C2798" s="226"/>
      <c r="D2798" s="226"/>
      <c r="E2798" s="226"/>
      <c r="F2798" s="226"/>
      <c r="G2798" s="226"/>
      <c r="H2798" s="226"/>
      <c r="I2798" s="9" t="str">
        <f t="shared" si="43"/>
        <v>__</v>
      </c>
    </row>
    <row r="2799" spans="1:9" x14ac:dyDescent="0.35">
      <c r="A2799" s="226"/>
      <c r="B2799" s="226"/>
      <c r="C2799" s="226"/>
      <c r="D2799" s="226"/>
      <c r="E2799" s="226"/>
      <c r="F2799" s="226"/>
      <c r="G2799" s="226"/>
      <c r="H2799" s="226"/>
      <c r="I2799" s="9" t="str">
        <f t="shared" si="43"/>
        <v>__</v>
      </c>
    </row>
    <row r="2800" spans="1:9" x14ac:dyDescent="0.35">
      <c r="A2800" s="226"/>
      <c r="B2800" s="226"/>
      <c r="C2800" s="226"/>
      <c r="D2800" s="226"/>
      <c r="E2800" s="226"/>
      <c r="F2800" s="226"/>
      <c r="G2800" s="226"/>
      <c r="H2800" s="226"/>
      <c r="I2800" s="9" t="str">
        <f t="shared" si="43"/>
        <v>__</v>
      </c>
    </row>
    <row r="2801" spans="1:9" x14ac:dyDescent="0.35">
      <c r="A2801" s="226"/>
      <c r="B2801" s="226"/>
      <c r="C2801" s="226"/>
      <c r="D2801" s="226"/>
      <c r="E2801" s="226"/>
      <c r="F2801" s="226"/>
      <c r="G2801" s="226"/>
      <c r="H2801" s="226"/>
      <c r="I2801" s="9" t="str">
        <f t="shared" si="43"/>
        <v>__</v>
      </c>
    </row>
    <row r="2802" spans="1:9" x14ac:dyDescent="0.35">
      <c r="A2802" s="226"/>
      <c r="B2802" s="226"/>
      <c r="C2802" s="226"/>
      <c r="D2802" s="226"/>
      <c r="E2802" s="226"/>
      <c r="F2802" s="226"/>
      <c r="G2802" s="226"/>
      <c r="H2802" s="226"/>
      <c r="I2802" s="9" t="str">
        <f t="shared" si="43"/>
        <v>__</v>
      </c>
    </row>
    <row r="2803" spans="1:9" x14ac:dyDescent="0.35">
      <c r="A2803" s="226"/>
      <c r="B2803" s="226"/>
      <c r="C2803" s="226"/>
      <c r="D2803" s="226"/>
      <c r="E2803" s="226"/>
      <c r="F2803" s="226"/>
      <c r="G2803" s="226"/>
      <c r="H2803" s="226"/>
      <c r="I2803" s="9" t="str">
        <f t="shared" si="43"/>
        <v>__</v>
      </c>
    </row>
    <row r="2804" spans="1:9" x14ac:dyDescent="0.35">
      <c r="A2804" s="226"/>
      <c r="B2804" s="226"/>
      <c r="C2804" s="226"/>
      <c r="D2804" s="226"/>
      <c r="E2804" s="226"/>
      <c r="F2804" s="226"/>
      <c r="G2804" s="226"/>
      <c r="H2804" s="226"/>
      <c r="I2804" s="9" t="str">
        <f t="shared" si="43"/>
        <v>__</v>
      </c>
    </row>
    <row r="2805" spans="1:9" x14ac:dyDescent="0.35">
      <c r="A2805" s="226"/>
      <c r="B2805" s="226"/>
      <c r="C2805" s="226"/>
      <c r="D2805" s="226"/>
      <c r="E2805" s="226"/>
      <c r="F2805" s="226"/>
      <c r="G2805" s="226"/>
      <c r="H2805" s="226"/>
      <c r="I2805" s="9" t="str">
        <f t="shared" si="43"/>
        <v>__</v>
      </c>
    </row>
    <row r="2806" spans="1:9" x14ac:dyDescent="0.35">
      <c r="A2806" s="226"/>
      <c r="B2806" s="226"/>
      <c r="C2806" s="226"/>
      <c r="D2806" s="226"/>
      <c r="E2806" s="226"/>
      <c r="F2806" s="226"/>
      <c r="G2806" s="226"/>
      <c r="H2806" s="226"/>
      <c r="I2806" s="9" t="str">
        <f t="shared" si="43"/>
        <v>__</v>
      </c>
    </row>
    <row r="2807" spans="1:9" x14ac:dyDescent="0.35">
      <c r="A2807" s="226"/>
      <c r="B2807" s="226"/>
      <c r="C2807" s="226"/>
      <c r="D2807" s="226"/>
      <c r="E2807" s="226"/>
      <c r="F2807" s="226"/>
      <c r="G2807" s="226"/>
      <c r="H2807" s="226"/>
      <c r="I2807" s="9" t="str">
        <f t="shared" si="43"/>
        <v>__</v>
      </c>
    </row>
    <row r="2808" spans="1:9" x14ac:dyDescent="0.35">
      <c r="A2808" s="226"/>
      <c r="B2808" s="226"/>
      <c r="C2808" s="226"/>
      <c r="D2808" s="226"/>
      <c r="E2808" s="226"/>
      <c r="F2808" s="226"/>
      <c r="G2808" s="226"/>
      <c r="H2808" s="226"/>
      <c r="I2808" s="9" t="str">
        <f t="shared" si="43"/>
        <v>__</v>
      </c>
    </row>
    <row r="2809" spans="1:9" x14ac:dyDescent="0.35">
      <c r="A2809" s="226"/>
      <c r="B2809" s="226"/>
      <c r="C2809" s="226"/>
      <c r="D2809" s="226"/>
      <c r="E2809" s="226"/>
      <c r="F2809" s="226"/>
      <c r="G2809" s="226"/>
      <c r="H2809" s="226"/>
      <c r="I2809" s="9" t="str">
        <f t="shared" si="43"/>
        <v>__</v>
      </c>
    </row>
    <row r="2810" spans="1:9" x14ac:dyDescent="0.35">
      <c r="A2810" s="226"/>
      <c r="B2810" s="226"/>
      <c r="C2810" s="226"/>
      <c r="D2810" s="226"/>
      <c r="E2810" s="226"/>
      <c r="F2810" s="226"/>
      <c r="G2810" s="226"/>
      <c r="H2810" s="226"/>
      <c r="I2810" s="9" t="str">
        <f t="shared" si="43"/>
        <v>__</v>
      </c>
    </row>
    <row r="2811" spans="1:9" x14ac:dyDescent="0.35">
      <c r="A2811" s="226"/>
      <c r="B2811" s="226"/>
      <c r="C2811" s="226"/>
      <c r="D2811" s="226"/>
      <c r="E2811" s="226"/>
      <c r="F2811" s="226"/>
      <c r="G2811" s="226"/>
      <c r="H2811" s="226"/>
      <c r="I2811" s="9" t="str">
        <f t="shared" si="43"/>
        <v>__</v>
      </c>
    </row>
    <row r="2812" spans="1:9" x14ac:dyDescent="0.35">
      <c r="A2812" s="226"/>
      <c r="B2812" s="226"/>
      <c r="C2812" s="226"/>
      <c r="D2812" s="226"/>
      <c r="E2812" s="226"/>
      <c r="F2812" s="226"/>
      <c r="G2812" s="226"/>
      <c r="H2812" s="226"/>
      <c r="I2812" s="9" t="str">
        <f t="shared" si="43"/>
        <v>__</v>
      </c>
    </row>
    <row r="2813" spans="1:9" x14ac:dyDescent="0.35">
      <c r="A2813" s="226"/>
      <c r="B2813" s="226"/>
      <c r="C2813" s="226"/>
      <c r="D2813" s="226"/>
      <c r="E2813" s="226"/>
      <c r="F2813" s="226"/>
      <c r="G2813" s="226"/>
      <c r="H2813" s="226"/>
      <c r="I2813" s="9" t="str">
        <f t="shared" si="43"/>
        <v>__</v>
      </c>
    </row>
    <row r="2814" spans="1:9" x14ac:dyDescent="0.35">
      <c r="A2814" s="226"/>
      <c r="B2814" s="226"/>
      <c r="C2814" s="226"/>
      <c r="D2814" s="226"/>
      <c r="E2814" s="226"/>
      <c r="F2814" s="226"/>
      <c r="G2814" s="226"/>
      <c r="H2814" s="226"/>
      <c r="I2814" s="9" t="str">
        <f t="shared" si="43"/>
        <v>__</v>
      </c>
    </row>
    <row r="2815" spans="1:9" x14ac:dyDescent="0.35">
      <c r="A2815" s="226"/>
      <c r="B2815" s="226"/>
      <c r="C2815" s="226"/>
      <c r="D2815" s="226"/>
      <c r="E2815" s="226"/>
      <c r="F2815" s="226"/>
      <c r="G2815" s="226"/>
      <c r="H2815" s="226"/>
      <c r="I2815" s="9" t="str">
        <f t="shared" si="43"/>
        <v>__</v>
      </c>
    </row>
    <row r="2816" spans="1:9" x14ac:dyDescent="0.35">
      <c r="A2816" s="226"/>
      <c r="B2816" s="226"/>
      <c r="C2816" s="226"/>
      <c r="D2816" s="226"/>
      <c r="E2816" s="226"/>
      <c r="F2816" s="226"/>
      <c r="G2816" s="226"/>
      <c r="H2816" s="226"/>
      <c r="I2816" s="9" t="str">
        <f t="shared" si="43"/>
        <v>__</v>
      </c>
    </row>
    <row r="2817" spans="1:9" x14ac:dyDescent="0.35">
      <c r="A2817" s="226"/>
      <c r="B2817" s="226"/>
      <c r="C2817" s="226"/>
      <c r="D2817" s="226"/>
      <c r="E2817" s="226"/>
      <c r="F2817" s="226"/>
      <c r="G2817" s="226"/>
      <c r="H2817" s="226"/>
      <c r="I2817" s="9" t="str">
        <f t="shared" si="43"/>
        <v>__</v>
      </c>
    </row>
    <row r="2818" spans="1:9" x14ac:dyDescent="0.35">
      <c r="A2818" s="226"/>
      <c r="B2818" s="226"/>
      <c r="C2818" s="226"/>
      <c r="D2818" s="226"/>
      <c r="E2818" s="226"/>
      <c r="F2818" s="226"/>
      <c r="G2818" s="226"/>
      <c r="H2818" s="226"/>
      <c r="I2818" s="9" t="str">
        <f t="shared" si="43"/>
        <v>__</v>
      </c>
    </row>
    <row r="2819" spans="1:9" x14ac:dyDescent="0.35">
      <c r="A2819" s="226"/>
      <c r="B2819" s="226"/>
      <c r="C2819" s="226"/>
      <c r="D2819" s="226"/>
      <c r="E2819" s="226"/>
      <c r="F2819" s="226"/>
      <c r="G2819" s="226"/>
      <c r="H2819" s="226"/>
      <c r="I2819" s="9" t="str">
        <f t="shared" si="43"/>
        <v>__</v>
      </c>
    </row>
    <row r="2820" spans="1:9" x14ac:dyDescent="0.35">
      <c r="A2820" s="226"/>
      <c r="B2820" s="226"/>
      <c r="C2820" s="226"/>
      <c r="D2820" s="226"/>
      <c r="E2820" s="226"/>
      <c r="F2820" s="226"/>
      <c r="G2820" s="226"/>
      <c r="H2820" s="226"/>
      <c r="I2820" s="9" t="str">
        <f t="shared" si="43"/>
        <v>__</v>
      </c>
    </row>
    <row r="2821" spans="1:9" x14ac:dyDescent="0.35">
      <c r="A2821" s="226"/>
      <c r="B2821" s="226"/>
      <c r="C2821" s="226"/>
      <c r="D2821" s="226"/>
      <c r="E2821" s="226"/>
      <c r="F2821" s="226"/>
      <c r="G2821" s="226"/>
      <c r="H2821" s="226"/>
      <c r="I2821" s="9" t="str">
        <f t="shared" ref="I2821:I2884" si="44">CONCATENATE(A2821,"_",B2821,"_",C2821)</f>
        <v>__</v>
      </c>
    </row>
    <row r="2822" spans="1:9" x14ac:dyDescent="0.35">
      <c r="A2822" s="226"/>
      <c r="B2822" s="226"/>
      <c r="C2822" s="226"/>
      <c r="D2822" s="226"/>
      <c r="E2822" s="226"/>
      <c r="F2822" s="226"/>
      <c r="G2822" s="226"/>
      <c r="H2822" s="226"/>
      <c r="I2822" s="9" t="str">
        <f t="shared" si="44"/>
        <v>__</v>
      </c>
    </row>
    <row r="2823" spans="1:9" x14ac:dyDescent="0.35">
      <c r="A2823" s="226"/>
      <c r="B2823" s="226"/>
      <c r="C2823" s="226"/>
      <c r="D2823" s="226"/>
      <c r="E2823" s="226"/>
      <c r="F2823" s="226"/>
      <c r="G2823" s="226"/>
      <c r="H2823" s="226"/>
      <c r="I2823" s="9" t="str">
        <f t="shared" si="44"/>
        <v>__</v>
      </c>
    </row>
    <row r="2824" spans="1:9" x14ac:dyDescent="0.35">
      <c r="A2824" s="226"/>
      <c r="B2824" s="226"/>
      <c r="C2824" s="226"/>
      <c r="D2824" s="226"/>
      <c r="E2824" s="226"/>
      <c r="F2824" s="226"/>
      <c r="G2824" s="226"/>
      <c r="H2824" s="226"/>
      <c r="I2824" s="9" t="str">
        <f t="shared" si="44"/>
        <v>__</v>
      </c>
    </row>
    <row r="2825" spans="1:9" x14ac:dyDescent="0.35">
      <c r="A2825" s="226"/>
      <c r="B2825" s="226"/>
      <c r="C2825" s="226"/>
      <c r="D2825" s="226"/>
      <c r="E2825" s="226"/>
      <c r="F2825" s="226"/>
      <c r="G2825" s="226"/>
      <c r="H2825" s="226"/>
      <c r="I2825" s="9" t="str">
        <f t="shared" si="44"/>
        <v>__</v>
      </c>
    </row>
    <row r="2826" spans="1:9" x14ac:dyDescent="0.35">
      <c r="A2826" s="226"/>
      <c r="B2826" s="226"/>
      <c r="C2826" s="226"/>
      <c r="D2826" s="226"/>
      <c r="E2826" s="226"/>
      <c r="F2826" s="226"/>
      <c r="G2826" s="226"/>
      <c r="H2826" s="226"/>
      <c r="I2826" s="9" t="str">
        <f t="shared" si="44"/>
        <v>__</v>
      </c>
    </row>
    <row r="2827" spans="1:9" x14ac:dyDescent="0.35">
      <c r="A2827" s="226"/>
      <c r="B2827" s="226"/>
      <c r="C2827" s="226"/>
      <c r="D2827" s="226"/>
      <c r="E2827" s="226"/>
      <c r="F2827" s="226"/>
      <c r="G2827" s="226"/>
      <c r="H2827" s="226"/>
      <c r="I2827" s="9" t="str">
        <f t="shared" si="44"/>
        <v>__</v>
      </c>
    </row>
    <row r="2828" spans="1:9" x14ac:dyDescent="0.35">
      <c r="A2828" s="226"/>
      <c r="B2828" s="226"/>
      <c r="C2828" s="226"/>
      <c r="D2828" s="226"/>
      <c r="E2828" s="226"/>
      <c r="F2828" s="226"/>
      <c r="G2828" s="226"/>
      <c r="H2828" s="226"/>
      <c r="I2828" s="9" t="str">
        <f t="shared" si="44"/>
        <v>__</v>
      </c>
    </row>
    <row r="2829" spans="1:9" x14ac:dyDescent="0.35">
      <c r="A2829" s="226"/>
      <c r="B2829" s="226"/>
      <c r="C2829" s="226"/>
      <c r="D2829" s="226"/>
      <c r="E2829" s="226"/>
      <c r="F2829" s="226"/>
      <c r="G2829" s="226"/>
      <c r="H2829" s="226"/>
      <c r="I2829" s="9" t="str">
        <f t="shared" si="44"/>
        <v>__</v>
      </c>
    </row>
    <row r="2830" spans="1:9" x14ac:dyDescent="0.35">
      <c r="A2830" s="226"/>
      <c r="B2830" s="226"/>
      <c r="C2830" s="226"/>
      <c r="D2830" s="226"/>
      <c r="E2830" s="226"/>
      <c r="F2830" s="226"/>
      <c r="G2830" s="226"/>
      <c r="H2830" s="226"/>
      <c r="I2830" s="9" t="str">
        <f t="shared" si="44"/>
        <v>__</v>
      </c>
    </row>
    <row r="2831" spans="1:9" x14ac:dyDescent="0.35">
      <c r="A2831" s="226"/>
      <c r="B2831" s="226"/>
      <c r="C2831" s="226"/>
      <c r="D2831" s="226"/>
      <c r="E2831" s="226"/>
      <c r="F2831" s="226"/>
      <c r="G2831" s="226"/>
      <c r="H2831" s="226"/>
      <c r="I2831" s="9" t="str">
        <f t="shared" si="44"/>
        <v>__</v>
      </c>
    </row>
    <row r="2832" spans="1:9" x14ac:dyDescent="0.35">
      <c r="A2832" s="226"/>
      <c r="B2832" s="226"/>
      <c r="C2832" s="226"/>
      <c r="D2832" s="226"/>
      <c r="E2832" s="226"/>
      <c r="F2832" s="226"/>
      <c r="G2832" s="226"/>
      <c r="H2832" s="226"/>
      <c r="I2832" s="9" t="str">
        <f t="shared" si="44"/>
        <v>__</v>
      </c>
    </row>
    <row r="2833" spans="1:9" x14ac:dyDescent="0.35">
      <c r="A2833" s="226"/>
      <c r="B2833" s="226"/>
      <c r="C2833" s="226"/>
      <c r="D2833" s="226"/>
      <c r="E2833" s="226"/>
      <c r="F2833" s="226"/>
      <c r="G2833" s="226"/>
      <c r="H2833" s="226"/>
      <c r="I2833" s="9" t="str">
        <f t="shared" si="44"/>
        <v>__</v>
      </c>
    </row>
    <row r="2834" spans="1:9" x14ac:dyDescent="0.35">
      <c r="A2834" s="226"/>
      <c r="B2834" s="226"/>
      <c r="C2834" s="226"/>
      <c r="D2834" s="226"/>
      <c r="E2834" s="226"/>
      <c r="F2834" s="226"/>
      <c r="G2834" s="226"/>
      <c r="H2834" s="226"/>
      <c r="I2834" s="9" t="str">
        <f t="shared" si="44"/>
        <v>__</v>
      </c>
    </row>
    <row r="2835" spans="1:9" x14ac:dyDescent="0.35">
      <c r="A2835" s="226"/>
      <c r="B2835" s="226"/>
      <c r="C2835" s="226"/>
      <c r="D2835" s="226"/>
      <c r="E2835" s="226"/>
      <c r="F2835" s="226"/>
      <c r="G2835" s="226"/>
      <c r="H2835" s="226"/>
      <c r="I2835" s="9" t="str">
        <f t="shared" si="44"/>
        <v>__</v>
      </c>
    </row>
    <row r="2836" spans="1:9" x14ac:dyDescent="0.35">
      <c r="A2836" s="226"/>
      <c r="B2836" s="226"/>
      <c r="C2836" s="226"/>
      <c r="D2836" s="226"/>
      <c r="E2836" s="226"/>
      <c r="F2836" s="226"/>
      <c r="G2836" s="226"/>
      <c r="H2836" s="226"/>
      <c r="I2836" s="9" t="str">
        <f t="shared" si="44"/>
        <v>__</v>
      </c>
    </row>
    <row r="2837" spans="1:9" x14ac:dyDescent="0.35">
      <c r="A2837" s="226"/>
      <c r="B2837" s="226"/>
      <c r="C2837" s="226"/>
      <c r="D2837" s="226"/>
      <c r="E2837" s="226"/>
      <c r="F2837" s="226"/>
      <c r="G2837" s="226"/>
      <c r="H2837" s="226"/>
      <c r="I2837" s="9" t="str">
        <f t="shared" si="44"/>
        <v>__</v>
      </c>
    </row>
    <row r="2838" spans="1:9" x14ac:dyDescent="0.35">
      <c r="A2838" s="226"/>
      <c r="B2838" s="226"/>
      <c r="C2838" s="226"/>
      <c r="D2838" s="226"/>
      <c r="E2838" s="226"/>
      <c r="F2838" s="226"/>
      <c r="G2838" s="226"/>
      <c r="H2838" s="226"/>
      <c r="I2838" s="9" t="str">
        <f t="shared" si="44"/>
        <v>__</v>
      </c>
    </row>
    <row r="2839" spans="1:9" x14ac:dyDescent="0.35">
      <c r="A2839" s="226"/>
      <c r="B2839" s="226"/>
      <c r="C2839" s="226"/>
      <c r="D2839" s="226"/>
      <c r="E2839" s="226"/>
      <c r="F2839" s="226"/>
      <c r="G2839" s="226"/>
      <c r="H2839" s="226"/>
      <c r="I2839" s="9" t="str">
        <f t="shared" si="44"/>
        <v>__</v>
      </c>
    </row>
    <row r="2840" spans="1:9" x14ac:dyDescent="0.35">
      <c r="A2840" s="226"/>
      <c r="B2840" s="226"/>
      <c r="C2840" s="226"/>
      <c r="D2840" s="226"/>
      <c r="E2840" s="226"/>
      <c r="F2840" s="226"/>
      <c r="G2840" s="226"/>
      <c r="H2840" s="226"/>
      <c r="I2840" s="9" t="str">
        <f t="shared" si="44"/>
        <v>__</v>
      </c>
    </row>
    <row r="2841" spans="1:9" x14ac:dyDescent="0.35">
      <c r="A2841" s="226"/>
      <c r="B2841" s="226"/>
      <c r="C2841" s="226"/>
      <c r="D2841" s="226"/>
      <c r="E2841" s="226"/>
      <c r="F2841" s="226"/>
      <c r="G2841" s="226"/>
      <c r="H2841" s="226"/>
      <c r="I2841" s="9" t="str">
        <f t="shared" si="44"/>
        <v>__</v>
      </c>
    </row>
    <row r="2842" spans="1:9" x14ac:dyDescent="0.35">
      <c r="A2842" s="226"/>
      <c r="B2842" s="226"/>
      <c r="C2842" s="226"/>
      <c r="D2842" s="226"/>
      <c r="E2842" s="226"/>
      <c r="F2842" s="226"/>
      <c r="G2842" s="226"/>
      <c r="H2842" s="226"/>
      <c r="I2842" s="9" t="str">
        <f t="shared" si="44"/>
        <v>__</v>
      </c>
    </row>
    <row r="2843" spans="1:9" x14ac:dyDescent="0.35">
      <c r="A2843" s="226"/>
      <c r="B2843" s="226"/>
      <c r="C2843" s="226"/>
      <c r="D2843" s="226"/>
      <c r="E2843" s="226"/>
      <c r="F2843" s="226"/>
      <c r="G2843" s="226"/>
      <c r="H2843" s="226"/>
      <c r="I2843" s="9" t="str">
        <f t="shared" si="44"/>
        <v>__</v>
      </c>
    </row>
    <row r="2844" spans="1:9" x14ac:dyDescent="0.35">
      <c r="A2844" s="226"/>
      <c r="B2844" s="226"/>
      <c r="C2844" s="226"/>
      <c r="D2844" s="226"/>
      <c r="E2844" s="226"/>
      <c r="F2844" s="226"/>
      <c r="G2844" s="226"/>
      <c r="H2844" s="226"/>
      <c r="I2844" s="9" t="str">
        <f t="shared" si="44"/>
        <v>__</v>
      </c>
    </row>
    <row r="2845" spans="1:9" x14ac:dyDescent="0.35">
      <c r="A2845" s="226"/>
      <c r="B2845" s="226"/>
      <c r="C2845" s="226"/>
      <c r="D2845" s="226"/>
      <c r="E2845" s="226"/>
      <c r="F2845" s="226"/>
      <c r="G2845" s="226"/>
      <c r="H2845" s="226"/>
      <c r="I2845" s="9" t="str">
        <f t="shared" si="44"/>
        <v>__</v>
      </c>
    </row>
    <row r="2846" spans="1:9" x14ac:dyDescent="0.35">
      <c r="A2846" s="226"/>
      <c r="B2846" s="226"/>
      <c r="C2846" s="226"/>
      <c r="D2846" s="226"/>
      <c r="E2846" s="226"/>
      <c r="F2846" s="226"/>
      <c r="G2846" s="226"/>
      <c r="H2846" s="226"/>
      <c r="I2846" s="9" t="str">
        <f t="shared" si="44"/>
        <v>__</v>
      </c>
    </row>
    <row r="2847" spans="1:9" x14ac:dyDescent="0.35">
      <c r="A2847" s="226"/>
      <c r="B2847" s="226"/>
      <c r="C2847" s="226"/>
      <c r="D2847" s="226"/>
      <c r="E2847" s="226"/>
      <c r="F2847" s="226"/>
      <c r="G2847" s="226"/>
      <c r="H2847" s="226"/>
      <c r="I2847" s="9" t="str">
        <f t="shared" si="44"/>
        <v>__</v>
      </c>
    </row>
    <row r="2848" spans="1:9" x14ac:dyDescent="0.35">
      <c r="A2848" s="226"/>
      <c r="B2848" s="226"/>
      <c r="C2848" s="226"/>
      <c r="D2848" s="226"/>
      <c r="E2848" s="226"/>
      <c r="F2848" s="226"/>
      <c r="G2848" s="226"/>
      <c r="H2848" s="226"/>
      <c r="I2848" s="9" t="str">
        <f t="shared" si="44"/>
        <v>__</v>
      </c>
    </row>
    <row r="2849" spans="1:9" x14ac:dyDescent="0.35">
      <c r="A2849" s="226"/>
      <c r="B2849" s="226"/>
      <c r="C2849" s="226"/>
      <c r="D2849" s="226"/>
      <c r="E2849" s="226"/>
      <c r="F2849" s="226"/>
      <c r="G2849" s="226"/>
      <c r="H2849" s="226"/>
      <c r="I2849" s="9" t="str">
        <f t="shared" si="44"/>
        <v>__</v>
      </c>
    </row>
    <row r="2850" spans="1:9" x14ac:dyDescent="0.35">
      <c r="A2850" s="226"/>
      <c r="B2850" s="226"/>
      <c r="C2850" s="226"/>
      <c r="D2850" s="226"/>
      <c r="E2850" s="226"/>
      <c r="F2850" s="226"/>
      <c r="G2850" s="226"/>
      <c r="H2850" s="226"/>
      <c r="I2850" s="9" t="str">
        <f t="shared" si="44"/>
        <v>__</v>
      </c>
    </row>
    <row r="2851" spans="1:9" x14ac:dyDescent="0.35">
      <c r="A2851" s="226"/>
      <c r="B2851" s="226"/>
      <c r="C2851" s="226"/>
      <c r="D2851" s="226"/>
      <c r="E2851" s="226"/>
      <c r="F2851" s="226"/>
      <c r="G2851" s="226"/>
      <c r="H2851" s="226"/>
      <c r="I2851" s="9" t="str">
        <f t="shared" si="44"/>
        <v>__</v>
      </c>
    </row>
    <row r="2852" spans="1:9" x14ac:dyDescent="0.35">
      <c r="A2852" s="226"/>
      <c r="B2852" s="226"/>
      <c r="C2852" s="226"/>
      <c r="D2852" s="226"/>
      <c r="E2852" s="226"/>
      <c r="F2852" s="226"/>
      <c r="G2852" s="226"/>
      <c r="H2852" s="226"/>
      <c r="I2852" s="9" t="str">
        <f t="shared" si="44"/>
        <v>__</v>
      </c>
    </row>
    <row r="2853" spans="1:9" x14ac:dyDescent="0.35">
      <c r="A2853" s="226"/>
      <c r="B2853" s="226"/>
      <c r="C2853" s="226"/>
      <c r="D2853" s="226"/>
      <c r="E2853" s="226"/>
      <c r="F2853" s="226"/>
      <c r="G2853" s="226"/>
      <c r="H2853" s="226"/>
      <c r="I2853" s="9" t="str">
        <f t="shared" si="44"/>
        <v>__</v>
      </c>
    </row>
    <row r="2854" spans="1:9" x14ac:dyDescent="0.35">
      <c r="A2854" s="226"/>
      <c r="B2854" s="226"/>
      <c r="C2854" s="226"/>
      <c r="D2854" s="226"/>
      <c r="E2854" s="226"/>
      <c r="F2854" s="226"/>
      <c r="G2854" s="226"/>
      <c r="H2854" s="226"/>
      <c r="I2854" s="9" t="str">
        <f t="shared" si="44"/>
        <v>__</v>
      </c>
    </row>
    <row r="2855" spans="1:9" x14ac:dyDescent="0.35">
      <c r="A2855" s="226"/>
      <c r="B2855" s="226"/>
      <c r="C2855" s="226"/>
      <c r="D2855" s="226"/>
      <c r="E2855" s="226"/>
      <c r="F2855" s="226"/>
      <c r="G2855" s="226"/>
      <c r="H2855" s="226"/>
      <c r="I2855" s="9" t="str">
        <f t="shared" si="44"/>
        <v>__</v>
      </c>
    </row>
    <row r="2856" spans="1:9" x14ac:dyDescent="0.35">
      <c r="A2856" s="226"/>
      <c r="B2856" s="226"/>
      <c r="C2856" s="226"/>
      <c r="D2856" s="226"/>
      <c r="E2856" s="226"/>
      <c r="F2856" s="226"/>
      <c r="G2856" s="226"/>
      <c r="H2856" s="226"/>
      <c r="I2856" s="9" t="str">
        <f t="shared" si="44"/>
        <v>__</v>
      </c>
    </row>
    <row r="2857" spans="1:9" x14ac:dyDescent="0.35">
      <c r="A2857" s="226"/>
      <c r="B2857" s="226"/>
      <c r="C2857" s="226"/>
      <c r="D2857" s="226"/>
      <c r="E2857" s="226"/>
      <c r="F2857" s="226"/>
      <c r="G2857" s="226"/>
      <c r="H2857" s="226"/>
      <c r="I2857" s="9" t="str">
        <f t="shared" si="44"/>
        <v>__</v>
      </c>
    </row>
    <row r="2858" spans="1:9" x14ac:dyDescent="0.35">
      <c r="A2858" s="226"/>
      <c r="B2858" s="226"/>
      <c r="C2858" s="226"/>
      <c r="D2858" s="226"/>
      <c r="E2858" s="226"/>
      <c r="F2858" s="226"/>
      <c r="G2858" s="226"/>
      <c r="H2858" s="226"/>
      <c r="I2858" s="9" t="str">
        <f t="shared" si="44"/>
        <v>__</v>
      </c>
    </row>
    <row r="2859" spans="1:9" x14ac:dyDescent="0.35">
      <c r="A2859" s="226"/>
      <c r="B2859" s="226"/>
      <c r="C2859" s="226"/>
      <c r="D2859" s="226"/>
      <c r="E2859" s="226"/>
      <c r="F2859" s="226"/>
      <c r="G2859" s="226"/>
      <c r="H2859" s="226"/>
      <c r="I2859" s="9" t="str">
        <f t="shared" si="44"/>
        <v>__</v>
      </c>
    </row>
    <row r="2860" spans="1:9" x14ac:dyDescent="0.35">
      <c r="A2860" s="226"/>
      <c r="B2860" s="226"/>
      <c r="C2860" s="226"/>
      <c r="D2860" s="226"/>
      <c r="E2860" s="226"/>
      <c r="F2860" s="226"/>
      <c r="G2860" s="226"/>
      <c r="H2860" s="226"/>
      <c r="I2860" s="9" t="str">
        <f t="shared" si="44"/>
        <v>__</v>
      </c>
    </row>
    <row r="2861" spans="1:9" x14ac:dyDescent="0.35">
      <c r="A2861" s="226"/>
      <c r="B2861" s="226"/>
      <c r="C2861" s="226"/>
      <c r="D2861" s="226"/>
      <c r="E2861" s="226"/>
      <c r="F2861" s="226"/>
      <c r="G2861" s="226"/>
      <c r="H2861" s="226"/>
      <c r="I2861" s="9" t="str">
        <f t="shared" si="44"/>
        <v>__</v>
      </c>
    </row>
    <row r="2862" spans="1:9" x14ac:dyDescent="0.35">
      <c r="A2862" s="226"/>
      <c r="B2862" s="226"/>
      <c r="C2862" s="226"/>
      <c r="D2862" s="226"/>
      <c r="E2862" s="226"/>
      <c r="F2862" s="226"/>
      <c r="G2862" s="226"/>
      <c r="H2862" s="226"/>
      <c r="I2862" s="9" t="str">
        <f t="shared" si="44"/>
        <v>__</v>
      </c>
    </row>
    <row r="2863" spans="1:9" x14ac:dyDescent="0.35">
      <c r="A2863" s="226"/>
      <c r="B2863" s="226"/>
      <c r="C2863" s="226"/>
      <c r="D2863" s="226"/>
      <c r="E2863" s="226"/>
      <c r="F2863" s="226"/>
      <c r="G2863" s="226"/>
      <c r="H2863" s="226"/>
      <c r="I2863" s="9" t="str">
        <f t="shared" si="44"/>
        <v>__</v>
      </c>
    </row>
    <row r="2864" spans="1:9" x14ac:dyDescent="0.35">
      <c r="A2864" s="226"/>
      <c r="B2864" s="226"/>
      <c r="C2864" s="226"/>
      <c r="D2864" s="226"/>
      <c r="E2864" s="226"/>
      <c r="F2864" s="226"/>
      <c r="G2864" s="226"/>
      <c r="H2864" s="226"/>
      <c r="I2864" s="9" t="str">
        <f t="shared" si="44"/>
        <v>__</v>
      </c>
    </row>
    <row r="2865" spans="1:9" x14ac:dyDescent="0.35">
      <c r="A2865" s="226"/>
      <c r="B2865" s="226"/>
      <c r="C2865" s="226"/>
      <c r="D2865" s="226"/>
      <c r="E2865" s="226"/>
      <c r="F2865" s="226"/>
      <c r="G2865" s="226"/>
      <c r="H2865" s="226"/>
      <c r="I2865" s="9" t="str">
        <f t="shared" si="44"/>
        <v>__</v>
      </c>
    </row>
    <row r="2866" spans="1:9" x14ac:dyDescent="0.35">
      <c r="A2866" s="226"/>
      <c r="B2866" s="226"/>
      <c r="C2866" s="226"/>
      <c r="D2866" s="226"/>
      <c r="E2866" s="226"/>
      <c r="F2866" s="226"/>
      <c r="G2866" s="226"/>
      <c r="H2866" s="226"/>
      <c r="I2866" s="9" t="str">
        <f t="shared" si="44"/>
        <v>__</v>
      </c>
    </row>
    <row r="2867" spans="1:9" x14ac:dyDescent="0.35">
      <c r="A2867" s="226"/>
      <c r="B2867" s="226"/>
      <c r="C2867" s="226"/>
      <c r="D2867" s="226"/>
      <c r="E2867" s="226"/>
      <c r="F2867" s="226"/>
      <c r="G2867" s="226"/>
      <c r="H2867" s="226"/>
      <c r="I2867" s="9" t="str">
        <f t="shared" si="44"/>
        <v>__</v>
      </c>
    </row>
    <row r="2868" spans="1:9" x14ac:dyDescent="0.35">
      <c r="A2868" s="226"/>
      <c r="B2868" s="226"/>
      <c r="C2868" s="226"/>
      <c r="D2868" s="226"/>
      <c r="E2868" s="226"/>
      <c r="F2868" s="226"/>
      <c r="G2868" s="226"/>
      <c r="H2868" s="226"/>
      <c r="I2868" s="9" t="str">
        <f t="shared" si="44"/>
        <v>__</v>
      </c>
    </row>
    <row r="2869" spans="1:9" x14ac:dyDescent="0.35">
      <c r="A2869" s="226"/>
      <c r="B2869" s="226"/>
      <c r="C2869" s="226"/>
      <c r="D2869" s="226"/>
      <c r="E2869" s="226"/>
      <c r="F2869" s="226"/>
      <c r="G2869" s="226"/>
      <c r="H2869" s="226"/>
      <c r="I2869" s="9" t="str">
        <f t="shared" si="44"/>
        <v>__</v>
      </c>
    </row>
    <row r="2870" spans="1:9" x14ac:dyDescent="0.35">
      <c r="A2870" s="226"/>
      <c r="B2870" s="226"/>
      <c r="C2870" s="226"/>
      <c r="D2870" s="226"/>
      <c r="E2870" s="226"/>
      <c r="F2870" s="226"/>
      <c r="G2870" s="226"/>
      <c r="H2870" s="226"/>
      <c r="I2870" s="9" t="str">
        <f t="shared" si="44"/>
        <v>__</v>
      </c>
    </row>
    <row r="2871" spans="1:9" x14ac:dyDescent="0.35">
      <c r="A2871" s="226"/>
      <c r="B2871" s="226"/>
      <c r="C2871" s="226"/>
      <c r="D2871" s="226"/>
      <c r="E2871" s="226"/>
      <c r="F2871" s="226"/>
      <c r="G2871" s="226"/>
      <c r="H2871" s="226"/>
      <c r="I2871" s="9" t="str">
        <f t="shared" si="44"/>
        <v>__</v>
      </c>
    </row>
    <row r="2872" spans="1:9" x14ac:dyDescent="0.35">
      <c r="A2872" s="226"/>
      <c r="B2872" s="226"/>
      <c r="C2872" s="226"/>
      <c r="D2872" s="226"/>
      <c r="E2872" s="226"/>
      <c r="F2872" s="226"/>
      <c r="G2872" s="226"/>
      <c r="H2872" s="226"/>
      <c r="I2872" s="9" t="str">
        <f t="shared" si="44"/>
        <v>__</v>
      </c>
    </row>
    <row r="2873" spans="1:9" x14ac:dyDescent="0.35">
      <c r="A2873" s="226"/>
      <c r="B2873" s="226"/>
      <c r="C2873" s="226"/>
      <c r="D2873" s="226"/>
      <c r="E2873" s="226"/>
      <c r="F2873" s="226"/>
      <c r="G2873" s="226"/>
      <c r="H2873" s="226"/>
      <c r="I2873" s="9" t="str">
        <f t="shared" si="44"/>
        <v>__</v>
      </c>
    </row>
    <row r="2874" spans="1:9" x14ac:dyDescent="0.35">
      <c r="A2874" s="226"/>
      <c r="B2874" s="226"/>
      <c r="C2874" s="226"/>
      <c r="D2874" s="226"/>
      <c r="E2874" s="226"/>
      <c r="F2874" s="226"/>
      <c r="G2874" s="226"/>
      <c r="H2874" s="226"/>
      <c r="I2874" s="9" t="str">
        <f t="shared" si="44"/>
        <v>__</v>
      </c>
    </row>
    <row r="2875" spans="1:9" x14ac:dyDescent="0.35">
      <c r="A2875" s="226"/>
      <c r="B2875" s="226"/>
      <c r="C2875" s="226"/>
      <c r="D2875" s="226"/>
      <c r="E2875" s="226"/>
      <c r="F2875" s="226"/>
      <c r="G2875" s="226"/>
      <c r="H2875" s="226"/>
      <c r="I2875" s="9" t="str">
        <f t="shared" si="44"/>
        <v>__</v>
      </c>
    </row>
    <row r="2876" spans="1:9" x14ac:dyDescent="0.35">
      <c r="A2876" s="226"/>
      <c r="B2876" s="226"/>
      <c r="C2876" s="226"/>
      <c r="D2876" s="226"/>
      <c r="E2876" s="226"/>
      <c r="F2876" s="226"/>
      <c r="G2876" s="226"/>
      <c r="H2876" s="226"/>
      <c r="I2876" s="9" t="str">
        <f t="shared" si="44"/>
        <v>__</v>
      </c>
    </row>
    <row r="2877" spans="1:9" x14ac:dyDescent="0.35">
      <c r="A2877" s="226"/>
      <c r="B2877" s="226"/>
      <c r="C2877" s="226"/>
      <c r="D2877" s="226"/>
      <c r="E2877" s="226"/>
      <c r="F2877" s="226"/>
      <c r="G2877" s="226"/>
      <c r="H2877" s="226"/>
      <c r="I2877" s="9" t="str">
        <f t="shared" si="44"/>
        <v>__</v>
      </c>
    </row>
    <row r="2878" spans="1:9" x14ac:dyDescent="0.35">
      <c r="A2878" s="226"/>
      <c r="B2878" s="226"/>
      <c r="C2878" s="226"/>
      <c r="D2878" s="226"/>
      <c r="E2878" s="226"/>
      <c r="F2878" s="226"/>
      <c r="G2878" s="226"/>
      <c r="H2878" s="226"/>
      <c r="I2878" s="9" t="str">
        <f t="shared" si="44"/>
        <v>__</v>
      </c>
    </row>
    <row r="2879" spans="1:9" x14ac:dyDescent="0.35">
      <c r="A2879" s="226"/>
      <c r="B2879" s="226"/>
      <c r="C2879" s="226"/>
      <c r="D2879" s="226"/>
      <c r="E2879" s="226"/>
      <c r="F2879" s="226"/>
      <c r="G2879" s="226"/>
      <c r="H2879" s="226"/>
      <c r="I2879" s="9" t="str">
        <f t="shared" si="44"/>
        <v>__</v>
      </c>
    </row>
    <row r="2880" spans="1:9" x14ac:dyDescent="0.35">
      <c r="A2880" s="226"/>
      <c r="B2880" s="226"/>
      <c r="C2880" s="226"/>
      <c r="D2880" s="226"/>
      <c r="E2880" s="226"/>
      <c r="F2880" s="226"/>
      <c r="G2880" s="226"/>
      <c r="H2880" s="226"/>
      <c r="I2880" s="9" t="str">
        <f t="shared" si="44"/>
        <v>__</v>
      </c>
    </row>
    <row r="2881" spans="1:9" x14ac:dyDescent="0.35">
      <c r="A2881" s="226"/>
      <c r="B2881" s="226"/>
      <c r="C2881" s="226"/>
      <c r="D2881" s="226"/>
      <c r="E2881" s="226"/>
      <c r="F2881" s="226"/>
      <c r="G2881" s="226"/>
      <c r="H2881" s="226"/>
      <c r="I2881" s="9" t="str">
        <f t="shared" si="44"/>
        <v>__</v>
      </c>
    </row>
    <row r="2882" spans="1:9" x14ac:dyDescent="0.35">
      <c r="A2882" s="226"/>
      <c r="B2882" s="226"/>
      <c r="C2882" s="226"/>
      <c r="D2882" s="226"/>
      <c r="E2882" s="226"/>
      <c r="F2882" s="226"/>
      <c r="G2882" s="226"/>
      <c r="H2882" s="226"/>
      <c r="I2882" s="9" t="str">
        <f t="shared" si="44"/>
        <v>__</v>
      </c>
    </row>
    <row r="2883" spans="1:9" x14ac:dyDescent="0.35">
      <c r="A2883" s="226"/>
      <c r="B2883" s="226"/>
      <c r="C2883" s="226"/>
      <c r="D2883" s="226"/>
      <c r="E2883" s="226"/>
      <c r="F2883" s="226"/>
      <c r="G2883" s="226"/>
      <c r="H2883" s="226"/>
      <c r="I2883" s="9" t="str">
        <f t="shared" si="44"/>
        <v>__</v>
      </c>
    </row>
    <row r="2884" spans="1:9" x14ac:dyDescent="0.35">
      <c r="A2884" s="226"/>
      <c r="B2884" s="226"/>
      <c r="C2884" s="226"/>
      <c r="D2884" s="226"/>
      <c r="E2884" s="226"/>
      <c r="F2884" s="226"/>
      <c r="G2884" s="226"/>
      <c r="H2884" s="226"/>
      <c r="I2884" s="9" t="str">
        <f t="shared" si="44"/>
        <v>__</v>
      </c>
    </row>
    <row r="2885" spans="1:9" x14ac:dyDescent="0.35">
      <c r="A2885" s="226"/>
      <c r="B2885" s="226"/>
      <c r="C2885" s="226"/>
      <c r="D2885" s="226"/>
      <c r="E2885" s="226"/>
      <c r="F2885" s="226"/>
      <c r="G2885" s="226"/>
      <c r="H2885" s="226"/>
      <c r="I2885" s="9" t="str">
        <f t="shared" ref="I2885:I2948" si="45">CONCATENATE(A2885,"_",B2885,"_",C2885)</f>
        <v>__</v>
      </c>
    </row>
    <row r="2886" spans="1:9" x14ac:dyDescent="0.35">
      <c r="A2886" s="226"/>
      <c r="B2886" s="226"/>
      <c r="C2886" s="226"/>
      <c r="D2886" s="226"/>
      <c r="E2886" s="226"/>
      <c r="F2886" s="226"/>
      <c r="G2886" s="226"/>
      <c r="H2886" s="226"/>
      <c r="I2886" s="9" t="str">
        <f t="shared" si="45"/>
        <v>__</v>
      </c>
    </row>
    <row r="2887" spans="1:9" x14ac:dyDescent="0.35">
      <c r="A2887" s="226"/>
      <c r="B2887" s="226"/>
      <c r="C2887" s="226"/>
      <c r="D2887" s="226"/>
      <c r="E2887" s="226"/>
      <c r="F2887" s="226"/>
      <c r="G2887" s="226"/>
      <c r="H2887" s="226"/>
      <c r="I2887" s="9" t="str">
        <f t="shared" si="45"/>
        <v>__</v>
      </c>
    </row>
    <row r="2888" spans="1:9" x14ac:dyDescent="0.35">
      <c r="A2888" s="226"/>
      <c r="B2888" s="226"/>
      <c r="C2888" s="226"/>
      <c r="D2888" s="226"/>
      <c r="E2888" s="226"/>
      <c r="F2888" s="226"/>
      <c r="G2888" s="226"/>
      <c r="H2888" s="226"/>
      <c r="I2888" s="9" t="str">
        <f t="shared" si="45"/>
        <v>__</v>
      </c>
    </row>
    <row r="2889" spans="1:9" x14ac:dyDescent="0.35">
      <c r="A2889" s="226"/>
      <c r="B2889" s="226"/>
      <c r="C2889" s="226"/>
      <c r="D2889" s="226"/>
      <c r="E2889" s="226"/>
      <c r="F2889" s="226"/>
      <c r="G2889" s="226"/>
      <c r="H2889" s="226"/>
      <c r="I2889" s="9" t="str">
        <f t="shared" si="45"/>
        <v>__</v>
      </c>
    </row>
    <row r="2890" spans="1:9" x14ac:dyDescent="0.35">
      <c r="A2890" s="226"/>
      <c r="B2890" s="226"/>
      <c r="C2890" s="226"/>
      <c r="D2890" s="226"/>
      <c r="E2890" s="226"/>
      <c r="F2890" s="226"/>
      <c r="G2890" s="226"/>
      <c r="H2890" s="226"/>
      <c r="I2890" s="9" t="str">
        <f t="shared" si="45"/>
        <v>__</v>
      </c>
    </row>
    <row r="2891" spans="1:9" x14ac:dyDescent="0.35">
      <c r="A2891" s="226"/>
      <c r="B2891" s="226"/>
      <c r="C2891" s="226"/>
      <c r="D2891" s="226"/>
      <c r="E2891" s="226"/>
      <c r="F2891" s="226"/>
      <c r="G2891" s="226"/>
      <c r="H2891" s="226"/>
      <c r="I2891" s="9" t="str">
        <f t="shared" si="45"/>
        <v>__</v>
      </c>
    </row>
    <row r="2892" spans="1:9" x14ac:dyDescent="0.35">
      <c r="A2892" s="226"/>
      <c r="B2892" s="226"/>
      <c r="C2892" s="226"/>
      <c r="D2892" s="226"/>
      <c r="E2892" s="226"/>
      <c r="F2892" s="226"/>
      <c r="G2892" s="226"/>
      <c r="H2892" s="226"/>
      <c r="I2892" s="9" t="str">
        <f t="shared" si="45"/>
        <v>__</v>
      </c>
    </row>
    <row r="2893" spans="1:9" x14ac:dyDescent="0.35">
      <c r="A2893" s="226"/>
      <c r="B2893" s="226"/>
      <c r="C2893" s="226"/>
      <c r="D2893" s="226"/>
      <c r="E2893" s="226"/>
      <c r="F2893" s="226"/>
      <c r="G2893" s="226"/>
      <c r="H2893" s="226"/>
      <c r="I2893" s="9" t="str">
        <f t="shared" si="45"/>
        <v>__</v>
      </c>
    </row>
    <row r="2894" spans="1:9" x14ac:dyDescent="0.35">
      <c r="A2894" s="226"/>
      <c r="B2894" s="226"/>
      <c r="C2894" s="226"/>
      <c r="D2894" s="226"/>
      <c r="E2894" s="226"/>
      <c r="F2894" s="226"/>
      <c r="G2894" s="226"/>
      <c r="H2894" s="226"/>
      <c r="I2894" s="9" t="str">
        <f t="shared" si="45"/>
        <v>__</v>
      </c>
    </row>
    <row r="2895" spans="1:9" x14ac:dyDescent="0.35">
      <c r="A2895" s="226"/>
      <c r="B2895" s="226"/>
      <c r="C2895" s="226"/>
      <c r="D2895" s="226"/>
      <c r="E2895" s="226"/>
      <c r="F2895" s="226"/>
      <c r="G2895" s="226"/>
      <c r="H2895" s="226"/>
      <c r="I2895" s="9" t="str">
        <f t="shared" si="45"/>
        <v>__</v>
      </c>
    </row>
    <row r="2896" spans="1:9" x14ac:dyDescent="0.35">
      <c r="A2896" s="226"/>
      <c r="B2896" s="226"/>
      <c r="C2896" s="226"/>
      <c r="D2896" s="226"/>
      <c r="E2896" s="226"/>
      <c r="F2896" s="226"/>
      <c r="G2896" s="226"/>
      <c r="H2896" s="226"/>
      <c r="I2896" s="9" t="str">
        <f t="shared" si="45"/>
        <v>__</v>
      </c>
    </row>
    <row r="2897" spans="1:9" x14ac:dyDescent="0.35">
      <c r="A2897" s="226"/>
      <c r="B2897" s="226"/>
      <c r="C2897" s="226"/>
      <c r="D2897" s="226"/>
      <c r="E2897" s="226"/>
      <c r="F2897" s="226"/>
      <c r="G2897" s="226"/>
      <c r="H2897" s="226"/>
      <c r="I2897" s="9" t="str">
        <f t="shared" si="45"/>
        <v>__</v>
      </c>
    </row>
    <row r="2898" spans="1:9" x14ac:dyDescent="0.35">
      <c r="A2898" s="226"/>
      <c r="B2898" s="226"/>
      <c r="C2898" s="226"/>
      <c r="D2898" s="226"/>
      <c r="E2898" s="226"/>
      <c r="F2898" s="226"/>
      <c r="G2898" s="226"/>
      <c r="H2898" s="226"/>
      <c r="I2898" s="9" t="str">
        <f t="shared" si="45"/>
        <v>__</v>
      </c>
    </row>
    <row r="2899" spans="1:9" x14ac:dyDescent="0.35">
      <c r="A2899" s="226"/>
      <c r="B2899" s="226"/>
      <c r="C2899" s="226"/>
      <c r="D2899" s="226"/>
      <c r="E2899" s="226"/>
      <c r="F2899" s="226"/>
      <c r="G2899" s="226"/>
      <c r="H2899" s="226"/>
      <c r="I2899" s="9" t="str">
        <f t="shared" si="45"/>
        <v>__</v>
      </c>
    </row>
    <row r="2900" spans="1:9" x14ac:dyDescent="0.35">
      <c r="A2900" s="226"/>
      <c r="B2900" s="226"/>
      <c r="C2900" s="226"/>
      <c r="D2900" s="226"/>
      <c r="E2900" s="226"/>
      <c r="F2900" s="226"/>
      <c r="G2900" s="226"/>
      <c r="H2900" s="226"/>
      <c r="I2900" s="9" t="str">
        <f t="shared" si="45"/>
        <v>__</v>
      </c>
    </row>
    <row r="2901" spans="1:9" x14ac:dyDescent="0.35">
      <c r="A2901" s="226"/>
      <c r="B2901" s="226"/>
      <c r="C2901" s="226"/>
      <c r="D2901" s="226"/>
      <c r="E2901" s="226"/>
      <c r="F2901" s="226"/>
      <c r="G2901" s="226"/>
      <c r="H2901" s="226"/>
      <c r="I2901" s="9" t="str">
        <f t="shared" si="45"/>
        <v>__</v>
      </c>
    </row>
    <row r="2902" spans="1:9" x14ac:dyDescent="0.35">
      <c r="A2902" s="226"/>
      <c r="B2902" s="226"/>
      <c r="C2902" s="226"/>
      <c r="D2902" s="226"/>
      <c r="E2902" s="226"/>
      <c r="F2902" s="226"/>
      <c r="G2902" s="226"/>
      <c r="H2902" s="226"/>
      <c r="I2902" s="9" t="str">
        <f t="shared" si="45"/>
        <v>__</v>
      </c>
    </row>
    <row r="2903" spans="1:9" x14ac:dyDescent="0.35">
      <c r="A2903" s="226"/>
      <c r="B2903" s="226"/>
      <c r="C2903" s="226"/>
      <c r="D2903" s="226"/>
      <c r="E2903" s="226"/>
      <c r="F2903" s="226"/>
      <c r="G2903" s="226"/>
      <c r="H2903" s="226"/>
      <c r="I2903" s="9" t="str">
        <f t="shared" si="45"/>
        <v>__</v>
      </c>
    </row>
    <row r="2904" spans="1:9" x14ac:dyDescent="0.35">
      <c r="A2904" s="226"/>
      <c r="B2904" s="226"/>
      <c r="C2904" s="226"/>
      <c r="D2904" s="226"/>
      <c r="E2904" s="226"/>
      <c r="F2904" s="226"/>
      <c r="G2904" s="226"/>
      <c r="H2904" s="226"/>
      <c r="I2904" s="9" t="str">
        <f t="shared" si="45"/>
        <v>__</v>
      </c>
    </row>
    <row r="2905" spans="1:9" x14ac:dyDescent="0.35">
      <c r="A2905" s="226"/>
      <c r="B2905" s="226"/>
      <c r="C2905" s="226"/>
      <c r="D2905" s="226"/>
      <c r="E2905" s="226"/>
      <c r="F2905" s="226"/>
      <c r="G2905" s="226"/>
      <c r="H2905" s="226"/>
      <c r="I2905" s="9" t="str">
        <f t="shared" si="45"/>
        <v>__</v>
      </c>
    </row>
    <row r="2906" spans="1:9" x14ac:dyDescent="0.35">
      <c r="A2906" s="226"/>
      <c r="B2906" s="226"/>
      <c r="C2906" s="226"/>
      <c r="D2906" s="226"/>
      <c r="E2906" s="226"/>
      <c r="F2906" s="226"/>
      <c r="G2906" s="226"/>
      <c r="H2906" s="226"/>
      <c r="I2906" s="9" t="str">
        <f t="shared" si="45"/>
        <v>__</v>
      </c>
    </row>
    <row r="2907" spans="1:9" x14ac:dyDescent="0.35">
      <c r="A2907" s="226"/>
      <c r="B2907" s="226"/>
      <c r="C2907" s="226"/>
      <c r="D2907" s="226"/>
      <c r="E2907" s="226"/>
      <c r="F2907" s="226"/>
      <c r="G2907" s="226"/>
      <c r="H2907" s="226"/>
      <c r="I2907" s="9" t="str">
        <f t="shared" si="45"/>
        <v>__</v>
      </c>
    </row>
    <row r="2908" spans="1:9" x14ac:dyDescent="0.35">
      <c r="A2908" s="226"/>
      <c r="B2908" s="226"/>
      <c r="C2908" s="226"/>
      <c r="D2908" s="226"/>
      <c r="E2908" s="226"/>
      <c r="F2908" s="226"/>
      <c r="G2908" s="226"/>
      <c r="H2908" s="226"/>
      <c r="I2908" s="9" t="str">
        <f t="shared" si="45"/>
        <v>__</v>
      </c>
    </row>
    <row r="2909" spans="1:9" x14ac:dyDescent="0.35">
      <c r="A2909" s="226"/>
      <c r="B2909" s="226"/>
      <c r="C2909" s="226"/>
      <c r="D2909" s="226"/>
      <c r="E2909" s="226"/>
      <c r="F2909" s="226"/>
      <c r="G2909" s="226"/>
      <c r="H2909" s="226"/>
      <c r="I2909" s="9" t="str">
        <f t="shared" si="45"/>
        <v>__</v>
      </c>
    </row>
    <row r="2910" spans="1:9" x14ac:dyDescent="0.35">
      <c r="A2910" s="226"/>
      <c r="B2910" s="226"/>
      <c r="C2910" s="226"/>
      <c r="D2910" s="226"/>
      <c r="E2910" s="226"/>
      <c r="F2910" s="226"/>
      <c r="G2910" s="226"/>
      <c r="H2910" s="226"/>
      <c r="I2910" s="9" t="str">
        <f t="shared" si="45"/>
        <v>__</v>
      </c>
    </row>
    <row r="2911" spans="1:9" x14ac:dyDescent="0.35">
      <c r="A2911" s="226"/>
      <c r="B2911" s="226"/>
      <c r="C2911" s="226"/>
      <c r="D2911" s="226"/>
      <c r="E2911" s="226"/>
      <c r="F2911" s="226"/>
      <c r="G2911" s="226"/>
      <c r="H2911" s="226"/>
      <c r="I2911" s="9" t="str">
        <f t="shared" si="45"/>
        <v>__</v>
      </c>
    </row>
    <row r="2912" spans="1:9" x14ac:dyDescent="0.35">
      <c r="A2912" s="226"/>
      <c r="B2912" s="226"/>
      <c r="C2912" s="226"/>
      <c r="D2912" s="226"/>
      <c r="E2912" s="226"/>
      <c r="F2912" s="226"/>
      <c r="G2912" s="226"/>
      <c r="H2912" s="226"/>
      <c r="I2912" s="9" t="str">
        <f t="shared" si="45"/>
        <v>__</v>
      </c>
    </row>
    <row r="2913" spans="1:9" x14ac:dyDescent="0.35">
      <c r="A2913" s="226"/>
      <c r="B2913" s="226"/>
      <c r="C2913" s="226"/>
      <c r="D2913" s="226"/>
      <c r="E2913" s="226"/>
      <c r="F2913" s="226"/>
      <c r="G2913" s="226"/>
      <c r="H2913" s="226"/>
      <c r="I2913" s="9" t="str">
        <f t="shared" si="45"/>
        <v>__</v>
      </c>
    </row>
    <row r="2914" spans="1:9" x14ac:dyDescent="0.35">
      <c r="A2914" s="226"/>
      <c r="B2914" s="226"/>
      <c r="C2914" s="226"/>
      <c r="D2914" s="226"/>
      <c r="E2914" s="226"/>
      <c r="F2914" s="226"/>
      <c r="G2914" s="226"/>
      <c r="H2914" s="226"/>
      <c r="I2914" s="9" t="str">
        <f t="shared" si="45"/>
        <v>__</v>
      </c>
    </row>
    <row r="2915" spans="1:9" x14ac:dyDescent="0.35">
      <c r="A2915" s="226"/>
      <c r="B2915" s="226"/>
      <c r="C2915" s="226"/>
      <c r="D2915" s="226"/>
      <c r="E2915" s="226"/>
      <c r="F2915" s="226"/>
      <c r="G2915" s="226"/>
      <c r="H2915" s="226"/>
      <c r="I2915" s="9" t="str">
        <f t="shared" si="45"/>
        <v>__</v>
      </c>
    </row>
    <row r="2916" spans="1:9" x14ac:dyDescent="0.35">
      <c r="A2916" s="226"/>
      <c r="B2916" s="226"/>
      <c r="C2916" s="226"/>
      <c r="D2916" s="226"/>
      <c r="E2916" s="226"/>
      <c r="F2916" s="226"/>
      <c r="G2916" s="226"/>
      <c r="H2916" s="226"/>
      <c r="I2916" s="9" t="str">
        <f t="shared" si="45"/>
        <v>__</v>
      </c>
    </row>
    <row r="2917" spans="1:9" x14ac:dyDescent="0.35">
      <c r="A2917" s="226"/>
      <c r="B2917" s="226"/>
      <c r="C2917" s="226"/>
      <c r="D2917" s="226"/>
      <c r="E2917" s="226"/>
      <c r="F2917" s="226"/>
      <c r="G2917" s="226"/>
      <c r="H2917" s="226"/>
      <c r="I2917" s="9" t="str">
        <f t="shared" si="45"/>
        <v>__</v>
      </c>
    </row>
    <row r="2918" spans="1:9" x14ac:dyDescent="0.35">
      <c r="A2918" s="226"/>
      <c r="B2918" s="226"/>
      <c r="C2918" s="226"/>
      <c r="D2918" s="226"/>
      <c r="E2918" s="226"/>
      <c r="F2918" s="226"/>
      <c r="G2918" s="226"/>
      <c r="H2918" s="226"/>
      <c r="I2918" s="9" t="str">
        <f t="shared" si="45"/>
        <v>__</v>
      </c>
    </row>
    <row r="2919" spans="1:9" x14ac:dyDescent="0.35">
      <c r="A2919" s="226"/>
      <c r="B2919" s="226"/>
      <c r="C2919" s="226"/>
      <c r="D2919" s="226"/>
      <c r="E2919" s="226"/>
      <c r="F2919" s="226"/>
      <c r="G2919" s="226"/>
      <c r="H2919" s="226"/>
      <c r="I2919" s="9" t="str">
        <f t="shared" si="45"/>
        <v>__</v>
      </c>
    </row>
    <row r="2920" spans="1:9" x14ac:dyDescent="0.35">
      <c r="A2920" s="226"/>
      <c r="B2920" s="226"/>
      <c r="C2920" s="226"/>
      <c r="D2920" s="226"/>
      <c r="E2920" s="226"/>
      <c r="F2920" s="226"/>
      <c r="G2920" s="226"/>
      <c r="H2920" s="226"/>
      <c r="I2920" s="9" t="str">
        <f t="shared" si="45"/>
        <v>__</v>
      </c>
    </row>
    <row r="2921" spans="1:9" x14ac:dyDescent="0.35">
      <c r="A2921" s="226"/>
      <c r="B2921" s="226"/>
      <c r="C2921" s="226"/>
      <c r="D2921" s="226"/>
      <c r="E2921" s="226"/>
      <c r="F2921" s="226"/>
      <c r="G2921" s="226"/>
      <c r="H2921" s="226"/>
      <c r="I2921" s="9" t="str">
        <f t="shared" si="45"/>
        <v>__</v>
      </c>
    </row>
    <row r="2922" spans="1:9" x14ac:dyDescent="0.35">
      <c r="A2922" s="226"/>
      <c r="B2922" s="226"/>
      <c r="C2922" s="226"/>
      <c r="D2922" s="226"/>
      <c r="E2922" s="226"/>
      <c r="F2922" s="226"/>
      <c r="G2922" s="226"/>
      <c r="H2922" s="226"/>
      <c r="I2922" s="9" t="str">
        <f t="shared" si="45"/>
        <v>__</v>
      </c>
    </row>
    <row r="2923" spans="1:9" x14ac:dyDescent="0.35">
      <c r="A2923" s="226"/>
      <c r="B2923" s="226"/>
      <c r="C2923" s="226"/>
      <c r="D2923" s="226"/>
      <c r="E2923" s="226"/>
      <c r="F2923" s="226"/>
      <c r="G2923" s="226"/>
      <c r="H2923" s="226"/>
      <c r="I2923" s="9" t="str">
        <f t="shared" si="45"/>
        <v>__</v>
      </c>
    </row>
    <row r="2924" spans="1:9" x14ac:dyDescent="0.35">
      <c r="A2924" s="226"/>
      <c r="B2924" s="226"/>
      <c r="C2924" s="226"/>
      <c r="D2924" s="226"/>
      <c r="E2924" s="226"/>
      <c r="F2924" s="226"/>
      <c r="G2924" s="226"/>
      <c r="H2924" s="226"/>
      <c r="I2924" s="9" t="str">
        <f t="shared" si="45"/>
        <v>__</v>
      </c>
    </row>
    <row r="2925" spans="1:9" x14ac:dyDescent="0.35">
      <c r="A2925" s="226"/>
      <c r="B2925" s="226"/>
      <c r="C2925" s="226"/>
      <c r="D2925" s="226"/>
      <c r="E2925" s="226"/>
      <c r="F2925" s="226"/>
      <c r="G2925" s="226"/>
      <c r="H2925" s="226"/>
      <c r="I2925" s="9" t="str">
        <f t="shared" si="45"/>
        <v>__</v>
      </c>
    </row>
    <row r="2926" spans="1:9" x14ac:dyDescent="0.35">
      <c r="A2926" s="226"/>
      <c r="B2926" s="226"/>
      <c r="C2926" s="226"/>
      <c r="D2926" s="226"/>
      <c r="E2926" s="226"/>
      <c r="F2926" s="226"/>
      <c r="G2926" s="226"/>
      <c r="H2926" s="226"/>
      <c r="I2926" s="9" t="str">
        <f t="shared" si="45"/>
        <v>__</v>
      </c>
    </row>
    <row r="2927" spans="1:9" x14ac:dyDescent="0.35">
      <c r="A2927" s="226"/>
      <c r="B2927" s="226"/>
      <c r="C2927" s="226"/>
      <c r="D2927" s="226"/>
      <c r="E2927" s="226"/>
      <c r="F2927" s="226"/>
      <c r="G2927" s="226"/>
      <c r="H2927" s="226"/>
      <c r="I2927" s="9" t="str">
        <f t="shared" si="45"/>
        <v>__</v>
      </c>
    </row>
    <row r="2928" spans="1:9" x14ac:dyDescent="0.35">
      <c r="A2928" s="226"/>
      <c r="B2928" s="226"/>
      <c r="C2928" s="226"/>
      <c r="D2928" s="226"/>
      <c r="E2928" s="226"/>
      <c r="F2928" s="226"/>
      <c r="G2928" s="226"/>
      <c r="H2928" s="226"/>
      <c r="I2928" s="9" t="str">
        <f t="shared" si="45"/>
        <v>__</v>
      </c>
    </row>
    <row r="2929" spans="1:9" x14ac:dyDescent="0.35">
      <c r="A2929" s="226"/>
      <c r="B2929" s="226"/>
      <c r="C2929" s="226"/>
      <c r="D2929" s="226"/>
      <c r="E2929" s="226"/>
      <c r="F2929" s="226"/>
      <c r="G2929" s="226"/>
      <c r="H2929" s="226"/>
      <c r="I2929" s="9" t="str">
        <f t="shared" si="45"/>
        <v>__</v>
      </c>
    </row>
    <row r="2930" spans="1:9" x14ac:dyDescent="0.35">
      <c r="A2930" s="226"/>
      <c r="B2930" s="226"/>
      <c r="C2930" s="226"/>
      <c r="D2930" s="226"/>
      <c r="E2930" s="226"/>
      <c r="F2930" s="226"/>
      <c r="G2930" s="226"/>
      <c r="H2930" s="226"/>
      <c r="I2930" s="9" t="str">
        <f t="shared" si="45"/>
        <v>__</v>
      </c>
    </row>
    <row r="2931" spans="1:9" x14ac:dyDescent="0.35">
      <c r="A2931" s="226"/>
      <c r="B2931" s="226"/>
      <c r="C2931" s="226"/>
      <c r="D2931" s="226"/>
      <c r="E2931" s="226"/>
      <c r="F2931" s="226"/>
      <c r="G2931" s="226"/>
      <c r="H2931" s="226"/>
      <c r="I2931" s="9" t="str">
        <f t="shared" si="45"/>
        <v>__</v>
      </c>
    </row>
    <row r="2932" spans="1:9" x14ac:dyDescent="0.35">
      <c r="A2932" s="226"/>
      <c r="B2932" s="226"/>
      <c r="C2932" s="226"/>
      <c r="D2932" s="226"/>
      <c r="E2932" s="226"/>
      <c r="F2932" s="226"/>
      <c r="G2932" s="226"/>
      <c r="H2932" s="226"/>
      <c r="I2932" s="9" t="str">
        <f t="shared" si="45"/>
        <v>__</v>
      </c>
    </row>
    <row r="2933" spans="1:9" x14ac:dyDescent="0.35">
      <c r="A2933" s="226"/>
      <c r="B2933" s="226"/>
      <c r="C2933" s="226"/>
      <c r="D2933" s="226"/>
      <c r="E2933" s="226"/>
      <c r="F2933" s="226"/>
      <c r="G2933" s="226"/>
      <c r="H2933" s="226"/>
      <c r="I2933" s="9" t="str">
        <f t="shared" si="45"/>
        <v>__</v>
      </c>
    </row>
    <row r="2934" spans="1:9" x14ac:dyDescent="0.35">
      <c r="A2934" s="226"/>
      <c r="B2934" s="226"/>
      <c r="C2934" s="226"/>
      <c r="D2934" s="226"/>
      <c r="E2934" s="226"/>
      <c r="F2934" s="226"/>
      <c r="G2934" s="226"/>
      <c r="H2934" s="226"/>
      <c r="I2934" s="9" t="str">
        <f t="shared" si="45"/>
        <v>__</v>
      </c>
    </row>
    <row r="2935" spans="1:9" x14ac:dyDescent="0.35">
      <c r="A2935" s="226"/>
      <c r="B2935" s="226"/>
      <c r="C2935" s="226"/>
      <c r="D2935" s="226"/>
      <c r="E2935" s="226"/>
      <c r="F2935" s="226"/>
      <c r="G2935" s="226"/>
      <c r="H2935" s="226"/>
      <c r="I2935" s="9" t="str">
        <f t="shared" si="45"/>
        <v>__</v>
      </c>
    </row>
    <row r="2936" spans="1:9" x14ac:dyDescent="0.35">
      <c r="A2936" s="226"/>
      <c r="B2936" s="226"/>
      <c r="C2936" s="226"/>
      <c r="D2936" s="226"/>
      <c r="E2936" s="226"/>
      <c r="F2936" s="226"/>
      <c r="G2936" s="226"/>
      <c r="H2936" s="226"/>
      <c r="I2936" s="9" t="str">
        <f t="shared" si="45"/>
        <v>__</v>
      </c>
    </row>
    <row r="2937" spans="1:9" x14ac:dyDescent="0.35">
      <c r="A2937" s="226"/>
      <c r="B2937" s="226"/>
      <c r="C2937" s="226"/>
      <c r="D2937" s="226"/>
      <c r="E2937" s="226"/>
      <c r="F2937" s="226"/>
      <c r="G2937" s="226"/>
      <c r="H2937" s="226"/>
      <c r="I2937" s="9" t="str">
        <f t="shared" si="45"/>
        <v>__</v>
      </c>
    </row>
    <row r="2938" spans="1:9" x14ac:dyDescent="0.35">
      <c r="A2938" s="226"/>
      <c r="B2938" s="226"/>
      <c r="C2938" s="226"/>
      <c r="D2938" s="226"/>
      <c r="E2938" s="226"/>
      <c r="F2938" s="226"/>
      <c r="G2938" s="226"/>
      <c r="H2938" s="226"/>
      <c r="I2938" s="9" t="str">
        <f t="shared" si="45"/>
        <v>__</v>
      </c>
    </row>
    <row r="2939" spans="1:9" x14ac:dyDescent="0.35">
      <c r="A2939" s="226"/>
      <c r="B2939" s="226"/>
      <c r="C2939" s="226"/>
      <c r="D2939" s="226"/>
      <c r="E2939" s="226"/>
      <c r="F2939" s="226"/>
      <c r="G2939" s="226"/>
      <c r="H2939" s="226"/>
      <c r="I2939" s="9" t="str">
        <f t="shared" si="45"/>
        <v>__</v>
      </c>
    </row>
    <row r="2940" spans="1:9" x14ac:dyDescent="0.35">
      <c r="A2940" s="226"/>
      <c r="B2940" s="226"/>
      <c r="C2940" s="226"/>
      <c r="D2940" s="226"/>
      <c r="E2940" s="226"/>
      <c r="F2940" s="226"/>
      <c r="G2940" s="226"/>
      <c r="H2940" s="226"/>
      <c r="I2940" s="9" t="str">
        <f t="shared" si="45"/>
        <v>__</v>
      </c>
    </row>
    <row r="2941" spans="1:9" x14ac:dyDescent="0.35">
      <c r="A2941" s="226"/>
      <c r="B2941" s="226"/>
      <c r="C2941" s="226"/>
      <c r="D2941" s="226"/>
      <c r="E2941" s="226"/>
      <c r="F2941" s="226"/>
      <c r="G2941" s="226"/>
      <c r="H2941" s="226"/>
      <c r="I2941" s="9" t="str">
        <f t="shared" si="45"/>
        <v>__</v>
      </c>
    </row>
    <row r="2942" spans="1:9" x14ac:dyDescent="0.35">
      <c r="A2942" s="226"/>
      <c r="B2942" s="226"/>
      <c r="C2942" s="226"/>
      <c r="D2942" s="226"/>
      <c r="E2942" s="226"/>
      <c r="F2942" s="226"/>
      <c r="G2942" s="226"/>
      <c r="H2942" s="226"/>
      <c r="I2942" s="9" t="str">
        <f t="shared" si="45"/>
        <v>__</v>
      </c>
    </row>
    <row r="2943" spans="1:9" x14ac:dyDescent="0.35">
      <c r="A2943" s="226"/>
      <c r="B2943" s="226"/>
      <c r="C2943" s="226"/>
      <c r="D2943" s="226"/>
      <c r="E2943" s="226"/>
      <c r="F2943" s="226"/>
      <c r="G2943" s="226"/>
      <c r="H2943" s="226"/>
      <c r="I2943" s="9" t="str">
        <f t="shared" si="45"/>
        <v>__</v>
      </c>
    </row>
    <row r="2944" spans="1:9" x14ac:dyDescent="0.35">
      <c r="A2944" s="226"/>
      <c r="B2944" s="226"/>
      <c r="C2944" s="226"/>
      <c r="D2944" s="226"/>
      <c r="E2944" s="226"/>
      <c r="F2944" s="226"/>
      <c r="G2944" s="226"/>
      <c r="H2944" s="226"/>
      <c r="I2944" s="9" t="str">
        <f t="shared" si="45"/>
        <v>__</v>
      </c>
    </row>
    <row r="2945" spans="1:9" x14ac:dyDescent="0.35">
      <c r="A2945" s="226"/>
      <c r="B2945" s="226"/>
      <c r="C2945" s="226"/>
      <c r="D2945" s="226"/>
      <c r="E2945" s="226"/>
      <c r="F2945" s="226"/>
      <c r="G2945" s="226"/>
      <c r="H2945" s="226"/>
      <c r="I2945" s="9" t="str">
        <f t="shared" si="45"/>
        <v>__</v>
      </c>
    </row>
    <row r="2946" spans="1:9" x14ac:dyDescent="0.35">
      <c r="A2946" s="226"/>
      <c r="B2946" s="226"/>
      <c r="C2946" s="226"/>
      <c r="D2946" s="226"/>
      <c r="E2946" s="226"/>
      <c r="F2946" s="226"/>
      <c r="G2946" s="226"/>
      <c r="H2946" s="226"/>
      <c r="I2946" s="9" t="str">
        <f t="shared" si="45"/>
        <v>__</v>
      </c>
    </row>
    <row r="2947" spans="1:9" x14ac:dyDescent="0.35">
      <c r="A2947" s="226"/>
      <c r="B2947" s="226"/>
      <c r="C2947" s="226"/>
      <c r="D2947" s="226"/>
      <c r="E2947" s="226"/>
      <c r="F2947" s="226"/>
      <c r="G2947" s="226"/>
      <c r="H2947" s="226"/>
      <c r="I2947" s="9" t="str">
        <f t="shared" si="45"/>
        <v>__</v>
      </c>
    </row>
    <row r="2948" spans="1:9" x14ac:dyDescent="0.35">
      <c r="A2948" s="226"/>
      <c r="B2948" s="226"/>
      <c r="C2948" s="226"/>
      <c r="D2948" s="226"/>
      <c r="E2948" s="226"/>
      <c r="F2948" s="226"/>
      <c r="G2948" s="226"/>
      <c r="H2948" s="226"/>
      <c r="I2948" s="9" t="str">
        <f t="shared" si="45"/>
        <v>__</v>
      </c>
    </row>
    <row r="2949" spans="1:9" x14ac:dyDescent="0.35">
      <c r="A2949" s="226"/>
      <c r="B2949" s="226"/>
      <c r="C2949" s="226"/>
      <c r="D2949" s="226"/>
      <c r="E2949" s="226"/>
      <c r="F2949" s="226"/>
      <c r="G2949" s="226"/>
      <c r="H2949" s="226"/>
      <c r="I2949" s="9" t="str">
        <f t="shared" ref="I2949:I3012" si="46">CONCATENATE(A2949,"_",B2949,"_",C2949)</f>
        <v>__</v>
      </c>
    </row>
    <row r="2950" spans="1:9" x14ac:dyDescent="0.35">
      <c r="A2950" s="226"/>
      <c r="B2950" s="226"/>
      <c r="C2950" s="226"/>
      <c r="D2950" s="226"/>
      <c r="E2950" s="226"/>
      <c r="F2950" s="226"/>
      <c r="G2950" s="226"/>
      <c r="H2950" s="226"/>
      <c r="I2950" s="9" t="str">
        <f t="shared" si="46"/>
        <v>__</v>
      </c>
    </row>
    <row r="2951" spans="1:9" x14ac:dyDescent="0.35">
      <c r="A2951" s="226"/>
      <c r="B2951" s="226"/>
      <c r="C2951" s="226"/>
      <c r="D2951" s="226"/>
      <c r="E2951" s="226"/>
      <c r="F2951" s="226"/>
      <c r="G2951" s="226"/>
      <c r="H2951" s="226"/>
      <c r="I2951" s="9" t="str">
        <f t="shared" si="46"/>
        <v>__</v>
      </c>
    </row>
    <row r="2952" spans="1:9" x14ac:dyDescent="0.35">
      <c r="A2952" s="226"/>
      <c r="B2952" s="226"/>
      <c r="C2952" s="226"/>
      <c r="D2952" s="226"/>
      <c r="E2952" s="226"/>
      <c r="F2952" s="226"/>
      <c r="G2952" s="226"/>
      <c r="H2952" s="226"/>
      <c r="I2952" s="9" t="str">
        <f t="shared" si="46"/>
        <v>__</v>
      </c>
    </row>
    <row r="2953" spans="1:9" x14ac:dyDescent="0.35">
      <c r="A2953" s="226"/>
      <c r="B2953" s="226"/>
      <c r="C2953" s="226"/>
      <c r="D2953" s="226"/>
      <c r="E2953" s="226"/>
      <c r="F2953" s="226"/>
      <c r="G2953" s="226"/>
      <c r="H2953" s="226"/>
      <c r="I2953" s="9" t="str">
        <f t="shared" si="46"/>
        <v>__</v>
      </c>
    </row>
    <row r="2954" spans="1:9" x14ac:dyDescent="0.35">
      <c r="A2954" s="226"/>
      <c r="B2954" s="226"/>
      <c r="C2954" s="226"/>
      <c r="D2954" s="226"/>
      <c r="E2954" s="226"/>
      <c r="F2954" s="226"/>
      <c r="G2954" s="226"/>
      <c r="H2954" s="226"/>
      <c r="I2954" s="9" t="str">
        <f t="shared" si="46"/>
        <v>__</v>
      </c>
    </row>
    <row r="2955" spans="1:9" x14ac:dyDescent="0.35">
      <c r="A2955" s="226"/>
      <c r="B2955" s="226"/>
      <c r="C2955" s="226"/>
      <c r="D2955" s="226"/>
      <c r="E2955" s="226"/>
      <c r="F2955" s="226"/>
      <c r="G2955" s="226"/>
      <c r="H2955" s="226"/>
      <c r="I2955" s="9" t="str">
        <f t="shared" si="46"/>
        <v>__</v>
      </c>
    </row>
    <row r="2956" spans="1:9" x14ac:dyDescent="0.35">
      <c r="A2956" s="226"/>
      <c r="B2956" s="226"/>
      <c r="C2956" s="226"/>
      <c r="D2956" s="226"/>
      <c r="E2956" s="226"/>
      <c r="F2956" s="226"/>
      <c r="G2956" s="226"/>
      <c r="H2956" s="226"/>
      <c r="I2956" s="9" t="str">
        <f t="shared" si="46"/>
        <v>__</v>
      </c>
    </row>
    <row r="2957" spans="1:9" x14ac:dyDescent="0.35">
      <c r="A2957" s="226"/>
      <c r="B2957" s="226"/>
      <c r="C2957" s="226"/>
      <c r="D2957" s="226"/>
      <c r="E2957" s="226"/>
      <c r="F2957" s="226"/>
      <c r="G2957" s="226"/>
      <c r="H2957" s="226"/>
      <c r="I2957" s="9" t="str">
        <f t="shared" si="46"/>
        <v>__</v>
      </c>
    </row>
    <row r="2958" spans="1:9" x14ac:dyDescent="0.35">
      <c r="A2958" s="226"/>
      <c r="B2958" s="226"/>
      <c r="C2958" s="226"/>
      <c r="D2958" s="226"/>
      <c r="E2958" s="226"/>
      <c r="F2958" s="226"/>
      <c r="G2958" s="226"/>
      <c r="H2958" s="226"/>
      <c r="I2958" s="9" t="str">
        <f t="shared" si="46"/>
        <v>__</v>
      </c>
    </row>
    <row r="2959" spans="1:9" x14ac:dyDescent="0.35">
      <c r="A2959" s="226"/>
      <c r="B2959" s="226"/>
      <c r="C2959" s="226"/>
      <c r="D2959" s="226"/>
      <c r="E2959" s="226"/>
      <c r="F2959" s="226"/>
      <c r="G2959" s="226"/>
      <c r="H2959" s="226"/>
      <c r="I2959" s="9" t="str">
        <f t="shared" si="46"/>
        <v>__</v>
      </c>
    </row>
    <row r="2960" spans="1:9" x14ac:dyDescent="0.35">
      <c r="A2960" s="226"/>
      <c r="B2960" s="226"/>
      <c r="C2960" s="226"/>
      <c r="D2960" s="226"/>
      <c r="E2960" s="226"/>
      <c r="F2960" s="226"/>
      <c r="G2960" s="226"/>
      <c r="H2960" s="226"/>
      <c r="I2960" s="9" t="str">
        <f t="shared" si="46"/>
        <v>__</v>
      </c>
    </row>
    <row r="2961" spans="1:9" x14ac:dyDescent="0.35">
      <c r="A2961" s="226"/>
      <c r="B2961" s="226"/>
      <c r="C2961" s="226"/>
      <c r="D2961" s="226"/>
      <c r="E2961" s="226"/>
      <c r="F2961" s="226"/>
      <c r="G2961" s="226"/>
      <c r="H2961" s="226"/>
      <c r="I2961" s="9" t="str">
        <f t="shared" si="46"/>
        <v>__</v>
      </c>
    </row>
    <row r="2962" spans="1:9" x14ac:dyDescent="0.35">
      <c r="A2962" s="226"/>
      <c r="B2962" s="226"/>
      <c r="C2962" s="226"/>
      <c r="D2962" s="226"/>
      <c r="E2962" s="226"/>
      <c r="F2962" s="226"/>
      <c r="G2962" s="226"/>
      <c r="H2962" s="226"/>
      <c r="I2962" s="9" t="str">
        <f t="shared" si="46"/>
        <v>__</v>
      </c>
    </row>
    <row r="2963" spans="1:9" x14ac:dyDescent="0.35">
      <c r="A2963" s="226"/>
      <c r="B2963" s="226"/>
      <c r="C2963" s="226"/>
      <c r="D2963" s="226"/>
      <c r="E2963" s="226"/>
      <c r="F2963" s="226"/>
      <c r="G2963" s="226"/>
      <c r="H2963" s="226"/>
      <c r="I2963" s="9" t="str">
        <f t="shared" si="46"/>
        <v>__</v>
      </c>
    </row>
    <row r="2964" spans="1:9" x14ac:dyDescent="0.35">
      <c r="A2964" s="226"/>
      <c r="B2964" s="226"/>
      <c r="C2964" s="226"/>
      <c r="D2964" s="226"/>
      <c r="E2964" s="226"/>
      <c r="F2964" s="226"/>
      <c r="G2964" s="226"/>
      <c r="H2964" s="226"/>
      <c r="I2964" s="9" t="str">
        <f t="shared" si="46"/>
        <v>__</v>
      </c>
    </row>
    <row r="2965" spans="1:9" x14ac:dyDescent="0.35">
      <c r="A2965" s="226"/>
      <c r="B2965" s="226"/>
      <c r="C2965" s="226"/>
      <c r="D2965" s="226"/>
      <c r="E2965" s="226"/>
      <c r="F2965" s="226"/>
      <c r="G2965" s="226"/>
      <c r="H2965" s="226"/>
      <c r="I2965" s="9" t="str">
        <f t="shared" si="46"/>
        <v>__</v>
      </c>
    </row>
    <row r="2966" spans="1:9" x14ac:dyDescent="0.35">
      <c r="A2966" s="226"/>
      <c r="B2966" s="226"/>
      <c r="C2966" s="226"/>
      <c r="D2966" s="226"/>
      <c r="E2966" s="226"/>
      <c r="F2966" s="226"/>
      <c r="G2966" s="226"/>
      <c r="H2966" s="226"/>
      <c r="I2966" s="9" t="str">
        <f t="shared" si="46"/>
        <v>__</v>
      </c>
    </row>
    <row r="2967" spans="1:9" x14ac:dyDescent="0.35">
      <c r="A2967" s="226"/>
      <c r="B2967" s="226"/>
      <c r="C2967" s="226"/>
      <c r="D2967" s="226"/>
      <c r="E2967" s="226"/>
      <c r="F2967" s="226"/>
      <c r="G2967" s="226"/>
      <c r="H2967" s="226"/>
      <c r="I2967" s="9" t="str">
        <f t="shared" si="46"/>
        <v>__</v>
      </c>
    </row>
    <row r="2968" spans="1:9" x14ac:dyDescent="0.35">
      <c r="A2968" s="226"/>
      <c r="B2968" s="226"/>
      <c r="C2968" s="226"/>
      <c r="D2968" s="226"/>
      <c r="E2968" s="226"/>
      <c r="F2968" s="226"/>
      <c r="G2968" s="226"/>
      <c r="H2968" s="226"/>
      <c r="I2968" s="9" t="str">
        <f t="shared" si="46"/>
        <v>__</v>
      </c>
    </row>
    <row r="2969" spans="1:9" x14ac:dyDescent="0.35">
      <c r="A2969" s="226"/>
      <c r="B2969" s="226"/>
      <c r="C2969" s="226"/>
      <c r="D2969" s="226"/>
      <c r="E2969" s="226"/>
      <c r="F2969" s="226"/>
      <c r="G2969" s="226"/>
      <c r="H2969" s="226"/>
      <c r="I2969" s="9" t="str">
        <f t="shared" si="46"/>
        <v>__</v>
      </c>
    </row>
    <row r="2970" spans="1:9" x14ac:dyDescent="0.35">
      <c r="A2970" s="226"/>
      <c r="B2970" s="226"/>
      <c r="C2970" s="226"/>
      <c r="D2970" s="226"/>
      <c r="E2970" s="226"/>
      <c r="F2970" s="226"/>
      <c r="G2970" s="226"/>
      <c r="H2970" s="226"/>
      <c r="I2970" s="9" t="str">
        <f t="shared" si="46"/>
        <v>__</v>
      </c>
    </row>
    <row r="2971" spans="1:9" x14ac:dyDescent="0.35">
      <c r="A2971" s="226"/>
      <c r="B2971" s="226"/>
      <c r="C2971" s="226"/>
      <c r="D2971" s="226"/>
      <c r="E2971" s="226"/>
      <c r="F2971" s="226"/>
      <c r="G2971" s="226"/>
      <c r="H2971" s="226"/>
      <c r="I2971" s="9" t="str">
        <f t="shared" si="46"/>
        <v>__</v>
      </c>
    </row>
    <row r="2972" spans="1:9" x14ac:dyDescent="0.35">
      <c r="A2972" s="226"/>
      <c r="B2972" s="226"/>
      <c r="C2972" s="226"/>
      <c r="D2972" s="226"/>
      <c r="E2972" s="226"/>
      <c r="F2972" s="226"/>
      <c r="G2972" s="226"/>
      <c r="H2972" s="226"/>
      <c r="I2972" s="9" t="str">
        <f t="shared" si="46"/>
        <v>__</v>
      </c>
    </row>
    <row r="2973" spans="1:9" x14ac:dyDescent="0.35">
      <c r="A2973" s="226"/>
      <c r="B2973" s="226"/>
      <c r="C2973" s="226"/>
      <c r="D2973" s="226"/>
      <c r="E2973" s="226"/>
      <c r="F2973" s="226"/>
      <c r="G2973" s="226"/>
      <c r="H2973" s="226"/>
      <c r="I2973" s="9" t="str">
        <f t="shared" si="46"/>
        <v>__</v>
      </c>
    </row>
    <row r="2974" spans="1:9" x14ac:dyDescent="0.35">
      <c r="A2974" s="226"/>
      <c r="B2974" s="226"/>
      <c r="C2974" s="226"/>
      <c r="D2974" s="226"/>
      <c r="E2974" s="226"/>
      <c r="F2974" s="226"/>
      <c r="G2974" s="226"/>
      <c r="H2974" s="226"/>
      <c r="I2974" s="9" t="str">
        <f t="shared" si="46"/>
        <v>__</v>
      </c>
    </row>
    <row r="2975" spans="1:9" x14ac:dyDescent="0.35">
      <c r="A2975" s="226"/>
      <c r="B2975" s="226"/>
      <c r="C2975" s="226"/>
      <c r="D2975" s="226"/>
      <c r="E2975" s="226"/>
      <c r="F2975" s="226"/>
      <c r="G2975" s="226"/>
      <c r="H2975" s="226"/>
      <c r="I2975" s="9" t="str">
        <f t="shared" si="46"/>
        <v>__</v>
      </c>
    </row>
    <row r="2976" spans="1:9" x14ac:dyDescent="0.35">
      <c r="A2976" s="226"/>
      <c r="B2976" s="226"/>
      <c r="C2976" s="226"/>
      <c r="D2976" s="226"/>
      <c r="E2976" s="226"/>
      <c r="F2976" s="226"/>
      <c r="G2976" s="226"/>
      <c r="H2976" s="226"/>
      <c r="I2976" s="9" t="str">
        <f t="shared" si="46"/>
        <v>__</v>
      </c>
    </row>
    <row r="2977" spans="1:9" x14ac:dyDescent="0.35">
      <c r="A2977" s="226"/>
      <c r="B2977" s="226"/>
      <c r="C2977" s="226"/>
      <c r="D2977" s="226"/>
      <c r="E2977" s="226"/>
      <c r="F2977" s="226"/>
      <c r="G2977" s="226"/>
      <c r="H2977" s="226"/>
      <c r="I2977" s="9" t="str">
        <f t="shared" si="46"/>
        <v>__</v>
      </c>
    </row>
    <row r="2978" spans="1:9" x14ac:dyDescent="0.35">
      <c r="A2978" s="226"/>
      <c r="B2978" s="226"/>
      <c r="C2978" s="226"/>
      <c r="D2978" s="226"/>
      <c r="E2978" s="226"/>
      <c r="F2978" s="226"/>
      <c r="G2978" s="226"/>
      <c r="H2978" s="226"/>
      <c r="I2978" s="9" t="str">
        <f t="shared" si="46"/>
        <v>__</v>
      </c>
    </row>
    <row r="2979" spans="1:9" x14ac:dyDescent="0.35">
      <c r="A2979" s="226"/>
      <c r="B2979" s="226"/>
      <c r="C2979" s="226"/>
      <c r="D2979" s="226"/>
      <c r="E2979" s="226"/>
      <c r="F2979" s="226"/>
      <c r="G2979" s="226"/>
      <c r="H2979" s="226"/>
      <c r="I2979" s="9" t="str">
        <f t="shared" si="46"/>
        <v>__</v>
      </c>
    </row>
    <row r="2980" spans="1:9" x14ac:dyDescent="0.35">
      <c r="A2980" s="226"/>
      <c r="B2980" s="226"/>
      <c r="C2980" s="226"/>
      <c r="D2980" s="226"/>
      <c r="E2980" s="226"/>
      <c r="F2980" s="226"/>
      <c r="G2980" s="226"/>
      <c r="H2980" s="226"/>
      <c r="I2980" s="9" t="str">
        <f t="shared" si="46"/>
        <v>__</v>
      </c>
    </row>
    <row r="2981" spans="1:9" x14ac:dyDescent="0.35">
      <c r="A2981" s="226"/>
      <c r="B2981" s="226"/>
      <c r="C2981" s="226"/>
      <c r="D2981" s="226"/>
      <c r="E2981" s="226"/>
      <c r="F2981" s="226"/>
      <c r="G2981" s="226"/>
      <c r="H2981" s="226"/>
      <c r="I2981" s="9" t="str">
        <f t="shared" si="46"/>
        <v>__</v>
      </c>
    </row>
    <row r="2982" spans="1:9" x14ac:dyDescent="0.35">
      <c r="A2982" s="226"/>
      <c r="B2982" s="226"/>
      <c r="C2982" s="226"/>
      <c r="D2982" s="226"/>
      <c r="E2982" s="226"/>
      <c r="F2982" s="226"/>
      <c r="G2982" s="226"/>
      <c r="H2982" s="226"/>
      <c r="I2982" s="9" t="str">
        <f t="shared" si="46"/>
        <v>__</v>
      </c>
    </row>
    <row r="2983" spans="1:9" x14ac:dyDescent="0.35">
      <c r="A2983" s="226"/>
      <c r="B2983" s="226"/>
      <c r="C2983" s="226"/>
      <c r="D2983" s="226"/>
      <c r="E2983" s="226"/>
      <c r="F2983" s="226"/>
      <c r="G2983" s="226"/>
      <c r="H2983" s="226"/>
      <c r="I2983" s="9" t="str">
        <f t="shared" si="46"/>
        <v>__</v>
      </c>
    </row>
    <row r="2984" spans="1:9" x14ac:dyDescent="0.35">
      <c r="A2984" s="226"/>
      <c r="B2984" s="226"/>
      <c r="C2984" s="226"/>
      <c r="D2984" s="226"/>
      <c r="E2984" s="226"/>
      <c r="F2984" s="226"/>
      <c r="G2984" s="226"/>
      <c r="H2984" s="226"/>
      <c r="I2984" s="9" t="str">
        <f t="shared" si="46"/>
        <v>__</v>
      </c>
    </row>
    <row r="2985" spans="1:9" x14ac:dyDescent="0.35">
      <c r="A2985" s="226"/>
      <c r="B2985" s="226"/>
      <c r="C2985" s="226"/>
      <c r="D2985" s="226"/>
      <c r="E2985" s="226"/>
      <c r="F2985" s="226"/>
      <c r="G2985" s="226"/>
      <c r="H2985" s="226"/>
      <c r="I2985" s="9" t="str">
        <f t="shared" si="46"/>
        <v>__</v>
      </c>
    </row>
    <row r="2986" spans="1:9" x14ac:dyDescent="0.35">
      <c r="A2986" s="226"/>
      <c r="B2986" s="226"/>
      <c r="C2986" s="226"/>
      <c r="D2986" s="226"/>
      <c r="E2986" s="226"/>
      <c r="F2986" s="226"/>
      <c r="G2986" s="226"/>
      <c r="H2986" s="226"/>
      <c r="I2986" s="9" t="str">
        <f t="shared" si="46"/>
        <v>__</v>
      </c>
    </row>
    <row r="2987" spans="1:9" x14ac:dyDescent="0.35">
      <c r="A2987" s="226"/>
      <c r="B2987" s="226"/>
      <c r="C2987" s="226"/>
      <c r="D2987" s="226"/>
      <c r="E2987" s="226"/>
      <c r="F2987" s="226"/>
      <c r="G2987" s="226"/>
      <c r="H2987" s="226"/>
      <c r="I2987" s="9" t="str">
        <f t="shared" si="46"/>
        <v>__</v>
      </c>
    </row>
    <row r="2988" spans="1:9" x14ac:dyDescent="0.35">
      <c r="A2988" s="226"/>
      <c r="B2988" s="226"/>
      <c r="C2988" s="226"/>
      <c r="D2988" s="226"/>
      <c r="E2988" s="226"/>
      <c r="F2988" s="226"/>
      <c r="G2988" s="226"/>
      <c r="H2988" s="226"/>
      <c r="I2988" s="9" t="str">
        <f t="shared" si="46"/>
        <v>__</v>
      </c>
    </row>
    <row r="2989" spans="1:9" x14ac:dyDescent="0.35">
      <c r="A2989" s="226"/>
      <c r="B2989" s="226"/>
      <c r="C2989" s="226"/>
      <c r="D2989" s="226"/>
      <c r="E2989" s="226"/>
      <c r="F2989" s="226"/>
      <c r="G2989" s="226"/>
      <c r="H2989" s="226"/>
      <c r="I2989" s="9" t="str">
        <f t="shared" si="46"/>
        <v>__</v>
      </c>
    </row>
    <row r="2990" spans="1:9" x14ac:dyDescent="0.35">
      <c r="A2990" s="226"/>
      <c r="B2990" s="226"/>
      <c r="C2990" s="226"/>
      <c r="D2990" s="226"/>
      <c r="E2990" s="226"/>
      <c r="F2990" s="226"/>
      <c r="G2990" s="226"/>
      <c r="H2990" s="226"/>
      <c r="I2990" s="9" t="str">
        <f t="shared" si="46"/>
        <v>__</v>
      </c>
    </row>
    <row r="2991" spans="1:9" x14ac:dyDescent="0.35">
      <c r="A2991" s="226"/>
      <c r="B2991" s="226"/>
      <c r="C2991" s="226"/>
      <c r="D2991" s="226"/>
      <c r="E2991" s="226"/>
      <c r="F2991" s="226"/>
      <c r="G2991" s="226"/>
      <c r="H2991" s="226"/>
      <c r="I2991" s="9" t="str">
        <f t="shared" si="46"/>
        <v>__</v>
      </c>
    </row>
    <row r="2992" spans="1:9" x14ac:dyDescent="0.35">
      <c r="A2992" s="226"/>
      <c r="B2992" s="226"/>
      <c r="C2992" s="226"/>
      <c r="D2992" s="226"/>
      <c r="E2992" s="226"/>
      <c r="F2992" s="226"/>
      <c r="G2992" s="226"/>
      <c r="H2992" s="226"/>
      <c r="I2992" s="9" t="str">
        <f t="shared" si="46"/>
        <v>__</v>
      </c>
    </row>
    <row r="2993" spans="1:9" x14ac:dyDescent="0.35">
      <c r="A2993" s="226"/>
      <c r="B2993" s="226"/>
      <c r="C2993" s="226"/>
      <c r="D2993" s="226"/>
      <c r="E2993" s="226"/>
      <c r="F2993" s="226"/>
      <c r="G2993" s="226"/>
      <c r="H2993" s="226"/>
      <c r="I2993" s="9" t="str">
        <f t="shared" si="46"/>
        <v>__</v>
      </c>
    </row>
    <row r="2994" spans="1:9" x14ac:dyDescent="0.35">
      <c r="A2994" s="226"/>
      <c r="B2994" s="226"/>
      <c r="C2994" s="226"/>
      <c r="D2994" s="226"/>
      <c r="E2994" s="226"/>
      <c r="F2994" s="226"/>
      <c r="G2994" s="226"/>
      <c r="H2994" s="226"/>
      <c r="I2994" s="9" t="str">
        <f t="shared" si="46"/>
        <v>__</v>
      </c>
    </row>
    <row r="2995" spans="1:9" x14ac:dyDescent="0.35">
      <c r="A2995" s="226"/>
      <c r="B2995" s="226"/>
      <c r="C2995" s="226"/>
      <c r="D2995" s="226"/>
      <c r="E2995" s="226"/>
      <c r="F2995" s="226"/>
      <c r="G2995" s="226"/>
      <c r="H2995" s="226"/>
      <c r="I2995" s="9" t="str">
        <f t="shared" si="46"/>
        <v>__</v>
      </c>
    </row>
    <row r="2996" spans="1:9" x14ac:dyDescent="0.35">
      <c r="A2996" s="226"/>
      <c r="B2996" s="226"/>
      <c r="C2996" s="226"/>
      <c r="D2996" s="226"/>
      <c r="E2996" s="226"/>
      <c r="F2996" s="226"/>
      <c r="G2996" s="226"/>
      <c r="H2996" s="226"/>
      <c r="I2996" s="9" t="str">
        <f t="shared" si="46"/>
        <v>__</v>
      </c>
    </row>
    <row r="2997" spans="1:9" x14ac:dyDescent="0.35">
      <c r="A2997" s="226"/>
      <c r="B2997" s="226"/>
      <c r="C2997" s="226"/>
      <c r="D2997" s="226"/>
      <c r="E2997" s="226"/>
      <c r="F2997" s="226"/>
      <c r="G2997" s="226"/>
      <c r="H2997" s="226"/>
      <c r="I2997" s="9" t="str">
        <f t="shared" si="46"/>
        <v>__</v>
      </c>
    </row>
    <row r="2998" spans="1:9" x14ac:dyDescent="0.35">
      <c r="A2998" s="226"/>
      <c r="B2998" s="226"/>
      <c r="C2998" s="226"/>
      <c r="D2998" s="226"/>
      <c r="E2998" s="226"/>
      <c r="F2998" s="226"/>
      <c r="G2998" s="226"/>
      <c r="H2998" s="226"/>
      <c r="I2998" s="9" t="str">
        <f t="shared" si="46"/>
        <v>__</v>
      </c>
    </row>
    <row r="2999" spans="1:9" x14ac:dyDescent="0.35">
      <c r="A2999" s="226"/>
      <c r="B2999" s="226"/>
      <c r="C2999" s="226"/>
      <c r="D2999" s="226"/>
      <c r="E2999" s="226"/>
      <c r="F2999" s="226"/>
      <c r="G2999" s="226"/>
      <c r="H2999" s="226"/>
      <c r="I2999" s="9" t="str">
        <f t="shared" si="46"/>
        <v>__</v>
      </c>
    </row>
    <row r="3000" spans="1:9" x14ac:dyDescent="0.35">
      <c r="A3000" s="226"/>
      <c r="B3000" s="226"/>
      <c r="C3000" s="226"/>
      <c r="D3000" s="226"/>
      <c r="E3000" s="226"/>
      <c r="F3000" s="226"/>
      <c r="G3000" s="226"/>
      <c r="H3000" s="226"/>
      <c r="I3000" s="9" t="str">
        <f t="shared" si="46"/>
        <v>__</v>
      </c>
    </row>
    <row r="3001" spans="1:9" x14ac:dyDescent="0.35">
      <c r="A3001" s="226"/>
      <c r="B3001" s="226"/>
      <c r="C3001" s="226"/>
      <c r="D3001" s="226"/>
      <c r="E3001" s="226"/>
      <c r="F3001" s="226"/>
      <c r="G3001" s="226"/>
      <c r="H3001" s="226"/>
      <c r="I3001" s="9" t="str">
        <f t="shared" si="46"/>
        <v>__</v>
      </c>
    </row>
    <row r="3002" spans="1:9" x14ac:dyDescent="0.35">
      <c r="A3002" s="226"/>
      <c r="B3002" s="226"/>
      <c r="C3002" s="226"/>
      <c r="D3002" s="226"/>
      <c r="E3002" s="226"/>
      <c r="F3002" s="226"/>
      <c r="G3002" s="226"/>
      <c r="H3002" s="226"/>
      <c r="I3002" s="9" t="str">
        <f t="shared" si="46"/>
        <v>__</v>
      </c>
    </row>
    <row r="3003" spans="1:9" x14ac:dyDescent="0.35">
      <c r="A3003" s="226"/>
      <c r="B3003" s="226"/>
      <c r="C3003" s="226"/>
      <c r="D3003" s="226"/>
      <c r="E3003" s="226"/>
      <c r="F3003" s="226"/>
      <c r="G3003" s="226"/>
      <c r="H3003" s="226"/>
      <c r="I3003" s="9" t="str">
        <f t="shared" si="46"/>
        <v>__</v>
      </c>
    </row>
    <row r="3004" spans="1:9" x14ac:dyDescent="0.35">
      <c r="A3004" s="226"/>
      <c r="B3004" s="226"/>
      <c r="C3004" s="226"/>
      <c r="D3004" s="226"/>
      <c r="E3004" s="226"/>
      <c r="F3004" s="226"/>
      <c r="G3004" s="226"/>
      <c r="H3004" s="226"/>
      <c r="I3004" s="9" t="str">
        <f t="shared" si="46"/>
        <v>__</v>
      </c>
    </row>
    <row r="3005" spans="1:9" x14ac:dyDescent="0.35">
      <c r="A3005" s="226"/>
      <c r="B3005" s="226"/>
      <c r="C3005" s="226"/>
      <c r="D3005" s="226"/>
      <c r="E3005" s="226"/>
      <c r="F3005" s="226"/>
      <c r="G3005" s="226"/>
      <c r="H3005" s="226"/>
      <c r="I3005" s="9" t="str">
        <f t="shared" si="46"/>
        <v>__</v>
      </c>
    </row>
    <row r="3006" spans="1:9" x14ac:dyDescent="0.35">
      <c r="A3006" s="226"/>
      <c r="B3006" s="226"/>
      <c r="C3006" s="226"/>
      <c r="D3006" s="226"/>
      <c r="E3006" s="226"/>
      <c r="F3006" s="226"/>
      <c r="G3006" s="226"/>
      <c r="H3006" s="226"/>
      <c r="I3006" s="9" t="str">
        <f t="shared" si="46"/>
        <v>__</v>
      </c>
    </row>
    <row r="3007" spans="1:9" x14ac:dyDescent="0.35">
      <c r="A3007" s="226"/>
      <c r="B3007" s="226"/>
      <c r="C3007" s="226"/>
      <c r="D3007" s="226"/>
      <c r="E3007" s="226"/>
      <c r="F3007" s="226"/>
      <c r="G3007" s="226"/>
      <c r="H3007" s="226"/>
      <c r="I3007" s="9" t="str">
        <f t="shared" si="46"/>
        <v>__</v>
      </c>
    </row>
    <row r="3008" spans="1:9" x14ac:dyDescent="0.35">
      <c r="A3008" s="226"/>
      <c r="B3008" s="226"/>
      <c r="C3008" s="226"/>
      <c r="D3008" s="226"/>
      <c r="E3008" s="226"/>
      <c r="F3008" s="226"/>
      <c r="G3008" s="226"/>
      <c r="H3008" s="226"/>
      <c r="I3008" s="9" t="str">
        <f t="shared" si="46"/>
        <v>__</v>
      </c>
    </row>
    <row r="3009" spans="1:9" x14ac:dyDescent="0.35">
      <c r="A3009" s="226"/>
      <c r="B3009" s="226"/>
      <c r="C3009" s="226"/>
      <c r="D3009" s="226"/>
      <c r="E3009" s="226"/>
      <c r="F3009" s="226"/>
      <c r="G3009" s="226"/>
      <c r="H3009" s="226"/>
      <c r="I3009" s="9" t="str">
        <f t="shared" si="46"/>
        <v>__</v>
      </c>
    </row>
    <row r="3010" spans="1:9" x14ac:dyDescent="0.35">
      <c r="A3010" s="226"/>
      <c r="B3010" s="226"/>
      <c r="C3010" s="226"/>
      <c r="D3010" s="226"/>
      <c r="E3010" s="226"/>
      <c r="F3010" s="226"/>
      <c r="G3010" s="226"/>
      <c r="H3010" s="226"/>
      <c r="I3010" s="9" t="str">
        <f t="shared" si="46"/>
        <v>__</v>
      </c>
    </row>
    <row r="3011" spans="1:9" x14ac:dyDescent="0.35">
      <c r="A3011" s="226"/>
      <c r="B3011" s="226"/>
      <c r="C3011" s="226"/>
      <c r="D3011" s="226"/>
      <c r="E3011" s="226"/>
      <c r="F3011" s="226"/>
      <c r="G3011" s="226"/>
      <c r="H3011" s="226"/>
      <c r="I3011" s="9" t="str">
        <f t="shared" si="46"/>
        <v>__</v>
      </c>
    </row>
    <row r="3012" spans="1:9" x14ac:dyDescent="0.35">
      <c r="A3012" s="226"/>
      <c r="B3012" s="226"/>
      <c r="C3012" s="226"/>
      <c r="D3012" s="226"/>
      <c r="E3012" s="226"/>
      <c r="F3012" s="226"/>
      <c r="G3012" s="226"/>
      <c r="H3012" s="226"/>
      <c r="I3012" s="9" t="str">
        <f t="shared" si="46"/>
        <v>__</v>
      </c>
    </row>
    <row r="3013" spans="1:9" x14ac:dyDescent="0.35">
      <c r="A3013" s="226"/>
      <c r="B3013" s="226"/>
      <c r="C3013" s="226"/>
      <c r="D3013" s="226"/>
      <c r="E3013" s="226"/>
      <c r="F3013" s="226"/>
      <c r="G3013" s="226"/>
      <c r="H3013" s="226"/>
      <c r="I3013" s="9" t="str">
        <f t="shared" ref="I3013:I3076" si="47">CONCATENATE(A3013,"_",B3013,"_",C3013)</f>
        <v>__</v>
      </c>
    </row>
    <row r="3014" spans="1:9" x14ac:dyDescent="0.35">
      <c r="A3014" s="226"/>
      <c r="B3014" s="226"/>
      <c r="C3014" s="226"/>
      <c r="D3014" s="226"/>
      <c r="E3014" s="226"/>
      <c r="F3014" s="226"/>
      <c r="G3014" s="226"/>
      <c r="H3014" s="226"/>
      <c r="I3014" s="9" t="str">
        <f t="shared" si="47"/>
        <v>__</v>
      </c>
    </row>
    <row r="3015" spans="1:9" x14ac:dyDescent="0.35">
      <c r="A3015" s="226"/>
      <c r="B3015" s="226"/>
      <c r="C3015" s="226"/>
      <c r="D3015" s="226"/>
      <c r="E3015" s="226"/>
      <c r="F3015" s="226"/>
      <c r="G3015" s="226"/>
      <c r="H3015" s="226"/>
      <c r="I3015" s="9" t="str">
        <f t="shared" si="47"/>
        <v>__</v>
      </c>
    </row>
    <row r="3016" spans="1:9" x14ac:dyDescent="0.35">
      <c r="A3016" s="226"/>
      <c r="B3016" s="226"/>
      <c r="C3016" s="226"/>
      <c r="D3016" s="226"/>
      <c r="E3016" s="226"/>
      <c r="F3016" s="226"/>
      <c r="G3016" s="226"/>
      <c r="H3016" s="226"/>
      <c r="I3016" s="9" t="str">
        <f t="shared" si="47"/>
        <v>__</v>
      </c>
    </row>
    <row r="3017" spans="1:9" x14ac:dyDescent="0.35">
      <c r="A3017" s="226"/>
      <c r="B3017" s="226"/>
      <c r="C3017" s="226"/>
      <c r="D3017" s="226"/>
      <c r="E3017" s="226"/>
      <c r="F3017" s="226"/>
      <c r="G3017" s="226"/>
      <c r="H3017" s="226"/>
      <c r="I3017" s="9" t="str">
        <f t="shared" si="47"/>
        <v>__</v>
      </c>
    </row>
    <row r="3018" spans="1:9" x14ac:dyDescent="0.35">
      <c r="A3018" s="226"/>
      <c r="B3018" s="226"/>
      <c r="C3018" s="226"/>
      <c r="D3018" s="226"/>
      <c r="E3018" s="226"/>
      <c r="F3018" s="226"/>
      <c r="G3018" s="226"/>
      <c r="H3018" s="226"/>
      <c r="I3018" s="9" t="str">
        <f t="shared" si="47"/>
        <v>__</v>
      </c>
    </row>
    <row r="3019" spans="1:9" x14ac:dyDescent="0.35">
      <c r="A3019" s="226"/>
      <c r="B3019" s="226"/>
      <c r="C3019" s="226"/>
      <c r="D3019" s="226"/>
      <c r="E3019" s="226"/>
      <c r="F3019" s="226"/>
      <c r="G3019" s="226"/>
      <c r="H3019" s="226"/>
      <c r="I3019" s="9" t="str">
        <f t="shared" si="47"/>
        <v>__</v>
      </c>
    </row>
    <row r="3020" spans="1:9" x14ac:dyDescent="0.35">
      <c r="A3020" s="226"/>
      <c r="B3020" s="226"/>
      <c r="C3020" s="226"/>
      <c r="D3020" s="226"/>
      <c r="E3020" s="226"/>
      <c r="F3020" s="226"/>
      <c r="G3020" s="226"/>
      <c r="H3020" s="226"/>
      <c r="I3020" s="9" t="str">
        <f t="shared" si="47"/>
        <v>__</v>
      </c>
    </row>
    <row r="3021" spans="1:9" x14ac:dyDescent="0.35">
      <c r="A3021" s="226"/>
      <c r="B3021" s="226"/>
      <c r="C3021" s="226"/>
      <c r="D3021" s="226"/>
      <c r="E3021" s="226"/>
      <c r="F3021" s="226"/>
      <c r="G3021" s="226"/>
      <c r="H3021" s="226"/>
      <c r="I3021" s="9" t="str">
        <f t="shared" si="47"/>
        <v>__</v>
      </c>
    </row>
    <row r="3022" spans="1:9" x14ac:dyDescent="0.35">
      <c r="A3022" s="226"/>
      <c r="B3022" s="226"/>
      <c r="C3022" s="226"/>
      <c r="D3022" s="226"/>
      <c r="E3022" s="226"/>
      <c r="F3022" s="226"/>
      <c r="G3022" s="226"/>
      <c r="H3022" s="226"/>
      <c r="I3022" s="9" t="str">
        <f t="shared" si="47"/>
        <v>__</v>
      </c>
    </row>
    <row r="3023" spans="1:9" x14ac:dyDescent="0.35">
      <c r="A3023" s="226"/>
      <c r="B3023" s="226"/>
      <c r="C3023" s="226"/>
      <c r="D3023" s="226"/>
      <c r="E3023" s="226"/>
      <c r="F3023" s="226"/>
      <c r="G3023" s="226"/>
      <c r="H3023" s="226"/>
      <c r="I3023" s="9" t="str">
        <f t="shared" si="47"/>
        <v>__</v>
      </c>
    </row>
    <row r="3024" spans="1:9" x14ac:dyDescent="0.35">
      <c r="A3024" s="226"/>
      <c r="B3024" s="226"/>
      <c r="C3024" s="226"/>
      <c r="D3024" s="226"/>
      <c r="E3024" s="226"/>
      <c r="F3024" s="226"/>
      <c r="G3024" s="226"/>
      <c r="H3024" s="226"/>
      <c r="I3024" s="9" t="str">
        <f t="shared" si="47"/>
        <v>__</v>
      </c>
    </row>
    <row r="3025" spans="1:9" x14ac:dyDescent="0.35">
      <c r="A3025" s="226"/>
      <c r="B3025" s="226"/>
      <c r="C3025" s="226"/>
      <c r="D3025" s="226"/>
      <c r="E3025" s="226"/>
      <c r="F3025" s="226"/>
      <c r="G3025" s="226"/>
      <c r="H3025" s="226"/>
      <c r="I3025" s="9" t="str">
        <f t="shared" si="47"/>
        <v>__</v>
      </c>
    </row>
    <row r="3026" spans="1:9" x14ac:dyDescent="0.35">
      <c r="A3026" s="226"/>
      <c r="B3026" s="226"/>
      <c r="C3026" s="226"/>
      <c r="D3026" s="226"/>
      <c r="E3026" s="226"/>
      <c r="F3026" s="226"/>
      <c r="G3026" s="226"/>
      <c r="H3026" s="226"/>
      <c r="I3026" s="9" t="str">
        <f t="shared" si="47"/>
        <v>__</v>
      </c>
    </row>
    <row r="3027" spans="1:9" x14ac:dyDescent="0.35">
      <c r="A3027" s="226"/>
      <c r="B3027" s="226"/>
      <c r="C3027" s="226"/>
      <c r="D3027" s="226"/>
      <c r="E3027" s="226"/>
      <c r="F3027" s="226"/>
      <c r="G3027" s="226"/>
      <c r="H3027" s="226"/>
      <c r="I3027" s="9" t="str">
        <f t="shared" si="47"/>
        <v>__</v>
      </c>
    </row>
    <row r="3028" spans="1:9" x14ac:dyDescent="0.35">
      <c r="A3028" s="226"/>
      <c r="B3028" s="226"/>
      <c r="C3028" s="226"/>
      <c r="D3028" s="226"/>
      <c r="E3028" s="226"/>
      <c r="F3028" s="226"/>
      <c r="G3028" s="226"/>
      <c r="H3028" s="226"/>
      <c r="I3028" s="9" t="str">
        <f t="shared" si="47"/>
        <v>__</v>
      </c>
    </row>
    <row r="3029" spans="1:9" x14ac:dyDescent="0.35">
      <c r="A3029" s="226"/>
      <c r="B3029" s="226"/>
      <c r="C3029" s="226"/>
      <c r="D3029" s="226"/>
      <c r="E3029" s="226"/>
      <c r="F3029" s="226"/>
      <c r="G3029" s="226"/>
      <c r="H3029" s="226"/>
      <c r="I3029" s="9" t="str">
        <f t="shared" si="47"/>
        <v>__</v>
      </c>
    </row>
    <row r="3030" spans="1:9" x14ac:dyDescent="0.35">
      <c r="A3030" s="226"/>
      <c r="B3030" s="226"/>
      <c r="C3030" s="226"/>
      <c r="D3030" s="226"/>
      <c r="E3030" s="226"/>
      <c r="F3030" s="226"/>
      <c r="G3030" s="226"/>
      <c r="H3030" s="226"/>
      <c r="I3030" s="9" t="str">
        <f t="shared" si="47"/>
        <v>__</v>
      </c>
    </row>
    <row r="3031" spans="1:9" x14ac:dyDescent="0.35">
      <c r="A3031" s="226"/>
      <c r="B3031" s="226"/>
      <c r="C3031" s="226"/>
      <c r="D3031" s="226"/>
      <c r="E3031" s="226"/>
      <c r="F3031" s="226"/>
      <c r="G3031" s="226"/>
      <c r="H3031" s="226"/>
      <c r="I3031" s="9" t="str">
        <f t="shared" si="47"/>
        <v>__</v>
      </c>
    </row>
    <row r="3032" spans="1:9" x14ac:dyDescent="0.35">
      <c r="A3032" s="226"/>
      <c r="B3032" s="226"/>
      <c r="C3032" s="226"/>
      <c r="D3032" s="226"/>
      <c r="E3032" s="226"/>
      <c r="F3032" s="226"/>
      <c r="G3032" s="226"/>
      <c r="H3032" s="226"/>
      <c r="I3032" s="9" t="str">
        <f t="shared" si="47"/>
        <v>__</v>
      </c>
    </row>
    <row r="3033" spans="1:9" x14ac:dyDescent="0.35">
      <c r="A3033" s="226"/>
      <c r="B3033" s="226"/>
      <c r="C3033" s="226"/>
      <c r="D3033" s="226"/>
      <c r="E3033" s="226"/>
      <c r="F3033" s="226"/>
      <c r="G3033" s="226"/>
      <c r="H3033" s="226"/>
      <c r="I3033" s="9" t="str">
        <f t="shared" si="47"/>
        <v>__</v>
      </c>
    </row>
    <row r="3034" spans="1:9" x14ac:dyDescent="0.35">
      <c r="A3034" s="226"/>
      <c r="B3034" s="226"/>
      <c r="C3034" s="226"/>
      <c r="D3034" s="226"/>
      <c r="E3034" s="226"/>
      <c r="F3034" s="226"/>
      <c r="G3034" s="226"/>
      <c r="H3034" s="226"/>
      <c r="I3034" s="9" t="str">
        <f t="shared" si="47"/>
        <v>__</v>
      </c>
    </row>
    <row r="3035" spans="1:9" x14ac:dyDescent="0.35">
      <c r="A3035" s="226"/>
      <c r="B3035" s="226"/>
      <c r="C3035" s="226"/>
      <c r="D3035" s="226"/>
      <c r="E3035" s="226"/>
      <c r="F3035" s="226"/>
      <c r="G3035" s="226"/>
      <c r="H3035" s="226"/>
      <c r="I3035" s="9" t="str">
        <f t="shared" si="47"/>
        <v>__</v>
      </c>
    </row>
    <row r="3036" spans="1:9" x14ac:dyDescent="0.35">
      <c r="A3036" s="226"/>
      <c r="B3036" s="226"/>
      <c r="C3036" s="226"/>
      <c r="D3036" s="226"/>
      <c r="E3036" s="226"/>
      <c r="F3036" s="226"/>
      <c r="G3036" s="226"/>
      <c r="H3036" s="226"/>
      <c r="I3036" s="9" t="str">
        <f t="shared" si="47"/>
        <v>__</v>
      </c>
    </row>
    <row r="3037" spans="1:9" x14ac:dyDescent="0.35">
      <c r="A3037" s="226"/>
      <c r="B3037" s="226"/>
      <c r="C3037" s="226"/>
      <c r="D3037" s="226"/>
      <c r="E3037" s="226"/>
      <c r="F3037" s="226"/>
      <c r="G3037" s="226"/>
      <c r="H3037" s="226"/>
      <c r="I3037" s="9" t="str">
        <f t="shared" si="47"/>
        <v>__</v>
      </c>
    </row>
    <row r="3038" spans="1:9" x14ac:dyDescent="0.35">
      <c r="A3038" s="226"/>
      <c r="B3038" s="226"/>
      <c r="C3038" s="226"/>
      <c r="D3038" s="226"/>
      <c r="E3038" s="226"/>
      <c r="F3038" s="226"/>
      <c r="G3038" s="226"/>
      <c r="H3038" s="226"/>
      <c r="I3038" s="9" t="str">
        <f t="shared" si="47"/>
        <v>__</v>
      </c>
    </row>
    <row r="3039" spans="1:9" x14ac:dyDescent="0.35">
      <c r="A3039" s="226"/>
      <c r="B3039" s="226"/>
      <c r="C3039" s="226"/>
      <c r="D3039" s="226"/>
      <c r="E3039" s="226"/>
      <c r="F3039" s="226"/>
      <c r="G3039" s="226"/>
      <c r="H3039" s="226"/>
      <c r="I3039" s="9" t="str">
        <f t="shared" si="47"/>
        <v>__</v>
      </c>
    </row>
    <row r="3040" spans="1:9" x14ac:dyDescent="0.35">
      <c r="A3040" s="226"/>
      <c r="B3040" s="226"/>
      <c r="C3040" s="226"/>
      <c r="D3040" s="226"/>
      <c r="E3040" s="226"/>
      <c r="F3040" s="226"/>
      <c r="G3040" s="226"/>
      <c r="H3040" s="226"/>
      <c r="I3040" s="9" t="str">
        <f t="shared" si="47"/>
        <v>__</v>
      </c>
    </row>
    <row r="3041" spans="1:9" x14ac:dyDescent="0.35">
      <c r="A3041" s="226"/>
      <c r="B3041" s="226"/>
      <c r="C3041" s="226"/>
      <c r="D3041" s="226"/>
      <c r="E3041" s="226"/>
      <c r="F3041" s="226"/>
      <c r="G3041" s="226"/>
      <c r="H3041" s="226"/>
      <c r="I3041" s="9" t="str">
        <f t="shared" si="47"/>
        <v>__</v>
      </c>
    </row>
    <row r="3042" spans="1:9" x14ac:dyDescent="0.35">
      <c r="A3042" s="226"/>
      <c r="B3042" s="226"/>
      <c r="C3042" s="226"/>
      <c r="D3042" s="226"/>
      <c r="E3042" s="226"/>
      <c r="F3042" s="226"/>
      <c r="G3042" s="226"/>
      <c r="H3042" s="226"/>
      <c r="I3042" s="9" t="str">
        <f t="shared" si="47"/>
        <v>__</v>
      </c>
    </row>
    <row r="3043" spans="1:9" x14ac:dyDescent="0.35">
      <c r="A3043" s="226"/>
      <c r="B3043" s="226"/>
      <c r="C3043" s="226"/>
      <c r="D3043" s="226"/>
      <c r="E3043" s="226"/>
      <c r="F3043" s="226"/>
      <c r="G3043" s="226"/>
      <c r="H3043" s="226"/>
      <c r="I3043" s="9" t="str">
        <f t="shared" si="47"/>
        <v>__</v>
      </c>
    </row>
    <row r="3044" spans="1:9" x14ac:dyDescent="0.35">
      <c r="A3044" s="226"/>
      <c r="B3044" s="226"/>
      <c r="C3044" s="226"/>
      <c r="D3044" s="226"/>
      <c r="E3044" s="226"/>
      <c r="F3044" s="226"/>
      <c r="G3044" s="226"/>
      <c r="H3044" s="226"/>
      <c r="I3044" s="9" t="str">
        <f t="shared" si="47"/>
        <v>__</v>
      </c>
    </row>
    <row r="3045" spans="1:9" x14ac:dyDescent="0.35">
      <c r="A3045" s="226"/>
      <c r="B3045" s="226"/>
      <c r="C3045" s="226"/>
      <c r="D3045" s="226"/>
      <c r="E3045" s="226"/>
      <c r="F3045" s="226"/>
      <c r="G3045" s="226"/>
      <c r="H3045" s="226"/>
      <c r="I3045" s="9" t="str">
        <f t="shared" si="47"/>
        <v>__</v>
      </c>
    </row>
    <row r="3046" spans="1:9" x14ac:dyDescent="0.35">
      <c r="A3046" s="226"/>
      <c r="B3046" s="226"/>
      <c r="C3046" s="226"/>
      <c r="D3046" s="226"/>
      <c r="E3046" s="226"/>
      <c r="F3046" s="226"/>
      <c r="G3046" s="226"/>
      <c r="H3046" s="226"/>
      <c r="I3046" s="9" t="str">
        <f t="shared" si="47"/>
        <v>__</v>
      </c>
    </row>
    <row r="3047" spans="1:9" x14ac:dyDescent="0.35">
      <c r="A3047" s="226"/>
      <c r="B3047" s="226"/>
      <c r="C3047" s="226"/>
      <c r="D3047" s="226"/>
      <c r="E3047" s="226"/>
      <c r="F3047" s="226"/>
      <c r="G3047" s="226"/>
      <c r="H3047" s="226"/>
      <c r="I3047" s="9" t="str">
        <f t="shared" si="47"/>
        <v>__</v>
      </c>
    </row>
    <row r="3048" spans="1:9" x14ac:dyDescent="0.35">
      <c r="A3048" s="226"/>
      <c r="B3048" s="226"/>
      <c r="C3048" s="226"/>
      <c r="D3048" s="226"/>
      <c r="E3048" s="226"/>
      <c r="F3048" s="226"/>
      <c r="G3048" s="226"/>
      <c r="H3048" s="226"/>
      <c r="I3048" s="9" t="str">
        <f t="shared" si="47"/>
        <v>__</v>
      </c>
    </row>
    <row r="3049" spans="1:9" x14ac:dyDescent="0.35">
      <c r="A3049" s="226"/>
      <c r="B3049" s="226"/>
      <c r="C3049" s="226"/>
      <c r="D3049" s="226"/>
      <c r="E3049" s="226"/>
      <c r="F3049" s="226"/>
      <c r="G3049" s="226"/>
      <c r="H3049" s="226"/>
      <c r="I3049" s="9" t="str">
        <f t="shared" si="47"/>
        <v>__</v>
      </c>
    </row>
    <row r="3050" spans="1:9" x14ac:dyDescent="0.35">
      <c r="A3050" s="226"/>
      <c r="B3050" s="226"/>
      <c r="C3050" s="226"/>
      <c r="D3050" s="226"/>
      <c r="E3050" s="226"/>
      <c r="F3050" s="226"/>
      <c r="G3050" s="226"/>
      <c r="H3050" s="226"/>
      <c r="I3050" s="9" t="str">
        <f t="shared" si="47"/>
        <v>__</v>
      </c>
    </row>
    <row r="3051" spans="1:9" x14ac:dyDescent="0.35">
      <c r="A3051" s="226"/>
      <c r="B3051" s="226"/>
      <c r="C3051" s="226"/>
      <c r="D3051" s="226"/>
      <c r="E3051" s="226"/>
      <c r="F3051" s="226"/>
      <c r="G3051" s="226"/>
      <c r="H3051" s="226"/>
      <c r="I3051" s="9" t="str">
        <f t="shared" si="47"/>
        <v>__</v>
      </c>
    </row>
    <row r="3052" spans="1:9" x14ac:dyDescent="0.35">
      <c r="A3052" s="226"/>
      <c r="B3052" s="226"/>
      <c r="C3052" s="226"/>
      <c r="D3052" s="226"/>
      <c r="E3052" s="226"/>
      <c r="F3052" s="226"/>
      <c r="G3052" s="226"/>
      <c r="H3052" s="226"/>
      <c r="I3052" s="9" t="str">
        <f t="shared" si="47"/>
        <v>__</v>
      </c>
    </row>
    <row r="3053" spans="1:9" x14ac:dyDescent="0.35">
      <c r="A3053" s="226"/>
      <c r="B3053" s="226"/>
      <c r="C3053" s="226"/>
      <c r="D3053" s="226"/>
      <c r="E3053" s="226"/>
      <c r="F3053" s="226"/>
      <c r="G3053" s="226"/>
      <c r="H3053" s="226"/>
      <c r="I3053" s="9" t="str">
        <f t="shared" si="47"/>
        <v>__</v>
      </c>
    </row>
    <row r="3054" spans="1:9" x14ac:dyDescent="0.35">
      <c r="A3054" s="226"/>
      <c r="B3054" s="226"/>
      <c r="C3054" s="226"/>
      <c r="D3054" s="226"/>
      <c r="E3054" s="226"/>
      <c r="F3054" s="226"/>
      <c r="G3054" s="226"/>
      <c r="H3054" s="226"/>
      <c r="I3054" s="9" t="str">
        <f t="shared" si="47"/>
        <v>__</v>
      </c>
    </row>
    <row r="3055" spans="1:9" x14ac:dyDescent="0.35">
      <c r="A3055" s="226"/>
      <c r="B3055" s="226"/>
      <c r="C3055" s="226"/>
      <c r="D3055" s="226"/>
      <c r="E3055" s="226"/>
      <c r="F3055" s="226"/>
      <c r="G3055" s="226"/>
      <c r="H3055" s="226"/>
      <c r="I3055" s="9" t="str">
        <f t="shared" si="47"/>
        <v>__</v>
      </c>
    </row>
    <row r="3056" spans="1:9" x14ac:dyDescent="0.35">
      <c r="A3056" s="226"/>
      <c r="B3056" s="226"/>
      <c r="C3056" s="226"/>
      <c r="D3056" s="226"/>
      <c r="E3056" s="226"/>
      <c r="F3056" s="226"/>
      <c r="G3056" s="226"/>
      <c r="H3056" s="226"/>
      <c r="I3056" s="9" t="str">
        <f t="shared" si="47"/>
        <v>__</v>
      </c>
    </row>
    <row r="3057" spans="1:9" x14ac:dyDescent="0.35">
      <c r="A3057" s="226"/>
      <c r="B3057" s="226"/>
      <c r="C3057" s="226"/>
      <c r="D3057" s="226"/>
      <c r="E3057" s="226"/>
      <c r="F3057" s="226"/>
      <c r="G3057" s="226"/>
      <c r="H3057" s="226"/>
      <c r="I3057" s="9" t="str">
        <f t="shared" si="47"/>
        <v>__</v>
      </c>
    </row>
    <row r="3058" spans="1:9" x14ac:dyDescent="0.35">
      <c r="A3058" s="226"/>
      <c r="B3058" s="226"/>
      <c r="C3058" s="226"/>
      <c r="D3058" s="226"/>
      <c r="E3058" s="226"/>
      <c r="F3058" s="226"/>
      <c r="G3058" s="226"/>
      <c r="H3058" s="226"/>
      <c r="I3058" s="9" t="str">
        <f t="shared" si="47"/>
        <v>__</v>
      </c>
    </row>
    <row r="3059" spans="1:9" x14ac:dyDescent="0.35">
      <c r="A3059" s="226"/>
      <c r="B3059" s="226"/>
      <c r="C3059" s="226"/>
      <c r="D3059" s="226"/>
      <c r="E3059" s="226"/>
      <c r="F3059" s="226"/>
      <c r="G3059" s="226"/>
      <c r="H3059" s="226"/>
      <c r="I3059" s="9" t="str">
        <f t="shared" si="47"/>
        <v>__</v>
      </c>
    </row>
    <row r="3060" spans="1:9" x14ac:dyDescent="0.35">
      <c r="A3060" s="226"/>
      <c r="B3060" s="226"/>
      <c r="C3060" s="226"/>
      <c r="D3060" s="226"/>
      <c r="E3060" s="226"/>
      <c r="F3060" s="226"/>
      <c r="G3060" s="226"/>
      <c r="H3060" s="226"/>
      <c r="I3060" s="9" t="str">
        <f t="shared" si="47"/>
        <v>__</v>
      </c>
    </row>
    <row r="3061" spans="1:9" x14ac:dyDescent="0.35">
      <c r="A3061" s="226"/>
      <c r="B3061" s="226"/>
      <c r="C3061" s="226"/>
      <c r="D3061" s="226"/>
      <c r="E3061" s="226"/>
      <c r="F3061" s="226"/>
      <c r="G3061" s="226"/>
      <c r="H3061" s="226"/>
      <c r="I3061" s="9" t="str">
        <f t="shared" si="47"/>
        <v>__</v>
      </c>
    </row>
    <row r="3062" spans="1:9" x14ac:dyDescent="0.35">
      <c r="A3062" s="226"/>
      <c r="B3062" s="226"/>
      <c r="C3062" s="226"/>
      <c r="D3062" s="226"/>
      <c r="E3062" s="226"/>
      <c r="F3062" s="226"/>
      <c r="G3062" s="226"/>
      <c r="H3062" s="226"/>
      <c r="I3062" s="9" t="str">
        <f t="shared" si="47"/>
        <v>__</v>
      </c>
    </row>
    <row r="3063" spans="1:9" x14ac:dyDescent="0.35">
      <c r="A3063" s="226"/>
      <c r="B3063" s="226"/>
      <c r="C3063" s="226"/>
      <c r="D3063" s="226"/>
      <c r="E3063" s="226"/>
      <c r="F3063" s="226"/>
      <c r="G3063" s="226"/>
      <c r="H3063" s="226"/>
      <c r="I3063" s="9" t="str">
        <f t="shared" si="47"/>
        <v>__</v>
      </c>
    </row>
    <row r="3064" spans="1:9" x14ac:dyDescent="0.35">
      <c r="A3064" s="226"/>
      <c r="B3064" s="226"/>
      <c r="C3064" s="226"/>
      <c r="D3064" s="226"/>
      <c r="E3064" s="226"/>
      <c r="F3064" s="226"/>
      <c r="G3064" s="226"/>
      <c r="H3064" s="226"/>
      <c r="I3064" s="9" t="str">
        <f t="shared" si="47"/>
        <v>__</v>
      </c>
    </row>
    <row r="3065" spans="1:9" x14ac:dyDescent="0.35">
      <c r="A3065" s="226"/>
      <c r="B3065" s="226"/>
      <c r="C3065" s="226"/>
      <c r="D3065" s="226"/>
      <c r="E3065" s="226"/>
      <c r="F3065" s="226"/>
      <c r="G3065" s="226"/>
      <c r="H3065" s="226"/>
      <c r="I3065" s="9" t="str">
        <f t="shared" si="47"/>
        <v>__</v>
      </c>
    </row>
    <row r="3066" spans="1:9" x14ac:dyDescent="0.35">
      <c r="A3066" s="226"/>
      <c r="B3066" s="226"/>
      <c r="C3066" s="226"/>
      <c r="D3066" s="226"/>
      <c r="E3066" s="226"/>
      <c r="F3066" s="226"/>
      <c r="G3066" s="226"/>
      <c r="H3066" s="226"/>
      <c r="I3066" s="9" t="str">
        <f t="shared" si="47"/>
        <v>__</v>
      </c>
    </row>
    <row r="3067" spans="1:9" x14ac:dyDescent="0.35">
      <c r="A3067" s="226"/>
      <c r="B3067" s="226"/>
      <c r="C3067" s="226"/>
      <c r="D3067" s="226"/>
      <c r="E3067" s="226"/>
      <c r="F3067" s="226"/>
      <c r="G3067" s="226"/>
      <c r="H3067" s="226"/>
      <c r="I3067" s="9" t="str">
        <f t="shared" si="47"/>
        <v>__</v>
      </c>
    </row>
    <row r="3068" spans="1:9" x14ac:dyDescent="0.35">
      <c r="A3068" s="226"/>
      <c r="B3068" s="226"/>
      <c r="C3068" s="226"/>
      <c r="D3068" s="226"/>
      <c r="E3068" s="226"/>
      <c r="F3068" s="226"/>
      <c r="G3068" s="226"/>
      <c r="H3068" s="226"/>
      <c r="I3068" s="9" t="str">
        <f t="shared" si="47"/>
        <v>__</v>
      </c>
    </row>
    <row r="3069" spans="1:9" x14ac:dyDescent="0.35">
      <c r="A3069" s="226"/>
      <c r="B3069" s="226"/>
      <c r="C3069" s="226"/>
      <c r="D3069" s="226"/>
      <c r="E3069" s="226"/>
      <c r="F3069" s="226"/>
      <c r="G3069" s="226"/>
      <c r="H3069" s="226"/>
      <c r="I3069" s="9" t="str">
        <f t="shared" si="47"/>
        <v>__</v>
      </c>
    </row>
    <row r="3070" spans="1:9" x14ac:dyDescent="0.35">
      <c r="A3070" s="226"/>
      <c r="B3070" s="226"/>
      <c r="C3070" s="226"/>
      <c r="D3070" s="226"/>
      <c r="E3070" s="226"/>
      <c r="F3070" s="226"/>
      <c r="G3070" s="226"/>
      <c r="H3070" s="226"/>
      <c r="I3070" s="9" t="str">
        <f t="shared" si="47"/>
        <v>__</v>
      </c>
    </row>
    <row r="3071" spans="1:9" x14ac:dyDescent="0.35">
      <c r="A3071" s="226"/>
      <c r="B3071" s="226"/>
      <c r="C3071" s="226"/>
      <c r="D3071" s="226"/>
      <c r="E3071" s="226"/>
      <c r="F3071" s="226"/>
      <c r="G3071" s="226"/>
      <c r="H3071" s="226"/>
      <c r="I3071" s="9" t="str">
        <f t="shared" si="47"/>
        <v>__</v>
      </c>
    </row>
    <row r="3072" spans="1:9" x14ac:dyDescent="0.35">
      <c r="A3072" s="226"/>
      <c r="B3072" s="226"/>
      <c r="C3072" s="226"/>
      <c r="D3072" s="226"/>
      <c r="E3072" s="226"/>
      <c r="F3072" s="226"/>
      <c r="G3072" s="226"/>
      <c r="H3072" s="226"/>
      <c r="I3072" s="9" t="str">
        <f t="shared" si="47"/>
        <v>__</v>
      </c>
    </row>
    <row r="3073" spans="1:9" x14ac:dyDescent="0.35">
      <c r="A3073" s="226"/>
      <c r="B3073" s="226"/>
      <c r="C3073" s="226"/>
      <c r="D3073" s="226"/>
      <c r="E3073" s="226"/>
      <c r="F3073" s="226"/>
      <c r="G3073" s="226"/>
      <c r="H3073" s="226"/>
      <c r="I3073" s="9" t="str">
        <f t="shared" si="47"/>
        <v>__</v>
      </c>
    </row>
    <row r="3074" spans="1:9" x14ac:dyDescent="0.35">
      <c r="A3074" s="226"/>
      <c r="B3074" s="226"/>
      <c r="C3074" s="226"/>
      <c r="D3074" s="226"/>
      <c r="E3074" s="226"/>
      <c r="F3074" s="226"/>
      <c r="G3074" s="226"/>
      <c r="H3074" s="226"/>
      <c r="I3074" s="9" t="str">
        <f t="shared" si="47"/>
        <v>__</v>
      </c>
    </row>
    <row r="3075" spans="1:9" x14ac:dyDescent="0.35">
      <c r="A3075" s="226"/>
      <c r="B3075" s="226"/>
      <c r="C3075" s="226"/>
      <c r="D3075" s="226"/>
      <c r="E3075" s="226"/>
      <c r="F3075" s="226"/>
      <c r="G3075" s="226"/>
      <c r="H3075" s="226"/>
      <c r="I3075" s="9" t="str">
        <f t="shared" si="47"/>
        <v>__</v>
      </c>
    </row>
    <row r="3076" spans="1:9" x14ac:dyDescent="0.35">
      <c r="A3076" s="226"/>
      <c r="B3076" s="226"/>
      <c r="C3076" s="226"/>
      <c r="D3076" s="226"/>
      <c r="E3076" s="226"/>
      <c r="F3076" s="226"/>
      <c r="G3076" s="226"/>
      <c r="H3076" s="226"/>
      <c r="I3076" s="9" t="str">
        <f t="shared" si="47"/>
        <v>__</v>
      </c>
    </row>
    <row r="3077" spans="1:9" x14ac:dyDescent="0.35">
      <c r="A3077" s="226"/>
      <c r="B3077" s="226"/>
      <c r="C3077" s="226"/>
      <c r="D3077" s="226"/>
      <c r="E3077" s="226"/>
      <c r="F3077" s="226"/>
      <c r="G3077" s="226"/>
      <c r="H3077" s="226"/>
      <c r="I3077" s="9" t="str">
        <f t="shared" ref="I3077:I3140" si="48">CONCATENATE(A3077,"_",B3077,"_",C3077)</f>
        <v>__</v>
      </c>
    </row>
    <row r="3078" spans="1:9" x14ac:dyDescent="0.35">
      <c r="A3078" s="226"/>
      <c r="B3078" s="226"/>
      <c r="C3078" s="226"/>
      <c r="D3078" s="226"/>
      <c r="E3078" s="226"/>
      <c r="F3078" s="226"/>
      <c r="G3078" s="226"/>
      <c r="H3078" s="226"/>
      <c r="I3078" s="9" t="str">
        <f t="shared" si="48"/>
        <v>__</v>
      </c>
    </row>
    <row r="3079" spans="1:9" x14ac:dyDescent="0.35">
      <c r="A3079" s="226"/>
      <c r="B3079" s="226"/>
      <c r="C3079" s="226"/>
      <c r="D3079" s="226"/>
      <c r="E3079" s="226"/>
      <c r="F3079" s="226"/>
      <c r="G3079" s="226"/>
      <c r="H3079" s="226"/>
      <c r="I3079" s="9" t="str">
        <f t="shared" si="48"/>
        <v>__</v>
      </c>
    </row>
    <row r="3080" spans="1:9" x14ac:dyDescent="0.35">
      <c r="A3080" s="226"/>
      <c r="B3080" s="226"/>
      <c r="C3080" s="226"/>
      <c r="D3080" s="226"/>
      <c r="E3080" s="226"/>
      <c r="F3080" s="226"/>
      <c r="G3080" s="226"/>
      <c r="H3080" s="226"/>
      <c r="I3080" s="9" t="str">
        <f t="shared" si="48"/>
        <v>__</v>
      </c>
    </row>
    <row r="3081" spans="1:9" x14ac:dyDescent="0.35">
      <c r="A3081" s="226"/>
      <c r="B3081" s="226"/>
      <c r="C3081" s="226"/>
      <c r="D3081" s="226"/>
      <c r="E3081" s="226"/>
      <c r="F3081" s="226"/>
      <c r="G3081" s="226"/>
      <c r="H3081" s="226"/>
      <c r="I3081" s="9" t="str">
        <f t="shared" si="48"/>
        <v>__</v>
      </c>
    </row>
    <row r="3082" spans="1:9" x14ac:dyDescent="0.35">
      <c r="A3082" s="226"/>
      <c r="B3082" s="226"/>
      <c r="C3082" s="226"/>
      <c r="D3082" s="226"/>
      <c r="E3082" s="226"/>
      <c r="F3082" s="226"/>
      <c r="G3082" s="226"/>
      <c r="H3082" s="226"/>
      <c r="I3082" s="9" t="str">
        <f t="shared" si="48"/>
        <v>__</v>
      </c>
    </row>
    <row r="3083" spans="1:9" x14ac:dyDescent="0.35">
      <c r="A3083" s="226"/>
      <c r="B3083" s="226"/>
      <c r="C3083" s="226"/>
      <c r="D3083" s="226"/>
      <c r="E3083" s="226"/>
      <c r="F3083" s="226"/>
      <c r="G3083" s="226"/>
      <c r="H3083" s="226"/>
      <c r="I3083" s="9" t="str">
        <f t="shared" si="48"/>
        <v>__</v>
      </c>
    </row>
    <row r="3084" spans="1:9" x14ac:dyDescent="0.35">
      <c r="A3084" s="226"/>
      <c r="B3084" s="226"/>
      <c r="C3084" s="226"/>
      <c r="D3084" s="226"/>
      <c r="E3084" s="226"/>
      <c r="F3084" s="226"/>
      <c r="G3084" s="226"/>
      <c r="H3084" s="226"/>
      <c r="I3084" s="9" t="str">
        <f t="shared" si="48"/>
        <v>__</v>
      </c>
    </row>
    <row r="3085" spans="1:9" x14ac:dyDescent="0.35">
      <c r="A3085" s="226"/>
      <c r="B3085" s="226"/>
      <c r="C3085" s="226"/>
      <c r="D3085" s="226"/>
      <c r="E3085" s="226"/>
      <c r="F3085" s="226"/>
      <c r="G3085" s="226"/>
      <c r="H3085" s="226"/>
      <c r="I3085" s="9" t="str">
        <f t="shared" si="48"/>
        <v>__</v>
      </c>
    </row>
    <row r="3086" spans="1:9" x14ac:dyDescent="0.35">
      <c r="A3086" s="226"/>
      <c r="B3086" s="226"/>
      <c r="C3086" s="226"/>
      <c r="D3086" s="226"/>
      <c r="E3086" s="226"/>
      <c r="F3086" s="226"/>
      <c r="G3086" s="226"/>
      <c r="H3086" s="226"/>
      <c r="I3086" s="9" t="str">
        <f t="shared" si="48"/>
        <v>__</v>
      </c>
    </row>
    <row r="3087" spans="1:9" x14ac:dyDescent="0.35">
      <c r="A3087" s="226"/>
      <c r="B3087" s="226"/>
      <c r="C3087" s="226"/>
      <c r="D3087" s="226"/>
      <c r="E3087" s="226"/>
      <c r="F3087" s="226"/>
      <c r="G3087" s="226"/>
      <c r="H3087" s="226"/>
      <c r="I3087" s="9" t="str">
        <f t="shared" si="48"/>
        <v>__</v>
      </c>
    </row>
    <row r="3088" spans="1:9" x14ac:dyDescent="0.35">
      <c r="A3088" s="226"/>
      <c r="B3088" s="226"/>
      <c r="C3088" s="226"/>
      <c r="D3088" s="226"/>
      <c r="E3088" s="226"/>
      <c r="F3088" s="226"/>
      <c r="G3088" s="226"/>
      <c r="H3088" s="226"/>
      <c r="I3088" s="9" t="str">
        <f t="shared" si="48"/>
        <v>__</v>
      </c>
    </row>
    <row r="3089" spans="1:9" x14ac:dyDescent="0.35">
      <c r="A3089" s="226"/>
      <c r="B3089" s="226"/>
      <c r="C3089" s="226"/>
      <c r="D3089" s="226"/>
      <c r="E3089" s="226"/>
      <c r="F3089" s="226"/>
      <c r="G3089" s="226"/>
      <c r="H3089" s="226"/>
      <c r="I3089" s="9" t="str">
        <f t="shared" si="48"/>
        <v>__</v>
      </c>
    </row>
    <row r="3090" spans="1:9" x14ac:dyDescent="0.35">
      <c r="A3090" s="226"/>
      <c r="B3090" s="226"/>
      <c r="C3090" s="226"/>
      <c r="D3090" s="226"/>
      <c r="E3090" s="226"/>
      <c r="F3090" s="226"/>
      <c r="G3090" s="226"/>
      <c r="H3090" s="226"/>
      <c r="I3090" s="9" t="str">
        <f t="shared" si="48"/>
        <v>__</v>
      </c>
    </row>
    <row r="3091" spans="1:9" x14ac:dyDescent="0.35">
      <c r="A3091" s="226"/>
      <c r="B3091" s="226"/>
      <c r="C3091" s="226"/>
      <c r="D3091" s="226"/>
      <c r="E3091" s="226"/>
      <c r="F3091" s="226"/>
      <c r="G3091" s="226"/>
      <c r="H3091" s="226"/>
      <c r="I3091" s="9" t="str">
        <f t="shared" si="48"/>
        <v>__</v>
      </c>
    </row>
    <row r="3092" spans="1:9" x14ac:dyDescent="0.35">
      <c r="A3092" s="226"/>
      <c r="B3092" s="226"/>
      <c r="C3092" s="226"/>
      <c r="D3092" s="226"/>
      <c r="E3092" s="226"/>
      <c r="F3092" s="226"/>
      <c r="G3092" s="226"/>
      <c r="H3092" s="226"/>
      <c r="I3092" s="9" t="str">
        <f t="shared" si="48"/>
        <v>__</v>
      </c>
    </row>
    <row r="3093" spans="1:9" x14ac:dyDescent="0.35">
      <c r="A3093" s="226"/>
      <c r="B3093" s="226"/>
      <c r="C3093" s="226"/>
      <c r="D3093" s="226"/>
      <c r="E3093" s="226"/>
      <c r="F3093" s="226"/>
      <c r="G3093" s="226"/>
      <c r="H3093" s="226"/>
      <c r="I3093" s="9" t="str">
        <f t="shared" si="48"/>
        <v>__</v>
      </c>
    </row>
    <row r="3094" spans="1:9" x14ac:dyDescent="0.35">
      <c r="A3094" s="226"/>
      <c r="B3094" s="226"/>
      <c r="C3094" s="226"/>
      <c r="D3094" s="226"/>
      <c r="E3094" s="226"/>
      <c r="F3094" s="226"/>
      <c r="G3094" s="226"/>
      <c r="H3094" s="226"/>
      <c r="I3094" s="9" t="str">
        <f t="shared" si="48"/>
        <v>__</v>
      </c>
    </row>
    <row r="3095" spans="1:9" x14ac:dyDescent="0.35">
      <c r="A3095" s="226"/>
      <c r="B3095" s="226"/>
      <c r="C3095" s="226"/>
      <c r="D3095" s="226"/>
      <c r="E3095" s="226"/>
      <c r="F3095" s="226"/>
      <c r="G3095" s="226"/>
      <c r="H3095" s="226"/>
      <c r="I3095" s="9" t="str">
        <f t="shared" si="48"/>
        <v>__</v>
      </c>
    </row>
    <row r="3096" spans="1:9" x14ac:dyDescent="0.35">
      <c r="A3096" s="226"/>
      <c r="B3096" s="226"/>
      <c r="C3096" s="226"/>
      <c r="D3096" s="226"/>
      <c r="E3096" s="226"/>
      <c r="F3096" s="226"/>
      <c r="G3096" s="226"/>
      <c r="H3096" s="226"/>
      <c r="I3096" s="9" t="str">
        <f t="shared" si="48"/>
        <v>__</v>
      </c>
    </row>
    <row r="3097" spans="1:9" x14ac:dyDescent="0.35">
      <c r="A3097" s="226"/>
      <c r="B3097" s="226"/>
      <c r="C3097" s="226"/>
      <c r="D3097" s="226"/>
      <c r="E3097" s="226"/>
      <c r="F3097" s="226"/>
      <c r="G3097" s="226"/>
      <c r="H3097" s="226"/>
      <c r="I3097" s="9" t="str">
        <f t="shared" si="48"/>
        <v>__</v>
      </c>
    </row>
    <row r="3098" spans="1:9" x14ac:dyDescent="0.35">
      <c r="A3098" s="226"/>
      <c r="B3098" s="226"/>
      <c r="C3098" s="226"/>
      <c r="D3098" s="226"/>
      <c r="E3098" s="226"/>
      <c r="F3098" s="226"/>
      <c r="G3098" s="226"/>
      <c r="H3098" s="226"/>
      <c r="I3098" s="9" t="str">
        <f t="shared" si="48"/>
        <v>__</v>
      </c>
    </row>
    <row r="3099" spans="1:9" x14ac:dyDescent="0.35">
      <c r="A3099" s="226"/>
      <c r="B3099" s="226"/>
      <c r="C3099" s="226"/>
      <c r="D3099" s="226"/>
      <c r="E3099" s="226"/>
      <c r="F3099" s="226"/>
      <c r="G3099" s="226"/>
      <c r="H3099" s="226"/>
      <c r="I3099" s="9" t="str">
        <f t="shared" si="48"/>
        <v>__</v>
      </c>
    </row>
    <row r="3100" spans="1:9" x14ac:dyDescent="0.35">
      <c r="A3100" s="226"/>
      <c r="B3100" s="226"/>
      <c r="C3100" s="226"/>
      <c r="D3100" s="226"/>
      <c r="E3100" s="226"/>
      <c r="F3100" s="226"/>
      <c r="G3100" s="226"/>
      <c r="H3100" s="226"/>
      <c r="I3100" s="9" t="str">
        <f t="shared" si="48"/>
        <v>__</v>
      </c>
    </row>
    <row r="3101" spans="1:9" x14ac:dyDescent="0.35">
      <c r="A3101" s="226"/>
      <c r="B3101" s="226"/>
      <c r="C3101" s="226"/>
      <c r="D3101" s="226"/>
      <c r="E3101" s="226"/>
      <c r="F3101" s="226"/>
      <c r="G3101" s="226"/>
      <c r="H3101" s="226"/>
      <c r="I3101" s="9" t="str">
        <f t="shared" si="48"/>
        <v>__</v>
      </c>
    </row>
    <row r="3102" spans="1:9" x14ac:dyDescent="0.35">
      <c r="A3102" s="226"/>
      <c r="B3102" s="226"/>
      <c r="C3102" s="226"/>
      <c r="D3102" s="226"/>
      <c r="E3102" s="226"/>
      <c r="F3102" s="226"/>
      <c r="G3102" s="226"/>
      <c r="H3102" s="226"/>
      <c r="I3102" s="9" t="str">
        <f t="shared" si="48"/>
        <v>__</v>
      </c>
    </row>
    <row r="3103" spans="1:9" x14ac:dyDescent="0.35">
      <c r="A3103" s="226"/>
      <c r="B3103" s="226"/>
      <c r="C3103" s="226"/>
      <c r="D3103" s="226"/>
      <c r="E3103" s="226"/>
      <c r="F3103" s="226"/>
      <c r="G3103" s="226"/>
      <c r="H3103" s="226"/>
      <c r="I3103" s="9" t="str">
        <f t="shared" si="48"/>
        <v>__</v>
      </c>
    </row>
    <row r="3104" spans="1:9" x14ac:dyDescent="0.35">
      <c r="A3104" s="226"/>
      <c r="B3104" s="226"/>
      <c r="C3104" s="226"/>
      <c r="D3104" s="226"/>
      <c r="E3104" s="226"/>
      <c r="F3104" s="226"/>
      <c r="G3104" s="226"/>
      <c r="H3104" s="226"/>
      <c r="I3104" s="9" t="str">
        <f t="shared" si="48"/>
        <v>__</v>
      </c>
    </row>
    <row r="3105" spans="1:9" x14ac:dyDescent="0.35">
      <c r="A3105" s="226"/>
      <c r="B3105" s="226"/>
      <c r="C3105" s="226"/>
      <c r="D3105" s="226"/>
      <c r="E3105" s="226"/>
      <c r="F3105" s="226"/>
      <c r="G3105" s="226"/>
      <c r="H3105" s="226"/>
      <c r="I3105" s="9" t="str">
        <f t="shared" si="48"/>
        <v>__</v>
      </c>
    </row>
    <row r="3106" spans="1:9" x14ac:dyDescent="0.35">
      <c r="A3106" s="226"/>
      <c r="B3106" s="226"/>
      <c r="C3106" s="226"/>
      <c r="D3106" s="226"/>
      <c r="E3106" s="226"/>
      <c r="F3106" s="226"/>
      <c r="G3106" s="226"/>
      <c r="H3106" s="226"/>
      <c r="I3106" s="9" t="str">
        <f t="shared" si="48"/>
        <v>__</v>
      </c>
    </row>
    <row r="3107" spans="1:9" x14ac:dyDescent="0.35">
      <c r="A3107" s="226"/>
      <c r="B3107" s="226"/>
      <c r="C3107" s="226"/>
      <c r="D3107" s="226"/>
      <c r="E3107" s="226"/>
      <c r="F3107" s="226"/>
      <c r="G3107" s="226"/>
      <c r="H3107" s="226"/>
      <c r="I3107" s="9" t="str">
        <f t="shared" si="48"/>
        <v>__</v>
      </c>
    </row>
    <row r="3108" spans="1:9" x14ac:dyDescent="0.35">
      <c r="A3108" s="226"/>
      <c r="B3108" s="226"/>
      <c r="C3108" s="226"/>
      <c r="D3108" s="226"/>
      <c r="E3108" s="226"/>
      <c r="F3108" s="226"/>
      <c r="G3108" s="226"/>
      <c r="H3108" s="226"/>
      <c r="I3108" s="9" t="str">
        <f t="shared" si="48"/>
        <v>__</v>
      </c>
    </row>
    <row r="3109" spans="1:9" x14ac:dyDescent="0.35">
      <c r="A3109" s="226"/>
      <c r="B3109" s="226"/>
      <c r="C3109" s="226"/>
      <c r="D3109" s="226"/>
      <c r="E3109" s="226"/>
      <c r="F3109" s="226"/>
      <c r="G3109" s="226"/>
      <c r="H3109" s="226"/>
      <c r="I3109" s="9" t="str">
        <f t="shared" si="48"/>
        <v>__</v>
      </c>
    </row>
    <row r="3110" spans="1:9" x14ac:dyDescent="0.35">
      <c r="A3110" s="226"/>
      <c r="B3110" s="226"/>
      <c r="C3110" s="226"/>
      <c r="D3110" s="226"/>
      <c r="E3110" s="226"/>
      <c r="F3110" s="226"/>
      <c r="G3110" s="226"/>
      <c r="H3110" s="226"/>
      <c r="I3110" s="9" t="str">
        <f t="shared" si="48"/>
        <v>__</v>
      </c>
    </row>
    <row r="3111" spans="1:9" x14ac:dyDescent="0.35">
      <c r="A3111" s="226"/>
      <c r="B3111" s="226"/>
      <c r="C3111" s="226"/>
      <c r="D3111" s="226"/>
      <c r="E3111" s="226"/>
      <c r="F3111" s="226"/>
      <c r="G3111" s="226"/>
      <c r="H3111" s="226"/>
      <c r="I3111" s="9" t="str">
        <f t="shared" si="48"/>
        <v>__</v>
      </c>
    </row>
    <row r="3112" spans="1:9" x14ac:dyDescent="0.35">
      <c r="A3112" s="226"/>
      <c r="B3112" s="226"/>
      <c r="C3112" s="226"/>
      <c r="D3112" s="226"/>
      <c r="E3112" s="226"/>
      <c r="F3112" s="226"/>
      <c r="G3112" s="226"/>
      <c r="H3112" s="226"/>
      <c r="I3112" s="9" t="str">
        <f t="shared" si="48"/>
        <v>__</v>
      </c>
    </row>
    <row r="3113" spans="1:9" x14ac:dyDescent="0.35">
      <c r="A3113" s="226"/>
      <c r="B3113" s="226"/>
      <c r="C3113" s="226"/>
      <c r="D3113" s="226"/>
      <c r="E3113" s="226"/>
      <c r="F3113" s="226"/>
      <c r="G3113" s="226"/>
      <c r="H3113" s="226"/>
      <c r="I3113" s="9" t="str">
        <f t="shared" si="48"/>
        <v>__</v>
      </c>
    </row>
    <row r="3114" spans="1:9" x14ac:dyDescent="0.35">
      <c r="A3114" s="226"/>
      <c r="B3114" s="226"/>
      <c r="C3114" s="226"/>
      <c r="D3114" s="226"/>
      <c r="E3114" s="226"/>
      <c r="F3114" s="226"/>
      <c r="G3114" s="226"/>
      <c r="H3114" s="226"/>
      <c r="I3114" s="9" t="str">
        <f t="shared" si="48"/>
        <v>__</v>
      </c>
    </row>
    <row r="3115" spans="1:9" x14ac:dyDescent="0.35">
      <c r="A3115" s="226"/>
      <c r="B3115" s="226"/>
      <c r="C3115" s="226"/>
      <c r="D3115" s="226"/>
      <c r="E3115" s="226"/>
      <c r="F3115" s="226"/>
      <c r="G3115" s="226"/>
      <c r="H3115" s="226"/>
      <c r="I3115" s="9" t="str">
        <f t="shared" si="48"/>
        <v>__</v>
      </c>
    </row>
    <row r="3116" spans="1:9" x14ac:dyDescent="0.35">
      <c r="A3116" s="226"/>
      <c r="B3116" s="226"/>
      <c r="C3116" s="226"/>
      <c r="D3116" s="226"/>
      <c r="E3116" s="226"/>
      <c r="F3116" s="226"/>
      <c r="G3116" s="226"/>
      <c r="H3116" s="226"/>
      <c r="I3116" s="9" t="str">
        <f t="shared" si="48"/>
        <v>__</v>
      </c>
    </row>
    <row r="3117" spans="1:9" x14ac:dyDescent="0.35">
      <c r="A3117" s="226"/>
      <c r="B3117" s="226"/>
      <c r="C3117" s="226"/>
      <c r="D3117" s="226"/>
      <c r="E3117" s="226"/>
      <c r="F3117" s="226"/>
      <c r="G3117" s="226"/>
      <c r="H3117" s="226"/>
      <c r="I3117" s="9" t="str">
        <f t="shared" si="48"/>
        <v>__</v>
      </c>
    </row>
    <row r="3118" spans="1:9" x14ac:dyDescent="0.35">
      <c r="A3118" s="226"/>
      <c r="B3118" s="226"/>
      <c r="C3118" s="226"/>
      <c r="D3118" s="226"/>
      <c r="E3118" s="226"/>
      <c r="F3118" s="226"/>
      <c r="G3118" s="226"/>
      <c r="H3118" s="226"/>
      <c r="I3118" s="9" t="str">
        <f t="shared" si="48"/>
        <v>__</v>
      </c>
    </row>
    <row r="3119" spans="1:9" x14ac:dyDescent="0.35">
      <c r="A3119" s="226"/>
      <c r="B3119" s="226"/>
      <c r="C3119" s="226"/>
      <c r="D3119" s="226"/>
      <c r="E3119" s="226"/>
      <c r="F3119" s="226"/>
      <c r="G3119" s="226"/>
      <c r="H3119" s="226"/>
      <c r="I3119" s="9" t="str">
        <f t="shared" si="48"/>
        <v>__</v>
      </c>
    </row>
    <row r="3120" spans="1:9" x14ac:dyDescent="0.35">
      <c r="A3120" s="226"/>
      <c r="B3120" s="226"/>
      <c r="C3120" s="226"/>
      <c r="D3120" s="226"/>
      <c r="E3120" s="226"/>
      <c r="F3120" s="226"/>
      <c r="G3120" s="226"/>
      <c r="H3120" s="226"/>
      <c r="I3120" s="9" t="str">
        <f t="shared" si="48"/>
        <v>__</v>
      </c>
    </row>
    <row r="3121" spans="1:9" x14ac:dyDescent="0.35">
      <c r="A3121" s="226"/>
      <c r="B3121" s="226"/>
      <c r="C3121" s="226"/>
      <c r="D3121" s="226"/>
      <c r="E3121" s="226"/>
      <c r="F3121" s="226"/>
      <c r="G3121" s="226"/>
      <c r="H3121" s="226"/>
      <c r="I3121" s="9" t="str">
        <f t="shared" si="48"/>
        <v>__</v>
      </c>
    </row>
    <row r="3122" spans="1:9" x14ac:dyDescent="0.35">
      <c r="A3122" s="226"/>
      <c r="B3122" s="226"/>
      <c r="C3122" s="226"/>
      <c r="D3122" s="226"/>
      <c r="E3122" s="226"/>
      <c r="F3122" s="226"/>
      <c r="G3122" s="226"/>
      <c r="H3122" s="226"/>
      <c r="I3122" s="9" t="str">
        <f t="shared" si="48"/>
        <v>__</v>
      </c>
    </row>
    <row r="3123" spans="1:9" x14ac:dyDescent="0.35">
      <c r="A3123" s="226"/>
      <c r="B3123" s="226"/>
      <c r="C3123" s="226"/>
      <c r="D3123" s="226"/>
      <c r="E3123" s="226"/>
      <c r="F3123" s="226"/>
      <c r="G3123" s="226"/>
      <c r="H3123" s="226"/>
      <c r="I3123" s="9" t="str">
        <f t="shared" si="48"/>
        <v>__</v>
      </c>
    </row>
    <row r="3124" spans="1:9" x14ac:dyDescent="0.35">
      <c r="A3124" s="226"/>
      <c r="B3124" s="226"/>
      <c r="C3124" s="226"/>
      <c r="D3124" s="226"/>
      <c r="E3124" s="226"/>
      <c r="F3124" s="226"/>
      <c r="G3124" s="226"/>
      <c r="H3124" s="226"/>
      <c r="I3124" s="9" t="str">
        <f t="shared" si="48"/>
        <v>__</v>
      </c>
    </row>
    <row r="3125" spans="1:9" x14ac:dyDescent="0.35">
      <c r="A3125" s="226"/>
      <c r="B3125" s="226"/>
      <c r="C3125" s="226"/>
      <c r="D3125" s="226"/>
      <c r="E3125" s="226"/>
      <c r="F3125" s="226"/>
      <c r="G3125" s="226"/>
      <c r="H3125" s="226"/>
      <c r="I3125" s="9" t="str">
        <f t="shared" si="48"/>
        <v>__</v>
      </c>
    </row>
    <row r="3126" spans="1:9" x14ac:dyDescent="0.35">
      <c r="A3126" s="226"/>
      <c r="B3126" s="226"/>
      <c r="C3126" s="226"/>
      <c r="D3126" s="226"/>
      <c r="E3126" s="226"/>
      <c r="F3126" s="226"/>
      <c r="G3126" s="226"/>
      <c r="H3126" s="226"/>
      <c r="I3126" s="9" t="str">
        <f t="shared" si="48"/>
        <v>__</v>
      </c>
    </row>
    <row r="3127" spans="1:9" x14ac:dyDescent="0.35">
      <c r="A3127" s="226"/>
      <c r="B3127" s="226"/>
      <c r="C3127" s="226"/>
      <c r="D3127" s="226"/>
      <c r="E3127" s="226"/>
      <c r="F3127" s="226"/>
      <c r="G3127" s="226"/>
      <c r="H3127" s="226"/>
      <c r="I3127" s="9" t="str">
        <f t="shared" si="48"/>
        <v>__</v>
      </c>
    </row>
    <row r="3128" spans="1:9" x14ac:dyDescent="0.35">
      <c r="A3128" s="226"/>
      <c r="B3128" s="226"/>
      <c r="C3128" s="226"/>
      <c r="D3128" s="226"/>
      <c r="E3128" s="226"/>
      <c r="F3128" s="226"/>
      <c r="G3128" s="226"/>
      <c r="H3128" s="226"/>
      <c r="I3128" s="9" t="str">
        <f t="shared" si="48"/>
        <v>__</v>
      </c>
    </row>
    <row r="3129" spans="1:9" x14ac:dyDescent="0.35">
      <c r="A3129" s="226"/>
      <c r="B3129" s="226"/>
      <c r="C3129" s="226"/>
      <c r="D3129" s="226"/>
      <c r="E3129" s="226"/>
      <c r="F3129" s="226"/>
      <c r="G3129" s="226"/>
      <c r="H3129" s="226"/>
      <c r="I3129" s="9" t="str">
        <f t="shared" si="48"/>
        <v>__</v>
      </c>
    </row>
    <row r="3130" spans="1:9" x14ac:dyDescent="0.35">
      <c r="A3130" s="226"/>
      <c r="B3130" s="226"/>
      <c r="C3130" s="226"/>
      <c r="D3130" s="226"/>
      <c r="E3130" s="226"/>
      <c r="F3130" s="226"/>
      <c r="G3130" s="226"/>
      <c r="H3130" s="226"/>
      <c r="I3130" s="9" t="str">
        <f t="shared" si="48"/>
        <v>__</v>
      </c>
    </row>
    <row r="3131" spans="1:9" x14ac:dyDescent="0.35">
      <c r="A3131" s="226"/>
      <c r="B3131" s="226"/>
      <c r="C3131" s="226"/>
      <c r="D3131" s="226"/>
      <c r="E3131" s="226"/>
      <c r="F3131" s="226"/>
      <c r="G3131" s="226"/>
      <c r="H3131" s="226"/>
      <c r="I3131" s="9" t="str">
        <f t="shared" si="48"/>
        <v>__</v>
      </c>
    </row>
    <row r="3132" spans="1:9" x14ac:dyDescent="0.35">
      <c r="A3132" s="226"/>
      <c r="B3132" s="226"/>
      <c r="C3132" s="226"/>
      <c r="D3132" s="226"/>
      <c r="E3132" s="226"/>
      <c r="F3132" s="226"/>
      <c r="G3132" s="226"/>
      <c r="H3132" s="226"/>
      <c r="I3132" s="9" t="str">
        <f t="shared" si="48"/>
        <v>__</v>
      </c>
    </row>
    <row r="3133" spans="1:9" x14ac:dyDescent="0.35">
      <c r="A3133" s="226"/>
      <c r="B3133" s="226"/>
      <c r="C3133" s="226"/>
      <c r="D3133" s="226"/>
      <c r="E3133" s="226"/>
      <c r="F3133" s="226"/>
      <c r="G3133" s="226"/>
      <c r="H3133" s="226"/>
      <c r="I3133" s="9" t="str">
        <f t="shared" si="48"/>
        <v>__</v>
      </c>
    </row>
    <row r="3134" spans="1:9" x14ac:dyDescent="0.35">
      <c r="A3134" s="226"/>
      <c r="B3134" s="226"/>
      <c r="C3134" s="226"/>
      <c r="D3134" s="226"/>
      <c r="E3134" s="226"/>
      <c r="F3134" s="226"/>
      <c r="G3134" s="226"/>
      <c r="H3134" s="226"/>
      <c r="I3134" s="9" t="str">
        <f t="shared" si="48"/>
        <v>__</v>
      </c>
    </row>
    <row r="3135" spans="1:9" x14ac:dyDescent="0.35">
      <c r="A3135" s="226"/>
      <c r="B3135" s="226"/>
      <c r="C3135" s="226"/>
      <c r="D3135" s="226"/>
      <c r="E3135" s="226"/>
      <c r="F3135" s="226"/>
      <c r="G3135" s="226"/>
      <c r="H3135" s="226"/>
      <c r="I3135" s="9" t="str">
        <f t="shared" si="48"/>
        <v>__</v>
      </c>
    </row>
    <row r="3136" spans="1:9" x14ac:dyDescent="0.35">
      <c r="A3136" s="226"/>
      <c r="B3136" s="226"/>
      <c r="C3136" s="226"/>
      <c r="D3136" s="226"/>
      <c r="E3136" s="226"/>
      <c r="F3136" s="226"/>
      <c r="G3136" s="226"/>
      <c r="H3136" s="226"/>
      <c r="I3136" s="9" t="str">
        <f t="shared" si="48"/>
        <v>__</v>
      </c>
    </row>
    <row r="3137" spans="1:9" x14ac:dyDescent="0.35">
      <c r="A3137" s="226"/>
      <c r="B3137" s="226"/>
      <c r="C3137" s="226"/>
      <c r="D3137" s="226"/>
      <c r="E3137" s="226"/>
      <c r="F3137" s="226"/>
      <c r="G3137" s="226"/>
      <c r="H3137" s="226"/>
      <c r="I3137" s="9" t="str">
        <f t="shared" si="48"/>
        <v>__</v>
      </c>
    </row>
    <row r="3138" spans="1:9" x14ac:dyDescent="0.35">
      <c r="A3138" s="226"/>
      <c r="B3138" s="226"/>
      <c r="C3138" s="226"/>
      <c r="D3138" s="226"/>
      <c r="E3138" s="226"/>
      <c r="F3138" s="226"/>
      <c r="G3138" s="226"/>
      <c r="H3138" s="226"/>
      <c r="I3138" s="9" t="str">
        <f t="shared" si="48"/>
        <v>__</v>
      </c>
    </row>
    <row r="3139" spans="1:9" x14ac:dyDescent="0.35">
      <c r="A3139" s="226"/>
      <c r="B3139" s="226"/>
      <c r="C3139" s="226"/>
      <c r="D3139" s="226"/>
      <c r="E3139" s="226"/>
      <c r="F3139" s="226"/>
      <c r="G3139" s="226"/>
      <c r="H3139" s="226"/>
      <c r="I3139" s="9" t="str">
        <f t="shared" si="48"/>
        <v>__</v>
      </c>
    </row>
    <row r="3140" spans="1:9" x14ac:dyDescent="0.35">
      <c r="A3140" s="226"/>
      <c r="B3140" s="226"/>
      <c r="C3140" s="226"/>
      <c r="D3140" s="226"/>
      <c r="E3140" s="226"/>
      <c r="F3140" s="226"/>
      <c r="G3140" s="226"/>
      <c r="H3140" s="226"/>
      <c r="I3140" s="9" t="str">
        <f t="shared" si="48"/>
        <v>__</v>
      </c>
    </row>
    <row r="3141" spans="1:9" x14ac:dyDescent="0.35">
      <c r="A3141" s="226"/>
      <c r="B3141" s="226"/>
      <c r="C3141" s="226"/>
      <c r="D3141" s="226"/>
      <c r="E3141" s="226"/>
      <c r="F3141" s="226"/>
      <c r="G3141" s="226"/>
      <c r="H3141" s="226"/>
      <c r="I3141" s="9" t="str">
        <f t="shared" ref="I3141:I3204" si="49">CONCATENATE(A3141,"_",B3141,"_",C3141)</f>
        <v>__</v>
      </c>
    </row>
    <row r="3142" spans="1:9" x14ac:dyDescent="0.35">
      <c r="A3142" s="226"/>
      <c r="B3142" s="226"/>
      <c r="C3142" s="226"/>
      <c r="D3142" s="226"/>
      <c r="E3142" s="226"/>
      <c r="F3142" s="226"/>
      <c r="G3142" s="226"/>
      <c r="H3142" s="226"/>
      <c r="I3142" s="9" t="str">
        <f t="shared" si="49"/>
        <v>__</v>
      </c>
    </row>
    <row r="3143" spans="1:9" x14ac:dyDescent="0.35">
      <c r="A3143" s="226"/>
      <c r="B3143" s="226"/>
      <c r="C3143" s="226"/>
      <c r="D3143" s="226"/>
      <c r="E3143" s="226"/>
      <c r="F3143" s="226"/>
      <c r="G3143" s="226"/>
      <c r="H3143" s="226"/>
      <c r="I3143" s="9" t="str">
        <f t="shared" si="49"/>
        <v>__</v>
      </c>
    </row>
    <row r="3144" spans="1:9" x14ac:dyDescent="0.35">
      <c r="A3144" s="226"/>
      <c r="B3144" s="226"/>
      <c r="C3144" s="226"/>
      <c r="D3144" s="226"/>
      <c r="E3144" s="226"/>
      <c r="F3144" s="226"/>
      <c r="G3144" s="226"/>
      <c r="H3144" s="226"/>
      <c r="I3144" s="9" t="str">
        <f t="shared" si="49"/>
        <v>__</v>
      </c>
    </row>
    <row r="3145" spans="1:9" x14ac:dyDescent="0.35">
      <c r="A3145" s="226"/>
      <c r="B3145" s="226"/>
      <c r="C3145" s="226"/>
      <c r="D3145" s="226"/>
      <c r="E3145" s="226"/>
      <c r="F3145" s="226"/>
      <c r="G3145" s="226"/>
      <c r="H3145" s="226"/>
      <c r="I3145" s="9" t="str">
        <f t="shared" si="49"/>
        <v>__</v>
      </c>
    </row>
    <row r="3146" spans="1:9" x14ac:dyDescent="0.35">
      <c r="A3146" s="226"/>
      <c r="B3146" s="226"/>
      <c r="C3146" s="226"/>
      <c r="D3146" s="226"/>
      <c r="E3146" s="226"/>
      <c r="F3146" s="226"/>
      <c r="G3146" s="226"/>
      <c r="H3146" s="226"/>
      <c r="I3146" s="9" t="str">
        <f t="shared" si="49"/>
        <v>__</v>
      </c>
    </row>
    <row r="3147" spans="1:9" x14ac:dyDescent="0.35">
      <c r="A3147" s="226"/>
      <c r="B3147" s="226"/>
      <c r="C3147" s="226"/>
      <c r="D3147" s="226"/>
      <c r="E3147" s="226"/>
      <c r="F3147" s="226"/>
      <c r="G3147" s="226"/>
      <c r="H3147" s="226"/>
      <c r="I3147" s="9" t="str">
        <f t="shared" si="49"/>
        <v>__</v>
      </c>
    </row>
    <row r="3148" spans="1:9" x14ac:dyDescent="0.35">
      <c r="A3148" s="226"/>
      <c r="B3148" s="226"/>
      <c r="C3148" s="226"/>
      <c r="D3148" s="226"/>
      <c r="E3148" s="226"/>
      <c r="F3148" s="226"/>
      <c r="G3148" s="226"/>
      <c r="H3148" s="226"/>
      <c r="I3148" s="9" t="str">
        <f t="shared" si="49"/>
        <v>__</v>
      </c>
    </row>
    <row r="3149" spans="1:9" x14ac:dyDescent="0.35">
      <c r="A3149" s="226"/>
      <c r="B3149" s="226"/>
      <c r="C3149" s="226"/>
      <c r="D3149" s="226"/>
      <c r="E3149" s="226"/>
      <c r="F3149" s="226"/>
      <c r="G3149" s="226"/>
      <c r="H3149" s="226"/>
      <c r="I3149" s="9" t="str">
        <f t="shared" si="49"/>
        <v>__</v>
      </c>
    </row>
    <row r="3150" spans="1:9" x14ac:dyDescent="0.35">
      <c r="A3150" s="226"/>
      <c r="B3150" s="226"/>
      <c r="C3150" s="226"/>
      <c r="D3150" s="226"/>
      <c r="E3150" s="226"/>
      <c r="F3150" s="226"/>
      <c r="G3150" s="226"/>
      <c r="H3150" s="226"/>
      <c r="I3150" s="9" t="str">
        <f t="shared" si="49"/>
        <v>__</v>
      </c>
    </row>
    <row r="3151" spans="1:9" x14ac:dyDescent="0.35">
      <c r="A3151" s="226"/>
      <c r="B3151" s="226"/>
      <c r="C3151" s="226"/>
      <c r="D3151" s="226"/>
      <c r="E3151" s="226"/>
      <c r="F3151" s="226"/>
      <c r="G3151" s="226"/>
      <c r="H3151" s="226"/>
      <c r="I3151" s="9" t="str">
        <f t="shared" si="49"/>
        <v>__</v>
      </c>
    </row>
    <row r="3152" spans="1:9" x14ac:dyDescent="0.35">
      <c r="A3152" s="226"/>
      <c r="B3152" s="226"/>
      <c r="C3152" s="226"/>
      <c r="D3152" s="226"/>
      <c r="E3152" s="226"/>
      <c r="F3152" s="226"/>
      <c r="G3152" s="226"/>
      <c r="H3152" s="226"/>
      <c r="I3152" s="9" t="str">
        <f t="shared" si="49"/>
        <v>__</v>
      </c>
    </row>
    <row r="3153" spans="1:9" x14ac:dyDescent="0.35">
      <c r="A3153" s="226"/>
      <c r="B3153" s="226"/>
      <c r="C3153" s="226"/>
      <c r="D3153" s="226"/>
      <c r="E3153" s="226"/>
      <c r="F3153" s="226"/>
      <c r="G3153" s="226"/>
      <c r="H3153" s="226"/>
      <c r="I3153" s="9" t="str">
        <f t="shared" si="49"/>
        <v>__</v>
      </c>
    </row>
    <row r="3154" spans="1:9" x14ac:dyDescent="0.35">
      <c r="A3154" s="226"/>
      <c r="B3154" s="226"/>
      <c r="C3154" s="226"/>
      <c r="D3154" s="226"/>
      <c r="E3154" s="226"/>
      <c r="F3154" s="226"/>
      <c r="G3154" s="226"/>
      <c r="H3154" s="226"/>
      <c r="I3154" s="9" t="str">
        <f t="shared" si="49"/>
        <v>__</v>
      </c>
    </row>
    <row r="3155" spans="1:9" x14ac:dyDescent="0.35">
      <c r="A3155" s="226"/>
      <c r="B3155" s="226"/>
      <c r="C3155" s="226"/>
      <c r="D3155" s="226"/>
      <c r="E3155" s="226"/>
      <c r="F3155" s="226"/>
      <c r="G3155" s="226"/>
      <c r="H3155" s="226"/>
      <c r="I3155" s="9" t="str">
        <f t="shared" si="49"/>
        <v>__</v>
      </c>
    </row>
    <row r="3156" spans="1:9" x14ac:dyDescent="0.35">
      <c r="A3156" s="226"/>
      <c r="B3156" s="226"/>
      <c r="C3156" s="226"/>
      <c r="D3156" s="226"/>
      <c r="E3156" s="226"/>
      <c r="F3156" s="226"/>
      <c r="G3156" s="226"/>
      <c r="H3156" s="226"/>
      <c r="I3156" s="9" t="str">
        <f t="shared" si="49"/>
        <v>__</v>
      </c>
    </row>
    <row r="3157" spans="1:9" x14ac:dyDescent="0.35">
      <c r="A3157" s="226"/>
      <c r="B3157" s="226"/>
      <c r="C3157" s="226"/>
      <c r="D3157" s="226"/>
      <c r="E3157" s="226"/>
      <c r="F3157" s="226"/>
      <c r="G3157" s="226"/>
      <c r="H3157" s="226"/>
      <c r="I3157" s="9" t="str">
        <f t="shared" si="49"/>
        <v>__</v>
      </c>
    </row>
    <row r="3158" spans="1:9" x14ac:dyDescent="0.35">
      <c r="A3158" s="226"/>
      <c r="B3158" s="226"/>
      <c r="C3158" s="226"/>
      <c r="D3158" s="226"/>
      <c r="E3158" s="226"/>
      <c r="F3158" s="226"/>
      <c r="G3158" s="226"/>
      <c r="H3158" s="226"/>
      <c r="I3158" s="9" t="str">
        <f t="shared" si="49"/>
        <v>__</v>
      </c>
    </row>
    <row r="3159" spans="1:9" x14ac:dyDescent="0.35">
      <c r="A3159" s="226"/>
      <c r="B3159" s="226"/>
      <c r="C3159" s="226"/>
      <c r="D3159" s="226"/>
      <c r="E3159" s="226"/>
      <c r="F3159" s="226"/>
      <c r="G3159" s="226"/>
      <c r="H3159" s="226"/>
      <c r="I3159" s="9" t="str">
        <f t="shared" si="49"/>
        <v>__</v>
      </c>
    </row>
    <row r="3160" spans="1:9" x14ac:dyDescent="0.35">
      <c r="A3160" s="226"/>
      <c r="B3160" s="226"/>
      <c r="C3160" s="226"/>
      <c r="D3160" s="226"/>
      <c r="E3160" s="226"/>
      <c r="F3160" s="226"/>
      <c r="G3160" s="226"/>
      <c r="H3160" s="226"/>
      <c r="I3160" s="9" t="str">
        <f t="shared" si="49"/>
        <v>__</v>
      </c>
    </row>
    <row r="3161" spans="1:9" x14ac:dyDescent="0.35">
      <c r="A3161" s="226"/>
      <c r="B3161" s="226"/>
      <c r="C3161" s="226"/>
      <c r="D3161" s="226"/>
      <c r="E3161" s="226"/>
      <c r="F3161" s="226"/>
      <c r="G3161" s="226"/>
      <c r="H3161" s="226"/>
      <c r="I3161" s="9" t="str">
        <f t="shared" si="49"/>
        <v>__</v>
      </c>
    </row>
    <row r="3162" spans="1:9" x14ac:dyDescent="0.35">
      <c r="A3162" s="226"/>
      <c r="B3162" s="226"/>
      <c r="C3162" s="226"/>
      <c r="D3162" s="226"/>
      <c r="E3162" s="226"/>
      <c r="F3162" s="226"/>
      <c r="G3162" s="226"/>
      <c r="H3162" s="226"/>
      <c r="I3162" s="9" t="str">
        <f t="shared" si="49"/>
        <v>__</v>
      </c>
    </row>
    <row r="3163" spans="1:9" x14ac:dyDescent="0.35">
      <c r="A3163" s="226"/>
      <c r="B3163" s="226"/>
      <c r="C3163" s="226"/>
      <c r="D3163" s="226"/>
      <c r="E3163" s="226"/>
      <c r="F3163" s="226"/>
      <c r="G3163" s="226"/>
      <c r="H3163" s="226"/>
      <c r="I3163" s="9" t="str">
        <f t="shared" si="49"/>
        <v>__</v>
      </c>
    </row>
    <row r="3164" spans="1:9" x14ac:dyDescent="0.35">
      <c r="A3164" s="226"/>
      <c r="B3164" s="226"/>
      <c r="C3164" s="226"/>
      <c r="D3164" s="226"/>
      <c r="E3164" s="226"/>
      <c r="F3164" s="226"/>
      <c r="G3164" s="226"/>
      <c r="H3164" s="226"/>
      <c r="I3164" s="9" t="str">
        <f t="shared" si="49"/>
        <v>__</v>
      </c>
    </row>
    <row r="3165" spans="1:9" x14ac:dyDescent="0.35">
      <c r="A3165" s="226"/>
      <c r="B3165" s="226"/>
      <c r="C3165" s="226"/>
      <c r="D3165" s="226"/>
      <c r="E3165" s="226"/>
      <c r="F3165" s="226"/>
      <c r="G3165" s="226"/>
      <c r="H3165" s="226"/>
      <c r="I3165" s="9" t="str">
        <f t="shared" si="49"/>
        <v>__</v>
      </c>
    </row>
    <row r="3166" spans="1:9" x14ac:dyDescent="0.35">
      <c r="A3166" s="226"/>
      <c r="B3166" s="226"/>
      <c r="C3166" s="226"/>
      <c r="D3166" s="226"/>
      <c r="E3166" s="226"/>
      <c r="F3166" s="226"/>
      <c r="G3166" s="226"/>
      <c r="H3166" s="226"/>
      <c r="I3166" s="9" t="str">
        <f t="shared" si="49"/>
        <v>__</v>
      </c>
    </row>
    <row r="3167" spans="1:9" x14ac:dyDescent="0.35">
      <c r="A3167" s="226"/>
      <c r="B3167" s="226"/>
      <c r="C3167" s="226"/>
      <c r="D3167" s="226"/>
      <c r="E3167" s="226"/>
      <c r="F3167" s="226"/>
      <c r="G3167" s="226"/>
      <c r="H3167" s="226"/>
      <c r="I3167" s="9" t="str">
        <f t="shared" si="49"/>
        <v>__</v>
      </c>
    </row>
    <row r="3168" spans="1:9" x14ac:dyDescent="0.35">
      <c r="A3168" s="226"/>
      <c r="B3168" s="226"/>
      <c r="C3168" s="226"/>
      <c r="D3168" s="226"/>
      <c r="E3168" s="226"/>
      <c r="F3168" s="226"/>
      <c r="G3168" s="226"/>
      <c r="H3168" s="226"/>
      <c r="I3168" s="9" t="str">
        <f t="shared" si="49"/>
        <v>__</v>
      </c>
    </row>
    <row r="3169" spans="1:9" x14ac:dyDescent="0.35">
      <c r="A3169" s="226"/>
      <c r="B3169" s="226"/>
      <c r="C3169" s="226"/>
      <c r="D3169" s="226"/>
      <c r="E3169" s="226"/>
      <c r="F3169" s="226"/>
      <c r="G3169" s="226"/>
      <c r="H3169" s="226"/>
      <c r="I3169" s="9" t="str">
        <f t="shared" si="49"/>
        <v>__</v>
      </c>
    </row>
    <row r="3170" spans="1:9" x14ac:dyDescent="0.35">
      <c r="A3170" s="226"/>
      <c r="B3170" s="226"/>
      <c r="C3170" s="226"/>
      <c r="D3170" s="226"/>
      <c r="E3170" s="226"/>
      <c r="F3170" s="226"/>
      <c r="G3170" s="226"/>
      <c r="H3170" s="226"/>
      <c r="I3170" s="9" t="str">
        <f t="shared" si="49"/>
        <v>__</v>
      </c>
    </row>
    <row r="3171" spans="1:9" x14ac:dyDescent="0.35">
      <c r="A3171" s="226"/>
      <c r="B3171" s="226"/>
      <c r="C3171" s="226"/>
      <c r="D3171" s="226"/>
      <c r="E3171" s="226"/>
      <c r="F3171" s="226"/>
      <c r="G3171" s="226"/>
      <c r="H3171" s="226"/>
      <c r="I3171" s="9" t="str">
        <f t="shared" si="49"/>
        <v>__</v>
      </c>
    </row>
    <row r="3172" spans="1:9" x14ac:dyDescent="0.35">
      <c r="A3172" s="226"/>
      <c r="B3172" s="226"/>
      <c r="C3172" s="226"/>
      <c r="D3172" s="226"/>
      <c r="E3172" s="226"/>
      <c r="F3172" s="226"/>
      <c r="G3172" s="226"/>
      <c r="H3172" s="226"/>
      <c r="I3172" s="9" t="str">
        <f t="shared" si="49"/>
        <v>__</v>
      </c>
    </row>
    <row r="3173" spans="1:9" x14ac:dyDescent="0.35">
      <c r="A3173" s="226"/>
      <c r="B3173" s="226"/>
      <c r="C3173" s="226"/>
      <c r="D3173" s="226"/>
      <c r="E3173" s="226"/>
      <c r="F3173" s="226"/>
      <c r="G3173" s="226"/>
      <c r="H3173" s="226"/>
      <c r="I3173" s="9" t="str">
        <f t="shared" si="49"/>
        <v>__</v>
      </c>
    </row>
    <row r="3174" spans="1:9" x14ac:dyDescent="0.35">
      <c r="A3174" s="226"/>
      <c r="B3174" s="226"/>
      <c r="C3174" s="226"/>
      <c r="D3174" s="226"/>
      <c r="E3174" s="226"/>
      <c r="F3174" s="226"/>
      <c r="G3174" s="226"/>
      <c r="H3174" s="226"/>
      <c r="I3174" s="9" t="str">
        <f t="shared" si="49"/>
        <v>__</v>
      </c>
    </row>
    <row r="3175" spans="1:9" x14ac:dyDescent="0.35">
      <c r="A3175" s="226"/>
      <c r="B3175" s="226"/>
      <c r="C3175" s="226"/>
      <c r="D3175" s="226"/>
      <c r="E3175" s="226"/>
      <c r="F3175" s="226"/>
      <c r="G3175" s="226"/>
      <c r="H3175" s="226"/>
      <c r="I3175" s="9" t="str">
        <f t="shared" si="49"/>
        <v>__</v>
      </c>
    </row>
    <row r="3176" spans="1:9" x14ac:dyDescent="0.35">
      <c r="A3176" s="226"/>
      <c r="B3176" s="226"/>
      <c r="C3176" s="226"/>
      <c r="D3176" s="226"/>
      <c r="E3176" s="226"/>
      <c r="F3176" s="226"/>
      <c r="G3176" s="226"/>
      <c r="H3176" s="226"/>
      <c r="I3176" s="9" t="str">
        <f t="shared" si="49"/>
        <v>__</v>
      </c>
    </row>
    <row r="3177" spans="1:9" x14ac:dyDescent="0.35">
      <c r="A3177" s="226"/>
      <c r="B3177" s="226"/>
      <c r="C3177" s="226"/>
      <c r="D3177" s="226"/>
      <c r="E3177" s="226"/>
      <c r="F3177" s="226"/>
      <c r="G3177" s="226"/>
      <c r="H3177" s="226"/>
      <c r="I3177" s="9" t="str">
        <f t="shared" si="49"/>
        <v>__</v>
      </c>
    </row>
    <row r="3178" spans="1:9" x14ac:dyDescent="0.35">
      <c r="A3178" s="226"/>
      <c r="B3178" s="226"/>
      <c r="C3178" s="226"/>
      <c r="D3178" s="226"/>
      <c r="E3178" s="226"/>
      <c r="F3178" s="226"/>
      <c r="G3178" s="226"/>
      <c r="H3178" s="226"/>
      <c r="I3178" s="9" t="str">
        <f t="shared" si="49"/>
        <v>__</v>
      </c>
    </row>
    <row r="3179" spans="1:9" x14ac:dyDescent="0.35">
      <c r="A3179" s="226"/>
      <c r="B3179" s="226"/>
      <c r="C3179" s="226"/>
      <c r="D3179" s="226"/>
      <c r="E3179" s="226"/>
      <c r="F3179" s="226"/>
      <c r="G3179" s="226"/>
      <c r="H3179" s="226"/>
      <c r="I3179" s="9" t="str">
        <f t="shared" si="49"/>
        <v>__</v>
      </c>
    </row>
    <row r="3180" spans="1:9" x14ac:dyDescent="0.35">
      <c r="A3180" s="226"/>
      <c r="B3180" s="226"/>
      <c r="C3180" s="226"/>
      <c r="D3180" s="226"/>
      <c r="E3180" s="226"/>
      <c r="F3180" s="226"/>
      <c r="G3180" s="226"/>
      <c r="H3180" s="226"/>
      <c r="I3180" s="9" t="str">
        <f t="shared" si="49"/>
        <v>__</v>
      </c>
    </row>
    <row r="3181" spans="1:9" x14ac:dyDescent="0.35">
      <c r="A3181" s="226"/>
      <c r="B3181" s="226"/>
      <c r="C3181" s="226"/>
      <c r="D3181" s="226"/>
      <c r="E3181" s="226"/>
      <c r="F3181" s="226"/>
      <c r="G3181" s="226"/>
      <c r="H3181" s="226"/>
      <c r="I3181" s="9" t="str">
        <f t="shared" si="49"/>
        <v>__</v>
      </c>
    </row>
    <row r="3182" spans="1:9" x14ac:dyDescent="0.35">
      <c r="A3182" s="226"/>
      <c r="B3182" s="226"/>
      <c r="C3182" s="226"/>
      <c r="D3182" s="226"/>
      <c r="E3182" s="226"/>
      <c r="F3182" s="226"/>
      <c r="G3182" s="226"/>
      <c r="H3182" s="226"/>
      <c r="I3182" s="9" t="str">
        <f t="shared" si="49"/>
        <v>__</v>
      </c>
    </row>
    <row r="3183" spans="1:9" x14ac:dyDescent="0.35">
      <c r="A3183" s="226"/>
      <c r="B3183" s="226"/>
      <c r="C3183" s="226"/>
      <c r="D3183" s="226"/>
      <c r="E3183" s="226"/>
      <c r="F3183" s="226"/>
      <c r="G3183" s="226"/>
      <c r="H3183" s="226"/>
      <c r="I3183" s="9" t="str">
        <f t="shared" si="49"/>
        <v>__</v>
      </c>
    </row>
    <row r="3184" spans="1:9" x14ac:dyDescent="0.35">
      <c r="A3184" s="226"/>
      <c r="B3184" s="226"/>
      <c r="C3184" s="226"/>
      <c r="D3184" s="226"/>
      <c r="E3184" s="226"/>
      <c r="F3184" s="226"/>
      <c r="G3184" s="226"/>
      <c r="H3184" s="226"/>
      <c r="I3184" s="9" t="str">
        <f t="shared" si="49"/>
        <v>__</v>
      </c>
    </row>
    <row r="3185" spans="1:9" x14ac:dyDescent="0.35">
      <c r="A3185" s="226"/>
      <c r="B3185" s="226"/>
      <c r="C3185" s="226"/>
      <c r="D3185" s="226"/>
      <c r="E3185" s="226"/>
      <c r="F3185" s="226"/>
      <c r="G3185" s="226"/>
      <c r="H3185" s="226"/>
      <c r="I3185" s="9" t="str">
        <f t="shared" si="49"/>
        <v>__</v>
      </c>
    </row>
    <row r="3186" spans="1:9" x14ac:dyDescent="0.35">
      <c r="A3186" s="226"/>
      <c r="B3186" s="226"/>
      <c r="C3186" s="226"/>
      <c r="D3186" s="226"/>
      <c r="E3186" s="226"/>
      <c r="F3186" s="226"/>
      <c r="G3186" s="226"/>
      <c r="H3186" s="226"/>
      <c r="I3186" s="9" t="str">
        <f t="shared" si="49"/>
        <v>__</v>
      </c>
    </row>
    <row r="3187" spans="1:9" x14ac:dyDescent="0.35">
      <c r="A3187" s="226"/>
      <c r="B3187" s="226"/>
      <c r="C3187" s="226"/>
      <c r="D3187" s="226"/>
      <c r="E3187" s="226"/>
      <c r="F3187" s="226"/>
      <c r="G3187" s="226"/>
      <c r="H3187" s="226"/>
      <c r="I3187" s="9" t="str">
        <f t="shared" si="49"/>
        <v>__</v>
      </c>
    </row>
    <row r="3188" spans="1:9" x14ac:dyDescent="0.35">
      <c r="A3188" s="226"/>
      <c r="B3188" s="226"/>
      <c r="C3188" s="226"/>
      <c r="D3188" s="226"/>
      <c r="E3188" s="226"/>
      <c r="F3188" s="226"/>
      <c r="G3188" s="226"/>
      <c r="H3188" s="226"/>
      <c r="I3188" s="9" t="str">
        <f t="shared" si="49"/>
        <v>__</v>
      </c>
    </row>
    <row r="3189" spans="1:9" x14ac:dyDescent="0.35">
      <c r="A3189" s="226"/>
      <c r="B3189" s="226"/>
      <c r="C3189" s="226"/>
      <c r="D3189" s="226"/>
      <c r="E3189" s="226"/>
      <c r="F3189" s="226"/>
      <c r="G3189" s="226"/>
      <c r="H3189" s="226"/>
      <c r="I3189" s="9" t="str">
        <f t="shared" si="49"/>
        <v>__</v>
      </c>
    </row>
    <row r="3190" spans="1:9" x14ac:dyDescent="0.35">
      <c r="A3190" s="226"/>
      <c r="B3190" s="226"/>
      <c r="C3190" s="226"/>
      <c r="D3190" s="226"/>
      <c r="E3190" s="226"/>
      <c r="F3190" s="226"/>
      <c r="G3190" s="226"/>
      <c r="H3190" s="226"/>
      <c r="I3190" s="9" t="str">
        <f t="shared" si="49"/>
        <v>__</v>
      </c>
    </row>
    <row r="3191" spans="1:9" x14ac:dyDescent="0.35">
      <c r="A3191" s="226"/>
      <c r="B3191" s="226"/>
      <c r="C3191" s="226"/>
      <c r="D3191" s="226"/>
      <c r="E3191" s="226"/>
      <c r="F3191" s="226"/>
      <c r="G3191" s="226"/>
      <c r="H3191" s="226"/>
      <c r="I3191" s="9" t="str">
        <f t="shared" si="49"/>
        <v>__</v>
      </c>
    </row>
    <row r="3192" spans="1:9" x14ac:dyDescent="0.35">
      <c r="A3192" s="226"/>
      <c r="B3192" s="226"/>
      <c r="C3192" s="226"/>
      <c r="D3192" s="226"/>
      <c r="E3192" s="226"/>
      <c r="F3192" s="226"/>
      <c r="G3192" s="226"/>
      <c r="H3192" s="226"/>
      <c r="I3192" s="9" t="str">
        <f t="shared" si="49"/>
        <v>__</v>
      </c>
    </row>
    <row r="3193" spans="1:9" x14ac:dyDescent="0.35">
      <c r="A3193" s="226"/>
      <c r="B3193" s="226"/>
      <c r="C3193" s="226"/>
      <c r="D3193" s="226"/>
      <c r="E3193" s="226"/>
      <c r="F3193" s="226"/>
      <c r="G3193" s="226"/>
      <c r="H3193" s="226"/>
      <c r="I3193" s="9" t="str">
        <f t="shared" si="49"/>
        <v>__</v>
      </c>
    </row>
    <row r="3194" spans="1:9" x14ac:dyDescent="0.35">
      <c r="A3194" s="226"/>
      <c r="B3194" s="226"/>
      <c r="C3194" s="226"/>
      <c r="D3194" s="226"/>
      <c r="E3194" s="226"/>
      <c r="F3194" s="226"/>
      <c r="G3194" s="226"/>
      <c r="H3194" s="226"/>
      <c r="I3194" s="9" t="str">
        <f t="shared" si="49"/>
        <v>__</v>
      </c>
    </row>
    <row r="3195" spans="1:9" x14ac:dyDescent="0.35">
      <c r="A3195" s="226"/>
      <c r="B3195" s="226"/>
      <c r="C3195" s="226"/>
      <c r="D3195" s="226"/>
      <c r="E3195" s="226"/>
      <c r="F3195" s="226"/>
      <c r="G3195" s="226"/>
      <c r="H3195" s="226"/>
      <c r="I3195" s="9" t="str">
        <f t="shared" si="49"/>
        <v>__</v>
      </c>
    </row>
    <row r="3196" spans="1:9" x14ac:dyDescent="0.35">
      <c r="A3196" s="226"/>
      <c r="B3196" s="226"/>
      <c r="C3196" s="226"/>
      <c r="D3196" s="226"/>
      <c r="E3196" s="226"/>
      <c r="F3196" s="226"/>
      <c r="G3196" s="226"/>
      <c r="H3196" s="226"/>
      <c r="I3196" s="9" t="str">
        <f t="shared" si="49"/>
        <v>__</v>
      </c>
    </row>
    <row r="3197" spans="1:9" x14ac:dyDescent="0.35">
      <c r="A3197" s="226"/>
      <c r="B3197" s="226"/>
      <c r="C3197" s="226"/>
      <c r="D3197" s="226"/>
      <c r="E3197" s="226"/>
      <c r="F3197" s="226"/>
      <c r="G3197" s="226"/>
      <c r="H3197" s="226"/>
      <c r="I3197" s="9" t="str">
        <f t="shared" si="49"/>
        <v>__</v>
      </c>
    </row>
    <row r="3198" spans="1:9" x14ac:dyDescent="0.35">
      <c r="A3198" s="226"/>
      <c r="B3198" s="226"/>
      <c r="C3198" s="226"/>
      <c r="D3198" s="226"/>
      <c r="E3198" s="226"/>
      <c r="F3198" s="226"/>
      <c r="G3198" s="226"/>
      <c r="H3198" s="226"/>
      <c r="I3198" s="9" t="str">
        <f t="shared" si="49"/>
        <v>__</v>
      </c>
    </row>
    <row r="3199" spans="1:9" x14ac:dyDescent="0.35">
      <c r="A3199" s="226"/>
      <c r="B3199" s="226"/>
      <c r="C3199" s="226"/>
      <c r="D3199" s="226"/>
      <c r="E3199" s="226"/>
      <c r="F3199" s="226"/>
      <c r="G3199" s="226"/>
      <c r="H3199" s="226"/>
      <c r="I3199" s="9" t="str">
        <f t="shared" si="49"/>
        <v>__</v>
      </c>
    </row>
    <row r="3200" spans="1:9" x14ac:dyDescent="0.35">
      <c r="A3200" s="226"/>
      <c r="B3200" s="226"/>
      <c r="C3200" s="226"/>
      <c r="D3200" s="226"/>
      <c r="E3200" s="226"/>
      <c r="F3200" s="226"/>
      <c r="G3200" s="226"/>
      <c r="H3200" s="226"/>
      <c r="I3200" s="9" t="str">
        <f t="shared" si="49"/>
        <v>__</v>
      </c>
    </row>
    <row r="3201" spans="1:9" x14ac:dyDescent="0.35">
      <c r="A3201" s="226"/>
      <c r="B3201" s="226"/>
      <c r="C3201" s="226"/>
      <c r="D3201" s="226"/>
      <c r="E3201" s="226"/>
      <c r="F3201" s="226"/>
      <c r="G3201" s="226"/>
      <c r="H3201" s="226"/>
      <c r="I3201" s="9" t="str">
        <f t="shared" si="49"/>
        <v>__</v>
      </c>
    </row>
    <row r="3202" spans="1:9" x14ac:dyDescent="0.35">
      <c r="A3202" s="226"/>
      <c r="B3202" s="226"/>
      <c r="C3202" s="226"/>
      <c r="D3202" s="226"/>
      <c r="E3202" s="226"/>
      <c r="F3202" s="226"/>
      <c r="G3202" s="226"/>
      <c r="H3202" s="226"/>
      <c r="I3202" s="9" t="str">
        <f t="shared" si="49"/>
        <v>__</v>
      </c>
    </row>
    <row r="3203" spans="1:9" x14ac:dyDescent="0.35">
      <c r="A3203" s="226"/>
      <c r="B3203" s="226"/>
      <c r="C3203" s="226"/>
      <c r="D3203" s="226"/>
      <c r="E3203" s="226"/>
      <c r="F3203" s="226"/>
      <c r="G3203" s="226"/>
      <c r="H3203" s="226"/>
      <c r="I3203" s="9" t="str">
        <f t="shared" si="49"/>
        <v>__</v>
      </c>
    </row>
    <row r="3204" spans="1:9" x14ac:dyDescent="0.35">
      <c r="A3204" s="226"/>
      <c r="B3204" s="226"/>
      <c r="C3204" s="226"/>
      <c r="D3204" s="226"/>
      <c r="E3204" s="226"/>
      <c r="F3204" s="226"/>
      <c r="G3204" s="226"/>
      <c r="H3204" s="226"/>
      <c r="I3204" s="9" t="str">
        <f t="shared" si="49"/>
        <v>__</v>
      </c>
    </row>
    <row r="3205" spans="1:9" x14ac:dyDescent="0.35">
      <c r="A3205" s="226"/>
      <c r="B3205" s="226"/>
      <c r="C3205" s="226"/>
      <c r="D3205" s="226"/>
      <c r="E3205" s="226"/>
      <c r="F3205" s="226"/>
      <c r="G3205" s="226"/>
      <c r="H3205" s="226"/>
      <c r="I3205" s="9" t="str">
        <f t="shared" ref="I3205:I3268" si="50">CONCATENATE(A3205,"_",B3205,"_",C3205)</f>
        <v>__</v>
      </c>
    </row>
    <row r="3206" spans="1:9" x14ac:dyDescent="0.35">
      <c r="A3206" s="226"/>
      <c r="B3206" s="226"/>
      <c r="C3206" s="226"/>
      <c r="D3206" s="226"/>
      <c r="E3206" s="226"/>
      <c r="F3206" s="226"/>
      <c r="G3206" s="226"/>
      <c r="H3206" s="226"/>
      <c r="I3206" s="9" t="str">
        <f t="shared" si="50"/>
        <v>__</v>
      </c>
    </row>
    <row r="3207" spans="1:9" x14ac:dyDescent="0.35">
      <c r="A3207" s="226"/>
      <c r="B3207" s="226"/>
      <c r="C3207" s="226"/>
      <c r="D3207" s="226"/>
      <c r="E3207" s="226"/>
      <c r="F3207" s="226"/>
      <c r="G3207" s="226"/>
      <c r="H3207" s="226"/>
      <c r="I3207" s="9" t="str">
        <f t="shared" si="50"/>
        <v>__</v>
      </c>
    </row>
    <row r="3208" spans="1:9" x14ac:dyDescent="0.35">
      <c r="A3208" s="226"/>
      <c r="B3208" s="226"/>
      <c r="C3208" s="226"/>
      <c r="D3208" s="226"/>
      <c r="E3208" s="226"/>
      <c r="F3208" s="226"/>
      <c r="G3208" s="226"/>
      <c r="H3208" s="226"/>
      <c r="I3208" s="9" t="str">
        <f t="shared" si="50"/>
        <v>__</v>
      </c>
    </row>
    <row r="3209" spans="1:9" x14ac:dyDescent="0.35">
      <c r="A3209" s="226"/>
      <c r="B3209" s="226"/>
      <c r="C3209" s="226"/>
      <c r="D3209" s="226"/>
      <c r="E3209" s="226"/>
      <c r="F3209" s="226"/>
      <c r="G3209" s="226"/>
      <c r="H3209" s="226"/>
      <c r="I3209" s="9" t="str">
        <f t="shared" si="50"/>
        <v>__</v>
      </c>
    </row>
    <row r="3210" spans="1:9" x14ac:dyDescent="0.35">
      <c r="A3210" s="226"/>
      <c r="B3210" s="226"/>
      <c r="C3210" s="226"/>
      <c r="D3210" s="226"/>
      <c r="E3210" s="226"/>
      <c r="F3210" s="226"/>
      <c r="G3210" s="226"/>
      <c r="H3210" s="226"/>
      <c r="I3210" s="9" t="str">
        <f t="shared" si="50"/>
        <v>__</v>
      </c>
    </row>
    <row r="3211" spans="1:9" x14ac:dyDescent="0.35">
      <c r="A3211" s="226"/>
      <c r="B3211" s="226"/>
      <c r="C3211" s="226"/>
      <c r="D3211" s="226"/>
      <c r="E3211" s="226"/>
      <c r="F3211" s="226"/>
      <c r="G3211" s="226"/>
      <c r="H3211" s="226"/>
      <c r="I3211" s="9" t="str">
        <f t="shared" si="50"/>
        <v>__</v>
      </c>
    </row>
    <row r="3212" spans="1:9" x14ac:dyDescent="0.35">
      <c r="A3212" s="226"/>
      <c r="B3212" s="226"/>
      <c r="C3212" s="226"/>
      <c r="D3212" s="226"/>
      <c r="E3212" s="226"/>
      <c r="F3212" s="226"/>
      <c r="G3212" s="226"/>
      <c r="H3212" s="226"/>
      <c r="I3212" s="9" t="str">
        <f t="shared" si="50"/>
        <v>__</v>
      </c>
    </row>
    <row r="3213" spans="1:9" x14ac:dyDescent="0.35">
      <c r="A3213" s="226"/>
      <c r="B3213" s="226"/>
      <c r="C3213" s="226"/>
      <c r="D3213" s="226"/>
      <c r="E3213" s="226"/>
      <c r="F3213" s="226"/>
      <c r="G3213" s="226"/>
      <c r="H3213" s="226"/>
      <c r="I3213" s="9" t="str">
        <f t="shared" si="50"/>
        <v>__</v>
      </c>
    </row>
    <row r="3214" spans="1:9" x14ac:dyDescent="0.35">
      <c r="A3214" s="226"/>
      <c r="B3214" s="226"/>
      <c r="C3214" s="226"/>
      <c r="D3214" s="226"/>
      <c r="E3214" s="226"/>
      <c r="F3214" s="226"/>
      <c r="G3214" s="226"/>
      <c r="H3214" s="226"/>
      <c r="I3214" s="9" t="str">
        <f t="shared" si="50"/>
        <v>__</v>
      </c>
    </row>
    <row r="3215" spans="1:9" x14ac:dyDescent="0.35">
      <c r="A3215" s="226"/>
      <c r="B3215" s="226"/>
      <c r="C3215" s="226"/>
      <c r="D3215" s="226"/>
      <c r="E3215" s="226"/>
      <c r="F3215" s="226"/>
      <c r="G3215" s="226"/>
      <c r="H3215" s="226"/>
      <c r="I3215" s="9" t="str">
        <f t="shared" si="50"/>
        <v>__</v>
      </c>
    </row>
    <row r="3216" spans="1:9" x14ac:dyDescent="0.35">
      <c r="A3216" s="226"/>
      <c r="B3216" s="226"/>
      <c r="C3216" s="226"/>
      <c r="D3216" s="226"/>
      <c r="E3216" s="226"/>
      <c r="F3216" s="226"/>
      <c r="G3216" s="226"/>
      <c r="H3216" s="226"/>
      <c r="I3216" s="9" t="str">
        <f t="shared" si="50"/>
        <v>__</v>
      </c>
    </row>
    <row r="3217" spans="1:9" x14ac:dyDescent="0.35">
      <c r="A3217" s="226"/>
      <c r="B3217" s="226"/>
      <c r="C3217" s="226"/>
      <c r="D3217" s="226"/>
      <c r="E3217" s="226"/>
      <c r="F3217" s="226"/>
      <c r="G3217" s="226"/>
      <c r="H3217" s="226"/>
      <c r="I3217" s="9" t="str">
        <f t="shared" si="50"/>
        <v>__</v>
      </c>
    </row>
    <row r="3218" spans="1:9" x14ac:dyDescent="0.35">
      <c r="A3218" s="226"/>
      <c r="B3218" s="226"/>
      <c r="C3218" s="226"/>
      <c r="D3218" s="226"/>
      <c r="E3218" s="226"/>
      <c r="F3218" s="226"/>
      <c r="G3218" s="226"/>
      <c r="H3218" s="226"/>
      <c r="I3218" s="9" t="str">
        <f t="shared" si="50"/>
        <v>__</v>
      </c>
    </row>
    <row r="3219" spans="1:9" x14ac:dyDescent="0.35">
      <c r="A3219" s="226"/>
      <c r="B3219" s="226"/>
      <c r="C3219" s="226"/>
      <c r="D3219" s="226"/>
      <c r="E3219" s="226"/>
      <c r="F3219" s="226"/>
      <c r="G3219" s="226"/>
      <c r="H3219" s="226"/>
      <c r="I3219" s="9" t="str">
        <f t="shared" si="50"/>
        <v>__</v>
      </c>
    </row>
    <row r="3220" spans="1:9" x14ac:dyDescent="0.35">
      <c r="A3220" s="226"/>
      <c r="B3220" s="226"/>
      <c r="C3220" s="226"/>
      <c r="D3220" s="226"/>
      <c r="E3220" s="226"/>
      <c r="F3220" s="226"/>
      <c r="G3220" s="226"/>
      <c r="H3220" s="226"/>
      <c r="I3220" s="9" t="str">
        <f t="shared" si="50"/>
        <v>__</v>
      </c>
    </row>
    <row r="3221" spans="1:9" x14ac:dyDescent="0.35">
      <c r="A3221" s="226"/>
      <c r="B3221" s="226"/>
      <c r="C3221" s="226"/>
      <c r="D3221" s="226"/>
      <c r="E3221" s="226"/>
      <c r="F3221" s="226"/>
      <c r="G3221" s="226"/>
      <c r="H3221" s="226"/>
      <c r="I3221" s="9" t="str">
        <f t="shared" si="50"/>
        <v>__</v>
      </c>
    </row>
    <row r="3222" spans="1:9" x14ac:dyDescent="0.35">
      <c r="A3222" s="226"/>
      <c r="B3222" s="226"/>
      <c r="C3222" s="226"/>
      <c r="D3222" s="226"/>
      <c r="E3222" s="226"/>
      <c r="F3222" s="226"/>
      <c r="G3222" s="226"/>
      <c r="H3222" s="226"/>
      <c r="I3222" s="9" t="str">
        <f t="shared" si="50"/>
        <v>__</v>
      </c>
    </row>
    <row r="3223" spans="1:9" x14ac:dyDescent="0.35">
      <c r="A3223" s="226"/>
      <c r="B3223" s="226"/>
      <c r="C3223" s="226"/>
      <c r="D3223" s="226"/>
      <c r="E3223" s="226"/>
      <c r="F3223" s="226"/>
      <c r="G3223" s="226"/>
      <c r="H3223" s="226"/>
      <c r="I3223" s="9" t="str">
        <f t="shared" si="50"/>
        <v>__</v>
      </c>
    </row>
    <row r="3224" spans="1:9" x14ac:dyDescent="0.35">
      <c r="A3224" s="226"/>
      <c r="B3224" s="226"/>
      <c r="C3224" s="226"/>
      <c r="D3224" s="226"/>
      <c r="E3224" s="226"/>
      <c r="F3224" s="226"/>
      <c r="G3224" s="226"/>
      <c r="H3224" s="226"/>
      <c r="I3224" s="9" t="str">
        <f t="shared" si="50"/>
        <v>__</v>
      </c>
    </row>
    <row r="3225" spans="1:9" x14ac:dyDescent="0.35">
      <c r="A3225" s="226"/>
      <c r="B3225" s="226"/>
      <c r="C3225" s="226"/>
      <c r="D3225" s="226"/>
      <c r="E3225" s="226"/>
      <c r="F3225" s="226"/>
      <c r="G3225" s="226"/>
      <c r="H3225" s="226"/>
      <c r="I3225" s="9" t="str">
        <f t="shared" si="50"/>
        <v>__</v>
      </c>
    </row>
    <row r="3226" spans="1:9" x14ac:dyDescent="0.35">
      <c r="A3226" s="226"/>
      <c r="B3226" s="226"/>
      <c r="C3226" s="226"/>
      <c r="D3226" s="226"/>
      <c r="E3226" s="226"/>
      <c r="F3226" s="226"/>
      <c r="G3226" s="226"/>
      <c r="H3226" s="226"/>
      <c r="I3226" s="9" t="str">
        <f t="shared" si="50"/>
        <v>__</v>
      </c>
    </row>
    <row r="3227" spans="1:9" x14ac:dyDescent="0.35">
      <c r="A3227" s="226"/>
      <c r="B3227" s="226"/>
      <c r="C3227" s="226"/>
      <c r="D3227" s="226"/>
      <c r="E3227" s="226"/>
      <c r="F3227" s="226"/>
      <c r="G3227" s="226"/>
      <c r="H3227" s="226"/>
      <c r="I3227" s="9" t="str">
        <f t="shared" si="50"/>
        <v>__</v>
      </c>
    </row>
    <row r="3228" spans="1:9" x14ac:dyDescent="0.35">
      <c r="A3228" s="226"/>
      <c r="B3228" s="226"/>
      <c r="C3228" s="226"/>
      <c r="D3228" s="226"/>
      <c r="E3228" s="226"/>
      <c r="F3228" s="226"/>
      <c r="G3228" s="226"/>
      <c r="H3228" s="226"/>
      <c r="I3228" s="9" t="str">
        <f t="shared" si="50"/>
        <v>__</v>
      </c>
    </row>
    <row r="3229" spans="1:9" x14ac:dyDescent="0.35">
      <c r="A3229" s="226"/>
      <c r="B3229" s="226"/>
      <c r="C3229" s="226"/>
      <c r="D3229" s="226"/>
      <c r="E3229" s="226"/>
      <c r="F3229" s="226"/>
      <c r="G3229" s="226"/>
      <c r="H3229" s="226"/>
      <c r="I3229" s="9" t="str">
        <f t="shared" si="50"/>
        <v>__</v>
      </c>
    </row>
    <row r="3230" spans="1:9" x14ac:dyDescent="0.35">
      <c r="A3230" s="226"/>
      <c r="B3230" s="226"/>
      <c r="C3230" s="226"/>
      <c r="D3230" s="226"/>
      <c r="E3230" s="226"/>
      <c r="F3230" s="226"/>
      <c r="G3230" s="226"/>
      <c r="H3230" s="226"/>
      <c r="I3230" s="9" t="str">
        <f t="shared" si="50"/>
        <v>__</v>
      </c>
    </row>
    <row r="3231" spans="1:9" x14ac:dyDescent="0.35">
      <c r="A3231" s="226"/>
      <c r="B3231" s="226"/>
      <c r="C3231" s="226"/>
      <c r="D3231" s="226"/>
      <c r="E3231" s="226"/>
      <c r="F3231" s="226"/>
      <c r="G3231" s="226"/>
      <c r="H3231" s="226"/>
      <c r="I3231" s="9" t="str">
        <f t="shared" si="50"/>
        <v>__</v>
      </c>
    </row>
    <row r="3232" spans="1:9" x14ac:dyDescent="0.35">
      <c r="A3232" s="226"/>
      <c r="B3232" s="226"/>
      <c r="C3232" s="226"/>
      <c r="D3232" s="226"/>
      <c r="E3232" s="226"/>
      <c r="F3232" s="226"/>
      <c r="G3232" s="226"/>
      <c r="H3232" s="226"/>
      <c r="I3232" s="9" t="str">
        <f t="shared" si="50"/>
        <v>__</v>
      </c>
    </row>
    <row r="3233" spans="1:9" x14ac:dyDescent="0.35">
      <c r="A3233" s="226"/>
      <c r="B3233" s="226"/>
      <c r="C3233" s="226"/>
      <c r="D3233" s="226"/>
      <c r="E3233" s="226"/>
      <c r="F3233" s="226"/>
      <c r="G3233" s="226"/>
      <c r="H3233" s="226"/>
      <c r="I3233" s="9" t="str">
        <f t="shared" si="50"/>
        <v>__</v>
      </c>
    </row>
    <row r="3234" spans="1:9" x14ac:dyDescent="0.35">
      <c r="A3234" s="226"/>
      <c r="B3234" s="226"/>
      <c r="C3234" s="226"/>
      <c r="D3234" s="226"/>
      <c r="E3234" s="226"/>
      <c r="F3234" s="226"/>
      <c r="G3234" s="226"/>
      <c r="H3234" s="226"/>
      <c r="I3234" s="9" t="str">
        <f t="shared" si="50"/>
        <v>__</v>
      </c>
    </row>
    <row r="3235" spans="1:9" x14ac:dyDescent="0.35">
      <c r="A3235" s="226"/>
      <c r="B3235" s="226"/>
      <c r="C3235" s="226"/>
      <c r="D3235" s="226"/>
      <c r="E3235" s="226"/>
      <c r="F3235" s="226"/>
      <c r="G3235" s="226"/>
      <c r="H3235" s="226"/>
      <c r="I3235" s="9" t="str">
        <f t="shared" si="50"/>
        <v>__</v>
      </c>
    </row>
    <row r="3236" spans="1:9" x14ac:dyDescent="0.35">
      <c r="A3236" s="226"/>
      <c r="B3236" s="226"/>
      <c r="C3236" s="226"/>
      <c r="D3236" s="226"/>
      <c r="E3236" s="226"/>
      <c r="F3236" s="226"/>
      <c r="G3236" s="226"/>
      <c r="H3236" s="226"/>
      <c r="I3236" s="9" t="str">
        <f t="shared" si="50"/>
        <v>__</v>
      </c>
    </row>
    <row r="3237" spans="1:9" x14ac:dyDescent="0.35">
      <c r="A3237" s="226"/>
      <c r="B3237" s="226"/>
      <c r="C3237" s="226"/>
      <c r="D3237" s="226"/>
      <c r="E3237" s="226"/>
      <c r="F3237" s="226"/>
      <c r="G3237" s="226"/>
      <c r="H3237" s="226"/>
      <c r="I3237" s="9" t="str">
        <f t="shared" si="50"/>
        <v>__</v>
      </c>
    </row>
    <row r="3238" spans="1:9" x14ac:dyDescent="0.35">
      <c r="A3238" s="226"/>
      <c r="B3238" s="226"/>
      <c r="C3238" s="226"/>
      <c r="D3238" s="226"/>
      <c r="E3238" s="226"/>
      <c r="F3238" s="226"/>
      <c r="G3238" s="226"/>
      <c r="H3238" s="226"/>
      <c r="I3238" s="9" t="str">
        <f t="shared" si="50"/>
        <v>__</v>
      </c>
    </row>
    <row r="3239" spans="1:9" x14ac:dyDescent="0.35">
      <c r="A3239" s="226"/>
      <c r="B3239" s="226"/>
      <c r="C3239" s="226"/>
      <c r="D3239" s="226"/>
      <c r="E3239" s="226"/>
      <c r="F3239" s="226"/>
      <c r="G3239" s="226"/>
      <c r="H3239" s="226"/>
      <c r="I3239" s="9" t="str">
        <f t="shared" si="50"/>
        <v>__</v>
      </c>
    </row>
    <row r="3240" spans="1:9" x14ac:dyDescent="0.35">
      <c r="A3240" s="226"/>
      <c r="B3240" s="226"/>
      <c r="C3240" s="226"/>
      <c r="D3240" s="226"/>
      <c r="E3240" s="226"/>
      <c r="F3240" s="226"/>
      <c r="G3240" s="226"/>
      <c r="H3240" s="226"/>
      <c r="I3240" s="9" t="str">
        <f t="shared" si="50"/>
        <v>__</v>
      </c>
    </row>
    <row r="3241" spans="1:9" x14ac:dyDescent="0.35">
      <c r="A3241" s="226"/>
      <c r="B3241" s="226"/>
      <c r="C3241" s="226"/>
      <c r="D3241" s="226"/>
      <c r="E3241" s="226"/>
      <c r="F3241" s="226"/>
      <c r="G3241" s="226"/>
      <c r="H3241" s="226"/>
      <c r="I3241" s="9" t="str">
        <f t="shared" si="50"/>
        <v>__</v>
      </c>
    </row>
    <row r="3242" spans="1:9" x14ac:dyDescent="0.35">
      <c r="A3242" s="226"/>
      <c r="B3242" s="226"/>
      <c r="C3242" s="226"/>
      <c r="D3242" s="226"/>
      <c r="E3242" s="226"/>
      <c r="F3242" s="226"/>
      <c r="G3242" s="226"/>
      <c r="H3242" s="226"/>
      <c r="I3242" s="9" t="str">
        <f t="shared" si="50"/>
        <v>__</v>
      </c>
    </row>
    <row r="3243" spans="1:9" x14ac:dyDescent="0.35">
      <c r="A3243" s="226"/>
      <c r="B3243" s="226"/>
      <c r="C3243" s="226"/>
      <c r="D3243" s="226"/>
      <c r="E3243" s="226"/>
      <c r="F3243" s="226"/>
      <c r="G3243" s="226"/>
      <c r="H3243" s="226"/>
      <c r="I3243" s="9" t="str">
        <f t="shared" si="50"/>
        <v>__</v>
      </c>
    </row>
    <row r="3244" spans="1:9" x14ac:dyDescent="0.35">
      <c r="A3244" s="226"/>
      <c r="B3244" s="226"/>
      <c r="C3244" s="226"/>
      <c r="D3244" s="226"/>
      <c r="E3244" s="226"/>
      <c r="F3244" s="226"/>
      <c r="G3244" s="226"/>
      <c r="H3244" s="226"/>
      <c r="I3244" s="9" t="str">
        <f t="shared" si="50"/>
        <v>__</v>
      </c>
    </row>
    <row r="3245" spans="1:9" x14ac:dyDescent="0.35">
      <c r="A3245" s="226"/>
      <c r="B3245" s="226"/>
      <c r="C3245" s="226"/>
      <c r="D3245" s="226"/>
      <c r="E3245" s="226"/>
      <c r="F3245" s="226"/>
      <c r="G3245" s="226"/>
      <c r="H3245" s="226"/>
      <c r="I3245" s="9" t="str">
        <f t="shared" si="50"/>
        <v>__</v>
      </c>
    </row>
    <row r="3246" spans="1:9" x14ac:dyDescent="0.35">
      <c r="A3246" s="226"/>
      <c r="B3246" s="226"/>
      <c r="C3246" s="226"/>
      <c r="D3246" s="226"/>
      <c r="E3246" s="226"/>
      <c r="F3246" s="226"/>
      <c r="G3246" s="226"/>
      <c r="H3246" s="226"/>
      <c r="I3246" s="9" t="str">
        <f t="shared" si="50"/>
        <v>__</v>
      </c>
    </row>
    <row r="3247" spans="1:9" x14ac:dyDescent="0.35">
      <c r="A3247" s="226"/>
      <c r="B3247" s="226"/>
      <c r="C3247" s="226"/>
      <c r="D3247" s="226"/>
      <c r="E3247" s="226"/>
      <c r="F3247" s="226"/>
      <c r="G3247" s="226"/>
      <c r="H3247" s="226"/>
      <c r="I3247" s="9" t="str">
        <f t="shared" si="50"/>
        <v>__</v>
      </c>
    </row>
    <row r="3248" spans="1:9" x14ac:dyDescent="0.35">
      <c r="A3248" s="226"/>
      <c r="B3248" s="226"/>
      <c r="C3248" s="226"/>
      <c r="D3248" s="226"/>
      <c r="E3248" s="226"/>
      <c r="F3248" s="226"/>
      <c r="G3248" s="226"/>
      <c r="H3248" s="226"/>
      <c r="I3248" s="9" t="str">
        <f t="shared" si="50"/>
        <v>__</v>
      </c>
    </row>
    <row r="3249" spans="1:9" x14ac:dyDescent="0.35">
      <c r="A3249" s="226"/>
      <c r="B3249" s="226"/>
      <c r="C3249" s="226"/>
      <c r="D3249" s="226"/>
      <c r="E3249" s="226"/>
      <c r="F3249" s="226"/>
      <c r="G3249" s="226"/>
      <c r="H3249" s="226"/>
      <c r="I3249" s="9" t="str">
        <f t="shared" si="50"/>
        <v>__</v>
      </c>
    </row>
    <row r="3250" spans="1:9" x14ac:dyDescent="0.35">
      <c r="A3250" s="226"/>
      <c r="B3250" s="226"/>
      <c r="C3250" s="226"/>
      <c r="D3250" s="226"/>
      <c r="E3250" s="226"/>
      <c r="F3250" s="226"/>
      <c r="G3250" s="226"/>
      <c r="H3250" s="226"/>
      <c r="I3250" s="9" t="str">
        <f t="shared" si="50"/>
        <v>__</v>
      </c>
    </row>
    <row r="3251" spans="1:9" x14ac:dyDescent="0.35">
      <c r="A3251" s="226"/>
      <c r="B3251" s="226"/>
      <c r="C3251" s="226"/>
      <c r="D3251" s="226"/>
      <c r="E3251" s="226"/>
      <c r="F3251" s="226"/>
      <c r="G3251" s="226"/>
      <c r="H3251" s="226"/>
      <c r="I3251" s="9" t="str">
        <f t="shared" si="50"/>
        <v>__</v>
      </c>
    </row>
    <row r="3252" spans="1:9" x14ac:dyDescent="0.35">
      <c r="A3252" s="226"/>
      <c r="B3252" s="226"/>
      <c r="C3252" s="226"/>
      <c r="D3252" s="226"/>
      <c r="E3252" s="226"/>
      <c r="F3252" s="226"/>
      <c r="G3252" s="226"/>
      <c r="H3252" s="226"/>
      <c r="I3252" s="9" t="str">
        <f t="shared" si="50"/>
        <v>__</v>
      </c>
    </row>
    <row r="3253" spans="1:9" x14ac:dyDescent="0.35">
      <c r="A3253" s="226"/>
      <c r="B3253" s="226"/>
      <c r="C3253" s="226"/>
      <c r="D3253" s="226"/>
      <c r="E3253" s="226"/>
      <c r="F3253" s="226"/>
      <c r="G3253" s="226"/>
      <c r="H3253" s="226"/>
      <c r="I3253" s="9" t="str">
        <f t="shared" si="50"/>
        <v>__</v>
      </c>
    </row>
    <row r="3254" spans="1:9" x14ac:dyDescent="0.35">
      <c r="A3254" s="226"/>
      <c r="B3254" s="226"/>
      <c r="C3254" s="226"/>
      <c r="D3254" s="226"/>
      <c r="E3254" s="226"/>
      <c r="F3254" s="226"/>
      <c r="G3254" s="226"/>
      <c r="H3254" s="226"/>
      <c r="I3254" s="9" t="str">
        <f t="shared" si="50"/>
        <v>__</v>
      </c>
    </row>
    <row r="3255" spans="1:9" x14ac:dyDescent="0.35">
      <c r="A3255" s="226"/>
      <c r="B3255" s="226"/>
      <c r="C3255" s="226"/>
      <c r="D3255" s="226"/>
      <c r="E3255" s="226"/>
      <c r="F3255" s="226"/>
      <c r="G3255" s="226"/>
      <c r="H3255" s="226"/>
      <c r="I3255" s="9" t="str">
        <f t="shared" si="50"/>
        <v>__</v>
      </c>
    </row>
    <row r="3256" spans="1:9" x14ac:dyDescent="0.35">
      <c r="A3256" s="226"/>
      <c r="B3256" s="226"/>
      <c r="C3256" s="226"/>
      <c r="D3256" s="226"/>
      <c r="E3256" s="226"/>
      <c r="F3256" s="226"/>
      <c r="G3256" s="226"/>
      <c r="H3256" s="226"/>
      <c r="I3256" s="9" t="str">
        <f t="shared" si="50"/>
        <v>__</v>
      </c>
    </row>
    <row r="3257" spans="1:9" x14ac:dyDescent="0.35">
      <c r="A3257" s="226"/>
      <c r="B3257" s="226"/>
      <c r="C3257" s="226"/>
      <c r="D3257" s="226"/>
      <c r="E3257" s="226"/>
      <c r="F3257" s="226"/>
      <c r="G3257" s="226"/>
      <c r="H3257" s="226"/>
      <c r="I3257" s="9" t="str">
        <f t="shared" si="50"/>
        <v>__</v>
      </c>
    </row>
    <row r="3258" spans="1:9" x14ac:dyDescent="0.35">
      <c r="A3258" s="226"/>
      <c r="B3258" s="226"/>
      <c r="C3258" s="226"/>
      <c r="D3258" s="226"/>
      <c r="E3258" s="226"/>
      <c r="F3258" s="226"/>
      <c r="G3258" s="226"/>
      <c r="H3258" s="226"/>
      <c r="I3258" s="9" t="str">
        <f t="shared" si="50"/>
        <v>__</v>
      </c>
    </row>
    <row r="3259" spans="1:9" x14ac:dyDescent="0.35">
      <c r="A3259" s="226"/>
      <c r="B3259" s="226"/>
      <c r="C3259" s="226"/>
      <c r="D3259" s="226"/>
      <c r="E3259" s="226"/>
      <c r="F3259" s="226"/>
      <c r="G3259" s="226"/>
      <c r="H3259" s="226"/>
      <c r="I3259" s="9" t="str">
        <f t="shared" si="50"/>
        <v>__</v>
      </c>
    </row>
    <row r="3260" spans="1:9" x14ac:dyDescent="0.35">
      <c r="A3260" s="226"/>
      <c r="B3260" s="226"/>
      <c r="C3260" s="226"/>
      <c r="D3260" s="226"/>
      <c r="E3260" s="226"/>
      <c r="F3260" s="226"/>
      <c r="G3260" s="226"/>
      <c r="H3260" s="226"/>
      <c r="I3260" s="9" t="str">
        <f t="shared" si="50"/>
        <v>__</v>
      </c>
    </row>
    <row r="3261" spans="1:9" x14ac:dyDescent="0.35">
      <c r="A3261" s="226"/>
      <c r="B3261" s="226"/>
      <c r="C3261" s="226"/>
      <c r="D3261" s="226"/>
      <c r="E3261" s="226"/>
      <c r="F3261" s="226"/>
      <c r="G3261" s="226"/>
      <c r="H3261" s="226"/>
      <c r="I3261" s="9" t="str">
        <f t="shared" si="50"/>
        <v>__</v>
      </c>
    </row>
    <row r="3262" spans="1:9" x14ac:dyDescent="0.35">
      <c r="A3262" s="226"/>
      <c r="B3262" s="226"/>
      <c r="C3262" s="226"/>
      <c r="D3262" s="226"/>
      <c r="E3262" s="226"/>
      <c r="F3262" s="226"/>
      <c r="G3262" s="226"/>
      <c r="H3262" s="226"/>
      <c r="I3262" s="9" t="str">
        <f t="shared" si="50"/>
        <v>__</v>
      </c>
    </row>
    <row r="3263" spans="1:9" x14ac:dyDescent="0.35">
      <c r="A3263" s="226"/>
      <c r="B3263" s="226"/>
      <c r="C3263" s="226"/>
      <c r="D3263" s="226"/>
      <c r="E3263" s="226"/>
      <c r="F3263" s="226"/>
      <c r="G3263" s="226"/>
      <c r="H3263" s="226"/>
      <c r="I3263" s="9" t="str">
        <f t="shared" si="50"/>
        <v>__</v>
      </c>
    </row>
    <row r="3264" spans="1:9" x14ac:dyDescent="0.35">
      <c r="A3264" s="226"/>
      <c r="B3264" s="226"/>
      <c r="C3264" s="226"/>
      <c r="D3264" s="226"/>
      <c r="E3264" s="226"/>
      <c r="F3264" s="226"/>
      <c r="G3264" s="226"/>
      <c r="H3264" s="226"/>
      <c r="I3264" s="9" t="str">
        <f t="shared" si="50"/>
        <v>__</v>
      </c>
    </row>
    <row r="3265" spans="1:9" x14ac:dyDescent="0.35">
      <c r="A3265" s="226"/>
      <c r="B3265" s="226"/>
      <c r="C3265" s="226"/>
      <c r="D3265" s="226"/>
      <c r="E3265" s="226"/>
      <c r="F3265" s="226"/>
      <c r="G3265" s="226"/>
      <c r="H3265" s="226"/>
      <c r="I3265" s="9" t="str">
        <f t="shared" si="50"/>
        <v>__</v>
      </c>
    </row>
    <row r="3266" spans="1:9" x14ac:dyDescent="0.35">
      <c r="A3266" s="226"/>
      <c r="B3266" s="226"/>
      <c r="C3266" s="226"/>
      <c r="D3266" s="226"/>
      <c r="E3266" s="226"/>
      <c r="F3266" s="226"/>
      <c r="G3266" s="226"/>
      <c r="H3266" s="226"/>
      <c r="I3266" s="9" t="str">
        <f t="shared" si="50"/>
        <v>__</v>
      </c>
    </row>
    <row r="3267" spans="1:9" x14ac:dyDescent="0.35">
      <c r="A3267" s="226"/>
      <c r="B3267" s="226"/>
      <c r="C3267" s="226"/>
      <c r="D3267" s="226"/>
      <c r="E3267" s="226"/>
      <c r="F3267" s="226"/>
      <c r="G3267" s="226"/>
      <c r="H3267" s="226"/>
      <c r="I3267" s="9" t="str">
        <f t="shared" si="50"/>
        <v>__</v>
      </c>
    </row>
    <row r="3268" spans="1:9" x14ac:dyDescent="0.35">
      <c r="A3268" s="226"/>
      <c r="B3268" s="226"/>
      <c r="C3268" s="226"/>
      <c r="D3268" s="226"/>
      <c r="E3268" s="226"/>
      <c r="F3268" s="226"/>
      <c r="G3268" s="226"/>
      <c r="H3268" s="226"/>
      <c r="I3268" s="9" t="str">
        <f t="shared" si="50"/>
        <v>__</v>
      </c>
    </row>
    <row r="3269" spans="1:9" x14ac:dyDescent="0.35">
      <c r="A3269" s="226"/>
      <c r="B3269" s="226"/>
      <c r="C3269" s="226"/>
      <c r="D3269" s="226"/>
      <c r="E3269" s="226"/>
      <c r="F3269" s="226"/>
      <c r="G3269" s="226"/>
      <c r="H3269" s="226"/>
      <c r="I3269" s="9" t="str">
        <f t="shared" ref="I3269:I3332" si="51">CONCATENATE(A3269,"_",B3269,"_",C3269)</f>
        <v>__</v>
      </c>
    </row>
    <row r="3270" spans="1:9" x14ac:dyDescent="0.35">
      <c r="A3270" s="226"/>
      <c r="B3270" s="226"/>
      <c r="C3270" s="226"/>
      <c r="D3270" s="226"/>
      <c r="E3270" s="226"/>
      <c r="F3270" s="226"/>
      <c r="G3270" s="226"/>
      <c r="H3270" s="226"/>
      <c r="I3270" s="9" t="str">
        <f t="shared" si="51"/>
        <v>__</v>
      </c>
    </row>
    <row r="3271" spans="1:9" x14ac:dyDescent="0.35">
      <c r="A3271" s="226"/>
      <c r="B3271" s="226"/>
      <c r="C3271" s="226"/>
      <c r="D3271" s="226"/>
      <c r="E3271" s="226"/>
      <c r="F3271" s="226"/>
      <c r="G3271" s="226"/>
      <c r="H3271" s="226"/>
      <c r="I3271" s="9" t="str">
        <f t="shared" si="51"/>
        <v>__</v>
      </c>
    </row>
    <row r="3272" spans="1:9" x14ac:dyDescent="0.35">
      <c r="A3272" s="226"/>
      <c r="B3272" s="226"/>
      <c r="C3272" s="226"/>
      <c r="D3272" s="226"/>
      <c r="E3272" s="226"/>
      <c r="F3272" s="226"/>
      <c r="G3272" s="226"/>
      <c r="H3272" s="226"/>
      <c r="I3272" s="9" t="str">
        <f t="shared" si="51"/>
        <v>__</v>
      </c>
    </row>
    <row r="3273" spans="1:9" x14ac:dyDescent="0.35">
      <c r="A3273" s="226"/>
      <c r="B3273" s="226"/>
      <c r="C3273" s="226"/>
      <c r="D3273" s="226"/>
      <c r="E3273" s="226"/>
      <c r="F3273" s="226"/>
      <c r="G3273" s="226"/>
      <c r="H3273" s="226"/>
      <c r="I3273" s="9" t="str">
        <f t="shared" si="51"/>
        <v>__</v>
      </c>
    </row>
    <row r="3274" spans="1:9" x14ac:dyDescent="0.35">
      <c r="A3274" s="226"/>
      <c r="B3274" s="226"/>
      <c r="C3274" s="226"/>
      <c r="D3274" s="226"/>
      <c r="E3274" s="226"/>
      <c r="F3274" s="226"/>
      <c r="G3274" s="226"/>
      <c r="H3274" s="226"/>
      <c r="I3274" s="9" t="str">
        <f t="shared" si="51"/>
        <v>__</v>
      </c>
    </row>
    <row r="3275" spans="1:9" x14ac:dyDescent="0.35">
      <c r="A3275" s="226"/>
      <c r="B3275" s="226"/>
      <c r="C3275" s="226"/>
      <c r="D3275" s="226"/>
      <c r="E3275" s="226"/>
      <c r="F3275" s="226"/>
      <c r="G3275" s="226"/>
      <c r="H3275" s="226"/>
      <c r="I3275" s="9" t="str">
        <f t="shared" si="51"/>
        <v>__</v>
      </c>
    </row>
    <row r="3276" spans="1:9" x14ac:dyDescent="0.35">
      <c r="A3276" s="226"/>
      <c r="B3276" s="226"/>
      <c r="C3276" s="226"/>
      <c r="D3276" s="226"/>
      <c r="E3276" s="226"/>
      <c r="F3276" s="226"/>
      <c r="G3276" s="226"/>
      <c r="H3276" s="226"/>
      <c r="I3276" s="9" t="str">
        <f t="shared" si="51"/>
        <v>__</v>
      </c>
    </row>
    <row r="3277" spans="1:9" x14ac:dyDescent="0.35">
      <c r="A3277" s="226"/>
      <c r="B3277" s="226"/>
      <c r="C3277" s="226"/>
      <c r="D3277" s="226"/>
      <c r="E3277" s="226"/>
      <c r="F3277" s="226"/>
      <c r="G3277" s="226"/>
      <c r="H3277" s="226"/>
      <c r="I3277" s="9" t="str">
        <f t="shared" si="51"/>
        <v>__</v>
      </c>
    </row>
    <row r="3278" spans="1:9" x14ac:dyDescent="0.35">
      <c r="A3278" s="226"/>
      <c r="B3278" s="226"/>
      <c r="C3278" s="226"/>
      <c r="D3278" s="226"/>
      <c r="E3278" s="226"/>
      <c r="F3278" s="226"/>
      <c r="G3278" s="226"/>
      <c r="H3278" s="226"/>
      <c r="I3278" s="9" t="str">
        <f t="shared" si="51"/>
        <v>__</v>
      </c>
    </row>
    <row r="3279" spans="1:9" x14ac:dyDescent="0.35">
      <c r="A3279" s="226"/>
      <c r="B3279" s="226"/>
      <c r="C3279" s="226"/>
      <c r="D3279" s="226"/>
      <c r="E3279" s="226"/>
      <c r="F3279" s="226"/>
      <c r="G3279" s="226"/>
      <c r="H3279" s="226"/>
      <c r="I3279" s="9" t="str">
        <f t="shared" si="51"/>
        <v>__</v>
      </c>
    </row>
    <row r="3280" spans="1:9" x14ac:dyDescent="0.35">
      <c r="A3280" s="226"/>
      <c r="B3280" s="226"/>
      <c r="C3280" s="226"/>
      <c r="D3280" s="226"/>
      <c r="E3280" s="226"/>
      <c r="F3280" s="226"/>
      <c r="G3280" s="226"/>
      <c r="H3280" s="226"/>
      <c r="I3280" s="9" t="str">
        <f t="shared" si="51"/>
        <v>__</v>
      </c>
    </row>
    <row r="3281" spans="1:9" x14ac:dyDescent="0.35">
      <c r="A3281" s="226"/>
      <c r="B3281" s="226"/>
      <c r="C3281" s="226"/>
      <c r="D3281" s="226"/>
      <c r="E3281" s="226"/>
      <c r="F3281" s="226"/>
      <c r="G3281" s="226"/>
      <c r="H3281" s="226"/>
      <c r="I3281" s="9" t="str">
        <f t="shared" si="51"/>
        <v>__</v>
      </c>
    </row>
    <row r="3282" spans="1:9" x14ac:dyDescent="0.35">
      <c r="A3282" s="226"/>
      <c r="B3282" s="226"/>
      <c r="C3282" s="226"/>
      <c r="D3282" s="226"/>
      <c r="E3282" s="226"/>
      <c r="F3282" s="226"/>
      <c r="G3282" s="226"/>
      <c r="H3282" s="226"/>
      <c r="I3282" s="9" t="str">
        <f t="shared" si="51"/>
        <v>__</v>
      </c>
    </row>
    <row r="3283" spans="1:9" x14ac:dyDescent="0.35">
      <c r="A3283" s="226"/>
      <c r="B3283" s="226"/>
      <c r="C3283" s="226"/>
      <c r="D3283" s="226"/>
      <c r="E3283" s="226"/>
      <c r="F3283" s="226"/>
      <c r="G3283" s="226"/>
      <c r="H3283" s="226"/>
      <c r="I3283" s="9" t="str">
        <f t="shared" si="51"/>
        <v>__</v>
      </c>
    </row>
    <row r="3284" spans="1:9" x14ac:dyDescent="0.35">
      <c r="A3284" s="226"/>
      <c r="B3284" s="226"/>
      <c r="C3284" s="226"/>
      <c r="D3284" s="226"/>
      <c r="E3284" s="226"/>
      <c r="F3284" s="226"/>
      <c r="G3284" s="226"/>
      <c r="H3284" s="226"/>
      <c r="I3284" s="9" t="str">
        <f t="shared" si="51"/>
        <v>__</v>
      </c>
    </row>
    <row r="3285" spans="1:9" x14ac:dyDescent="0.35">
      <c r="A3285" s="226"/>
      <c r="B3285" s="226"/>
      <c r="C3285" s="226"/>
      <c r="D3285" s="226"/>
      <c r="E3285" s="226"/>
      <c r="F3285" s="226"/>
      <c r="G3285" s="226"/>
      <c r="H3285" s="226"/>
      <c r="I3285" s="9" t="str">
        <f t="shared" si="51"/>
        <v>__</v>
      </c>
    </row>
    <row r="3286" spans="1:9" x14ac:dyDescent="0.35">
      <c r="A3286" s="226"/>
      <c r="B3286" s="226"/>
      <c r="C3286" s="226"/>
      <c r="D3286" s="226"/>
      <c r="E3286" s="226"/>
      <c r="F3286" s="226"/>
      <c r="G3286" s="226"/>
      <c r="H3286" s="226"/>
      <c r="I3286" s="9" t="str">
        <f t="shared" si="51"/>
        <v>__</v>
      </c>
    </row>
    <row r="3287" spans="1:9" x14ac:dyDescent="0.35">
      <c r="A3287" s="226"/>
      <c r="B3287" s="226"/>
      <c r="C3287" s="226"/>
      <c r="D3287" s="226"/>
      <c r="E3287" s="226"/>
      <c r="F3287" s="226"/>
      <c r="G3287" s="226"/>
      <c r="H3287" s="226"/>
      <c r="I3287" s="9" t="str">
        <f t="shared" si="51"/>
        <v>__</v>
      </c>
    </row>
    <row r="3288" spans="1:9" x14ac:dyDescent="0.35">
      <c r="A3288" s="226"/>
      <c r="B3288" s="226"/>
      <c r="C3288" s="226"/>
      <c r="D3288" s="226"/>
      <c r="E3288" s="226"/>
      <c r="F3288" s="226"/>
      <c r="G3288" s="226"/>
      <c r="H3288" s="226"/>
      <c r="I3288" s="9" t="str">
        <f t="shared" si="51"/>
        <v>__</v>
      </c>
    </row>
    <row r="3289" spans="1:9" x14ac:dyDescent="0.35">
      <c r="A3289" s="226"/>
      <c r="B3289" s="226"/>
      <c r="C3289" s="226"/>
      <c r="D3289" s="226"/>
      <c r="E3289" s="226"/>
      <c r="F3289" s="226"/>
      <c r="G3289" s="226"/>
      <c r="H3289" s="226"/>
      <c r="I3289" s="9" t="str">
        <f t="shared" si="51"/>
        <v>__</v>
      </c>
    </row>
    <row r="3290" spans="1:9" x14ac:dyDescent="0.35">
      <c r="A3290" s="226"/>
      <c r="B3290" s="226"/>
      <c r="C3290" s="226"/>
      <c r="D3290" s="226"/>
      <c r="E3290" s="226"/>
      <c r="F3290" s="226"/>
      <c r="G3290" s="226"/>
      <c r="H3290" s="226"/>
      <c r="I3290" s="9" t="str">
        <f t="shared" si="51"/>
        <v>__</v>
      </c>
    </row>
    <row r="3291" spans="1:9" x14ac:dyDescent="0.35">
      <c r="A3291" s="226"/>
      <c r="B3291" s="226"/>
      <c r="C3291" s="226"/>
      <c r="D3291" s="226"/>
      <c r="E3291" s="226"/>
      <c r="F3291" s="226"/>
      <c r="G3291" s="226"/>
      <c r="H3291" s="226"/>
      <c r="I3291" s="9" t="str">
        <f t="shared" si="51"/>
        <v>__</v>
      </c>
    </row>
    <row r="3292" spans="1:9" x14ac:dyDescent="0.35">
      <c r="A3292" s="226"/>
      <c r="B3292" s="226"/>
      <c r="C3292" s="226"/>
      <c r="D3292" s="226"/>
      <c r="E3292" s="226"/>
      <c r="F3292" s="226"/>
      <c r="G3292" s="226"/>
      <c r="H3292" s="226"/>
      <c r="I3292" s="9" t="str">
        <f t="shared" si="51"/>
        <v>__</v>
      </c>
    </row>
    <row r="3293" spans="1:9" x14ac:dyDescent="0.35">
      <c r="A3293" s="226"/>
      <c r="B3293" s="226"/>
      <c r="C3293" s="226"/>
      <c r="D3293" s="226"/>
      <c r="E3293" s="226"/>
      <c r="F3293" s="226"/>
      <c r="G3293" s="226"/>
      <c r="H3293" s="226"/>
      <c r="I3293" s="9" t="str">
        <f t="shared" si="51"/>
        <v>__</v>
      </c>
    </row>
    <row r="3294" spans="1:9" x14ac:dyDescent="0.35">
      <c r="A3294" s="226"/>
      <c r="B3294" s="226"/>
      <c r="C3294" s="226"/>
      <c r="D3294" s="226"/>
      <c r="E3294" s="226"/>
      <c r="F3294" s="226"/>
      <c r="G3294" s="226"/>
      <c r="H3294" s="226"/>
      <c r="I3294" s="9" t="str">
        <f t="shared" si="51"/>
        <v>__</v>
      </c>
    </row>
    <row r="3295" spans="1:9" x14ac:dyDescent="0.35">
      <c r="A3295" s="226"/>
      <c r="B3295" s="226"/>
      <c r="C3295" s="226"/>
      <c r="D3295" s="226"/>
      <c r="E3295" s="226"/>
      <c r="F3295" s="226"/>
      <c r="G3295" s="226"/>
      <c r="H3295" s="226"/>
      <c r="I3295" s="9" t="str">
        <f t="shared" si="51"/>
        <v>__</v>
      </c>
    </row>
    <row r="3296" spans="1:9" x14ac:dyDescent="0.35">
      <c r="A3296" s="226"/>
      <c r="B3296" s="226"/>
      <c r="C3296" s="226"/>
      <c r="D3296" s="226"/>
      <c r="E3296" s="226"/>
      <c r="F3296" s="226"/>
      <c r="G3296" s="226"/>
      <c r="H3296" s="226"/>
      <c r="I3296" s="9" t="str">
        <f t="shared" si="51"/>
        <v>__</v>
      </c>
    </row>
    <row r="3297" spans="1:9" x14ac:dyDescent="0.35">
      <c r="A3297" s="226"/>
      <c r="B3297" s="226"/>
      <c r="C3297" s="226"/>
      <c r="D3297" s="226"/>
      <c r="E3297" s="226"/>
      <c r="F3297" s="226"/>
      <c r="G3297" s="226"/>
      <c r="H3297" s="226"/>
      <c r="I3297" s="9" t="str">
        <f t="shared" si="51"/>
        <v>__</v>
      </c>
    </row>
    <row r="3298" spans="1:9" x14ac:dyDescent="0.35">
      <c r="A3298" s="226"/>
      <c r="B3298" s="226"/>
      <c r="C3298" s="226"/>
      <c r="D3298" s="226"/>
      <c r="E3298" s="226"/>
      <c r="F3298" s="226"/>
      <c r="G3298" s="226"/>
      <c r="H3298" s="226"/>
      <c r="I3298" s="9" t="str">
        <f t="shared" si="51"/>
        <v>__</v>
      </c>
    </row>
    <row r="3299" spans="1:9" x14ac:dyDescent="0.35">
      <c r="A3299" s="226"/>
      <c r="B3299" s="226"/>
      <c r="C3299" s="226"/>
      <c r="D3299" s="226"/>
      <c r="E3299" s="226"/>
      <c r="F3299" s="226"/>
      <c r="G3299" s="226"/>
      <c r="H3299" s="226"/>
      <c r="I3299" s="9" t="str">
        <f t="shared" si="51"/>
        <v>__</v>
      </c>
    </row>
    <row r="3300" spans="1:9" x14ac:dyDescent="0.35">
      <c r="A3300" s="226"/>
      <c r="B3300" s="226"/>
      <c r="C3300" s="226"/>
      <c r="D3300" s="226"/>
      <c r="E3300" s="226"/>
      <c r="F3300" s="226"/>
      <c r="G3300" s="226"/>
      <c r="H3300" s="226"/>
      <c r="I3300" s="9" t="str">
        <f t="shared" si="51"/>
        <v>__</v>
      </c>
    </row>
    <row r="3301" spans="1:9" x14ac:dyDescent="0.35">
      <c r="A3301" s="226"/>
      <c r="B3301" s="226"/>
      <c r="C3301" s="226"/>
      <c r="D3301" s="226"/>
      <c r="E3301" s="226"/>
      <c r="F3301" s="226"/>
      <c r="G3301" s="226"/>
      <c r="H3301" s="226"/>
      <c r="I3301" s="9" t="str">
        <f t="shared" si="51"/>
        <v>__</v>
      </c>
    </row>
    <row r="3302" spans="1:9" x14ac:dyDescent="0.35">
      <c r="A3302" s="226"/>
      <c r="B3302" s="226"/>
      <c r="C3302" s="226"/>
      <c r="D3302" s="226"/>
      <c r="E3302" s="226"/>
      <c r="F3302" s="226"/>
      <c r="G3302" s="226"/>
      <c r="H3302" s="226"/>
      <c r="I3302" s="9" t="str">
        <f t="shared" si="51"/>
        <v>__</v>
      </c>
    </row>
    <row r="3303" spans="1:9" x14ac:dyDescent="0.35">
      <c r="A3303" s="226"/>
      <c r="B3303" s="226"/>
      <c r="C3303" s="226"/>
      <c r="D3303" s="226"/>
      <c r="E3303" s="226"/>
      <c r="F3303" s="226"/>
      <c r="G3303" s="226"/>
      <c r="H3303" s="226"/>
      <c r="I3303" s="9" t="str">
        <f t="shared" si="51"/>
        <v>__</v>
      </c>
    </row>
    <row r="3304" spans="1:9" x14ac:dyDescent="0.35">
      <c r="A3304" s="226"/>
      <c r="B3304" s="226"/>
      <c r="C3304" s="226"/>
      <c r="D3304" s="226"/>
      <c r="E3304" s="226"/>
      <c r="F3304" s="226"/>
      <c r="G3304" s="226"/>
      <c r="H3304" s="226"/>
      <c r="I3304" s="9" t="str">
        <f t="shared" si="51"/>
        <v>__</v>
      </c>
    </row>
    <row r="3305" spans="1:9" x14ac:dyDescent="0.35">
      <c r="A3305" s="226"/>
      <c r="B3305" s="226"/>
      <c r="C3305" s="226"/>
      <c r="D3305" s="226"/>
      <c r="E3305" s="226"/>
      <c r="F3305" s="226"/>
      <c r="G3305" s="226"/>
      <c r="H3305" s="226"/>
      <c r="I3305" s="9" t="str">
        <f t="shared" si="51"/>
        <v>__</v>
      </c>
    </row>
    <row r="3306" spans="1:9" x14ac:dyDescent="0.35">
      <c r="A3306" s="226"/>
      <c r="B3306" s="226"/>
      <c r="C3306" s="226"/>
      <c r="D3306" s="226"/>
      <c r="E3306" s="226"/>
      <c r="F3306" s="226"/>
      <c r="G3306" s="226"/>
      <c r="H3306" s="226"/>
      <c r="I3306" s="9" t="str">
        <f t="shared" si="51"/>
        <v>__</v>
      </c>
    </row>
    <row r="3307" spans="1:9" x14ac:dyDescent="0.35">
      <c r="A3307" s="226"/>
      <c r="B3307" s="226"/>
      <c r="C3307" s="226"/>
      <c r="D3307" s="226"/>
      <c r="E3307" s="226"/>
      <c r="F3307" s="226"/>
      <c r="G3307" s="226"/>
      <c r="H3307" s="226"/>
      <c r="I3307" s="9" t="str">
        <f t="shared" si="51"/>
        <v>__</v>
      </c>
    </row>
    <row r="3308" spans="1:9" x14ac:dyDescent="0.35">
      <c r="A3308" s="226"/>
      <c r="B3308" s="226"/>
      <c r="C3308" s="226"/>
      <c r="D3308" s="226"/>
      <c r="E3308" s="226"/>
      <c r="F3308" s="226"/>
      <c r="G3308" s="226"/>
      <c r="H3308" s="226"/>
      <c r="I3308" s="9" t="str">
        <f t="shared" si="51"/>
        <v>__</v>
      </c>
    </row>
    <row r="3309" spans="1:9" x14ac:dyDescent="0.35">
      <c r="A3309" s="226"/>
      <c r="B3309" s="226"/>
      <c r="C3309" s="226"/>
      <c r="D3309" s="226"/>
      <c r="E3309" s="226"/>
      <c r="F3309" s="226"/>
      <c r="G3309" s="226"/>
      <c r="H3309" s="226"/>
      <c r="I3309" s="9" t="str">
        <f t="shared" si="51"/>
        <v>__</v>
      </c>
    </row>
    <row r="3310" spans="1:9" x14ac:dyDescent="0.35">
      <c r="A3310" s="226"/>
      <c r="B3310" s="226"/>
      <c r="C3310" s="226"/>
      <c r="D3310" s="226"/>
      <c r="E3310" s="226"/>
      <c r="F3310" s="226"/>
      <c r="G3310" s="226"/>
      <c r="H3310" s="226"/>
      <c r="I3310" s="9" t="str">
        <f t="shared" si="51"/>
        <v>__</v>
      </c>
    </row>
    <row r="3311" spans="1:9" x14ac:dyDescent="0.35">
      <c r="A3311" s="226"/>
      <c r="B3311" s="226"/>
      <c r="C3311" s="226"/>
      <c r="D3311" s="226"/>
      <c r="E3311" s="226"/>
      <c r="F3311" s="226"/>
      <c r="G3311" s="226"/>
      <c r="H3311" s="226"/>
      <c r="I3311" s="9" t="str">
        <f t="shared" si="51"/>
        <v>__</v>
      </c>
    </row>
    <row r="3312" spans="1:9" x14ac:dyDescent="0.35">
      <c r="A3312" s="226"/>
      <c r="B3312" s="226"/>
      <c r="C3312" s="226"/>
      <c r="D3312" s="226"/>
      <c r="E3312" s="226"/>
      <c r="F3312" s="226"/>
      <c r="G3312" s="226"/>
      <c r="H3312" s="226"/>
      <c r="I3312" s="9" t="str">
        <f t="shared" si="51"/>
        <v>__</v>
      </c>
    </row>
    <row r="3313" spans="1:9" x14ac:dyDescent="0.35">
      <c r="A3313" s="226"/>
      <c r="B3313" s="226"/>
      <c r="C3313" s="226"/>
      <c r="D3313" s="226"/>
      <c r="E3313" s="226"/>
      <c r="F3313" s="226"/>
      <c r="G3313" s="226"/>
      <c r="H3313" s="226"/>
      <c r="I3313" s="9" t="str">
        <f t="shared" si="51"/>
        <v>__</v>
      </c>
    </row>
    <row r="3314" spans="1:9" x14ac:dyDescent="0.35">
      <c r="A3314" s="226"/>
      <c r="B3314" s="226"/>
      <c r="C3314" s="226"/>
      <c r="D3314" s="226"/>
      <c r="E3314" s="226"/>
      <c r="F3314" s="226"/>
      <c r="G3314" s="226"/>
      <c r="H3314" s="226"/>
      <c r="I3314" s="9" t="str">
        <f t="shared" si="51"/>
        <v>__</v>
      </c>
    </row>
    <row r="3315" spans="1:9" x14ac:dyDescent="0.35">
      <c r="A3315" s="226"/>
      <c r="B3315" s="226"/>
      <c r="C3315" s="226"/>
      <c r="D3315" s="226"/>
      <c r="E3315" s="226"/>
      <c r="F3315" s="226"/>
      <c r="G3315" s="226"/>
      <c r="H3315" s="226"/>
      <c r="I3315" s="9" t="str">
        <f t="shared" si="51"/>
        <v>__</v>
      </c>
    </row>
    <row r="3316" spans="1:9" x14ac:dyDescent="0.35">
      <c r="A3316" s="226"/>
      <c r="B3316" s="226"/>
      <c r="C3316" s="226"/>
      <c r="D3316" s="226"/>
      <c r="E3316" s="226"/>
      <c r="F3316" s="226"/>
      <c r="G3316" s="226"/>
      <c r="H3316" s="226"/>
      <c r="I3316" s="9" t="str">
        <f t="shared" si="51"/>
        <v>__</v>
      </c>
    </row>
    <row r="3317" spans="1:9" x14ac:dyDescent="0.35">
      <c r="A3317" s="226"/>
      <c r="B3317" s="226"/>
      <c r="C3317" s="226"/>
      <c r="D3317" s="226"/>
      <c r="E3317" s="226"/>
      <c r="F3317" s="226"/>
      <c r="G3317" s="226"/>
      <c r="H3317" s="226"/>
      <c r="I3317" s="9" t="str">
        <f t="shared" si="51"/>
        <v>__</v>
      </c>
    </row>
    <row r="3318" spans="1:9" x14ac:dyDescent="0.35">
      <c r="A3318" s="226"/>
      <c r="B3318" s="226"/>
      <c r="C3318" s="226"/>
      <c r="D3318" s="226"/>
      <c r="E3318" s="226"/>
      <c r="F3318" s="226"/>
      <c r="G3318" s="226"/>
      <c r="H3318" s="226"/>
      <c r="I3318" s="9" t="str">
        <f t="shared" si="51"/>
        <v>__</v>
      </c>
    </row>
    <row r="3319" spans="1:9" x14ac:dyDescent="0.35">
      <c r="A3319" s="226"/>
      <c r="B3319" s="226"/>
      <c r="C3319" s="226"/>
      <c r="D3319" s="226"/>
      <c r="E3319" s="226"/>
      <c r="F3319" s="226"/>
      <c r="G3319" s="226"/>
      <c r="H3319" s="226"/>
      <c r="I3319" s="9" t="str">
        <f t="shared" si="51"/>
        <v>__</v>
      </c>
    </row>
    <row r="3320" spans="1:9" x14ac:dyDescent="0.35">
      <c r="A3320" s="226"/>
      <c r="B3320" s="226"/>
      <c r="C3320" s="226"/>
      <c r="D3320" s="226"/>
      <c r="E3320" s="226"/>
      <c r="F3320" s="226"/>
      <c r="G3320" s="226"/>
      <c r="H3320" s="226"/>
      <c r="I3320" s="9" t="str">
        <f t="shared" si="51"/>
        <v>__</v>
      </c>
    </row>
    <row r="3321" spans="1:9" x14ac:dyDescent="0.35">
      <c r="A3321" s="226"/>
      <c r="B3321" s="226"/>
      <c r="C3321" s="226"/>
      <c r="D3321" s="226"/>
      <c r="E3321" s="226"/>
      <c r="F3321" s="226"/>
      <c r="G3321" s="226"/>
      <c r="H3321" s="226"/>
      <c r="I3321" s="9" t="str">
        <f t="shared" si="51"/>
        <v>__</v>
      </c>
    </row>
    <row r="3322" spans="1:9" x14ac:dyDescent="0.35">
      <c r="A3322" s="226"/>
      <c r="B3322" s="226"/>
      <c r="C3322" s="226"/>
      <c r="D3322" s="226"/>
      <c r="E3322" s="226"/>
      <c r="F3322" s="226"/>
      <c r="G3322" s="226"/>
      <c r="H3322" s="226"/>
      <c r="I3322" s="9" t="str">
        <f t="shared" si="51"/>
        <v>__</v>
      </c>
    </row>
    <row r="3323" spans="1:9" x14ac:dyDescent="0.35">
      <c r="A3323" s="226"/>
      <c r="B3323" s="226"/>
      <c r="C3323" s="226"/>
      <c r="D3323" s="226"/>
      <c r="E3323" s="226"/>
      <c r="F3323" s="226"/>
      <c r="G3323" s="226"/>
      <c r="H3323" s="226"/>
      <c r="I3323" s="9" t="str">
        <f t="shared" si="51"/>
        <v>__</v>
      </c>
    </row>
    <row r="3324" spans="1:9" x14ac:dyDescent="0.35">
      <c r="A3324" s="226"/>
      <c r="B3324" s="226"/>
      <c r="C3324" s="226"/>
      <c r="D3324" s="226"/>
      <c r="E3324" s="226"/>
      <c r="F3324" s="226"/>
      <c r="G3324" s="226"/>
      <c r="H3324" s="226"/>
      <c r="I3324" s="9" t="str">
        <f t="shared" si="51"/>
        <v>__</v>
      </c>
    </row>
    <row r="3325" spans="1:9" x14ac:dyDescent="0.35">
      <c r="A3325" s="226"/>
      <c r="B3325" s="226"/>
      <c r="C3325" s="226"/>
      <c r="D3325" s="226"/>
      <c r="E3325" s="226"/>
      <c r="F3325" s="226"/>
      <c r="G3325" s="226"/>
      <c r="H3325" s="226"/>
      <c r="I3325" s="9" t="str">
        <f t="shared" si="51"/>
        <v>__</v>
      </c>
    </row>
    <row r="3326" spans="1:9" x14ac:dyDescent="0.35">
      <c r="A3326" s="226"/>
      <c r="B3326" s="226"/>
      <c r="C3326" s="226"/>
      <c r="D3326" s="226"/>
      <c r="E3326" s="226"/>
      <c r="F3326" s="226"/>
      <c r="G3326" s="226"/>
      <c r="H3326" s="226"/>
      <c r="I3326" s="9" t="str">
        <f t="shared" si="51"/>
        <v>__</v>
      </c>
    </row>
    <row r="3327" spans="1:9" x14ac:dyDescent="0.35">
      <c r="A3327" s="226"/>
      <c r="B3327" s="226"/>
      <c r="C3327" s="226"/>
      <c r="D3327" s="226"/>
      <c r="E3327" s="226"/>
      <c r="F3327" s="226"/>
      <c r="G3327" s="226"/>
      <c r="H3327" s="226"/>
      <c r="I3327" s="9" t="str">
        <f t="shared" si="51"/>
        <v>__</v>
      </c>
    </row>
    <row r="3328" spans="1:9" x14ac:dyDescent="0.35">
      <c r="A3328" s="226"/>
      <c r="B3328" s="226"/>
      <c r="C3328" s="226"/>
      <c r="D3328" s="226"/>
      <c r="E3328" s="226"/>
      <c r="F3328" s="226"/>
      <c r="G3328" s="226"/>
      <c r="H3328" s="226"/>
      <c r="I3328" s="9" t="str">
        <f t="shared" si="51"/>
        <v>__</v>
      </c>
    </row>
    <row r="3329" spans="1:9" x14ac:dyDescent="0.35">
      <c r="A3329" s="226"/>
      <c r="B3329" s="226"/>
      <c r="C3329" s="226"/>
      <c r="D3329" s="226"/>
      <c r="E3329" s="226"/>
      <c r="F3329" s="226"/>
      <c r="G3329" s="226"/>
      <c r="H3329" s="226"/>
      <c r="I3329" s="9" t="str">
        <f t="shared" si="51"/>
        <v>__</v>
      </c>
    </row>
    <row r="3330" spans="1:9" x14ac:dyDescent="0.35">
      <c r="A3330" s="226"/>
      <c r="B3330" s="226"/>
      <c r="C3330" s="226"/>
      <c r="D3330" s="226"/>
      <c r="E3330" s="226"/>
      <c r="F3330" s="226"/>
      <c r="G3330" s="226"/>
      <c r="H3330" s="226"/>
      <c r="I3330" s="9" t="str">
        <f t="shared" si="51"/>
        <v>__</v>
      </c>
    </row>
    <row r="3331" spans="1:9" x14ac:dyDescent="0.35">
      <c r="A3331" s="226"/>
      <c r="B3331" s="226"/>
      <c r="C3331" s="226"/>
      <c r="D3331" s="226"/>
      <c r="E3331" s="226"/>
      <c r="F3331" s="226"/>
      <c r="G3331" s="226"/>
      <c r="H3331" s="226"/>
      <c r="I3331" s="9" t="str">
        <f t="shared" si="51"/>
        <v>__</v>
      </c>
    </row>
    <row r="3332" spans="1:9" x14ac:dyDescent="0.35">
      <c r="A3332" s="226"/>
      <c r="B3332" s="226"/>
      <c r="C3332" s="226"/>
      <c r="D3332" s="226"/>
      <c r="E3332" s="226"/>
      <c r="F3332" s="226"/>
      <c r="G3332" s="226"/>
      <c r="H3332" s="226"/>
      <c r="I3332" s="9" t="str">
        <f t="shared" si="51"/>
        <v>__</v>
      </c>
    </row>
    <row r="3333" spans="1:9" x14ac:dyDescent="0.35">
      <c r="A3333" s="226"/>
      <c r="B3333" s="226"/>
      <c r="C3333" s="226"/>
      <c r="D3333" s="226"/>
      <c r="E3333" s="226"/>
      <c r="F3333" s="226"/>
      <c r="G3333" s="226"/>
      <c r="H3333" s="226"/>
      <c r="I3333" s="9" t="str">
        <f t="shared" ref="I3333:I3396" si="52">CONCATENATE(A3333,"_",B3333,"_",C3333)</f>
        <v>__</v>
      </c>
    </row>
    <row r="3334" spans="1:9" x14ac:dyDescent="0.35">
      <c r="A3334" s="226"/>
      <c r="B3334" s="226"/>
      <c r="C3334" s="226"/>
      <c r="D3334" s="226"/>
      <c r="E3334" s="226"/>
      <c r="F3334" s="226"/>
      <c r="G3334" s="226"/>
      <c r="H3334" s="226"/>
      <c r="I3334" s="9" t="str">
        <f t="shared" si="52"/>
        <v>__</v>
      </c>
    </row>
    <row r="3335" spans="1:9" x14ac:dyDescent="0.35">
      <c r="A3335" s="226"/>
      <c r="B3335" s="226"/>
      <c r="C3335" s="226"/>
      <c r="D3335" s="226"/>
      <c r="E3335" s="226"/>
      <c r="F3335" s="226"/>
      <c r="G3335" s="226"/>
      <c r="H3335" s="226"/>
      <c r="I3335" s="9" t="str">
        <f t="shared" si="52"/>
        <v>__</v>
      </c>
    </row>
    <row r="3336" spans="1:9" x14ac:dyDescent="0.35">
      <c r="A3336" s="226"/>
      <c r="B3336" s="226"/>
      <c r="C3336" s="226"/>
      <c r="D3336" s="226"/>
      <c r="E3336" s="226"/>
      <c r="F3336" s="226"/>
      <c r="G3336" s="226"/>
      <c r="H3336" s="226"/>
      <c r="I3336" s="9" t="str">
        <f t="shared" si="52"/>
        <v>__</v>
      </c>
    </row>
    <row r="3337" spans="1:9" x14ac:dyDescent="0.35">
      <c r="A3337" s="226"/>
      <c r="B3337" s="226"/>
      <c r="C3337" s="226"/>
      <c r="D3337" s="226"/>
      <c r="E3337" s="226"/>
      <c r="F3337" s="226"/>
      <c r="G3337" s="226"/>
      <c r="H3337" s="226"/>
      <c r="I3337" s="9" t="str">
        <f t="shared" si="52"/>
        <v>__</v>
      </c>
    </row>
    <row r="3338" spans="1:9" x14ac:dyDescent="0.35">
      <c r="A3338" s="226"/>
      <c r="B3338" s="226"/>
      <c r="C3338" s="226"/>
      <c r="D3338" s="226"/>
      <c r="E3338" s="226"/>
      <c r="F3338" s="226"/>
      <c r="G3338" s="226"/>
      <c r="H3338" s="226"/>
      <c r="I3338" s="9" t="str">
        <f t="shared" si="52"/>
        <v>__</v>
      </c>
    </row>
    <row r="3339" spans="1:9" x14ac:dyDescent="0.35">
      <c r="A3339" s="226"/>
      <c r="B3339" s="226"/>
      <c r="C3339" s="226"/>
      <c r="D3339" s="226"/>
      <c r="E3339" s="226"/>
      <c r="F3339" s="226"/>
      <c r="G3339" s="226"/>
      <c r="H3339" s="226"/>
      <c r="I3339" s="9" t="str">
        <f t="shared" si="52"/>
        <v>__</v>
      </c>
    </row>
    <row r="3340" spans="1:9" x14ac:dyDescent="0.35">
      <c r="A3340" s="226"/>
      <c r="B3340" s="226"/>
      <c r="C3340" s="226"/>
      <c r="D3340" s="226"/>
      <c r="E3340" s="226"/>
      <c r="F3340" s="226"/>
      <c r="G3340" s="226"/>
      <c r="H3340" s="226"/>
      <c r="I3340" s="9" t="str">
        <f t="shared" si="52"/>
        <v>__</v>
      </c>
    </row>
    <row r="3341" spans="1:9" x14ac:dyDescent="0.35">
      <c r="A3341" s="226"/>
      <c r="B3341" s="226"/>
      <c r="C3341" s="226"/>
      <c r="D3341" s="226"/>
      <c r="E3341" s="226"/>
      <c r="F3341" s="226"/>
      <c r="G3341" s="226"/>
      <c r="H3341" s="226"/>
      <c r="I3341" s="9" t="str">
        <f t="shared" si="52"/>
        <v>__</v>
      </c>
    </row>
    <row r="3342" spans="1:9" x14ac:dyDescent="0.35">
      <c r="A3342" s="226"/>
      <c r="B3342" s="226"/>
      <c r="C3342" s="226"/>
      <c r="D3342" s="226"/>
      <c r="E3342" s="226"/>
      <c r="F3342" s="226"/>
      <c r="G3342" s="226"/>
      <c r="H3342" s="226"/>
      <c r="I3342" s="9" t="str">
        <f t="shared" si="52"/>
        <v>__</v>
      </c>
    </row>
    <row r="3343" spans="1:9" x14ac:dyDescent="0.35">
      <c r="A3343" s="226"/>
      <c r="B3343" s="226"/>
      <c r="C3343" s="226"/>
      <c r="D3343" s="226"/>
      <c r="E3343" s="226"/>
      <c r="F3343" s="226"/>
      <c r="G3343" s="226"/>
      <c r="H3343" s="226"/>
      <c r="I3343" s="9" t="str">
        <f t="shared" si="52"/>
        <v>__</v>
      </c>
    </row>
    <row r="3344" spans="1:9" x14ac:dyDescent="0.35">
      <c r="A3344" s="226"/>
      <c r="B3344" s="226"/>
      <c r="C3344" s="226"/>
      <c r="D3344" s="226"/>
      <c r="E3344" s="226"/>
      <c r="F3344" s="226"/>
      <c r="G3344" s="226"/>
      <c r="H3344" s="226"/>
      <c r="I3344" s="9" t="str">
        <f t="shared" si="52"/>
        <v>__</v>
      </c>
    </row>
    <row r="3345" spans="1:9" x14ac:dyDescent="0.35">
      <c r="A3345" s="226"/>
      <c r="B3345" s="226"/>
      <c r="C3345" s="226"/>
      <c r="D3345" s="226"/>
      <c r="E3345" s="226"/>
      <c r="F3345" s="226"/>
      <c r="G3345" s="226"/>
      <c r="H3345" s="226"/>
      <c r="I3345" s="9" t="str">
        <f t="shared" si="52"/>
        <v>__</v>
      </c>
    </row>
    <row r="3346" spans="1:9" x14ac:dyDescent="0.35">
      <c r="A3346" s="226"/>
      <c r="B3346" s="226"/>
      <c r="C3346" s="226"/>
      <c r="D3346" s="226"/>
      <c r="E3346" s="226"/>
      <c r="F3346" s="226"/>
      <c r="G3346" s="226"/>
      <c r="H3346" s="226"/>
      <c r="I3346" s="9" t="str">
        <f t="shared" si="52"/>
        <v>__</v>
      </c>
    </row>
    <row r="3347" spans="1:9" x14ac:dyDescent="0.35">
      <c r="A3347" s="226"/>
      <c r="B3347" s="226"/>
      <c r="C3347" s="226"/>
      <c r="D3347" s="226"/>
      <c r="E3347" s="226"/>
      <c r="F3347" s="226"/>
      <c r="G3347" s="226"/>
      <c r="H3347" s="226"/>
      <c r="I3347" s="9" t="str">
        <f t="shared" si="52"/>
        <v>__</v>
      </c>
    </row>
    <row r="3348" spans="1:9" x14ac:dyDescent="0.35">
      <c r="A3348" s="226"/>
      <c r="B3348" s="226"/>
      <c r="C3348" s="226"/>
      <c r="D3348" s="226"/>
      <c r="E3348" s="226"/>
      <c r="F3348" s="226"/>
      <c r="G3348" s="226"/>
      <c r="H3348" s="226"/>
      <c r="I3348" s="9" t="str">
        <f t="shared" si="52"/>
        <v>__</v>
      </c>
    </row>
    <row r="3349" spans="1:9" x14ac:dyDescent="0.35">
      <c r="A3349" s="226"/>
      <c r="B3349" s="226"/>
      <c r="C3349" s="226"/>
      <c r="D3349" s="226"/>
      <c r="E3349" s="226"/>
      <c r="F3349" s="226"/>
      <c r="G3349" s="226"/>
      <c r="H3349" s="226"/>
      <c r="I3349" s="9" t="str">
        <f t="shared" si="52"/>
        <v>__</v>
      </c>
    </row>
    <row r="3350" spans="1:9" x14ac:dyDescent="0.35">
      <c r="A3350" s="226"/>
      <c r="B3350" s="226"/>
      <c r="C3350" s="226"/>
      <c r="D3350" s="226"/>
      <c r="E3350" s="226"/>
      <c r="F3350" s="226"/>
      <c r="G3350" s="226"/>
      <c r="H3350" s="226"/>
      <c r="I3350" s="9" t="str">
        <f t="shared" si="52"/>
        <v>__</v>
      </c>
    </row>
    <row r="3351" spans="1:9" x14ac:dyDescent="0.35">
      <c r="A3351" s="226"/>
      <c r="B3351" s="226"/>
      <c r="C3351" s="226"/>
      <c r="D3351" s="226"/>
      <c r="E3351" s="226"/>
      <c r="F3351" s="226"/>
      <c r="G3351" s="226"/>
      <c r="H3351" s="226"/>
      <c r="I3351" s="9" t="str">
        <f t="shared" si="52"/>
        <v>__</v>
      </c>
    </row>
    <row r="3352" spans="1:9" x14ac:dyDescent="0.35">
      <c r="A3352" s="226"/>
      <c r="B3352" s="226"/>
      <c r="C3352" s="226"/>
      <c r="D3352" s="226"/>
      <c r="E3352" s="226"/>
      <c r="F3352" s="226"/>
      <c r="G3352" s="226"/>
      <c r="H3352" s="226"/>
      <c r="I3352" s="9" t="str">
        <f t="shared" si="52"/>
        <v>__</v>
      </c>
    </row>
    <row r="3353" spans="1:9" x14ac:dyDescent="0.35">
      <c r="A3353" s="226"/>
      <c r="B3353" s="226"/>
      <c r="C3353" s="226"/>
      <c r="D3353" s="226"/>
      <c r="E3353" s="226"/>
      <c r="F3353" s="226"/>
      <c r="G3353" s="226"/>
      <c r="H3353" s="226"/>
      <c r="I3353" s="9" t="str">
        <f t="shared" si="52"/>
        <v>__</v>
      </c>
    </row>
    <row r="3354" spans="1:9" x14ac:dyDescent="0.35">
      <c r="A3354" s="226"/>
      <c r="B3354" s="226"/>
      <c r="C3354" s="226"/>
      <c r="D3354" s="226"/>
      <c r="E3354" s="226"/>
      <c r="F3354" s="226"/>
      <c r="G3354" s="226"/>
      <c r="H3354" s="226"/>
      <c r="I3354" s="9" t="str">
        <f t="shared" si="52"/>
        <v>__</v>
      </c>
    </row>
    <row r="3355" spans="1:9" x14ac:dyDescent="0.35">
      <c r="A3355" s="226"/>
      <c r="B3355" s="226"/>
      <c r="C3355" s="226"/>
      <c r="D3355" s="226"/>
      <c r="E3355" s="226"/>
      <c r="F3355" s="226"/>
      <c r="G3355" s="226"/>
      <c r="H3355" s="226"/>
      <c r="I3355" s="9" t="str">
        <f t="shared" si="52"/>
        <v>__</v>
      </c>
    </row>
    <row r="3356" spans="1:9" x14ac:dyDescent="0.35">
      <c r="A3356" s="226"/>
      <c r="B3356" s="226"/>
      <c r="C3356" s="226"/>
      <c r="D3356" s="226"/>
      <c r="E3356" s="226"/>
      <c r="F3356" s="226"/>
      <c r="G3356" s="226"/>
      <c r="H3356" s="226"/>
      <c r="I3356" s="9" t="str">
        <f t="shared" si="52"/>
        <v>__</v>
      </c>
    </row>
    <row r="3357" spans="1:9" x14ac:dyDescent="0.35">
      <c r="A3357" s="226"/>
      <c r="B3357" s="226"/>
      <c r="C3357" s="226"/>
      <c r="D3357" s="226"/>
      <c r="E3357" s="226"/>
      <c r="F3357" s="226"/>
      <c r="G3357" s="226"/>
      <c r="H3357" s="226"/>
      <c r="I3357" s="9" t="str">
        <f t="shared" si="52"/>
        <v>__</v>
      </c>
    </row>
    <row r="3358" spans="1:9" x14ac:dyDescent="0.35">
      <c r="A3358" s="226"/>
      <c r="B3358" s="226"/>
      <c r="C3358" s="226"/>
      <c r="D3358" s="226"/>
      <c r="E3358" s="226"/>
      <c r="F3358" s="226"/>
      <c r="G3358" s="226"/>
      <c r="H3358" s="226"/>
      <c r="I3358" s="9" t="str">
        <f t="shared" si="52"/>
        <v>__</v>
      </c>
    </row>
    <row r="3359" spans="1:9" x14ac:dyDescent="0.35">
      <c r="A3359" s="226"/>
      <c r="B3359" s="226"/>
      <c r="C3359" s="226"/>
      <c r="D3359" s="226"/>
      <c r="E3359" s="226"/>
      <c r="F3359" s="226"/>
      <c r="G3359" s="226"/>
      <c r="H3359" s="226"/>
      <c r="I3359" s="9" t="str">
        <f t="shared" si="52"/>
        <v>__</v>
      </c>
    </row>
    <row r="3360" spans="1:9" x14ac:dyDescent="0.35">
      <c r="A3360" s="226"/>
      <c r="B3360" s="226"/>
      <c r="C3360" s="226"/>
      <c r="D3360" s="226"/>
      <c r="E3360" s="226"/>
      <c r="F3360" s="226"/>
      <c r="G3360" s="226"/>
      <c r="H3360" s="226"/>
      <c r="I3360" s="9" t="str">
        <f t="shared" si="52"/>
        <v>__</v>
      </c>
    </row>
    <row r="3361" spans="1:9" x14ac:dyDescent="0.35">
      <c r="A3361" s="226"/>
      <c r="B3361" s="226"/>
      <c r="C3361" s="226"/>
      <c r="D3361" s="226"/>
      <c r="E3361" s="226"/>
      <c r="F3361" s="226"/>
      <c r="G3361" s="226"/>
      <c r="H3361" s="226"/>
      <c r="I3361" s="9" t="str">
        <f t="shared" si="52"/>
        <v>__</v>
      </c>
    </row>
    <row r="3362" spans="1:9" x14ac:dyDescent="0.35">
      <c r="A3362" s="226"/>
      <c r="B3362" s="226"/>
      <c r="C3362" s="226"/>
      <c r="D3362" s="226"/>
      <c r="E3362" s="226"/>
      <c r="F3362" s="226"/>
      <c r="G3362" s="226"/>
      <c r="H3362" s="226"/>
      <c r="I3362" s="9" t="str">
        <f t="shared" si="52"/>
        <v>__</v>
      </c>
    </row>
    <row r="3363" spans="1:9" x14ac:dyDescent="0.35">
      <c r="A3363" s="226"/>
      <c r="B3363" s="226"/>
      <c r="C3363" s="226"/>
      <c r="D3363" s="226"/>
      <c r="E3363" s="226"/>
      <c r="F3363" s="226"/>
      <c r="G3363" s="226"/>
      <c r="H3363" s="226"/>
      <c r="I3363" s="9" t="str">
        <f t="shared" si="52"/>
        <v>__</v>
      </c>
    </row>
    <row r="3364" spans="1:9" x14ac:dyDescent="0.35">
      <c r="A3364" s="226"/>
      <c r="B3364" s="226"/>
      <c r="C3364" s="226"/>
      <c r="D3364" s="226"/>
      <c r="E3364" s="226"/>
      <c r="F3364" s="226"/>
      <c r="G3364" s="226"/>
      <c r="H3364" s="226"/>
      <c r="I3364" s="9" t="str">
        <f t="shared" si="52"/>
        <v>__</v>
      </c>
    </row>
    <row r="3365" spans="1:9" x14ac:dyDescent="0.35">
      <c r="A3365" s="226"/>
      <c r="B3365" s="226"/>
      <c r="C3365" s="226"/>
      <c r="D3365" s="226"/>
      <c r="E3365" s="226"/>
      <c r="F3365" s="226"/>
      <c r="G3365" s="226"/>
      <c r="H3365" s="226"/>
      <c r="I3365" s="9" t="str">
        <f t="shared" si="52"/>
        <v>__</v>
      </c>
    </row>
    <row r="3366" spans="1:9" x14ac:dyDescent="0.35">
      <c r="A3366" s="226"/>
      <c r="B3366" s="226"/>
      <c r="C3366" s="226"/>
      <c r="D3366" s="226"/>
      <c r="E3366" s="226"/>
      <c r="F3366" s="226"/>
      <c r="G3366" s="226"/>
      <c r="H3366" s="226"/>
      <c r="I3366" s="9" t="str">
        <f t="shared" si="52"/>
        <v>__</v>
      </c>
    </row>
    <row r="3367" spans="1:9" x14ac:dyDescent="0.35">
      <c r="A3367" s="226"/>
      <c r="B3367" s="226"/>
      <c r="C3367" s="226"/>
      <c r="D3367" s="226"/>
      <c r="E3367" s="226"/>
      <c r="F3367" s="226"/>
      <c r="G3367" s="226"/>
      <c r="H3367" s="226"/>
      <c r="I3367" s="9" t="str">
        <f t="shared" si="52"/>
        <v>__</v>
      </c>
    </row>
    <row r="3368" spans="1:9" x14ac:dyDescent="0.35">
      <c r="A3368" s="226"/>
      <c r="B3368" s="226"/>
      <c r="C3368" s="226"/>
      <c r="D3368" s="226"/>
      <c r="E3368" s="226"/>
      <c r="F3368" s="226"/>
      <c r="G3368" s="226"/>
      <c r="H3368" s="226"/>
      <c r="I3368" s="9" t="str">
        <f t="shared" si="52"/>
        <v>__</v>
      </c>
    </row>
    <row r="3369" spans="1:9" x14ac:dyDescent="0.35">
      <c r="A3369" s="226"/>
      <c r="B3369" s="226"/>
      <c r="C3369" s="226"/>
      <c r="D3369" s="226"/>
      <c r="E3369" s="226"/>
      <c r="F3369" s="226"/>
      <c r="G3369" s="226"/>
      <c r="H3369" s="226"/>
      <c r="I3369" s="9" t="str">
        <f t="shared" si="52"/>
        <v>__</v>
      </c>
    </row>
    <row r="3370" spans="1:9" x14ac:dyDescent="0.35">
      <c r="A3370" s="226"/>
      <c r="B3370" s="226"/>
      <c r="C3370" s="226"/>
      <c r="D3370" s="226"/>
      <c r="E3370" s="226"/>
      <c r="F3370" s="226"/>
      <c r="G3370" s="226"/>
      <c r="H3370" s="226"/>
      <c r="I3370" s="9" t="str">
        <f t="shared" si="52"/>
        <v>__</v>
      </c>
    </row>
    <row r="3371" spans="1:9" x14ac:dyDescent="0.35">
      <c r="A3371" s="226"/>
      <c r="B3371" s="226"/>
      <c r="C3371" s="226"/>
      <c r="D3371" s="226"/>
      <c r="E3371" s="226"/>
      <c r="F3371" s="226"/>
      <c r="G3371" s="226"/>
      <c r="H3371" s="226"/>
      <c r="I3371" s="9" t="str">
        <f t="shared" si="52"/>
        <v>__</v>
      </c>
    </row>
    <row r="3372" spans="1:9" x14ac:dyDescent="0.35">
      <c r="A3372" s="226"/>
      <c r="B3372" s="226"/>
      <c r="C3372" s="226"/>
      <c r="D3372" s="226"/>
      <c r="E3372" s="226"/>
      <c r="F3372" s="226"/>
      <c r="G3372" s="226"/>
      <c r="H3372" s="226"/>
      <c r="I3372" s="9" t="str">
        <f t="shared" si="52"/>
        <v>__</v>
      </c>
    </row>
    <row r="3373" spans="1:9" x14ac:dyDescent="0.35">
      <c r="A3373" s="226"/>
      <c r="B3373" s="226"/>
      <c r="C3373" s="226"/>
      <c r="D3373" s="226"/>
      <c r="E3373" s="226"/>
      <c r="F3373" s="226"/>
      <c r="G3373" s="226"/>
      <c r="H3373" s="226"/>
      <c r="I3373" s="9" t="str">
        <f t="shared" si="52"/>
        <v>__</v>
      </c>
    </row>
    <row r="3374" spans="1:9" x14ac:dyDescent="0.35">
      <c r="A3374" s="226"/>
      <c r="B3374" s="226"/>
      <c r="C3374" s="226"/>
      <c r="D3374" s="226"/>
      <c r="E3374" s="226"/>
      <c r="F3374" s="226"/>
      <c r="G3374" s="226"/>
      <c r="H3374" s="226"/>
      <c r="I3374" s="9" t="str">
        <f t="shared" si="52"/>
        <v>__</v>
      </c>
    </row>
    <row r="3375" spans="1:9" x14ac:dyDescent="0.35">
      <c r="A3375" s="226"/>
      <c r="B3375" s="226"/>
      <c r="C3375" s="226"/>
      <c r="D3375" s="226"/>
      <c r="E3375" s="226"/>
      <c r="F3375" s="226"/>
      <c r="G3375" s="226"/>
      <c r="H3375" s="226"/>
      <c r="I3375" s="9" t="str">
        <f t="shared" si="52"/>
        <v>__</v>
      </c>
    </row>
    <row r="3376" spans="1:9" x14ac:dyDescent="0.35">
      <c r="A3376" s="226"/>
      <c r="B3376" s="226"/>
      <c r="C3376" s="226"/>
      <c r="D3376" s="226"/>
      <c r="E3376" s="226"/>
      <c r="F3376" s="226"/>
      <c r="G3376" s="226"/>
      <c r="H3376" s="226"/>
      <c r="I3376" s="9" t="str">
        <f t="shared" si="52"/>
        <v>__</v>
      </c>
    </row>
    <row r="3377" spans="1:9" x14ac:dyDescent="0.35">
      <c r="A3377" s="226"/>
      <c r="B3377" s="226"/>
      <c r="C3377" s="226"/>
      <c r="D3377" s="226"/>
      <c r="E3377" s="226"/>
      <c r="F3377" s="226"/>
      <c r="G3377" s="226"/>
      <c r="H3377" s="226"/>
      <c r="I3377" s="9" t="str">
        <f t="shared" si="52"/>
        <v>__</v>
      </c>
    </row>
    <row r="3378" spans="1:9" x14ac:dyDescent="0.35">
      <c r="A3378" s="226"/>
      <c r="B3378" s="226"/>
      <c r="C3378" s="226"/>
      <c r="D3378" s="226"/>
      <c r="E3378" s="226"/>
      <c r="F3378" s="226"/>
      <c r="G3378" s="226"/>
      <c r="H3378" s="226"/>
      <c r="I3378" s="9" t="str">
        <f t="shared" si="52"/>
        <v>__</v>
      </c>
    </row>
    <row r="3379" spans="1:9" x14ac:dyDescent="0.35">
      <c r="A3379" s="226"/>
      <c r="B3379" s="226"/>
      <c r="C3379" s="226"/>
      <c r="D3379" s="226"/>
      <c r="E3379" s="226"/>
      <c r="F3379" s="226"/>
      <c r="G3379" s="226"/>
      <c r="H3379" s="226"/>
      <c r="I3379" s="9" t="str">
        <f t="shared" si="52"/>
        <v>__</v>
      </c>
    </row>
    <row r="3380" spans="1:9" x14ac:dyDescent="0.35">
      <c r="A3380" s="226"/>
      <c r="B3380" s="226"/>
      <c r="C3380" s="226"/>
      <c r="D3380" s="226"/>
      <c r="E3380" s="226"/>
      <c r="F3380" s="226"/>
      <c r="G3380" s="226"/>
      <c r="H3380" s="226"/>
      <c r="I3380" s="9" t="str">
        <f t="shared" si="52"/>
        <v>__</v>
      </c>
    </row>
    <row r="3381" spans="1:9" x14ac:dyDescent="0.35">
      <c r="A3381" s="226"/>
      <c r="B3381" s="226"/>
      <c r="C3381" s="226"/>
      <c r="D3381" s="226"/>
      <c r="E3381" s="226"/>
      <c r="F3381" s="226"/>
      <c r="G3381" s="226"/>
      <c r="H3381" s="226"/>
      <c r="I3381" s="9" t="str">
        <f t="shared" si="52"/>
        <v>__</v>
      </c>
    </row>
    <row r="3382" spans="1:9" x14ac:dyDescent="0.35">
      <c r="A3382" s="226"/>
      <c r="B3382" s="226"/>
      <c r="C3382" s="226"/>
      <c r="D3382" s="226"/>
      <c r="E3382" s="226"/>
      <c r="F3382" s="226"/>
      <c r="G3382" s="226"/>
      <c r="H3382" s="226"/>
      <c r="I3382" s="9" t="str">
        <f t="shared" si="52"/>
        <v>__</v>
      </c>
    </row>
    <row r="3383" spans="1:9" x14ac:dyDescent="0.35">
      <c r="A3383" s="226"/>
      <c r="B3383" s="226"/>
      <c r="C3383" s="226"/>
      <c r="D3383" s="226"/>
      <c r="E3383" s="226"/>
      <c r="F3383" s="226"/>
      <c r="G3383" s="226"/>
      <c r="H3383" s="226"/>
      <c r="I3383" s="9" t="str">
        <f t="shared" si="52"/>
        <v>__</v>
      </c>
    </row>
    <row r="3384" spans="1:9" x14ac:dyDescent="0.35">
      <c r="A3384" s="226"/>
      <c r="B3384" s="226"/>
      <c r="C3384" s="226"/>
      <c r="D3384" s="226"/>
      <c r="E3384" s="226"/>
      <c r="F3384" s="226"/>
      <c r="G3384" s="226"/>
      <c r="H3384" s="226"/>
      <c r="I3384" s="9" t="str">
        <f t="shared" si="52"/>
        <v>__</v>
      </c>
    </row>
    <row r="3385" spans="1:9" x14ac:dyDescent="0.35">
      <c r="A3385" s="226"/>
      <c r="B3385" s="226"/>
      <c r="C3385" s="226"/>
      <c r="D3385" s="226"/>
      <c r="E3385" s="226"/>
      <c r="F3385" s="226"/>
      <c r="G3385" s="226"/>
      <c r="H3385" s="226"/>
      <c r="I3385" s="9" t="str">
        <f t="shared" si="52"/>
        <v>__</v>
      </c>
    </row>
    <row r="3386" spans="1:9" x14ac:dyDescent="0.35">
      <c r="A3386" s="226"/>
      <c r="B3386" s="226"/>
      <c r="C3386" s="226"/>
      <c r="D3386" s="226"/>
      <c r="E3386" s="226"/>
      <c r="F3386" s="226"/>
      <c r="G3386" s="226"/>
      <c r="H3386" s="226"/>
      <c r="I3386" s="9" t="str">
        <f t="shared" si="52"/>
        <v>__</v>
      </c>
    </row>
    <row r="3387" spans="1:9" x14ac:dyDescent="0.35">
      <c r="A3387" s="226"/>
      <c r="B3387" s="226"/>
      <c r="C3387" s="226"/>
      <c r="D3387" s="226"/>
      <c r="E3387" s="226"/>
      <c r="F3387" s="226"/>
      <c r="G3387" s="226"/>
      <c r="H3387" s="226"/>
      <c r="I3387" s="9" t="str">
        <f t="shared" si="52"/>
        <v>__</v>
      </c>
    </row>
    <row r="3388" spans="1:9" x14ac:dyDescent="0.35">
      <c r="A3388" s="226"/>
      <c r="B3388" s="226"/>
      <c r="C3388" s="226"/>
      <c r="D3388" s="226"/>
      <c r="E3388" s="226"/>
      <c r="F3388" s="226"/>
      <c r="G3388" s="226"/>
      <c r="H3388" s="226"/>
      <c r="I3388" s="9" t="str">
        <f t="shared" si="52"/>
        <v>__</v>
      </c>
    </row>
    <row r="3389" spans="1:9" x14ac:dyDescent="0.35">
      <c r="A3389" s="226"/>
      <c r="B3389" s="226"/>
      <c r="C3389" s="226"/>
      <c r="D3389" s="226"/>
      <c r="E3389" s="226"/>
      <c r="F3389" s="226"/>
      <c r="G3389" s="226"/>
      <c r="H3389" s="226"/>
      <c r="I3389" s="9" t="str">
        <f t="shared" si="52"/>
        <v>__</v>
      </c>
    </row>
    <row r="3390" spans="1:9" x14ac:dyDescent="0.35">
      <c r="A3390" s="226"/>
      <c r="B3390" s="226"/>
      <c r="C3390" s="226"/>
      <c r="D3390" s="226"/>
      <c r="E3390" s="226"/>
      <c r="F3390" s="226"/>
      <c r="G3390" s="226"/>
      <c r="H3390" s="226"/>
      <c r="I3390" s="9" t="str">
        <f t="shared" si="52"/>
        <v>__</v>
      </c>
    </row>
    <row r="3391" spans="1:9" x14ac:dyDescent="0.35">
      <c r="A3391" s="226"/>
      <c r="B3391" s="226"/>
      <c r="C3391" s="226"/>
      <c r="D3391" s="226"/>
      <c r="E3391" s="226"/>
      <c r="F3391" s="226"/>
      <c r="G3391" s="226"/>
      <c r="H3391" s="226"/>
      <c r="I3391" s="9" t="str">
        <f t="shared" si="52"/>
        <v>__</v>
      </c>
    </row>
    <row r="3392" spans="1:9" x14ac:dyDescent="0.35">
      <c r="A3392" s="226"/>
      <c r="B3392" s="226"/>
      <c r="C3392" s="226"/>
      <c r="D3392" s="226"/>
      <c r="E3392" s="226"/>
      <c r="F3392" s="226"/>
      <c r="G3392" s="226"/>
      <c r="H3392" s="226"/>
      <c r="I3392" s="9" t="str">
        <f t="shared" si="52"/>
        <v>__</v>
      </c>
    </row>
    <row r="3393" spans="1:9" x14ac:dyDescent="0.35">
      <c r="A3393" s="226"/>
      <c r="B3393" s="226"/>
      <c r="C3393" s="226"/>
      <c r="D3393" s="226"/>
      <c r="E3393" s="226"/>
      <c r="F3393" s="226"/>
      <c r="G3393" s="226"/>
      <c r="H3393" s="226"/>
      <c r="I3393" s="9" t="str">
        <f t="shared" si="52"/>
        <v>__</v>
      </c>
    </row>
    <row r="3394" spans="1:9" x14ac:dyDescent="0.35">
      <c r="A3394" s="226"/>
      <c r="B3394" s="226"/>
      <c r="C3394" s="226"/>
      <c r="D3394" s="226"/>
      <c r="E3394" s="226"/>
      <c r="F3394" s="226"/>
      <c r="G3394" s="226"/>
      <c r="H3394" s="226"/>
      <c r="I3394" s="9" t="str">
        <f t="shared" si="52"/>
        <v>__</v>
      </c>
    </row>
    <row r="3395" spans="1:9" x14ac:dyDescent="0.35">
      <c r="A3395" s="226"/>
      <c r="B3395" s="226"/>
      <c r="C3395" s="226"/>
      <c r="D3395" s="226"/>
      <c r="E3395" s="226"/>
      <c r="F3395" s="226"/>
      <c r="G3395" s="226"/>
      <c r="H3395" s="226"/>
      <c r="I3395" s="9" t="str">
        <f t="shared" si="52"/>
        <v>__</v>
      </c>
    </row>
    <row r="3396" spans="1:9" x14ac:dyDescent="0.35">
      <c r="A3396" s="226"/>
      <c r="B3396" s="226"/>
      <c r="C3396" s="226"/>
      <c r="D3396" s="226"/>
      <c r="E3396" s="226"/>
      <c r="F3396" s="226"/>
      <c r="G3396" s="226"/>
      <c r="H3396" s="226"/>
      <c r="I3396" s="9" t="str">
        <f t="shared" si="52"/>
        <v>__</v>
      </c>
    </row>
    <row r="3397" spans="1:9" x14ac:dyDescent="0.35">
      <c r="A3397" s="226"/>
      <c r="B3397" s="226"/>
      <c r="C3397" s="226"/>
      <c r="D3397" s="226"/>
      <c r="E3397" s="226"/>
      <c r="F3397" s="226"/>
      <c r="G3397" s="226"/>
      <c r="H3397" s="226"/>
      <c r="I3397" s="9" t="str">
        <f t="shared" ref="I3397:I3460" si="53">CONCATENATE(A3397,"_",B3397,"_",C3397)</f>
        <v>__</v>
      </c>
    </row>
    <row r="3398" spans="1:9" x14ac:dyDescent="0.35">
      <c r="A3398" s="226"/>
      <c r="B3398" s="226"/>
      <c r="C3398" s="226"/>
      <c r="D3398" s="226"/>
      <c r="E3398" s="226"/>
      <c r="F3398" s="226"/>
      <c r="G3398" s="226"/>
      <c r="H3398" s="226"/>
      <c r="I3398" s="9" t="str">
        <f t="shared" si="53"/>
        <v>__</v>
      </c>
    </row>
    <row r="3399" spans="1:9" x14ac:dyDescent="0.35">
      <c r="A3399" s="226"/>
      <c r="B3399" s="226"/>
      <c r="C3399" s="226"/>
      <c r="D3399" s="226"/>
      <c r="E3399" s="226"/>
      <c r="F3399" s="226"/>
      <c r="G3399" s="226"/>
      <c r="H3399" s="226"/>
      <c r="I3399" s="9" t="str">
        <f t="shared" si="53"/>
        <v>__</v>
      </c>
    </row>
    <row r="3400" spans="1:9" x14ac:dyDescent="0.35">
      <c r="A3400" s="226"/>
      <c r="B3400" s="226"/>
      <c r="C3400" s="226"/>
      <c r="D3400" s="226"/>
      <c r="E3400" s="226"/>
      <c r="F3400" s="226"/>
      <c r="G3400" s="226"/>
      <c r="H3400" s="226"/>
      <c r="I3400" s="9" t="str">
        <f t="shared" si="53"/>
        <v>__</v>
      </c>
    </row>
    <row r="3401" spans="1:9" x14ac:dyDescent="0.35">
      <c r="A3401" s="226"/>
      <c r="B3401" s="226"/>
      <c r="C3401" s="226"/>
      <c r="D3401" s="226"/>
      <c r="E3401" s="226"/>
      <c r="F3401" s="226"/>
      <c r="G3401" s="226"/>
      <c r="H3401" s="226"/>
      <c r="I3401" s="9" t="str">
        <f t="shared" si="53"/>
        <v>__</v>
      </c>
    </row>
    <row r="3402" spans="1:9" x14ac:dyDescent="0.35">
      <c r="A3402" s="226"/>
      <c r="B3402" s="226"/>
      <c r="C3402" s="226"/>
      <c r="D3402" s="226"/>
      <c r="E3402" s="226"/>
      <c r="F3402" s="226"/>
      <c r="G3402" s="226"/>
      <c r="H3402" s="226"/>
      <c r="I3402" s="9" t="str">
        <f t="shared" si="53"/>
        <v>__</v>
      </c>
    </row>
    <row r="3403" spans="1:9" x14ac:dyDescent="0.35">
      <c r="A3403" s="226"/>
      <c r="B3403" s="226"/>
      <c r="C3403" s="226"/>
      <c r="D3403" s="226"/>
      <c r="E3403" s="226"/>
      <c r="F3403" s="226"/>
      <c r="G3403" s="226"/>
      <c r="H3403" s="226"/>
      <c r="I3403" s="9" t="str">
        <f t="shared" si="53"/>
        <v>__</v>
      </c>
    </row>
    <row r="3404" spans="1:9" x14ac:dyDescent="0.35">
      <c r="A3404" s="226"/>
      <c r="B3404" s="226"/>
      <c r="C3404" s="226"/>
      <c r="D3404" s="226"/>
      <c r="E3404" s="226"/>
      <c r="F3404" s="226"/>
      <c r="G3404" s="226"/>
      <c r="H3404" s="226"/>
      <c r="I3404" s="9" t="str">
        <f t="shared" si="53"/>
        <v>__</v>
      </c>
    </row>
    <row r="3405" spans="1:9" x14ac:dyDescent="0.35">
      <c r="A3405" s="226"/>
      <c r="B3405" s="226"/>
      <c r="C3405" s="226"/>
      <c r="D3405" s="226"/>
      <c r="E3405" s="226"/>
      <c r="F3405" s="226"/>
      <c r="G3405" s="226"/>
      <c r="H3405" s="226"/>
      <c r="I3405" s="9" t="str">
        <f t="shared" si="53"/>
        <v>__</v>
      </c>
    </row>
    <row r="3406" spans="1:9" x14ac:dyDescent="0.35">
      <c r="A3406" s="226"/>
      <c r="B3406" s="226"/>
      <c r="C3406" s="226"/>
      <c r="D3406" s="226"/>
      <c r="E3406" s="226"/>
      <c r="F3406" s="226"/>
      <c r="G3406" s="226"/>
      <c r="H3406" s="226"/>
      <c r="I3406" s="9" t="str">
        <f t="shared" si="53"/>
        <v>__</v>
      </c>
    </row>
    <row r="3407" spans="1:9" x14ac:dyDescent="0.35">
      <c r="A3407" s="226"/>
      <c r="B3407" s="226"/>
      <c r="C3407" s="226"/>
      <c r="D3407" s="226"/>
      <c r="E3407" s="226"/>
      <c r="F3407" s="226"/>
      <c r="G3407" s="226"/>
      <c r="H3407" s="226"/>
      <c r="I3407" s="9" t="str">
        <f t="shared" si="53"/>
        <v>__</v>
      </c>
    </row>
    <row r="3408" spans="1:9" x14ac:dyDescent="0.35">
      <c r="A3408" s="226"/>
      <c r="B3408" s="226"/>
      <c r="C3408" s="226"/>
      <c r="D3408" s="226"/>
      <c r="E3408" s="226"/>
      <c r="F3408" s="226"/>
      <c r="G3408" s="226"/>
      <c r="H3408" s="226"/>
      <c r="I3408" s="9" t="str">
        <f t="shared" si="53"/>
        <v>__</v>
      </c>
    </row>
    <row r="3409" spans="1:9" x14ac:dyDescent="0.35">
      <c r="A3409" s="226"/>
      <c r="B3409" s="226"/>
      <c r="C3409" s="226"/>
      <c r="D3409" s="226"/>
      <c r="E3409" s="226"/>
      <c r="F3409" s="226"/>
      <c r="G3409" s="226"/>
      <c r="H3409" s="226"/>
      <c r="I3409" s="9" t="str">
        <f t="shared" si="53"/>
        <v>__</v>
      </c>
    </row>
    <row r="3410" spans="1:9" x14ac:dyDescent="0.35">
      <c r="A3410" s="226"/>
      <c r="B3410" s="226"/>
      <c r="C3410" s="226"/>
      <c r="D3410" s="226"/>
      <c r="E3410" s="226"/>
      <c r="F3410" s="226"/>
      <c r="G3410" s="226"/>
      <c r="H3410" s="226"/>
      <c r="I3410" s="9" t="str">
        <f t="shared" si="53"/>
        <v>__</v>
      </c>
    </row>
    <row r="3411" spans="1:9" x14ac:dyDescent="0.35">
      <c r="A3411" s="226"/>
      <c r="B3411" s="226"/>
      <c r="C3411" s="226"/>
      <c r="D3411" s="226"/>
      <c r="E3411" s="226"/>
      <c r="F3411" s="226"/>
      <c r="G3411" s="226"/>
      <c r="H3411" s="226"/>
      <c r="I3411" s="9" t="str">
        <f t="shared" si="53"/>
        <v>__</v>
      </c>
    </row>
    <row r="3412" spans="1:9" x14ac:dyDescent="0.35">
      <c r="A3412" s="226"/>
      <c r="B3412" s="226"/>
      <c r="C3412" s="226"/>
      <c r="D3412" s="226"/>
      <c r="E3412" s="226"/>
      <c r="F3412" s="226"/>
      <c r="G3412" s="226"/>
      <c r="H3412" s="226"/>
      <c r="I3412" s="9" t="str">
        <f t="shared" si="53"/>
        <v>__</v>
      </c>
    </row>
    <row r="3413" spans="1:9" x14ac:dyDescent="0.35">
      <c r="A3413" s="226"/>
      <c r="B3413" s="226"/>
      <c r="C3413" s="226"/>
      <c r="D3413" s="226"/>
      <c r="E3413" s="226"/>
      <c r="F3413" s="226"/>
      <c r="G3413" s="226"/>
      <c r="H3413" s="226"/>
      <c r="I3413" s="9" t="str">
        <f t="shared" si="53"/>
        <v>__</v>
      </c>
    </row>
    <row r="3414" spans="1:9" x14ac:dyDescent="0.35">
      <c r="A3414" s="226"/>
      <c r="B3414" s="226"/>
      <c r="C3414" s="226"/>
      <c r="D3414" s="226"/>
      <c r="E3414" s="226"/>
      <c r="F3414" s="226"/>
      <c r="G3414" s="226"/>
      <c r="H3414" s="226"/>
      <c r="I3414" s="9" t="str">
        <f t="shared" si="53"/>
        <v>__</v>
      </c>
    </row>
    <row r="3415" spans="1:9" x14ac:dyDescent="0.35">
      <c r="A3415" s="226"/>
      <c r="B3415" s="226"/>
      <c r="C3415" s="226"/>
      <c r="D3415" s="226"/>
      <c r="E3415" s="226"/>
      <c r="F3415" s="226"/>
      <c r="G3415" s="226"/>
      <c r="H3415" s="226"/>
      <c r="I3415" s="9" t="str">
        <f t="shared" si="53"/>
        <v>__</v>
      </c>
    </row>
    <row r="3416" spans="1:9" x14ac:dyDescent="0.35">
      <c r="A3416" s="226"/>
      <c r="B3416" s="226"/>
      <c r="C3416" s="226"/>
      <c r="D3416" s="226"/>
      <c r="E3416" s="226"/>
      <c r="F3416" s="226"/>
      <c r="G3416" s="226"/>
      <c r="H3416" s="226"/>
      <c r="I3416" s="9" t="str">
        <f t="shared" si="53"/>
        <v>__</v>
      </c>
    </row>
    <row r="3417" spans="1:9" x14ac:dyDescent="0.35">
      <c r="A3417" s="226"/>
      <c r="B3417" s="226"/>
      <c r="C3417" s="226"/>
      <c r="D3417" s="226"/>
      <c r="E3417" s="226"/>
      <c r="F3417" s="226"/>
      <c r="G3417" s="226"/>
      <c r="H3417" s="226"/>
      <c r="I3417" s="9" t="str">
        <f t="shared" si="53"/>
        <v>__</v>
      </c>
    </row>
    <row r="3418" spans="1:9" x14ac:dyDescent="0.35">
      <c r="A3418" s="226"/>
      <c r="B3418" s="226"/>
      <c r="C3418" s="226"/>
      <c r="D3418" s="226"/>
      <c r="E3418" s="226"/>
      <c r="F3418" s="226"/>
      <c r="G3418" s="226"/>
      <c r="H3418" s="226"/>
      <c r="I3418" s="9" t="str">
        <f t="shared" si="53"/>
        <v>__</v>
      </c>
    </row>
    <row r="3419" spans="1:9" x14ac:dyDescent="0.35">
      <c r="A3419" s="226"/>
      <c r="B3419" s="226"/>
      <c r="C3419" s="226"/>
      <c r="D3419" s="226"/>
      <c r="E3419" s="226"/>
      <c r="F3419" s="226"/>
      <c r="G3419" s="226"/>
      <c r="H3419" s="226"/>
      <c r="I3419" s="9" t="str">
        <f t="shared" si="53"/>
        <v>__</v>
      </c>
    </row>
    <row r="3420" spans="1:9" x14ac:dyDescent="0.35">
      <c r="A3420" s="226"/>
      <c r="B3420" s="226"/>
      <c r="C3420" s="226"/>
      <c r="D3420" s="226"/>
      <c r="E3420" s="226"/>
      <c r="F3420" s="226"/>
      <c r="G3420" s="226"/>
      <c r="H3420" s="226"/>
      <c r="I3420" s="9" t="str">
        <f t="shared" si="53"/>
        <v>__</v>
      </c>
    </row>
    <row r="3421" spans="1:9" x14ac:dyDescent="0.35">
      <c r="A3421" s="226"/>
      <c r="B3421" s="226"/>
      <c r="C3421" s="226"/>
      <c r="D3421" s="226"/>
      <c r="E3421" s="226"/>
      <c r="F3421" s="226"/>
      <c r="G3421" s="226"/>
      <c r="H3421" s="226"/>
      <c r="I3421" s="9" t="str">
        <f t="shared" si="53"/>
        <v>__</v>
      </c>
    </row>
    <row r="3422" spans="1:9" x14ac:dyDescent="0.35">
      <c r="A3422" s="226"/>
      <c r="B3422" s="226"/>
      <c r="C3422" s="226"/>
      <c r="D3422" s="226"/>
      <c r="E3422" s="226"/>
      <c r="F3422" s="226"/>
      <c r="G3422" s="226"/>
      <c r="H3422" s="226"/>
      <c r="I3422" s="9" t="str">
        <f t="shared" si="53"/>
        <v>__</v>
      </c>
    </row>
    <row r="3423" spans="1:9" x14ac:dyDescent="0.35">
      <c r="A3423" s="226"/>
      <c r="B3423" s="226"/>
      <c r="C3423" s="226"/>
      <c r="D3423" s="226"/>
      <c r="E3423" s="226"/>
      <c r="F3423" s="226"/>
      <c r="G3423" s="226"/>
      <c r="H3423" s="226"/>
      <c r="I3423" s="9" t="str">
        <f t="shared" si="53"/>
        <v>__</v>
      </c>
    </row>
    <row r="3424" spans="1:9" x14ac:dyDescent="0.35">
      <c r="A3424" s="226"/>
      <c r="B3424" s="226"/>
      <c r="C3424" s="226"/>
      <c r="D3424" s="226"/>
      <c r="E3424" s="226"/>
      <c r="F3424" s="226"/>
      <c r="G3424" s="226"/>
      <c r="H3424" s="226"/>
      <c r="I3424" s="9" t="str">
        <f t="shared" si="53"/>
        <v>__</v>
      </c>
    </row>
    <row r="3425" spans="1:9" x14ac:dyDescent="0.35">
      <c r="A3425" s="226"/>
      <c r="B3425" s="226"/>
      <c r="C3425" s="226"/>
      <c r="D3425" s="226"/>
      <c r="E3425" s="226"/>
      <c r="F3425" s="226"/>
      <c r="G3425" s="226"/>
      <c r="H3425" s="226"/>
      <c r="I3425" s="9" t="str">
        <f t="shared" si="53"/>
        <v>__</v>
      </c>
    </row>
    <row r="3426" spans="1:9" x14ac:dyDescent="0.35">
      <c r="A3426" s="226"/>
      <c r="B3426" s="226"/>
      <c r="C3426" s="226"/>
      <c r="D3426" s="226"/>
      <c r="E3426" s="226"/>
      <c r="F3426" s="226"/>
      <c r="G3426" s="226"/>
      <c r="H3426" s="226"/>
      <c r="I3426" s="9" t="str">
        <f t="shared" si="53"/>
        <v>__</v>
      </c>
    </row>
    <row r="3427" spans="1:9" x14ac:dyDescent="0.35">
      <c r="A3427" s="226"/>
      <c r="B3427" s="226"/>
      <c r="C3427" s="226"/>
      <c r="D3427" s="226"/>
      <c r="E3427" s="226"/>
      <c r="F3427" s="226"/>
      <c r="G3427" s="226"/>
      <c r="H3427" s="226"/>
      <c r="I3427" s="9" t="str">
        <f t="shared" si="53"/>
        <v>__</v>
      </c>
    </row>
    <row r="3428" spans="1:9" x14ac:dyDescent="0.35">
      <c r="A3428" s="226"/>
      <c r="B3428" s="226"/>
      <c r="C3428" s="226"/>
      <c r="D3428" s="226"/>
      <c r="E3428" s="226"/>
      <c r="F3428" s="226"/>
      <c r="G3428" s="226"/>
      <c r="H3428" s="226"/>
      <c r="I3428" s="9" t="str">
        <f t="shared" si="53"/>
        <v>__</v>
      </c>
    </row>
    <row r="3429" spans="1:9" x14ac:dyDescent="0.35">
      <c r="A3429" s="226"/>
      <c r="B3429" s="226"/>
      <c r="C3429" s="226"/>
      <c r="D3429" s="226"/>
      <c r="E3429" s="226"/>
      <c r="F3429" s="226"/>
      <c r="G3429" s="226"/>
      <c r="H3429" s="226"/>
      <c r="I3429" s="9" t="str">
        <f t="shared" si="53"/>
        <v>__</v>
      </c>
    </row>
    <row r="3430" spans="1:9" x14ac:dyDescent="0.35">
      <c r="A3430" s="226"/>
      <c r="B3430" s="226"/>
      <c r="C3430" s="226"/>
      <c r="D3430" s="226"/>
      <c r="E3430" s="226"/>
      <c r="F3430" s="226"/>
      <c r="G3430" s="226"/>
      <c r="H3430" s="226"/>
      <c r="I3430" s="9" t="str">
        <f t="shared" si="53"/>
        <v>__</v>
      </c>
    </row>
    <row r="3431" spans="1:9" x14ac:dyDescent="0.35">
      <c r="A3431" s="226"/>
      <c r="B3431" s="226"/>
      <c r="C3431" s="226"/>
      <c r="D3431" s="226"/>
      <c r="E3431" s="226"/>
      <c r="F3431" s="226"/>
      <c r="G3431" s="226"/>
      <c r="H3431" s="226"/>
      <c r="I3431" s="9" t="str">
        <f t="shared" si="53"/>
        <v>__</v>
      </c>
    </row>
    <row r="3432" spans="1:9" x14ac:dyDescent="0.35">
      <c r="A3432" s="226"/>
      <c r="B3432" s="226"/>
      <c r="C3432" s="226"/>
      <c r="D3432" s="226"/>
      <c r="E3432" s="226"/>
      <c r="F3432" s="226"/>
      <c r="G3432" s="226"/>
      <c r="H3432" s="226"/>
      <c r="I3432" s="9" t="str">
        <f t="shared" si="53"/>
        <v>__</v>
      </c>
    </row>
    <row r="3433" spans="1:9" x14ac:dyDescent="0.35">
      <c r="A3433" s="226"/>
      <c r="B3433" s="226"/>
      <c r="C3433" s="226"/>
      <c r="D3433" s="226"/>
      <c r="E3433" s="226"/>
      <c r="F3433" s="226"/>
      <c r="G3433" s="226"/>
      <c r="H3433" s="226"/>
      <c r="I3433" s="9" t="str">
        <f t="shared" si="53"/>
        <v>__</v>
      </c>
    </row>
    <row r="3434" spans="1:9" x14ac:dyDescent="0.35">
      <c r="A3434" s="226"/>
      <c r="B3434" s="226"/>
      <c r="C3434" s="226"/>
      <c r="D3434" s="226"/>
      <c r="E3434" s="226"/>
      <c r="F3434" s="226"/>
      <c r="G3434" s="226"/>
      <c r="H3434" s="226"/>
      <c r="I3434" s="9" t="str">
        <f t="shared" si="53"/>
        <v>__</v>
      </c>
    </row>
    <row r="3435" spans="1:9" x14ac:dyDescent="0.35">
      <c r="A3435" s="226"/>
      <c r="B3435" s="226"/>
      <c r="C3435" s="226"/>
      <c r="D3435" s="226"/>
      <c r="E3435" s="226"/>
      <c r="F3435" s="226"/>
      <c r="G3435" s="226"/>
      <c r="H3435" s="226"/>
      <c r="I3435" s="9" t="str">
        <f t="shared" si="53"/>
        <v>__</v>
      </c>
    </row>
    <row r="3436" spans="1:9" x14ac:dyDescent="0.35">
      <c r="A3436" s="226"/>
      <c r="B3436" s="226"/>
      <c r="C3436" s="226"/>
      <c r="D3436" s="226"/>
      <c r="E3436" s="226"/>
      <c r="F3436" s="226"/>
      <c r="G3436" s="226"/>
      <c r="H3436" s="226"/>
      <c r="I3436" s="9" t="str">
        <f t="shared" si="53"/>
        <v>__</v>
      </c>
    </row>
    <row r="3437" spans="1:9" x14ac:dyDescent="0.35">
      <c r="A3437" s="226"/>
      <c r="B3437" s="226"/>
      <c r="C3437" s="226"/>
      <c r="D3437" s="226"/>
      <c r="E3437" s="226"/>
      <c r="F3437" s="226"/>
      <c r="G3437" s="226"/>
      <c r="H3437" s="226"/>
      <c r="I3437" s="9" t="str">
        <f t="shared" si="53"/>
        <v>__</v>
      </c>
    </row>
    <row r="3438" spans="1:9" x14ac:dyDescent="0.35">
      <c r="A3438" s="226"/>
      <c r="B3438" s="226"/>
      <c r="C3438" s="226"/>
      <c r="D3438" s="226"/>
      <c r="E3438" s="226"/>
      <c r="F3438" s="226"/>
      <c r="G3438" s="226"/>
      <c r="H3438" s="226"/>
      <c r="I3438" s="9" t="str">
        <f t="shared" si="53"/>
        <v>__</v>
      </c>
    </row>
    <row r="3439" spans="1:9" x14ac:dyDescent="0.35">
      <c r="A3439" s="226"/>
      <c r="B3439" s="226"/>
      <c r="C3439" s="226"/>
      <c r="D3439" s="226"/>
      <c r="E3439" s="226"/>
      <c r="F3439" s="226"/>
      <c r="G3439" s="226"/>
      <c r="H3439" s="226"/>
      <c r="I3439" s="9" t="str">
        <f t="shared" si="53"/>
        <v>__</v>
      </c>
    </row>
    <row r="3440" spans="1:9" x14ac:dyDescent="0.35">
      <c r="A3440" s="226"/>
      <c r="B3440" s="226"/>
      <c r="C3440" s="226"/>
      <c r="D3440" s="226"/>
      <c r="E3440" s="226"/>
      <c r="F3440" s="226"/>
      <c r="G3440" s="226"/>
      <c r="H3440" s="226"/>
      <c r="I3440" s="9" t="str">
        <f t="shared" si="53"/>
        <v>__</v>
      </c>
    </row>
    <row r="3441" spans="1:9" x14ac:dyDescent="0.35">
      <c r="A3441" s="226"/>
      <c r="B3441" s="226"/>
      <c r="C3441" s="226"/>
      <c r="D3441" s="226"/>
      <c r="E3441" s="226"/>
      <c r="F3441" s="226"/>
      <c r="G3441" s="226"/>
      <c r="H3441" s="226"/>
      <c r="I3441" s="9" t="str">
        <f t="shared" si="53"/>
        <v>__</v>
      </c>
    </row>
    <row r="3442" spans="1:9" x14ac:dyDescent="0.35">
      <c r="A3442" s="226"/>
      <c r="B3442" s="226"/>
      <c r="C3442" s="226"/>
      <c r="D3442" s="226"/>
      <c r="E3442" s="226"/>
      <c r="F3442" s="226"/>
      <c r="G3442" s="226"/>
      <c r="H3442" s="226"/>
      <c r="I3442" s="9" t="str">
        <f t="shared" si="53"/>
        <v>__</v>
      </c>
    </row>
    <row r="3443" spans="1:9" x14ac:dyDescent="0.35">
      <c r="A3443" s="226"/>
      <c r="B3443" s="226"/>
      <c r="C3443" s="226"/>
      <c r="D3443" s="226"/>
      <c r="E3443" s="226"/>
      <c r="F3443" s="226"/>
      <c r="G3443" s="226"/>
      <c r="H3443" s="226"/>
      <c r="I3443" s="9" t="str">
        <f t="shared" si="53"/>
        <v>__</v>
      </c>
    </row>
    <row r="3444" spans="1:9" x14ac:dyDescent="0.35">
      <c r="A3444" s="226"/>
      <c r="B3444" s="226"/>
      <c r="C3444" s="226"/>
      <c r="D3444" s="226"/>
      <c r="E3444" s="226"/>
      <c r="F3444" s="226"/>
      <c r="G3444" s="226"/>
      <c r="H3444" s="226"/>
      <c r="I3444" s="9" t="str">
        <f t="shared" si="53"/>
        <v>__</v>
      </c>
    </row>
    <row r="3445" spans="1:9" x14ac:dyDescent="0.35">
      <c r="A3445" s="226"/>
      <c r="B3445" s="226"/>
      <c r="C3445" s="226"/>
      <c r="D3445" s="226"/>
      <c r="E3445" s="226"/>
      <c r="F3445" s="226"/>
      <c r="G3445" s="226"/>
      <c r="H3445" s="226"/>
      <c r="I3445" s="9" t="str">
        <f t="shared" si="53"/>
        <v>__</v>
      </c>
    </row>
    <row r="3446" spans="1:9" x14ac:dyDescent="0.35">
      <c r="A3446" s="226"/>
      <c r="B3446" s="226"/>
      <c r="C3446" s="226"/>
      <c r="D3446" s="226"/>
      <c r="E3446" s="226"/>
      <c r="F3446" s="226"/>
      <c r="G3446" s="226"/>
      <c r="H3446" s="226"/>
      <c r="I3446" s="9" t="str">
        <f t="shared" si="53"/>
        <v>__</v>
      </c>
    </row>
    <row r="3447" spans="1:9" x14ac:dyDescent="0.35">
      <c r="A3447" s="226"/>
      <c r="B3447" s="226"/>
      <c r="C3447" s="226"/>
      <c r="D3447" s="226"/>
      <c r="E3447" s="226"/>
      <c r="F3447" s="226"/>
      <c r="G3447" s="226"/>
      <c r="H3447" s="226"/>
      <c r="I3447" s="9" t="str">
        <f t="shared" si="53"/>
        <v>__</v>
      </c>
    </row>
    <row r="3448" spans="1:9" x14ac:dyDescent="0.35">
      <c r="A3448" s="226"/>
      <c r="B3448" s="226"/>
      <c r="C3448" s="226"/>
      <c r="D3448" s="226"/>
      <c r="E3448" s="226"/>
      <c r="F3448" s="226"/>
      <c r="G3448" s="226"/>
      <c r="H3448" s="226"/>
      <c r="I3448" s="9" t="str">
        <f t="shared" si="53"/>
        <v>__</v>
      </c>
    </row>
    <row r="3449" spans="1:9" x14ac:dyDescent="0.35">
      <c r="A3449" s="226"/>
      <c r="B3449" s="226"/>
      <c r="C3449" s="226"/>
      <c r="D3449" s="226"/>
      <c r="E3449" s="226"/>
      <c r="F3449" s="226"/>
      <c r="G3449" s="226"/>
      <c r="H3449" s="226"/>
      <c r="I3449" s="9" t="str">
        <f t="shared" si="53"/>
        <v>__</v>
      </c>
    </row>
    <row r="3450" spans="1:9" x14ac:dyDescent="0.35">
      <c r="A3450" s="226"/>
      <c r="B3450" s="226"/>
      <c r="C3450" s="226"/>
      <c r="D3450" s="226"/>
      <c r="E3450" s="226"/>
      <c r="F3450" s="226"/>
      <c r="G3450" s="226"/>
      <c r="H3450" s="226"/>
      <c r="I3450" s="9" t="str">
        <f t="shared" si="53"/>
        <v>__</v>
      </c>
    </row>
    <row r="3451" spans="1:9" x14ac:dyDescent="0.35">
      <c r="A3451" s="226"/>
      <c r="B3451" s="226"/>
      <c r="C3451" s="226"/>
      <c r="D3451" s="226"/>
      <c r="E3451" s="226"/>
      <c r="F3451" s="226"/>
      <c r="G3451" s="226"/>
      <c r="H3451" s="226"/>
      <c r="I3451" s="9" t="str">
        <f t="shared" si="53"/>
        <v>__</v>
      </c>
    </row>
    <row r="3452" spans="1:9" x14ac:dyDescent="0.35">
      <c r="A3452" s="226"/>
      <c r="B3452" s="226"/>
      <c r="C3452" s="226"/>
      <c r="D3452" s="226"/>
      <c r="E3452" s="226"/>
      <c r="F3452" s="226"/>
      <c r="G3452" s="226"/>
      <c r="H3452" s="226"/>
      <c r="I3452" s="9" t="str">
        <f t="shared" si="53"/>
        <v>__</v>
      </c>
    </row>
    <row r="3453" spans="1:9" x14ac:dyDescent="0.35">
      <c r="A3453" s="226"/>
      <c r="B3453" s="226"/>
      <c r="C3453" s="226"/>
      <c r="D3453" s="226"/>
      <c r="E3453" s="226"/>
      <c r="F3453" s="226"/>
      <c r="G3453" s="226"/>
      <c r="H3453" s="226"/>
      <c r="I3453" s="9" t="str">
        <f t="shared" si="53"/>
        <v>__</v>
      </c>
    </row>
    <row r="3454" spans="1:9" x14ac:dyDescent="0.35">
      <c r="A3454" s="226"/>
      <c r="B3454" s="226"/>
      <c r="C3454" s="226"/>
      <c r="D3454" s="226"/>
      <c r="E3454" s="226"/>
      <c r="F3454" s="226"/>
      <c r="G3454" s="226"/>
      <c r="H3454" s="226"/>
      <c r="I3454" s="9" t="str">
        <f t="shared" si="53"/>
        <v>__</v>
      </c>
    </row>
    <row r="3455" spans="1:9" x14ac:dyDescent="0.35">
      <c r="A3455" s="226"/>
      <c r="B3455" s="226"/>
      <c r="C3455" s="226"/>
      <c r="D3455" s="226"/>
      <c r="E3455" s="226"/>
      <c r="F3455" s="226"/>
      <c r="G3455" s="226"/>
      <c r="H3455" s="226"/>
      <c r="I3455" s="9" t="str">
        <f t="shared" si="53"/>
        <v>__</v>
      </c>
    </row>
    <row r="3456" spans="1:9" x14ac:dyDescent="0.35">
      <c r="A3456" s="226"/>
      <c r="B3456" s="226"/>
      <c r="C3456" s="226"/>
      <c r="D3456" s="226"/>
      <c r="E3456" s="226"/>
      <c r="F3456" s="226"/>
      <c r="G3456" s="226"/>
      <c r="H3456" s="226"/>
      <c r="I3456" s="9" t="str">
        <f t="shared" si="53"/>
        <v>__</v>
      </c>
    </row>
    <row r="3457" spans="1:9" x14ac:dyDescent="0.35">
      <c r="A3457" s="226"/>
      <c r="B3457" s="226"/>
      <c r="C3457" s="226"/>
      <c r="D3457" s="226"/>
      <c r="E3457" s="226"/>
      <c r="F3457" s="226"/>
      <c r="G3457" s="226"/>
      <c r="H3457" s="226"/>
      <c r="I3457" s="9" t="str">
        <f t="shared" si="53"/>
        <v>__</v>
      </c>
    </row>
    <row r="3458" spans="1:9" x14ac:dyDescent="0.35">
      <c r="A3458" s="226"/>
      <c r="B3458" s="226"/>
      <c r="C3458" s="226"/>
      <c r="D3458" s="226"/>
      <c r="E3458" s="226"/>
      <c r="F3458" s="226"/>
      <c r="G3458" s="226"/>
      <c r="H3458" s="226"/>
      <c r="I3458" s="9" t="str">
        <f t="shared" si="53"/>
        <v>__</v>
      </c>
    </row>
    <row r="3459" spans="1:9" x14ac:dyDescent="0.35">
      <c r="A3459" s="226"/>
      <c r="B3459" s="226"/>
      <c r="C3459" s="226"/>
      <c r="D3459" s="226"/>
      <c r="E3459" s="226"/>
      <c r="F3459" s="226"/>
      <c r="G3459" s="226"/>
      <c r="H3459" s="226"/>
      <c r="I3459" s="9" t="str">
        <f t="shared" si="53"/>
        <v>__</v>
      </c>
    </row>
    <row r="3460" spans="1:9" x14ac:dyDescent="0.35">
      <c r="A3460" s="226"/>
      <c r="B3460" s="226"/>
      <c r="C3460" s="226"/>
      <c r="D3460" s="226"/>
      <c r="E3460" s="226"/>
      <c r="F3460" s="226"/>
      <c r="G3460" s="226"/>
      <c r="H3460" s="226"/>
      <c r="I3460" s="9" t="str">
        <f t="shared" si="53"/>
        <v>__</v>
      </c>
    </row>
    <row r="3461" spans="1:9" x14ac:dyDescent="0.35">
      <c r="A3461" s="226"/>
      <c r="B3461" s="226"/>
      <c r="C3461" s="226"/>
      <c r="D3461" s="226"/>
      <c r="E3461" s="226"/>
      <c r="F3461" s="226"/>
      <c r="G3461" s="226"/>
      <c r="H3461" s="226"/>
      <c r="I3461" s="9" t="str">
        <f t="shared" ref="I3461:I3524" si="54">CONCATENATE(A3461,"_",B3461,"_",C3461)</f>
        <v>__</v>
      </c>
    </row>
    <row r="3462" spans="1:9" x14ac:dyDescent="0.35">
      <c r="A3462" s="226"/>
      <c r="B3462" s="226"/>
      <c r="C3462" s="226"/>
      <c r="D3462" s="226"/>
      <c r="E3462" s="226"/>
      <c r="F3462" s="226"/>
      <c r="G3462" s="226"/>
      <c r="H3462" s="226"/>
      <c r="I3462" s="9" t="str">
        <f t="shared" si="54"/>
        <v>__</v>
      </c>
    </row>
    <row r="3463" spans="1:9" x14ac:dyDescent="0.35">
      <c r="A3463" s="226"/>
      <c r="B3463" s="226"/>
      <c r="C3463" s="226"/>
      <c r="D3463" s="226"/>
      <c r="E3463" s="226"/>
      <c r="F3463" s="226"/>
      <c r="G3463" s="226"/>
      <c r="H3463" s="226"/>
      <c r="I3463" s="9" t="str">
        <f t="shared" si="54"/>
        <v>__</v>
      </c>
    </row>
    <row r="3464" spans="1:9" x14ac:dyDescent="0.35">
      <c r="A3464" s="226"/>
      <c r="B3464" s="226"/>
      <c r="C3464" s="226"/>
      <c r="D3464" s="226"/>
      <c r="E3464" s="226"/>
      <c r="F3464" s="226"/>
      <c r="G3464" s="226"/>
      <c r="H3464" s="226"/>
      <c r="I3464" s="9" t="str">
        <f t="shared" si="54"/>
        <v>__</v>
      </c>
    </row>
    <row r="3465" spans="1:9" x14ac:dyDescent="0.35">
      <c r="A3465" s="226"/>
      <c r="B3465" s="226"/>
      <c r="C3465" s="226"/>
      <c r="D3465" s="226"/>
      <c r="E3465" s="226"/>
      <c r="F3465" s="226"/>
      <c r="G3465" s="226"/>
      <c r="H3465" s="226"/>
      <c r="I3465" s="9" t="str">
        <f t="shared" si="54"/>
        <v>__</v>
      </c>
    </row>
    <row r="3466" spans="1:9" x14ac:dyDescent="0.35">
      <c r="A3466" s="226"/>
      <c r="B3466" s="226"/>
      <c r="C3466" s="226"/>
      <c r="D3466" s="226"/>
      <c r="E3466" s="226"/>
      <c r="F3466" s="226"/>
      <c r="G3466" s="226"/>
      <c r="H3466" s="226"/>
      <c r="I3466" s="9" t="str">
        <f t="shared" si="54"/>
        <v>__</v>
      </c>
    </row>
    <row r="3467" spans="1:9" x14ac:dyDescent="0.35">
      <c r="A3467" s="226"/>
      <c r="B3467" s="226"/>
      <c r="C3467" s="226"/>
      <c r="D3467" s="226"/>
      <c r="E3467" s="226"/>
      <c r="F3467" s="226"/>
      <c r="G3467" s="226"/>
      <c r="H3467" s="226"/>
      <c r="I3467" s="9" t="str">
        <f t="shared" si="54"/>
        <v>__</v>
      </c>
    </row>
    <row r="3468" spans="1:9" x14ac:dyDescent="0.35">
      <c r="A3468" s="226"/>
      <c r="B3468" s="226"/>
      <c r="C3468" s="226"/>
      <c r="D3468" s="226"/>
      <c r="E3468" s="226"/>
      <c r="F3468" s="226"/>
      <c r="G3468" s="226"/>
      <c r="H3468" s="226"/>
      <c r="I3468" s="9" t="str">
        <f t="shared" si="54"/>
        <v>__</v>
      </c>
    </row>
    <row r="3469" spans="1:9" x14ac:dyDescent="0.35">
      <c r="A3469" s="226"/>
      <c r="B3469" s="226"/>
      <c r="C3469" s="226"/>
      <c r="D3469" s="226"/>
      <c r="E3469" s="226"/>
      <c r="F3469" s="226"/>
      <c r="G3469" s="226"/>
      <c r="H3469" s="226"/>
      <c r="I3469" s="9" t="str">
        <f t="shared" si="54"/>
        <v>__</v>
      </c>
    </row>
    <row r="3470" spans="1:9" x14ac:dyDescent="0.35">
      <c r="A3470" s="226"/>
      <c r="B3470" s="226"/>
      <c r="C3470" s="226"/>
      <c r="D3470" s="226"/>
      <c r="E3470" s="226"/>
      <c r="F3470" s="226"/>
      <c r="G3470" s="226"/>
      <c r="H3470" s="226"/>
      <c r="I3470" s="9" t="str">
        <f t="shared" si="54"/>
        <v>__</v>
      </c>
    </row>
    <row r="3471" spans="1:9" x14ac:dyDescent="0.35">
      <c r="A3471" s="226"/>
      <c r="B3471" s="226"/>
      <c r="C3471" s="226"/>
      <c r="D3471" s="226"/>
      <c r="E3471" s="226"/>
      <c r="F3471" s="226"/>
      <c r="G3471" s="226"/>
      <c r="H3471" s="226"/>
      <c r="I3471" s="9" t="str">
        <f t="shared" si="54"/>
        <v>__</v>
      </c>
    </row>
    <row r="3472" spans="1:9" x14ac:dyDescent="0.35">
      <c r="A3472" s="226"/>
      <c r="B3472" s="226"/>
      <c r="C3472" s="226"/>
      <c r="D3472" s="226"/>
      <c r="E3472" s="226"/>
      <c r="F3472" s="226"/>
      <c r="G3472" s="226"/>
      <c r="H3472" s="226"/>
      <c r="I3472" s="9" t="str">
        <f t="shared" si="54"/>
        <v>__</v>
      </c>
    </row>
    <row r="3473" spans="1:9" x14ac:dyDescent="0.35">
      <c r="A3473" s="226"/>
      <c r="B3473" s="226"/>
      <c r="C3473" s="226"/>
      <c r="D3473" s="226"/>
      <c r="E3473" s="226"/>
      <c r="F3473" s="226"/>
      <c r="G3473" s="226"/>
      <c r="H3473" s="226"/>
      <c r="I3473" s="9" t="str">
        <f t="shared" si="54"/>
        <v>__</v>
      </c>
    </row>
    <row r="3474" spans="1:9" x14ac:dyDescent="0.35">
      <c r="A3474" s="226"/>
      <c r="B3474" s="226"/>
      <c r="C3474" s="226"/>
      <c r="D3474" s="226"/>
      <c r="E3474" s="226"/>
      <c r="F3474" s="226"/>
      <c r="G3474" s="226"/>
      <c r="H3474" s="226"/>
      <c r="I3474" s="9" t="str">
        <f t="shared" si="54"/>
        <v>__</v>
      </c>
    </row>
    <row r="3475" spans="1:9" x14ac:dyDescent="0.35">
      <c r="A3475" s="226"/>
      <c r="B3475" s="226"/>
      <c r="C3475" s="226"/>
      <c r="D3475" s="226"/>
      <c r="E3475" s="226"/>
      <c r="F3475" s="226"/>
      <c r="G3475" s="226"/>
      <c r="H3475" s="226"/>
      <c r="I3475" s="9" t="str">
        <f t="shared" si="54"/>
        <v>__</v>
      </c>
    </row>
    <row r="3476" spans="1:9" x14ac:dyDescent="0.35">
      <c r="A3476" s="226"/>
      <c r="B3476" s="226"/>
      <c r="C3476" s="226"/>
      <c r="D3476" s="226"/>
      <c r="E3476" s="226"/>
      <c r="F3476" s="226"/>
      <c r="G3476" s="226"/>
      <c r="H3476" s="226"/>
      <c r="I3476" s="9" t="str">
        <f t="shared" si="54"/>
        <v>__</v>
      </c>
    </row>
    <row r="3477" spans="1:9" x14ac:dyDescent="0.35">
      <c r="A3477" s="226"/>
      <c r="B3477" s="226"/>
      <c r="C3477" s="226"/>
      <c r="D3477" s="226"/>
      <c r="E3477" s="226"/>
      <c r="F3477" s="226"/>
      <c r="G3477" s="226"/>
      <c r="H3477" s="226"/>
      <c r="I3477" s="9" t="str">
        <f t="shared" si="54"/>
        <v>__</v>
      </c>
    </row>
    <row r="3478" spans="1:9" x14ac:dyDescent="0.35">
      <c r="A3478" s="226"/>
      <c r="B3478" s="226"/>
      <c r="C3478" s="226"/>
      <c r="D3478" s="226"/>
      <c r="E3478" s="226"/>
      <c r="F3478" s="226"/>
      <c r="G3478" s="226"/>
      <c r="H3478" s="226"/>
      <c r="I3478" s="9" t="str">
        <f t="shared" si="54"/>
        <v>__</v>
      </c>
    </row>
    <row r="3479" spans="1:9" x14ac:dyDescent="0.35">
      <c r="A3479" s="226"/>
      <c r="B3479" s="226"/>
      <c r="C3479" s="226"/>
      <c r="D3479" s="226"/>
      <c r="E3479" s="226"/>
      <c r="F3479" s="226"/>
      <c r="G3479" s="226"/>
      <c r="H3479" s="226"/>
      <c r="I3479" s="9" t="str">
        <f t="shared" si="54"/>
        <v>__</v>
      </c>
    </row>
    <row r="3480" spans="1:9" x14ac:dyDescent="0.35">
      <c r="A3480" s="226"/>
      <c r="B3480" s="226"/>
      <c r="C3480" s="226"/>
      <c r="D3480" s="226"/>
      <c r="E3480" s="226"/>
      <c r="F3480" s="226"/>
      <c r="G3480" s="226"/>
      <c r="H3480" s="226"/>
      <c r="I3480" s="9" t="str">
        <f t="shared" si="54"/>
        <v>__</v>
      </c>
    </row>
    <row r="3481" spans="1:9" x14ac:dyDescent="0.35">
      <c r="A3481" s="226"/>
      <c r="B3481" s="226"/>
      <c r="C3481" s="226"/>
      <c r="D3481" s="226"/>
      <c r="E3481" s="226"/>
      <c r="F3481" s="226"/>
      <c r="G3481" s="226"/>
      <c r="H3481" s="226"/>
      <c r="I3481" s="9" t="str">
        <f t="shared" si="54"/>
        <v>__</v>
      </c>
    </row>
    <row r="3482" spans="1:9" x14ac:dyDescent="0.35">
      <c r="A3482" s="226"/>
      <c r="B3482" s="226"/>
      <c r="C3482" s="226"/>
      <c r="D3482" s="226"/>
      <c r="E3482" s="226"/>
      <c r="F3482" s="226"/>
      <c r="G3482" s="226"/>
      <c r="H3482" s="226"/>
      <c r="I3482" s="9" t="str">
        <f t="shared" si="54"/>
        <v>__</v>
      </c>
    </row>
    <row r="3483" spans="1:9" x14ac:dyDescent="0.35">
      <c r="A3483" s="226"/>
      <c r="B3483" s="226"/>
      <c r="C3483" s="226"/>
      <c r="D3483" s="226"/>
      <c r="E3483" s="226"/>
      <c r="F3483" s="226"/>
      <c r="G3483" s="226"/>
      <c r="H3483" s="226"/>
      <c r="I3483" s="9" t="str">
        <f t="shared" si="54"/>
        <v>__</v>
      </c>
    </row>
    <row r="3484" spans="1:9" x14ac:dyDescent="0.35">
      <c r="A3484" s="226"/>
      <c r="B3484" s="226"/>
      <c r="C3484" s="226"/>
      <c r="D3484" s="226"/>
      <c r="E3484" s="226"/>
      <c r="F3484" s="226"/>
      <c r="G3484" s="226"/>
      <c r="H3484" s="226"/>
      <c r="I3484" s="9" t="str">
        <f t="shared" si="54"/>
        <v>__</v>
      </c>
    </row>
    <row r="3485" spans="1:9" x14ac:dyDescent="0.35">
      <c r="A3485" s="226"/>
      <c r="B3485" s="226"/>
      <c r="C3485" s="226"/>
      <c r="D3485" s="226"/>
      <c r="E3485" s="226"/>
      <c r="F3485" s="226"/>
      <c r="G3485" s="226"/>
      <c r="H3485" s="226"/>
      <c r="I3485" s="9" t="str">
        <f t="shared" si="54"/>
        <v>__</v>
      </c>
    </row>
    <row r="3486" spans="1:9" x14ac:dyDescent="0.35">
      <c r="A3486" s="226"/>
      <c r="B3486" s="226"/>
      <c r="C3486" s="226"/>
      <c r="D3486" s="226"/>
      <c r="E3486" s="226"/>
      <c r="F3486" s="226"/>
      <c r="G3486" s="226"/>
      <c r="H3486" s="226"/>
      <c r="I3486" s="9" t="str">
        <f t="shared" si="54"/>
        <v>__</v>
      </c>
    </row>
    <row r="3487" spans="1:9" x14ac:dyDescent="0.35">
      <c r="A3487" s="226"/>
      <c r="B3487" s="226"/>
      <c r="C3487" s="226"/>
      <c r="D3487" s="226"/>
      <c r="E3487" s="226"/>
      <c r="F3487" s="226"/>
      <c r="G3487" s="226"/>
      <c r="H3487" s="226"/>
      <c r="I3487" s="9" t="str">
        <f t="shared" si="54"/>
        <v>__</v>
      </c>
    </row>
    <row r="3488" spans="1:9" x14ac:dyDescent="0.35">
      <c r="A3488" s="226"/>
      <c r="B3488" s="226"/>
      <c r="C3488" s="226"/>
      <c r="D3488" s="226"/>
      <c r="E3488" s="226"/>
      <c r="F3488" s="226"/>
      <c r="G3488" s="226"/>
      <c r="H3488" s="226"/>
      <c r="I3488" s="9" t="str">
        <f t="shared" si="54"/>
        <v>__</v>
      </c>
    </row>
    <row r="3489" spans="1:9" x14ac:dyDescent="0.35">
      <c r="A3489" s="226"/>
      <c r="B3489" s="226"/>
      <c r="C3489" s="226"/>
      <c r="D3489" s="226"/>
      <c r="E3489" s="226"/>
      <c r="F3489" s="226"/>
      <c r="G3489" s="226"/>
      <c r="H3489" s="226"/>
      <c r="I3489" s="9" t="str">
        <f t="shared" si="54"/>
        <v>__</v>
      </c>
    </row>
    <row r="3490" spans="1:9" x14ac:dyDescent="0.35">
      <c r="A3490" s="226"/>
      <c r="B3490" s="226"/>
      <c r="C3490" s="226"/>
      <c r="D3490" s="226"/>
      <c r="E3490" s="226"/>
      <c r="F3490" s="226"/>
      <c r="G3490" s="226"/>
      <c r="H3490" s="226"/>
      <c r="I3490" s="9" t="str">
        <f t="shared" si="54"/>
        <v>__</v>
      </c>
    </row>
    <row r="3491" spans="1:9" x14ac:dyDescent="0.35">
      <c r="A3491" s="226"/>
      <c r="B3491" s="226"/>
      <c r="C3491" s="226"/>
      <c r="D3491" s="226"/>
      <c r="E3491" s="226"/>
      <c r="F3491" s="226"/>
      <c r="G3491" s="226"/>
      <c r="H3491" s="226"/>
      <c r="I3491" s="9" t="str">
        <f t="shared" si="54"/>
        <v>__</v>
      </c>
    </row>
    <row r="3492" spans="1:9" x14ac:dyDescent="0.35">
      <c r="A3492" s="226"/>
      <c r="B3492" s="226"/>
      <c r="C3492" s="226"/>
      <c r="D3492" s="226"/>
      <c r="E3492" s="226"/>
      <c r="F3492" s="226"/>
      <c r="G3492" s="226"/>
      <c r="H3492" s="226"/>
      <c r="I3492" s="9" t="str">
        <f t="shared" si="54"/>
        <v>__</v>
      </c>
    </row>
    <row r="3493" spans="1:9" x14ac:dyDescent="0.35">
      <c r="A3493" s="226"/>
      <c r="B3493" s="226"/>
      <c r="C3493" s="226"/>
      <c r="D3493" s="226"/>
      <c r="E3493" s="226"/>
      <c r="F3493" s="226"/>
      <c r="G3493" s="226"/>
      <c r="H3493" s="226"/>
      <c r="I3493" s="9" t="str">
        <f t="shared" si="54"/>
        <v>__</v>
      </c>
    </row>
    <row r="3494" spans="1:9" x14ac:dyDescent="0.35">
      <c r="A3494" s="226"/>
      <c r="B3494" s="226"/>
      <c r="C3494" s="226"/>
      <c r="D3494" s="226"/>
      <c r="E3494" s="226"/>
      <c r="F3494" s="226"/>
      <c r="G3494" s="226"/>
      <c r="H3494" s="226"/>
      <c r="I3494" s="9" t="str">
        <f t="shared" si="54"/>
        <v>__</v>
      </c>
    </row>
    <row r="3495" spans="1:9" x14ac:dyDescent="0.35">
      <c r="A3495" s="226"/>
      <c r="B3495" s="226"/>
      <c r="C3495" s="226"/>
      <c r="D3495" s="226"/>
      <c r="E3495" s="226"/>
      <c r="F3495" s="226"/>
      <c r="G3495" s="226"/>
      <c r="H3495" s="226"/>
      <c r="I3495" s="9" t="str">
        <f t="shared" si="54"/>
        <v>__</v>
      </c>
    </row>
    <row r="3496" spans="1:9" x14ac:dyDescent="0.35">
      <c r="A3496" s="226"/>
      <c r="B3496" s="226"/>
      <c r="C3496" s="226"/>
      <c r="D3496" s="226"/>
      <c r="E3496" s="226"/>
      <c r="F3496" s="226"/>
      <c r="G3496" s="226"/>
      <c r="H3496" s="226"/>
      <c r="I3496" s="9" t="str">
        <f t="shared" si="54"/>
        <v>__</v>
      </c>
    </row>
    <row r="3497" spans="1:9" x14ac:dyDescent="0.35">
      <c r="A3497" s="226"/>
      <c r="B3497" s="226"/>
      <c r="C3497" s="226"/>
      <c r="D3497" s="226"/>
      <c r="E3497" s="226"/>
      <c r="F3497" s="226"/>
      <c r="G3497" s="226"/>
      <c r="H3497" s="226"/>
      <c r="I3497" s="9" t="str">
        <f t="shared" si="54"/>
        <v>__</v>
      </c>
    </row>
    <row r="3498" spans="1:9" x14ac:dyDescent="0.35">
      <c r="A3498" s="226"/>
      <c r="B3498" s="226"/>
      <c r="C3498" s="226"/>
      <c r="D3498" s="226"/>
      <c r="E3498" s="226"/>
      <c r="F3498" s="226"/>
      <c r="G3498" s="226"/>
      <c r="H3498" s="226"/>
      <c r="I3498" s="9" t="str">
        <f t="shared" si="54"/>
        <v>__</v>
      </c>
    </row>
    <row r="3499" spans="1:9" x14ac:dyDescent="0.35">
      <c r="A3499" s="226"/>
      <c r="B3499" s="226"/>
      <c r="C3499" s="226"/>
      <c r="D3499" s="226"/>
      <c r="E3499" s="226"/>
      <c r="F3499" s="226"/>
      <c r="G3499" s="226"/>
      <c r="H3499" s="226"/>
      <c r="I3499" s="9" t="str">
        <f t="shared" si="54"/>
        <v>__</v>
      </c>
    </row>
    <row r="3500" spans="1:9" x14ac:dyDescent="0.35">
      <c r="A3500" s="226"/>
      <c r="B3500" s="226"/>
      <c r="C3500" s="226"/>
      <c r="D3500" s="226"/>
      <c r="E3500" s="226"/>
      <c r="F3500" s="226"/>
      <c r="G3500" s="226"/>
      <c r="H3500" s="226"/>
      <c r="I3500" s="9" t="str">
        <f t="shared" si="54"/>
        <v>__</v>
      </c>
    </row>
    <row r="3501" spans="1:9" x14ac:dyDescent="0.35">
      <c r="A3501" s="226"/>
      <c r="B3501" s="226"/>
      <c r="C3501" s="226"/>
      <c r="D3501" s="226"/>
      <c r="E3501" s="226"/>
      <c r="F3501" s="226"/>
      <c r="G3501" s="226"/>
      <c r="H3501" s="226"/>
      <c r="I3501" s="9" t="str">
        <f t="shared" si="54"/>
        <v>__</v>
      </c>
    </row>
    <row r="3502" spans="1:9" x14ac:dyDescent="0.35">
      <c r="A3502" s="226"/>
      <c r="B3502" s="226"/>
      <c r="C3502" s="226"/>
      <c r="D3502" s="226"/>
      <c r="E3502" s="226"/>
      <c r="F3502" s="226"/>
      <c r="G3502" s="226"/>
      <c r="H3502" s="226"/>
      <c r="I3502" s="9" t="str">
        <f t="shared" si="54"/>
        <v>__</v>
      </c>
    </row>
    <row r="3503" spans="1:9" x14ac:dyDescent="0.35">
      <c r="A3503" s="226"/>
      <c r="B3503" s="226"/>
      <c r="C3503" s="226"/>
      <c r="D3503" s="226"/>
      <c r="E3503" s="226"/>
      <c r="F3503" s="226"/>
      <c r="G3503" s="226"/>
      <c r="H3503" s="226"/>
      <c r="I3503" s="9" t="str">
        <f t="shared" si="54"/>
        <v>__</v>
      </c>
    </row>
    <row r="3504" spans="1:9" x14ac:dyDescent="0.35">
      <c r="A3504" s="226"/>
      <c r="B3504" s="226"/>
      <c r="C3504" s="226"/>
      <c r="D3504" s="226"/>
      <c r="E3504" s="226"/>
      <c r="F3504" s="226"/>
      <c r="G3504" s="226"/>
      <c r="H3504" s="226"/>
      <c r="I3504" s="9" t="str">
        <f t="shared" si="54"/>
        <v>__</v>
      </c>
    </row>
    <row r="3505" spans="1:9" x14ac:dyDescent="0.35">
      <c r="A3505" s="226"/>
      <c r="B3505" s="226"/>
      <c r="C3505" s="226"/>
      <c r="D3505" s="226"/>
      <c r="E3505" s="226"/>
      <c r="F3505" s="226"/>
      <c r="G3505" s="226"/>
      <c r="H3505" s="226"/>
      <c r="I3505" s="9" t="str">
        <f t="shared" si="54"/>
        <v>__</v>
      </c>
    </row>
    <row r="3506" spans="1:9" x14ac:dyDescent="0.35">
      <c r="A3506" s="226"/>
      <c r="B3506" s="226"/>
      <c r="C3506" s="226"/>
      <c r="D3506" s="226"/>
      <c r="E3506" s="226"/>
      <c r="F3506" s="226"/>
      <c r="G3506" s="226"/>
      <c r="H3506" s="226"/>
      <c r="I3506" s="9" t="str">
        <f t="shared" si="54"/>
        <v>__</v>
      </c>
    </row>
    <row r="3507" spans="1:9" x14ac:dyDescent="0.35">
      <c r="A3507" s="226"/>
      <c r="B3507" s="226"/>
      <c r="C3507" s="226"/>
      <c r="D3507" s="226"/>
      <c r="E3507" s="226"/>
      <c r="F3507" s="226"/>
      <c r="G3507" s="226"/>
      <c r="H3507" s="226"/>
      <c r="I3507" s="9" t="str">
        <f t="shared" si="54"/>
        <v>__</v>
      </c>
    </row>
    <row r="3508" spans="1:9" x14ac:dyDescent="0.35">
      <c r="A3508" s="226"/>
      <c r="B3508" s="226"/>
      <c r="C3508" s="226"/>
      <c r="D3508" s="226"/>
      <c r="E3508" s="226"/>
      <c r="F3508" s="226"/>
      <c r="G3508" s="226"/>
      <c r="H3508" s="226"/>
      <c r="I3508" s="9" t="str">
        <f t="shared" si="54"/>
        <v>__</v>
      </c>
    </row>
    <row r="3509" spans="1:9" x14ac:dyDescent="0.35">
      <c r="A3509" s="226"/>
      <c r="B3509" s="226"/>
      <c r="C3509" s="226"/>
      <c r="D3509" s="226"/>
      <c r="E3509" s="226"/>
      <c r="F3509" s="226"/>
      <c r="G3509" s="226"/>
      <c r="H3509" s="226"/>
      <c r="I3509" s="9" t="str">
        <f t="shared" si="54"/>
        <v>__</v>
      </c>
    </row>
    <row r="3510" spans="1:9" x14ac:dyDescent="0.35">
      <c r="A3510" s="226"/>
      <c r="B3510" s="226"/>
      <c r="C3510" s="226"/>
      <c r="D3510" s="226"/>
      <c r="E3510" s="226"/>
      <c r="F3510" s="226"/>
      <c r="G3510" s="226"/>
      <c r="H3510" s="226"/>
      <c r="I3510" s="9" t="str">
        <f t="shared" si="54"/>
        <v>__</v>
      </c>
    </row>
    <row r="3511" spans="1:9" x14ac:dyDescent="0.35">
      <c r="A3511" s="226"/>
      <c r="B3511" s="226"/>
      <c r="C3511" s="226"/>
      <c r="D3511" s="226"/>
      <c r="E3511" s="226"/>
      <c r="F3511" s="226"/>
      <c r="G3511" s="226"/>
      <c r="H3511" s="226"/>
      <c r="I3511" s="9" t="str">
        <f t="shared" si="54"/>
        <v>__</v>
      </c>
    </row>
    <row r="3512" spans="1:9" x14ac:dyDescent="0.35">
      <c r="A3512" s="226"/>
      <c r="B3512" s="226"/>
      <c r="C3512" s="226"/>
      <c r="D3512" s="226"/>
      <c r="E3512" s="226"/>
      <c r="F3512" s="226"/>
      <c r="G3512" s="226"/>
      <c r="H3512" s="226"/>
      <c r="I3512" s="9" t="str">
        <f t="shared" si="54"/>
        <v>__</v>
      </c>
    </row>
    <row r="3513" spans="1:9" x14ac:dyDescent="0.35">
      <c r="A3513" s="226"/>
      <c r="B3513" s="226"/>
      <c r="C3513" s="226"/>
      <c r="D3513" s="226"/>
      <c r="E3513" s="226"/>
      <c r="F3513" s="226"/>
      <c r="G3513" s="226"/>
      <c r="H3513" s="226"/>
      <c r="I3513" s="9" t="str">
        <f t="shared" si="54"/>
        <v>__</v>
      </c>
    </row>
    <row r="3514" spans="1:9" x14ac:dyDescent="0.35">
      <c r="A3514" s="226"/>
      <c r="B3514" s="226"/>
      <c r="C3514" s="226"/>
      <c r="D3514" s="226"/>
      <c r="E3514" s="226"/>
      <c r="F3514" s="226"/>
      <c r="G3514" s="226"/>
      <c r="H3514" s="226"/>
      <c r="I3514" s="9" t="str">
        <f t="shared" si="54"/>
        <v>__</v>
      </c>
    </row>
    <row r="3515" spans="1:9" x14ac:dyDescent="0.35">
      <c r="A3515" s="226"/>
      <c r="B3515" s="226"/>
      <c r="C3515" s="226"/>
      <c r="D3515" s="226"/>
      <c r="E3515" s="226"/>
      <c r="F3515" s="226"/>
      <c r="G3515" s="226"/>
      <c r="H3515" s="226"/>
      <c r="I3515" s="9" t="str">
        <f t="shared" si="54"/>
        <v>__</v>
      </c>
    </row>
    <row r="3516" spans="1:9" x14ac:dyDescent="0.35">
      <c r="A3516" s="226"/>
      <c r="B3516" s="226"/>
      <c r="C3516" s="226"/>
      <c r="D3516" s="226"/>
      <c r="E3516" s="226"/>
      <c r="F3516" s="226"/>
      <c r="G3516" s="226"/>
      <c r="H3516" s="226"/>
      <c r="I3516" s="9" t="str">
        <f t="shared" si="54"/>
        <v>__</v>
      </c>
    </row>
    <row r="3517" spans="1:9" x14ac:dyDescent="0.35">
      <c r="A3517" s="226"/>
      <c r="B3517" s="226"/>
      <c r="C3517" s="226"/>
      <c r="D3517" s="226"/>
      <c r="E3517" s="226"/>
      <c r="F3517" s="226"/>
      <c r="G3517" s="226"/>
      <c r="H3517" s="226"/>
      <c r="I3517" s="9" t="str">
        <f t="shared" si="54"/>
        <v>__</v>
      </c>
    </row>
    <row r="3518" spans="1:9" x14ac:dyDescent="0.35">
      <c r="A3518" s="226"/>
      <c r="B3518" s="226"/>
      <c r="C3518" s="226"/>
      <c r="D3518" s="226"/>
      <c r="E3518" s="226"/>
      <c r="F3518" s="226"/>
      <c r="G3518" s="226"/>
      <c r="H3518" s="226"/>
      <c r="I3518" s="9" t="str">
        <f t="shared" si="54"/>
        <v>__</v>
      </c>
    </row>
    <row r="3519" spans="1:9" x14ac:dyDescent="0.35">
      <c r="A3519" s="226"/>
      <c r="B3519" s="226"/>
      <c r="C3519" s="226"/>
      <c r="D3519" s="226"/>
      <c r="E3519" s="226"/>
      <c r="F3519" s="226"/>
      <c r="G3519" s="226"/>
      <c r="H3519" s="226"/>
      <c r="I3519" s="9" t="str">
        <f t="shared" si="54"/>
        <v>__</v>
      </c>
    </row>
    <row r="3520" spans="1:9" x14ac:dyDescent="0.35">
      <c r="A3520" s="226"/>
      <c r="B3520" s="226"/>
      <c r="C3520" s="226"/>
      <c r="D3520" s="226"/>
      <c r="E3520" s="226"/>
      <c r="F3520" s="226"/>
      <c r="G3520" s="226"/>
      <c r="H3520" s="226"/>
      <c r="I3520" s="9" t="str">
        <f t="shared" si="54"/>
        <v>__</v>
      </c>
    </row>
    <row r="3521" spans="1:9" x14ac:dyDescent="0.35">
      <c r="A3521" s="226"/>
      <c r="B3521" s="226"/>
      <c r="C3521" s="226"/>
      <c r="D3521" s="226"/>
      <c r="E3521" s="226"/>
      <c r="F3521" s="226"/>
      <c r="G3521" s="226"/>
      <c r="H3521" s="226"/>
      <c r="I3521" s="9" t="str">
        <f t="shared" si="54"/>
        <v>__</v>
      </c>
    </row>
    <row r="3522" spans="1:9" x14ac:dyDescent="0.35">
      <c r="A3522" s="226"/>
      <c r="B3522" s="226"/>
      <c r="C3522" s="226"/>
      <c r="D3522" s="226"/>
      <c r="E3522" s="226"/>
      <c r="F3522" s="226"/>
      <c r="G3522" s="226"/>
      <c r="H3522" s="226"/>
      <c r="I3522" s="9" t="str">
        <f t="shared" si="54"/>
        <v>__</v>
      </c>
    </row>
    <row r="3523" spans="1:9" x14ac:dyDescent="0.35">
      <c r="A3523" s="226"/>
      <c r="B3523" s="226"/>
      <c r="C3523" s="226"/>
      <c r="D3523" s="226"/>
      <c r="E3523" s="226"/>
      <c r="F3523" s="226"/>
      <c r="G3523" s="226"/>
      <c r="H3523" s="226"/>
      <c r="I3523" s="9" t="str">
        <f t="shared" si="54"/>
        <v>__</v>
      </c>
    </row>
    <row r="3524" spans="1:9" x14ac:dyDescent="0.35">
      <c r="A3524" s="226"/>
      <c r="B3524" s="226"/>
      <c r="C3524" s="226"/>
      <c r="D3524" s="226"/>
      <c r="E3524" s="226"/>
      <c r="F3524" s="226"/>
      <c r="G3524" s="226"/>
      <c r="H3524" s="226"/>
      <c r="I3524" s="9" t="str">
        <f t="shared" si="54"/>
        <v>__</v>
      </c>
    </row>
    <row r="3525" spans="1:9" x14ac:dyDescent="0.35">
      <c r="A3525" s="226"/>
      <c r="B3525" s="226"/>
      <c r="C3525" s="226"/>
      <c r="D3525" s="226"/>
      <c r="E3525" s="226"/>
      <c r="F3525" s="226"/>
      <c r="G3525" s="226"/>
      <c r="H3525" s="226"/>
      <c r="I3525" s="9" t="str">
        <f t="shared" ref="I3525:I3588" si="55">CONCATENATE(A3525,"_",B3525,"_",C3525)</f>
        <v>__</v>
      </c>
    </row>
    <row r="3526" spans="1:9" x14ac:dyDescent="0.35">
      <c r="A3526" s="226"/>
      <c r="B3526" s="226"/>
      <c r="C3526" s="226"/>
      <c r="D3526" s="226"/>
      <c r="E3526" s="226"/>
      <c r="F3526" s="226"/>
      <c r="G3526" s="226"/>
      <c r="H3526" s="226"/>
      <c r="I3526" s="9" t="str">
        <f t="shared" si="55"/>
        <v>__</v>
      </c>
    </row>
    <row r="3527" spans="1:9" x14ac:dyDescent="0.35">
      <c r="A3527" s="226"/>
      <c r="B3527" s="226"/>
      <c r="C3527" s="226"/>
      <c r="D3527" s="226"/>
      <c r="E3527" s="226"/>
      <c r="F3527" s="226"/>
      <c r="G3527" s="226"/>
      <c r="H3527" s="226"/>
      <c r="I3527" s="9" t="str">
        <f t="shared" si="55"/>
        <v>__</v>
      </c>
    </row>
    <row r="3528" spans="1:9" x14ac:dyDescent="0.35">
      <c r="A3528" s="226"/>
      <c r="B3528" s="226"/>
      <c r="C3528" s="226"/>
      <c r="D3528" s="226"/>
      <c r="E3528" s="226"/>
      <c r="F3528" s="226"/>
      <c r="G3528" s="226"/>
      <c r="H3528" s="226"/>
      <c r="I3528" s="9" t="str">
        <f t="shared" si="55"/>
        <v>__</v>
      </c>
    </row>
    <row r="3529" spans="1:9" x14ac:dyDescent="0.35">
      <c r="A3529" s="226"/>
      <c r="B3529" s="226"/>
      <c r="C3529" s="226"/>
      <c r="D3529" s="226"/>
      <c r="E3529" s="226"/>
      <c r="F3529" s="226"/>
      <c r="G3529" s="226"/>
      <c r="H3529" s="226"/>
      <c r="I3529" s="9" t="str">
        <f t="shared" si="55"/>
        <v>__</v>
      </c>
    </row>
    <row r="3530" spans="1:9" x14ac:dyDescent="0.35">
      <c r="A3530" s="226"/>
      <c r="B3530" s="226"/>
      <c r="C3530" s="226"/>
      <c r="D3530" s="226"/>
      <c r="E3530" s="226"/>
      <c r="F3530" s="226"/>
      <c r="G3530" s="226"/>
      <c r="H3530" s="226"/>
      <c r="I3530" s="9" t="str">
        <f t="shared" si="55"/>
        <v>__</v>
      </c>
    </row>
    <row r="3531" spans="1:9" x14ac:dyDescent="0.35">
      <c r="A3531" s="226"/>
      <c r="B3531" s="226"/>
      <c r="C3531" s="226"/>
      <c r="D3531" s="226"/>
      <c r="E3531" s="226"/>
      <c r="F3531" s="226"/>
      <c r="G3531" s="226"/>
      <c r="H3531" s="226"/>
      <c r="I3531" s="9" t="str">
        <f t="shared" si="55"/>
        <v>__</v>
      </c>
    </row>
    <row r="3532" spans="1:9" x14ac:dyDescent="0.35">
      <c r="A3532" s="226"/>
      <c r="B3532" s="226"/>
      <c r="C3532" s="226"/>
      <c r="D3532" s="226"/>
      <c r="E3532" s="226"/>
      <c r="F3532" s="226"/>
      <c r="G3532" s="226"/>
      <c r="H3532" s="226"/>
      <c r="I3532" s="9" t="str">
        <f t="shared" si="55"/>
        <v>__</v>
      </c>
    </row>
    <row r="3533" spans="1:9" x14ac:dyDescent="0.35">
      <c r="A3533" s="226"/>
      <c r="B3533" s="226"/>
      <c r="C3533" s="226"/>
      <c r="D3533" s="226"/>
      <c r="E3533" s="226"/>
      <c r="F3533" s="226"/>
      <c r="G3533" s="226"/>
      <c r="H3533" s="226"/>
      <c r="I3533" s="9" t="str">
        <f t="shared" si="55"/>
        <v>__</v>
      </c>
    </row>
    <row r="3534" spans="1:9" x14ac:dyDescent="0.35">
      <c r="A3534" s="226"/>
      <c r="B3534" s="226"/>
      <c r="C3534" s="226"/>
      <c r="D3534" s="226"/>
      <c r="E3534" s="226"/>
      <c r="F3534" s="226"/>
      <c r="G3534" s="226"/>
      <c r="H3534" s="226"/>
      <c r="I3534" s="9" t="str">
        <f t="shared" si="55"/>
        <v>__</v>
      </c>
    </row>
    <row r="3535" spans="1:9" x14ac:dyDescent="0.35">
      <c r="A3535" s="226"/>
      <c r="B3535" s="226"/>
      <c r="C3535" s="226"/>
      <c r="D3535" s="226"/>
      <c r="E3535" s="226"/>
      <c r="F3535" s="226"/>
      <c r="G3535" s="226"/>
      <c r="H3535" s="226"/>
      <c r="I3535" s="9" t="str">
        <f t="shared" si="55"/>
        <v>__</v>
      </c>
    </row>
    <row r="3536" spans="1:9" x14ac:dyDescent="0.35">
      <c r="A3536" s="226"/>
      <c r="B3536" s="226"/>
      <c r="C3536" s="226"/>
      <c r="D3536" s="226"/>
      <c r="E3536" s="226"/>
      <c r="F3536" s="226"/>
      <c r="G3536" s="226"/>
      <c r="H3536" s="226"/>
      <c r="I3536" s="9" t="str">
        <f t="shared" si="55"/>
        <v>__</v>
      </c>
    </row>
    <row r="3537" spans="1:9" x14ac:dyDescent="0.35">
      <c r="A3537" s="226"/>
      <c r="B3537" s="226"/>
      <c r="C3537" s="226"/>
      <c r="D3537" s="226"/>
      <c r="E3537" s="226"/>
      <c r="F3537" s="226"/>
      <c r="G3537" s="226"/>
      <c r="H3537" s="226"/>
      <c r="I3537" s="9" t="str">
        <f t="shared" si="55"/>
        <v>__</v>
      </c>
    </row>
    <row r="3538" spans="1:9" x14ac:dyDescent="0.35">
      <c r="A3538" s="226"/>
      <c r="B3538" s="226"/>
      <c r="C3538" s="226"/>
      <c r="D3538" s="226"/>
      <c r="E3538" s="226"/>
      <c r="F3538" s="226"/>
      <c r="G3538" s="226"/>
      <c r="H3538" s="226"/>
      <c r="I3538" s="9" t="str">
        <f t="shared" si="55"/>
        <v>__</v>
      </c>
    </row>
    <row r="3539" spans="1:9" x14ac:dyDescent="0.35">
      <c r="A3539" s="226"/>
      <c r="B3539" s="226"/>
      <c r="C3539" s="226"/>
      <c r="D3539" s="226"/>
      <c r="E3539" s="226"/>
      <c r="F3539" s="226"/>
      <c r="G3539" s="226"/>
      <c r="H3539" s="226"/>
      <c r="I3539" s="9" t="str">
        <f t="shared" si="55"/>
        <v>__</v>
      </c>
    </row>
    <row r="3540" spans="1:9" x14ac:dyDescent="0.35">
      <c r="A3540" s="226"/>
      <c r="B3540" s="226"/>
      <c r="C3540" s="226"/>
      <c r="D3540" s="226"/>
      <c r="E3540" s="226"/>
      <c r="F3540" s="226"/>
      <c r="G3540" s="226"/>
      <c r="H3540" s="226"/>
      <c r="I3540" s="9" t="str">
        <f t="shared" si="55"/>
        <v>__</v>
      </c>
    </row>
    <row r="3541" spans="1:9" x14ac:dyDescent="0.35">
      <c r="A3541" s="226"/>
      <c r="B3541" s="226"/>
      <c r="C3541" s="226"/>
      <c r="D3541" s="226"/>
      <c r="E3541" s="226"/>
      <c r="F3541" s="226"/>
      <c r="G3541" s="226"/>
      <c r="H3541" s="226"/>
      <c r="I3541" s="9" t="str">
        <f t="shared" si="55"/>
        <v>__</v>
      </c>
    </row>
    <row r="3542" spans="1:9" x14ac:dyDescent="0.35">
      <c r="A3542" s="226"/>
      <c r="B3542" s="226"/>
      <c r="C3542" s="226"/>
      <c r="D3542" s="226"/>
      <c r="E3542" s="226"/>
      <c r="F3542" s="226"/>
      <c r="G3542" s="226"/>
      <c r="H3542" s="226"/>
      <c r="I3542" s="9" t="str">
        <f t="shared" si="55"/>
        <v>__</v>
      </c>
    </row>
    <row r="3543" spans="1:9" x14ac:dyDescent="0.35">
      <c r="A3543" s="226"/>
      <c r="B3543" s="226"/>
      <c r="C3543" s="226"/>
      <c r="D3543" s="226"/>
      <c r="E3543" s="226"/>
      <c r="F3543" s="226"/>
      <c r="G3543" s="226"/>
      <c r="H3543" s="226"/>
      <c r="I3543" s="9" t="str">
        <f t="shared" si="55"/>
        <v>__</v>
      </c>
    </row>
    <row r="3544" spans="1:9" x14ac:dyDescent="0.35">
      <c r="A3544" s="226"/>
      <c r="B3544" s="226"/>
      <c r="C3544" s="226"/>
      <c r="D3544" s="226"/>
      <c r="E3544" s="226"/>
      <c r="F3544" s="226"/>
      <c r="G3544" s="226"/>
      <c r="H3544" s="226"/>
      <c r="I3544" s="9" t="str">
        <f t="shared" si="55"/>
        <v>__</v>
      </c>
    </row>
    <row r="3545" spans="1:9" x14ac:dyDescent="0.35">
      <c r="A3545" s="226"/>
      <c r="B3545" s="226"/>
      <c r="C3545" s="226"/>
      <c r="D3545" s="226"/>
      <c r="E3545" s="226"/>
      <c r="F3545" s="226"/>
      <c r="G3545" s="226"/>
      <c r="H3545" s="226"/>
      <c r="I3545" s="9" t="str">
        <f t="shared" si="55"/>
        <v>__</v>
      </c>
    </row>
    <row r="3546" spans="1:9" x14ac:dyDescent="0.35">
      <c r="A3546" s="226"/>
      <c r="B3546" s="226"/>
      <c r="C3546" s="226"/>
      <c r="D3546" s="226"/>
      <c r="E3546" s="226"/>
      <c r="F3546" s="226"/>
      <c r="G3546" s="226"/>
      <c r="H3546" s="226"/>
      <c r="I3546" s="9" t="str">
        <f t="shared" si="55"/>
        <v>__</v>
      </c>
    </row>
    <row r="3547" spans="1:9" x14ac:dyDescent="0.35">
      <c r="A3547" s="226"/>
      <c r="B3547" s="226"/>
      <c r="C3547" s="226"/>
      <c r="D3547" s="226"/>
      <c r="E3547" s="226"/>
      <c r="F3547" s="226"/>
      <c r="G3547" s="226"/>
      <c r="H3547" s="226"/>
      <c r="I3547" s="9" t="str">
        <f t="shared" si="55"/>
        <v>__</v>
      </c>
    </row>
    <row r="3548" spans="1:9" x14ac:dyDescent="0.35">
      <c r="A3548" s="226"/>
      <c r="B3548" s="226"/>
      <c r="C3548" s="226"/>
      <c r="D3548" s="226"/>
      <c r="E3548" s="226"/>
      <c r="F3548" s="226"/>
      <c r="G3548" s="226"/>
      <c r="H3548" s="226"/>
      <c r="I3548" s="9" t="str">
        <f t="shared" si="55"/>
        <v>__</v>
      </c>
    </row>
    <row r="3549" spans="1:9" x14ac:dyDescent="0.35">
      <c r="A3549" s="226"/>
      <c r="B3549" s="226"/>
      <c r="C3549" s="226"/>
      <c r="D3549" s="226"/>
      <c r="E3549" s="226"/>
      <c r="F3549" s="226"/>
      <c r="G3549" s="226"/>
      <c r="H3549" s="226"/>
      <c r="I3549" s="9" t="str">
        <f t="shared" si="55"/>
        <v>__</v>
      </c>
    </row>
    <row r="3550" spans="1:9" x14ac:dyDescent="0.35">
      <c r="A3550" s="226"/>
      <c r="B3550" s="226"/>
      <c r="C3550" s="226"/>
      <c r="D3550" s="226"/>
      <c r="E3550" s="226"/>
      <c r="F3550" s="226"/>
      <c r="G3550" s="226"/>
      <c r="H3550" s="226"/>
      <c r="I3550" s="9" t="str">
        <f t="shared" si="55"/>
        <v>__</v>
      </c>
    </row>
    <row r="3551" spans="1:9" x14ac:dyDescent="0.35">
      <c r="A3551" s="226"/>
      <c r="B3551" s="226"/>
      <c r="C3551" s="226"/>
      <c r="D3551" s="226"/>
      <c r="E3551" s="226"/>
      <c r="F3551" s="226"/>
      <c r="G3551" s="226"/>
      <c r="H3551" s="226"/>
      <c r="I3551" s="9" t="str">
        <f t="shared" si="55"/>
        <v>__</v>
      </c>
    </row>
    <row r="3552" spans="1:9" x14ac:dyDescent="0.35">
      <c r="A3552" s="226"/>
      <c r="B3552" s="226"/>
      <c r="C3552" s="226"/>
      <c r="D3552" s="226"/>
      <c r="E3552" s="226"/>
      <c r="F3552" s="226"/>
      <c r="G3552" s="226"/>
      <c r="H3552" s="226"/>
      <c r="I3552" s="9" t="str">
        <f t="shared" si="55"/>
        <v>__</v>
      </c>
    </row>
    <row r="3553" spans="1:9" x14ac:dyDescent="0.35">
      <c r="A3553" s="226"/>
      <c r="B3553" s="226"/>
      <c r="C3553" s="226"/>
      <c r="D3553" s="226"/>
      <c r="E3553" s="226"/>
      <c r="F3553" s="226"/>
      <c r="G3553" s="226"/>
      <c r="H3553" s="226"/>
      <c r="I3553" s="9" t="str">
        <f t="shared" si="55"/>
        <v>__</v>
      </c>
    </row>
    <row r="3554" spans="1:9" x14ac:dyDescent="0.35">
      <c r="A3554" s="226"/>
      <c r="B3554" s="226"/>
      <c r="C3554" s="226"/>
      <c r="D3554" s="226"/>
      <c r="E3554" s="226"/>
      <c r="F3554" s="226"/>
      <c r="G3554" s="226"/>
      <c r="H3554" s="226"/>
      <c r="I3554" s="9" t="str">
        <f t="shared" si="55"/>
        <v>__</v>
      </c>
    </row>
    <row r="3555" spans="1:9" x14ac:dyDescent="0.35">
      <c r="A3555" s="226"/>
      <c r="B3555" s="226"/>
      <c r="C3555" s="226"/>
      <c r="D3555" s="226"/>
      <c r="E3555" s="226"/>
      <c r="F3555" s="226"/>
      <c r="G3555" s="226"/>
      <c r="H3555" s="226"/>
      <c r="I3555" s="9" t="str">
        <f t="shared" si="55"/>
        <v>__</v>
      </c>
    </row>
    <row r="3556" spans="1:9" x14ac:dyDescent="0.35">
      <c r="A3556" s="226"/>
      <c r="B3556" s="226"/>
      <c r="C3556" s="226"/>
      <c r="D3556" s="226"/>
      <c r="E3556" s="226"/>
      <c r="F3556" s="226"/>
      <c r="G3556" s="226"/>
      <c r="H3556" s="226"/>
      <c r="I3556" s="9" t="str">
        <f t="shared" si="55"/>
        <v>__</v>
      </c>
    </row>
    <row r="3557" spans="1:9" x14ac:dyDescent="0.35">
      <c r="A3557" s="226"/>
      <c r="B3557" s="226"/>
      <c r="C3557" s="226"/>
      <c r="D3557" s="226"/>
      <c r="E3557" s="226"/>
      <c r="F3557" s="226"/>
      <c r="G3557" s="226"/>
      <c r="H3557" s="226"/>
      <c r="I3557" s="9" t="str">
        <f t="shared" si="55"/>
        <v>__</v>
      </c>
    </row>
    <row r="3558" spans="1:9" x14ac:dyDescent="0.35">
      <c r="A3558" s="226"/>
      <c r="B3558" s="226"/>
      <c r="C3558" s="226"/>
      <c r="D3558" s="226"/>
      <c r="E3558" s="226"/>
      <c r="F3558" s="226"/>
      <c r="G3558" s="226"/>
      <c r="H3558" s="226"/>
      <c r="I3558" s="9" t="str">
        <f t="shared" si="55"/>
        <v>__</v>
      </c>
    </row>
    <row r="3559" spans="1:9" x14ac:dyDescent="0.35">
      <c r="A3559" s="226"/>
      <c r="B3559" s="226"/>
      <c r="C3559" s="226"/>
      <c r="D3559" s="226"/>
      <c r="E3559" s="226"/>
      <c r="F3559" s="226"/>
      <c r="G3559" s="226"/>
      <c r="H3559" s="226"/>
      <c r="I3559" s="9" t="str">
        <f t="shared" si="55"/>
        <v>__</v>
      </c>
    </row>
    <row r="3560" spans="1:9" x14ac:dyDescent="0.35">
      <c r="A3560" s="226"/>
      <c r="B3560" s="226"/>
      <c r="C3560" s="226"/>
      <c r="D3560" s="226"/>
      <c r="E3560" s="226"/>
      <c r="F3560" s="226"/>
      <c r="G3560" s="226"/>
      <c r="H3560" s="226"/>
      <c r="I3560" s="9" t="str">
        <f t="shared" si="55"/>
        <v>__</v>
      </c>
    </row>
    <row r="3561" spans="1:9" x14ac:dyDescent="0.35">
      <c r="A3561" s="226"/>
      <c r="B3561" s="226"/>
      <c r="C3561" s="226"/>
      <c r="D3561" s="226"/>
      <c r="E3561" s="226"/>
      <c r="F3561" s="226"/>
      <c r="G3561" s="226"/>
      <c r="H3561" s="226"/>
      <c r="I3561" s="9" t="str">
        <f t="shared" si="55"/>
        <v>__</v>
      </c>
    </row>
    <row r="3562" spans="1:9" x14ac:dyDescent="0.35">
      <c r="A3562" s="226"/>
      <c r="B3562" s="226"/>
      <c r="C3562" s="226"/>
      <c r="D3562" s="226"/>
      <c r="E3562" s="226"/>
      <c r="F3562" s="226"/>
      <c r="G3562" s="226"/>
      <c r="H3562" s="226"/>
      <c r="I3562" s="9" t="str">
        <f t="shared" si="55"/>
        <v>__</v>
      </c>
    </row>
    <row r="3563" spans="1:9" x14ac:dyDescent="0.35">
      <c r="A3563" s="226"/>
      <c r="B3563" s="226"/>
      <c r="C3563" s="226"/>
      <c r="D3563" s="226"/>
      <c r="E3563" s="226"/>
      <c r="F3563" s="226"/>
      <c r="G3563" s="226"/>
      <c r="H3563" s="226"/>
      <c r="I3563" s="9" t="str">
        <f t="shared" si="55"/>
        <v>__</v>
      </c>
    </row>
    <row r="3564" spans="1:9" x14ac:dyDescent="0.35">
      <c r="A3564" s="226"/>
      <c r="B3564" s="226"/>
      <c r="C3564" s="226"/>
      <c r="D3564" s="226"/>
      <c r="E3564" s="226"/>
      <c r="F3564" s="226"/>
      <c r="G3564" s="226"/>
      <c r="H3564" s="226"/>
      <c r="I3564" s="9" t="str">
        <f t="shared" si="55"/>
        <v>__</v>
      </c>
    </row>
    <row r="3565" spans="1:9" x14ac:dyDescent="0.35">
      <c r="A3565" s="226"/>
      <c r="B3565" s="226"/>
      <c r="C3565" s="226"/>
      <c r="D3565" s="226"/>
      <c r="E3565" s="226"/>
      <c r="F3565" s="226"/>
      <c r="G3565" s="226"/>
      <c r="H3565" s="226"/>
      <c r="I3565" s="9" t="str">
        <f t="shared" si="55"/>
        <v>__</v>
      </c>
    </row>
    <row r="3566" spans="1:9" x14ac:dyDescent="0.35">
      <c r="A3566" s="226"/>
      <c r="B3566" s="226"/>
      <c r="C3566" s="226"/>
      <c r="D3566" s="226"/>
      <c r="E3566" s="226"/>
      <c r="F3566" s="226"/>
      <c r="G3566" s="226"/>
      <c r="H3566" s="226"/>
      <c r="I3566" s="9" t="str">
        <f t="shared" si="55"/>
        <v>__</v>
      </c>
    </row>
    <row r="3567" spans="1:9" x14ac:dyDescent="0.35">
      <c r="A3567" s="226"/>
      <c r="B3567" s="226"/>
      <c r="C3567" s="226"/>
      <c r="D3567" s="226"/>
      <c r="E3567" s="226"/>
      <c r="F3567" s="226"/>
      <c r="G3567" s="226"/>
      <c r="H3567" s="226"/>
      <c r="I3567" s="9" t="str">
        <f t="shared" si="55"/>
        <v>__</v>
      </c>
    </row>
    <row r="3568" spans="1:9" x14ac:dyDescent="0.35">
      <c r="A3568" s="226"/>
      <c r="B3568" s="226"/>
      <c r="C3568" s="226"/>
      <c r="D3568" s="226"/>
      <c r="E3568" s="226"/>
      <c r="F3568" s="226"/>
      <c r="G3568" s="226"/>
      <c r="H3568" s="226"/>
      <c r="I3568" s="9" t="str">
        <f t="shared" si="55"/>
        <v>__</v>
      </c>
    </row>
    <row r="3569" spans="1:9" x14ac:dyDescent="0.35">
      <c r="A3569" s="226"/>
      <c r="B3569" s="226"/>
      <c r="C3569" s="226"/>
      <c r="D3569" s="226"/>
      <c r="E3569" s="226"/>
      <c r="F3569" s="226"/>
      <c r="G3569" s="226"/>
      <c r="H3569" s="226"/>
      <c r="I3569" s="9" t="str">
        <f t="shared" si="55"/>
        <v>__</v>
      </c>
    </row>
    <row r="3570" spans="1:9" x14ac:dyDescent="0.35">
      <c r="A3570" s="226"/>
      <c r="B3570" s="226"/>
      <c r="C3570" s="226"/>
      <c r="D3570" s="226"/>
      <c r="E3570" s="226"/>
      <c r="F3570" s="226"/>
      <c r="G3570" s="226"/>
      <c r="H3570" s="226"/>
      <c r="I3570" s="9" t="str">
        <f t="shared" si="55"/>
        <v>__</v>
      </c>
    </row>
    <row r="3571" spans="1:9" x14ac:dyDescent="0.35">
      <c r="A3571" s="226"/>
      <c r="B3571" s="226"/>
      <c r="C3571" s="226"/>
      <c r="D3571" s="226"/>
      <c r="E3571" s="226"/>
      <c r="F3571" s="226"/>
      <c r="G3571" s="226"/>
      <c r="H3571" s="226"/>
      <c r="I3571" s="9" t="str">
        <f t="shared" si="55"/>
        <v>__</v>
      </c>
    </row>
    <row r="3572" spans="1:9" x14ac:dyDescent="0.35">
      <c r="A3572" s="226"/>
      <c r="B3572" s="226"/>
      <c r="C3572" s="226"/>
      <c r="D3572" s="226"/>
      <c r="E3572" s="226"/>
      <c r="F3572" s="226"/>
      <c r="G3572" s="226"/>
      <c r="H3572" s="226"/>
      <c r="I3572" s="9" t="str">
        <f t="shared" si="55"/>
        <v>__</v>
      </c>
    </row>
    <row r="3573" spans="1:9" x14ac:dyDescent="0.35">
      <c r="A3573" s="226"/>
      <c r="B3573" s="226"/>
      <c r="C3573" s="226"/>
      <c r="D3573" s="226"/>
      <c r="E3573" s="226"/>
      <c r="F3573" s="226"/>
      <c r="G3573" s="226"/>
      <c r="H3573" s="226"/>
      <c r="I3573" s="9" t="str">
        <f t="shared" si="55"/>
        <v>__</v>
      </c>
    </row>
    <row r="3574" spans="1:9" x14ac:dyDescent="0.35">
      <c r="A3574" s="226"/>
      <c r="B3574" s="226"/>
      <c r="C3574" s="226"/>
      <c r="D3574" s="226"/>
      <c r="E3574" s="226"/>
      <c r="F3574" s="226"/>
      <c r="G3574" s="226"/>
      <c r="H3574" s="226"/>
      <c r="I3574" s="9" t="str">
        <f t="shared" si="55"/>
        <v>__</v>
      </c>
    </row>
    <row r="3575" spans="1:9" x14ac:dyDescent="0.35">
      <c r="A3575" s="226"/>
      <c r="B3575" s="226"/>
      <c r="C3575" s="226"/>
      <c r="D3575" s="226"/>
      <c r="E3575" s="226"/>
      <c r="F3575" s="226"/>
      <c r="G3575" s="226"/>
      <c r="H3575" s="226"/>
      <c r="I3575" s="9" t="str">
        <f t="shared" si="55"/>
        <v>__</v>
      </c>
    </row>
    <row r="3576" spans="1:9" x14ac:dyDescent="0.35">
      <c r="A3576" s="226"/>
      <c r="B3576" s="226"/>
      <c r="C3576" s="226"/>
      <c r="D3576" s="226"/>
      <c r="E3576" s="226"/>
      <c r="F3576" s="226"/>
      <c r="G3576" s="226"/>
      <c r="H3576" s="226"/>
      <c r="I3576" s="9" t="str">
        <f t="shared" si="55"/>
        <v>__</v>
      </c>
    </row>
    <row r="3577" spans="1:9" x14ac:dyDescent="0.35">
      <c r="A3577" s="226"/>
      <c r="B3577" s="226"/>
      <c r="C3577" s="226"/>
      <c r="D3577" s="226"/>
      <c r="E3577" s="226"/>
      <c r="F3577" s="226"/>
      <c r="G3577" s="226"/>
      <c r="H3577" s="226"/>
      <c r="I3577" s="9" t="str">
        <f t="shared" si="55"/>
        <v>__</v>
      </c>
    </row>
    <row r="3578" spans="1:9" x14ac:dyDescent="0.35">
      <c r="A3578" s="226"/>
      <c r="B3578" s="226"/>
      <c r="C3578" s="226"/>
      <c r="D3578" s="226"/>
      <c r="E3578" s="226"/>
      <c r="F3578" s="226"/>
      <c r="G3578" s="226"/>
      <c r="H3578" s="226"/>
      <c r="I3578" s="9" t="str">
        <f t="shared" si="55"/>
        <v>__</v>
      </c>
    </row>
    <row r="3579" spans="1:9" x14ac:dyDescent="0.35">
      <c r="A3579" s="226"/>
      <c r="B3579" s="226"/>
      <c r="C3579" s="226"/>
      <c r="D3579" s="226"/>
      <c r="E3579" s="226"/>
      <c r="F3579" s="226"/>
      <c r="G3579" s="226"/>
      <c r="H3579" s="226"/>
      <c r="I3579" s="9" t="str">
        <f t="shared" si="55"/>
        <v>__</v>
      </c>
    </row>
    <row r="3580" spans="1:9" x14ac:dyDescent="0.35">
      <c r="A3580" s="226"/>
      <c r="B3580" s="226"/>
      <c r="C3580" s="226"/>
      <c r="D3580" s="226"/>
      <c r="E3580" s="226"/>
      <c r="F3580" s="226"/>
      <c r="G3580" s="226"/>
      <c r="H3580" s="226"/>
      <c r="I3580" s="9" t="str">
        <f t="shared" si="55"/>
        <v>__</v>
      </c>
    </row>
    <row r="3581" spans="1:9" x14ac:dyDescent="0.35">
      <c r="A3581" s="226"/>
      <c r="B3581" s="226"/>
      <c r="C3581" s="226"/>
      <c r="D3581" s="226"/>
      <c r="E3581" s="226"/>
      <c r="F3581" s="226"/>
      <c r="G3581" s="226"/>
      <c r="H3581" s="226"/>
      <c r="I3581" s="9" t="str">
        <f t="shared" si="55"/>
        <v>__</v>
      </c>
    </row>
    <row r="3582" spans="1:9" x14ac:dyDescent="0.35">
      <c r="A3582" s="226"/>
      <c r="B3582" s="226"/>
      <c r="C3582" s="226"/>
      <c r="D3582" s="226"/>
      <c r="E3582" s="226"/>
      <c r="F3582" s="226"/>
      <c r="G3582" s="226"/>
      <c r="H3582" s="226"/>
      <c r="I3582" s="9" t="str">
        <f t="shared" si="55"/>
        <v>__</v>
      </c>
    </row>
    <row r="3583" spans="1:9" x14ac:dyDescent="0.35">
      <c r="A3583" s="226"/>
      <c r="B3583" s="226"/>
      <c r="C3583" s="226"/>
      <c r="D3583" s="226"/>
      <c r="E3583" s="226"/>
      <c r="F3583" s="226"/>
      <c r="G3583" s="226"/>
      <c r="H3583" s="226"/>
      <c r="I3583" s="9" t="str">
        <f t="shared" si="55"/>
        <v>__</v>
      </c>
    </row>
    <row r="3584" spans="1:9" x14ac:dyDescent="0.35">
      <c r="A3584" s="226"/>
      <c r="B3584" s="226"/>
      <c r="C3584" s="226"/>
      <c r="D3584" s="226"/>
      <c r="E3584" s="226"/>
      <c r="F3584" s="226"/>
      <c r="G3584" s="226"/>
      <c r="H3584" s="226"/>
      <c r="I3584" s="9" t="str">
        <f t="shared" si="55"/>
        <v>__</v>
      </c>
    </row>
    <row r="3585" spans="1:9" x14ac:dyDescent="0.35">
      <c r="A3585" s="226"/>
      <c r="B3585" s="226"/>
      <c r="C3585" s="226"/>
      <c r="D3585" s="226"/>
      <c r="E3585" s="226"/>
      <c r="F3585" s="226"/>
      <c r="G3585" s="226"/>
      <c r="H3585" s="226"/>
      <c r="I3585" s="9" t="str">
        <f t="shared" si="55"/>
        <v>__</v>
      </c>
    </row>
    <row r="3586" spans="1:9" x14ac:dyDescent="0.35">
      <c r="A3586" s="226"/>
      <c r="B3586" s="226"/>
      <c r="C3586" s="226"/>
      <c r="D3586" s="226"/>
      <c r="E3586" s="226"/>
      <c r="F3586" s="226"/>
      <c r="G3586" s="226"/>
      <c r="H3586" s="226"/>
      <c r="I3586" s="9" t="str">
        <f t="shared" si="55"/>
        <v>__</v>
      </c>
    </row>
    <row r="3587" spans="1:9" x14ac:dyDescent="0.35">
      <c r="A3587" s="226"/>
      <c r="B3587" s="226"/>
      <c r="C3587" s="226"/>
      <c r="D3587" s="226"/>
      <c r="E3587" s="226"/>
      <c r="F3587" s="226"/>
      <c r="G3587" s="226"/>
      <c r="H3587" s="226"/>
      <c r="I3587" s="9" t="str">
        <f t="shared" si="55"/>
        <v>__</v>
      </c>
    </row>
    <row r="3588" spans="1:9" x14ac:dyDescent="0.35">
      <c r="A3588" s="226"/>
      <c r="B3588" s="226"/>
      <c r="C3588" s="226"/>
      <c r="D3588" s="226"/>
      <c r="E3588" s="226"/>
      <c r="F3588" s="226"/>
      <c r="G3588" s="226"/>
      <c r="H3588" s="226"/>
      <c r="I3588" s="9" t="str">
        <f t="shared" si="55"/>
        <v>__</v>
      </c>
    </row>
    <row r="3589" spans="1:9" x14ac:dyDescent="0.35">
      <c r="A3589" s="226"/>
      <c r="B3589" s="226"/>
      <c r="C3589" s="226"/>
      <c r="D3589" s="226"/>
      <c r="E3589" s="226"/>
      <c r="F3589" s="226"/>
      <c r="G3589" s="226"/>
      <c r="H3589" s="226"/>
      <c r="I3589" s="9" t="str">
        <f t="shared" ref="I3589:I3652" si="56">CONCATENATE(A3589,"_",B3589,"_",C3589)</f>
        <v>__</v>
      </c>
    </row>
    <row r="3590" spans="1:9" x14ac:dyDescent="0.35">
      <c r="A3590" s="226"/>
      <c r="B3590" s="226"/>
      <c r="C3590" s="226"/>
      <c r="D3590" s="226"/>
      <c r="E3590" s="226"/>
      <c r="F3590" s="226"/>
      <c r="G3590" s="226"/>
      <c r="H3590" s="226"/>
      <c r="I3590" s="9" t="str">
        <f t="shared" si="56"/>
        <v>__</v>
      </c>
    </row>
    <row r="3591" spans="1:9" x14ac:dyDescent="0.35">
      <c r="A3591" s="226"/>
      <c r="B3591" s="226"/>
      <c r="C3591" s="226"/>
      <c r="D3591" s="226"/>
      <c r="E3591" s="226"/>
      <c r="F3591" s="226"/>
      <c r="G3591" s="226"/>
      <c r="H3591" s="226"/>
      <c r="I3591" s="9" t="str">
        <f t="shared" si="56"/>
        <v>__</v>
      </c>
    </row>
    <row r="3592" spans="1:9" x14ac:dyDescent="0.35">
      <c r="A3592" s="226"/>
      <c r="B3592" s="226"/>
      <c r="C3592" s="226"/>
      <c r="D3592" s="226"/>
      <c r="E3592" s="226"/>
      <c r="F3592" s="226"/>
      <c r="G3592" s="226"/>
      <c r="H3592" s="226"/>
      <c r="I3592" s="9" t="str">
        <f t="shared" si="56"/>
        <v>__</v>
      </c>
    </row>
    <row r="3593" spans="1:9" x14ac:dyDescent="0.35">
      <c r="A3593" s="226"/>
      <c r="B3593" s="226"/>
      <c r="C3593" s="226"/>
      <c r="D3593" s="226"/>
      <c r="E3593" s="226"/>
      <c r="F3593" s="226"/>
      <c r="G3593" s="226"/>
      <c r="H3593" s="226"/>
      <c r="I3593" s="9" t="str">
        <f t="shared" si="56"/>
        <v>__</v>
      </c>
    </row>
    <row r="3594" spans="1:9" x14ac:dyDescent="0.35">
      <c r="A3594" s="226"/>
      <c r="B3594" s="226"/>
      <c r="C3594" s="226"/>
      <c r="D3594" s="226"/>
      <c r="E3594" s="226"/>
      <c r="F3594" s="226"/>
      <c r="G3594" s="226"/>
      <c r="H3594" s="226"/>
      <c r="I3594" s="9" t="str">
        <f t="shared" si="56"/>
        <v>__</v>
      </c>
    </row>
    <row r="3595" spans="1:9" x14ac:dyDescent="0.35">
      <c r="A3595" s="226"/>
      <c r="B3595" s="226"/>
      <c r="C3595" s="226"/>
      <c r="D3595" s="226"/>
      <c r="E3595" s="226"/>
      <c r="F3595" s="226"/>
      <c r="G3595" s="226"/>
      <c r="H3595" s="226"/>
      <c r="I3595" s="9" t="str">
        <f t="shared" si="56"/>
        <v>__</v>
      </c>
    </row>
    <row r="3596" spans="1:9" x14ac:dyDescent="0.35">
      <c r="A3596" s="226"/>
      <c r="B3596" s="226"/>
      <c r="C3596" s="226"/>
      <c r="D3596" s="226"/>
      <c r="E3596" s="226"/>
      <c r="F3596" s="226"/>
      <c r="G3596" s="226"/>
      <c r="H3596" s="226"/>
      <c r="I3596" s="9" t="str">
        <f t="shared" si="56"/>
        <v>__</v>
      </c>
    </row>
    <row r="3597" spans="1:9" x14ac:dyDescent="0.35">
      <c r="A3597" s="226"/>
      <c r="B3597" s="226"/>
      <c r="C3597" s="226"/>
      <c r="D3597" s="226"/>
      <c r="E3597" s="226"/>
      <c r="F3597" s="226"/>
      <c r="G3597" s="226"/>
      <c r="H3597" s="226"/>
      <c r="I3597" s="9" t="str">
        <f t="shared" si="56"/>
        <v>__</v>
      </c>
    </row>
    <row r="3598" spans="1:9" x14ac:dyDescent="0.35">
      <c r="A3598" s="226"/>
      <c r="B3598" s="226"/>
      <c r="C3598" s="226"/>
      <c r="D3598" s="226"/>
      <c r="E3598" s="226"/>
      <c r="F3598" s="226"/>
      <c r="G3598" s="226"/>
      <c r="H3598" s="226"/>
      <c r="I3598" s="9" t="str">
        <f t="shared" si="56"/>
        <v>__</v>
      </c>
    </row>
    <row r="3599" spans="1:9" x14ac:dyDescent="0.35">
      <c r="A3599" s="226"/>
      <c r="B3599" s="226"/>
      <c r="C3599" s="226"/>
      <c r="D3599" s="226"/>
      <c r="E3599" s="226"/>
      <c r="F3599" s="226"/>
      <c r="G3599" s="226"/>
      <c r="H3599" s="226"/>
      <c r="I3599" s="9" t="str">
        <f t="shared" si="56"/>
        <v>__</v>
      </c>
    </row>
    <row r="3600" spans="1:9" x14ac:dyDescent="0.35">
      <c r="A3600" s="226"/>
      <c r="B3600" s="226"/>
      <c r="C3600" s="226"/>
      <c r="D3600" s="226"/>
      <c r="E3600" s="226"/>
      <c r="F3600" s="226"/>
      <c r="G3600" s="226"/>
      <c r="H3600" s="226"/>
      <c r="I3600" s="9" t="str">
        <f t="shared" si="56"/>
        <v>__</v>
      </c>
    </row>
    <row r="3601" spans="1:9" x14ac:dyDescent="0.35">
      <c r="A3601" s="226"/>
      <c r="B3601" s="226"/>
      <c r="C3601" s="226"/>
      <c r="D3601" s="226"/>
      <c r="E3601" s="226"/>
      <c r="F3601" s="226"/>
      <c r="G3601" s="226"/>
      <c r="H3601" s="226"/>
      <c r="I3601" s="9" t="str">
        <f t="shared" si="56"/>
        <v>__</v>
      </c>
    </row>
    <row r="3602" spans="1:9" x14ac:dyDescent="0.35">
      <c r="A3602" s="226"/>
      <c r="B3602" s="226"/>
      <c r="C3602" s="226"/>
      <c r="D3602" s="226"/>
      <c r="E3602" s="226"/>
      <c r="F3602" s="226"/>
      <c r="G3602" s="226"/>
      <c r="H3602" s="226"/>
      <c r="I3602" s="9" t="str">
        <f t="shared" si="56"/>
        <v>__</v>
      </c>
    </row>
    <row r="3603" spans="1:9" x14ac:dyDescent="0.35">
      <c r="A3603" s="226"/>
      <c r="B3603" s="226"/>
      <c r="C3603" s="226"/>
      <c r="D3603" s="226"/>
      <c r="E3603" s="226"/>
      <c r="F3603" s="226"/>
      <c r="G3603" s="226"/>
      <c r="H3603" s="226"/>
      <c r="I3603" s="9" t="str">
        <f t="shared" si="56"/>
        <v>__</v>
      </c>
    </row>
    <row r="3604" spans="1:9" x14ac:dyDescent="0.35">
      <c r="A3604" s="226"/>
      <c r="B3604" s="226"/>
      <c r="C3604" s="226"/>
      <c r="D3604" s="226"/>
      <c r="E3604" s="226"/>
      <c r="F3604" s="226"/>
      <c r="G3604" s="226"/>
      <c r="H3604" s="226"/>
      <c r="I3604" s="9" t="str">
        <f t="shared" si="56"/>
        <v>__</v>
      </c>
    </row>
    <row r="3605" spans="1:9" x14ac:dyDescent="0.35">
      <c r="A3605" s="226"/>
      <c r="B3605" s="226"/>
      <c r="C3605" s="226"/>
      <c r="D3605" s="226"/>
      <c r="E3605" s="226"/>
      <c r="F3605" s="226"/>
      <c r="G3605" s="226"/>
      <c r="H3605" s="226"/>
      <c r="I3605" s="9" t="str">
        <f t="shared" si="56"/>
        <v>__</v>
      </c>
    </row>
    <row r="3606" spans="1:9" x14ac:dyDescent="0.35">
      <c r="A3606" s="226"/>
      <c r="B3606" s="226"/>
      <c r="C3606" s="226"/>
      <c r="D3606" s="226"/>
      <c r="E3606" s="226"/>
      <c r="F3606" s="226"/>
      <c r="G3606" s="226"/>
      <c r="H3606" s="226"/>
      <c r="I3606" s="9" t="str">
        <f t="shared" si="56"/>
        <v>__</v>
      </c>
    </row>
    <row r="3607" spans="1:9" x14ac:dyDescent="0.35">
      <c r="A3607" s="226"/>
      <c r="B3607" s="226"/>
      <c r="C3607" s="226"/>
      <c r="D3607" s="226"/>
      <c r="E3607" s="226"/>
      <c r="F3607" s="226"/>
      <c r="G3607" s="226"/>
      <c r="H3607" s="226"/>
      <c r="I3607" s="9" t="str">
        <f t="shared" si="56"/>
        <v>__</v>
      </c>
    </row>
    <row r="3608" spans="1:9" x14ac:dyDescent="0.35">
      <c r="A3608" s="226"/>
      <c r="B3608" s="226"/>
      <c r="C3608" s="226"/>
      <c r="D3608" s="226"/>
      <c r="E3608" s="226"/>
      <c r="F3608" s="226"/>
      <c r="G3608" s="226"/>
      <c r="H3608" s="226"/>
      <c r="I3608" s="9" t="str">
        <f t="shared" si="56"/>
        <v>__</v>
      </c>
    </row>
    <row r="3609" spans="1:9" x14ac:dyDescent="0.35">
      <c r="A3609" s="226"/>
      <c r="B3609" s="226"/>
      <c r="C3609" s="226"/>
      <c r="D3609" s="226"/>
      <c r="E3609" s="226"/>
      <c r="F3609" s="226"/>
      <c r="G3609" s="226"/>
      <c r="H3609" s="226"/>
      <c r="I3609" s="9" t="str">
        <f t="shared" si="56"/>
        <v>__</v>
      </c>
    </row>
    <row r="3610" spans="1:9" x14ac:dyDescent="0.35">
      <c r="A3610" s="226"/>
      <c r="B3610" s="226"/>
      <c r="C3610" s="226"/>
      <c r="D3610" s="226"/>
      <c r="E3610" s="226"/>
      <c r="F3610" s="226"/>
      <c r="G3610" s="226"/>
      <c r="H3610" s="226"/>
      <c r="I3610" s="9" t="str">
        <f t="shared" si="56"/>
        <v>__</v>
      </c>
    </row>
    <row r="3611" spans="1:9" x14ac:dyDescent="0.35">
      <c r="A3611" s="226"/>
      <c r="B3611" s="226"/>
      <c r="C3611" s="226"/>
      <c r="D3611" s="226"/>
      <c r="E3611" s="226"/>
      <c r="F3611" s="226"/>
      <c r="G3611" s="226"/>
      <c r="H3611" s="226"/>
      <c r="I3611" s="9" t="str">
        <f t="shared" si="56"/>
        <v>__</v>
      </c>
    </row>
    <row r="3612" spans="1:9" x14ac:dyDescent="0.35">
      <c r="A3612" s="226"/>
      <c r="B3612" s="226"/>
      <c r="C3612" s="226"/>
      <c r="D3612" s="226"/>
      <c r="E3612" s="226"/>
      <c r="F3612" s="226"/>
      <c r="G3612" s="226"/>
      <c r="H3612" s="226"/>
      <c r="I3612" s="9" t="str">
        <f t="shared" si="56"/>
        <v>__</v>
      </c>
    </row>
    <row r="3613" spans="1:9" x14ac:dyDescent="0.35">
      <c r="A3613" s="226"/>
      <c r="B3613" s="226"/>
      <c r="C3613" s="226"/>
      <c r="D3613" s="226"/>
      <c r="E3613" s="226"/>
      <c r="F3613" s="226"/>
      <c r="G3613" s="226"/>
      <c r="H3613" s="226"/>
      <c r="I3613" s="9" t="str">
        <f t="shared" si="56"/>
        <v>__</v>
      </c>
    </row>
    <row r="3614" spans="1:9" x14ac:dyDescent="0.35">
      <c r="A3614" s="226"/>
      <c r="B3614" s="226"/>
      <c r="C3614" s="226"/>
      <c r="D3614" s="226"/>
      <c r="E3614" s="226"/>
      <c r="F3614" s="226"/>
      <c r="G3614" s="226"/>
      <c r="H3614" s="226"/>
      <c r="I3614" s="9" t="str">
        <f t="shared" si="56"/>
        <v>__</v>
      </c>
    </row>
    <row r="3615" spans="1:9" x14ac:dyDescent="0.35">
      <c r="A3615" s="226"/>
      <c r="B3615" s="226"/>
      <c r="C3615" s="226"/>
      <c r="D3615" s="226"/>
      <c r="E3615" s="226"/>
      <c r="F3615" s="226"/>
      <c r="G3615" s="226"/>
      <c r="H3615" s="226"/>
      <c r="I3615" s="9" t="str">
        <f t="shared" si="56"/>
        <v>__</v>
      </c>
    </row>
    <row r="3616" spans="1:9" x14ac:dyDescent="0.35">
      <c r="A3616" s="226"/>
      <c r="B3616" s="226"/>
      <c r="C3616" s="226"/>
      <c r="D3616" s="226"/>
      <c r="E3616" s="226"/>
      <c r="F3616" s="226"/>
      <c r="G3616" s="226"/>
      <c r="H3616" s="226"/>
      <c r="I3616" s="9" t="str">
        <f t="shared" si="56"/>
        <v>__</v>
      </c>
    </row>
    <row r="3617" spans="1:9" x14ac:dyDescent="0.35">
      <c r="A3617" s="226"/>
      <c r="B3617" s="226"/>
      <c r="C3617" s="226"/>
      <c r="D3617" s="226"/>
      <c r="E3617" s="226"/>
      <c r="F3617" s="226"/>
      <c r="G3617" s="226"/>
      <c r="H3617" s="226"/>
      <c r="I3617" s="9" t="str">
        <f t="shared" si="56"/>
        <v>__</v>
      </c>
    </row>
    <row r="3618" spans="1:9" x14ac:dyDescent="0.35">
      <c r="A3618" s="226"/>
      <c r="B3618" s="226"/>
      <c r="C3618" s="226"/>
      <c r="D3618" s="226"/>
      <c r="E3618" s="226"/>
      <c r="F3618" s="226"/>
      <c r="G3618" s="226"/>
      <c r="H3618" s="226"/>
      <c r="I3618" s="9" t="str">
        <f t="shared" si="56"/>
        <v>__</v>
      </c>
    </row>
    <row r="3619" spans="1:9" x14ac:dyDescent="0.35">
      <c r="A3619" s="226"/>
      <c r="B3619" s="226"/>
      <c r="C3619" s="226"/>
      <c r="D3619" s="226"/>
      <c r="E3619" s="226"/>
      <c r="F3619" s="226"/>
      <c r="G3619" s="226"/>
      <c r="H3619" s="226"/>
      <c r="I3619" s="9" t="str">
        <f t="shared" si="56"/>
        <v>__</v>
      </c>
    </row>
    <row r="3620" spans="1:9" x14ac:dyDescent="0.35">
      <c r="A3620" s="226"/>
      <c r="B3620" s="226"/>
      <c r="C3620" s="226"/>
      <c r="D3620" s="226"/>
      <c r="E3620" s="226"/>
      <c r="F3620" s="226"/>
      <c r="G3620" s="226"/>
      <c r="H3620" s="226"/>
      <c r="I3620" s="9" t="str">
        <f t="shared" si="56"/>
        <v>__</v>
      </c>
    </row>
    <row r="3621" spans="1:9" x14ac:dyDescent="0.35">
      <c r="A3621" s="226"/>
      <c r="B3621" s="226"/>
      <c r="C3621" s="226"/>
      <c r="D3621" s="226"/>
      <c r="E3621" s="226"/>
      <c r="F3621" s="226"/>
      <c r="G3621" s="226"/>
      <c r="H3621" s="226"/>
      <c r="I3621" s="9" t="str">
        <f t="shared" si="56"/>
        <v>__</v>
      </c>
    </row>
    <row r="3622" spans="1:9" x14ac:dyDescent="0.35">
      <c r="A3622" s="226"/>
      <c r="B3622" s="226"/>
      <c r="C3622" s="226"/>
      <c r="D3622" s="226"/>
      <c r="E3622" s="226"/>
      <c r="F3622" s="226"/>
      <c r="G3622" s="226"/>
      <c r="H3622" s="226"/>
      <c r="I3622" s="9" t="str">
        <f t="shared" si="56"/>
        <v>__</v>
      </c>
    </row>
    <row r="3623" spans="1:9" x14ac:dyDescent="0.35">
      <c r="A3623" s="226"/>
      <c r="B3623" s="226"/>
      <c r="C3623" s="226"/>
      <c r="D3623" s="226"/>
      <c r="E3623" s="226"/>
      <c r="F3623" s="226"/>
      <c r="G3623" s="226"/>
      <c r="H3623" s="226"/>
      <c r="I3623" s="9" t="str">
        <f t="shared" si="56"/>
        <v>__</v>
      </c>
    </row>
    <row r="3624" spans="1:9" x14ac:dyDescent="0.35">
      <c r="A3624" s="226"/>
      <c r="B3624" s="226"/>
      <c r="C3624" s="226"/>
      <c r="D3624" s="226"/>
      <c r="E3624" s="226"/>
      <c r="F3624" s="226"/>
      <c r="G3624" s="226"/>
      <c r="H3624" s="226"/>
      <c r="I3624" s="9" t="str">
        <f t="shared" si="56"/>
        <v>__</v>
      </c>
    </row>
    <row r="3625" spans="1:9" x14ac:dyDescent="0.35">
      <c r="A3625" s="226"/>
      <c r="B3625" s="226"/>
      <c r="C3625" s="226"/>
      <c r="D3625" s="226"/>
      <c r="E3625" s="226"/>
      <c r="F3625" s="226"/>
      <c r="G3625" s="226"/>
      <c r="H3625" s="226"/>
      <c r="I3625" s="9" t="str">
        <f t="shared" si="56"/>
        <v>__</v>
      </c>
    </row>
    <row r="3626" spans="1:9" x14ac:dyDescent="0.35">
      <c r="A3626" s="226"/>
      <c r="B3626" s="226"/>
      <c r="C3626" s="226"/>
      <c r="D3626" s="226"/>
      <c r="E3626" s="226"/>
      <c r="F3626" s="226"/>
      <c r="G3626" s="226"/>
      <c r="H3626" s="226"/>
      <c r="I3626" s="9" t="str">
        <f t="shared" si="56"/>
        <v>__</v>
      </c>
    </row>
    <row r="3627" spans="1:9" x14ac:dyDescent="0.35">
      <c r="A3627" s="226"/>
      <c r="B3627" s="226"/>
      <c r="C3627" s="226"/>
      <c r="D3627" s="226"/>
      <c r="E3627" s="226"/>
      <c r="F3627" s="226"/>
      <c r="G3627" s="226"/>
      <c r="H3627" s="226"/>
      <c r="I3627" s="9" t="str">
        <f t="shared" si="56"/>
        <v>__</v>
      </c>
    </row>
    <row r="3628" spans="1:9" x14ac:dyDescent="0.35">
      <c r="A3628" s="226"/>
      <c r="B3628" s="226"/>
      <c r="C3628" s="226"/>
      <c r="D3628" s="226"/>
      <c r="E3628" s="226"/>
      <c r="F3628" s="226"/>
      <c r="G3628" s="226"/>
      <c r="H3628" s="226"/>
      <c r="I3628" s="9" t="str">
        <f t="shared" si="56"/>
        <v>__</v>
      </c>
    </row>
    <row r="3629" spans="1:9" x14ac:dyDescent="0.35">
      <c r="A3629" s="226"/>
      <c r="B3629" s="226"/>
      <c r="C3629" s="226"/>
      <c r="D3629" s="226"/>
      <c r="E3629" s="226"/>
      <c r="F3629" s="226"/>
      <c r="G3629" s="226"/>
      <c r="H3629" s="226"/>
      <c r="I3629" s="9" t="str">
        <f t="shared" si="56"/>
        <v>__</v>
      </c>
    </row>
    <row r="3630" spans="1:9" x14ac:dyDescent="0.35">
      <c r="A3630" s="226"/>
      <c r="B3630" s="226"/>
      <c r="C3630" s="226"/>
      <c r="D3630" s="226"/>
      <c r="E3630" s="226"/>
      <c r="F3630" s="226"/>
      <c r="G3630" s="226"/>
      <c r="H3630" s="226"/>
      <c r="I3630" s="9" t="str">
        <f t="shared" si="56"/>
        <v>__</v>
      </c>
    </row>
    <row r="3631" spans="1:9" x14ac:dyDescent="0.35">
      <c r="A3631" s="226"/>
      <c r="B3631" s="226"/>
      <c r="C3631" s="226"/>
      <c r="D3631" s="226"/>
      <c r="E3631" s="226"/>
      <c r="F3631" s="226"/>
      <c r="G3631" s="226"/>
      <c r="H3631" s="226"/>
      <c r="I3631" s="9" t="str">
        <f t="shared" si="56"/>
        <v>__</v>
      </c>
    </row>
    <row r="3632" spans="1:9" x14ac:dyDescent="0.35">
      <c r="A3632" s="226"/>
      <c r="B3632" s="226"/>
      <c r="C3632" s="226"/>
      <c r="D3632" s="226"/>
      <c r="E3632" s="226"/>
      <c r="F3632" s="226"/>
      <c r="G3632" s="226"/>
      <c r="H3632" s="226"/>
      <c r="I3632" s="9" t="str">
        <f t="shared" si="56"/>
        <v>__</v>
      </c>
    </row>
    <row r="3633" spans="1:9" x14ac:dyDescent="0.35">
      <c r="A3633" s="226"/>
      <c r="B3633" s="226"/>
      <c r="C3633" s="226"/>
      <c r="D3633" s="226"/>
      <c r="E3633" s="226"/>
      <c r="F3633" s="226"/>
      <c r="G3633" s="226"/>
      <c r="H3633" s="226"/>
      <c r="I3633" s="9" t="str">
        <f t="shared" si="56"/>
        <v>__</v>
      </c>
    </row>
    <row r="3634" spans="1:9" x14ac:dyDescent="0.35">
      <c r="A3634" s="226"/>
      <c r="B3634" s="226"/>
      <c r="C3634" s="226"/>
      <c r="D3634" s="226"/>
      <c r="E3634" s="226"/>
      <c r="F3634" s="226"/>
      <c r="G3634" s="226"/>
      <c r="H3634" s="226"/>
      <c r="I3634" s="9" t="str">
        <f t="shared" si="56"/>
        <v>__</v>
      </c>
    </row>
    <row r="3635" spans="1:9" x14ac:dyDescent="0.35">
      <c r="A3635" s="226"/>
      <c r="B3635" s="226"/>
      <c r="C3635" s="226"/>
      <c r="D3635" s="226"/>
      <c r="E3635" s="226"/>
      <c r="F3635" s="226"/>
      <c r="G3635" s="226"/>
      <c r="H3635" s="226"/>
      <c r="I3635" s="9" t="str">
        <f t="shared" si="56"/>
        <v>__</v>
      </c>
    </row>
    <row r="3636" spans="1:9" x14ac:dyDescent="0.35">
      <c r="A3636" s="226"/>
      <c r="B3636" s="226"/>
      <c r="C3636" s="226"/>
      <c r="D3636" s="226"/>
      <c r="E3636" s="226"/>
      <c r="F3636" s="226"/>
      <c r="G3636" s="226"/>
      <c r="H3636" s="226"/>
      <c r="I3636" s="9" t="str">
        <f t="shared" si="56"/>
        <v>__</v>
      </c>
    </row>
    <row r="3637" spans="1:9" x14ac:dyDescent="0.35">
      <c r="A3637" s="226"/>
      <c r="B3637" s="226"/>
      <c r="C3637" s="226"/>
      <c r="D3637" s="226"/>
      <c r="E3637" s="226"/>
      <c r="F3637" s="226"/>
      <c r="G3637" s="226"/>
      <c r="H3637" s="226"/>
      <c r="I3637" s="9" t="str">
        <f t="shared" si="56"/>
        <v>__</v>
      </c>
    </row>
    <row r="3638" spans="1:9" x14ac:dyDescent="0.35">
      <c r="A3638" s="226"/>
      <c r="B3638" s="226"/>
      <c r="C3638" s="226"/>
      <c r="D3638" s="226"/>
      <c r="E3638" s="226"/>
      <c r="F3638" s="226"/>
      <c r="G3638" s="226"/>
      <c r="H3638" s="226"/>
      <c r="I3638" s="9" t="str">
        <f t="shared" si="56"/>
        <v>__</v>
      </c>
    </row>
    <row r="3639" spans="1:9" x14ac:dyDescent="0.35">
      <c r="A3639" s="226"/>
      <c r="B3639" s="226"/>
      <c r="C3639" s="226"/>
      <c r="D3639" s="226"/>
      <c r="E3639" s="226"/>
      <c r="F3639" s="226"/>
      <c r="G3639" s="226"/>
      <c r="H3639" s="226"/>
      <c r="I3639" s="9" t="str">
        <f t="shared" si="56"/>
        <v>__</v>
      </c>
    </row>
    <row r="3640" spans="1:9" x14ac:dyDescent="0.35">
      <c r="A3640" s="226"/>
      <c r="B3640" s="226"/>
      <c r="C3640" s="226"/>
      <c r="D3640" s="226"/>
      <c r="E3640" s="226"/>
      <c r="F3640" s="226"/>
      <c r="G3640" s="226"/>
      <c r="H3640" s="226"/>
      <c r="I3640" s="9" t="str">
        <f t="shared" si="56"/>
        <v>__</v>
      </c>
    </row>
    <row r="3641" spans="1:9" x14ac:dyDescent="0.35">
      <c r="A3641" s="226"/>
      <c r="B3641" s="226"/>
      <c r="C3641" s="226"/>
      <c r="D3641" s="226"/>
      <c r="E3641" s="226"/>
      <c r="F3641" s="226"/>
      <c r="G3641" s="226"/>
      <c r="H3641" s="226"/>
      <c r="I3641" s="9" t="str">
        <f t="shared" si="56"/>
        <v>__</v>
      </c>
    </row>
    <row r="3642" spans="1:9" x14ac:dyDescent="0.35">
      <c r="A3642" s="226"/>
      <c r="B3642" s="226"/>
      <c r="C3642" s="226"/>
      <c r="D3642" s="226"/>
      <c r="E3642" s="226"/>
      <c r="F3642" s="226"/>
      <c r="G3642" s="226"/>
      <c r="H3642" s="226"/>
      <c r="I3642" s="9" t="str">
        <f t="shared" si="56"/>
        <v>__</v>
      </c>
    </row>
    <row r="3643" spans="1:9" x14ac:dyDescent="0.35">
      <c r="A3643" s="226"/>
      <c r="B3643" s="226"/>
      <c r="C3643" s="226"/>
      <c r="D3643" s="226"/>
      <c r="E3643" s="226"/>
      <c r="F3643" s="226"/>
      <c r="G3643" s="226"/>
      <c r="H3643" s="226"/>
      <c r="I3643" s="9" t="str">
        <f t="shared" si="56"/>
        <v>__</v>
      </c>
    </row>
    <row r="3644" spans="1:9" x14ac:dyDescent="0.35">
      <c r="A3644" s="226"/>
      <c r="B3644" s="226"/>
      <c r="C3644" s="226"/>
      <c r="D3644" s="226"/>
      <c r="E3644" s="226"/>
      <c r="F3644" s="226"/>
      <c r="G3644" s="226"/>
      <c r="H3644" s="226"/>
      <c r="I3644" s="9" t="str">
        <f t="shared" si="56"/>
        <v>__</v>
      </c>
    </row>
    <row r="3645" spans="1:9" x14ac:dyDescent="0.35">
      <c r="A3645" s="226"/>
      <c r="B3645" s="226"/>
      <c r="C3645" s="226"/>
      <c r="D3645" s="226"/>
      <c r="E3645" s="226"/>
      <c r="F3645" s="226"/>
      <c r="G3645" s="226"/>
      <c r="H3645" s="226"/>
      <c r="I3645" s="9" t="str">
        <f t="shared" si="56"/>
        <v>__</v>
      </c>
    </row>
    <row r="3646" spans="1:9" x14ac:dyDescent="0.35">
      <c r="A3646" s="226"/>
      <c r="B3646" s="226"/>
      <c r="C3646" s="226"/>
      <c r="D3646" s="226"/>
      <c r="E3646" s="226"/>
      <c r="F3646" s="226"/>
      <c r="G3646" s="226"/>
      <c r="H3646" s="226"/>
      <c r="I3646" s="9" t="str">
        <f t="shared" si="56"/>
        <v>__</v>
      </c>
    </row>
    <row r="3647" spans="1:9" x14ac:dyDescent="0.35">
      <c r="A3647" s="226"/>
      <c r="B3647" s="226"/>
      <c r="C3647" s="226"/>
      <c r="D3647" s="226"/>
      <c r="E3647" s="226"/>
      <c r="F3647" s="226"/>
      <c r="G3647" s="226"/>
      <c r="H3647" s="226"/>
      <c r="I3647" s="9" t="str">
        <f t="shared" si="56"/>
        <v>__</v>
      </c>
    </row>
    <row r="3648" spans="1:9" x14ac:dyDescent="0.35">
      <c r="A3648" s="226"/>
      <c r="B3648" s="226"/>
      <c r="C3648" s="226"/>
      <c r="D3648" s="226"/>
      <c r="E3648" s="226"/>
      <c r="F3648" s="226"/>
      <c r="G3648" s="226"/>
      <c r="H3648" s="226"/>
      <c r="I3648" s="9" t="str">
        <f t="shared" si="56"/>
        <v>__</v>
      </c>
    </row>
    <row r="3649" spans="1:9" x14ac:dyDescent="0.35">
      <c r="A3649" s="226"/>
      <c r="B3649" s="226"/>
      <c r="C3649" s="226"/>
      <c r="D3649" s="226"/>
      <c r="E3649" s="226"/>
      <c r="F3649" s="226"/>
      <c r="G3649" s="226"/>
      <c r="H3649" s="226"/>
      <c r="I3649" s="9" t="str">
        <f t="shared" si="56"/>
        <v>__</v>
      </c>
    </row>
    <row r="3650" spans="1:9" x14ac:dyDescent="0.35">
      <c r="A3650" s="226"/>
      <c r="B3650" s="226"/>
      <c r="C3650" s="226"/>
      <c r="D3650" s="226"/>
      <c r="E3650" s="226"/>
      <c r="F3650" s="226"/>
      <c r="G3650" s="226"/>
      <c r="H3650" s="226"/>
      <c r="I3650" s="9" t="str">
        <f t="shared" si="56"/>
        <v>__</v>
      </c>
    </row>
    <row r="3651" spans="1:9" x14ac:dyDescent="0.35">
      <c r="A3651" s="226"/>
      <c r="B3651" s="226"/>
      <c r="C3651" s="226"/>
      <c r="D3651" s="226"/>
      <c r="E3651" s="226"/>
      <c r="F3651" s="226"/>
      <c r="G3651" s="226"/>
      <c r="H3651" s="226"/>
      <c r="I3651" s="9" t="str">
        <f t="shared" si="56"/>
        <v>__</v>
      </c>
    </row>
    <row r="3652" spans="1:9" x14ac:dyDescent="0.35">
      <c r="A3652" s="226"/>
      <c r="B3652" s="226"/>
      <c r="C3652" s="226"/>
      <c r="D3652" s="226"/>
      <c r="E3652" s="226"/>
      <c r="F3652" s="226"/>
      <c r="G3652" s="226"/>
      <c r="H3652" s="226"/>
      <c r="I3652" s="9" t="str">
        <f t="shared" si="56"/>
        <v>__</v>
      </c>
    </row>
    <row r="3653" spans="1:9" x14ac:dyDescent="0.35">
      <c r="A3653" s="226"/>
      <c r="B3653" s="226"/>
      <c r="C3653" s="226"/>
      <c r="D3653" s="226"/>
      <c r="E3653" s="226"/>
      <c r="F3653" s="226"/>
      <c r="G3653" s="226"/>
      <c r="H3653" s="226"/>
      <c r="I3653" s="9" t="str">
        <f t="shared" ref="I3653:I3716" si="57">CONCATENATE(A3653,"_",B3653,"_",C3653)</f>
        <v>__</v>
      </c>
    </row>
    <row r="3654" spans="1:9" x14ac:dyDescent="0.35">
      <c r="A3654" s="226"/>
      <c r="B3654" s="226"/>
      <c r="C3654" s="226"/>
      <c r="D3654" s="226"/>
      <c r="E3654" s="226"/>
      <c r="F3654" s="226"/>
      <c r="G3654" s="226"/>
      <c r="H3654" s="226"/>
      <c r="I3654" s="9" t="str">
        <f t="shared" si="57"/>
        <v>__</v>
      </c>
    </row>
    <row r="3655" spans="1:9" x14ac:dyDescent="0.35">
      <c r="A3655" s="226"/>
      <c r="B3655" s="226"/>
      <c r="C3655" s="226"/>
      <c r="D3655" s="226"/>
      <c r="E3655" s="226"/>
      <c r="F3655" s="226"/>
      <c r="G3655" s="226"/>
      <c r="H3655" s="226"/>
      <c r="I3655" s="9" t="str">
        <f t="shared" si="57"/>
        <v>__</v>
      </c>
    </row>
    <row r="3656" spans="1:9" x14ac:dyDescent="0.35">
      <c r="A3656" s="226"/>
      <c r="B3656" s="226"/>
      <c r="C3656" s="226"/>
      <c r="D3656" s="226"/>
      <c r="E3656" s="226"/>
      <c r="F3656" s="226"/>
      <c r="G3656" s="226"/>
      <c r="H3656" s="226"/>
      <c r="I3656" s="9" t="str">
        <f t="shared" si="57"/>
        <v>__</v>
      </c>
    </row>
    <row r="3657" spans="1:9" x14ac:dyDescent="0.35">
      <c r="A3657" s="226"/>
      <c r="B3657" s="226"/>
      <c r="C3657" s="226"/>
      <c r="D3657" s="226"/>
      <c r="E3657" s="226"/>
      <c r="F3657" s="226"/>
      <c r="G3657" s="226"/>
      <c r="H3657" s="226"/>
      <c r="I3657" s="9" t="str">
        <f t="shared" si="57"/>
        <v>__</v>
      </c>
    </row>
    <row r="3658" spans="1:9" x14ac:dyDescent="0.35">
      <c r="A3658" s="226"/>
      <c r="B3658" s="226"/>
      <c r="C3658" s="226"/>
      <c r="D3658" s="226"/>
      <c r="E3658" s="226"/>
      <c r="F3658" s="226"/>
      <c r="G3658" s="226"/>
      <c r="H3658" s="226"/>
      <c r="I3658" s="9" t="str">
        <f t="shared" si="57"/>
        <v>__</v>
      </c>
    </row>
    <row r="3659" spans="1:9" x14ac:dyDescent="0.35">
      <c r="A3659" s="226"/>
      <c r="B3659" s="226"/>
      <c r="C3659" s="226"/>
      <c r="D3659" s="226"/>
      <c r="E3659" s="226"/>
      <c r="F3659" s="226"/>
      <c r="G3659" s="226"/>
      <c r="H3659" s="226"/>
      <c r="I3659" s="9" t="str">
        <f t="shared" si="57"/>
        <v>__</v>
      </c>
    </row>
    <row r="3660" spans="1:9" x14ac:dyDescent="0.35">
      <c r="A3660" s="226"/>
      <c r="B3660" s="226"/>
      <c r="C3660" s="226"/>
      <c r="D3660" s="226"/>
      <c r="E3660" s="226"/>
      <c r="F3660" s="226"/>
      <c r="G3660" s="226"/>
      <c r="H3660" s="226"/>
      <c r="I3660" s="9" t="str">
        <f t="shared" si="57"/>
        <v>__</v>
      </c>
    </row>
    <row r="3661" spans="1:9" x14ac:dyDescent="0.35">
      <c r="A3661" s="226"/>
      <c r="B3661" s="226"/>
      <c r="C3661" s="226"/>
      <c r="D3661" s="226"/>
      <c r="E3661" s="226"/>
      <c r="F3661" s="226"/>
      <c r="G3661" s="226"/>
      <c r="H3661" s="226"/>
      <c r="I3661" s="9" t="str">
        <f t="shared" si="57"/>
        <v>__</v>
      </c>
    </row>
    <row r="3662" spans="1:9" x14ac:dyDescent="0.35">
      <c r="A3662" s="226"/>
      <c r="B3662" s="226"/>
      <c r="C3662" s="226"/>
      <c r="D3662" s="226"/>
      <c r="E3662" s="226"/>
      <c r="F3662" s="226"/>
      <c r="G3662" s="226"/>
      <c r="H3662" s="226"/>
      <c r="I3662" s="9" t="str">
        <f t="shared" si="57"/>
        <v>__</v>
      </c>
    </row>
    <row r="3663" spans="1:9" x14ac:dyDescent="0.35">
      <c r="A3663" s="226"/>
      <c r="B3663" s="226"/>
      <c r="C3663" s="226"/>
      <c r="D3663" s="226"/>
      <c r="E3663" s="226"/>
      <c r="F3663" s="226"/>
      <c r="G3663" s="226"/>
      <c r="H3663" s="226"/>
      <c r="I3663" s="9" t="str">
        <f t="shared" si="57"/>
        <v>__</v>
      </c>
    </row>
    <row r="3664" spans="1:9" x14ac:dyDescent="0.35">
      <c r="A3664" s="226"/>
      <c r="B3664" s="226"/>
      <c r="C3664" s="226"/>
      <c r="D3664" s="226"/>
      <c r="E3664" s="226"/>
      <c r="F3664" s="226"/>
      <c r="G3664" s="226"/>
      <c r="H3664" s="226"/>
      <c r="I3664" s="9" t="str">
        <f t="shared" si="57"/>
        <v>__</v>
      </c>
    </row>
    <row r="3665" spans="1:9" x14ac:dyDescent="0.35">
      <c r="A3665" s="226"/>
      <c r="B3665" s="226"/>
      <c r="C3665" s="226"/>
      <c r="D3665" s="226"/>
      <c r="E3665" s="226"/>
      <c r="F3665" s="226"/>
      <c r="G3665" s="226"/>
      <c r="H3665" s="226"/>
      <c r="I3665" s="9" t="str">
        <f t="shared" si="57"/>
        <v>__</v>
      </c>
    </row>
    <row r="3666" spans="1:9" x14ac:dyDescent="0.35">
      <c r="A3666" s="226"/>
      <c r="B3666" s="226"/>
      <c r="C3666" s="226"/>
      <c r="D3666" s="226"/>
      <c r="E3666" s="226"/>
      <c r="F3666" s="226"/>
      <c r="G3666" s="226"/>
      <c r="H3666" s="226"/>
      <c r="I3666" s="9" t="str">
        <f t="shared" si="57"/>
        <v>__</v>
      </c>
    </row>
    <row r="3667" spans="1:9" x14ac:dyDescent="0.35">
      <c r="A3667" s="226"/>
      <c r="B3667" s="226"/>
      <c r="C3667" s="226"/>
      <c r="D3667" s="226"/>
      <c r="E3667" s="226"/>
      <c r="F3667" s="226"/>
      <c r="G3667" s="226"/>
      <c r="H3667" s="226"/>
      <c r="I3667" s="9" t="str">
        <f t="shared" si="57"/>
        <v>__</v>
      </c>
    </row>
    <row r="3668" spans="1:9" x14ac:dyDescent="0.35">
      <c r="A3668" s="226"/>
      <c r="B3668" s="226"/>
      <c r="C3668" s="226"/>
      <c r="D3668" s="226"/>
      <c r="E3668" s="226"/>
      <c r="F3668" s="226"/>
      <c r="G3668" s="226"/>
      <c r="H3668" s="226"/>
      <c r="I3668" s="9" t="str">
        <f t="shared" si="57"/>
        <v>__</v>
      </c>
    </row>
    <row r="3669" spans="1:9" x14ac:dyDescent="0.35">
      <c r="A3669" s="226"/>
      <c r="B3669" s="226"/>
      <c r="C3669" s="226"/>
      <c r="D3669" s="226"/>
      <c r="E3669" s="226"/>
      <c r="F3669" s="226"/>
      <c r="G3669" s="226"/>
      <c r="H3669" s="226"/>
      <c r="I3669" s="9" t="str">
        <f t="shared" si="57"/>
        <v>__</v>
      </c>
    </row>
    <row r="3670" spans="1:9" x14ac:dyDescent="0.35">
      <c r="A3670" s="226"/>
      <c r="B3670" s="226"/>
      <c r="C3670" s="226"/>
      <c r="D3670" s="226"/>
      <c r="E3670" s="226"/>
      <c r="F3670" s="226"/>
      <c r="G3670" s="226"/>
      <c r="H3670" s="226"/>
      <c r="I3670" s="9" t="str">
        <f t="shared" si="57"/>
        <v>__</v>
      </c>
    </row>
    <row r="3671" spans="1:9" x14ac:dyDescent="0.35">
      <c r="A3671" s="226"/>
      <c r="B3671" s="226"/>
      <c r="C3671" s="226"/>
      <c r="D3671" s="226"/>
      <c r="E3671" s="226"/>
      <c r="F3671" s="226"/>
      <c r="G3671" s="226"/>
      <c r="H3671" s="226"/>
      <c r="I3671" s="9" t="str">
        <f t="shared" si="57"/>
        <v>__</v>
      </c>
    </row>
    <row r="3672" spans="1:9" x14ac:dyDescent="0.35">
      <c r="A3672" s="226"/>
      <c r="B3672" s="226"/>
      <c r="C3672" s="226"/>
      <c r="D3672" s="226"/>
      <c r="E3672" s="226"/>
      <c r="F3672" s="226"/>
      <c r="G3672" s="226"/>
      <c r="H3672" s="226"/>
      <c r="I3672" s="9" t="str">
        <f t="shared" si="57"/>
        <v>__</v>
      </c>
    </row>
    <row r="3673" spans="1:9" x14ac:dyDescent="0.35">
      <c r="A3673" s="226"/>
      <c r="B3673" s="226"/>
      <c r="C3673" s="226"/>
      <c r="D3673" s="226"/>
      <c r="E3673" s="226"/>
      <c r="F3673" s="226"/>
      <c r="G3673" s="226"/>
      <c r="H3673" s="226"/>
      <c r="I3673" s="9" t="str">
        <f t="shared" si="57"/>
        <v>__</v>
      </c>
    </row>
    <row r="3674" spans="1:9" x14ac:dyDescent="0.35">
      <c r="A3674" s="226"/>
      <c r="B3674" s="226"/>
      <c r="C3674" s="226"/>
      <c r="D3674" s="226"/>
      <c r="E3674" s="226"/>
      <c r="F3674" s="226"/>
      <c r="G3674" s="226"/>
      <c r="H3674" s="226"/>
      <c r="I3674" s="9" t="str">
        <f t="shared" si="57"/>
        <v>__</v>
      </c>
    </row>
    <row r="3675" spans="1:9" x14ac:dyDescent="0.35">
      <c r="A3675" s="226"/>
      <c r="B3675" s="226"/>
      <c r="C3675" s="226"/>
      <c r="D3675" s="226"/>
      <c r="E3675" s="226"/>
      <c r="F3675" s="226"/>
      <c r="G3675" s="226"/>
      <c r="H3675" s="226"/>
      <c r="I3675" s="9" t="str">
        <f t="shared" si="57"/>
        <v>__</v>
      </c>
    </row>
    <row r="3676" spans="1:9" x14ac:dyDescent="0.35">
      <c r="A3676" s="226"/>
      <c r="B3676" s="226"/>
      <c r="C3676" s="226"/>
      <c r="D3676" s="226"/>
      <c r="E3676" s="226"/>
      <c r="F3676" s="226"/>
      <c r="G3676" s="226"/>
      <c r="H3676" s="226"/>
      <c r="I3676" s="9" t="str">
        <f t="shared" si="57"/>
        <v>__</v>
      </c>
    </row>
    <row r="3677" spans="1:9" x14ac:dyDescent="0.35">
      <c r="A3677" s="226"/>
      <c r="B3677" s="226"/>
      <c r="C3677" s="226"/>
      <c r="D3677" s="226"/>
      <c r="E3677" s="226"/>
      <c r="F3677" s="226"/>
      <c r="G3677" s="226"/>
      <c r="H3677" s="226"/>
      <c r="I3677" s="9" t="str">
        <f t="shared" si="57"/>
        <v>__</v>
      </c>
    </row>
    <row r="3678" spans="1:9" x14ac:dyDescent="0.35">
      <c r="A3678" s="226"/>
      <c r="B3678" s="226"/>
      <c r="C3678" s="226"/>
      <c r="D3678" s="226"/>
      <c r="E3678" s="226"/>
      <c r="F3678" s="226"/>
      <c r="G3678" s="226"/>
      <c r="H3678" s="226"/>
      <c r="I3678" s="9" t="str">
        <f t="shared" si="57"/>
        <v>__</v>
      </c>
    </row>
    <row r="3679" spans="1:9" x14ac:dyDescent="0.35">
      <c r="A3679" s="226"/>
      <c r="B3679" s="226"/>
      <c r="C3679" s="226"/>
      <c r="D3679" s="226"/>
      <c r="E3679" s="226"/>
      <c r="F3679" s="226"/>
      <c r="G3679" s="226"/>
      <c r="H3679" s="226"/>
      <c r="I3679" s="9" t="str">
        <f t="shared" si="57"/>
        <v>__</v>
      </c>
    </row>
    <row r="3680" spans="1:9" x14ac:dyDescent="0.35">
      <c r="A3680" s="226"/>
      <c r="B3680" s="226"/>
      <c r="C3680" s="226"/>
      <c r="D3680" s="226"/>
      <c r="E3680" s="226"/>
      <c r="F3680" s="226"/>
      <c r="G3680" s="226"/>
      <c r="H3680" s="226"/>
      <c r="I3680" s="9" t="str">
        <f t="shared" si="57"/>
        <v>__</v>
      </c>
    </row>
    <row r="3681" spans="1:9" x14ac:dyDescent="0.35">
      <c r="A3681" s="226"/>
      <c r="B3681" s="226"/>
      <c r="C3681" s="226"/>
      <c r="D3681" s="226"/>
      <c r="E3681" s="226"/>
      <c r="F3681" s="226"/>
      <c r="G3681" s="226"/>
      <c r="H3681" s="226"/>
      <c r="I3681" s="9" t="str">
        <f t="shared" si="57"/>
        <v>__</v>
      </c>
    </row>
    <row r="3682" spans="1:9" x14ac:dyDescent="0.35">
      <c r="A3682" s="226"/>
      <c r="B3682" s="226"/>
      <c r="C3682" s="226"/>
      <c r="D3682" s="226"/>
      <c r="E3682" s="226"/>
      <c r="F3682" s="226"/>
      <c r="G3682" s="226"/>
      <c r="H3682" s="226"/>
      <c r="I3682" s="9" t="str">
        <f t="shared" si="57"/>
        <v>__</v>
      </c>
    </row>
    <row r="3683" spans="1:9" x14ac:dyDescent="0.35">
      <c r="A3683" s="226"/>
      <c r="B3683" s="226"/>
      <c r="C3683" s="226"/>
      <c r="D3683" s="226"/>
      <c r="E3683" s="226"/>
      <c r="F3683" s="226"/>
      <c r="G3683" s="226"/>
      <c r="H3683" s="226"/>
      <c r="I3683" s="9" t="str">
        <f t="shared" si="57"/>
        <v>__</v>
      </c>
    </row>
    <row r="3684" spans="1:9" x14ac:dyDescent="0.35">
      <c r="A3684" s="226"/>
      <c r="B3684" s="226"/>
      <c r="C3684" s="226"/>
      <c r="D3684" s="226"/>
      <c r="E3684" s="226"/>
      <c r="F3684" s="226"/>
      <c r="G3684" s="226"/>
      <c r="H3684" s="226"/>
      <c r="I3684" s="9" t="str">
        <f t="shared" si="57"/>
        <v>__</v>
      </c>
    </row>
    <row r="3685" spans="1:9" x14ac:dyDescent="0.35">
      <c r="A3685" s="226"/>
      <c r="B3685" s="226"/>
      <c r="C3685" s="226"/>
      <c r="D3685" s="226"/>
      <c r="E3685" s="226"/>
      <c r="F3685" s="226"/>
      <c r="G3685" s="226"/>
      <c r="H3685" s="226"/>
      <c r="I3685" s="9" t="str">
        <f t="shared" si="57"/>
        <v>__</v>
      </c>
    </row>
    <row r="3686" spans="1:9" x14ac:dyDescent="0.35">
      <c r="A3686" s="226"/>
      <c r="B3686" s="226"/>
      <c r="C3686" s="226"/>
      <c r="D3686" s="226"/>
      <c r="E3686" s="226"/>
      <c r="F3686" s="226"/>
      <c r="G3686" s="226"/>
      <c r="H3686" s="226"/>
      <c r="I3686" s="9" t="str">
        <f t="shared" si="57"/>
        <v>__</v>
      </c>
    </row>
    <row r="3687" spans="1:9" x14ac:dyDescent="0.35">
      <c r="A3687" s="226"/>
      <c r="B3687" s="226"/>
      <c r="C3687" s="226"/>
      <c r="D3687" s="226"/>
      <c r="E3687" s="226"/>
      <c r="F3687" s="226"/>
      <c r="G3687" s="226"/>
      <c r="H3687" s="226"/>
      <c r="I3687" s="9" t="str">
        <f t="shared" si="57"/>
        <v>__</v>
      </c>
    </row>
    <row r="3688" spans="1:9" x14ac:dyDescent="0.35">
      <c r="A3688" s="226"/>
      <c r="B3688" s="226"/>
      <c r="C3688" s="226"/>
      <c r="D3688" s="226"/>
      <c r="E3688" s="226"/>
      <c r="F3688" s="226"/>
      <c r="G3688" s="226"/>
      <c r="H3688" s="226"/>
      <c r="I3688" s="9" t="str">
        <f t="shared" si="57"/>
        <v>__</v>
      </c>
    </row>
    <row r="3689" spans="1:9" x14ac:dyDescent="0.35">
      <c r="A3689" s="226"/>
      <c r="B3689" s="226"/>
      <c r="C3689" s="226"/>
      <c r="D3689" s="226"/>
      <c r="E3689" s="226"/>
      <c r="F3689" s="226"/>
      <c r="G3689" s="226"/>
      <c r="H3689" s="226"/>
      <c r="I3689" s="9" t="str">
        <f t="shared" si="57"/>
        <v>__</v>
      </c>
    </row>
    <row r="3690" spans="1:9" x14ac:dyDescent="0.35">
      <c r="A3690" s="226"/>
      <c r="B3690" s="226"/>
      <c r="C3690" s="226"/>
      <c r="D3690" s="226"/>
      <c r="E3690" s="226"/>
      <c r="F3690" s="226"/>
      <c r="G3690" s="226"/>
      <c r="H3690" s="226"/>
      <c r="I3690" s="9" t="str">
        <f t="shared" si="57"/>
        <v>__</v>
      </c>
    </row>
    <row r="3691" spans="1:9" x14ac:dyDescent="0.35">
      <c r="A3691" s="226"/>
      <c r="B3691" s="226"/>
      <c r="C3691" s="226"/>
      <c r="D3691" s="226"/>
      <c r="E3691" s="226"/>
      <c r="F3691" s="226"/>
      <c r="G3691" s="226"/>
      <c r="H3691" s="226"/>
      <c r="I3691" s="9" t="str">
        <f t="shared" si="57"/>
        <v>__</v>
      </c>
    </row>
    <row r="3692" spans="1:9" x14ac:dyDescent="0.35">
      <c r="A3692" s="226"/>
      <c r="B3692" s="226"/>
      <c r="C3692" s="226"/>
      <c r="D3692" s="226"/>
      <c r="E3692" s="226"/>
      <c r="F3692" s="226"/>
      <c r="G3692" s="226"/>
      <c r="H3692" s="226"/>
      <c r="I3692" s="9" t="str">
        <f t="shared" si="57"/>
        <v>__</v>
      </c>
    </row>
    <row r="3693" spans="1:9" x14ac:dyDescent="0.35">
      <c r="A3693" s="226"/>
      <c r="B3693" s="226"/>
      <c r="C3693" s="226"/>
      <c r="D3693" s="226"/>
      <c r="E3693" s="226"/>
      <c r="F3693" s="226"/>
      <c r="G3693" s="226"/>
      <c r="H3693" s="226"/>
      <c r="I3693" s="9" t="str">
        <f t="shared" si="57"/>
        <v>__</v>
      </c>
    </row>
    <row r="3694" spans="1:9" x14ac:dyDescent="0.35">
      <c r="A3694" s="226"/>
      <c r="B3694" s="226"/>
      <c r="C3694" s="226"/>
      <c r="D3694" s="226"/>
      <c r="E3694" s="226"/>
      <c r="F3694" s="226"/>
      <c r="G3694" s="226"/>
      <c r="H3694" s="226"/>
      <c r="I3694" s="9" t="str">
        <f t="shared" si="57"/>
        <v>__</v>
      </c>
    </row>
    <row r="3695" spans="1:9" x14ac:dyDescent="0.35">
      <c r="A3695" s="226"/>
      <c r="B3695" s="226"/>
      <c r="C3695" s="226"/>
      <c r="D3695" s="226"/>
      <c r="E3695" s="226"/>
      <c r="F3695" s="226"/>
      <c r="G3695" s="226"/>
      <c r="H3695" s="226"/>
      <c r="I3695" s="9" t="str">
        <f t="shared" si="57"/>
        <v>__</v>
      </c>
    </row>
    <row r="3696" spans="1:9" x14ac:dyDescent="0.35">
      <c r="A3696" s="226"/>
      <c r="B3696" s="226"/>
      <c r="C3696" s="226"/>
      <c r="D3696" s="226"/>
      <c r="E3696" s="226"/>
      <c r="F3696" s="226"/>
      <c r="G3696" s="226"/>
      <c r="H3696" s="226"/>
      <c r="I3696" s="9" t="str">
        <f t="shared" si="57"/>
        <v>__</v>
      </c>
    </row>
    <row r="3697" spans="1:9" x14ac:dyDescent="0.35">
      <c r="A3697" s="226"/>
      <c r="B3697" s="226"/>
      <c r="C3697" s="226"/>
      <c r="D3697" s="226"/>
      <c r="E3697" s="226"/>
      <c r="F3697" s="226"/>
      <c r="G3697" s="226"/>
      <c r="H3697" s="226"/>
      <c r="I3697" s="9" t="str">
        <f t="shared" si="57"/>
        <v>__</v>
      </c>
    </row>
    <row r="3698" spans="1:9" x14ac:dyDescent="0.35">
      <c r="A3698" s="226"/>
      <c r="B3698" s="226"/>
      <c r="C3698" s="226"/>
      <c r="D3698" s="226"/>
      <c r="E3698" s="226"/>
      <c r="F3698" s="226"/>
      <c r="G3698" s="226"/>
      <c r="H3698" s="226"/>
      <c r="I3698" s="9" t="str">
        <f t="shared" si="57"/>
        <v>__</v>
      </c>
    </row>
    <row r="3699" spans="1:9" x14ac:dyDescent="0.35">
      <c r="A3699" s="226"/>
      <c r="B3699" s="226"/>
      <c r="C3699" s="226"/>
      <c r="D3699" s="226"/>
      <c r="E3699" s="226"/>
      <c r="F3699" s="226"/>
      <c r="G3699" s="226"/>
      <c r="H3699" s="226"/>
      <c r="I3699" s="9" t="str">
        <f t="shared" si="57"/>
        <v>__</v>
      </c>
    </row>
    <row r="3700" spans="1:9" x14ac:dyDescent="0.35">
      <c r="A3700" s="226"/>
      <c r="B3700" s="226"/>
      <c r="C3700" s="226"/>
      <c r="D3700" s="226"/>
      <c r="E3700" s="226"/>
      <c r="F3700" s="226"/>
      <c r="G3700" s="226"/>
      <c r="H3700" s="226"/>
      <c r="I3700" s="9" t="str">
        <f t="shared" si="57"/>
        <v>__</v>
      </c>
    </row>
    <row r="3701" spans="1:9" x14ac:dyDescent="0.35">
      <c r="A3701" s="226"/>
      <c r="B3701" s="226"/>
      <c r="C3701" s="226"/>
      <c r="D3701" s="226"/>
      <c r="E3701" s="226"/>
      <c r="F3701" s="226"/>
      <c r="G3701" s="226"/>
      <c r="H3701" s="226"/>
      <c r="I3701" s="9" t="str">
        <f t="shared" si="57"/>
        <v>__</v>
      </c>
    </row>
    <row r="3702" spans="1:9" x14ac:dyDescent="0.35">
      <c r="A3702" s="226"/>
      <c r="B3702" s="226"/>
      <c r="C3702" s="226"/>
      <c r="D3702" s="226"/>
      <c r="E3702" s="226"/>
      <c r="F3702" s="226"/>
      <c r="G3702" s="226"/>
      <c r="H3702" s="226"/>
      <c r="I3702" s="9" t="str">
        <f t="shared" si="57"/>
        <v>__</v>
      </c>
    </row>
    <row r="3703" spans="1:9" x14ac:dyDescent="0.35">
      <c r="A3703" s="226"/>
      <c r="B3703" s="226"/>
      <c r="C3703" s="226"/>
      <c r="D3703" s="226"/>
      <c r="E3703" s="226"/>
      <c r="F3703" s="226"/>
      <c r="G3703" s="226"/>
      <c r="H3703" s="226"/>
      <c r="I3703" s="9" t="str">
        <f t="shared" si="57"/>
        <v>__</v>
      </c>
    </row>
    <row r="3704" spans="1:9" x14ac:dyDescent="0.35">
      <c r="A3704" s="226"/>
      <c r="B3704" s="226"/>
      <c r="C3704" s="226"/>
      <c r="D3704" s="226"/>
      <c r="E3704" s="226"/>
      <c r="F3704" s="226"/>
      <c r="G3704" s="226"/>
      <c r="H3704" s="226"/>
      <c r="I3704" s="9" t="str">
        <f t="shared" si="57"/>
        <v>__</v>
      </c>
    </row>
    <row r="3705" spans="1:9" x14ac:dyDescent="0.35">
      <c r="A3705" s="226"/>
      <c r="B3705" s="226"/>
      <c r="C3705" s="226"/>
      <c r="D3705" s="226"/>
      <c r="E3705" s="226"/>
      <c r="F3705" s="226"/>
      <c r="G3705" s="226"/>
      <c r="H3705" s="226"/>
      <c r="I3705" s="9" t="str">
        <f t="shared" si="57"/>
        <v>__</v>
      </c>
    </row>
    <row r="3706" spans="1:9" x14ac:dyDescent="0.35">
      <c r="A3706" s="226"/>
      <c r="B3706" s="226"/>
      <c r="C3706" s="226"/>
      <c r="D3706" s="226"/>
      <c r="E3706" s="226"/>
      <c r="F3706" s="226"/>
      <c r="G3706" s="226"/>
      <c r="H3706" s="226"/>
      <c r="I3706" s="9" t="str">
        <f t="shared" si="57"/>
        <v>__</v>
      </c>
    </row>
    <row r="3707" spans="1:9" x14ac:dyDescent="0.35">
      <c r="A3707" s="226"/>
      <c r="B3707" s="226"/>
      <c r="C3707" s="226"/>
      <c r="D3707" s="226"/>
      <c r="E3707" s="226"/>
      <c r="F3707" s="226"/>
      <c r="G3707" s="226"/>
      <c r="H3707" s="226"/>
      <c r="I3707" s="9" t="str">
        <f t="shared" si="57"/>
        <v>__</v>
      </c>
    </row>
    <row r="3708" spans="1:9" x14ac:dyDescent="0.35">
      <c r="A3708" s="226"/>
      <c r="B3708" s="226"/>
      <c r="C3708" s="226"/>
      <c r="D3708" s="226"/>
      <c r="E3708" s="226"/>
      <c r="F3708" s="226"/>
      <c r="G3708" s="226"/>
      <c r="H3708" s="226"/>
      <c r="I3708" s="9" t="str">
        <f t="shared" si="57"/>
        <v>__</v>
      </c>
    </row>
    <row r="3709" spans="1:9" x14ac:dyDescent="0.35">
      <c r="A3709" s="226"/>
      <c r="B3709" s="226"/>
      <c r="C3709" s="226"/>
      <c r="D3709" s="226"/>
      <c r="E3709" s="226"/>
      <c r="F3709" s="226"/>
      <c r="G3709" s="226"/>
      <c r="H3709" s="226"/>
      <c r="I3709" s="9" t="str">
        <f t="shared" si="57"/>
        <v>__</v>
      </c>
    </row>
    <row r="3710" spans="1:9" x14ac:dyDescent="0.35">
      <c r="A3710" s="226"/>
      <c r="B3710" s="226"/>
      <c r="C3710" s="226"/>
      <c r="D3710" s="226"/>
      <c r="E3710" s="226"/>
      <c r="F3710" s="226"/>
      <c r="G3710" s="226"/>
      <c r="H3710" s="226"/>
      <c r="I3710" s="9" t="str">
        <f t="shared" si="57"/>
        <v>__</v>
      </c>
    </row>
    <row r="3711" spans="1:9" x14ac:dyDescent="0.35">
      <c r="A3711" s="226"/>
      <c r="B3711" s="226"/>
      <c r="C3711" s="226"/>
      <c r="D3711" s="226"/>
      <c r="E3711" s="226"/>
      <c r="F3711" s="226"/>
      <c r="G3711" s="226"/>
      <c r="H3711" s="226"/>
      <c r="I3711" s="9" t="str">
        <f t="shared" si="57"/>
        <v>__</v>
      </c>
    </row>
    <row r="3712" spans="1:9" x14ac:dyDescent="0.35">
      <c r="A3712" s="226"/>
      <c r="B3712" s="226"/>
      <c r="C3712" s="226"/>
      <c r="D3712" s="226"/>
      <c r="E3712" s="226"/>
      <c r="F3712" s="226"/>
      <c r="G3712" s="226"/>
      <c r="H3712" s="226"/>
      <c r="I3712" s="9" t="str">
        <f t="shared" si="57"/>
        <v>__</v>
      </c>
    </row>
    <row r="3713" spans="1:9" x14ac:dyDescent="0.35">
      <c r="A3713" s="226"/>
      <c r="B3713" s="226"/>
      <c r="C3713" s="226"/>
      <c r="D3713" s="226"/>
      <c r="E3713" s="226"/>
      <c r="F3713" s="226"/>
      <c r="G3713" s="226"/>
      <c r="H3713" s="226"/>
      <c r="I3713" s="9" t="str">
        <f t="shared" si="57"/>
        <v>__</v>
      </c>
    </row>
    <row r="3714" spans="1:9" x14ac:dyDescent="0.35">
      <c r="A3714" s="226"/>
      <c r="B3714" s="226"/>
      <c r="C3714" s="226"/>
      <c r="D3714" s="226"/>
      <c r="E3714" s="226"/>
      <c r="F3714" s="226"/>
      <c r="G3714" s="226"/>
      <c r="H3714" s="226"/>
      <c r="I3714" s="9" t="str">
        <f t="shared" si="57"/>
        <v>__</v>
      </c>
    </row>
    <row r="3715" spans="1:9" x14ac:dyDescent="0.35">
      <c r="A3715" s="226"/>
      <c r="B3715" s="226"/>
      <c r="C3715" s="226"/>
      <c r="D3715" s="226"/>
      <c r="E3715" s="226"/>
      <c r="F3715" s="226"/>
      <c r="G3715" s="226"/>
      <c r="H3715" s="226"/>
      <c r="I3715" s="9" t="str">
        <f t="shared" si="57"/>
        <v>__</v>
      </c>
    </row>
    <row r="3716" spans="1:9" x14ac:dyDescent="0.35">
      <c r="A3716" s="226"/>
      <c r="B3716" s="226"/>
      <c r="C3716" s="226"/>
      <c r="D3716" s="226"/>
      <c r="E3716" s="226"/>
      <c r="F3716" s="226"/>
      <c r="G3716" s="226"/>
      <c r="H3716" s="226"/>
      <c r="I3716" s="9" t="str">
        <f t="shared" si="57"/>
        <v>__</v>
      </c>
    </row>
    <row r="3717" spans="1:9" x14ac:dyDescent="0.35">
      <c r="A3717" s="226"/>
      <c r="B3717" s="226"/>
      <c r="C3717" s="226"/>
      <c r="D3717" s="226"/>
      <c r="E3717" s="226"/>
      <c r="F3717" s="226"/>
      <c r="G3717" s="226"/>
      <c r="H3717" s="226"/>
      <c r="I3717" s="9" t="str">
        <f t="shared" ref="I3717:I3780" si="58">CONCATENATE(A3717,"_",B3717,"_",C3717)</f>
        <v>__</v>
      </c>
    </row>
    <row r="3718" spans="1:9" x14ac:dyDescent="0.35">
      <c r="A3718" s="226"/>
      <c r="B3718" s="226"/>
      <c r="C3718" s="226"/>
      <c r="D3718" s="226"/>
      <c r="E3718" s="226"/>
      <c r="F3718" s="226"/>
      <c r="G3718" s="226"/>
      <c r="H3718" s="226"/>
      <c r="I3718" s="9" t="str">
        <f t="shared" si="58"/>
        <v>__</v>
      </c>
    </row>
    <row r="3719" spans="1:9" x14ac:dyDescent="0.35">
      <c r="A3719" s="226"/>
      <c r="B3719" s="226"/>
      <c r="C3719" s="226"/>
      <c r="D3719" s="226"/>
      <c r="E3719" s="226"/>
      <c r="F3719" s="226"/>
      <c r="G3719" s="226"/>
      <c r="H3719" s="226"/>
      <c r="I3719" s="9" t="str">
        <f t="shared" si="58"/>
        <v>__</v>
      </c>
    </row>
    <row r="3720" spans="1:9" x14ac:dyDescent="0.35">
      <c r="A3720" s="226"/>
      <c r="B3720" s="226"/>
      <c r="C3720" s="226"/>
      <c r="D3720" s="226"/>
      <c r="E3720" s="226"/>
      <c r="F3720" s="226"/>
      <c r="G3720" s="226"/>
      <c r="H3720" s="226"/>
      <c r="I3720" s="9" t="str">
        <f t="shared" si="58"/>
        <v>__</v>
      </c>
    </row>
    <row r="3721" spans="1:9" x14ac:dyDescent="0.35">
      <c r="A3721" s="226"/>
      <c r="B3721" s="226"/>
      <c r="C3721" s="226"/>
      <c r="D3721" s="226"/>
      <c r="E3721" s="226"/>
      <c r="F3721" s="226"/>
      <c r="G3721" s="226"/>
      <c r="H3721" s="226"/>
      <c r="I3721" s="9" t="str">
        <f t="shared" si="58"/>
        <v>__</v>
      </c>
    </row>
    <row r="3722" spans="1:9" x14ac:dyDescent="0.35">
      <c r="A3722" s="226"/>
      <c r="B3722" s="226"/>
      <c r="C3722" s="226"/>
      <c r="D3722" s="226"/>
      <c r="E3722" s="226"/>
      <c r="F3722" s="226"/>
      <c r="G3722" s="226"/>
      <c r="H3722" s="226"/>
      <c r="I3722" s="9" t="str">
        <f t="shared" si="58"/>
        <v>__</v>
      </c>
    </row>
    <row r="3723" spans="1:9" x14ac:dyDescent="0.35">
      <c r="A3723" s="226"/>
      <c r="B3723" s="226"/>
      <c r="C3723" s="226"/>
      <c r="D3723" s="226"/>
      <c r="E3723" s="226"/>
      <c r="F3723" s="226"/>
      <c r="G3723" s="226"/>
      <c r="H3723" s="226"/>
      <c r="I3723" s="9" t="str">
        <f t="shared" si="58"/>
        <v>__</v>
      </c>
    </row>
    <row r="3724" spans="1:9" x14ac:dyDescent="0.35">
      <c r="A3724" s="226"/>
      <c r="B3724" s="226"/>
      <c r="C3724" s="226"/>
      <c r="D3724" s="226"/>
      <c r="E3724" s="226"/>
      <c r="F3724" s="226"/>
      <c r="G3724" s="226"/>
      <c r="H3724" s="226"/>
      <c r="I3724" s="9" t="str">
        <f t="shared" si="58"/>
        <v>__</v>
      </c>
    </row>
    <row r="3725" spans="1:9" x14ac:dyDescent="0.35">
      <c r="A3725" s="226"/>
      <c r="B3725" s="226"/>
      <c r="C3725" s="226"/>
      <c r="D3725" s="226"/>
      <c r="E3725" s="226"/>
      <c r="F3725" s="226"/>
      <c r="G3725" s="226"/>
      <c r="H3725" s="226"/>
      <c r="I3725" s="9" t="str">
        <f t="shared" si="58"/>
        <v>__</v>
      </c>
    </row>
    <row r="3726" spans="1:9" x14ac:dyDescent="0.35">
      <c r="A3726" s="226"/>
      <c r="B3726" s="226"/>
      <c r="C3726" s="226"/>
      <c r="D3726" s="226"/>
      <c r="E3726" s="226"/>
      <c r="F3726" s="226"/>
      <c r="G3726" s="226"/>
      <c r="H3726" s="226"/>
      <c r="I3726" s="9" t="str">
        <f t="shared" si="58"/>
        <v>__</v>
      </c>
    </row>
    <row r="3727" spans="1:9" x14ac:dyDescent="0.35">
      <c r="A3727" s="226"/>
      <c r="B3727" s="226"/>
      <c r="C3727" s="226"/>
      <c r="D3727" s="226"/>
      <c r="E3727" s="226"/>
      <c r="F3727" s="226"/>
      <c r="G3727" s="226"/>
      <c r="H3727" s="226"/>
      <c r="I3727" s="9" t="str">
        <f t="shared" si="58"/>
        <v>__</v>
      </c>
    </row>
    <row r="3728" spans="1:9" x14ac:dyDescent="0.35">
      <c r="A3728" s="226"/>
      <c r="B3728" s="226"/>
      <c r="C3728" s="226"/>
      <c r="D3728" s="226"/>
      <c r="E3728" s="226"/>
      <c r="F3728" s="226"/>
      <c r="G3728" s="226"/>
      <c r="H3728" s="226"/>
      <c r="I3728" s="9" t="str">
        <f t="shared" si="58"/>
        <v>__</v>
      </c>
    </row>
    <row r="3729" spans="1:9" x14ac:dyDescent="0.35">
      <c r="A3729" s="226"/>
      <c r="B3729" s="226"/>
      <c r="C3729" s="226"/>
      <c r="D3729" s="226"/>
      <c r="E3729" s="226"/>
      <c r="F3729" s="226"/>
      <c r="G3729" s="226"/>
      <c r="H3729" s="226"/>
      <c r="I3729" s="9" t="str">
        <f t="shared" si="58"/>
        <v>__</v>
      </c>
    </row>
    <row r="3730" spans="1:9" x14ac:dyDescent="0.35">
      <c r="A3730" s="226"/>
      <c r="B3730" s="226"/>
      <c r="C3730" s="226"/>
      <c r="D3730" s="226"/>
      <c r="E3730" s="226"/>
      <c r="F3730" s="226"/>
      <c r="G3730" s="226"/>
      <c r="H3730" s="226"/>
      <c r="I3730" s="9" t="str">
        <f t="shared" si="58"/>
        <v>__</v>
      </c>
    </row>
    <row r="3731" spans="1:9" x14ac:dyDescent="0.35">
      <c r="A3731" s="226"/>
      <c r="B3731" s="226"/>
      <c r="C3731" s="226"/>
      <c r="D3731" s="226"/>
      <c r="E3731" s="226"/>
      <c r="F3731" s="226"/>
      <c r="G3731" s="226"/>
      <c r="H3731" s="226"/>
      <c r="I3731" s="9" t="str">
        <f t="shared" si="58"/>
        <v>__</v>
      </c>
    </row>
    <row r="3732" spans="1:9" x14ac:dyDescent="0.35">
      <c r="A3732" s="226"/>
      <c r="B3732" s="226"/>
      <c r="C3732" s="226"/>
      <c r="D3732" s="226"/>
      <c r="E3732" s="226"/>
      <c r="F3732" s="226"/>
      <c r="G3732" s="226"/>
      <c r="H3732" s="226"/>
      <c r="I3732" s="9" t="str">
        <f t="shared" si="58"/>
        <v>__</v>
      </c>
    </row>
    <row r="3733" spans="1:9" x14ac:dyDescent="0.35">
      <c r="A3733" s="226"/>
      <c r="B3733" s="226"/>
      <c r="C3733" s="226"/>
      <c r="D3733" s="226"/>
      <c r="E3733" s="226"/>
      <c r="F3733" s="226"/>
      <c r="G3733" s="226"/>
      <c r="H3733" s="226"/>
      <c r="I3733" s="9" t="str">
        <f t="shared" si="58"/>
        <v>__</v>
      </c>
    </row>
    <row r="3734" spans="1:9" x14ac:dyDescent="0.35">
      <c r="A3734" s="226"/>
      <c r="B3734" s="226"/>
      <c r="C3734" s="226"/>
      <c r="D3734" s="226"/>
      <c r="E3734" s="226"/>
      <c r="F3734" s="226"/>
      <c r="G3734" s="226"/>
      <c r="H3734" s="226"/>
      <c r="I3734" s="9" t="str">
        <f t="shared" si="58"/>
        <v>__</v>
      </c>
    </row>
    <row r="3735" spans="1:9" x14ac:dyDescent="0.35">
      <c r="A3735" s="226"/>
      <c r="B3735" s="226"/>
      <c r="C3735" s="226"/>
      <c r="D3735" s="226"/>
      <c r="E3735" s="226"/>
      <c r="F3735" s="226"/>
      <c r="G3735" s="226"/>
      <c r="H3735" s="226"/>
      <c r="I3735" s="9" t="str">
        <f t="shared" si="58"/>
        <v>__</v>
      </c>
    </row>
    <row r="3736" spans="1:9" x14ac:dyDescent="0.35">
      <c r="A3736" s="226"/>
      <c r="B3736" s="226"/>
      <c r="C3736" s="226"/>
      <c r="D3736" s="226"/>
      <c r="E3736" s="226"/>
      <c r="F3736" s="226"/>
      <c r="G3736" s="226"/>
      <c r="H3736" s="226"/>
      <c r="I3736" s="9" t="str">
        <f t="shared" si="58"/>
        <v>__</v>
      </c>
    </row>
    <row r="3737" spans="1:9" x14ac:dyDescent="0.35">
      <c r="A3737" s="226"/>
      <c r="B3737" s="226"/>
      <c r="C3737" s="226"/>
      <c r="D3737" s="226"/>
      <c r="E3737" s="226"/>
      <c r="F3737" s="226"/>
      <c r="G3737" s="226"/>
      <c r="H3737" s="226"/>
      <c r="I3737" s="9" t="str">
        <f t="shared" si="58"/>
        <v>__</v>
      </c>
    </row>
    <row r="3738" spans="1:9" x14ac:dyDescent="0.35">
      <c r="A3738" s="226"/>
      <c r="B3738" s="226"/>
      <c r="C3738" s="226"/>
      <c r="D3738" s="226"/>
      <c r="E3738" s="226"/>
      <c r="F3738" s="226"/>
      <c r="G3738" s="226"/>
      <c r="H3738" s="226"/>
      <c r="I3738" s="9" t="str">
        <f t="shared" si="58"/>
        <v>__</v>
      </c>
    </row>
    <row r="3739" spans="1:9" x14ac:dyDescent="0.35">
      <c r="A3739" s="226"/>
      <c r="B3739" s="226"/>
      <c r="C3739" s="226"/>
      <c r="D3739" s="226"/>
      <c r="E3739" s="226"/>
      <c r="F3739" s="226"/>
      <c r="G3739" s="226"/>
      <c r="H3739" s="226"/>
      <c r="I3739" s="9" t="str">
        <f t="shared" si="58"/>
        <v>__</v>
      </c>
    </row>
    <row r="3740" spans="1:9" x14ac:dyDescent="0.35">
      <c r="A3740" s="226"/>
      <c r="B3740" s="226"/>
      <c r="C3740" s="226"/>
      <c r="D3740" s="226"/>
      <c r="E3740" s="226"/>
      <c r="F3740" s="226"/>
      <c r="G3740" s="226"/>
      <c r="H3740" s="226"/>
      <c r="I3740" s="9" t="str">
        <f t="shared" si="58"/>
        <v>__</v>
      </c>
    </row>
    <row r="3741" spans="1:9" x14ac:dyDescent="0.35">
      <c r="A3741" s="226"/>
      <c r="B3741" s="226"/>
      <c r="C3741" s="226"/>
      <c r="D3741" s="226"/>
      <c r="E3741" s="226"/>
      <c r="F3741" s="226"/>
      <c r="G3741" s="226"/>
      <c r="H3741" s="226"/>
      <c r="I3741" s="9" t="str">
        <f t="shared" si="58"/>
        <v>__</v>
      </c>
    </row>
    <row r="3742" spans="1:9" x14ac:dyDescent="0.35">
      <c r="A3742" s="226"/>
      <c r="B3742" s="226"/>
      <c r="C3742" s="226"/>
      <c r="D3742" s="226"/>
      <c r="E3742" s="226"/>
      <c r="F3742" s="226"/>
      <c r="G3742" s="226"/>
      <c r="H3742" s="226"/>
      <c r="I3742" s="9" t="str">
        <f t="shared" si="58"/>
        <v>__</v>
      </c>
    </row>
    <row r="3743" spans="1:9" x14ac:dyDescent="0.35">
      <c r="A3743" s="226"/>
      <c r="B3743" s="226"/>
      <c r="C3743" s="226"/>
      <c r="D3743" s="226"/>
      <c r="E3743" s="226"/>
      <c r="F3743" s="226"/>
      <c r="G3743" s="226"/>
      <c r="H3743" s="226"/>
      <c r="I3743" s="9" t="str">
        <f t="shared" si="58"/>
        <v>__</v>
      </c>
    </row>
    <row r="3744" spans="1:9" x14ac:dyDescent="0.35">
      <c r="A3744" s="226"/>
      <c r="B3744" s="226"/>
      <c r="C3744" s="226"/>
      <c r="D3744" s="226"/>
      <c r="E3744" s="226"/>
      <c r="F3744" s="226"/>
      <c r="G3744" s="226"/>
      <c r="H3744" s="226"/>
      <c r="I3744" s="9" t="str">
        <f t="shared" si="58"/>
        <v>__</v>
      </c>
    </row>
    <row r="3745" spans="1:9" x14ac:dyDescent="0.35">
      <c r="A3745" s="226"/>
      <c r="B3745" s="226"/>
      <c r="C3745" s="226"/>
      <c r="D3745" s="226"/>
      <c r="E3745" s="226"/>
      <c r="F3745" s="226"/>
      <c r="G3745" s="226"/>
      <c r="H3745" s="226"/>
      <c r="I3745" s="9" t="str">
        <f t="shared" si="58"/>
        <v>__</v>
      </c>
    </row>
    <row r="3746" spans="1:9" x14ac:dyDescent="0.35">
      <c r="A3746" s="226"/>
      <c r="B3746" s="226"/>
      <c r="C3746" s="226"/>
      <c r="D3746" s="226"/>
      <c r="E3746" s="226"/>
      <c r="F3746" s="226"/>
      <c r="G3746" s="226"/>
      <c r="H3746" s="226"/>
      <c r="I3746" s="9" t="str">
        <f t="shared" si="58"/>
        <v>__</v>
      </c>
    </row>
    <row r="3747" spans="1:9" x14ac:dyDescent="0.35">
      <c r="A3747" s="226"/>
      <c r="B3747" s="226"/>
      <c r="C3747" s="226"/>
      <c r="D3747" s="226"/>
      <c r="E3747" s="226"/>
      <c r="F3747" s="226"/>
      <c r="G3747" s="226"/>
      <c r="H3747" s="226"/>
      <c r="I3747" s="9" t="str">
        <f t="shared" si="58"/>
        <v>__</v>
      </c>
    </row>
    <row r="3748" spans="1:9" x14ac:dyDescent="0.35">
      <c r="A3748" s="226"/>
      <c r="B3748" s="226"/>
      <c r="C3748" s="226"/>
      <c r="D3748" s="226"/>
      <c r="E3748" s="226"/>
      <c r="F3748" s="226"/>
      <c r="G3748" s="226"/>
      <c r="H3748" s="226"/>
      <c r="I3748" s="9" t="str">
        <f t="shared" si="58"/>
        <v>__</v>
      </c>
    </row>
    <row r="3749" spans="1:9" x14ac:dyDescent="0.35">
      <c r="A3749" s="226"/>
      <c r="B3749" s="226"/>
      <c r="C3749" s="226"/>
      <c r="D3749" s="226"/>
      <c r="E3749" s="226"/>
      <c r="F3749" s="226"/>
      <c r="G3749" s="226"/>
      <c r="H3749" s="226"/>
      <c r="I3749" s="9" t="str">
        <f t="shared" si="58"/>
        <v>__</v>
      </c>
    </row>
    <row r="3750" spans="1:9" x14ac:dyDescent="0.35">
      <c r="A3750" s="226"/>
      <c r="B3750" s="226"/>
      <c r="C3750" s="226"/>
      <c r="D3750" s="226"/>
      <c r="E3750" s="226"/>
      <c r="F3750" s="226"/>
      <c r="G3750" s="226"/>
      <c r="H3750" s="226"/>
      <c r="I3750" s="9" t="str">
        <f t="shared" si="58"/>
        <v>__</v>
      </c>
    </row>
    <row r="3751" spans="1:9" x14ac:dyDescent="0.35">
      <c r="A3751" s="226"/>
      <c r="B3751" s="226"/>
      <c r="C3751" s="226"/>
      <c r="D3751" s="226"/>
      <c r="E3751" s="226"/>
      <c r="F3751" s="226"/>
      <c r="G3751" s="226"/>
      <c r="H3751" s="226"/>
      <c r="I3751" s="9" t="str">
        <f t="shared" si="58"/>
        <v>__</v>
      </c>
    </row>
    <row r="3752" spans="1:9" x14ac:dyDescent="0.35">
      <c r="A3752" s="226"/>
      <c r="B3752" s="226"/>
      <c r="C3752" s="226"/>
      <c r="D3752" s="226"/>
      <c r="E3752" s="226"/>
      <c r="F3752" s="226"/>
      <c r="G3752" s="226"/>
      <c r="H3752" s="226"/>
      <c r="I3752" s="9" t="str">
        <f t="shared" si="58"/>
        <v>__</v>
      </c>
    </row>
    <row r="3753" spans="1:9" x14ac:dyDescent="0.35">
      <c r="A3753" s="226"/>
      <c r="B3753" s="226"/>
      <c r="C3753" s="226"/>
      <c r="D3753" s="226"/>
      <c r="E3753" s="226"/>
      <c r="F3753" s="226"/>
      <c r="G3753" s="226"/>
      <c r="H3753" s="226"/>
      <c r="I3753" s="9" t="str">
        <f t="shared" si="58"/>
        <v>__</v>
      </c>
    </row>
    <row r="3754" spans="1:9" x14ac:dyDescent="0.35">
      <c r="A3754" s="226"/>
      <c r="B3754" s="226"/>
      <c r="C3754" s="226"/>
      <c r="D3754" s="226"/>
      <c r="E3754" s="226"/>
      <c r="F3754" s="226"/>
      <c r="G3754" s="226"/>
      <c r="H3754" s="226"/>
      <c r="I3754" s="9" t="str">
        <f t="shared" si="58"/>
        <v>__</v>
      </c>
    </row>
    <row r="3755" spans="1:9" x14ac:dyDescent="0.35">
      <c r="A3755" s="226"/>
      <c r="B3755" s="226"/>
      <c r="C3755" s="226"/>
      <c r="D3755" s="226"/>
      <c r="E3755" s="226"/>
      <c r="F3755" s="226"/>
      <c r="G3755" s="226"/>
      <c r="H3755" s="226"/>
      <c r="I3755" s="9" t="str">
        <f t="shared" si="58"/>
        <v>__</v>
      </c>
    </row>
    <row r="3756" spans="1:9" x14ac:dyDescent="0.35">
      <c r="A3756" s="226"/>
      <c r="B3756" s="226"/>
      <c r="C3756" s="226"/>
      <c r="D3756" s="226"/>
      <c r="E3756" s="226"/>
      <c r="F3756" s="226"/>
      <c r="G3756" s="226"/>
      <c r="H3756" s="226"/>
      <c r="I3756" s="9" t="str">
        <f t="shared" si="58"/>
        <v>__</v>
      </c>
    </row>
    <row r="3757" spans="1:9" x14ac:dyDescent="0.35">
      <c r="A3757" s="226"/>
      <c r="B3757" s="226"/>
      <c r="C3757" s="226"/>
      <c r="D3757" s="226"/>
      <c r="E3757" s="226"/>
      <c r="F3757" s="226"/>
      <c r="G3757" s="226"/>
      <c r="H3757" s="226"/>
      <c r="I3757" s="9" t="str">
        <f t="shared" si="58"/>
        <v>__</v>
      </c>
    </row>
    <row r="3758" spans="1:9" x14ac:dyDescent="0.35">
      <c r="A3758" s="226"/>
      <c r="B3758" s="226"/>
      <c r="C3758" s="226"/>
      <c r="D3758" s="226"/>
      <c r="E3758" s="226"/>
      <c r="F3758" s="226"/>
      <c r="G3758" s="226"/>
      <c r="H3758" s="226"/>
      <c r="I3758" s="9" t="str">
        <f t="shared" si="58"/>
        <v>__</v>
      </c>
    </row>
    <row r="3759" spans="1:9" x14ac:dyDescent="0.35">
      <c r="A3759" s="226"/>
      <c r="B3759" s="226"/>
      <c r="C3759" s="226"/>
      <c r="D3759" s="226"/>
      <c r="E3759" s="226"/>
      <c r="F3759" s="226"/>
      <c r="G3759" s="226"/>
      <c r="H3759" s="226"/>
      <c r="I3759" s="9" t="str">
        <f t="shared" si="58"/>
        <v>__</v>
      </c>
    </row>
    <row r="3760" spans="1:9" x14ac:dyDescent="0.35">
      <c r="A3760" s="226"/>
      <c r="B3760" s="226"/>
      <c r="C3760" s="226"/>
      <c r="D3760" s="226"/>
      <c r="E3760" s="226"/>
      <c r="F3760" s="226"/>
      <c r="G3760" s="226"/>
      <c r="H3760" s="226"/>
      <c r="I3760" s="9" t="str">
        <f t="shared" si="58"/>
        <v>__</v>
      </c>
    </row>
    <row r="3761" spans="1:9" x14ac:dyDescent="0.35">
      <c r="A3761" s="226"/>
      <c r="B3761" s="226"/>
      <c r="C3761" s="226"/>
      <c r="D3761" s="226"/>
      <c r="E3761" s="226"/>
      <c r="F3761" s="226"/>
      <c r="G3761" s="226"/>
      <c r="H3761" s="226"/>
      <c r="I3761" s="9" t="str">
        <f t="shared" si="58"/>
        <v>__</v>
      </c>
    </row>
    <row r="3762" spans="1:9" x14ac:dyDescent="0.35">
      <c r="A3762" s="226"/>
      <c r="B3762" s="226"/>
      <c r="C3762" s="226"/>
      <c r="D3762" s="226"/>
      <c r="E3762" s="226"/>
      <c r="F3762" s="226"/>
      <c r="G3762" s="226"/>
      <c r="H3762" s="226"/>
      <c r="I3762" s="9" t="str">
        <f t="shared" si="58"/>
        <v>__</v>
      </c>
    </row>
    <row r="3763" spans="1:9" x14ac:dyDescent="0.35">
      <c r="A3763" s="226"/>
      <c r="B3763" s="226"/>
      <c r="C3763" s="226"/>
      <c r="D3763" s="226"/>
      <c r="E3763" s="226"/>
      <c r="F3763" s="226"/>
      <c r="G3763" s="226"/>
      <c r="H3763" s="226"/>
      <c r="I3763" s="9" t="str">
        <f t="shared" si="58"/>
        <v>__</v>
      </c>
    </row>
    <row r="3764" spans="1:9" x14ac:dyDescent="0.35">
      <c r="A3764" s="226"/>
      <c r="B3764" s="226"/>
      <c r="C3764" s="226"/>
      <c r="D3764" s="226"/>
      <c r="E3764" s="226"/>
      <c r="F3764" s="226"/>
      <c r="G3764" s="226"/>
      <c r="H3764" s="226"/>
      <c r="I3764" s="9" t="str">
        <f t="shared" si="58"/>
        <v>__</v>
      </c>
    </row>
    <row r="3765" spans="1:9" x14ac:dyDescent="0.35">
      <c r="A3765" s="226"/>
      <c r="B3765" s="226"/>
      <c r="C3765" s="226"/>
      <c r="D3765" s="226"/>
      <c r="E3765" s="226"/>
      <c r="F3765" s="226"/>
      <c r="G3765" s="226"/>
      <c r="H3765" s="226"/>
      <c r="I3765" s="9" t="str">
        <f t="shared" si="58"/>
        <v>__</v>
      </c>
    </row>
    <row r="3766" spans="1:9" x14ac:dyDescent="0.35">
      <c r="A3766" s="226"/>
      <c r="B3766" s="226"/>
      <c r="C3766" s="226"/>
      <c r="D3766" s="226"/>
      <c r="E3766" s="226"/>
      <c r="F3766" s="226"/>
      <c r="G3766" s="226"/>
      <c r="H3766" s="226"/>
      <c r="I3766" s="9" t="str">
        <f t="shared" si="58"/>
        <v>__</v>
      </c>
    </row>
    <row r="3767" spans="1:9" x14ac:dyDescent="0.35">
      <c r="A3767" s="226"/>
      <c r="B3767" s="226"/>
      <c r="C3767" s="226"/>
      <c r="D3767" s="226"/>
      <c r="E3767" s="226"/>
      <c r="F3767" s="226"/>
      <c r="G3767" s="226"/>
      <c r="H3767" s="226"/>
      <c r="I3767" s="9" t="str">
        <f t="shared" si="58"/>
        <v>__</v>
      </c>
    </row>
    <row r="3768" spans="1:9" x14ac:dyDescent="0.35">
      <c r="A3768" s="226"/>
      <c r="B3768" s="226"/>
      <c r="C3768" s="226"/>
      <c r="D3768" s="226"/>
      <c r="E3768" s="226"/>
      <c r="F3768" s="226"/>
      <c r="G3768" s="226"/>
      <c r="H3768" s="226"/>
      <c r="I3768" s="9" t="str">
        <f t="shared" si="58"/>
        <v>__</v>
      </c>
    </row>
    <row r="3769" spans="1:9" x14ac:dyDescent="0.35">
      <c r="A3769" s="226"/>
      <c r="B3769" s="226"/>
      <c r="C3769" s="226"/>
      <c r="D3769" s="226"/>
      <c r="E3769" s="226"/>
      <c r="F3769" s="226"/>
      <c r="G3769" s="226"/>
      <c r="H3769" s="226"/>
      <c r="I3769" s="9" t="str">
        <f t="shared" si="58"/>
        <v>__</v>
      </c>
    </row>
    <row r="3770" spans="1:9" x14ac:dyDescent="0.35">
      <c r="A3770" s="226"/>
      <c r="B3770" s="226"/>
      <c r="C3770" s="226"/>
      <c r="D3770" s="226"/>
      <c r="E3770" s="226"/>
      <c r="F3770" s="226"/>
      <c r="G3770" s="226"/>
      <c r="H3770" s="226"/>
      <c r="I3770" s="9" t="str">
        <f t="shared" si="58"/>
        <v>__</v>
      </c>
    </row>
    <row r="3771" spans="1:9" x14ac:dyDescent="0.35">
      <c r="A3771" s="226"/>
      <c r="B3771" s="226"/>
      <c r="C3771" s="226"/>
      <c r="D3771" s="226"/>
      <c r="E3771" s="226"/>
      <c r="F3771" s="226"/>
      <c r="G3771" s="226"/>
      <c r="H3771" s="226"/>
      <c r="I3771" s="9" t="str">
        <f t="shared" si="58"/>
        <v>__</v>
      </c>
    </row>
    <row r="3772" spans="1:9" x14ac:dyDescent="0.35">
      <c r="A3772" s="226"/>
      <c r="B3772" s="226"/>
      <c r="C3772" s="226"/>
      <c r="D3772" s="226"/>
      <c r="E3772" s="226"/>
      <c r="F3772" s="226"/>
      <c r="G3772" s="226"/>
      <c r="H3772" s="226"/>
      <c r="I3772" s="9" t="str">
        <f t="shared" si="58"/>
        <v>__</v>
      </c>
    </row>
    <row r="3773" spans="1:9" x14ac:dyDescent="0.35">
      <c r="A3773" s="226"/>
      <c r="B3773" s="226"/>
      <c r="C3773" s="226"/>
      <c r="D3773" s="226"/>
      <c r="E3773" s="226"/>
      <c r="F3773" s="226"/>
      <c r="G3773" s="226"/>
      <c r="H3773" s="226"/>
      <c r="I3773" s="9" t="str">
        <f t="shared" si="58"/>
        <v>__</v>
      </c>
    </row>
    <row r="3774" spans="1:9" x14ac:dyDescent="0.35">
      <c r="A3774" s="226"/>
      <c r="B3774" s="226"/>
      <c r="C3774" s="226"/>
      <c r="D3774" s="226"/>
      <c r="E3774" s="226"/>
      <c r="F3774" s="226"/>
      <c r="G3774" s="226"/>
      <c r="H3774" s="226"/>
      <c r="I3774" s="9" t="str">
        <f t="shared" si="58"/>
        <v>__</v>
      </c>
    </row>
    <row r="3775" spans="1:9" x14ac:dyDescent="0.35">
      <c r="A3775" s="226"/>
      <c r="B3775" s="226"/>
      <c r="C3775" s="226"/>
      <c r="D3775" s="226"/>
      <c r="E3775" s="226"/>
      <c r="F3775" s="226"/>
      <c r="G3775" s="226"/>
      <c r="H3775" s="226"/>
      <c r="I3775" s="9" t="str">
        <f t="shared" si="58"/>
        <v>__</v>
      </c>
    </row>
    <row r="3776" spans="1:9" x14ac:dyDescent="0.35">
      <c r="A3776" s="226"/>
      <c r="B3776" s="226"/>
      <c r="C3776" s="226"/>
      <c r="D3776" s="226"/>
      <c r="E3776" s="226"/>
      <c r="F3776" s="226"/>
      <c r="G3776" s="226"/>
      <c r="H3776" s="226"/>
      <c r="I3776" s="9" t="str">
        <f t="shared" si="58"/>
        <v>__</v>
      </c>
    </row>
    <row r="3777" spans="1:9" x14ac:dyDescent="0.35">
      <c r="A3777" s="226"/>
      <c r="B3777" s="226"/>
      <c r="C3777" s="226"/>
      <c r="D3777" s="226"/>
      <c r="E3777" s="226"/>
      <c r="F3777" s="226"/>
      <c r="G3777" s="226"/>
      <c r="H3777" s="226"/>
      <c r="I3777" s="9" t="str">
        <f t="shared" si="58"/>
        <v>__</v>
      </c>
    </row>
    <row r="3778" spans="1:9" x14ac:dyDescent="0.35">
      <c r="A3778" s="226"/>
      <c r="B3778" s="226"/>
      <c r="C3778" s="226"/>
      <c r="D3778" s="226"/>
      <c r="E3778" s="226"/>
      <c r="F3778" s="226"/>
      <c r="G3778" s="226"/>
      <c r="H3778" s="226"/>
      <c r="I3778" s="9" t="str">
        <f t="shared" si="58"/>
        <v>__</v>
      </c>
    </row>
    <row r="3779" spans="1:9" x14ac:dyDescent="0.35">
      <c r="A3779" s="226"/>
      <c r="B3779" s="226"/>
      <c r="C3779" s="226"/>
      <c r="D3779" s="226"/>
      <c r="E3779" s="226"/>
      <c r="F3779" s="226"/>
      <c r="G3779" s="226"/>
      <c r="H3779" s="226"/>
      <c r="I3779" s="9" t="str">
        <f t="shared" si="58"/>
        <v>__</v>
      </c>
    </row>
    <row r="3780" spans="1:9" x14ac:dyDescent="0.35">
      <c r="A3780" s="226"/>
      <c r="B3780" s="226"/>
      <c r="C3780" s="226"/>
      <c r="D3780" s="226"/>
      <c r="E3780" s="226"/>
      <c r="F3780" s="226"/>
      <c r="G3780" s="226"/>
      <c r="H3780" s="226"/>
      <c r="I3780" s="9" t="str">
        <f t="shared" si="58"/>
        <v>__</v>
      </c>
    </row>
    <row r="3781" spans="1:9" x14ac:dyDescent="0.35">
      <c r="A3781" s="226"/>
      <c r="B3781" s="226"/>
      <c r="C3781" s="226"/>
      <c r="D3781" s="226"/>
      <c r="E3781" s="226"/>
      <c r="F3781" s="226"/>
      <c r="G3781" s="226"/>
      <c r="H3781" s="226"/>
      <c r="I3781" s="9" t="str">
        <f t="shared" ref="I3781:I3844" si="59">CONCATENATE(A3781,"_",B3781,"_",C3781)</f>
        <v>__</v>
      </c>
    </row>
    <row r="3782" spans="1:9" x14ac:dyDescent="0.35">
      <c r="A3782" s="226"/>
      <c r="B3782" s="226"/>
      <c r="C3782" s="226"/>
      <c r="D3782" s="226"/>
      <c r="E3782" s="226"/>
      <c r="F3782" s="226"/>
      <c r="G3782" s="226"/>
      <c r="H3782" s="226"/>
      <c r="I3782" s="9" t="str">
        <f t="shared" si="59"/>
        <v>__</v>
      </c>
    </row>
    <row r="3783" spans="1:9" x14ac:dyDescent="0.35">
      <c r="A3783" s="226"/>
      <c r="B3783" s="226"/>
      <c r="C3783" s="226"/>
      <c r="D3783" s="226"/>
      <c r="E3783" s="226"/>
      <c r="F3783" s="226"/>
      <c r="G3783" s="226"/>
      <c r="H3783" s="226"/>
      <c r="I3783" s="9" t="str">
        <f t="shared" si="59"/>
        <v>__</v>
      </c>
    </row>
    <row r="3784" spans="1:9" x14ac:dyDescent="0.35">
      <c r="A3784" s="226"/>
      <c r="B3784" s="226"/>
      <c r="C3784" s="226"/>
      <c r="D3784" s="226"/>
      <c r="E3784" s="226"/>
      <c r="F3784" s="226"/>
      <c r="G3784" s="226"/>
      <c r="H3784" s="226"/>
      <c r="I3784" s="9" t="str">
        <f t="shared" si="59"/>
        <v>__</v>
      </c>
    </row>
    <row r="3785" spans="1:9" x14ac:dyDescent="0.35">
      <c r="A3785" s="226"/>
      <c r="B3785" s="226"/>
      <c r="C3785" s="226"/>
      <c r="D3785" s="226"/>
      <c r="E3785" s="226"/>
      <c r="F3785" s="226"/>
      <c r="G3785" s="226"/>
      <c r="H3785" s="226"/>
      <c r="I3785" s="9" t="str">
        <f t="shared" si="59"/>
        <v>__</v>
      </c>
    </row>
    <row r="3786" spans="1:9" x14ac:dyDescent="0.35">
      <c r="A3786" s="226"/>
      <c r="B3786" s="226"/>
      <c r="C3786" s="226"/>
      <c r="D3786" s="226"/>
      <c r="E3786" s="226"/>
      <c r="F3786" s="226"/>
      <c r="G3786" s="226"/>
      <c r="H3786" s="226"/>
      <c r="I3786" s="9" t="str">
        <f t="shared" si="59"/>
        <v>__</v>
      </c>
    </row>
    <row r="3787" spans="1:9" x14ac:dyDescent="0.35">
      <c r="A3787" s="226"/>
      <c r="B3787" s="226"/>
      <c r="C3787" s="226"/>
      <c r="D3787" s="226"/>
      <c r="E3787" s="226"/>
      <c r="F3787" s="226"/>
      <c r="G3787" s="226"/>
      <c r="H3787" s="226"/>
      <c r="I3787" s="9" t="str">
        <f t="shared" si="59"/>
        <v>__</v>
      </c>
    </row>
    <row r="3788" spans="1:9" x14ac:dyDescent="0.35">
      <c r="A3788" s="226"/>
      <c r="B3788" s="226"/>
      <c r="C3788" s="226"/>
      <c r="D3788" s="226"/>
      <c r="E3788" s="226"/>
      <c r="F3788" s="226"/>
      <c r="G3788" s="226"/>
      <c r="H3788" s="226"/>
      <c r="I3788" s="9" t="str">
        <f t="shared" si="59"/>
        <v>__</v>
      </c>
    </row>
    <row r="3789" spans="1:9" x14ac:dyDescent="0.35">
      <c r="A3789" s="226"/>
      <c r="B3789" s="226"/>
      <c r="C3789" s="226"/>
      <c r="D3789" s="226"/>
      <c r="E3789" s="226"/>
      <c r="F3789" s="226"/>
      <c r="G3789" s="226"/>
      <c r="H3789" s="226"/>
      <c r="I3789" s="9" t="str">
        <f t="shared" si="59"/>
        <v>__</v>
      </c>
    </row>
    <row r="3790" spans="1:9" x14ac:dyDescent="0.35">
      <c r="A3790" s="226"/>
      <c r="B3790" s="226"/>
      <c r="C3790" s="226"/>
      <c r="D3790" s="226"/>
      <c r="E3790" s="226"/>
      <c r="F3790" s="226"/>
      <c r="G3790" s="226"/>
      <c r="H3790" s="226"/>
      <c r="I3790" s="9" t="str">
        <f t="shared" si="59"/>
        <v>__</v>
      </c>
    </row>
    <row r="3791" spans="1:9" x14ac:dyDescent="0.35">
      <c r="A3791" s="226"/>
      <c r="B3791" s="226"/>
      <c r="C3791" s="226"/>
      <c r="D3791" s="226"/>
      <c r="E3791" s="226"/>
      <c r="F3791" s="226"/>
      <c r="G3791" s="226"/>
      <c r="H3791" s="226"/>
      <c r="I3791" s="9" t="str">
        <f t="shared" si="59"/>
        <v>__</v>
      </c>
    </row>
    <row r="3792" spans="1:9" x14ac:dyDescent="0.35">
      <c r="A3792" s="226"/>
      <c r="B3792" s="226"/>
      <c r="C3792" s="226"/>
      <c r="D3792" s="226"/>
      <c r="E3792" s="226"/>
      <c r="F3792" s="226"/>
      <c r="G3792" s="226"/>
      <c r="H3792" s="226"/>
      <c r="I3792" s="9" t="str">
        <f t="shared" si="59"/>
        <v>__</v>
      </c>
    </row>
    <row r="3793" spans="1:9" x14ac:dyDescent="0.35">
      <c r="A3793" s="226"/>
      <c r="B3793" s="226"/>
      <c r="C3793" s="226"/>
      <c r="D3793" s="226"/>
      <c r="E3793" s="226"/>
      <c r="F3793" s="226"/>
      <c r="G3793" s="226"/>
      <c r="H3793" s="226"/>
      <c r="I3793" s="9" t="str">
        <f t="shared" si="59"/>
        <v>__</v>
      </c>
    </row>
    <row r="3794" spans="1:9" x14ac:dyDescent="0.35">
      <c r="A3794" s="226"/>
      <c r="B3794" s="226"/>
      <c r="C3794" s="226"/>
      <c r="D3794" s="226"/>
      <c r="E3794" s="226"/>
      <c r="F3794" s="226"/>
      <c r="G3794" s="226"/>
      <c r="H3794" s="226"/>
      <c r="I3794" s="9" t="str">
        <f t="shared" si="59"/>
        <v>__</v>
      </c>
    </row>
    <row r="3795" spans="1:9" x14ac:dyDescent="0.35">
      <c r="A3795" s="226"/>
      <c r="B3795" s="226"/>
      <c r="C3795" s="226"/>
      <c r="D3795" s="226"/>
      <c r="E3795" s="226"/>
      <c r="F3795" s="226"/>
      <c r="G3795" s="226"/>
      <c r="H3795" s="226"/>
      <c r="I3795" s="9" t="str">
        <f t="shared" si="59"/>
        <v>__</v>
      </c>
    </row>
    <row r="3796" spans="1:9" x14ac:dyDescent="0.35">
      <c r="A3796" s="226"/>
      <c r="B3796" s="226"/>
      <c r="C3796" s="226"/>
      <c r="D3796" s="226"/>
      <c r="E3796" s="226"/>
      <c r="F3796" s="226"/>
      <c r="G3796" s="226"/>
      <c r="H3796" s="226"/>
      <c r="I3796" s="9" t="str">
        <f t="shared" si="59"/>
        <v>__</v>
      </c>
    </row>
    <row r="3797" spans="1:9" x14ac:dyDescent="0.35">
      <c r="A3797" s="226"/>
      <c r="B3797" s="226"/>
      <c r="C3797" s="226"/>
      <c r="D3797" s="226"/>
      <c r="E3797" s="226"/>
      <c r="F3797" s="226"/>
      <c r="G3797" s="226"/>
      <c r="H3797" s="226"/>
      <c r="I3797" s="9" t="str">
        <f t="shared" si="59"/>
        <v>__</v>
      </c>
    </row>
    <row r="3798" spans="1:9" x14ac:dyDescent="0.35">
      <c r="A3798" s="226"/>
      <c r="B3798" s="226"/>
      <c r="C3798" s="226"/>
      <c r="D3798" s="226"/>
      <c r="E3798" s="226"/>
      <c r="F3798" s="226"/>
      <c r="G3798" s="226"/>
      <c r="H3798" s="226"/>
      <c r="I3798" s="9" t="str">
        <f t="shared" si="59"/>
        <v>__</v>
      </c>
    </row>
    <row r="3799" spans="1:9" x14ac:dyDescent="0.35">
      <c r="A3799" s="226"/>
      <c r="B3799" s="226"/>
      <c r="C3799" s="226"/>
      <c r="D3799" s="226"/>
      <c r="E3799" s="226"/>
      <c r="F3799" s="226"/>
      <c r="G3799" s="226"/>
      <c r="H3799" s="226"/>
      <c r="I3799" s="9" t="str">
        <f t="shared" si="59"/>
        <v>__</v>
      </c>
    </row>
    <row r="3800" spans="1:9" x14ac:dyDescent="0.35">
      <c r="A3800" s="226"/>
      <c r="B3800" s="226"/>
      <c r="C3800" s="226"/>
      <c r="D3800" s="226"/>
      <c r="E3800" s="226"/>
      <c r="F3800" s="226"/>
      <c r="G3800" s="226"/>
      <c r="H3800" s="226"/>
      <c r="I3800" s="9" t="str">
        <f t="shared" si="59"/>
        <v>__</v>
      </c>
    </row>
    <row r="3801" spans="1:9" x14ac:dyDescent="0.35">
      <c r="A3801" s="226"/>
      <c r="B3801" s="226"/>
      <c r="C3801" s="226"/>
      <c r="D3801" s="226"/>
      <c r="E3801" s="226"/>
      <c r="F3801" s="226"/>
      <c r="G3801" s="226"/>
      <c r="H3801" s="226"/>
      <c r="I3801" s="9" t="str">
        <f t="shared" si="59"/>
        <v>__</v>
      </c>
    </row>
    <row r="3802" spans="1:9" x14ac:dyDescent="0.35">
      <c r="A3802" s="226"/>
      <c r="B3802" s="226"/>
      <c r="C3802" s="226"/>
      <c r="D3802" s="226"/>
      <c r="E3802" s="226"/>
      <c r="F3802" s="226"/>
      <c r="G3802" s="226"/>
      <c r="H3802" s="226"/>
      <c r="I3802" s="9" t="str">
        <f t="shared" si="59"/>
        <v>__</v>
      </c>
    </row>
    <row r="3803" spans="1:9" x14ac:dyDescent="0.35">
      <c r="A3803" s="226"/>
      <c r="B3803" s="226"/>
      <c r="C3803" s="226"/>
      <c r="D3803" s="226"/>
      <c r="E3803" s="226"/>
      <c r="F3803" s="226"/>
      <c r="G3803" s="226"/>
      <c r="H3803" s="226"/>
      <c r="I3803" s="9" t="str">
        <f t="shared" si="59"/>
        <v>__</v>
      </c>
    </row>
    <row r="3804" spans="1:9" x14ac:dyDescent="0.35">
      <c r="A3804" s="226"/>
      <c r="B3804" s="226"/>
      <c r="C3804" s="226"/>
      <c r="D3804" s="226"/>
      <c r="E3804" s="226"/>
      <c r="F3804" s="226"/>
      <c r="G3804" s="226"/>
      <c r="H3804" s="226"/>
      <c r="I3804" s="9" t="str">
        <f t="shared" si="59"/>
        <v>__</v>
      </c>
    </row>
    <row r="3805" spans="1:9" x14ac:dyDescent="0.35">
      <c r="A3805" s="226"/>
      <c r="B3805" s="226"/>
      <c r="C3805" s="226"/>
      <c r="D3805" s="226"/>
      <c r="E3805" s="226"/>
      <c r="F3805" s="226"/>
      <c r="G3805" s="226"/>
      <c r="H3805" s="226"/>
      <c r="I3805" s="9" t="str">
        <f t="shared" si="59"/>
        <v>__</v>
      </c>
    </row>
    <row r="3806" spans="1:9" x14ac:dyDescent="0.35">
      <c r="A3806" s="226"/>
      <c r="B3806" s="226"/>
      <c r="C3806" s="226"/>
      <c r="D3806" s="226"/>
      <c r="E3806" s="226"/>
      <c r="F3806" s="226"/>
      <c r="G3806" s="226"/>
      <c r="H3806" s="226"/>
      <c r="I3806" s="9" t="str">
        <f t="shared" si="59"/>
        <v>__</v>
      </c>
    </row>
    <row r="3807" spans="1:9" x14ac:dyDescent="0.35">
      <c r="A3807" s="226"/>
      <c r="B3807" s="226"/>
      <c r="C3807" s="226"/>
      <c r="D3807" s="226"/>
      <c r="E3807" s="226"/>
      <c r="F3807" s="226"/>
      <c r="G3807" s="226"/>
      <c r="H3807" s="226"/>
      <c r="I3807" s="9" t="str">
        <f t="shared" si="59"/>
        <v>__</v>
      </c>
    </row>
    <row r="3808" spans="1:9" x14ac:dyDescent="0.35">
      <c r="A3808" s="226"/>
      <c r="B3808" s="226"/>
      <c r="C3808" s="226"/>
      <c r="D3808" s="226"/>
      <c r="E3808" s="226"/>
      <c r="F3808" s="226"/>
      <c r="G3808" s="226"/>
      <c r="H3808" s="226"/>
      <c r="I3808" s="9" t="str">
        <f t="shared" si="59"/>
        <v>__</v>
      </c>
    </row>
    <row r="3809" spans="1:9" x14ac:dyDescent="0.35">
      <c r="A3809" s="226"/>
      <c r="B3809" s="226"/>
      <c r="C3809" s="226"/>
      <c r="D3809" s="226"/>
      <c r="E3809" s="226"/>
      <c r="F3809" s="226"/>
      <c r="G3809" s="226"/>
      <c r="H3809" s="226"/>
      <c r="I3809" s="9" t="str">
        <f t="shared" si="59"/>
        <v>__</v>
      </c>
    </row>
    <row r="3810" spans="1:9" x14ac:dyDescent="0.35">
      <c r="A3810" s="226"/>
      <c r="B3810" s="226"/>
      <c r="C3810" s="226"/>
      <c r="D3810" s="226"/>
      <c r="E3810" s="226"/>
      <c r="F3810" s="226"/>
      <c r="G3810" s="226"/>
      <c r="H3810" s="226"/>
      <c r="I3810" s="9" t="str">
        <f t="shared" si="59"/>
        <v>__</v>
      </c>
    </row>
    <row r="3811" spans="1:9" x14ac:dyDescent="0.35">
      <c r="A3811" s="226"/>
      <c r="B3811" s="226"/>
      <c r="C3811" s="226"/>
      <c r="D3811" s="226"/>
      <c r="E3811" s="226"/>
      <c r="F3811" s="226"/>
      <c r="G3811" s="226"/>
      <c r="H3811" s="226"/>
      <c r="I3811" s="9" t="str">
        <f t="shared" si="59"/>
        <v>__</v>
      </c>
    </row>
    <row r="3812" spans="1:9" x14ac:dyDescent="0.35">
      <c r="A3812" s="226"/>
      <c r="B3812" s="226"/>
      <c r="C3812" s="226"/>
      <c r="D3812" s="226"/>
      <c r="E3812" s="226"/>
      <c r="F3812" s="226"/>
      <c r="G3812" s="226"/>
      <c r="H3812" s="226"/>
      <c r="I3812" s="9" t="str">
        <f t="shared" si="59"/>
        <v>__</v>
      </c>
    </row>
    <row r="3813" spans="1:9" x14ac:dyDescent="0.35">
      <c r="A3813" s="226"/>
      <c r="B3813" s="226"/>
      <c r="C3813" s="226"/>
      <c r="D3813" s="226"/>
      <c r="E3813" s="226"/>
      <c r="F3813" s="226"/>
      <c r="G3813" s="226"/>
      <c r="H3813" s="226"/>
      <c r="I3813" s="9" t="str">
        <f t="shared" si="59"/>
        <v>__</v>
      </c>
    </row>
    <row r="3814" spans="1:9" x14ac:dyDescent="0.35">
      <c r="A3814" s="226"/>
      <c r="B3814" s="226"/>
      <c r="C3814" s="226"/>
      <c r="D3814" s="226"/>
      <c r="E3814" s="226"/>
      <c r="F3814" s="226"/>
      <c r="G3814" s="226"/>
      <c r="H3814" s="226"/>
      <c r="I3814" s="9" t="str">
        <f t="shared" si="59"/>
        <v>__</v>
      </c>
    </row>
    <row r="3815" spans="1:9" x14ac:dyDescent="0.35">
      <c r="A3815" s="226"/>
      <c r="B3815" s="226"/>
      <c r="C3815" s="226"/>
      <c r="D3815" s="226"/>
      <c r="E3815" s="226"/>
      <c r="F3815" s="226"/>
      <c r="G3815" s="226"/>
      <c r="H3815" s="226"/>
      <c r="I3815" s="9" t="str">
        <f t="shared" si="59"/>
        <v>__</v>
      </c>
    </row>
    <row r="3816" spans="1:9" x14ac:dyDescent="0.35">
      <c r="A3816" s="226"/>
      <c r="B3816" s="226"/>
      <c r="C3816" s="226"/>
      <c r="D3816" s="226"/>
      <c r="E3816" s="226"/>
      <c r="F3816" s="226"/>
      <c r="G3816" s="226"/>
      <c r="H3816" s="226"/>
      <c r="I3816" s="9" t="str">
        <f t="shared" si="59"/>
        <v>__</v>
      </c>
    </row>
    <row r="3817" spans="1:9" x14ac:dyDescent="0.35">
      <c r="A3817" s="226"/>
      <c r="B3817" s="226"/>
      <c r="C3817" s="226"/>
      <c r="D3817" s="226"/>
      <c r="E3817" s="226"/>
      <c r="F3817" s="226"/>
      <c r="G3817" s="226"/>
      <c r="H3817" s="226"/>
      <c r="I3817" s="9" t="str">
        <f t="shared" si="59"/>
        <v>__</v>
      </c>
    </row>
    <row r="3818" spans="1:9" x14ac:dyDescent="0.35">
      <c r="A3818" s="226"/>
      <c r="B3818" s="226"/>
      <c r="C3818" s="226"/>
      <c r="D3818" s="226"/>
      <c r="E3818" s="226"/>
      <c r="F3818" s="226"/>
      <c r="G3818" s="226"/>
      <c r="H3818" s="226"/>
      <c r="I3818" s="9" t="str">
        <f t="shared" si="59"/>
        <v>__</v>
      </c>
    </row>
    <row r="3819" spans="1:9" x14ac:dyDescent="0.35">
      <c r="A3819" s="226"/>
      <c r="B3819" s="226"/>
      <c r="C3819" s="226"/>
      <c r="D3819" s="226"/>
      <c r="E3819" s="226"/>
      <c r="F3819" s="226"/>
      <c r="G3819" s="226"/>
      <c r="H3819" s="226"/>
      <c r="I3819" s="9" t="str">
        <f t="shared" si="59"/>
        <v>__</v>
      </c>
    </row>
    <row r="3820" spans="1:9" x14ac:dyDescent="0.35">
      <c r="A3820" s="226"/>
      <c r="B3820" s="226"/>
      <c r="C3820" s="226"/>
      <c r="D3820" s="226"/>
      <c r="E3820" s="226"/>
      <c r="F3820" s="226"/>
      <c r="G3820" s="226"/>
      <c r="H3820" s="226"/>
      <c r="I3820" s="9" t="str">
        <f t="shared" si="59"/>
        <v>__</v>
      </c>
    </row>
    <row r="3821" spans="1:9" x14ac:dyDescent="0.35">
      <c r="A3821" s="226"/>
      <c r="B3821" s="226"/>
      <c r="C3821" s="226"/>
      <c r="D3821" s="226"/>
      <c r="E3821" s="226"/>
      <c r="F3821" s="226"/>
      <c r="G3821" s="226"/>
      <c r="H3821" s="226"/>
      <c r="I3821" s="9" t="str">
        <f t="shared" si="59"/>
        <v>__</v>
      </c>
    </row>
    <row r="3822" spans="1:9" x14ac:dyDescent="0.35">
      <c r="A3822" s="226"/>
      <c r="B3822" s="226"/>
      <c r="C3822" s="226"/>
      <c r="D3822" s="226"/>
      <c r="E3822" s="226"/>
      <c r="F3822" s="226"/>
      <c r="G3822" s="226"/>
      <c r="H3822" s="226"/>
      <c r="I3822" s="9" t="str">
        <f t="shared" si="59"/>
        <v>__</v>
      </c>
    </row>
    <row r="3823" spans="1:9" x14ac:dyDescent="0.35">
      <c r="A3823" s="226"/>
      <c r="B3823" s="226"/>
      <c r="C3823" s="226"/>
      <c r="D3823" s="226"/>
      <c r="E3823" s="226"/>
      <c r="F3823" s="226"/>
      <c r="G3823" s="226"/>
      <c r="H3823" s="226"/>
      <c r="I3823" s="9" t="str">
        <f t="shared" si="59"/>
        <v>__</v>
      </c>
    </row>
    <row r="3824" spans="1:9" x14ac:dyDescent="0.35">
      <c r="A3824" s="226"/>
      <c r="B3824" s="226"/>
      <c r="C3824" s="226"/>
      <c r="D3824" s="226"/>
      <c r="E3824" s="226"/>
      <c r="F3824" s="226"/>
      <c r="G3824" s="226"/>
      <c r="H3824" s="226"/>
      <c r="I3824" s="9" t="str">
        <f t="shared" si="59"/>
        <v>__</v>
      </c>
    </row>
    <row r="3825" spans="1:9" x14ac:dyDescent="0.35">
      <c r="A3825" s="226"/>
      <c r="B3825" s="226"/>
      <c r="C3825" s="226"/>
      <c r="D3825" s="226"/>
      <c r="E3825" s="226"/>
      <c r="F3825" s="226"/>
      <c r="G3825" s="226"/>
      <c r="H3825" s="226"/>
      <c r="I3825" s="9" t="str">
        <f t="shared" si="59"/>
        <v>__</v>
      </c>
    </row>
    <row r="3826" spans="1:9" x14ac:dyDescent="0.35">
      <c r="A3826" s="226"/>
      <c r="B3826" s="226"/>
      <c r="C3826" s="226"/>
      <c r="D3826" s="226"/>
      <c r="E3826" s="226"/>
      <c r="F3826" s="226"/>
      <c r="G3826" s="226"/>
      <c r="H3826" s="226"/>
      <c r="I3826" s="9" t="str">
        <f t="shared" si="59"/>
        <v>__</v>
      </c>
    </row>
    <row r="3827" spans="1:9" x14ac:dyDescent="0.35">
      <c r="A3827" s="226"/>
      <c r="B3827" s="226"/>
      <c r="C3827" s="226"/>
      <c r="D3827" s="226"/>
      <c r="E3827" s="226"/>
      <c r="F3827" s="226"/>
      <c r="G3827" s="226"/>
      <c r="H3827" s="226"/>
      <c r="I3827" s="9" t="str">
        <f t="shared" si="59"/>
        <v>__</v>
      </c>
    </row>
    <row r="3828" spans="1:9" x14ac:dyDescent="0.35">
      <c r="A3828" s="226"/>
      <c r="B3828" s="226"/>
      <c r="C3828" s="226"/>
      <c r="D3828" s="226"/>
      <c r="E3828" s="226"/>
      <c r="F3828" s="226"/>
      <c r="G3828" s="226"/>
      <c r="H3828" s="226"/>
      <c r="I3828" s="9" t="str">
        <f t="shared" si="59"/>
        <v>__</v>
      </c>
    </row>
    <row r="3829" spans="1:9" x14ac:dyDescent="0.35">
      <c r="A3829" s="226"/>
      <c r="B3829" s="226"/>
      <c r="C3829" s="226"/>
      <c r="D3829" s="226"/>
      <c r="E3829" s="226"/>
      <c r="F3829" s="226"/>
      <c r="G3829" s="226"/>
      <c r="H3829" s="226"/>
      <c r="I3829" s="9" t="str">
        <f t="shared" si="59"/>
        <v>__</v>
      </c>
    </row>
    <row r="3830" spans="1:9" x14ac:dyDescent="0.35">
      <c r="A3830" s="226"/>
      <c r="B3830" s="226"/>
      <c r="C3830" s="226"/>
      <c r="D3830" s="226"/>
      <c r="E3830" s="226"/>
      <c r="F3830" s="226"/>
      <c r="G3830" s="226"/>
      <c r="H3830" s="226"/>
      <c r="I3830" s="9" t="str">
        <f t="shared" si="59"/>
        <v>__</v>
      </c>
    </row>
    <row r="3831" spans="1:9" x14ac:dyDescent="0.35">
      <c r="A3831" s="226"/>
      <c r="B3831" s="226"/>
      <c r="C3831" s="226"/>
      <c r="D3831" s="226"/>
      <c r="E3831" s="226"/>
      <c r="F3831" s="226"/>
      <c r="G3831" s="226"/>
      <c r="H3831" s="226"/>
      <c r="I3831" s="9" t="str">
        <f t="shared" si="59"/>
        <v>__</v>
      </c>
    </row>
    <row r="3832" spans="1:9" x14ac:dyDescent="0.35">
      <c r="A3832" s="226"/>
      <c r="B3832" s="226"/>
      <c r="C3832" s="226"/>
      <c r="D3832" s="226"/>
      <c r="E3832" s="226"/>
      <c r="F3832" s="226"/>
      <c r="G3832" s="226"/>
      <c r="H3832" s="226"/>
      <c r="I3832" s="9" t="str">
        <f t="shared" si="59"/>
        <v>__</v>
      </c>
    </row>
    <row r="3833" spans="1:9" x14ac:dyDescent="0.35">
      <c r="A3833" s="226"/>
      <c r="B3833" s="226"/>
      <c r="C3833" s="226"/>
      <c r="D3833" s="226"/>
      <c r="E3833" s="226"/>
      <c r="F3833" s="226"/>
      <c r="G3833" s="226"/>
      <c r="H3833" s="226"/>
      <c r="I3833" s="9" t="str">
        <f t="shared" si="59"/>
        <v>__</v>
      </c>
    </row>
    <row r="3834" spans="1:9" x14ac:dyDescent="0.35">
      <c r="A3834" s="226"/>
      <c r="B3834" s="226"/>
      <c r="C3834" s="226"/>
      <c r="D3834" s="226"/>
      <c r="E3834" s="226"/>
      <c r="F3834" s="226"/>
      <c r="G3834" s="226"/>
      <c r="H3834" s="226"/>
      <c r="I3834" s="9" t="str">
        <f t="shared" si="59"/>
        <v>__</v>
      </c>
    </row>
    <row r="3835" spans="1:9" x14ac:dyDescent="0.35">
      <c r="A3835" s="226"/>
      <c r="B3835" s="226"/>
      <c r="C3835" s="226"/>
      <c r="D3835" s="226"/>
      <c r="E3835" s="226"/>
      <c r="F3835" s="226"/>
      <c r="G3835" s="226"/>
      <c r="H3835" s="226"/>
      <c r="I3835" s="9" t="str">
        <f t="shared" si="59"/>
        <v>__</v>
      </c>
    </row>
    <row r="3836" spans="1:9" x14ac:dyDescent="0.35">
      <c r="A3836" s="226"/>
      <c r="B3836" s="226"/>
      <c r="C3836" s="226"/>
      <c r="D3836" s="226"/>
      <c r="E3836" s="226"/>
      <c r="F3836" s="226"/>
      <c r="G3836" s="226"/>
      <c r="H3836" s="226"/>
      <c r="I3836" s="9" t="str">
        <f t="shared" si="59"/>
        <v>__</v>
      </c>
    </row>
    <row r="3837" spans="1:9" x14ac:dyDescent="0.35">
      <c r="A3837" s="226"/>
      <c r="B3837" s="226"/>
      <c r="C3837" s="226"/>
      <c r="D3837" s="226"/>
      <c r="E3837" s="226"/>
      <c r="F3837" s="226"/>
      <c r="G3837" s="226"/>
      <c r="H3837" s="226"/>
      <c r="I3837" s="9" t="str">
        <f t="shared" si="59"/>
        <v>__</v>
      </c>
    </row>
    <row r="3838" spans="1:9" x14ac:dyDescent="0.35">
      <c r="A3838" s="226"/>
      <c r="B3838" s="226"/>
      <c r="C3838" s="226"/>
      <c r="D3838" s="226"/>
      <c r="E3838" s="226"/>
      <c r="F3838" s="226"/>
      <c r="G3838" s="226"/>
      <c r="H3838" s="226"/>
      <c r="I3838" s="9" t="str">
        <f t="shared" si="59"/>
        <v>__</v>
      </c>
    </row>
    <row r="3839" spans="1:9" x14ac:dyDescent="0.35">
      <c r="A3839" s="226"/>
      <c r="B3839" s="226"/>
      <c r="C3839" s="226"/>
      <c r="D3839" s="226"/>
      <c r="E3839" s="226"/>
      <c r="F3839" s="226"/>
      <c r="G3839" s="226"/>
      <c r="H3839" s="226"/>
      <c r="I3839" s="9" t="str">
        <f t="shared" si="59"/>
        <v>__</v>
      </c>
    </row>
    <row r="3840" spans="1:9" x14ac:dyDescent="0.35">
      <c r="A3840" s="226"/>
      <c r="B3840" s="226"/>
      <c r="C3840" s="226"/>
      <c r="D3840" s="226"/>
      <c r="E3840" s="226"/>
      <c r="F3840" s="226"/>
      <c r="G3840" s="226"/>
      <c r="H3840" s="226"/>
      <c r="I3840" s="9" t="str">
        <f t="shared" si="59"/>
        <v>__</v>
      </c>
    </row>
    <row r="3841" spans="1:9" x14ac:dyDescent="0.35">
      <c r="A3841" s="226"/>
      <c r="B3841" s="226"/>
      <c r="C3841" s="226"/>
      <c r="D3841" s="226"/>
      <c r="E3841" s="226"/>
      <c r="F3841" s="226"/>
      <c r="G3841" s="226"/>
      <c r="H3841" s="226"/>
      <c r="I3841" s="9" t="str">
        <f t="shared" si="59"/>
        <v>__</v>
      </c>
    </row>
    <row r="3842" spans="1:9" x14ac:dyDescent="0.35">
      <c r="A3842" s="226"/>
      <c r="B3842" s="226"/>
      <c r="C3842" s="226"/>
      <c r="D3842" s="226"/>
      <c r="E3842" s="226"/>
      <c r="F3842" s="226"/>
      <c r="G3842" s="226"/>
      <c r="H3842" s="226"/>
      <c r="I3842" s="9" t="str">
        <f t="shared" si="59"/>
        <v>__</v>
      </c>
    </row>
    <row r="3843" spans="1:9" x14ac:dyDescent="0.35">
      <c r="A3843" s="226"/>
      <c r="B3843" s="226"/>
      <c r="C3843" s="226"/>
      <c r="D3843" s="226"/>
      <c r="E3843" s="226"/>
      <c r="F3843" s="226"/>
      <c r="G3843" s="226"/>
      <c r="H3843" s="226"/>
      <c r="I3843" s="9" t="str">
        <f t="shared" si="59"/>
        <v>__</v>
      </c>
    </row>
    <row r="3844" spans="1:9" x14ac:dyDescent="0.35">
      <c r="A3844" s="226"/>
      <c r="B3844" s="226"/>
      <c r="C3844" s="226"/>
      <c r="D3844" s="226"/>
      <c r="E3844" s="226"/>
      <c r="F3844" s="226"/>
      <c r="G3844" s="226"/>
      <c r="H3844" s="226"/>
      <c r="I3844" s="9" t="str">
        <f t="shared" si="59"/>
        <v>__</v>
      </c>
    </row>
    <row r="3845" spans="1:9" x14ac:dyDescent="0.35">
      <c r="A3845" s="226"/>
      <c r="B3845" s="226"/>
      <c r="C3845" s="226"/>
      <c r="D3845" s="226"/>
      <c r="E3845" s="226"/>
      <c r="F3845" s="226"/>
      <c r="G3845" s="226"/>
      <c r="H3845" s="226"/>
      <c r="I3845" s="9" t="str">
        <f t="shared" ref="I3845:I3908" si="60">CONCATENATE(A3845,"_",B3845,"_",C3845)</f>
        <v>__</v>
      </c>
    </row>
    <row r="3846" spans="1:9" x14ac:dyDescent="0.35">
      <c r="A3846" s="226"/>
      <c r="B3846" s="226"/>
      <c r="C3846" s="226"/>
      <c r="D3846" s="226"/>
      <c r="E3846" s="226"/>
      <c r="F3846" s="226"/>
      <c r="G3846" s="226"/>
      <c r="H3846" s="226"/>
      <c r="I3846" s="9" t="str">
        <f t="shared" si="60"/>
        <v>__</v>
      </c>
    </row>
    <row r="3847" spans="1:9" x14ac:dyDescent="0.35">
      <c r="A3847" s="226"/>
      <c r="B3847" s="226"/>
      <c r="C3847" s="226"/>
      <c r="D3847" s="226"/>
      <c r="E3847" s="226"/>
      <c r="F3847" s="226"/>
      <c r="G3847" s="226"/>
      <c r="H3847" s="226"/>
      <c r="I3847" s="9" t="str">
        <f t="shared" si="60"/>
        <v>__</v>
      </c>
    </row>
    <row r="3848" spans="1:9" x14ac:dyDescent="0.35">
      <c r="A3848" s="226"/>
      <c r="B3848" s="226"/>
      <c r="C3848" s="226"/>
      <c r="D3848" s="226"/>
      <c r="E3848" s="226"/>
      <c r="F3848" s="226"/>
      <c r="G3848" s="226"/>
      <c r="H3848" s="226"/>
      <c r="I3848" s="9" t="str">
        <f t="shared" si="60"/>
        <v>__</v>
      </c>
    </row>
    <row r="3849" spans="1:9" x14ac:dyDescent="0.35">
      <c r="A3849" s="226"/>
      <c r="B3849" s="226"/>
      <c r="C3849" s="226"/>
      <c r="D3849" s="226"/>
      <c r="E3849" s="226"/>
      <c r="F3849" s="226"/>
      <c r="G3849" s="226"/>
      <c r="H3849" s="226"/>
      <c r="I3849" s="9" t="str">
        <f t="shared" si="60"/>
        <v>__</v>
      </c>
    </row>
    <row r="3850" spans="1:9" x14ac:dyDescent="0.35">
      <c r="A3850" s="226"/>
      <c r="B3850" s="226"/>
      <c r="C3850" s="226"/>
      <c r="D3850" s="226"/>
      <c r="E3850" s="226"/>
      <c r="F3850" s="226"/>
      <c r="G3850" s="226"/>
      <c r="H3850" s="226"/>
      <c r="I3850" s="9" t="str">
        <f t="shared" si="60"/>
        <v>__</v>
      </c>
    </row>
    <row r="3851" spans="1:9" x14ac:dyDescent="0.35">
      <c r="A3851" s="226"/>
      <c r="B3851" s="226"/>
      <c r="C3851" s="226"/>
      <c r="D3851" s="226"/>
      <c r="E3851" s="226"/>
      <c r="F3851" s="226"/>
      <c r="G3851" s="226"/>
      <c r="H3851" s="226"/>
      <c r="I3851" s="9" t="str">
        <f t="shared" si="60"/>
        <v>__</v>
      </c>
    </row>
    <row r="3852" spans="1:9" x14ac:dyDescent="0.35">
      <c r="A3852" s="226"/>
      <c r="B3852" s="226"/>
      <c r="C3852" s="226"/>
      <c r="D3852" s="226"/>
      <c r="E3852" s="226"/>
      <c r="F3852" s="226"/>
      <c r="G3852" s="226"/>
      <c r="H3852" s="226"/>
      <c r="I3852" s="9" t="str">
        <f t="shared" si="60"/>
        <v>__</v>
      </c>
    </row>
    <row r="3853" spans="1:9" x14ac:dyDescent="0.35">
      <c r="A3853" s="226"/>
      <c r="B3853" s="226"/>
      <c r="C3853" s="226"/>
      <c r="D3853" s="226"/>
      <c r="E3853" s="226"/>
      <c r="F3853" s="226"/>
      <c r="G3853" s="226"/>
      <c r="H3853" s="226"/>
      <c r="I3853" s="9" t="str">
        <f t="shared" si="60"/>
        <v>__</v>
      </c>
    </row>
    <row r="3854" spans="1:9" x14ac:dyDescent="0.35">
      <c r="A3854" s="226"/>
      <c r="B3854" s="226"/>
      <c r="C3854" s="226"/>
      <c r="D3854" s="226"/>
      <c r="E3854" s="226"/>
      <c r="F3854" s="226"/>
      <c r="G3854" s="226"/>
      <c r="H3854" s="226"/>
      <c r="I3854" s="9" t="str">
        <f t="shared" si="60"/>
        <v>__</v>
      </c>
    </row>
    <row r="3855" spans="1:9" x14ac:dyDescent="0.35">
      <c r="A3855" s="226"/>
      <c r="B3855" s="226"/>
      <c r="C3855" s="226"/>
      <c r="D3855" s="226"/>
      <c r="E3855" s="226"/>
      <c r="F3855" s="226"/>
      <c r="G3855" s="226"/>
      <c r="H3855" s="226"/>
      <c r="I3855" s="9" t="str">
        <f t="shared" si="60"/>
        <v>__</v>
      </c>
    </row>
    <row r="3856" spans="1:9" x14ac:dyDescent="0.35">
      <c r="A3856" s="226"/>
      <c r="B3856" s="226"/>
      <c r="C3856" s="226"/>
      <c r="D3856" s="226"/>
      <c r="E3856" s="226"/>
      <c r="F3856" s="226"/>
      <c r="G3856" s="226"/>
      <c r="H3856" s="226"/>
      <c r="I3856" s="9" t="str">
        <f t="shared" si="60"/>
        <v>__</v>
      </c>
    </row>
    <row r="3857" spans="1:9" x14ac:dyDescent="0.35">
      <c r="A3857" s="226"/>
      <c r="B3857" s="226"/>
      <c r="C3857" s="226"/>
      <c r="D3857" s="226"/>
      <c r="E3857" s="226"/>
      <c r="F3857" s="226"/>
      <c r="G3857" s="226"/>
      <c r="H3857" s="226"/>
      <c r="I3857" s="9" t="str">
        <f t="shared" si="60"/>
        <v>__</v>
      </c>
    </row>
    <row r="3858" spans="1:9" x14ac:dyDescent="0.35">
      <c r="A3858" s="226"/>
      <c r="B3858" s="226"/>
      <c r="C3858" s="226"/>
      <c r="D3858" s="226"/>
      <c r="E3858" s="226"/>
      <c r="F3858" s="226"/>
      <c r="G3858" s="226"/>
      <c r="H3858" s="226"/>
      <c r="I3858" s="9" t="str">
        <f t="shared" si="60"/>
        <v>__</v>
      </c>
    </row>
    <row r="3859" spans="1:9" x14ac:dyDescent="0.35">
      <c r="A3859" s="226"/>
      <c r="B3859" s="226"/>
      <c r="C3859" s="226"/>
      <c r="D3859" s="226"/>
      <c r="E3859" s="226"/>
      <c r="F3859" s="226"/>
      <c r="G3859" s="226"/>
      <c r="H3859" s="226"/>
      <c r="I3859" s="9" t="str">
        <f t="shared" si="60"/>
        <v>__</v>
      </c>
    </row>
    <row r="3860" spans="1:9" x14ac:dyDescent="0.35">
      <c r="A3860" s="226"/>
      <c r="B3860" s="226"/>
      <c r="C3860" s="226"/>
      <c r="D3860" s="226"/>
      <c r="E3860" s="226"/>
      <c r="F3860" s="226"/>
      <c r="G3860" s="226"/>
      <c r="H3860" s="226"/>
      <c r="I3860" s="9" t="str">
        <f t="shared" si="60"/>
        <v>__</v>
      </c>
    </row>
    <row r="3861" spans="1:9" x14ac:dyDescent="0.35">
      <c r="A3861" s="226"/>
      <c r="B3861" s="226"/>
      <c r="C3861" s="226"/>
      <c r="D3861" s="226"/>
      <c r="E3861" s="226"/>
      <c r="F3861" s="226"/>
      <c r="G3861" s="226"/>
      <c r="H3861" s="226"/>
      <c r="I3861" s="9" t="str">
        <f t="shared" si="60"/>
        <v>__</v>
      </c>
    </row>
    <row r="3862" spans="1:9" x14ac:dyDescent="0.35">
      <c r="A3862" s="226"/>
      <c r="B3862" s="226"/>
      <c r="C3862" s="226"/>
      <c r="D3862" s="226"/>
      <c r="E3862" s="226"/>
      <c r="F3862" s="226"/>
      <c r="G3862" s="226"/>
      <c r="H3862" s="226"/>
      <c r="I3862" s="9" t="str">
        <f t="shared" si="60"/>
        <v>__</v>
      </c>
    </row>
    <row r="3863" spans="1:9" x14ac:dyDescent="0.35">
      <c r="A3863" s="226"/>
      <c r="B3863" s="226"/>
      <c r="C3863" s="226"/>
      <c r="D3863" s="226"/>
      <c r="E3863" s="226"/>
      <c r="F3863" s="226"/>
      <c r="G3863" s="226"/>
      <c r="H3863" s="226"/>
      <c r="I3863" s="9" t="str">
        <f t="shared" si="60"/>
        <v>__</v>
      </c>
    </row>
    <row r="3864" spans="1:9" x14ac:dyDescent="0.35">
      <c r="A3864" s="226"/>
      <c r="B3864" s="226"/>
      <c r="C3864" s="226"/>
      <c r="D3864" s="226"/>
      <c r="E3864" s="226"/>
      <c r="F3864" s="226"/>
      <c r="G3864" s="226"/>
      <c r="H3864" s="226"/>
      <c r="I3864" s="9" t="str">
        <f t="shared" si="60"/>
        <v>__</v>
      </c>
    </row>
    <row r="3865" spans="1:9" x14ac:dyDescent="0.35">
      <c r="A3865" s="226"/>
      <c r="B3865" s="226"/>
      <c r="C3865" s="226"/>
      <c r="D3865" s="226"/>
      <c r="E3865" s="226"/>
      <c r="F3865" s="226"/>
      <c r="G3865" s="226"/>
      <c r="H3865" s="226"/>
      <c r="I3865" s="9" t="str">
        <f t="shared" si="60"/>
        <v>__</v>
      </c>
    </row>
    <row r="3866" spans="1:9" x14ac:dyDescent="0.35">
      <c r="A3866" s="226"/>
      <c r="B3866" s="226"/>
      <c r="C3866" s="226"/>
      <c r="D3866" s="226"/>
      <c r="E3866" s="226"/>
      <c r="F3866" s="226"/>
      <c r="G3866" s="226"/>
      <c r="H3866" s="226"/>
      <c r="I3866" s="9" t="str">
        <f t="shared" si="60"/>
        <v>__</v>
      </c>
    </row>
    <row r="3867" spans="1:9" x14ac:dyDescent="0.35">
      <c r="A3867" s="226"/>
      <c r="B3867" s="226"/>
      <c r="C3867" s="226"/>
      <c r="D3867" s="226"/>
      <c r="E3867" s="226"/>
      <c r="F3867" s="226"/>
      <c r="G3867" s="226"/>
      <c r="H3867" s="226"/>
      <c r="I3867" s="9" t="str">
        <f t="shared" si="60"/>
        <v>__</v>
      </c>
    </row>
    <row r="3868" spans="1:9" x14ac:dyDescent="0.35">
      <c r="A3868" s="226"/>
      <c r="B3868" s="226"/>
      <c r="C3868" s="226"/>
      <c r="D3868" s="226"/>
      <c r="E3868" s="226"/>
      <c r="F3868" s="226"/>
      <c r="G3868" s="226"/>
      <c r="H3868" s="226"/>
      <c r="I3868" s="9" t="str">
        <f t="shared" si="60"/>
        <v>__</v>
      </c>
    </row>
    <row r="3869" spans="1:9" x14ac:dyDescent="0.35">
      <c r="A3869" s="226"/>
      <c r="B3869" s="226"/>
      <c r="C3869" s="226"/>
      <c r="D3869" s="226"/>
      <c r="E3869" s="226"/>
      <c r="F3869" s="226"/>
      <c r="G3869" s="226"/>
      <c r="H3869" s="226"/>
      <c r="I3869" s="9" t="str">
        <f t="shared" si="60"/>
        <v>__</v>
      </c>
    </row>
    <row r="3870" spans="1:9" x14ac:dyDescent="0.35">
      <c r="A3870" s="226"/>
      <c r="B3870" s="226"/>
      <c r="C3870" s="226"/>
      <c r="D3870" s="226"/>
      <c r="E3870" s="226"/>
      <c r="F3870" s="226"/>
      <c r="G3870" s="226"/>
      <c r="H3870" s="226"/>
      <c r="I3870" s="9" t="str">
        <f t="shared" si="60"/>
        <v>__</v>
      </c>
    </row>
    <row r="3871" spans="1:9" x14ac:dyDescent="0.35">
      <c r="A3871" s="226"/>
      <c r="B3871" s="226"/>
      <c r="C3871" s="226"/>
      <c r="D3871" s="226"/>
      <c r="E3871" s="226"/>
      <c r="F3871" s="226"/>
      <c r="G3871" s="226"/>
      <c r="H3871" s="226"/>
      <c r="I3871" s="9" t="str">
        <f t="shared" si="60"/>
        <v>__</v>
      </c>
    </row>
    <row r="3872" spans="1:9" x14ac:dyDescent="0.35">
      <c r="A3872" s="226"/>
      <c r="B3872" s="226"/>
      <c r="C3872" s="226"/>
      <c r="D3872" s="226"/>
      <c r="E3872" s="226"/>
      <c r="F3872" s="226"/>
      <c r="G3872" s="226"/>
      <c r="H3872" s="226"/>
      <c r="I3872" s="9" t="str">
        <f t="shared" si="60"/>
        <v>__</v>
      </c>
    </row>
    <row r="3873" spans="1:9" x14ac:dyDescent="0.35">
      <c r="A3873" s="226"/>
      <c r="B3873" s="226"/>
      <c r="C3873" s="226"/>
      <c r="D3873" s="226"/>
      <c r="E3873" s="226"/>
      <c r="F3873" s="226"/>
      <c r="G3873" s="226"/>
      <c r="H3873" s="226"/>
      <c r="I3873" s="9" t="str">
        <f t="shared" si="60"/>
        <v>__</v>
      </c>
    </row>
    <row r="3874" spans="1:9" x14ac:dyDescent="0.35">
      <c r="A3874" s="226"/>
      <c r="B3874" s="226"/>
      <c r="C3874" s="226"/>
      <c r="D3874" s="226"/>
      <c r="E3874" s="226"/>
      <c r="F3874" s="226"/>
      <c r="G3874" s="226"/>
      <c r="H3874" s="226"/>
      <c r="I3874" s="9" t="str">
        <f t="shared" si="60"/>
        <v>__</v>
      </c>
    </row>
    <row r="3875" spans="1:9" x14ac:dyDescent="0.35">
      <c r="A3875" s="226"/>
      <c r="B3875" s="226"/>
      <c r="C3875" s="226"/>
      <c r="D3875" s="226"/>
      <c r="E3875" s="226"/>
      <c r="F3875" s="226"/>
      <c r="G3875" s="226"/>
      <c r="H3875" s="226"/>
      <c r="I3875" s="9" t="str">
        <f t="shared" si="60"/>
        <v>__</v>
      </c>
    </row>
    <row r="3876" spans="1:9" x14ac:dyDescent="0.35">
      <c r="A3876" s="226"/>
      <c r="B3876" s="226"/>
      <c r="C3876" s="226"/>
      <c r="D3876" s="226"/>
      <c r="E3876" s="226"/>
      <c r="F3876" s="226"/>
      <c r="G3876" s="226"/>
      <c r="H3876" s="226"/>
      <c r="I3876" s="9" t="str">
        <f t="shared" si="60"/>
        <v>__</v>
      </c>
    </row>
    <row r="3877" spans="1:9" x14ac:dyDescent="0.35">
      <c r="A3877" s="226"/>
      <c r="B3877" s="226"/>
      <c r="C3877" s="226"/>
      <c r="D3877" s="226"/>
      <c r="E3877" s="226"/>
      <c r="F3877" s="226"/>
      <c r="G3877" s="226"/>
      <c r="H3877" s="226"/>
      <c r="I3877" s="9" t="str">
        <f t="shared" si="60"/>
        <v>__</v>
      </c>
    </row>
    <row r="3878" spans="1:9" x14ac:dyDescent="0.35">
      <c r="A3878" s="226"/>
      <c r="B3878" s="226"/>
      <c r="C3878" s="226"/>
      <c r="D3878" s="226"/>
      <c r="E3878" s="226"/>
      <c r="F3878" s="226"/>
      <c r="G3878" s="226"/>
      <c r="H3878" s="226"/>
      <c r="I3878" s="9" t="str">
        <f t="shared" si="60"/>
        <v>__</v>
      </c>
    </row>
    <row r="3879" spans="1:9" x14ac:dyDescent="0.35">
      <c r="A3879" s="226"/>
      <c r="B3879" s="226"/>
      <c r="C3879" s="226"/>
      <c r="D3879" s="226"/>
      <c r="E3879" s="226"/>
      <c r="F3879" s="226"/>
      <c r="G3879" s="226"/>
      <c r="H3879" s="226"/>
      <c r="I3879" s="9" t="str">
        <f t="shared" si="60"/>
        <v>__</v>
      </c>
    </row>
    <row r="3880" spans="1:9" x14ac:dyDescent="0.35">
      <c r="A3880" s="226"/>
      <c r="B3880" s="226"/>
      <c r="C3880" s="226"/>
      <c r="D3880" s="226"/>
      <c r="E3880" s="226"/>
      <c r="F3880" s="226"/>
      <c r="G3880" s="226"/>
      <c r="H3880" s="226"/>
      <c r="I3880" s="9" t="str">
        <f t="shared" si="60"/>
        <v>__</v>
      </c>
    </row>
    <row r="3881" spans="1:9" x14ac:dyDescent="0.35">
      <c r="A3881" s="226"/>
      <c r="B3881" s="226"/>
      <c r="C3881" s="226"/>
      <c r="D3881" s="226"/>
      <c r="E3881" s="226"/>
      <c r="F3881" s="226"/>
      <c r="G3881" s="226"/>
      <c r="H3881" s="226"/>
      <c r="I3881" s="9" t="str">
        <f t="shared" si="60"/>
        <v>__</v>
      </c>
    </row>
    <row r="3882" spans="1:9" x14ac:dyDescent="0.35">
      <c r="A3882" s="226"/>
      <c r="B3882" s="226"/>
      <c r="C3882" s="226"/>
      <c r="D3882" s="226"/>
      <c r="E3882" s="226"/>
      <c r="F3882" s="226"/>
      <c r="G3882" s="226"/>
      <c r="H3882" s="226"/>
      <c r="I3882" s="9" t="str">
        <f t="shared" si="60"/>
        <v>__</v>
      </c>
    </row>
    <row r="3883" spans="1:9" x14ac:dyDescent="0.35">
      <c r="A3883" s="226"/>
      <c r="B3883" s="226"/>
      <c r="C3883" s="226"/>
      <c r="D3883" s="226"/>
      <c r="E3883" s="226"/>
      <c r="F3883" s="226"/>
      <c r="G3883" s="226"/>
      <c r="H3883" s="226"/>
      <c r="I3883" s="9" t="str">
        <f t="shared" si="60"/>
        <v>__</v>
      </c>
    </row>
    <row r="3884" spans="1:9" x14ac:dyDescent="0.35">
      <c r="A3884" s="226"/>
      <c r="B3884" s="226"/>
      <c r="C3884" s="226"/>
      <c r="D3884" s="226"/>
      <c r="E3884" s="226"/>
      <c r="F3884" s="226"/>
      <c r="G3884" s="226"/>
      <c r="H3884" s="226"/>
      <c r="I3884" s="9" t="str">
        <f t="shared" si="60"/>
        <v>__</v>
      </c>
    </row>
    <row r="3885" spans="1:9" x14ac:dyDescent="0.35">
      <c r="A3885" s="226"/>
      <c r="B3885" s="226"/>
      <c r="C3885" s="226"/>
      <c r="D3885" s="226"/>
      <c r="E3885" s="226"/>
      <c r="F3885" s="226"/>
      <c r="G3885" s="226"/>
      <c r="H3885" s="226"/>
      <c r="I3885" s="9" t="str">
        <f t="shared" si="60"/>
        <v>__</v>
      </c>
    </row>
    <row r="3886" spans="1:9" x14ac:dyDescent="0.35">
      <c r="A3886" s="226"/>
      <c r="B3886" s="226"/>
      <c r="C3886" s="226"/>
      <c r="D3886" s="226"/>
      <c r="E3886" s="226"/>
      <c r="F3886" s="226"/>
      <c r="G3886" s="226"/>
      <c r="H3886" s="226"/>
      <c r="I3886" s="9" t="str">
        <f t="shared" si="60"/>
        <v>__</v>
      </c>
    </row>
    <row r="3887" spans="1:9" x14ac:dyDescent="0.35">
      <c r="A3887" s="226"/>
      <c r="B3887" s="226"/>
      <c r="C3887" s="226"/>
      <c r="D3887" s="226"/>
      <c r="E3887" s="226"/>
      <c r="F3887" s="226"/>
      <c r="G3887" s="226"/>
      <c r="H3887" s="226"/>
      <c r="I3887" s="9" t="str">
        <f t="shared" si="60"/>
        <v>__</v>
      </c>
    </row>
    <row r="3888" spans="1:9" x14ac:dyDescent="0.35">
      <c r="A3888" s="226"/>
      <c r="B3888" s="226"/>
      <c r="C3888" s="226"/>
      <c r="D3888" s="226"/>
      <c r="E3888" s="226"/>
      <c r="F3888" s="226"/>
      <c r="G3888" s="226"/>
      <c r="H3888" s="226"/>
      <c r="I3888" s="9" t="str">
        <f t="shared" si="60"/>
        <v>__</v>
      </c>
    </row>
    <row r="3889" spans="1:9" x14ac:dyDescent="0.35">
      <c r="A3889" s="226"/>
      <c r="B3889" s="226"/>
      <c r="C3889" s="226"/>
      <c r="D3889" s="226"/>
      <c r="E3889" s="226"/>
      <c r="F3889" s="226"/>
      <c r="G3889" s="226"/>
      <c r="H3889" s="226"/>
      <c r="I3889" s="9" t="str">
        <f t="shared" si="60"/>
        <v>__</v>
      </c>
    </row>
    <row r="3890" spans="1:9" x14ac:dyDescent="0.35">
      <c r="A3890" s="226"/>
      <c r="B3890" s="226"/>
      <c r="C3890" s="226"/>
      <c r="D3890" s="226"/>
      <c r="E3890" s="226"/>
      <c r="F3890" s="226"/>
      <c r="G3890" s="226"/>
      <c r="H3890" s="226"/>
      <c r="I3890" s="9" t="str">
        <f t="shared" si="60"/>
        <v>__</v>
      </c>
    </row>
    <row r="3891" spans="1:9" x14ac:dyDescent="0.35">
      <c r="A3891" s="226"/>
      <c r="B3891" s="226"/>
      <c r="C3891" s="226"/>
      <c r="D3891" s="226"/>
      <c r="E3891" s="226"/>
      <c r="F3891" s="226"/>
      <c r="G3891" s="226"/>
      <c r="H3891" s="226"/>
      <c r="I3891" s="9" t="str">
        <f t="shared" si="60"/>
        <v>__</v>
      </c>
    </row>
    <row r="3892" spans="1:9" x14ac:dyDescent="0.35">
      <c r="A3892" s="226"/>
      <c r="B3892" s="226"/>
      <c r="C3892" s="226"/>
      <c r="D3892" s="226"/>
      <c r="E3892" s="226"/>
      <c r="F3892" s="226"/>
      <c r="G3892" s="226"/>
      <c r="H3892" s="226"/>
      <c r="I3892" s="9" t="str">
        <f t="shared" si="60"/>
        <v>__</v>
      </c>
    </row>
    <row r="3893" spans="1:9" x14ac:dyDescent="0.35">
      <c r="A3893" s="226"/>
      <c r="B3893" s="226"/>
      <c r="C3893" s="226"/>
      <c r="D3893" s="226"/>
      <c r="E3893" s="226"/>
      <c r="F3893" s="226"/>
      <c r="G3893" s="226"/>
      <c r="H3893" s="226"/>
      <c r="I3893" s="9" t="str">
        <f t="shared" si="60"/>
        <v>__</v>
      </c>
    </row>
    <row r="3894" spans="1:9" x14ac:dyDescent="0.35">
      <c r="A3894" s="226"/>
      <c r="B3894" s="226"/>
      <c r="C3894" s="226"/>
      <c r="D3894" s="226"/>
      <c r="E3894" s="226"/>
      <c r="F3894" s="226"/>
      <c r="G3894" s="226"/>
      <c r="H3894" s="226"/>
      <c r="I3894" s="9" t="str">
        <f t="shared" si="60"/>
        <v>__</v>
      </c>
    </row>
    <row r="3895" spans="1:9" x14ac:dyDescent="0.35">
      <c r="A3895" s="226"/>
      <c r="B3895" s="226"/>
      <c r="C3895" s="226"/>
      <c r="D3895" s="226"/>
      <c r="E3895" s="226"/>
      <c r="F3895" s="226"/>
      <c r="G3895" s="226"/>
      <c r="H3895" s="226"/>
      <c r="I3895" s="9" t="str">
        <f t="shared" si="60"/>
        <v>__</v>
      </c>
    </row>
    <row r="3896" spans="1:9" x14ac:dyDescent="0.35">
      <c r="A3896" s="226"/>
      <c r="B3896" s="226"/>
      <c r="C3896" s="226"/>
      <c r="D3896" s="226"/>
      <c r="E3896" s="226"/>
      <c r="F3896" s="226"/>
      <c r="G3896" s="226"/>
      <c r="H3896" s="226"/>
      <c r="I3896" s="9" t="str">
        <f t="shared" si="60"/>
        <v>__</v>
      </c>
    </row>
    <row r="3897" spans="1:9" x14ac:dyDescent="0.35">
      <c r="A3897" s="226"/>
      <c r="B3897" s="226"/>
      <c r="C3897" s="226"/>
      <c r="D3897" s="226"/>
      <c r="E3897" s="226"/>
      <c r="F3897" s="226"/>
      <c r="G3897" s="226"/>
      <c r="H3897" s="226"/>
      <c r="I3897" s="9" t="str">
        <f t="shared" si="60"/>
        <v>__</v>
      </c>
    </row>
    <row r="3898" spans="1:9" x14ac:dyDescent="0.35">
      <c r="A3898" s="226"/>
      <c r="B3898" s="226"/>
      <c r="C3898" s="226"/>
      <c r="D3898" s="226"/>
      <c r="E3898" s="226"/>
      <c r="F3898" s="226"/>
      <c r="G3898" s="226"/>
      <c r="H3898" s="226"/>
      <c r="I3898" s="9" t="str">
        <f t="shared" si="60"/>
        <v>__</v>
      </c>
    </row>
    <row r="3899" spans="1:9" x14ac:dyDescent="0.35">
      <c r="A3899" s="226"/>
      <c r="B3899" s="226"/>
      <c r="C3899" s="226"/>
      <c r="D3899" s="226"/>
      <c r="E3899" s="226"/>
      <c r="F3899" s="226"/>
      <c r="G3899" s="226"/>
      <c r="H3899" s="226"/>
      <c r="I3899" s="9" t="str">
        <f t="shared" si="60"/>
        <v>__</v>
      </c>
    </row>
    <row r="3900" spans="1:9" x14ac:dyDescent="0.35">
      <c r="A3900" s="226"/>
      <c r="B3900" s="226"/>
      <c r="C3900" s="226"/>
      <c r="D3900" s="226"/>
      <c r="E3900" s="226"/>
      <c r="F3900" s="226"/>
      <c r="G3900" s="226"/>
      <c r="H3900" s="226"/>
      <c r="I3900" s="9" t="str">
        <f t="shared" si="60"/>
        <v>__</v>
      </c>
    </row>
    <row r="3901" spans="1:9" x14ac:dyDescent="0.35">
      <c r="A3901" s="226"/>
      <c r="B3901" s="226"/>
      <c r="C3901" s="226"/>
      <c r="D3901" s="226"/>
      <c r="E3901" s="226"/>
      <c r="F3901" s="226"/>
      <c r="G3901" s="226"/>
      <c r="H3901" s="226"/>
      <c r="I3901" s="9" t="str">
        <f t="shared" si="60"/>
        <v>__</v>
      </c>
    </row>
    <row r="3902" spans="1:9" x14ac:dyDescent="0.35">
      <c r="A3902" s="226"/>
      <c r="B3902" s="226"/>
      <c r="C3902" s="226"/>
      <c r="D3902" s="226"/>
      <c r="E3902" s="226"/>
      <c r="F3902" s="226"/>
      <c r="G3902" s="226"/>
      <c r="H3902" s="226"/>
      <c r="I3902" s="9" t="str">
        <f t="shared" si="60"/>
        <v>__</v>
      </c>
    </row>
    <row r="3903" spans="1:9" x14ac:dyDescent="0.35">
      <c r="A3903" s="226"/>
      <c r="B3903" s="226"/>
      <c r="C3903" s="226"/>
      <c r="D3903" s="226"/>
      <c r="E3903" s="226"/>
      <c r="F3903" s="226"/>
      <c r="G3903" s="226"/>
      <c r="H3903" s="226"/>
      <c r="I3903" s="9" t="str">
        <f t="shared" si="60"/>
        <v>__</v>
      </c>
    </row>
    <row r="3904" spans="1:9" x14ac:dyDescent="0.35">
      <c r="A3904" s="226"/>
      <c r="B3904" s="226"/>
      <c r="C3904" s="226"/>
      <c r="D3904" s="226"/>
      <c r="E3904" s="226"/>
      <c r="F3904" s="226"/>
      <c r="G3904" s="226"/>
      <c r="H3904" s="226"/>
      <c r="I3904" s="9" t="str">
        <f t="shared" si="60"/>
        <v>__</v>
      </c>
    </row>
    <row r="3905" spans="1:9" x14ac:dyDescent="0.35">
      <c r="A3905" s="226"/>
      <c r="B3905" s="226"/>
      <c r="C3905" s="226"/>
      <c r="D3905" s="226"/>
      <c r="E3905" s="226"/>
      <c r="F3905" s="226"/>
      <c r="G3905" s="226"/>
      <c r="H3905" s="226"/>
      <c r="I3905" s="9" t="str">
        <f t="shared" si="60"/>
        <v>__</v>
      </c>
    </row>
    <row r="3906" spans="1:9" x14ac:dyDescent="0.35">
      <c r="A3906" s="226"/>
      <c r="B3906" s="226"/>
      <c r="C3906" s="226"/>
      <c r="D3906" s="226"/>
      <c r="E3906" s="226"/>
      <c r="F3906" s="226"/>
      <c r="G3906" s="226"/>
      <c r="H3906" s="226"/>
      <c r="I3906" s="9" t="str">
        <f t="shared" si="60"/>
        <v>__</v>
      </c>
    </row>
    <row r="3907" spans="1:9" x14ac:dyDescent="0.35">
      <c r="A3907" s="226"/>
      <c r="B3907" s="226"/>
      <c r="C3907" s="226"/>
      <c r="D3907" s="226"/>
      <c r="E3907" s="226"/>
      <c r="F3907" s="226"/>
      <c r="G3907" s="226"/>
      <c r="H3907" s="226"/>
      <c r="I3907" s="9" t="str">
        <f t="shared" si="60"/>
        <v>__</v>
      </c>
    </row>
    <row r="3908" spans="1:9" x14ac:dyDescent="0.35">
      <c r="A3908" s="226"/>
      <c r="B3908" s="226"/>
      <c r="C3908" s="226"/>
      <c r="D3908" s="226"/>
      <c r="E3908" s="226"/>
      <c r="F3908" s="226"/>
      <c r="G3908" s="226"/>
      <c r="H3908" s="226"/>
      <c r="I3908" s="9" t="str">
        <f t="shared" si="60"/>
        <v>__</v>
      </c>
    </row>
    <row r="3909" spans="1:9" x14ac:dyDescent="0.35">
      <c r="A3909" s="226"/>
      <c r="B3909" s="226"/>
      <c r="C3909" s="226"/>
      <c r="D3909" s="226"/>
      <c r="E3909" s="226"/>
      <c r="F3909" s="226"/>
      <c r="G3909" s="226"/>
      <c r="H3909" s="226"/>
      <c r="I3909" s="9" t="str">
        <f t="shared" ref="I3909:I3972" si="61">CONCATENATE(A3909,"_",B3909,"_",C3909)</f>
        <v>__</v>
      </c>
    </row>
    <row r="3910" spans="1:9" x14ac:dyDescent="0.35">
      <c r="A3910" s="226"/>
      <c r="B3910" s="226"/>
      <c r="C3910" s="226"/>
      <c r="D3910" s="226"/>
      <c r="E3910" s="226"/>
      <c r="F3910" s="226"/>
      <c r="G3910" s="226"/>
      <c r="H3910" s="226"/>
      <c r="I3910" s="9" t="str">
        <f t="shared" si="61"/>
        <v>__</v>
      </c>
    </row>
    <row r="3911" spans="1:9" x14ac:dyDescent="0.35">
      <c r="A3911" s="226"/>
      <c r="B3911" s="226"/>
      <c r="C3911" s="226"/>
      <c r="D3911" s="226"/>
      <c r="E3911" s="226"/>
      <c r="F3911" s="226"/>
      <c r="G3911" s="226"/>
      <c r="H3911" s="226"/>
      <c r="I3911" s="9" t="str">
        <f t="shared" si="61"/>
        <v>__</v>
      </c>
    </row>
    <row r="3912" spans="1:9" x14ac:dyDescent="0.35">
      <c r="A3912" s="226"/>
      <c r="B3912" s="226"/>
      <c r="C3912" s="226"/>
      <c r="D3912" s="226"/>
      <c r="E3912" s="226"/>
      <c r="F3912" s="226"/>
      <c r="G3912" s="226"/>
      <c r="H3912" s="226"/>
      <c r="I3912" s="9" t="str">
        <f t="shared" si="61"/>
        <v>__</v>
      </c>
    </row>
    <row r="3913" spans="1:9" x14ac:dyDescent="0.35">
      <c r="A3913" s="226"/>
      <c r="B3913" s="226"/>
      <c r="C3913" s="226"/>
      <c r="D3913" s="226"/>
      <c r="E3913" s="226"/>
      <c r="F3913" s="226"/>
      <c r="G3913" s="226"/>
      <c r="H3913" s="226"/>
      <c r="I3913" s="9" t="str">
        <f t="shared" si="61"/>
        <v>__</v>
      </c>
    </row>
    <row r="3914" spans="1:9" x14ac:dyDescent="0.35">
      <c r="A3914" s="226"/>
      <c r="B3914" s="226"/>
      <c r="C3914" s="226"/>
      <c r="D3914" s="226"/>
      <c r="E3914" s="226"/>
      <c r="F3914" s="226"/>
      <c r="G3914" s="226"/>
      <c r="H3914" s="226"/>
      <c r="I3914" s="9" t="str">
        <f t="shared" si="61"/>
        <v>__</v>
      </c>
    </row>
    <row r="3915" spans="1:9" x14ac:dyDescent="0.35">
      <c r="A3915" s="226"/>
      <c r="B3915" s="226"/>
      <c r="C3915" s="226"/>
      <c r="D3915" s="226"/>
      <c r="E3915" s="226"/>
      <c r="F3915" s="226"/>
      <c r="G3915" s="226"/>
      <c r="H3915" s="226"/>
      <c r="I3915" s="9" t="str">
        <f t="shared" si="61"/>
        <v>__</v>
      </c>
    </row>
    <row r="3916" spans="1:9" x14ac:dyDescent="0.35">
      <c r="A3916" s="226"/>
      <c r="B3916" s="226"/>
      <c r="C3916" s="226"/>
      <c r="D3916" s="226"/>
      <c r="E3916" s="226"/>
      <c r="F3916" s="226"/>
      <c r="G3916" s="226"/>
      <c r="H3916" s="226"/>
      <c r="I3916" s="9" t="str">
        <f t="shared" si="61"/>
        <v>__</v>
      </c>
    </row>
    <row r="3917" spans="1:9" x14ac:dyDescent="0.35">
      <c r="A3917" s="226"/>
      <c r="B3917" s="226"/>
      <c r="C3917" s="226"/>
      <c r="D3917" s="226"/>
      <c r="E3917" s="226"/>
      <c r="F3917" s="226"/>
      <c r="G3917" s="226"/>
      <c r="H3917" s="226"/>
      <c r="I3917" s="9" t="str">
        <f t="shared" si="61"/>
        <v>__</v>
      </c>
    </row>
    <row r="3918" spans="1:9" x14ac:dyDescent="0.35">
      <c r="A3918" s="226"/>
      <c r="B3918" s="226"/>
      <c r="C3918" s="226"/>
      <c r="D3918" s="226"/>
      <c r="E3918" s="226"/>
      <c r="F3918" s="226"/>
      <c r="G3918" s="226"/>
      <c r="H3918" s="226"/>
      <c r="I3918" s="9" t="str">
        <f t="shared" si="61"/>
        <v>__</v>
      </c>
    </row>
    <row r="3919" spans="1:9" x14ac:dyDescent="0.35">
      <c r="A3919" s="226"/>
      <c r="B3919" s="226"/>
      <c r="C3919" s="226"/>
      <c r="D3919" s="226"/>
      <c r="E3919" s="226"/>
      <c r="F3919" s="226"/>
      <c r="G3919" s="226"/>
      <c r="H3919" s="226"/>
      <c r="I3919" s="9" t="str">
        <f t="shared" si="61"/>
        <v>__</v>
      </c>
    </row>
    <row r="3920" spans="1:9" x14ac:dyDescent="0.35">
      <c r="A3920" s="226"/>
      <c r="B3920" s="226"/>
      <c r="C3920" s="226"/>
      <c r="D3920" s="226"/>
      <c r="E3920" s="226"/>
      <c r="F3920" s="226"/>
      <c r="G3920" s="226"/>
      <c r="H3920" s="226"/>
      <c r="I3920" s="9" t="str">
        <f t="shared" si="61"/>
        <v>__</v>
      </c>
    </row>
    <row r="3921" spans="1:9" x14ac:dyDescent="0.35">
      <c r="A3921" s="226"/>
      <c r="B3921" s="226"/>
      <c r="C3921" s="226"/>
      <c r="D3921" s="226"/>
      <c r="E3921" s="226"/>
      <c r="F3921" s="226"/>
      <c r="G3921" s="226"/>
      <c r="H3921" s="226"/>
      <c r="I3921" s="9" t="str">
        <f t="shared" si="61"/>
        <v>__</v>
      </c>
    </row>
    <row r="3922" spans="1:9" x14ac:dyDescent="0.35">
      <c r="A3922" s="226"/>
      <c r="B3922" s="226"/>
      <c r="C3922" s="226"/>
      <c r="D3922" s="226"/>
      <c r="E3922" s="226"/>
      <c r="F3922" s="226"/>
      <c r="G3922" s="226"/>
      <c r="H3922" s="226"/>
      <c r="I3922" s="9" t="str">
        <f t="shared" si="61"/>
        <v>__</v>
      </c>
    </row>
    <row r="3923" spans="1:9" x14ac:dyDescent="0.35">
      <c r="A3923" s="226"/>
      <c r="B3923" s="226"/>
      <c r="C3923" s="226"/>
      <c r="D3923" s="226"/>
      <c r="E3923" s="226"/>
      <c r="F3923" s="226"/>
      <c r="G3923" s="226"/>
      <c r="H3923" s="226"/>
      <c r="I3923" s="9" t="str">
        <f t="shared" si="61"/>
        <v>__</v>
      </c>
    </row>
    <row r="3924" spans="1:9" x14ac:dyDescent="0.35">
      <c r="A3924" s="226"/>
      <c r="B3924" s="226"/>
      <c r="C3924" s="226"/>
      <c r="D3924" s="226"/>
      <c r="E3924" s="226"/>
      <c r="F3924" s="226"/>
      <c r="G3924" s="226"/>
      <c r="H3924" s="226"/>
      <c r="I3924" s="9" t="str">
        <f t="shared" si="61"/>
        <v>__</v>
      </c>
    </row>
    <row r="3925" spans="1:9" x14ac:dyDescent="0.35">
      <c r="A3925" s="226"/>
      <c r="B3925" s="226"/>
      <c r="C3925" s="226"/>
      <c r="D3925" s="226"/>
      <c r="E3925" s="226"/>
      <c r="F3925" s="226"/>
      <c r="G3925" s="226"/>
      <c r="H3925" s="226"/>
      <c r="I3925" s="9" t="str">
        <f t="shared" si="61"/>
        <v>__</v>
      </c>
    </row>
    <row r="3926" spans="1:9" x14ac:dyDescent="0.35">
      <c r="A3926" s="226"/>
      <c r="B3926" s="226"/>
      <c r="C3926" s="226"/>
      <c r="D3926" s="226"/>
      <c r="E3926" s="226"/>
      <c r="F3926" s="226"/>
      <c r="G3926" s="226"/>
      <c r="H3926" s="226"/>
      <c r="I3926" s="9" t="str">
        <f t="shared" si="61"/>
        <v>__</v>
      </c>
    </row>
    <row r="3927" spans="1:9" x14ac:dyDescent="0.35">
      <c r="A3927" s="226"/>
      <c r="B3927" s="226"/>
      <c r="C3927" s="226"/>
      <c r="D3927" s="226"/>
      <c r="E3927" s="226"/>
      <c r="F3927" s="226"/>
      <c r="G3927" s="226"/>
      <c r="H3927" s="226"/>
      <c r="I3927" s="9" t="str">
        <f t="shared" si="61"/>
        <v>__</v>
      </c>
    </row>
    <row r="3928" spans="1:9" x14ac:dyDescent="0.35">
      <c r="A3928" s="226"/>
      <c r="B3928" s="226"/>
      <c r="C3928" s="226"/>
      <c r="D3928" s="226"/>
      <c r="E3928" s="226"/>
      <c r="F3928" s="226"/>
      <c r="G3928" s="226"/>
      <c r="H3928" s="226"/>
      <c r="I3928" s="9" t="str">
        <f t="shared" si="61"/>
        <v>__</v>
      </c>
    </row>
    <row r="3929" spans="1:9" x14ac:dyDescent="0.35">
      <c r="A3929" s="226"/>
      <c r="B3929" s="226"/>
      <c r="C3929" s="226"/>
      <c r="D3929" s="226"/>
      <c r="E3929" s="226"/>
      <c r="F3929" s="226"/>
      <c r="G3929" s="226"/>
      <c r="H3929" s="226"/>
      <c r="I3929" s="9" t="str">
        <f t="shared" si="61"/>
        <v>__</v>
      </c>
    </row>
    <row r="3930" spans="1:9" x14ac:dyDescent="0.35">
      <c r="A3930" s="226"/>
      <c r="B3930" s="226"/>
      <c r="C3930" s="226"/>
      <c r="D3930" s="226"/>
      <c r="E3930" s="226"/>
      <c r="F3930" s="226"/>
      <c r="G3930" s="226"/>
      <c r="H3930" s="226"/>
      <c r="I3930" s="9" t="str">
        <f t="shared" si="61"/>
        <v>__</v>
      </c>
    </row>
    <row r="3931" spans="1:9" x14ac:dyDescent="0.35">
      <c r="A3931" s="226"/>
      <c r="B3931" s="226"/>
      <c r="C3931" s="226"/>
      <c r="D3931" s="226"/>
      <c r="E3931" s="226"/>
      <c r="F3931" s="226"/>
      <c r="G3931" s="226"/>
      <c r="H3931" s="226"/>
      <c r="I3931" s="9" t="str">
        <f t="shared" si="61"/>
        <v>__</v>
      </c>
    </row>
    <row r="3932" spans="1:9" x14ac:dyDescent="0.35">
      <c r="A3932" s="226"/>
      <c r="B3932" s="226"/>
      <c r="C3932" s="226"/>
      <c r="D3932" s="226"/>
      <c r="E3932" s="226"/>
      <c r="F3932" s="226"/>
      <c r="G3932" s="226"/>
      <c r="H3932" s="226"/>
      <c r="I3932" s="9" t="str">
        <f t="shared" si="61"/>
        <v>__</v>
      </c>
    </row>
    <row r="3933" spans="1:9" x14ac:dyDescent="0.35">
      <c r="A3933" s="226"/>
      <c r="B3933" s="226"/>
      <c r="C3933" s="226"/>
      <c r="D3933" s="226"/>
      <c r="E3933" s="226"/>
      <c r="F3933" s="226"/>
      <c r="G3933" s="226"/>
      <c r="H3933" s="226"/>
      <c r="I3933" s="9" t="str">
        <f t="shared" si="61"/>
        <v>__</v>
      </c>
    </row>
    <row r="3934" spans="1:9" x14ac:dyDescent="0.35">
      <c r="A3934" s="226"/>
      <c r="B3934" s="226"/>
      <c r="C3934" s="226"/>
      <c r="D3934" s="226"/>
      <c r="E3934" s="226"/>
      <c r="F3934" s="226"/>
      <c r="G3934" s="226"/>
      <c r="H3934" s="226"/>
      <c r="I3934" s="9" t="str">
        <f t="shared" si="61"/>
        <v>__</v>
      </c>
    </row>
    <row r="3935" spans="1:9" x14ac:dyDescent="0.35">
      <c r="A3935" s="226"/>
      <c r="B3935" s="226"/>
      <c r="C3935" s="226"/>
      <c r="D3935" s="226"/>
      <c r="E3935" s="226"/>
      <c r="F3935" s="226"/>
      <c r="G3935" s="226"/>
      <c r="H3935" s="226"/>
      <c r="I3935" s="9" t="str">
        <f t="shared" si="61"/>
        <v>__</v>
      </c>
    </row>
    <row r="3936" spans="1:9" x14ac:dyDescent="0.35">
      <c r="A3936" s="226"/>
      <c r="B3936" s="226"/>
      <c r="C3936" s="226"/>
      <c r="D3936" s="226"/>
      <c r="E3936" s="226"/>
      <c r="F3936" s="226"/>
      <c r="G3936" s="226"/>
      <c r="H3936" s="226"/>
      <c r="I3936" s="9" t="str">
        <f t="shared" si="61"/>
        <v>__</v>
      </c>
    </row>
    <row r="3937" spans="1:9" x14ac:dyDescent="0.35">
      <c r="A3937" s="226"/>
      <c r="B3937" s="226"/>
      <c r="C3937" s="226"/>
      <c r="D3937" s="226"/>
      <c r="E3937" s="226"/>
      <c r="F3937" s="226"/>
      <c r="G3937" s="226"/>
      <c r="H3937" s="226"/>
      <c r="I3937" s="9" t="str">
        <f t="shared" si="61"/>
        <v>__</v>
      </c>
    </row>
    <row r="3938" spans="1:9" x14ac:dyDescent="0.35">
      <c r="A3938" s="226"/>
      <c r="B3938" s="226"/>
      <c r="C3938" s="226"/>
      <c r="D3938" s="226"/>
      <c r="E3938" s="226"/>
      <c r="F3938" s="226"/>
      <c r="G3938" s="226"/>
      <c r="H3938" s="226"/>
      <c r="I3938" s="9" t="str">
        <f t="shared" si="61"/>
        <v>__</v>
      </c>
    </row>
    <row r="3939" spans="1:9" x14ac:dyDescent="0.35">
      <c r="A3939" s="226"/>
      <c r="B3939" s="226"/>
      <c r="C3939" s="226"/>
      <c r="D3939" s="226"/>
      <c r="E3939" s="226"/>
      <c r="F3939" s="226"/>
      <c r="G3939" s="226"/>
      <c r="H3939" s="226"/>
      <c r="I3939" s="9" t="str">
        <f t="shared" si="61"/>
        <v>__</v>
      </c>
    </row>
    <row r="3940" spans="1:9" x14ac:dyDescent="0.35">
      <c r="A3940" s="226"/>
      <c r="B3940" s="226"/>
      <c r="C3940" s="226"/>
      <c r="D3940" s="226"/>
      <c r="E3940" s="226"/>
      <c r="F3940" s="226"/>
      <c r="G3940" s="226"/>
      <c r="H3940" s="226"/>
      <c r="I3940" s="9" t="str">
        <f t="shared" si="61"/>
        <v>__</v>
      </c>
    </row>
    <row r="3941" spans="1:9" x14ac:dyDescent="0.35">
      <c r="A3941" s="226"/>
      <c r="B3941" s="226"/>
      <c r="C3941" s="226"/>
      <c r="D3941" s="226"/>
      <c r="E3941" s="226"/>
      <c r="F3941" s="226"/>
      <c r="G3941" s="226"/>
      <c r="H3941" s="226"/>
      <c r="I3941" s="9" t="str">
        <f t="shared" si="61"/>
        <v>__</v>
      </c>
    </row>
    <row r="3942" spans="1:9" x14ac:dyDescent="0.35">
      <c r="A3942" s="226"/>
      <c r="B3942" s="226"/>
      <c r="C3942" s="226"/>
      <c r="D3942" s="226"/>
      <c r="E3942" s="226"/>
      <c r="F3942" s="226"/>
      <c r="G3942" s="226"/>
      <c r="H3942" s="226"/>
      <c r="I3942" s="9" t="str">
        <f t="shared" si="61"/>
        <v>__</v>
      </c>
    </row>
    <row r="3943" spans="1:9" x14ac:dyDescent="0.35">
      <c r="A3943" s="226"/>
      <c r="B3943" s="226"/>
      <c r="C3943" s="226"/>
      <c r="D3943" s="226"/>
      <c r="E3943" s="226"/>
      <c r="F3943" s="226"/>
      <c r="G3943" s="226"/>
      <c r="H3943" s="226"/>
      <c r="I3943" s="9" t="str">
        <f t="shared" si="61"/>
        <v>__</v>
      </c>
    </row>
    <row r="3944" spans="1:9" x14ac:dyDescent="0.35">
      <c r="A3944" s="226"/>
      <c r="B3944" s="226"/>
      <c r="C3944" s="226"/>
      <c r="D3944" s="226"/>
      <c r="E3944" s="226"/>
      <c r="F3944" s="226"/>
      <c r="G3944" s="226"/>
      <c r="H3944" s="226"/>
      <c r="I3944" s="9" t="str">
        <f t="shared" si="61"/>
        <v>__</v>
      </c>
    </row>
    <row r="3945" spans="1:9" x14ac:dyDescent="0.35">
      <c r="A3945" s="226"/>
      <c r="B3945" s="226"/>
      <c r="C3945" s="226"/>
      <c r="D3945" s="226"/>
      <c r="E3945" s="226"/>
      <c r="F3945" s="226"/>
      <c r="G3945" s="226"/>
      <c r="H3945" s="226"/>
      <c r="I3945" s="9" t="str">
        <f t="shared" si="61"/>
        <v>__</v>
      </c>
    </row>
    <row r="3946" spans="1:9" x14ac:dyDescent="0.35">
      <c r="A3946" s="226"/>
      <c r="B3946" s="226"/>
      <c r="C3946" s="226"/>
      <c r="D3946" s="226"/>
      <c r="E3946" s="226"/>
      <c r="F3946" s="226"/>
      <c r="G3946" s="226"/>
      <c r="H3946" s="226"/>
      <c r="I3946" s="9" t="str">
        <f t="shared" si="61"/>
        <v>__</v>
      </c>
    </row>
    <row r="3947" spans="1:9" x14ac:dyDescent="0.35">
      <c r="A3947" s="226"/>
      <c r="B3947" s="226"/>
      <c r="C3947" s="226"/>
      <c r="D3947" s="226"/>
      <c r="E3947" s="226"/>
      <c r="F3947" s="226"/>
      <c r="G3947" s="226"/>
      <c r="H3947" s="226"/>
      <c r="I3947" s="9" t="str">
        <f t="shared" si="61"/>
        <v>__</v>
      </c>
    </row>
    <row r="3948" spans="1:9" x14ac:dyDescent="0.35">
      <c r="A3948" s="226"/>
      <c r="B3948" s="226"/>
      <c r="C3948" s="226"/>
      <c r="D3948" s="226"/>
      <c r="E3948" s="226"/>
      <c r="F3948" s="226"/>
      <c r="G3948" s="226"/>
      <c r="H3948" s="226"/>
      <c r="I3948" s="9" t="str">
        <f t="shared" si="61"/>
        <v>__</v>
      </c>
    </row>
    <row r="3949" spans="1:9" x14ac:dyDescent="0.35">
      <c r="A3949" s="226"/>
      <c r="B3949" s="226"/>
      <c r="C3949" s="226"/>
      <c r="D3949" s="226"/>
      <c r="E3949" s="226"/>
      <c r="F3949" s="226"/>
      <c r="G3949" s="226"/>
      <c r="H3949" s="226"/>
      <c r="I3949" s="9" t="str">
        <f t="shared" si="61"/>
        <v>__</v>
      </c>
    </row>
    <row r="3950" spans="1:9" x14ac:dyDescent="0.35">
      <c r="A3950" s="226"/>
      <c r="B3950" s="226"/>
      <c r="C3950" s="226"/>
      <c r="D3950" s="226"/>
      <c r="E3950" s="226"/>
      <c r="F3950" s="226"/>
      <c r="G3950" s="226"/>
      <c r="H3950" s="226"/>
      <c r="I3950" s="9" t="str">
        <f t="shared" si="61"/>
        <v>__</v>
      </c>
    </row>
    <row r="3951" spans="1:9" x14ac:dyDescent="0.35">
      <c r="A3951" s="226"/>
      <c r="B3951" s="226"/>
      <c r="C3951" s="226"/>
      <c r="D3951" s="226"/>
      <c r="E3951" s="226"/>
      <c r="F3951" s="226"/>
      <c r="G3951" s="226"/>
      <c r="H3951" s="226"/>
      <c r="I3951" s="9" t="str">
        <f t="shared" si="61"/>
        <v>__</v>
      </c>
    </row>
    <row r="3952" spans="1:9" x14ac:dyDescent="0.35">
      <c r="A3952" s="226"/>
      <c r="B3952" s="226"/>
      <c r="C3952" s="226"/>
      <c r="D3952" s="226"/>
      <c r="E3952" s="226"/>
      <c r="F3952" s="226"/>
      <c r="G3952" s="226"/>
      <c r="H3952" s="226"/>
      <c r="I3952" s="9" t="str">
        <f t="shared" si="61"/>
        <v>__</v>
      </c>
    </row>
    <row r="3953" spans="1:9" x14ac:dyDescent="0.35">
      <c r="A3953" s="226"/>
      <c r="B3953" s="226"/>
      <c r="C3953" s="226"/>
      <c r="D3953" s="226"/>
      <c r="E3953" s="226"/>
      <c r="F3953" s="226"/>
      <c r="G3953" s="226"/>
      <c r="H3953" s="226"/>
      <c r="I3953" s="9" t="str">
        <f t="shared" si="61"/>
        <v>__</v>
      </c>
    </row>
    <row r="3954" spans="1:9" x14ac:dyDescent="0.35">
      <c r="A3954" s="226"/>
      <c r="B3954" s="226"/>
      <c r="C3954" s="226"/>
      <c r="D3954" s="226"/>
      <c r="E3954" s="226"/>
      <c r="F3954" s="226"/>
      <c r="G3954" s="226"/>
      <c r="H3954" s="226"/>
      <c r="I3954" s="9" t="str">
        <f t="shared" si="61"/>
        <v>__</v>
      </c>
    </row>
    <row r="3955" spans="1:9" x14ac:dyDescent="0.35">
      <c r="A3955" s="226"/>
      <c r="B3955" s="226"/>
      <c r="C3955" s="226"/>
      <c r="D3955" s="226"/>
      <c r="E3955" s="226"/>
      <c r="F3955" s="226"/>
      <c r="G3955" s="226"/>
      <c r="H3955" s="226"/>
      <c r="I3955" s="9" t="str">
        <f t="shared" si="61"/>
        <v>__</v>
      </c>
    </row>
    <row r="3956" spans="1:9" x14ac:dyDescent="0.35">
      <c r="A3956" s="226"/>
      <c r="B3956" s="226"/>
      <c r="C3956" s="226"/>
      <c r="D3956" s="226"/>
      <c r="E3956" s="226"/>
      <c r="F3956" s="226"/>
      <c r="G3956" s="226"/>
      <c r="H3956" s="226"/>
      <c r="I3956" s="9" t="str">
        <f t="shared" si="61"/>
        <v>__</v>
      </c>
    </row>
    <row r="3957" spans="1:9" x14ac:dyDescent="0.35">
      <c r="A3957" s="226"/>
      <c r="B3957" s="226"/>
      <c r="C3957" s="226"/>
      <c r="D3957" s="226"/>
      <c r="E3957" s="226"/>
      <c r="F3957" s="226"/>
      <c r="G3957" s="226"/>
      <c r="H3957" s="226"/>
      <c r="I3957" s="9" t="str">
        <f t="shared" si="61"/>
        <v>__</v>
      </c>
    </row>
    <row r="3958" spans="1:9" x14ac:dyDescent="0.35">
      <c r="A3958" s="226"/>
      <c r="B3958" s="226"/>
      <c r="C3958" s="226"/>
      <c r="D3958" s="226"/>
      <c r="E3958" s="226"/>
      <c r="F3958" s="226"/>
      <c r="G3958" s="226"/>
      <c r="H3958" s="226"/>
      <c r="I3958" s="9" t="str">
        <f t="shared" si="61"/>
        <v>__</v>
      </c>
    </row>
    <row r="3959" spans="1:9" x14ac:dyDescent="0.35">
      <c r="A3959" s="226"/>
      <c r="B3959" s="226"/>
      <c r="C3959" s="226"/>
      <c r="D3959" s="226"/>
      <c r="E3959" s="226"/>
      <c r="F3959" s="226"/>
      <c r="G3959" s="226"/>
      <c r="H3959" s="226"/>
      <c r="I3959" s="9" t="str">
        <f t="shared" si="61"/>
        <v>__</v>
      </c>
    </row>
    <row r="3960" spans="1:9" x14ac:dyDescent="0.35">
      <c r="A3960" s="226"/>
      <c r="B3960" s="226"/>
      <c r="C3960" s="226"/>
      <c r="D3960" s="226"/>
      <c r="E3960" s="226"/>
      <c r="F3960" s="226"/>
      <c r="G3960" s="226"/>
      <c r="H3960" s="226"/>
      <c r="I3960" s="9" t="str">
        <f t="shared" si="61"/>
        <v>__</v>
      </c>
    </row>
    <row r="3961" spans="1:9" x14ac:dyDescent="0.35">
      <c r="A3961" s="226"/>
      <c r="B3961" s="226"/>
      <c r="C3961" s="226"/>
      <c r="D3961" s="226"/>
      <c r="E3961" s="226"/>
      <c r="F3961" s="226"/>
      <c r="G3961" s="226"/>
      <c r="H3961" s="226"/>
      <c r="I3961" s="9" t="str">
        <f t="shared" si="61"/>
        <v>__</v>
      </c>
    </row>
    <row r="3962" spans="1:9" x14ac:dyDescent="0.35">
      <c r="A3962" s="226"/>
      <c r="B3962" s="226"/>
      <c r="C3962" s="226"/>
      <c r="D3962" s="226"/>
      <c r="E3962" s="226"/>
      <c r="F3962" s="226"/>
      <c r="G3962" s="226"/>
      <c r="H3962" s="226"/>
      <c r="I3962" s="9" t="str">
        <f t="shared" si="61"/>
        <v>__</v>
      </c>
    </row>
    <row r="3963" spans="1:9" x14ac:dyDescent="0.35">
      <c r="A3963" s="226"/>
      <c r="B3963" s="226"/>
      <c r="C3963" s="226"/>
      <c r="D3963" s="226"/>
      <c r="E3963" s="226"/>
      <c r="F3963" s="226"/>
      <c r="G3963" s="226"/>
      <c r="H3963" s="226"/>
      <c r="I3963" s="9" t="str">
        <f t="shared" si="61"/>
        <v>__</v>
      </c>
    </row>
    <row r="3964" spans="1:9" x14ac:dyDescent="0.35">
      <c r="A3964" s="226"/>
      <c r="B3964" s="226"/>
      <c r="C3964" s="226"/>
      <c r="D3964" s="226"/>
      <c r="E3964" s="226"/>
      <c r="F3964" s="226"/>
      <c r="G3964" s="226"/>
      <c r="H3964" s="226"/>
      <c r="I3964" s="9" t="str">
        <f t="shared" si="61"/>
        <v>__</v>
      </c>
    </row>
    <row r="3965" spans="1:9" x14ac:dyDescent="0.35">
      <c r="A3965" s="226"/>
      <c r="B3965" s="226"/>
      <c r="C3965" s="226"/>
      <c r="D3965" s="226"/>
      <c r="E3965" s="226"/>
      <c r="F3965" s="226"/>
      <c r="G3965" s="226"/>
      <c r="H3965" s="226"/>
      <c r="I3965" s="9" t="str">
        <f t="shared" si="61"/>
        <v>__</v>
      </c>
    </row>
    <row r="3966" spans="1:9" x14ac:dyDescent="0.35">
      <c r="A3966" s="226"/>
      <c r="B3966" s="226"/>
      <c r="C3966" s="226"/>
      <c r="D3966" s="226"/>
      <c r="E3966" s="226"/>
      <c r="F3966" s="226"/>
      <c r="G3966" s="226"/>
      <c r="H3966" s="226"/>
      <c r="I3966" s="9" t="str">
        <f t="shared" si="61"/>
        <v>__</v>
      </c>
    </row>
    <row r="3967" spans="1:9" x14ac:dyDescent="0.35">
      <c r="A3967" s="226"/>
      <c r="B3967" s="226"/>
      <c r="C3967" s="226"/>
      <c r="D3967" s="226"/>
      <c r="E3967" s="226"/>
      <c r="F3967" s="226"/>
      <c r="G3967" s="226"/>
      <c r="H3967" s="226"/>
      <c r="I3967" s="9" t="str">
        <f t="shared" si="61"/>
        <v>__</v>
      </c>
    </row>
    <row r="3968" spans="1:9" x14ac:dyDescent="0.35">
      <c r="A3968" s="226"/>
      <c r="B3968" s="226"/>
      <c r="C3968" s="226"/>
      <c r="D3968" s="226"/>
      <c r="E3968" s="226"/>
      <c r="F3968" s="226"/>
      <c r="G3968" s="226"/>
      <c r="H3968" s="226"/>
      <c r="I3968" s="9" t="str">
        <f t="shared" si="61"/>
        <v>__</v>
      </c>
    </row>
    <row r="3969" spans="1:9" x14ac:dyDescent="0.35">
      <c r="A3969" s="226"/>
      <c r="B3969" s="226"/>
      <c r="C3969" s="226"/>
      <c r="D3969" s="226"/>
      <c r="E3969" s="226"/>
      <c r="F3969" s="226"/>
      <c r="G3969" s="226"/>
      <c r="H3969" s="226"/>
      <c r="I3969" s="9" t="str">
        <f t="shared" si="61"/>
        <v>__</v>
      </c>
    </row>
    <row r="3970" spans="1:9" x14ac:dyDescent="0.35">
      <c r="A3970" s="226"/>
      <c r="B3970" s="226"/>
      <c r="C3970" s="226"/>
      <c r="D3970" s="226"/>
      <c r="E3970" s="226"/>
      <c r="F3970" s="226"/>
      <c r="G3970" s="226"/>
      <c r="H3970" s="226"/>
      <c r="I3970" s="9" t="str">
        <f t="shared" si="61"/>
        <v>__</v>
      </c>
    </row>
    <row r="3971" spans="1:9" x14ac:dyDescent="0.35">
      <c r="A3971" s="226"/>
      <c r="B3971" s="226"/>
      <c r="C3971" s="226"/>
      <c r="D3971" s="226"/>
      <c r="E3971" s="226"/>
      <c r="F3971" s="226"/>
      <c r="G3971" s="226"/>
      <c r="H3971" s="226"/>
      <c r="I3971" s="9" t="str">
        <f t="shared" si="61"/>
        <v>__</v>
      </c>
    </row>
    <row r="3972" spans="1:9" x14ac:dyDescent="0.35">
      <c r="A3972" s="226"/>
      <c r="B3972" s="226"/>
      <c r="C3972" s="226"/>
      <c r="D3972" s="226"/>
      <c r="E3972" s="226"/>
      <c r="F3972" s="226"/>
      <c r="G3972" s="226"/>
      <c r="H3972" s="226"/>
      <c r="I3972" s="9" t="str">
        <f t="shared" si="61"/>
        <v>__</v>
      </c>
    </row>
    <row r="3973" spans="1:9" x14ac:dyDescent="0.35">
      <c r="A3973" s="226"/>
      <c r="B3973" s="226"/>
      <c r="C3973" s="226"/>
      <c r="D3973" s="226"/>
      <c r="E3973" s="226"/>
      <c r="F3973" s="226"/>
      <c r="G3973" s="226"/>
      <c r="H3973" s="226"/>
      <c r="I3973" s="9" t="str">
        <f t="shared" ref="I3973:I4036" si="62">CONCATENATE(A3973,"_",B3973,"_",C3973)</f>
        <v>__</v>
      </c>
    </row>
    <row r="3974" spans="1:9" x14ac:dyDescent="0.35">
      <c r="A3974" s="226"/>
      <c r="B3974" s="226"/>
      <c r="C3974" s="226"/>
      <c r="D3974" s="226"/>
      <c r="E3974" s="226"/>
      <c r="F3974" s="226"/>
      <c r="G3974" s="226"/>
      <c r="H3974" s="226"/>
      <c r="I3974" s="9" t="str">
        <f t="shared" si="62"/>
        <v>__</v>
      </c>
    </row>
    <row r="3975" spans="1:9" x14ac:dyDescent="0.35">
      <c r="A3975" s="226"/>
      <c r="B3975" s="226"/>
      <c r="C3975" s="226"/>
      <c r="D3975" s="226"/>
      <c r="E3975" s="226"/>
      <c r="F3975" s="226"/>
      <c r="G3975" s="226"/>
      <c r="H3975" s="226"/>
      <c r="I3975" s="9" t="str">
        <f t="shared" si="62"/>
        <v>__</v>
      </c>
    </row>
    <row r="3976" spans="1:9" x14ac:dyDescent="0.35">
      <c r="A3976" s="226"/>
      <c r="B3976" s="226"/>
      <c r="C3976" s="226"/>
      <c r="D3976" s="226"/>
      <c r="E3976" s="226"/>
      <c r="F3976" s="226"/>
      <c r="G3976" s="226"/>
      <c r="H3976" s="226"/>
      <c r="I3976" s="9" t="str">
        <f t="shared" si="62"/>
        <v>__</v>
      </c>
    </row>
    <row r="3977" spans="1:9" x14ac:dyDescent="0.35">
      <c r="A3977" s="226"/>
      <c r="B3977" s="226"/>
      <c r="C3977" s="226"/>
      <c r="D3977" s="226"/>
      <c r="E3977" s="226"/>
      <c r="F3977" s="226"/>
      <c r="G3977" s="226"/>
      <c r="H3977" s="226"/>
      <c r="I3977" s="9" t="str">
        <f t="shared" si="62"/>
        <v>__</v>
      </c>
    </row>
    <row r="3978" spans="1:9" x14ac:dyDescent="0.35">
      <c r="A3978" s="226"/>
      <c r="B3978" s="226"/>
      <c r="C3978" s="226"/>
      <c r="D3978" s="226"/>
      <c r="E3978" s="226"/>
      <c r="F3978" s="226"/>
      <c r="G3978" s="226"/>
      <c r="H3978" s="226"/>
      <c r="I3978" s="9" t="str">
        <f t="shared" si="62"/>
        <v>__</v>
      </c>
    </row>
    <row r="3979" spans="1:9" x14ac:dyDescent="0.35">
      <c r="A3979" s="226"/>
      <c r="B3979" s="226"/>
      <c r="C3979" s="226"/>
      <c r="D3979" s="226"/>
      <c r="E3979" s="226"/>
      <c r="F3979" s="226"/>
      <c r="G3979" s="226"/>
      <c r="H3979" s="226"/>
      <c r="I3979" s="9" t="str">
        <f t="shared" si="62"/>
        <v>__</v>
      </c>
    </row>
    <row r="3980" spans="1:9" x14ac:dyDescent="0.35">
      <c r="A3980" s="226"/>
      <c r="B3980" s="226"/>
      <c r="C3980" s="226"/>
      <c r="D3980" s="226"/>
      <c r="E3980" s="226"/>
      <c r="F3980" s="226"/>
      <c r="G3980" s="226"/>
      <c r="H3980" s="226"/>
      <c r="I3980" s="9" t="str">
        <f t="shared" si="62"/>
        <v>__</v>
      </c>
    </row>
    <row r="3981" spans="1:9" x14ac:dyDescent="0.35">
      <c r="A3981" s="226"/>
      <c r="B3981" s="226"/>
      <c r="C3981" s="226"/>
      <c r="D3981" s="226"/>
      <c r="E3981" s="226"/>
      <c r="F3981" s="226"/>
      <c r="G3981" s="226"/>
      <c r="H3981" s="226"/>
      <c r="I3981" s="9" t="str">
        <f t="shared" si="62"/>
        <v>__</v>
      </c>
    </row>
    <row r="3982" spans="1:9" x14ac:dyDescent="0.35">
      <c r="A3982" s="226"/>
      <c r="B3982" s="226"/>
      <c r="C3982" s="226"/>
      <c r="D3982" s="226"/>
      <c r="E3982" s="226"/>
      <c r="F3982" s="226"/>
      <c r="G3982" s="226"/>
      <c r="H3982" s="226"/>
      <c r="I3982" s="9" t="str">
        <f t="shared" si="62"/>
        <v>__</v>
      </c>
    </row>
    <row r="3983" spans="1:9" x14ac:dyDescent="0.35">
      <c r="A3983" s="226"/>
      <c r="B3983" s="226"/>
      <c r="C3983" s="226"/>
      <c r="D3983" s="226"/>
      <c r="E3983" s="226"/>
      <c r="F3983" s="226"/>
      <c r="G3983" s="226"/>
      <c r="H3983" s="226"/>
      <c r="I3983" s="9" t="str">
        <f t="shared" si="62"/>
        <v>__</v>
      </c>
    </row>
    <row r="3984" spans="1:9" x14ac:dyDescent="0.35">
      <c r="A3984" s="226"/>
      <c r="B3984" s="226"/>
      <c r="C3984" s="226"/>
      <c r="D3984" s="226"/>
      <c r="E3984" s="226"/>
      <c r="F3984" s="226"/>
      <c r="G3984" s="226"/>
      <c r="H3984" s="226"/>
      <c r="I3984" s="9" t="str">
        <f t="shared" si="62"/>
        <v>__</v>
      </c>
    </row>
    <row r="3985" spans="1:9" x14ac:dyDescent="0.35">
      <c r="A3985" s="226"/>
      <c r="B3985" s="226"/>
      <c r="C3985" s="226"/>
      <c r="D3985" s="226"/>
      <c r="E3985" s="226"/>
      <c r="F3985" s="226"/>
      <c r="G3985" s="226"/>
      <c r="H3985" s="226"/>
      <c r="I3985" s="9" t="str">
        <f t="shared" si="62"/>
        <v>__</v>
      </c>
    </row>
    <row r="3986" spans="1:9" x14ac:dyDescent="0.35">
      <c r="A3986" s="226"/>
      <c r="B3986" s="226"/>
      <c r="C3986" s="226"/>
      <c r="D3986" s="226"/>
      <c r="E3986" s="226"/>
      <c r="F3986" s="226"/>
      <c r="G3986" s="226"/>
      <c r="H3986" s="226"/>
      <c r="I3986" s="9" t="str">
        <f t="shared" si="62"/>
        <v>__</v>
      </c>
    </row>
    <row r="3987" spans="1:9" x14ac:dyDescent="0.35">
      <c r="A3987" s="226"/>
      <c r="B3987" s="226"/>
      <c r="C3987" s="226"/>
      <c r="D3987" s="226"/>
      <c r="E3987" s="226"/>
      <c r="F3987" s="226"/>
      <c r="G3987" s="226"/>
      <c r="H3987" s="226"/>
      <c r="I3987" s="9" t="str">
        <f t="shared" si="62"/>
        <v>__</v>
      </c>
    </row>
    <row r="3988" spans="1:9" x14ac:dyDescent="0.35">
      <c r="A3988" s="226"/>
      <c r="B3988" s="226"/>
      <c r="C3988" s="226"/>
      <c r="D3988" s="226"/>
      <c r="E3988" s="226"/>
      <c r="F3988" s="226"/>
      <c r="G3988" s="226"/>
      <c r="H3988" s="226"/>
      <c r="I3988" s="9" t="str">
        <f t="shared" si="62"/>
        <v>__</v>
      </c>
    </row>
    <row r="3989" spans="1:9" x14ac:dyDescent="0.35">
      <c r="A3989" s="226"/>
      <c r="B3989" s="226"/>
      <c r="C3989" s="226"/>
      <c r="D3989" s="226"/>
      <c r="E3989" s="226"/>
      <c r="F3989" s="226"/>
      <c r="G3989" s="226"/>
      <c r="H3989" s="226"/>
      <c r="I3989" s="9" t="str">
        <f t="shared" si="62"/>
        <v>__</v>
      </c>
    </row>
    <row r="3990" spans="1:9" x14ac:dyDescent="0.35">
      <c r="A3990" s="226"/>
      <c r="B3990" s="226"/>
      <c r="C3990" s="226"/>
      <c r="D3990" s="226"/>
      <c r="E3990" s="226"/>
      <c r="F3990" s="226"/>
      <c r="G3990" s="226"/>
      <c r="H3990" s="226"/>
      <c r="I3990" s="9" t="str">
        <f t="shared" si="62"/>
        <v>__</v>
      </c>
    </row>
    <row r="3991" spans="1:9" x14ac:dyDescent="0.35">
      <c r="A3991" s="226"/>
      <c r="B3991" s="226"/>
      <c r="C3991" s="226"/>
      <c r="D3991" s="226"/>
      <c r="E3991" s="226"/>
      <c r="F3991" s="226"/>
      <c r="G3991" s="226"/>
      <c r="H3991" s="226"/>
      <c r="I3991" s="9" t="str">
        <f t="shared" si="62"/>
        <v>__</v>
      </c>
    </row>
    <row r="3992" spans="1:9" x14ac:dyDescent="0.35">
      <c r="A3992" s="226"/>
      <c r="B3992" s="226"/>
      <c r="C3992" s="226"/>
      <c r="D3992" s="226"/>
      <c r="E3992" s="226"/>
      <c r="F3992" s="226"/>
      <c r="G3992" s="226"/>
      <c r="H3992" s="226"/>
      <c r="I3992" s="9" t="str">
        <f t="shared" si="62"/>
        <v>__</v>
      </c>
    </row>
    <row r="3993" spans="1:9" x14ac:dyDescent="0.35">
      <c r="A3993" s="226"/>
      <c r="B3993" s="226"/>
      <c r="C3993" s="226"/>
      <c r="D3993" s="226"/>
      <c r="E3993" s="226"/>
      <c r="F3993" s="226"/>
      <c r="G3993" s="226"/>
      <c r="H3993" s="226"/>
      <c r="I3993" s="9" t="str">
        <f t="shared" si="62"/>
        <v>__</v>
      </c>
    </row>
    <row r="3994" spans="1:9" x14ac:dyDescent="0.35">
      <c r="A3994" s="226"/>
      <c r="B3994" s="226"/>
      <c r="C3994" s="226"/>
      <c r="D3994" s="226"/>
      <c r="E3994" s="226"/>
      <c r="F3994" s="226"/>
      <c r="G3994" s="226"/>
      <c r="H3994" s="226"/>
      <c r="I3994" s="9" t="str">
        <f t="shared" si="62"/>
        <v>__</v>
      </c>
    </row>
    <row r="3995" spans="1:9" x14ac:dyDescent="0.35">
      <c r="A3995" s="226"/>
      <c r="B3995" s="226"/>
      <c r="C3995" s="226"/>
      <c r="D3995" s="226"/>
      <c r="E3995" s="226"/>
      <c r="F3995" s="226"/>
      <c r="G3995" s="226"/>
      <c r="H3995" s="226"/>
      <c r="I3995" s="9" t="str">
        <f t="shared" si="62"/>
        <v>__</v>
      </c>
    </row>
    <row r="3996" spans="1:9" x14ac:dyDescent="0.35">
      <c r="A3996" s="226"/>
      <c r="B3996" s="226"/>
      <c r="C3996" s="226"/>
      <c r="D3996" s="226"/>
      <c r="E3996" s="226"/>
      <c r="F3996" s="226"/>
      <c r="G3996" s="226"/>
      <c r="H3996" s="226"/>
      <c r="I3996" s="9" t="str">
        <f t="shared" si="62"/>
        <v>__</v>
      </c>
    </row>
    <row r="3997" spans="1:9" x14ac:dyDescent="0.35">
      <c r="A3997" s="226"/>
      <c r="B3997" s="226"/>
      <c r="C3997" s="226"/>
      <c r="D3997" s="226"/>
      <c r="E3997" s="226"/>
      <c r="F3997" s="226"/>
      <c r="G3997" s="226"/>
      <c r="H3997" s="226"/>
      <c r="I3997" s="9" t="str">
        <f t="shared" si="62"/>
        <v>__</v>
      </c>
    </row>
    <row r="3998" spans="1:9" x14ac:dyDescent="0.35">
      <c r="A3998" s="226"/>
      <c r="B3998" s="226"/>
      <c r="C3998" s="226"/>
      <c r="D3998" s="226"/>
      <c r="E3998" s="226"/>
      <c r="F3998" s="226"/>
      <c r="G3998" s="226"/>
      <c r="H3998" s="226"/>
      <c r="I3998" s="9" t="str">
        <f t="shared" si="62"/>
        <v>__</v>
      </c>
    </row>
    <row r="3999" spans="1:9" x14ac:dyDescent="0.35">
      <c r="A3999" s="226"/>
      <c r="B3999" s="226"/>
      <c r="C3999" s="226"/>
      <c r="D3999" s="226"/>
      <c r="E3999" s="226"/>
      <c r="F3999" s="226"/>
      <c r="G3999" s="226"/>
      <c r="H3999" s="226"/>
      <c r="I3999" s="9" t="str">
        <f t="shared" si="62"/>
        <v>__</v>
      </c>
    </row>
    <row r="4000" spans="1:9" x14ac:dyDescent="0.35">
      <c r="A4000" s="226"/>
      <c r="B4000" s="226"/>
      <c r="C4000" s="226"/>
      <c r="D4000" s="226"/>
      <c r="E4000" s="226"/>
      <c r="F4000" s="226"/>
      <c r="G4000" s="226"/>
      <c r="H4000" s="226"/>
      <c r="I4000" s="9" t="str">
        <f t="shared" si="62"/>
        <v>__</v>
      </c>
    </row>
    <row r="4001" spans="1:9" x14ac:dyDescent="0.35">
      <c r="A4001" s="226"/>
      <c r="B4001" s="226"/>
      <c r="C4001" s="226"/>
      <c r="D4001" s="226"/>
      <c r="E4001" s="226"/>
      <c r="F4001" s="226"/>
      <c r="G4001" s="226"/>
      <c r="H4001" s="226"/>
      <c r="I4001" s="9" t="str">
        <f t="shared" si="62"/>
        <v>__</v>
      </c>
    </row>
    <row r="4002" spans="1:9" x14ac:dyDescent="0.35">
      <c r="A4002" s="226"/>
      <c r="B4002" s="226"/>
      <c r="C4002" s="226"/>
      <c r="D4002" s="226"/>
      <c r="E4002" s="226"/>
      <c r="F4002" s="226"/>
      <c r="G4002" s="226"/>
      <c r="H4002" s="226"/>
      <c r="I4002" s="9" t="str">
        <f t="shared" si="62"/>
        <v>__</v>
      </c>
    </row>
    <row r="4003" spans="1:9" x14ac:dyDescent="0.35">
      <c r="A4003" s="226"/>
      <c r="B4003" s="226"/>
      <c r="C4003" s="226"/>
      <c r="D4003" s="226"/>
      <c r="E4003" s="226"/>
      <c r="F4003" s="226"/>
      <c r="G4003" s="226"/>
      <c r="H4003" s="226"/>
      <c r="I4003" s="9" t="str">
        <f t="shared" si="62"/>
        <v>__</v>
      </c>
    </row>
    <row r="4004" spans="1:9" x14ac:dyDescent="0.35">
      <c r="A4004" s="226"/>
      <c r="B4004" s="226"/>
      <c r="C4004" s="226"/>
      <c r="D4004" s="226"/>
      <c r="E4004" s="226"/>
      <c r="F4004" s="226"/>
      <c r="G4004" s="226"/>
      <c r="H4004" s="226"/>
      <c r="I4004" s="9" t="str">
        <f t="shared" si="62"/>
        <v>__</v>
      </c>
    </row>
    <row r="4005" spans="1:9" x14ac:dyDescent="0.35">
      <c r="A4005" s="226"/>
      <c r="B4005" s="226"/>
      <c r="C4005" s="226"/>
      <c r="D4005" s="226"/>
      <c r="E4005" s="226"/>
      <c r="F4005" s="226"/>
      <c r="G4005" s="226"/>
      <c r="H4005" s="226"/>
      <c r="I4005" s="9" t="str">
        <f t="shared" si="62"/>
        <v>__</v>
      </c>
    </row>
    <row r="4006" spans="1:9" x14ac:dyDescent="0.35">
      <c r="A4006" s="226"/>
      <c r="B4006" s="226"/>
      <c r="C4006" s="226"/>
      <c r="D4006" s="226"/>
      <c r="E4006" s="226"/>
      <c r="F4006" s="226"/>
      <c r="G4006" s="226"/>
      <c r="H4006" s="226"/>
      <c r="I4006" s="9" t="str">
        <f t="shared" si="62"/>
        <v>__</v>
      </c>
    </row>
    <row r="4007" spans="1:9" x14ac:dyDescent="0.35">
      <c r="A4007" s="226"/>
      <c r="B4007" s="226"/>
      <c r="C4007" s="226"/>
      <c r="D4007" s="226"/>
      <c r="E4007" s="226"/>
      <c r="F4007" s="226"/>
      <c r="G4007" s="226"/>
      <c r="H4007" s="226"/>
      <c r="I4007" s="9" t="str">
        <f t="shared" si="62"/>
        <v>__</v>
      </c>
    </row>
    <row r="4008" spans="1:9" x14ac:dyDescent="0.35">
      <c r="A4008" s="226"/>
      <c r="B4008" s="226"/>
      <c r="C4008" s="226"/>
      <c r="D4008" s="226"/>
      <c r="E4008" s="226"/>
      <c r="F4008" s="226"/>
      <c r="G4008" s="226"/>
      <c r="H4008" s="226"/>
      <c r="I4008" s="9" t="str">
        <f t="shared" si="62"/>
        <v>__</v>
      </c>
    </row>
    <row r="4009" spans="1:9" x14ac:dyDescent="0.35">
      <c r="A4009" s="226"/>
      <c r="B4009" s="226"/>
      <c r="C4009" s="226"/>
      <c r="D4009" s="226"/>
      <c r="E4009" s="226"/>
      <c r="F4009" s="226"/>
      <c r="G4009" s="226"/>
      <c r="H4009" s="226"/>
      <c r="I4009" s="9" t="str">
        <f t="shared" si="62"/>
        <v>__</v>
      </c>
    </row>
    <row r="4010" spans="1:9" x14ac:dyDescent="0.35">
      <c r="A4010" s="226"/>
      <c r="B4010" s="226"/>
      <c r="C4010" s="226"/>
      <c r="D4010" s="226"/>
      <c r="E4010" s="226"/>
      <c r="F4010" s="226"/>
      <c r="G4010" s="226"/>
      <c r="H4010" s="226"/>
      <c r="I4010" s="9" t="str">
        <f t="shared" si="62"/>
        <v>__</v>
      </c>
    </row>
    <row r="4011" spans="1:9" x14ac:dyDescent="0.35">
      <c r="A4011" s="226"/>
      <c r="B4011" s="226"/>
      <c r="C4011" s="226"/>
      <c r="D4011" s="226"/>
      <c r="E4011" s="226"/>
      <c r="F4011" s="226"/>
      <c r="G4011" s="226"/>
      <c r="H4011" s="226"/>
      <c r="I4011" s="9" t="str">
        <f t="shared" si="62"/>
        <v>__</v>
      </c>
    </row>
    <row r="4012" spans="1:9" x14ac:dyDescent="0.35">
      <c r="A4012" s="226"/>
      <c r="B4012" s="226"/>
      <c r="C4012" s="226"/>
      <c r="D4012" s="226"/>
      <c r="E4012" s="226"/>
      <c r="F4012" s="226"/>
      <c r="G4012" s="226"/>
      <c r="H4012" s="226"/>
      <c r="I4012" s="9" t="str">
        <f t="shared" si="62"/>
        <v>__</v>
      </c>
    </row>
    <row r="4013" spans="1:9" x14ac:dyDescent="0.35">
      <c r="A4013" s="226"/>
      <c r="B4013" s="226"/>
      <c r="C4013" s="226"/>
      <c r="D4013" s="226"/>
      <c r="E4013" s="226"/>
      <c r="F4013" s="226"/>
      <c r="G4013" s="226"/>
      <c r="H4013" s="226"/>
      <c r="I4013" s="9" t="str">
        <f t="shared" si="62"/>
        <v>__</v>
      </c>
    </row>
    <row r="4014" spans="1:9" x14ac:dyDescent="0.35">
      <c r="A4014" s="226"/>
      <c r="B4014" s="226"/>
      <c r="C4014" s="226"/>
      <c r="D4014" s="226"/>
      <c r="E4014" s="226"/>
      <c r="F4014" s="226"/>
      <c r="G4014" s="226"/>
      <c r="H4014" s="226"/>
      <c r="I4014" s="9" t="str">
        <f t="shared" si="62"/>
        <v>__</v>
      </c>
    </row>
    <row r="4015" spans="1:9" x14ac:dyDescent="0.35">
      <c r="A4015" s="226"/>
      <c r="B4015" s="226"/>
      <c r="C4015" s="226"/>
      <c r="D4015" s="226"/>
      <c r="E4015" s="226"/>
      <c r="F4015" s="226"/>
      <c r="G4015" s="226"/>
      <c r="H4015" s="226"/>
      <c r="I4015" s="9" t="str">
        <f t="shared" si="62"/>
        <v>__</v>
      </c>
    </row>
    <row r="4016" spans="1:9" x14ac:dyDescent="0.35">
      <c r="A4016" s="226"/>
      <c r="B4016" s="226"/>
      <c r="C4016" s="226"/>
      <c r="D4016" s="226"/>
      <c r="E4016" s="226"/>
      <c r="F4016" s="226"/>
      <c r="G4016" s="226"/>
      <c r="H4016" s="226"/>
      <c r="I4016" s="9" t="str">
        <f t="shared" si="62"/>
        <v>__</v>
      </c>
    </row>
    <row r="4017" spans="1:9" x14ac:dyDescent="0.35">
      <c r="A4017" s="226"/>
      <c r="B4017" s="226"/>
      <c r="C4017" s="226"/>
      <c r="D4017" s="226"/>
      <c r="E4017" s="226"/>
      <c r="F4017" s="226"/>
      <c r="G4017" s="226"/>
      <c r="H4017" s="226"/>
      <c r="I4017" s="9" t="str">
        <f t="shared" si="62"/>
        <v>__</v>
      </c>
    </row>
    <row r="4018" spans="1:9" x14ac:dyDescent="0.35">
      <c r="A4018" s="226"/>
      <c r="B4018" s="226"/>
      <c r="C4018" s="226"/>
      <c r="D4018" s="226"/>
      <c r="E4018" s="226"/>
      <c r="F4018" s="226"/>
      <c r="G4018" s="226"/>
      <c r="H4018" s="226"/>
      <c r="I4018" s="9" t="str">
        <f t="shared" si="62"/>
        <v>__</v>
      </c>
    </row>
    <row r="4019" spans="1:9" x14ac:dyDescent="0.35">
      <c r="A4019" s="226"/>
      <c r="B4019" s="226"/>
      <c r="C4019" s="226"/>
      <c r="D4019" s="226"/>
      <c r="E4019" s="226"/>
      <c r="F4019" s="226"/>
      <c r="G4019" s="226"/>
      <c r="H4019" s="226"/>
      <c r="I4019" s="9" t="str">
        <f t="shared" si="62"/>
        <v>__</v>
      </c>
    </row>
    <row r="4020" spans="1:9" x14ac:dyDescent="0.35">
      <c r="A4020" s="226"/>
      <c r="B4020" s="226"/>
      <c r="C4020" s="226"/>
      <c r="D4020" s="226"/>
      <c r="E4020" s="226"/>
      <c r="F4020" s="226"/>
      <c r="G4020" s="226"/>
      <c r="H4020" s="226"/>
      <c r="I4020" s="9" t="str">
        <f t="shared" si="62"/>
        <v>__</v>
      </c>
    </row>
    <row r="4021" spans="1:9" x14ac:dyDescent="0.35">
      <c r="A4021" s="226"/>
      <c r="B4021" s="226"/>
      <c r="C4021" s="226"/>
      <c r="D4021" s="226"/>
      <c r="E4021" s="226"/>
      <c r="F4021" s="226"/>
      <c r="G4021" s="226"/>
      <c r="H4021" s="226"/>
      <c r="I4021" s="9" t="str">
        <f t="shared" si="62"/>
        <v>__</v>
      </c>
    </row>
    <row r="4022" spans="1:9" x14ac:dyDescent="0.35">
      <c r="A4022" s="226"/>
      <c r="B4022" s="226"/>
      <c r="C4022" s="226"/>
      <c r="D4022" s="226"/>
      <c r="E4022" s="226"/>
      <c r="F4022" s="226"/>
      <c r="G4022" s="226"/>
      <c r="H4022" s="226"/>
      <c r="I4022" s="9" t="str">
        <f t="shared" si="62"/>
        <v>__</v>
      </c>
    </row>
    <row r="4023" spans="1:9" x14ac:dyDescent="0.35">
      <c r="A4023" s="226"/>
      <c r="B4023" s="226"/>
      <c r="C4023" s="226"/>
      <c r="D4023" s="226"/>
      <c r="E4023" s="226"/>
      <c r="F4023" s="226"/>
      <c r="G4023" s="226"/>
      <c r="H4023" s="226"/>
      <c r="I4023" s="9" t="str">
        <f t="shared" si="62"/>
        <v>__</v>
      </c>
    </row>
    <row r="4024" spans="1:9" x14ac:dyDescent="0.35">
      <c r="A4024" s="226"/>
      <c r="B4024" s="226"/>
      <c r="C4024" s="226"/>
      <c r="D4024" s="226"/>
      <c r="E4024" s="226"/>
      <c r="F4024" s="226"/>
      <c r="G4024" s="226"/>
      <c r="H4024" s="226"/>
      <c r="I4024" s="9" t="str">
        <f t="shared" si="62"/>
        <v>__</v>
      </c>
    </row>
    <row r="4025" spans="1:9" x14ac:dyDescent="0.35">
      <c r="A4025" s="226"/>
      <c r="B4025" s="226"/>
      <c r="C4025" s="226"/>
      <c r="D4025" s="226"/>
      <c r="E4025" s="226"/>
      <c r="F4025" s="226"/>
      <c r="G4025" s="226"/>
      <c r="H4025" s="226"/>
      <c r="I4025" s="9" t="str">
        <f t="shared" si="62"/>
        <v>__</v>
      </c>
    </row>
    <row r="4026" spans="1:9" x14ac:dyDescent="0.35">
      <c r="A4026" s="226"/>
      <c r="B4026" s="226"/>
      <c r="C4026" s="226"/>
      <c r="D4026" s="226"/>
      <c r="E4026" s="226"/>
      <c r="F4026" s="226"/>
      <c r="G4026" s="226"/>
      <c r="H4026" s="226"/>
      <c r="I4026" s="9" t="str">
        <f t="shared" si="62"/>
        <v>__</v>
      </c>
    </row>
    <row r="4027" spans="1:9" x14ac:dyDescent="0.35">
      <c r="A4027" s="226"/>
      <c r="B4027" s="226"/>
      <c r="C4027" s="226"/>
      <c r="D4027" s="226"/>
      <c r="E4027" s="226"/>
      <c r="F4027" s="226"/>
      <c r="G4027" s="226"/>
      <c r="H4027" s="226"/>
      <c r="I4027" s="9" t="str">
        <f t="shared" si="62"/>
        <v>__</v>
      </c>
    </row>
    <row r="4028" spans="1:9" x14ac:dyDescent="0.35">
      <c r="A4028" s="226"/>
      <c r="B4028" s="226"/>
      <c r="C4028" s="226"/>
      <c r="D4028" s="226"/>
      <c r="E4028" s="226"/>
      <c r="F4028" s="226"/>
      <c r="G4028" s="226"/>
      <c r="H4028" s="226"/>
      <c r="I4028" s="9" t="str">
        <f t="shared" si="62"/>
        <v>__</v>
      </c>
    </row>
    <row r="4029" spans="1:9" x14ac:dyDescent="0.35">
      <c r="A4029" s="226"/>
      <c r="B4029" s="226"/>
      <c r="C4029" s="226"/>
      <c r="D4029" s="226"/>
      <c r="E4029" s="226"/>
      <c r="F4029" s="226"/>
      <c r="G4029" s="226"/>
      <c r="H4029" s="226"/>
      <c r="I4029" s="9" t="str">
        <f t="shared" si="62"/>
        <v>__</v>
      </c>
    </row>
    <row r="4030" spans="1:9" x14ac:dyDescent="0.35">
      <c r="A4030" s="226"/>
      <c r="B4030" s="226"/>
      <c r="C4030" s="226"/>
      <c r="D4030" s="226"/>
      <c r="E4030" s="226"/>
      <c r="F4030" s="226"/>
      <c r="G4030" s="226"/>
      <c r="H4030" s="226"/>
      <c r="I4030" s="9" t="str">
        <f t="shared" si="62"/>
        <v>__</v>
      </c>
    </row>
    <row r="4031" spans="1:9" x14ac:dyDescent="0.35">
      <c r="A4031" s="226"/>
      <c r="B4031" s="226"/>
      <c r="C4031" s="226"/>
      <c r="D4031" s="226"/>
      <c r="E4031" s="226"/>
      <c r="F4031" s="226"/>
      <c r="G4031" s="226"/>
      <c r="H4031" s="226"/>
      <c r="I4031" s="9" t="str">
        <f t="shared" si="62"/>
        <v>__</v>
      </c>
    </row>
    <row r="4032" spans="1:9" x14ac:dyDescent="0.35">
      <c r="A4032" s="226"/>
      <c r="B4032" s="226"/>
      <c r="C4032" s="226"/>
      <c r="D4032" s="226"/>
      <c r="E4032" s="226"/>
      <c r="F4032" s="226"/>
      <c r="G4032" s="226"/>
      <c r="H4032" s="226"/>
      <c r="I4032" s="9" t="str">
        <f t="shared" si="62"/>
        <v>__</v>
      </c>
    </row>
    <row r="4033" spans="1:9" x14ac:dyDescent="0.35">
      <c r="A4033" s="226"/>
      <c r="B4033" s="226"/>
      <c r="C4033" s="226"/>
      <c r="D4033" s="226"/>
      <c r="E4033" s="226"/>
      <c r="F4033" s="226"/>
      <c r="G4033" s="226"/>
      <c r="H4033" s="226"/>
      <c r="I4033" s="9" t="str">
        <f t="shared" si="62"/>
        <v>__</v>
      </c>
    </row>
    <row r="4034" spans="1:9" x14ac:dyDescent="0.35">
      <c r="A4034" s="226"/>
      <c r="B4034" s="226"/>
      <c r="C4034" s="226"/>
      <c r="D4034" s="226"/>
      <c r="E4034" s="226"/>
      <c r="F4034" s="226"/>
      <c r="G4034" s="226"/>
      <c r="H4034" s="226"/>
      <c r="I4034" s="9" t="str">
        <f t="shared" si="62"/>
        <v>__</v>
      </c>
    </row>
    <row r="4035" spans="1:9" x14ac:dyDescent="0.35">
      <c r="A4035" s="226"/>
      <c r="B4035" s="226"/>
      <c r="C4035" s="226"/>
      <c r="D4035" s="226"/>
      <c r="E4035" s="226"/>
      <c r="F4035" s="226"/>
      <c r="G4035" s="226"/>
      <c r="H4035" s="226"/>
      <c r="I4035" s="9" t="str">
        <f t="shared" si="62"/>
        <v>__</v>
      </c>
    </row>
    <row r="4036" spans="1:9" x14ac:dyDescent="0.35">
      <c r="A4036" s="226"/>
      <c r="B4036" s="226"/>
      <c r="C4036" s="226"/>
      <c r="D4036" s="226"/>
      <c r="E4036" s="226"/>
      <c r="F4036" s="226"/>
      <c r="G4036" s="226"/>
      <c r="H4036" s="226"/>
      <c r="I4036" s="9" t="str">
        <f t="shared" si="62"/>
        <v>__</v>
      </c>
    </row>
    <row r="4037" spans="1:9" x14ac:dyDescent="0.35">
      <c r="A4037" s="226"/>
      <c r="B4037" s="226"/>
      <c r="C4037" s="226"/>
      <c r="D4037" s="226"/>
      <c r="E4037" s="226"/>
      <c r="F4037" s="226"/>
      <c r="G4037" s="226"/>
      <c r="H4037" s="226"/>
      <c r="I4037" s="9" t="str">
        <f t="shared" ref="I4037:I4100" si="63">CONCATENATE(A4037,"_",B4037,"_",C4037)</f>
        <v>__</v>
      </c>
    </row>
    <row r="4038" spans="1:9" x14ac:dyDescent="0.35">
      <c r="A4038" s="226"/>
      <c r="B4038" s="226"/>
      <c r="C4038" s="226"/>
      <c r="D4038" s="226"/>
      <c r="E4038" s="226"/>
      <c r="F4038" s="226"/>
      <c r="G4038" s="226"/>
      <c r="H4038" s="226"/>
      <c r="I4038" s="9" t="str">
        <f t="shared" si="63"/>
        <v>__</v>
      </c>
    </row>
    <row r="4039" spans="1:9" x14ac:dyDescent="0.35">
      <c r="A4039" s="226"/>
      <c r="B4039" s="226"/>
      <c r="C4039" s="226"/>
      <c r="D4039" s="226"/>
      <c r="E4039" s="226"/>
      <c r="F4039" s="226"/>
      <c r="G4039" s="226"/>
      <c r="H4039" s="226"/>
      <c r="I4039" s="9" t="str">
        <f t="shared" si="63"/>
        <v>__</v>
      </c>
    </row>
    <row r="4040" spans="1:9" x14ac:dyDescent="0.35">
      <c r="A4040" s="226"/>
      <c r="B4040" s="226"/>
      <c r="C4040" s="226"/>
      <c r="D4040" s="226"/>
      <c r="E4040" s="226"/>
      <c r="F4040" s="226"/>
      <c r="G4040" s="226"/>
      <c r="H4040" s="226"/>
      <c r="I4040" s="9" t="str">
        <f t="shared" si="63"/>
        <v>__</v>
      </c>
    </row>
    <row r="4041" spans="1:9" x14ac:dyDescent="0.35">
      <c r="A4041" s="226"/>
      <c r="B4041" s="226"/>
      <c r="C4041" s="226"/>
      <c r="D4041" s="226"/>
      <c r="E4041" s="226"/>
      <c r="F4041" s="226"/>
      <c r="G4041" s="226"/>
      <c r="H4041" s="226"/>
      <c r="I4041" s="9" t="str">
        <f t="shared" si="63"/>
        <v>__</v>
      </c>
    </row>
    <row r="4042" spans="1:9" x14ac:dyDescent="0.35">
      <c r="A4042" s="226"/>
      <c r="B4042" s="226"/>
      <c r="C4042" s="226"/>
      <c r="D4042" s="226"/>
      <c r="E4042" s="226"/>
      <c r="F4042" s="226"/>
      <c r="G4042" s="226"/>
      <c r="H4042" s="226"/>
      <c r="I4042" s="9" t="str">
        <f t="shared" si="63"/>
        <v>__</v>
      </c>
    </row>
    <row r="4043" spans="1:9" x14ac:dyDescent="0.35">
      <c r="A4043" s="226"/>
      <c r="B4043" s="226"/>
      <c r="C4043" s="226"/>
      <c r="D4043" s="226"/>
      <c r="E4043" s="226"/>
      <c r="F4043" s="226"/>
      <c r="G4043" s="226"/>
      <c r="H4043" s="226"/>
      <c r="I4043" s="9" t="str">
        <f t="shared" si="63"/>
        <v>__</v>
      </c>
    </row>
    <row r="4044" spans="1:9" x14ac:dyDescent="0.35">
      <c r="A4044" s="226"/>
      <c r="B4044" s="226"/>
      <c r="C4044" s="226"/>
      <c r="D4044" s="226"/>
      <c r="E4044" s="226"/>
      <c r="F4044" s="226"/>
      <c r="G4044" s="226"/>
      <c r="H4044" s="226"/>
      <c r="I4044" s="9" t="str">
        <f t="shared" si="63"/>
        <v>__</v>
      </c>
    </row>
    <row r="4045" spans="1:9" x14ac:dyDescent="0.35">
      <c r="A4045" s="226"/>
      <c r="B4045" s="226"/>
      <c r="C4045" s="226"/>
      <c r="D4045" s="226"/>
      <c r="E4045" s="226"/>
      <c r="F4045" s="226"/>
      <c r="G4045" s="226"/>
      <c r="H4045" s="226"/>
      <c r="I4045" s="9" t="str">
        <f t="shared" si="63"/>
        <v>__</v>
      </c>
    </row>
    <row r="4046" spans="1:9" x14ac:dyDescent="0.35">
      <c r="A4046" s="226"/>
      <c r="B4046" s="226"/>
      <c r="C4046" s="226"/>
      <c r="D4046" s="226"/>
      <c r="E4046" s="226"/>
      <c r="F4046" s="226"/>
      <c r="G4046" s="226"/>
      <c r="H4046" s="226"/>
      <c r="I4046" s="9" t="str">
        <f t="shared" si="63"/>
        <v>__</v>
      </c>
    </row>
    <row r="4047" spans="1:9" x14ac:dyDescent="0.35">
      <c r="A4047" s="226"/>
      <c r="B4047" s="226"/>
      <c r="C4047" s="226"/>
      <c r="D4047" s="226"/>
      <c r="E4047" s="226"/>
      <c r="F4047" s="226"/>
      <c r="G4047" s="226"/>
      <c r="H4047" s="226"/>
      <c r="I4047" s="9" t="str">
        <f t="shared" si="63"/>
        <v>__</v>
      </c>
    </row>
    <row r="4048" spans="1:9" x14ac:dyDescent="0.35">
      <c r="A4048" s="226"/>
      <c r="B4048" s="226"/>
      <c r="C4048" s="226"/>
      <c r="D4048" s="226"/>
      <c r="E4048" s="226"/>
      <c r="F4048" s="226"/>
      <c r="G4048" s="226"/>
      <c r="H4048" s="226"/>
      <c r="I4048" s="9" t="str">
        <f t="shared" si="63"/>
        <v>__</v>
      </c>
    </row>
    <row r="4049" spans="1:9" x14ac:dyDescent="0.35">
      <c r="A4049" s="226"/>
      <c r="B4049" s="226"/>
      <c r="C4049" s="226"/>
      <c r="D4049" s="226"/>
      <c r="E4049" s="226"/>
      <c r="F4049" s="226"/>
      <c r="G4049" s="226"/>
      <c r="H4049" s="226"/>
      <c r="I4049" s="9" t="str">
        <f t="shared" si="63"/>
        <v>__</v>
      </c>
    </row>
    <row r="4050" spans="1:9" x14ac:dyDescent="0.35">
      <c r="A4050" s="226"/>
      <c r="B4050" s="226"/>
      <c r="C4050" s="226"/>
      <c r="D4050" s="226"/>
      <c r="E4050" s="226"/>
      <c r="F4050" s="226"/>
      <c r="G4050" s="226"/>
      <c r="H4050" s="226"/>
      <c r="I4050" s="9" t="str">
        <f t="shared" si="63"/>
        <v>__</v>
      </c>
    </row>
    <row r="4051" spans="1:9" x14ac:dyDescent="0.35">
      <c r="A4051" s="226"/>
      <c r="B4051" s="226"/>
      <c r="C4051" s="226"/>
      <c r="D4051" s="226"/>
      <c r="E4051" s="226"/>
      <c r="F4051" s="226"/>
      <c r="G4051" s="226"/>
      <c r="H4051" s="226"/>
      <c r="I4051" s="9" t="str">
        <f t="shared" si="63"/>
        <v>__</v>
      </c>
    </row>
    <row r="4052" spans="1:9" x14ac:dyDescent="0.35">
      <c r="A4052" s="226"/>
      <c r="B4052" s="226"/>
      <c r="C4052" s="226"/>
      <c r="D4052" s="226"/>
      <c r="E4052" s="226"/>
      <c r="F4052" s="226"/>
      <c r="G4052" s="226"/>
      <c r="H4052" s="226"/>
      <c r="I4052" s="9" t="str">
        <f t="shared" si="63"/>
        <v>__</v>
      </c>
    </row>
    <row r="4053" spans="1:9" x14ac:dyDescent="0.35">
      <c r="A4053" s="226"/>
      <c r="B4053" s="226"/>
      <c r="C4053" s="226"/>
      <c r="D4053" s="226"/>
      <c r="E4053" s="226"/>
      <c r="F4053" s="226"/>
      <c r="G4053" s="226"/>
      <c r="H4053" s="226"/>
      <c r="I4053" s="9" t="str">
        <f t="shared" si="63"/>
        <v>__</v>
      </c>
    </row>
    <row r="4054" spans="1:9" x14ac:dyDescent="0.35">
      <c r="A4054" s="226"/>
      <c r="B4054" s="226"/>
      <c r="C4054" s="226"/>
      <c r="D4054" s="226"/>
      <c r="E4054" s="226"/>
      <c r="F4054" s="226"/>
      <c r="G4054" s="226"/>
      <c r="H4054" s="226"/>
      <c r="I4054" s="9" t="str">
        <f t="shared" si="63"/>
        <v>__</v>
      </c>
    </row>
    <row r="4055" spans="1:9" x14ac:dyDescent="0.35">
      <c r="A4055" s="226"/>
      <c r="B4055" s="226"/>
      <c r="C4055" s="226"/>
      <c r="D4055" s="226"/>
      <c r="E4055" s="226"/>
      <c r="F4055" s="226"/>
      <c r="G4055" s="226"/>
      <c r="H4055" s="226"/>
      <c r="I4055" s="9" t="str">
        <f t="shared" si="63"/>
        <v>__</v>
      </c>
    </row>
    <row r="4056" spans="1:9" x14ac:dyDescent="0.35">
      <c r="A4056" s="226"/>
      <c r="B4056" s="226"/>
      <c r="C4056" s="226"/>
      <c r="D4056" s="226"/>
      <c r="E4056" s="226"/>
      <c r="F4056" s="226"/>
      <c r="G4056" s="226"/>
      <c r="H4056" s="226"/>
      <c r="I4056" s="9" t="str">
        <f t="shared" si="63"/>
        <v>__</v>
      </c>
    </row>
    <row r="4057" spans="1:9" x14ac:dyDescent="0.35">
      <c r="A4057" s="226"/>
      <c r="B4057" s="226"/>
      <c r="C4057" s="226"/>
      <c r="D4057" s="226"/>
      <c r="E4057" s="226"/>
      <c r="F4057" s="226"/>
      <c r="G4057" s="226"/>
      <c r="H4057" s="226"/>
      <c r="I4057" s="9" t="str">
        <f t="shared" si="63"/>
        <v>__</v>
      </c>
    </row>
    <row r="4058" spans="1:9" x14ac:dyDescent="0.35">
      <c r="A4058" s="226"/>
      <c r="B4058" s="226"/>
      <c r="C4058" s="226"/>
      <c r="D4058" s="226"/>
      <c r="E4058" s="226"/>
      <c r="F4058" s="226"/>
      <c r="G4058" s="226"/>
      <c r="H4058" s="226"/>
      <c r="I4058" s="9" t="str">
        <f t="shared" si="63"/>
        <v>__</v>
      </c>
    </row>
    <row r="4059" spans="1:9" x14ac:dyDescent="0.35">
      <c r="A4059" s="226"/>
      <c r="B4059" s="226"/>
      <c r="C4059" s="226"/>
      <c r="D4059" s="226"/>
      <c r="E4059" s="226"/>
      <c r="F4059" s="226"/>
      <c r="G4059" s="226"/>
      <c r="H4059" s="226"/>
      <c r="I4059" s="9" t="str">
        <f t="shared" si="63"/>
        <v>__</v>
      </c>
    </row>
    <row r="4060" spans="1:9" x14ac:dyDescent="0.35">
      <c r="A4060" s="226"/>
      <c r="B4060" s="226"/>
      <c r="C4060" s="226"/>
      <c r="D4060" s="226"/>
      <c r="E4060" s="226"/>
      <c r="F4060" s="226"/>
      <c r="G4060" s="226"/>
      <c r="H4060" s="226"/>
      <c r="I4060" s="9" t="str">
        <f t="shared" si="63"/>
        <v>__</v>
      </c>
    </row>
    <row r="4061" spans="1:9" x14ac:dyDescent="0.35">
      <c r="A4061" s="226"/>
      <c r="B4061" s="226"/>
      <c r="C4061" s="226"/>
      <c r="D4061" s="226"/>
      <c r="E4061" s="226"/>
      <c r="F4061" s="226"/>
      <c r="G4061" s="226"/>
      <c r="H4061" s="226"/>
      <c r="I4061" s="9" t="str">
        <f t="shared" si="63"/>
        <v>__</v>
      </c>
    </row>
    <row r="4062" spans="1:9" x14ac:dyDescent="0.35">
      <c r="A4062" s="226"/>
      <c r="B4062" s="226"/>
      <c r="C4062" s="226"/>
      <c r="D4062" s="226"/>
      <c r="E4062" s="226"/>
      <c r="F4062" s="226"/>
      <c r="G4062" s="226"/>
      <c r="H4062" s="226"/>
      <c r="I4062" s="9" t="str">
        <f t="shared" si="63"/>
        <v>__</v>
      </c>
    </row>
    <row r="4063" spans="1:9" x14ac:dyDescent="0.35">
      <c r="A4063" s="226"/>
      <c r="B4063" s="226"/>
      <c r="C4063" s="226"/>
      <c r="D4063" s="226"/>
      <c r="E4063" s="226"/>
      <c r="F4063" s="226"/>
      <c r="G4063" s="226"/>
      <c r="H4063" s="226"/>
      <c r="I4063" s="9" t="str">
        <f t="shared" si="63"/>
        <v>__</v>
      </c>
    </row>
    <row r="4064" spans="1:9" x14ac:dyDescent="0.35">
      <c r="A4064" s="226"/>
      <c r="B4064" s="226"/>
      <c r="C4064" s="226"/>
      <c r="D4064" s="226"/>
      <c r="E4064" s="226"/>
      <c r="F4064" s="226"/>
      <c r="G4064" s="226"/>
      <c r="H4064" s="226"/>
      <c r="I4064" s="9" t="str">
        <f t="shared" si="63"/>
        <v>__</v>
      </c>
    </row>
    <row r="4065" spans="1:9" x14ac:dyDescent="0.35">
      <c r="A4065" s="226"/>
      <c r="B4065" s="226"/>
      <c r="C4065" s="226"/>
      <c r="D4065" s="226"/>
      <c r="E4065" s="226"/>
      <c r="F4065" s="226"/>
      <c r="G4065" s="226"/>
      <c r="H4065" s="226"/>
      <c r="I4065" s="9" t="str">
        <f t="shared" si="63"/>
        <v>__</v>
      </c>
    </row>
    <row r="4066" spans="1:9" x14ac:dyDescent="0.35">
      <c r="A4066" s="226"/>
      <c r="B4066" s="226"/>
      <c r="C4066" s="226"/>
      <c r="D4066" s="226"/>
      <c r="E4066" s="226"/>
      <c r="F4066" s="226"/>
      <c r="G4066" s="226"/>
      <c r="H4066" s="226"/>
      <c r="I4066" s="9" t="str">
        <f t="shared" si="63"/>
        <v>__</v>
      </c>
    </row>
    <row r="4067" spans="1:9" x14ac:dyDescent="0.35">
      <c r="A4067" s="226"/>
      <c r="B4067" s="226"/>
      <c r="C4067" s="226"/>
      <c r="D4067" s="226"/>
      <c r="E4067" s="226"/>
      <c r="F4067" s="226"/>
      <c r="G4067" s="226"/>
      <c r="H4067" s="226"/>
      <c r="I4067" s="9" t="str">
        <f t="shared" si="63"/>
        <v>__</v>
      </c>
    </row>
    <row r="4068" spans="1:9" x14ac:dyDescent="0.35">
      <c r="A4068" s="226"/>
      <c r="B4068" s="226"/>
      <c r="C4068" s="226"/>
      <c r="D4068" s="226"/>
      <c r="E4068" s="226"/>
      <c r="F4068" s="226"/>
      <c r="G4068" s="226"/>
      <c r="H4068" s="226"/>
      <c r="I4068" s="9" t="str">
        <f t="shared" si="63"/>
        <v>__</v>
      </c>
    </row>
    <row r="4069" spans="1:9" x14ac:dyDescent="0.35">
      <c r="A4069" s="226"/>
      <c r="B4069" s="226"/>
      <c r="C4069" s="226"/>
      <c r="D4069" s="226"/>
      <c r="E4069" s="226"/>
      <c r="F4069" s="226"/>
      <c r="G4069" s="226"/>
      <c r="H4069" s="226"/>
      <c r="I4069" s="9" t="str">
        <f t="shared" si="63"/>
        <v>__</v>
      </c>
    </row>
    <row r="4070" spans="1:9" x14ac:dyDescent="0.35">
      <c r="A4070" s="226"/>
      <c r="B4070" s="226"/>
      <c r="C4070" s="226"/>
      <c r="D4070" s="226"/>
      <c r="E4070" s="226"/>
      <c r="F4070" s="226"/>
      <c r="G4070" s="226"/>
      <c r="H4070" s="226"/>
      <c r="I4070" s="9" t="str">
        <f t="shared" si="63"/>
        <v>__</v>
      </c>
    </row>
    <row r="4071" spans="1:9" x14ac:dyDescent="0.35">
      <c r="A4071" s="226"/>
      <c r="B4071" s="226"/>
      <c r="C4071" s="226"/>
      <c r="D4071" s="226"/>
      <c r="E4071" s="226"/>
      <c r="F4071" s="226"/>
      <c r="G4071" s="226"/>
      <c r="H4071" s="226"/>
      <c r="I4071" s="9" t="str">
        <f t="shared" si="63"/>
        <v>__</v>
      </c>
    </row>
    <row r="4072" spans="1:9" x14ac:dyDescent="0.35">
      <c r="A4072" s="226"/>
      <c r="B4072" s="226"/>
      <c r="C4072" s="226"/>
      <c r="D4072" s="226"/>
      <c r="E4072" s="226"/>
      <c r="F4072" s="226"/>
      <c r="G4072" s="226"/>
      <c r="H4072" s="226"/>
      <c r="I4072" s="9" t="str">
        <f t="shared" si="63"/>
        <v>__</v>
      </c>
    </row>
    <row r="4073" spans="1:9" x14ac:dyDescent="0.35">
      <c r="A4073" s="226"/>
      <c r="B4073" s="226"/>
      <c r="C4073" s="226"/>
      <c r="D4073" s="226"/>
      <c r="E4073" s="226"/>
      <c r="F4073" s="226"/>
      <c r="G4073" s="226"/>
      <c r="H4073" s="226"/>
      <c r="I4073" s="9" t="str">
        <f t="shared" si="63"/>
        <v>__</v>
      </c>
    </row>
    <row r="4074" spans="1:9" x14ac:dyDescent="0.35">
      <c r="A4074" s="226"/>
      <c r="B4074" s="226"/>
      <c r="C4074" s="226"/>
      <c r="D4074" s="226"/>
      <c r="E4074" s="226"/>
      <c r="F4074" s="226"/>
      <c r="G4074" s="226"/>
      <c r="H4074" s="226"/>
      <c r="I4074" s="9" t="str">
        <f t="shared" si="63"/>
        <v>__</v>
      </c>
    </row>
    <row r="4075" spans="1:9" x14ac:dyDescent="0.35">
      <c r="A4075" s="226"/>
      <c r="B4075" s="226"/>
      <c r="C4075" s="226"/>
      <c r="D4075" s="226"/>
      <c r="E4075" s="226"/>
      <c r="F4075" s="226"/>
      <c r="G4075" s="226"/>
      <c r="H4075" s="226"/>
      <c r="I4075" s="9" t="str">
        <f t="shared" si="63"/>
        <v>__</v>
      </c>
    </row>
    <row r="4076" spans="1:9" x14ac:dyDescent="0.35">
      <c r="A4076" s="226"/>
      <c r="B4076" s="226"/>
      <c r="C4076" s="226"/>
      <c r="D4076" s="226"/>
      <c r="E4076" s="226"/>
      <c r="F4076" s="226"/>
      <c r="G4076" s="226"/>
      <c r="H4076" s="226"/>
      <c r="I4076" s="9" t="str">
        <f t="shared" si="63"/>
        <v>__</v>
      </c>
    </row>
    <row r="4077" spans="1:9" x14ac:dyDescent="0.35">
      <c r="A4077" s="226"/>
      <c r="B4077" s="226"/>
      <c r="C4077" s="226"/>
      <c r="D4077" s="226"/>
      <c r="E4077" s="226"/>
      <c r="F4077" s="226"/>
      <c r="G4077" s="226"/>
      <c r="H4077" s="226"/>
      <c r="I4077" s="9" t="str">
        <f t="shared" si="63"/>
        <v>__</v>
      </c>
    </row>
    <row r="4078" spans="1:9" x14ac:dyDescent="0.35">
      <c r="A4078" s="226"/>
      <c r="B4078" s="226"/>
      <c r="C4078" s="226"/>
      <c r="D4078" s="226"/>
      <c r="E4078" s="226"/>
      <c r="F4078" s="226"/>
      <c r="G4078" s="226"/>
      <c r="H4078" s="226"/>
      <c r="I4078" s="9" t="str">
        <f t="shared" si="63"/>
        <v>__</v>
      </c>
    </row>
    <row r="4079" spans="1:9" x14ac:dyDescent="0.35">
      <c r="A4079" s="226"/>
      <c r="B4079" s="226"/>
      <c r="C4079" s="226"/>
      <c r="D4079" s="226"/>
      <c r="E4079" s="226"/>
      <c r="F4079" s="226"/>
      <c r="G4079" s="226"/>
      <c r="H4079" s="226"/>
      <c r="I4079" s="9" t="str">
        <f t="shared" si="63"/>
        <v>__</v>
      </c>
    </row>
    <row r="4080" spans="1:9" x14ac:dyDescent="0.35">
      <c r="A4080" s="226"/>
      <c r="B4080" s="226"/>
      <c r="C4080" s="226"/>
      <c r="D4080" s="226"/>
      <c r="E4080" s="226"/>
      <c r="F4080" s="226"/>
      <c r="G4080" s="226"/>
      <c r="H4080" s="226"/>
      <c r="I4080" s="9" t="str">
        <f t="shared" si="63"/>
        <v>__</v>
      </c>
    </row>
    <row r="4081" spans="1:9" x14ac:dyDescent="0.35">
      <c r="A4081" s="226"/>
      <c r="B4081" s="226"/>
      <c r="C4081" s="226"/>
      <c r="D4081" s="226"/>
      <c r="E4081" s="226"/>
      <c r="F4081" s="226"/>
      <c r="G4081" s="226"/>
      <c r="H4081" s="226"/>
      <c r="I4081" s="9" t="str">
        <f t="shared" si="63"/>
        <v>__</v>
      </c>
    </row>
    <row r="4082" spans="1:9" x14ac:dyDescent="0.35">
      <c r="A4082" s="226"/>
      <c r="B4082" s="226"/>
      <c r="C4082" s="226"/>
      <c r="D4082" s="226"/>
      <c r="E4082" s="226"/>
      <c r="F4082" s="226"/>
      <c r="G4082" s="226"/>
      <c r="H4082" s="226"/>
      <c r="I4082" s="9" t="str">
        <f t="shared" si="63"/>
        <v>__</v>
      </c>
    </row>
    <row r="4083" spans="1:9" x14ac:dyDescent="0.35">
      <c r="A4083" s="226"/>
      <c r="B4083" s="226"/>
      <c r="C4083" s="226"/>
      <c r="D4083" s="226"/>
      <c r="E4083" s="226"/>
      <c r="F4083" s="226"/>
      <c r="G4083" s="226"/>
      <c r="H4083" s="226"/>
      <c r="I4083" s="9" t="str">
        <f t="shared" si="63"/>
        <v>__</v>
      </c>
    </row>
    <row r="4084" spans="1:9" x14ac:dyDescent="0.35">
      <c r="A4084" s="226"/>
      <c r="B4084" s="226"/>
      <c r="C4084" s="226"/>
      <c r="D4084" s="226"/>
      <c r="E4084" s="226"/>
      <c r="F4084" s="226"/>
      <c r="G4084" s="226"/>
      <c r="H4084" s="226"/>
      <c r="I4084" s="9" t="str">
        <f t="shared" si="63"/>
        <v>__</v>
      </c>
    </row>
    <row r="4085" spans="1:9" x14ac:dyDescent="0.35">
      <c r="A4085" s="226"/>
      <c r="B4085" s="226"/>
      <c r="C4085" s="226"/>
      <c r="D4085" s="226"/>
      <c r="E4085" s="226"/>
      <c r="F4085" s="226"/>
      <c r="G4085" s="226"/>
      <c r="H4085" s="226"/>
      <c r="I4085" s="9" t="str">
        <f t="shared" si="63"/>
        <v>__</v>
      </c>
    </row>
    <row r="4086" spans="1:9" x14ac:dyDescent="0.35">
      <c r="A4086" s="226"/>
      <c r="B4086" s="226"/>
      <c r="C4086" s="226"/>
      <c r="D4086" s="226"/>
      <c r="E4086" s="226"/>
      <c r="F4086" s="226"/>
      <c r="G4086" s="226"/>
      <c r="H4086" s="226"/>
      <c r="I4086" s="9" t="str">
        <f t="shared" si="63"/>
        <v>__</v>
      </c>
    </row>
    <row r="4087" spans="1:9" x14ac:dyDescent="0.35">
      <c r="A4087" s="226"/>
      <c r="B4087" s="226"/>
      <c r="C4087" s="226"/>
      <c r="D4087" s="226"/>
      <c r="E4087" s="226"/>
      <c r="F4087" s="226"/>
      <c r="G4087" s="226"/>
      <c r="H4087" s="226"/>
      <c r="I4087" s="9" t="str">
        <f t="shared" si="63"/>
        <v>__</v>
      </c>
    </row>
    <row r="4088" spans="1:9" x14ac:dyDescent="0.35">
      <c r="A4088" s="226"/>
      <c r="B4088" s="226"/>
      <c r="C4088" s="226"/>
      <c r="D4088" s="226"/>
      <c r="E4088" s="226"/>
      <c r="F4088" s="226"/>
      <c r="G4088" s="226"/>
      <c r="H4088" s="226"/>
      <c r="I4088" s="9" t="str">
        <f t="shared" si="63"/>
        <v>__</v>
      </c>
    </row>
    <row r="4089" spans="1:9" x14ac:dyDescent="0.35">
      <c r="A4089" s="226"/>
      <c r="B4089" s="226"/>
      <c r="C4089" s="226"/>
      <c r="D4089" s="226"/>
      <c r="E4089" s="226"/>
      <c r="F4089" s="226"/>
      <c r="G4089" s="226"/>
      <c r="H4089" s="226"/>
      <c r="I4089" s="9" t="str">
        <f t="shared" si="63"/>
        <v>__</v>
      </c>
    </row>
    <row r="4090" spans="1:9" x14ac:dyDescent="0.35">
      <c r="A4090" s="226"/>
      <c r="B4090" s="226"/>
      <c r="C4090" s="226"/>
      <c r="D4090" s="226"/>
      <c r="E4090" s="226"/>
      <c r="F4090" s="226"/>
      <c r="G4090" s="226"/>
      <c r="H4090" s="226"/>
      <c r="I4090" s="9" t="str">
        <f t="shared" si="63"/>
        <v>__</v>
      </c>
    </row>
    <row r="4091" spans="1:9" x14ac:dyDescent="0.35">
      <c r="A4091" s="226"/>
      <c r="B4091" s="226"/>
      <c r="C4091" s="226"/>
      <c r="D4091" s="226"/>
      <c r="E4091" s="226"/>
      <c r="F4091" s="226"/>
      <c r="G4091" s="226"/>
      <c r="H4091" s="226"/>
      <c r="I4091" s="9" t="str">
        <f t="shared" si="63"/>
        <v>__</v>
      </c>
    </row>
    <row r="4092" spans="1:9" x14ac:dyDescent="0.35">
      <c r="A4092" s="226"/>
      <c r="B4092" s="226"/>
      <c r="C4092" s="226"/>
      <c r="D4092" s="226"/>
      <c r="E4092" s="226"/>
      <c r="F4092" s="226"/>
      <c r="G4092" s="226"/>
      <c r="H4092" s="226"/>
      <c r="I4092" s="9" t="str">
        <f t="shared" si="63"/>
        <v>__</v>
      </c>
    </row>
    <row r="4093" spans="1:9" x14ac:dyDescent="0.35">
      <c r="A4093" s="226"/>
      <c r="B4093" s="226"/>
      <c r="C4093" s="226"/>
      <c r="D4093" s="226"/>
      <c r="E4093" s="226"/>
      <c r="F4093" s="226"/>
      <c r="G4093" s="226"/>
      <c r="H4093" s="226"/>
      <c r="I4093" s="9" t="str">
        <f t="shared" si="63"/>
        <v>__</v>
      </c>
    </row>
    <row r="4094" spans="1:9" x14ac:dyDescent="0.35">
      <c r="A4094" s="226"/>
      <c r="B4094" s="226"/>
      <c r="C4094" s="226"/>
      <c r="D4094" s="226"/>
      <c r="E4094" s="226"/>
      <c r="F4094" s="226"/>
      <c r="G4094" s="226"/>
      <c r="H4094" s="226"/>
      <c r="I4094" s="9" t="str">
        <f t="shared" si="63"/>
        <v>__</v>
      </c>
    </row>
    <row r="4095" spans="1:9" x14ac:dyDescent="0.35">
      <c r="A4095" s="226"/>
      <c r="B4095" s="226"/>
      <c r="C4095" s="226"/>
      <c r="D4095" s="226"/>
      <c r="E4095" s="226"/>
      <c r="F4095" s="226"/>
      <c r="G4095" s="226"/>
      <c r="H4095" s="226"/>
      <c r="I4095" s="9" t="str">
        <f t="shared" si="63"/>
        <v>__</v>
      </c>
    </row>
    <row r="4096" spans="1:9" x14ac:dyDescent="0.35">
      <c r="A4096" s="226"/>
      <c r="B4096" s="226"/>
      <c r="C4096" s="226"/>
      <c r="D4096" s="226"/>
      <c r="E4096" s="226"/>
      <c r="F4096" s="226"/>
      <c r="G4096" s="226"/>
      <c r="H4096" s="226"/>
      <c r="I4096" s="9" t="str">
        <f t="shared" si="63"/>
        <v>__</v>
      </c>
    </row>
    <row r="4097" spans="1:9" x14ac:dyDescent="0.35">
      <c r="A4097" s="226"/>
      <c r="B4097" s="226"/>
      <c r="C4097" s="226"/>
      <c r="D4097" s="226"/>
      <c r="E4097" s="226"/>
      <c r="F4097" s="226"/>
      <c r="G4097" s="226"/>
      <c r="H4097" s="226"/>
      <c r="I4097" s="9" t="str">
        <f t="shared" si="63"/>
        <v>__</v>
      </c>
    </row>
    <row r="4098" spans="1:9" x14ac:dyDescent="0.35">
      <c r="A4098" s="226"/>
      <c r="B4098" s="226"/>
      <c r="C4098" s="226"/>
      <c r="D4098" s="226"/>
      <c r="E4098" s="226"/>
      <c r="F4098" s="226"/>
      <c r="G4098" s="226"/>
      <c r="H4098" s="226"/>
      <c r="I4098" s="9" t="str">
        <f t="shared" si="63"/>
        <v>__</v>
      </c>
    </row>
    <row r="4099" spans="1:9" x14ac:dyDescent="0.35">
      <c r="A4099" s="226"/>
      <c r="B4099" s="226"/>
      <c r="C4099" s="226"/>
      <c r="D4099" s="226"/>
      <c r="E4099" s="226"/>
      <c r="F4099" s="226"/>
      <c r="G4099" s="226"/>
      <c r="H4099" s="226"/>
      <c r="I4099" s="9" t="str">
        <f t="shared" si="63"/>
        <v>__</v>
      </c>
    </row>
    <row r="4100" spans="1:9" x14ac:dyDescent="0.35">
      <c r="A4100" s="226"/>
      <c r="B4100" s="226"/>
      <c r="C4100" s="226"/>
      <c r="D4100" s="226"/>
      <c r="E4100" s="226"/>
      <c r="F4100" s="226"/>
      <c r="G4100" s="226"/>
      <c r="H4100" s="226"/>
      <c r="I4100" s="9" t="str">
        <f t="shared" si="63"/>
        <v>__</v>
      </c>
    </row>
    <row r="4101" spans="1:9" x14ac:dyDescent="0.35">
      <c r="A4101" s="226"/>
      <c r="B4101" s="226"/>
      <c r="C4101" s="226"/>
      <c r="D4101" s="226"/>
      <c r="E4101" s="226"/>
      <c r="F4101" s="226"/>
      <c r="G4101" s="226"/>
      <c r="H4101" s="226"/>
      <c r="I4101" s="9" t="str">
        <f t="shared" ref="I4101:I4164" si="64">CONCATENATE(A4101,"_",B4101,"_",C4101)</f>
        <v>__</v>
      </c>
    </row>
    <row r="4102" spans="1:9" x14ac:dyDescent="0.35">
      <c r="A4102" s="226"/>
      <c r="B4102" s="226"/>
      <c r="C4102" s="226"/>
      <c r="D4102" s="226"/>
      <c r="E4102" s="226"/>
      <c r="F4102" s="226"/>
      <c r="G4102" s="226"/>
      <c r="H4102" s="226"/>
      <c r="I4102" s="9" t="str">
        <f t="shared" si="64"/>
        <v>__</v>
      </c>
    </row>
    <row r="4103" spans="1:9" x14ac:dyDescent="0.35">
      <c r="A4103" s="226"/>
      <c r="B4103" s="226"/>
      <c r="C4103" s="226"/>
      <c r="D4103" s="226"/>
      <c r="E4103" s="226"/>
      <c r="F4103" s="226"/>
      <c r="G4103" s="226"/>
      <c r="H4103" s="226"/>
      <c r="I4103" s="9" t="str">
        <f t="shared" si="64"/>
        <v>__</v>
      </c>
    </row>
    <row r="4104" spans="1:9" x14ac:dyDescent="0.35">
      <c r="A4104" s="226"/>
      <c r="B4104" s="226"/>
      <c r="C4104" s="226"/>
      <c r="D4104" s="226"/>
      <c r="E4104" s="226"/>
      <c r="F4104" s="226"/>
      <c r="G4104" s="226"/>
      <c r="H4104" s="226"/>
      <c r="I4104" s="9" t="str">
        <f t="shared" si="64"/>
        <v>__</v>
      </c>
    </row>
    <row r="4105" spans="1:9" x14ac:dyDescent="0.35">
      <c r="A4105" s="226"/>
      <c r="B4105" s="226"/>
      <c r="C4105" s="226"/>
      <c r="D4105" s="226"/>
      <c r="E4105" s="226"/>
      <c r="F4105" s="226"/>
      <c r="G4105" s="226"/>
      <c r="H4105" s="226"/>
      <c r="I4105" s="9" t="str">
        <f t="shared" si="64"/>
        <v>__</v>
      </c>
    </row>
    <row r="4106" spans="1:9" x14ac:dyDescent="0.35">
      <c r="A4106" s="226"/>
      <c r="B4106" s="226"/>
      <c r="C4106" s="226"/>
      <c r="D4106" s="226"/>
      <c r="E4106" s="226"/>
      <c r="F4106" s="226"/>
      <c r="G4106" s="226"/>
      <c r="H4106" s="226"/>
      <c r="I4106" s="9" t="str">
        <f t="shared" si="64"/>
        <v>__</v>
      </c>
    </row>
    <row r="4107" spans="1:9" x14ac:dyDescent="0.35">
      <c r="A4107" s="226"/>
      <c r="B4107" s="226"/>
      <c r="C4107" s="226"/>
      <c r="D4107" s="226"/>
      <c r="E4107" s="226"/>
      <c r="F4107" s="226"/>
      <c r="G4107" s="226"/>
      <c r="H4107" s="226"/>
      <c r="I4107" s="9" t="str">
        <f t="shared" si="64"/>
        <v>__</v>
      </c>
    </row>
    <row r="4108" spans="1:9" x14ac:dyDescent="0.35">
      <c r="A4108" s="226"/>
      <c r="B4108" s="226"/>
      <c r="C4108" s="226"/>
      <c r="D4108" s="226"/>
      <c r="E4108" s="226"/>
      <c r="F4108" s="226"/>
      <c r="G4108" s="226"/>
      <c r="H4108" s="226"/>
      <c r="I4108" s="9" t="str">
        <f t="shared" si="64"/>
        <v>__</v>
      </c>
    </row>
    <row r="4109" spans="1:9" x14ac:dyDescent="0.35">
      <c r="A4109" s="226"/>
      <c r="B4109" s="226"/>
      <c r="C4109" s="226"/>
      <c r="D4109" s="226"/>
      <c r="E4109" s="226"/>
      <c r="F4109" s="226"/>
      <c r="G4109" s="226"/>
      <c r="H4109" s="226"/>
      <c r="I4109" s="9" t="str">
        <f t="shared" si="64"/>
        <v>__</v>
      </c>
    </row>
    <row r="4110" spans="1:9" x14ac:dyDescent="0.35">
      <c r="A4110" s="226"/>
      <c r="B4110" s="226"/>
      <c r="C4110" s="226"/>
      <c r="D4110" s="226"/>
      <c r="E4110" s="226"/>
      <c r="F4110" s="226"/>
      <c r="G4110" s="226"/>
      <c r="H4110" s="226"/>
      <c r="I4110" s="9" t="str">
        <f t="shared" si="64"/>
        <v>__</v>
      </c>
    </row>
    <row r="4111" spans="1:9" x14ac:dyDescent="0.35">
      <c r="A4111" s="226"/>
      <c r="B4111" s="226"/>
      <c r="C4111" s="226"/>
      <c r="D4111" s="226"/>
      <c r="E4111" s="226"/>
      <c r="F4111" s="226"/>
      <c r="G4111" s="226"/>
      <c r="H4111" s="226"/>
      <c r="I4111" s="9" t="str">
        <f t="shared" si="64"/>
        <v>__</v>
      </c>
    </row>
    <row r="4112" spans="1:9" x14ac:dyDescent="0.35">
      <c r="A4112" s="226"/>
      <c r="B4112" s="226"/>
      <c r="C4112" s="226"/>
      <c r="D4112" s="226"/>
      <c r="E4112" s="226"/>
      <c r="F4112" s="226"/>
      <c r="G4112" s="226"/>
      <c r="H4112" s="226"/>
      <c r="I4112" s="9" t="str">
        <f t="shared" si="64"/>
        <v>__</v>
      </c>
    </row>
    <row r="4113" spans="1:9" x14ac:dyDescent="0.35">
      <c r="A4113" s="226"/>
      <c r="B4113" s="226"/>
      <c r="C4113" s="226"/>
      <c r="D4113" s="226"/>
      <c r="E4113" s="226"/>
      <c r="F4113" s="226"/>
      <c r="G4113" s="226"/>
      <c r="H4113" s="226"/>
      <c r="I4113" s="9" t="str">
        <f t="shared" si="64"/>
        <v>__</v>
      </c>
    </row>
    <row r="4114" spans="1:9" x14ac:dyDescent="0.35">
      <c r="A4114" s="226"/>
      <c r="B4114" s="226"/>
      <c r="C4114" s="226"/>
      <c r="D4114" s="226"/>
      <c r="E4114" s="226"/>
      <c r="F4114" s="226"/>
      <c r="G4114" s="226"/>
      <c r="H4114" s="226"/>
      <c r="I4114" s="9" t="str">
        <f t="shared" si="64"/>
        <v>__</v>
      </c>
    </row>
    <row r="4115" spans="1:9" x14ac:dyDescent="0.35">
      <c r="A4115" s="226"/>
      <c r="B4115" s="226"/>
      <c r="C4115" s="226"/>
      <c r="D4115" s="226"/>
      <c r="E4115" s="226"/>
      <c r="F4115" s="226"/>
      <c r="G4115" s="226"/>
      <c r="H4115" s="226"/>
      <c r="I4115" s="9" t="str">
        <f t="shared" si="64"/>
        <v>__</v>
      </c>
    </row>
    <row r="4116" spans="1:9" x14ac:dyDescent="0.35">
      <c r="A4116" s="226"/>
      <c r="B4116" s="226"/>
      <c r="C4116" s="226"/>
      <c r="D4116" s="226"/>
      <c r="E4116" s="226"/>
      <c r="F4116" s="226"/>
      <c r="G4116" s="226"/>
      <c r="H4116" s="226"/>
      <c r="I4116" s="9" t="str">
        <f t="shared" si="64"/>
        <v>__</v>
      </c>
    </row>
    <row r="4117" spans="1:9" x14ac:dyDescent="0.35">
      <c r="A4117" s="226"/>
      <c r="B4117" s="226"/>
      <c r="C4117" s="226"/>
      <c r="D4117" s="226"/>
      <c r="E4117" s="226"/>
      <c r="F4117" s="226"/>
      <c r="G4117" s="226"/>
      <c r="H4117" s="226"/>
      <c r="I4117" s="9" t="str">
        <f t="shared" si="64"/>
        <v>__</v>
      </c>
    </row>
    <row r="4118" spans="1:9" x14ac:dyDescent="0.35">
      <c r="A4118" s="226"/>
      <c r="B4118" s="226"/>
      <c r="C4118" s="226"/>
      <c r="D4118" s="226"/>
      <c r="E4118" s="226"/>
      <c r="F4118" s="226"/>
      <c r="G4118" s="226"/>
      <c r="H4118" s="226"/>
      <c r="I4118" s="9" t="str">
        <f t="shared" si="64"/>
        <v>__</v>
      </c>
    </row>
    <row r="4119" spans="1:9" x14ac:dyDescent="0.35">
      <c r="A4119" s="226"/>
      <c r="B4119" s="226"/>
      <c r="C4119" s="226"/>
      <c r="D4119" s="226"/>
      <c r="E4119" s="226"/>
      <c r="F4119" s="226"/>
      <c r="G4119" s="226"/>
      <c r="H4119" s="226"/>
      <c r="I4119" s="9" t="str">
        <f t="shared" si="64"/>
        <v>__</v>
      </c>
    </row>
    <row r="4120" spans="1:9" x14ac:dyDescent="0.35">
      <c r="A4120" s="226"/>
      <c r="B4120" s="226"/>
      <c r="C4120" s="226"/>
      <c r="D4120" s="226"/>
      <c r="E4120" s="226"/>
      <c r="F4120" s="226"/>
      <c r="G4120" s="226"/>
      <c r="H4120" s="226"/>
      <c r="I4120" s="9" t="str">
        <f t="shared" si="64"/>
        <v>__</v>
      </c>
    </row>
    <row r="4121" spans="1:9" x14ac:dyDescent="0.35">
      <c r="A4121" s="226"/>
      <c r="B4121" s="226"/>
      <c r="C4121" s="226"/>
      <c r="D4121" s="226"/>
      <c r="E4121" s="226"/>
      <c r="F4121" s="226"/>
      <c r="G4121" s="226"/>
      <c r="H4121" s="226"/>
      <c r="I4121" s="9" t="str">
        <f t="shared" si="64"/>
        <v>__</v>
      </c>
    </row>
    <row r="4122" spans="1:9" x14ac:dyDescent="0.35">
      <c r="A4122" s="226"/>
      <c r="B4122" s="226"/>
      <c r="C4122" s="226"/>
      <c r="D4122" s="226"/>
      <c r="E4122" s="226"/>
      <c r="F4122" s="226"/>
      <c r="G4122" s="226"/>
      <c r="H4122" s="226"/>
      <c r="I4122" s="9" t="str">
        <f t="shared" si="64"/>
        <v>__</v>
      </c>
    </row>
    <row r="4123" spans="1:9" x14ac:dyDescent="0.35">
      <c r="A4123" s="226"/>
      <c r="B4123" s="226"/>
      <c r="C4123" s="226"/>
      <c r="D4123" s="226"/>
      <c r="E4123" s="226"/>
      <c r="F4123" s="226"/>
      <c r="G4123" s="226"/>
      <c r="H4123" s="226"/>
      <c r="I4123" s="9" t="str">
        <f t="shared" si="64"/>
        <v>__</v>
      </c>
    </row>
    <row r="4124" spans="1:9" x14ac:dyDescent="0.35">
      <c r="A4124" s="226"/>
      <c r="B4124" s="226"/>
      <c r="C4124" s="226"/>
      <c r="D4124" s="226"/>
      <c r="E4124" s="226"/>
      <c r="F4124" s="226"/>
      <c r="G4124" s="226"/>
      <c r="H4124" s="226"/>
      <c r="I4124" s="9" t="str">
        <f t="shared" si="64"/>
        <v>__</v>
      </c>
    </row>
    <row r="4125" spans="1:9" x14ac:dyDescent="0.35">
      <c r="A4125" s="226"/>
      <c r="B4125" s="226"/>
      <c r="C4125" s="226"/>
      <c r="D4125" s="226"/>
      <c r="E4125" s="226"/>
      <c r="F4125" s="226"/>
      <c r="G4125" s="226"/>
      <c r="H4125" s="226"/>
      <c r="I4125" s="9" t="str">
        <f t="shared" si="64"/>
        <v>__</v>
      </c>
    </row>
    <row r="4126" spans="1:9" x14ac:dyDescent="0.35">
      <c r="A4126" s="226"/>
      <c r="B4126" s="226"/>
      <c r="C4126" s="226"/>
      <c r="D4126" s="226"/>
      <c r="E4126" s="226"/>
      <c r="F4126" s="226"/>
      <c r="G4126" s="226"/>
      <c r="H4126" s="226"/>
      <c r="I4126" s="9" t="str">
        <f t="shared" si="64"/>
        <v>__</v>
      </c>
    </row>
    <row r="4127" spans="1:9" x14ac:dyDescent="0.35">
      <c r="A4127" s="226"/>
      <c r="B4127" s="226"/>
      <c r="C4127" s="226"/>
      <c r="D4127" s="226"/>
      <c r="E4127" s="226"/>
      <c r="F4127" s="226"/>
      <c r="G4127" s="226"/>
      <c r="H4127" s="226"/>
      <c r="I4127" s="9" t="str">
        <f t="shared" si="64"/>
        <v>__</v>
      </c>
    </row>
    <row r="4128" spans="1:9" x14ac:dyDescent="0.35">
      <c r="A4128" s="226"/>
      <c r="B4128" s="226"/>
      <c r="C4128" s="226"/>
      <c r="D4128" s="226"/>
      <c r="E4128" s="226"/>
      <c r="F4128" s="226"/>
      <c r="G4128" s="226"/>
      <c r="H4128" s="226"/>
      <c r="I4128" s="9" t="str">
        <f t="shared" si="64"/>
        <v>__</v>
      </c>
    </row>
    <row r="4129" spans="1:9" x14ac:dyDescent="0.35">
      <c r="A4129" s="226"/>
      <c r="B4129" s="226"/>
      <c r="C4129" s="226"/>
      <c r="D4129" s="226"/>
      <c r="E4129" s="226"/>
      <c r="F4129" s="226"/>
      <c r="G4129" s="226"/>
      <c r="H4129" s="226"/>
      <c r="I4129" s="9" t="str">
        <f t="shared" si="64"/>
        <v>__</v>
      </c>
    </row>
    <row r="4130" spans="1:9" x14ac:dyDescent="0.35">
      <c r="A4130" s="226"/>
      <c r="B4130" s="226"/>
      <c r="C4130" s="226"/>
      <c r="D4130" s="226"/>
      <c r="E4130" s="226"/>
      <c r="F4130" s="226"/>
      <c r="G4130" s="226"/>
      <c r="H4130" s="226"/>
      <c r="I4130" s="9" t="str">
        <f t="shared" si="64"/>
        <v>__</v>
      </c>
    </row>
    <row r="4131" spans="1:9" x14ac:dyDescent="0.35">
      <c r="A4131" s="226"/>
      <c r="B4131" s="226"/>
      <c r="C4131" s="226"/>
      <c r="D4131" s="226"/>
      <c r="E4131" s="226"/>
      <c r="F4131" s="226"/>
      <c r="G4131" s="226"/>
      <c r="H4131" s="226"/>
      <c r="I4131" s="9" t="str">
        <f t="shared" si="64"/>
        <v>__</v>
      </c>
    </row>
    <row r="4132" spans="1:9" x14ac:dyDescent="0.35">
      <c r="A4132" s="226"/>
      <c r="B4132" s="226"/>
      <c r="C4132" s="226"/>
      <c r="D4132" s="226"/>
      <c r="E4132" s="226"/>
      <c r="F4132" s="226"/>
      <c r="G4132" s="226"/>
      <c r="H4132" s="226"/>
      <c r="I4132" s="9" t="str">
        <f t="shared" si="64"/>
        <v>__</v>
      </c>
    </row>
    <row r="4133" spans="1:9" x14ac:dyDescent="0.35">
      <c r="A4133" s="226"/>
      <c r="B4133" s="226"/>
      <c r="C4133" s="226"/>
      <c r="D4133" s="226"/>
      <c r="E4133" s="226"/>
      <c r="F4133" s="226"/>
      <c r="G4133" s="226"/>
      <c r="H4133" s="226"/>
      <c r="I4133" s="9" t="str">
        <f t="shared" si="64"/>
        <v>__</v>
      </c>
    </row>
    <row r="4134" spans="1:9" x14ac:dyDescent="0.35">
      <c r="A4134" s="226"/>
      <c r="B4134" s="226"/>
      <c r="C4134" s="226"/>
      <c r="D4134" s="226"/>
      <c r="E4134" s="226"/>
      <c r="F4134" s="226"/>
      <c r="G4134" s="226"/>
      <c r="H4134" s="226"/>
      <c r="I4134" s="9" t="str">
        <f t="shared" si="64"/>
        <v>__</v>
      </c>
    </row>
    <row r="4135" spans="1:9" x14ac:dyDescent="0.35">
      <c r="A4135" s="226"/>
      <c r="B4135" s="226"/>
      <c r="C4135" s="226"/>
      <c r="D4135" s="226"/>
      <c r="E4135" s="226"/>
      <c r="F4135" s="226"/>
      <c r="G4135" s="226"/>
      <c r="H4135" s="226"/>
      <c r="I4135" s="9" t="str">
        <f t="shared" si="64"/>
        <v>__</v>
      </c>
    </row>
    <row r="4136" spans="1:9" x14ac:dyDescent="0.35">
      <c r="A4136" s="226"/>
      <c r="B4136" s="226"/>
      <c r="C4136" s="226"/>
      <c r="D4136" s="226"/>
      <c r="E4136" s="226"/>
      <c r="F4136" s="226"/>
      <c r="G4136" s="226"/>
      <c r="H4136" s="226"/>
      <c r="I4136" s="9" t="str">
        <f t="shared" si="64"/>
        <v>__</v>
      </c>
    </row>
    <row r="4137" spans="1:9" x14ac:dyDescent="0.35">
      <c r="A4137" s="226"/>
      <c r="B4137" s="226"/>
      <c r="C4137" s="226"/>
      <c r="D4137" s="226"/>
      <c r="E4137" s="226"/>
      <c r="F4137" s="226"/>
      <c r="G4137" s="226"/>
      <c r="H4137" s="226"/>
      <c r="I4137" s="9" t="str">
        <f t="shared" si="64"/>
        <v>__</v>
      </c>
    </row>
    <row r="4138" spans="1:9" x14ac:dyDescent="0.35">
      <c r="A4138" s="226"/>
      <c r="B4138" s="226"/>
      <c r="C4138" s="226"/>
      <c r="D4138" s="226"/>
      <c r="E4138" s="226"/>
      <c r="F4138" s="226"/>
      <c r="G4138" s="226"/>
      <c r="H4138" s="226"/>
      <c r="I4138" s="9" t="str">
        <f t="shared" si="64"/>
        <v>__</v>
      </c>
    </row>
    <row r="4139" spans="1:9" x14ac:dyDescent="0.35">
      <c r="A4139" s="226"/>
      <c r="B4139" s="226"/>
      <c r="C4139" s="226"/>
      <c r="D4139" s="226"/>
      <c r="E4139" s="226"/>
      <c r="F4139" s="226"/>
      <c r="G4139" s="226"/>
      <c r="H4139" s="226"/>
      <c r="I4139" s="9" t="str">
        <f t="shared" si="64"/>
        <v>__</v>
      </c>
    </row>
    <row r="4140" spans="1:9" x14ac:dyDescent="0.35">
      <c r="A4140" s="226"/>
      <c r="B4140" s="226"/>
      <c r="C4140" s="226"/>
      <c r="D4140" s="226"/>
      <c r="E4140" s="226"/>
      <c r="F4140" s="226"/>
      <c r="G4140" s="226"/>
      <c r="H4140" s="226"/>
      <c r="I4140" s="9" t="str">
        <f t="shared" si="64"/>
        <v>__</v>
      </c>
    </row>
    <row r="4141" spans="1:9" x14ac:dyDescent="0.35">
      <c r="A4141" s="226"/>
      <c r="B4141" s="226"/>
      <c r="C4141" s="226"/>
      <c r="D4141" s="226"/>
      <c r="E4141" s="226"/>
      <c r="F4141" s="226"/>
      <c r="G4141" s="226"/>
      <c r="H4141" s="226"/>
      <c r="I4141" s="9" t="str">
        <f t="shared" si="64"/>
        <v>__</v>
      </c>
    </row>
    <row r="4142" spans="1:9" x14ac:dyDescent="0.35">
      <c r="A4142" s="226"/>
      <c r="B4142" s="226"/>
      <c r="C4142" s="226"/>
      <c r="D4142" s="226"/>
      <c r="E4142" s="226"/>
      <c r="F4142" s="226"/>
      <c r="G4142" s="226"/>
      <c r="H4142" s="226"/>
      <c r="I4142" s="9" t="str">
        <f t="shared" si="64"/>
        <v>__</v>
      </c>
    </row>
    <row r="4143" spans="1:9" x14ac:dyDescent="0.35">
      <c r="A4143" s="226"/>
      <c r="B4143" s="226"/>
      <c r="C4143" s="226"/>
      <c r="D4143" s="226"/>
      <c r="E4143" s="226"/>
      <c r="F4143" s="226"/>
      <c r="G4143" s="226"/>
      <c r="H4143" s="226"/>
      <c r="I4143" s="9" t="str">
        <f t="shared" si="64"/>
        <v>__</v>
      </c>
    </row>
    <row r="4144" spans="1:9" x14ac:dyDescent="0.35">
      <c r="A4144" s="226"/>
      <c r="B4144" s="226"/>
      <c r="C4144" s="226"/>
      <c r="D4144" s="226"/>
      <c r="E4144" s="226"/>
      <c r="F4144" s="226"/>
      <c r="G4144" s="226"/>
      <c r="H4144" s="226"/>
      <c r="I4144" s="9" t="str">
        <f t="shared" si="64"/>
        <v>__</v>
      </c>
    </row>
    <row r="4145" spans="1:9" x14ac:dyDescent="0.35">
      <c r="A4145" s="226"/>
      <c r="B4145" s="226"/>
      <c r="C4145" s="226"/>
      <c r="D4145" s="226"/>
      <c r="E4145" s="226"/>
      <c r="F4145" s="226"/>
      <c r="G4145" s="226"/>
      <c r="H4145" s="226"/>
      <c r="I4145" s="9" t="str">
        <f t="shared" si="64"/>
        <v>__</v>
      </c>
    </row>
    <row r="4146" spans="1:9" x14ac:dyDescent="0.35">
      <c r="A4146" s="226"/>
      <c r="B4146" s="226"/>
      <c r="C4146" s="226"/>
      <c r="D4146" s="226"/>
      <c r="E4146" s="226"/>
      <c r="F4146" s="226"/>
      <c r="G4146" s="226"/>
      <c r="H4146" s="226"/>
      <c r="I4146" s="9" t="str">
        <f t="shared" si="64"/>
        <v>__</v>
      </c>
    </row>
    <row r="4147" spans="1:9" x14ac:dyDescent="0.35">
      <c r="A4147" s="226"/>
      <c r="B4147" s="226"/>
      <c r="C4147" s="226"/>
      <c r="D4147" s="226"/>
      <c r="E4147" s="226"/>
      <c r="F4147" s="226"/>
      <c r="G4147" s="226"/>
      <c r="H4147" s="226"/>
      <c r="I4147" s="9" t="str">
        <f t="shared" si="64"/>
        <v>__</v>
      </c>
    </row>
    <row r="4148" spans="1:9" x14ac:dyDescent="0.35">
      <c r="A4148" s="226"/>
      <c r="B4148" s="226"/>
      <c r="C4148" s="226"/>
      <c r="D4148" s="226"/>
      <c r="E4148" s="226"/>
      <c r="F4148" s="226"/>
      <c r="G4148" s="226"/>
      <c r="H4148" s="226"/>
      <c r="I4148" s="9" t="str">
        <f t="shared" si="64"/>
        <v>__</v>
      </c>
    </row>
    <row r="4149" spans="1:9" x14ac:dyDescent="0.35">
      <c r="A4149" s="226"/>
      <c r="B4149" s="226"/>
      <c r="C4149" s="226"/>
      <c r="D4149" s="226"/>
      <c r="E4149" s="226"/>
      <c r="F4149" s="226"/>
      <c r="G4149" s="226"/>
      <c r="H4149" s="226"/>
      <c r="I4149" s="9" t="str">
        <f t="shared" si="64"/>
        <v>__</v>
      </c>
    </row>
    <row r="4150" spans="1:9" x14ac:dyDescent="0.35">
      <c r="A4150" s="226"/>
      <c r="B4150" s="226"/>
      <c r="C4150" s="226"/>
      <c r="D4150" s="226"/>
      <c r="E4150" s="226"/>
      <c r="F4150" s="226"/>
      <c r="G4150" s="226"/>
      <c r="H4150" s="226"/>
      <c r="I4150" s="9" t="str">
        <f t="shared" si="64"/>
        <v>__</v>
      </c>
    </row>
    <row r="4151" spans="1:9" x14ac:dyDescent="0.35">
      <c r="A4151" s="226"/>
      <c r="B4151" s="226"/>
      <c r="C4151" s="226"/>
      <c r="D4151" s="226"/>
      <c r="E4151" s="226"/>
      <c r="F4151" s="226"/>
      <c r="G4151" s="226"/>
      <c r="H4151" s="226"/>
      <c r="I4151" s="9" t="str">
        <f t="shared" si="64"/>
        <v>__</v>
      </c>
    </row>
    <row r="4152" spans="1:9" x14ac:dyDescent="0.35">
      <c r="A4152" s="226"/>
      <c r="B4152" s="226"/>
      <c r="C4152" s="226"/>
      <c r="D4152" s="226"/>
      <c r="E4152" s="226"/>
      <c r="F4152" s="226"/>
      <c r="G4152" s="226"/>
      <c r="H4152" s="226"/>
      <c r="I4152" s="9" t="str">
        <f t="shared" si="64"/>
        <v>__</v>
      </c>
    </row>
    <row r="4153" spans="1:9" x14ac:dyDescent="0.35">
      <c r="A4153" s="226"/>
      <c r="B4153" s="226"/>
      <c r="C4153" s="226"/>
      <c r="D4153" s="226"/>
      <c r="E4153" s="226"/>
      <c r="F4153" s="226"/>
      <c r="G4153" s="226"/>
      <c r="H4153" s="226"/>
      <c r="I4153" s="9" t="str">
        <f t="shared" si="64"/>
        <v>__</v>
      </c>
    </row>
    <row r="4154" spans="1:9" x14ac:dyDescent="0.35">
      <c r="A4154" s="226"/>
      <c r="B4154" s="226"/>
      <c r="C4154" s="226"/>
      <c r="D4154" s="226"/>
      <c r="E4154" s="226"/>
      <c r="F4154" s="226"/>
      <c r="G4154" s="226"/>
      <c r="H4154" s="226"/>
      <c r="I4154" s="9" t="str">
        <f t="shared" si="64"/>
        <v>__</v>
      </c>
    </row>
    <row r="4155" spans="1:9" x14ac:dyDescent="0.35">
      <c r="A4155" s="226"/>
      <c r="B4155" s="226"/>
      <c r="C4155" s="226"/>
      <c r="D4155" s="226"/>
      <c r="E4155" s="226"/>
      <c r="F4155" s="226"/>
      <c r="G4155" s="226"/>
      <c r="H4155" s="226"/>
      <c r="I4155" s="9" t="str">
        <f t="shared" si="64"/>
        <v>__</v>
      </c>
    </row>
    <row r="4156" spans="1:9" x14ac:dyDescent="0.35">
      <c r="A4156" s="226"/>
      <c r="B4156" s="226"/>
      <c r="C4156" s="226"/>
      <c r="D4156" s="226"/>
      <c r="E4156" s="226"/>
      <c r="F4156" s="226"/>
      <c r="G4156" s="226"/>
      <c r="H4156" s="226"/>
      <c r="I4156" s="9" t="str">
        <f t="shared" si="64"/>
        <v>__</v>
      </c>
    </row>
    <row r="4157" spans="1:9" x14ac:dyDescent="0.35">
      <c r="A4157" s="226"/>
      <c r="B4157" s="226"/>
      <c r="C4157" s="226"/>
      <c r="D4157" s="226"/>
      <c r="E4157" s="226"/>
      <c r="F4157" s="226"/>
      <c r="G4157" s="226"/>
      <c r="H4157" s="226"/>
      <c r="I4157" s="9" t="str">
        <f t="shared" si="64"/>
        <v>__</v>
      </c>
    </row>
    <row r="4158" spans="1:9" x14ac:dyDescent="0.35">
      <c r="A4158" s="226"/>
      <c r="B4158" s="226"/>
      <c r="C4158" s="226"/>
      <c r="D4158" s="226"/>
      <c r="E4158" s="226"/>
      <c r="F4158" s="226"/>
      <c r="G4158" s="226"/>
      <c r="H4158" s="226"/>
      <c r="I4158" s="9" t="str">
        <f t="shared" si="64"/>
        <v>__</v>
      </c>
    </row>
    <row r="4159" spans="1:9" x14ac:dyDescent="0.35">
      <c r="A4159" s="226"/>
      <c r="B4159" s="226"/>
      <c r="C4159" s="226"/>
      <c r="D4159" s="226"/>
      <c r="E4159" s="226"/>
      <c r="F4159" s="226"/>
      <c r="G4159" s="226"/>
      <c r="H4159" s="226"/>
      <c r="I4159" s="9" t="str">
        <f t="shared" si="64"/>
        <v>__</v>
      </c>
    </row>
    <row r="4160" spans="1:9" x14ac:dyDescent="0.35">
      <c r="A4160" s="226"/>
      <c r="B4160" s="226"/>
      <c r="C4160" s="226"/>
      <c r="D4160" s="226"/>
      <c r="E4160" s="226"/>
      <c r="F4160" s="226"/>
      <c r="G4160" s="226"/>
      <c r="H4160" s="226"/>
      <c r="I4160" s="9" t="str">
        <f t="shared" si="64"/>
        <v>__</v>
      </c>
    </row>
    <row r="4161" spans="1:9" x14ac:dyDescent="0.35">
      <c r="A4161" s="226"/>
      <c r="B4161" s="226"/>
      <c r="C4161" s="226"/>
      <c r="D4161" s="226"/>
      <c r="E4161" s="226"/>
      <c r="F4161" s="226"/>
      <c r="G4161" s="226"/>
      <c r="H4161" s="226"/>
      <c r="I4161" s="9" t="str">
        <f t="shared" si="64"/>
        <v>__</v>
      </c>
    </row>
    <row r="4162" spans="1:9" x14ac:dyDescent="0.35">
      <c r="A4162" s="226"/>
      <c r="B4162" s="226"/>
      <c r="C4162" s="226"/>
      <c r="D4162" s="226"/>
      <c r="E4162" s="226"/>
      <c r="F4162" s="226"/>
      <c r="G4162" s="226"/>
      <c r="H4162" s="226"/>
      <c r="I4162" s="9" t="str">
        <f t="shared" si="64"/>
        <v>__</v>
      </c>
    </row>
    <row r="4163" spans="1:9" x14ac:dyDescent="0.35">
      <c r="A4163" s="226"/>
      <c r="B4163" s="226"/>
      <c r="C4163" s="226"/>
      <c r="D4163" s="226"/>
      <c r="E4163" s="226"/>
      <c r="F4163" s="226"/>
      <c r="G4163" s="226"/>
      <c r="H4163" s="226"/>
      <c r="I4163" s="9" t="str">
        <f t="shared" si="64"/>
        <v>__</v>
      </c>
    </row>
    <row r="4164" spans="1:9" x14ac:dyDescent="0.35">
      <c r="A4164" s="226"/>
      <c r="B4164" s="226"/>
      <c r="C4164" s="226"/>
      <c r="D4164" s="226"/>
      <c r="E4164" s="226"/>
      <c r="F4164" s="226"/>
      <c r="G4164" s="226"/>
      <c r="H4164" s="226"/>
      <c r="I4164" s="9" t="str">
        <f t="shared" si="64"/>
        <v>__</v>
      </c>
    </row>
    <row r="4165" spans="1:9" x14ac:dyDescent="0.35">
      <c r="A4165" s="226"/>
      <c r="B4165" s="226"/>
      <c r="C4165" s="226"/>
      <c r="D4165" s="226"/>
      <c r="E4165" s="226"/>
      <c r="F4165" s="226"/>
      <c r="G4165" s="226"/>
      <c r="H4165" s="226"/>
      <c r="I4165" s="9" t="str">
        <f t="shared" ref="I4165:I4228" si="65">CONCATENATE(A4165,"_",B4165,"_",C4165)</f>
        <v>__</v>
      </c>
    </row>
    <row r="4166" spans="1:9" x14ac:dyDescent="0.35">
      <c r="A4166" s="226"/>
      <c r="B4166" s="226"/>
      <c r="C4166" s="226"/>
      <c r="D4166" s="226"/>
      <c r="E4166" s="226"/>
      <c r="F4166" s="226"/>
      <c r="G4166" s="226"/>
      <c r="H4166" s="226"/>
      <c r="I4166" s="9" t="str">
        <f t="shared" si="65"/>
        <v>__</v>
      </c>
    </row>
    <row r="4167" spans="1:9" x14ac:dyDescent="0.35">
      <c r="A4167" s="226"/>
      <c r="B4167" s="226"/>
      <c r="C4167" s="226"/>
      <c r="D4167" s="226"/>
      <c r="E4167" s="226"/>
      <c r="F4167" s="226"/>
      <c r="G4167" s="226"/>
      <c r="H4167" s="226"/>
      <c r="I4167" s="9" t="str">
        <f t="shared" si="65"/>
        <v>__</v>
      </c>
    </row>
    <row r="4168" spans="1:9" x14ac:dyDescent="0.35">
      <c r="A4168" s="226"/>
      <c r="B4168" s="226"/>
      <c r="C4168" s="226"/>
      <c r="D4168" s="226"/>
      <c r="E4168" s="226"/>
      <c r="F4168" s="226"/>
      <c r="G4168" s="226"/>
      <c r="H4168" s="226"/>
      <c r="I4168" s="9" t="str">
        <f t="shared" si="65"/>
        <v>__</v>
      </c>
    </row>
    <row r="4169" spans="1:9" x14ac:dyDescent="0.35">
      <c r="A4169" s="226"/>
      <c r="B4169" s="226"/>
      <c r="C4169" s="226"/>
      <c r="D4169" s="226"/>
      <c r="E4169" s="226"/>
      <c r="F4169" s="226"/>
      <c r="G4169" s="226"/>
      <c r="H4169" s="226"/>
      <c r="I4169" s="9" t="str">
        <f t="shared" si="65"/>
        <v>__</v>
      </c>
    </row>
    <row r="4170" spans="1:9" x14ac:dyDescent="0.35">
      <c r="A4170" s="226"/>
      <c r="B4170" s="226"/>
      <c r="C4170" s="226"/>
      <c r="D4170" s="226"/>
      <c r="E4170" s="226"/>
      <c r="F4170" s="226"/>
      <c r="G4170" s="226"/>
      <c r="H4170" s="226"/>
      <c r="I4170" s="9" t="str">
        <f t="shared" si="65"/>
        <v>__</v>
      </c>
    </row>
    <row r="4171" spans="1:9" x14ac:dyDescent="0.35">
      <c r="A4171" s="226"/>
      <c r="B4171" s="226"/>
      <c r="C4171" s="226"/>
      <c r="D4171" s="226"/>
      <c r="E4171" s="226"/>
      <c r="F4171" s="226"/>
      <c r="G4171" s="226"/>
      <c r="H4171" s="226"/>
      <c r="I4171" s="9" t="str">
        <f t="shared" si="65"/>
        <v>__</v>
      </c>
    </row>
    <row r="4172" spans="1:9" x14ac:dyDescent="0.35">
      <c r="A4172" s="226"/>
      <c r="B4172" s="226"/>
      <c r="C4172" s="226"/>
      <c r="D4172" s="226"/>
      <c r="E4172" s="226"/>
      <c r="F4172" s="226"/>
      <c r="G4172" s="226"/>
      <c r="H4172" s="226"/>
      <c r="I4172" s="9" t="str">
        <f t="shared" si="65"/>
        <v>__</v>
      </c>
    </row>
    <row r="4173" spans="1:9" x14ac:dyDescent="0.35">
      <c r="A4173" s="226"/>
      <c r="B4173" s="226"/>
      <c r="C4173" s="226"/>
      <c r="D4173" s="226"/>
      <c r="E4173" s="226"/>
      <c r="F4173" s="226"/>
      <c r="G4173" s="226"/>
      <c r="H4173" s="226"/>
      <c r="I4173" s="9" t="str">
        <f t="shared" si="65"/>
        <v>__</v>
      </c>
    </row>
    <row r="4174" spans="1:9" x14ac:dyDescent="0.35">
      <c r="A4174" s="226"/>
      <c r="B4174" s="226"/>
      <c r="C4174" s="226"/>
      <c r="D4174" s="226"/>
      <c r="E4174" s="226"/>
      <c r="F4174" s="226"/>
      <c r="G4174" s="226"/>
      <c r="H4174" s="226"/>
      <c r="I4174" s="9" t="str">
        <f t="shared" si="65"/>
        <v>__</v>
      </c>
    </row>
    <row r="4175" spans="1:9" x14ac:dyDescent="0.35">
      <c r="A4175" s="226"/>
      <c r="B4175" s="226"/>
      <c r="C4175" s="226"/>
      <c r="D4175" s="226"/>
      <c r="E4175" s="226"/>
      <c r="F4175" s="226"/>
      <c r="G4175" s="226"/>
      <c r="H4175" s="226"/>
      <c r="I4175" s="9" t="str">
        <f t="shared" si="65"/>
        <v>__</v>
      </c>
    </row>
    <row r="4176" spans="1:9" x14ac:dyDescent="0.35">
      <c r="A4176" s="226"/>
      <c r="B4176" s="226"/>
      <c r="C4176" s="226"/>
      <c r="D4176" s="226"/>
      <c r="E4176" s="226"/>
      <c r="F4176" s="226"/>
      <c r="G4176" s="226"/>
      <c r="H4176" s="226"/>
      <c r="I4176" s="9" t="str">
        <f t="shared" si="65"/>
        <v>__</v>
      </c>
    </row>
    <row r="4177" spans="1:9" x14ac:dyDescent="0.35">
      <c r="A4177" s="226"/>
      <c r="B4177" s="226"/>
      <c r="C4177" s="226"/>
      <c r="D4177" s="226"/>
      <c r="E4177" s="226"/>
      <c r="F4177" s="226"/>
      <c r="G4177" s="226"/>
      <c r="H4177" s="226"/>
      <c r="I4177" s="9" t="str">
        <f t="shared" si="65"/>
        <v>__</v>
      </c>
    </row>
    <row r="4178" spans="1:9" x14ac:dyDescent="0.35">
      <c r="A4178" s="226"/>
      <c r="B4178" s="226"/>
      <c r="C4178" s="226"/>
      <c r="D4178" s="226"/>
      <c r="E4178" s="226"/>
      <c r="F4178" s="226"/>
      <c r="G4178" s="226"/>
      <c r="H4178" s="226"/>
      <c r="I4178" s="9" t="str">
        <f t="shared" si="65"/>
        <v>__</v>
      </c>
    </row>
    <row r="4179" spans="1:9" x14ac:dyDescent="0.35">
      <c r="A4179" s="226"/>
      <c r="B4179" s="226"/>
      <c r="C4179" s="226"/>
      <c r="D4179" s="226"/>
      <c r="E4179" s="226"/>
      <c r="F4179" s="226"/>
      <c r="G4179" s="226"/>
      <c r="H4179" s="226"/>
      <c r="I4179" s="9" t="str">
        <f t="shared" si="65"/>
        <v>__</v>
      </c>
    </row>
    <row r="4180" spans="1:9" x14ac:dyDescent="0.35">
      <c r="A4180" s="226"/>
      <c r="B4180" s="226"/>
      <c r="C4180" s="226"/>
      <c r="D4180" s="226"/>
      <c r="E4180" s="226"/>
      <c r="F4180" s="226"/>
      <c r="G4180" s="226"/>
      <c r="H4180" s="226"/>
      <c r="I4180" s="9" t="str">
        <f t="shared" si="65"/>
        <v>__</v>
      </c>
    </row>
    <row r="4181" spans="1:9" x14ac:dyDescent="0.35">
      <c r="A4181" s="226"/>
      <c r="B4181" s="226"/>
      <c r="C4181" s="226"/>
      <c r="D4181" s="226"/>
      <c r="E4181" s="226"/>
      <c r="F4181" s="226"/>
      <c r="G4181" s="226"/>
      <c r="H4181" s="226"/>
      <c r="I4181" s="9" t="str">
        <f t="shared" si="65"/>
        <v>__</v>
      </c>
    </row>
    <row r="4182" spans="1:9" x14ac:dyDescent="0.35">
      <c r="A4182" s="226"/>
      <c r="B4182" s="226"/>
      <c r="C4182" s="226"/>
      <c r="D4182" s="226"/>
      <c r="E4182" s="226"/>
      <c r="F4182" s="226"/>
      <c r="G4182" s="226"/>
      <c r="H4182" s="226"/>
      <c r="I4182" s="9" t="str">
        <f t="shared" si="65"/>
        <v>__</v>
      </c>
    </row>
    <row r="4183" spans="1:9" x14ac:dyDescent="0.35">
      <c r="A4183" s="226"/>
      <c r="B4183" s="226"/>
      <c r="C4183" s="226"/>
      <c r="D4183" s="226"/>
      <c r="E4183" s="226"/>
      <c r="F4183" s="226"/>
      <c r="G4183" s="226"/>
      <c r="H4183" s="226"/>
      <c r="I4183" s="9" t="str">
        <f t="shared" si="65"/>
        <v>__</v>
      </c>
    </row>
    <row r="4184" spans="1:9" x14ac:dyDescent="0.35">
      <c r="A4184" s="226"/>
      <c r="B4184" s="226"/>
      <c r="C4184" s="226"/>
      <c r="D4184" s="226"/>
      <c r="E4184" s="226"/>
      <c r="F4184" s="226"/>
      <c r="G4184" s="226"/>
      <c r="H4184" s="226"/>
      <c r="I4184" s="9" t="str">
        <f t="shared" si="65"/>
        <v>__</v>
      </c>
    </row>
    <row r="4185" spans="1:9" x14ac:dyDescent="0.35">
      <c r="A4185" s="226"/>
      <c r="B4185" s="226"/>
      <c r="C4185" s="226"/>
      <c r="D4185" s="226"/>
      <c r="E4185" s="226"/>
      <c r="F4185" s="226"/>
      <c r="G4185" s="226"/>
      <c r="H4185" s="226"/>
      <c r="I4185" s="9" t="str">
        <f t="shared" si="65"/>
        <v>__</v>
      </c>
    </row>
    <row r="4186" spans="1:9" x14ac:dyDescent="0.35">
      <c r="A4186" s="226"/>
      <c r="B4186" s="226"/>
      <c r="C4186" s="226"/>
      <c r="D4186" s="226"/>
      <c r="E4186" s="226"/>
      <c r="F4186" s="226"/>
      <c r="G4186" s="226"/>
      <c r="H4186" s="226"/>
      <c r="I4186" s="9" t="str">
        <f t="shared" si="65"/>
        <v>__</v>
      </c>
    </row>
    <row r="4187" spans="1:9" x14ac:dyDescent="0.35">
      <c r="A4187" s="226"/>
      <c r="B4187" s="226"/>
      <c r="C4187" s="226"/>
      <c r="D4187" s="226"/>
      <c r="E4187" s="226"/>
      <c r="F4187" s="226"/>
      <c r="G4187" s="226"/>
      <c r="H4187" s="226"/>
      <c r="I4187" s="9" t="str">
        <f t="shared" si="65"/>
        <v>__</v>
      </c>
    </row>
    <row r="4188" spans="1:9" x14ac:dyDescent="0.35">
      <c r="A4188" s="226"/>
      <c r="B4188" s="226"/>
      <c r="C4188" s="226"/>
      <c r="D4188" s="226"/>
      <c r="E4188" s="226"/>
      <c r="F4188" s="226"/>
      <c r="G4188" s="226"/>
      <c r="H4188" s="226"/>
      <c r="I4188" s="9" t="str">
        <f t="shared" si="65"/>
        <v>__</v>
      </c>
    </row>
    <row r="4189" spans="1:9" x14ac:dyDescent="0.35">
      <c r="A4189" s="226"/>
      <c r="B4189" s="226"/>
      <c r="C4189" s="226"/>
      <c r="D4189" s="226"/>
      <c r="E4189" s="226"/>
      <c r="F4189" s="226"/>
      <c r="G4189" s="226"/>
      <c r="H4189" s="226"/>
      <c r="I4189" s="9" t="str">
        <f t="shared" si="65"/>
        <v>__</v>
      </c>
    </row>
    <row r="4190" spans="1:9" x14ac:dyDescent="0.35">
      <c r="A4190" s="226"/>
      <c r="B4190" s="226"/>
      <c r="C4190" s="226"/>
      <c r="D4190" s="226"/>
      <c r="E4190" s="226"/>
      <c r="F4190" s="226"/>
      <c r="G4190" s="226"/>
      <c r="H4190" s="226"/>
      <c r="I4190" s="9" t="str">
        <f t="shared" si="65"/>
        <v>__</v>
      </c>
    </row>
    <row r="4191" spans="1:9" x14ac:dyDescent="0.35">
      <c r="A4191" s="226"/>
      <c r="B4191" s="226"/>
      <c r="C4191" s="226"/>
      <c r="D4191" s="226"/>
      <c r="E4191" s="226"/>
      <c r="F4191" s="226"/>
      <c r="G4191" s="226"/>
      <c r="H4191" s="226"/>
      <c r="I4191" s="9" t="str">
        <f t="shared" si="65"/>
        <v>__</v>
      </c>
    </row>
    <row r="4192" spans="1:9" x14ac:dyDescent="0.35">
      <c r="A4192" s="226"/>
      <c r="B4192" s="226"/>
      <c r="C4192" s="226"/>
      <c r="D4192" s="226"/>
      <c r="E4192" s="226"/>
      <c r="F4192" s="226"/>
      <c r="G4192" s="226"/>
      <c r="H4192" s="226"/>
      <c r="I4192" s="9" t="str">
        <f t="shared" si="65"/>
        <v>__</v>
      </c>
    </row>
    <row r="4193" spans="1:9" x14ac:dyDescent="0.35">
      <c r="A4193" s="226"/>
      <c r="B4193" s="226"/>
      <c r="C4193" s="226"/>
      <c r="D4193" s="226"/>
      <c r="E4193" s="226"/>
      <c r="F4193" s="226"/>
      <c r="G4193" s="226"/>
      <c r="H4193" s="226"/>
      <c r="I4193" s="9" t="str">
        <f t="shared" si="65"/>
        <v>__</v>
      </c>
    </row>
    <row r="4194" spans="1:9" x14ac:dyDescent="0.35">
      <c r="A4194" s="226"/>
      <c r="B4194" s="226"/>
      <c r="C4194" s="226"/>
      <c r="D4194" s="226"/>
      <c r="E4194" s="226"/>
      <c r="F4194" s="226"/>
      <c r="G4194" s="226"/>
      <c r="H4194" s="226"/>
      <c r="I4194" s="9" t="str">
        <f t="shared" si="65"/>
        <v>__</v>
      </c>
    </row>
    <row r="4195" spans="1:9" x14ac:dyDescent="0.35">
      <c r="A4195" s="226"/>
      <c r="B4195" s="226"/>
      <c r="C4195" s="226"/>
      <c r="D4195" s="226"/>
      <c r="E4195" s="226"/>
      <c r="F4195" s="226"/>
      <c r="G4195" s="226"/>
      <c r="H4195" s="226"/>
      <c r="I4195" s="9" t="str">
        <f t="shared" si="65"/>
        <v>__</v>
      </c>
    </row>
    <row r="4196" spans="1:9" x14ac:dyDescent="0.35">
      <c r="A4196" s="226"/>
      <c r="B4196" s="226"/>
      <c r="C4196" s="226"/>
      <c r="D4196" s="226"/>
      <c r="E4196" s="226"/>
      <c r="F4196" s="226"/>
      <c r="G4196" s="226"/>
      <c r="H4196" s="226"/>
      <c r="I4196" s="9" t="str">
        <f t="shared" si="65"/>
        <v>__</v>
      </c>
    </row>
    <row r="4197" spans="1:9" x14ac:dyDescent="0.35">
      <c r="A4197" s="226"/>
      <c r="B4197" s="226"/>
      <c r="C4197" s="226"/>
      <c r="D4197" s="226"/>
      <c r="E4197" s="226"/>
      <c r="F4197" s="226"/>
      <c r="G4197" s="226"/>
      <c r="H4197" s="226"/>
      <c r="I4197" s="9" t="str">
        <f t="shared" si="65"/>
        <v>__</v>
      </c>
    </row>
    <row r="4198" spans="1:9" x14ac:dyDescent="0.35">
      <c r="A4198" s="226"/>
      <c r="B4198" s="226"/>
      <c r="C4198" s="226"/>
      <c r="D4198" s="226"/>
      <c r="E4198" s="226"/>
      <c r="F4198" s="226"/>
      <c r="G4198" s="226"/>
      <c r="H4198" s="226"/>
      <c r="I4198" s="9" t="str">
        <f t="shared" si="65"/>
        <v>__</v>
      </c>
    </row>
    <row r="4199" spans="1:9" x14ac:dyDescent="0.35">
      <c r="A4199" s="226"/>
      <c r="B4199" s="226"/>
      <c r="C4199" s="226"/>
      <c r="D4199" s="226"/>
      <c r="E4199" s="226"/>
      <c r="F4199" s="226"/>
      <c r="G4199" s="226"/>
      <c r="H4199" s="226"/>
      <c r="I4199" s="9" t="str">
        <f t="shared" si="65"/>
        <v>__</v>
      </c>
    </row>
    <row r="4200" spans="1:9" x14ac:dyDescent="0.35">
      <c r="A4200" s="226"/>
      <c r="B4200" s="226"/>
      <c r="C4200" s="226"/>
      <c r="D4200" s="226"/>
      <c r="E4200" s="226"/>
      <c r="F4200" s="226"/>
      <c r="G4200" s="226"/>
      <c r="H4200" s="226"/>
      <c r="I4200" s="9" t="str">
        <f t="shared" si="65"/>
        <v>__</v>
      </c>
    </row>
    <row r="4201" spans="1:9" x14ac:dyDescent="0.35">
      <c r="A4201" s="226"/>
      <c r="B4201" s="226"/>
      <c r="C4201" s="226"/>
      <c r="D4201" s="226"/>
      <c r="E4201" s="226"/>
      <c r="F4201" s="226"/>
      <c r="G4201" s="226"/>
      <c r="H4201" s="226"/>
      <c r="I4201" s="9" t="str">
        <f t="shared" si="65"/>
        <v>__</v>
      </c>
    </row>
    <row r="4202" spans="1:9" x14ac:dyDescent="0.35">
      <c r="A4202" s="226"/>
      <c r="B4202" s="226"/>
      <c r="C4202" s="226"/>
      <c r="D4202" s="226"/>
      <c r="E4202" s="226"/>
      <c r="F4202" s="226"/>
      <c r="G4202" s="226"/>
      <c r="H4202" s="226"/>
      <c r="I4202" s="9" t="str">
        <f t="shared" si="65"/>
        <v>__</v>
      </c>
    </row>
    <row r="4203" spans="1:9" x14ac:dyDescent="0.35">
      <c r="A4203" s="226"/>
      <c r="B4203" s="226"/>
      <c r="C4203" s="226"/>
      <c r="D4203" s="226"/>
      <c r="E4203" s="226"/>
      <c r="F4203" s="226"/>
      <c r="G4203" s="226"/>
      <c r="H4203" s="226"/>
      <c r="I4203" s="9" t="str">
        <f t="shared" si="65"/>
        <v>__</v>
      </c>
    </row>
    <row r="4204" spans="1:9" x14ac:dyDescent="0.35">
      <c r="A4204" s="226"/>
      <c r="B4204" s="226"/>
      <c r="C4204" s="226"/>
      <c r="D4204" s="226"/>
      <c r="E4204" s="226"/>
      <c r="F4204" s="226"/>
      <c r="G4204" s="226"/>
      <c r="H4204" s="226"/>
      <c r="I4204" s="9" t="str">
        <f t="shared" si="65"/>
        <v>__</v>
      </c>
    </row>
    <row r="4205" spans="1:9" x14ac:dyDescent="0.35">
      <c r="A4205" s="226"/>
      <c r="B4205" s="226"/>
      <c r="C4205" s="226"/>
      <c r="D4205" s="226"/>
      <c r="E4205" s="226"/>
      <c r="F4205" s="226"/>
      <c r="G4205" s="226"/>
      <c r="H4205" s="226"/>
      <c r="I4205" s="9" t="str">
        <f t="shared" si="65"/>
        <v>__</v>
      </c>
    </row>
    <row r="4206" spans="1:9" x14ac:dyDescent="0.35">
      <c r="A4206" s="226"/>
      <c r="B4206" s="226"/>
      <c r="C4206" s="226"/>
      <c r="D4206" s="226"/>
      <c r="E4206" s="226"/>
      <c r="F4206" s="226"/>
      <c r="G4206" s="226"/>
      <c r="H4206" s="226"/>
      <c r="I4206" s="9" t="str">
        <f t="shared" si="65"/>
        <v>__</v>
      </c>
    </row>
    <row r="4207" spans="1:9" x14ac:dyDescent="0.35">
      <c r="A4207" s="226"/>
      <c r="B4207" s="226"/>
      <c r="C4207" s="226"/>
      <c r="D4207" s="226"/>
      <c r="E4207" s="226"/>
      <c r="F4207" s="226"/>
      <c r="G4207" s="226"/>
      <c r="H4207" s="226"/>
      <c r="I4207" s="9" t="str">
        <f t="shared" si="65"/>
        <v>__</v>
      </c>
    </row>
    <row r="4208" spans="1:9" x14ac:dyDescent="0.35">
      <c r="A4208" s="226"/>
      <c r="B4208" s="226"/>
      <c r="C4208" s="226"/>
      <c r="D4208" s="226"/>
      <c r="E4208" s="226"/>
      <c r="F4208" s="226"/>
      <c r="G4208" s="226"/>
      <c r="H4208" s="226"/>
      <c r="I4208" s="9" t="str">
        <f t="shared" si="65"/>
        <v>__</v>
      </c>
    </row>
    <row r="4209" spans="1:9" x14ac:dyDescent="0.35">
      <c r="A4209" s="226"/>
      <c r="B4209" s="226"/>
      <c r="C4209" s="226"/>
      <c r="D4209" s="226"/>
      <c r="E4209" s="226"/>
      <c r="F4209" s="226"/>
      <c r="G4209" s="226"/>
      <c r="H4209" s="226"/>
      <c r="I4209" s="9" t="str">
        <f t="shared" si="65"/>
        <v>__</v>
      </c>
    </row>
    <row r="4210" spans="1:9" x14ac:dyDescent="0.35">
      <c r="A4210" s="226"/>
      <c r="B4210" s="226"/>
      <c r="C4210" s="226"/>
      <c r="D4210" s="226"/>
      <c r="E4210" s="226"/>
      <c r="F4210" s="226"/>
      <c r="G4210" s="226"/>
      <c r="H4210" s="226"/>
      <c r="I4210" s="9" t="str">
        <f t="shared" si="65"/>
        <v>__</v>
      </c>
    </row>
    <row r="4211" spans="1:9" x14ac:dyDescent="0.35">
      <c r="A4211" s="226"/>
      <c r="B4211" s="226"/>
      <c r="C4211" s="226"/>
      <c r="D4211" s="226"/>
      <c r="E4211" s="226"/>
      <c r="F4211" s="226"/>
      <c r="G4211" s="226"/>
      <c r="H4211" s="226"/>
      <c r="I4211" s="9" t="str">
        <f t="shared" si="65"/>
        <v>__</v>
      </c>
    </row>
    <row r="4212" spans="1:9" x14ac:dyDescent="0.35">
      <c r="A4212" s="226"/>
      <c r="B4212" s="226"/>
      <c r="C4212" s="226"/>
      <c r="D4212" s="226"/>
      <c r="E4212" s="226"/>
      <c r="F4212" s="226"/>
      <c r="G4212" s="226"/>
      <c r="H4212" s="226"/>
      <c r="I4212" s="9" t="str">
        <f t="shared" si="65"/>
        <v>__</v>
      </c>
    </row>
    <row r="4213" spans="1:9" x14ac:dyDescent="0.35">
      <c r="A4213" s="226"/>
      <c r="B4213" s="226"/>
      <c r="C4213" s="226"/>
      <c r="D4213" s="226"/>
      <c r="E4213" s="226"/>
      <c r="F4213" s="226"/>
      <c r="G4213" s="226"/>
      <c r="H4213" s="226"/>
      <c r="I4213" s="9" t="str">
        <f t="shared" si="65"/>
        <v>__</v>
      </c>
    </row>
    <row r="4214" spans="1:9" x14ac:dyDescent="0.35">
      <c r="A4214" s="226"/>
      <c r="B4214" s="226"/>
      <c r="C4214" s="226"/>
      <c r="D4214" s="226"/>
      <c r="E4214" s="226"/>
      <c r="F4214" s="226"/>
      <c r="G4214" s="226"/>
      <c r="H4214" s="226"/>
      <c r="I4214" s="9" t="str">
        <f t="shared" si="65"/>
        <v>__</v>
      </c>
    </row>
    <row r="4215" spans="1:9" x14ac:dyDescent="0.35">
      <c r="A4215" s="226"/>
      <c r="B4215" s="226"/>
      <c r="C4215" s="226"/>
      <c r="D4215" s="226"/>
      <c r="E4215" s="226"/>
      <c r="F4215" s="226"/>
      <c r="G4215" s="226"/>
      <c r="H4215" s="226"/>
      <c r="I4215" s="9" t="str">
        <f t="shared" si="65"/>
        <v>__</v>
      </c>
    </row>
    <row r="4216" spans="1:9" x14ac:dyDescent="0.35">
      <c r="A4216" s="226"/>
      <c r="B4216" s="226"/>
      <c r="C4216" s="226"/>
      <c r="D4216" s="226"/>
      <c r="E4216" s="226"/>
      <c r="F4216" s="226"/>
      <c r="G4216" s="226"/>
      <c r="H4216" s="226"/>
      <c r="I4216" s="9" t="str">
        <f t="shared" si="65"/>
        <v>__</v>
      </c>
    </row>
    <row r="4217" spans="1:9" x14ac:dyDescent="0.35">
      <c r="A4217" s="226"/>
      <c r="B4217" s="226"/>
      <c r="C4217" s="226"/>
      <c r="D4217" s="226"/>
      <c r="E4217" s="226"/>
      <c r="F4217" s="226"/>
      <c r="G4217" s="226"/>
      <c r="H4217" s="226"/>
      <c r="I4217" s="9" t="str">
        <f t="shared" si="65"/>
        <v>__</v>
      </c>
    </row>
    <row r="4218" spans="1:9" x14ac:dyDescent="0.35">
      <c r="A4218" s="226"/>
      <c r="B4218" s="226"/>
      <c r="C4218" s="226"/>
      <c r="D4218" s="226"/>
      <c r="E4218" s="226"/>
      <c r="F4218" s="226"/>
      <c r="G4218" s="226"/>
      <c r="H4218" s="226"/>
      <c r="I4218" s="9" t="str">
        <f t="shared" si="65"/>
        <v>__</v>
      </c>
    </row>
    <row r="4219" spans="1:9" x14ac:dyDescent="0.35">
      <c r="A4219" s="226"/>
      <c r="B4219" s="226"/>
      <c r="C4219" s="226"/>
      <c r="D4219" s="226"/>
      <c r="E4219" s="226"/>
      <c r="F4219" s="226"/>
      <c r="G4219" s="226"/>
      <c r="H4219" s="226"/>
      <c r="I4219" s="9" t="str">
        <f t="shared" si="65"/>
        <v>__</v>
      </c>
    </row>
    <row r="4220" spans="1:9" x14ac:dyDescent="0.35">
      <c r="A4220" s="226"/>
      <c r="B4220" s="226"/>
      <c r="C4220" s="226"/>
      <c r="D4220" s="226"/>
      <c r="E4220" s="226"/>
      <c r="F4220" s="226"/>
      <c r="G4220" s="226"/>
      <c r="H4220" s="226"/>
      <c r="I4220" s="9" t="str">
        <f t="shared" si="65"/>
        <v>__</v>
      </c>
    </row>
    <row r="4221" spans="1:9" x14ac:dyDescent="0.35">
      <c r="A4221" s="226"/>
      <c r="B4221" s="226"/>
      <c r="C4221" s="226"/>
      <c r="D4221" s="226"/>
      <c r="E4221" s="226"/>
      <c r="F4221" s="226"/>
      <c r="G4221" s="226"/>
      <c r="H4221" s="226"/>
      <c r="I4221" s="9" t="str">
        <f t="shared" si="65"/>
        <v>__</v>
      </c>
    </row>
    <row r="4222" spans="1:9" x14ac:dyDescent="0.35">
      <c r="A4222" s="226"/>
      <c r="B4222" s="226"/>
      <c r="C4222" s="226"/>
      <c r="D4222" s="226"/>
      <c r="E4222" s="226"/>
      <c r="F4222" s="226"/>
      <c r="G4222" s="226"/>
      <c r="H4222" s="226"/>
      <c r="I4222" s="9" t="str">
        <f t="shared" si="65"/>
        <v>__</v>
      </c>
    </row>
    <row r="4223" spans="1:9" x14ac:dyDescent="0.35">
      <c r="A4223" s="226"/>
      <c r="B4223" s="226"/>
      <c r="C4223" s="226"/>
      <c r="D4223" s="226"/>
      <c r="E4223" s="226"/>
      <c r="F4223" s="226"/>
      <c r="G4223" s="226"/>
      <c r="H4223" s="226"/>
      <c r="I4223" s="9" t="str">
        <f t="shared" si="65"/>
        <v>__</v>
      </c>
    </row>
    <row r="4224" spans="1:9" x14ac:dyDescent="0.35">
      <c r="A4224" s="226"/>
      <c r="B4224" s="226"/>
      <c r="C4224" s="226"/>
      <c r="D4224" s="226"/>
      <c r="E4224" s="226"/>
      <c r="F4224" s="226"/>
      <c r="G4224" s="226"/>
      <c r="H4224" s="226"/>
      <c r="I4224" s="9" t="str">
        <f t="shared" si="65"/>
        <v>__</v>
      </c>
    </row>
    <row r="4225" spans="1:9" x14ac:dyDescent="0.35">
      <c r="A4225" s="226"/>
      <c r="B4225" s="226"/>
      <c r="C4225" s="226"/>
      <c r="D4225" s="226"/>
      <c r="E4225" s="226"/>
      <c r="F4225" s="226"/>
      <c r="G4225" s="226"/>
      <c r="H4225" s="226"/>
      <c r="I4225" s="9" t="str">
        <f t="shared" si="65"/>
        <v>__</v>
      </c>
    </row>
    <row r="4226" spans="1:9" x14ac:dyDescent="0.35">
      <c r="A4226" s="226"/>
      <c r="B4226" s="226"/>
      <c r="C4226" s="226"/>
      <c r="D4226" s="226"/>
      <c r="E4226" s="226"/>
      <c r="F4226" s="226"/>
      <c r="G4226" s="226"/>
      <c r="H4226" s="226"/>
      <c r="I4226" s="9" t="str">
        <f t="shared" si="65"/>
        <v>__</v>
      </c>
    </row>
    <row r="4227" spans="1:9" x14ac:dyDescent="0.35">
      <c r="A4227" s="226"/>
      <c r="B4227" s="226"/>
      <c r="C4227" s="226"/>
      <c r="D4227" s="226"/>
      <c r="E4227" s="226"/>
      <c r="F4227" s="226"/>
      <c r="G4227" s="226"/>
      <c r="H4227" s="226"/>
      <c r="I4227" s="9" t="str">
        <f t="shared" si="65"/>
        <v>__</v>
      </c>
    </row>
    <row r="4228" spans="1:9" x14ac:dyDescent="0.35">
      <c r="A4228" s="226"/>
      <c r="B4228" s="226"/>
      <c r="C4228" s="226"/>
      <c r="D4228" s="226"/>
      <c r="E4228" s="226"/>
      <c r="F4228" s="226"/>
      <c r="G4228" s="226"/>
      <c r="H4228" s="226"/>
      <c r="I4228" s="9" t="str">
        <f t="shared" si="65"/>
        <v>__</v>
      </c>
    </row>
    <row r="4229" spans="1:9" x14ac:dyDescent="0.35">
      <c r="A4229" s="226"/>
      <c r="B4229" s="226"/>
      <c r="C4229" s="226"/>
      <c r="D4229" s="226"/>
      <c r="E4229" s="226"/>
      <c r="F4229" s="226"/>
      <c r="G4229" s="226"/>
      <c r="H4229" s="226"/>
      <c r="I4229" s="9" t="str">
        <f t="shared" ref="I4229:I4292" si="66">CONCATENATE(A4229,"_",B4229,"_",C4229)</f>
        <v>__</v>
      </c>
    </row>
    <row r="4230" spans="1:9" x14ac:dyDescent="0.35">
      <c r="A4230" s="226"/>
      <c r="B4230" s="226"/>
      <c r="C4230" s="226"/>
      <c r="D4230" s="226"/>
      <c r="E4230" s="226"/>
      <c r="F4230" s="226"/>
      <c r="G4230" s="226"/>
      <c r="H4230" s="226"/>
      <c r="I4230" s="9" t="str">
        <f t="shared" si="66"/>
        <v>__</v>
      </c>
    </row>
    <row r="4231" spans="1:9" x14ac:dyDescent="0.35">
      <c r="A4231" s="226"/>
      <c r="B4231" s="226"/>
      <c r="C4231" s="226"/>
      <c r="D4231" s="226"/>
      <c r="E4231" s="226"/>
      <c r="F4231" s="226"/>
      <c r="G4231" s="226"/>
      <c r="H4231" s="226"/>
      <c r="I4231" s="9" t="str">
        <f t="shared" si="66"/>
        <v>__</v>
      </c>
    </row>
    <row r="4232" spans="1:9" x14ac:dyDescent="0.35">
      <c r="A4232" s="226"/>
      <c r="B4232" s="226"/>
      <c r="C4232" s="226"/>
      <c r="D4232" s="226"/>
      <c r="E4232" s="226"/>
      <c r="F4232" s="226"/>
      <c r="G4232" s="226"/>
      <c r="H4232" s="226"/>
      <c r="I4232" s="9" t="str">
        <f t="shared" si="66"/>
        <v>__</v>
      </c>
    </row>
    <row r="4233" spans="1:9" x14ac:dyDescent="0.35">
      <c r="A4233" s="226"/>
      <c r="B4233" s="226"/>
      <c r="C4233" s="226"/>
      <c r="D4233" s="226"/>
      <c r="E4233" s="226"/>
      <c r="F4233" s="226"/>
      <c r="G4233" s="226"/>
      <c r="H4233" s="226"/>
      <c r="I4233" s="9" t="str">
        <f t="shared" si="66"/>
        <v>__</v>
      </c>
    </row>
    <row r="4234" spans="1:9" x14ac:dyDescent="0.35">
      <c r="A4234" s="226"/>
      <c r="B4234" s="226"/>
      <c r="C4234" s="226"/>
      <c r="D4234" s="226"/>
      <c r="E4234" s="226"/>
      <c r="F4234" s="226"/>
      <c r="G4234" s="226"/>
      <c r="H4234" s="226"/>
      <c r="I4234" s="9" t="str">
        <f t="shared" si="66"/>
        <v>__</v>
      </c>
    </row>
    <row r="4235" spans="1:9" x14ac:dyDescent="0.35">
      <c r="A4235" s="226"/>
      <c r="B4235" s="226"/>
      <c r="C4235" s="226"/>
      <c r="D4235" s="226"/>
      <c r="E4235" s="226"/>
      <c r="F4235" s="226"/>
      <c r="G4235" s="226"/>
      <c r="H4235" s="226"/>
      <c r="I4235" s="9" t="str">
        <f t="shared" si="66"/>
        <v>__</v>
      </c>
    </row>
    <row r="4236" spans="1:9" x14ac:dyDescent="0.35">
      <c r="A4236" s="226"/>
      <c r="B4236" s="226"/>
      <c r="C4236" s="226"/>
      <c r="D4236" s="226"/>
      <c r="E4236" s="226"/>
      <c r="F4236" s="226"/>
      <c r="G4236" s="226"/>
      <c r="H4236" s="226"/>
      <c r="I4236" s="9" t="str">
        <f t="shared" si="66"/>
        <v>__</v>
      </c>
    </row>
    <row r="4237" spans="1:9" x14ac:dyDescent="0.35">
      <c r="A4237" s="226"/>
      <c r="B4237" s="226"/>
      <c r="C4237" s="226"/>
      <c r="D4237" s="226"/>
      <c r="E4237" s="226"/>
      <c r="F4237" s="226"/>
      <c r="G4237" s="226"/>
      <c r="H4237" s="226"/>
      <c r="I4237" s="9" t="str">
        <f t="shared" si="66"/>
        <v>__</v>
      </c>
    </row>
    <row r="4238" spans="1:9" x14ac:dyDescent="0.35">
      <c r="A4238" s="226"/>
      <c r="B4238" s="226"/>
      <c r="C4238" s="226"/>
      <c r="D4238" s="226"/>
      <c r="E4238" s="226"/>
      <c r="F4238" s="226"/>
      <c r="G4238" s="226"/>
      <c r="H4238" s="226"/>
      <c r="I4238" s="9" t="str">
        <f t="shared" si="66"/>
        <v>__</v>
      </c>
    </row>
    <row r="4239" spans="1:9" x14ac:dyDescent="0.35">
      <c r="A4239" s="226"/>
      <c r="B4239" s="226"/>
      <c r="C4239" s="226"/>
      <c r="D4239" s="226"/>
      <c r="E4239" s="226"/>
      <c r="F4239" s="226"/>
      <c r="G4239" s="226"/>
      <c r="H4239" s="226"/>
      <c r="I4239" s="9" t="str">
        <f t="shared" si="66"/>
        <v>__</v>
      </c>
    </row>
    <row r="4240" spans="1:9" x14ac:dyDescent="0.35">
      <c r="A4240" s="226"/>
      <c r="B4240" s="226"/>
      <c r="C4240" s="226"/>
      <c r="D4240" s="226"/>
      <c r="E4240" s="226"/>
      <c r="F4240" s="226"/>
      <c r="G4240" s="226"/>
      <c r="H4240" s="226"/>
      <c r="I4240" s="9" t="str">
        <f t="shared" si="66"/>
        <v>__</v>
      </c>
    </row>
    <row r="4241" spans="1:9" x14ac:dyDescent="0.35">
      <c r="A4241" s="226"/>
      <c r="B4241" s="226"/>
      <c r="C4241" s="226"/>
      <c r="D4241" s="226"/>
      <c r="E4241" s="226"/>
      <c r="F4241" s="226"/>
      <c r="G4241" s="226"/>
      <c r="H4241" s="226"/>
      <c r="I4241" s="9" t="str">
        <f t="shared" si="66"/>
        <v>__</v>
      </c>
    </row>
    <row r="4242" spans="1:9" x14ac:dyDescent="0.35">
      <c r="A4242" s="226"/>
      <c r="B4242" s="226"/>
      <c r="C4242" s="226"/>
      <c r="D4242" s="226"/>
      <c r="E4242" s="226"/>
      <c r="F4242" s="226"/>
      <c r="G4242" s="226"/>
      <c r="H4242" s="226"/>
      <c r="I4242" s="9" t="str">
        <f t="shared" si="66"/>
        <v>__</v>
      </c>
    </row>
    <row r="4243" spans="1:9" x14ac:dyDescent="0.35">
      <c r="A4243" s="226"/>
      <c r="B4243" s="226"/>
      <c r="C4243" s="226"/>
      <c r="D4243" s="226"/>
      <c r="E4243" s="226"/>
      <c r="F4243" s="226"/>
      <c r="G4243" s="226"/>
      <c r="H4243" s="226"/>
      <c r="I4243" s="9" t="str">
        <f t="shared" si="66"/>
        <v>__</v>
      </c>
    </row>
    <row r="4244" spans="1:9" x14ac:dyDescent="0.35">
      <c r="A4244" s="226"/>
      <c r="B4244" s="226"/>
      <c r="C4244" s="226"/>
      <c r="D4244" s="226"/>
      <c r="E4244" s="226"/>
      <c r="F4244" s="226"/>
      <c r="G4244" s="226"/>
      <c r="H4244" s="226"/>
      <c r="I4244" s="9" t="str">
        <f t="shared" si="66"/>
        <v>__</v>
      </c>
    </row>
    <row r="4245" spans="1:9" x14ac:dyDescent="0.35">
      <c r="A4245" s="226"/>
      <c r="B4245" s="226"/>
      <c r="C4245" s="226"/>
      <c r="D4245" s="226"/>
      <c r="E4245" s="226"/>
      <c r="F4245" s="226"/>
      <c r="G4245" s="226"/>
      <c r="H4245" s="226"/>
      <c r="I4245" s="9" t="str">
        <f t="shared" si="66"/>
        <v>__</v>
      </c>
    </row>
    <row r="4246" spans="1:9" x14ac:dyDescent="0.35">
      <c r="A4246" s="226"/>
      <c r="B4246" s="226"/>
      <c r="C4246" s="226"/>
      <c r="D4246" s="226"/>
      <c r="E4246" s="226"/>
      <c r="F4246" s="226"/>
      <c r="G4246" s="226"/>
      <c r="H4246" s="226"/>
      <c r="I4246" s="9" t="str">
        <f t="shared" si="66"/>
        <v>__</v>
      </c>
    </row>
    <row r="4247" spans="1:9" x14ac:dyDescent="0.35">
      <c r="A4247" s="226"/>
      <c r="B4247" s="226"/>
      <c r="C4247" s="226"/>
      <c r="D4247" s="226"/>
      <c r="E4247" s="226"/>
      <c r="F4247" s="226"/>
      <c r="G4247" s="226"/>
      <c r="H4247" s="226"/>
      <c r="I4247" s="9" t="str">
        <f t="shared" si="66"/>
        <v>__</v>
      </c>
    </row>
    <row r="4248" spans="1:9" x14ac:dyDescent="0.35">
      <c r="A4248" s="226"/>
      <c r="B4248" s="226"/>
      <c r="C4248" s="226"/>
      <c r="D4248" s="226"/>
      <c r="E4248" s="226"/>
      <c r="F4248" s="226"/>
      <c r="G4248" s="226"/>
      <c r="H4248" s="226"/>
      <c r="I4248" s="9" t="str">
        <f t="shared" si="66"/>
        <v>__</v>
      </c>
    </row>
    <row r="4249" spans="1:9" x14ac:dyDescent="0.35">
      <c r="A4249" s="226"/>
      <c r="B4249" s="226"/>
      <c r="C4249" s="226"/>
      <c r="D4249" s="226"/>
      <c r="E4249" s="226"/>
      <c r="F4249" s="226"/>
      <c r="G4249" s="226"/>
      <c r="H4249" s="226"/>
      <c r="I4249" s="9" t="str">
        <f t="shared" si="66"/>
        <v>__</v>
      </c>
    </row>
    <row r="4250" spans="1:9" x14ac:dyDescent="0.35">
      <c r="A4250" s="226"/>
      <c r="B4250" s="226"/>
      <c r="C4250" s="226"/>
      <c r="D4250" s="226"/>
      <c r="E4250" s="226"/>
      <c r="F4250" s="226"/>
      <c r="G4250" s="226"/>
      <c r="H4250" s="226"/>
      <c r="I4250" s="9" t="str">
        <f t="shared" si="66"/>
        <v>__</v>
      </c>
    </row>
    <row r="4251" spans="1:9" x14ac:dyDescent="0.35">
      <c r="A4251" s="226"/>
      <c r="B4251" s="226"/>
      <c r="C4251" s="226"/>
      <c r="D4251" s="226"/>
      <c r="E4251" s="226"/>
      <c r="F4251" s="226"/>
      <c r="G4251" s="226"/>
      <c r="H4251" s="226"/>
      <c r="I4251" s="9" t="str">
        <f t="shared" si="66"/>
        <v>__</v>
      </c>
    </row>
    <row r="4252" spans="1:9" x14ac:dyDescent="0.35">
      <c r="A4252" s="226"/>
      <c r="B4252" s="226"/>
      <c r="C4252" s="226"/>
      <c r="D4252" s="226"/>
      <c r="E4252" s="226"/>
      <c r="F4252" s="226"/>
      <c r="G4252" s="226"/>
      <c r="H4252" s="226"/>
      <c r="I4252" s="9" t="str">
        <f t="shared" si="66"/>
        <v>__</v>
      </c>
    </row>
    <row r="4253" spans="1:9" x14ac:dyDescent="0.35">
      <c r="A4253" s="226"/>
      <c r="B4253" s="226"/>
      <c r="C4253" s="226"/>
      <c r="D4253" s="226"/>
      <c r="E4253" s="226"/>
      <c r="F4253" s="226"/>
      <c r="G4253" s="226"/>
      <c r="H4253" s="226"/>
      <c r="I4253" s="9" t="str">
        <f t="shared" si="66"/>
        <v>__</v>
      </c>
    </row>
    <row r="4254" spans="1:9" x14ac:dyDescent="0.35">
      <c r="A4254" s="226"/>
      <c r="B4254" s="226"/>
      <c r="C4254" s="226"/>
      <c r="D4254" s="226"/>
      <c r="E4254" s="226"/>
      <c r="F4254" s="226"/>
      <c r="G4254" s="226"/>
      <c r="H4254" s="226"/>
      <c r="I4254" s="9" t="str">
        <f t="shared" si="66"/>
        <v>__</v>
      </c>
    </row>
    <row r="4255" spans="1:9" x14ac:dyDescent="0.35">
      <c r="A4255" s="226"/>
      <c r="B4255" s="226"/>
      <c r="C4255" s="226"/>
      <c r="D4255" s="226"/>
      <c r="E4255" s="226"/>
      <c r="F4255" s="226"/>
      <c r="G4255" s="226"/>
      <c r="H4255" s="226"/>
      <c r="I4255" s="9" t="str">
        <f t="shared" si="66"/>
        <v>__</v>
      </c>
    </row>
    <row r="4256" spans="1:9" x14ac:dyDescent="0.35">
      <c r="A4256" s="226"/>
      <c r="B4256" s="226"/>
      <c r="C4256" s="226"/>
      <c r="D4256" s="226"/>
      <c r="E4256" s="226"/>
      <c r="F4256" s="226"/>
      <c r="G4256" s="226"/>
      <c r="H4256" s="226"/>
      <c r="I4256" s="9" t="str">
        <f t="shared" si="66"/>
        <v>__</v>
      </c>
    </row>
    <row r="4257" spans="1:9" x14ac:dyDescent="0.35">
      <c r="A4257" s="226"/>
      <c r="B4257" s="226"/>
      <c r="C4257" s="226"/>
      <c r="D4257" s="226"/>
      <c r="E4257" s="226"/>
      <c r="F4257" s="226"/>
      <c r="G4257" s="226"/>
      <c r="H4257" s="226"/>
      <c r="I4257" s="9" t="str">
        <f t="shared" si="66"/>
        <v>__</v>
      </c>
    </row>
    <row r="4258" spans="1:9" x14ac:dyDescent="0.35">
      <c r="A4258" s="226"/>
      <c r="B4258" s="226"/>
      <c r="C4258" s="226"/>
      <c r="D4258" s="226"/>
      <c r="E4258" s="226"/>
      <c r="F4258" s="226"/>
      <c r="G4258" s="226"/>
      <c r="H4258" s="226"/>
      <c r="I4258" s="9" t="str">
        <f t="shared" si="66"/>
        <v>__</v>
      </c>
    </row>
    <row r="4259" spans="1:9" x14ac:dyDescent="0.35">
      <c r="A4259" s="226"/>
      <c r="B4259" s="226"/>
      <c r="C4259" s="226"/>
      <c r="D4259" s="226"/>
      <c r="E4259" s="226"/>
      <c r="F4259" s="226"/>
      <c r="G4259" s="226"/>
      <c r="H4259" s="226"/>
      <c r="I4259" s="9" t="str">
        <f t="shared" si="66"/>
        <v>__</v>
      </c>
    </row>
    <row r="4260" spans="1:9" x14ac:dyDescent="0.35">
      <c r="A4260" s="226"/>
      <c r="B4260" s="226"/>
      <c r="C4260" s="226"/>
      <c r="D4260" s="226"/>
      <c r="E4260" s="226"/>
      <c r="F4260" s="226"/>
      <c r="G4260" s="226"/>
      <c r="H4260" s="226"/>
      <c r="I4260" s="9" t="str">
        <f t="shared" si="66"/>
        <v>__</v>
      </c>
    </row>
    <row r="4261" spans="1:9" x14ac:dyDescent="0.35">
      <c r="A4261" s="226"/>
      <c r="B4261" s="226"/>
      <c r="C4261" s="226"/>
      <c r="D4261" s="226"/>
      <c r="E4261" s="226"/>
      <c r="F4261" s="226"/>
      <c r="G4261" s="226"/>
      <c r="H4261" s="226"/>
      <c r="I4261" s="9" t="str">
        <f t="shared" si="66"/>
        <v>__</v>
      </c>
    </row>
    <row r="4262" spans="1:9" x14ac:dyDescent="0.35">
      <c r="A4262" s="226"/>
      <c r="B4262" s="226"/>
      <c r="C4262" s="226"/>
      <c r="D4262" s="226"/>
      <c r="E4262" s="226"/>
      <c r="F4262" s="226"/>
      <c r="G4262" s="226"/>
      <c r="H4262" s="226"/>
      <c r="I4262" s="9" t="str">
        <f t="shared" si="66"/>
        <v>__</v>
      </c>
    </row>
    <row r="4263" spans="1:9" x14ac:dyDescent="0.35">
      <c r="A4263" s="226"/>
      <c r="B4263" s="226"/>
      <c r="C4263" s="226"/>
      <c r="D4263" s="226"/>
      <c r="E4263" s="226"/>
      <c r="F4263" s="226"/>
      <c r="G4263" s="226"/>
      <c r="H4263" s="226"/>
      <c r="I4263" s="9" t="str">
        <f t="shared" si="66"/>
        <v>__</v>
      </c>
    </row>
    <row r="4264" spans="1:9" x14ac:dyDescent="0.35">
      <c r="A4264" s="226"/>
      <c r="B4264" s="226"/>
      <c r="C4264" s="226"/>
      <c r="D4264" s="226"/>
      <c r="E4264" s="226"/>
      <c r="F4264" s="226"/>
      <c r="G4264" s="226"/>
      <c r="H4264" s="226"/>
      <c r="I4264" s="9" t="str">
        <f t="shared" si="66"/>
        <v>__</v>
      </c>
    </row>
    <row r="4265" spans="1:9" x14ac:dyDescent="0.35">
      <c r="A4265" s="226"/>
      <c r="B4265" s="226"/>
      <c r="C4265" s="226"/>
      <c r="D4265" s="226"/>
      <c r="E4265" s="226"/>
      <c r="F4265" s="226"/>
      <c r="G4265" s="226"/>
      <c r="H4265" s="226"/>
      <c r="I4265" s="9" t="str">
        <f t="shared" si="66"/>
        <v>__</v>
      </c>
    </row>
    <row r="4266" spans="1:9" x14ac:dyDescent="0.35">
      <c r="A4266" s="226"/>
      <c r="B4266" s="226"/>
      <c r="C4266" s="226"/>
      <c r="D4266" s="226"/>
      <c r="E4266" s="226"/>
      <c r="F4266" s="226"/>
      <c r="G4266" s="226"/>
      <c r="H4266" s="226"/>
      <c r="I4266" s="9" t="str">
        <f t="shared" si="66"/>
        <v>__</v>
      </c>
    </row>
    <row r="4267" spans="1:9" x14ac:dyDescent="0.35">
      <c r="A4267" s="226"/>
      <c r="B4267" s="226"/>
      <c r="C4267" s="226"/>
      <c r="D4267" s="226"/>
      <c r="E4267" s="226"/>
      <c r="F4267" s="226"/>
      <c r="G4267" s="226"/>
      <c r="H4267" s="226"/>
      <c r="I4267" s="9" t="str">
        <f t="shared" si="66"/>
        <v>__</v>
      </c>
    </row>
    <row r="4268" spans="1:9" x14ac:dyDescent="0.35">
      <c r="A4268" s="226"/>
      <c r="B4268" s="226"/>
      <c r="C4268" s="226"/>
      <c r="D4268" s="226"/>
      <c r="E4268" s="226"/>
      <c r="F4268" s="226"/>
      <c r="G4268" s="226"/>
      <c r="H4268" s="226"/>
      <c r="I4268" s="9" t="str">
        <f t="shared" si="66"/>
        <v>__</v>
      </c>
    </row>
    <row r="4269" spans="1:9" x14ac:dyDescent="0.35">
      <c r="A4269" s="226"/>
      <c r="B4269" s="226"/>
      <c r="C4269" s="226"/>
      <c r="D4269" s="226"/>
      <c r="E4269" s="226"/>
      <c r="F4269" s="226"/>
      <c r="G4269" s="226"/>
      <c r="H4269" s="226"/>
      <c r="I4269" s="9" t="str">
        <f t="shared" si="66"/>
        <v>__</v>
      </c>
    </row>
    <row r="4270" spans="1:9" x14ac:dyDescent="0.35">
      <c r="A4270" s="226"/>
      <c r="B4270" s="226"/>
      <c r="C4270" s="226"/>
      <c r="D4270" s="226"/>
      <c r="E4270" s="226"/>
      <c r="F4270" s="226"/>
      <c r="G4270" s="226"/>
      <c r="H4270" s="226"/>
      <c r="I4270" s="9" t="str">
        <f t="shared" si="66"/>
        <v>__</v>
      </c>
    </row>
    <row r="4271" spans="1:9" x14ac:dyDescent="0.35">
      <c r="A4271" s="226"/>
      <c r="B4271" s="226"/>
      <c r="C4271" s="226"/>
      <c r="D4271" s="226"/>
      <c r="E4271" s="226"/>
      <c r="F4271" s="226"/>
      <c r="G4271" s="226"/>
      <c r="H4271" s="226"/>
      <c r="I4271" s="9" t="str">
        <f t="shared" si="66"/>
        <v>__</v>
      </c>
    </row>
    <row r="4272" spans="1:9" x14ac:dyDescent="0.35">
      <c r="A4272" s="226"/>
      <c r="B4272" s="226"/>
      <c r="C4272" s="226"/>
      <c r="D4272" s="226"/>
      <c r="E4272" s="226"/>
      <c r="F4272" s="226"/>
      <c r="G4272" s="226"/>
      <c r="H4272" s="226"/>
      <c r="I4272" s="9" t="str">
        <f t="shared" si="66"/>
        <v>__</v>
      </c>
    </row>
    <row r="4273" spans="1:9" x14ac:dyDescent="0.35">
      <c r="A4273" s="226"/>
      <c r="B4273" s="226"/>
      <c r="C4273" s="226"/>
      <c r="D4273" s="226"/>
      <c r="E4273" s="226"/>
      <c r="F4273" s="226"/>
      <c r="G4273" s="226"/>
      <c r="H4273" s="226"/>
      <c r="I4273" s="9" t="str">
        <f t="shared" si="66"/>
        <v>__</v>
      </c>
    </row>
    <row r="4274" spans="1:9" x14ac:dyDescent="0.35">
      <c r="A4274" s="226"/>
      <c r="B4274" s="226"/>
      <c r="C4274" s="226"/>
      <c r="D4274" s="226"/>
      <c r="E4274" s="226"/>
      <c r="F4274" s="226"/>
      <c r="G4274" s="226"/>
      <c r="H4274" s="226"/>
      <c r="I4274" s="9" t="str">
        <f t="shared" si="66"/>
        <v>__</v>
      </c>
    </row>
    <row r="4275" spans="1:9" x14ac:dyDescent="0.35">
      <c r="A4275" s="226"/>
      <c r="B4275" s="226"/>
      <c r="C4275" s="226"/>
      <c r="D4275" s="226"/>
      <c r="E4275" s="226"/>
      <c r="F4275" s="226"/>
      <c r="G4275" s="226"/>
      <c r="H4275" s="226"/>
      <c r="I4275" s="9" t="str">
        <f t="shared" si="66"/>
        <v>__</v>
      </c>
    </row>
    <row r="4276" spans="1:9" x14ac:dyDescent="0.35">
      <c r="A4276" s="226"/>
      <c r="B4276" s="226"/>
      <c r="C4276" s="226"/>
      <c r="D4276" s="226"/>
      <c r="E4276" s="226"/>
      <c r="F4276" s="226"/>
      <c r="G4276" s="226"/>
      <c r="H4276" s="226"/>
      <c r="I4276" s="9" t="str">
        <f t="shared" si="66"/>
        <v>__</v>
      </c>
    </row>
    <row r="4277" spans="1:9" x14ac:dyDescent="0.35">
      <c r="A4277" s="226"/>
      <c r="B4277" s="226"/>
      <c r="C4277" s="226"/>
      <c r="D4277" s="226"/>
      <c r="E4277" s="226"/>
      <c r="F4277" s="226"/>
      <c r="G4277" s="226"/>
      <c r="H4277" s="226"/>
      <c r="I4277" s="9" t="str">
        <f t="shared" si="66"/>
        <v>__</v>
      </c>
    </row>
    <row r="4278" spans="1:9" x14ac:dyDescent="0.35">
      <c r="A4278" s="226"/>
      <c r="B4278" s="226"/>
      <c r="C4278" s="226"/>
      <c r="D4278" s="226"/>
      <c r="E4278" s="226"/>
      <c r="F4278" s="226"/>
      <c r="G4278" s="226"/>
      <c r="H4278" s="226"/>
      <c r="I4278" s="9" t="str">
        <f t="shared" si="66"/>
        <v>__</v>
      </c>
    </row>
    <row r="4279" spans="1:9" x14ac:dyDescent="0.35">
      <c r="A4279" s="226"/>
      <c r="B4279" s="226"/>
      <c r="C4279" s="226"/>
      <c r="D4279" s="226"/>
      <c r="E4279" s="226"/>
      <c r="F4279" s="226"/>
      <c r="G4279" s="226"/>
      <c r="H4279" s="226"/>
      <c r="I4279" s="9" t="str">
        <f t="shared" si="66"/>
        <v>__</v>
      </c>
    </row>
    <row r="4280" spans="1:9" x14ac:dyDescent="0.35">
      <c r="A4280" s="226"/>
      <c r="B4280" s="226"/>
      <c r="C4280" s="226"/>
      <c r="D4280" s="226"/>
      <c r="E4280" s="226"/>
      <c r="F4280" s="226"/>
      <c r="G4280" s="226"/>
      <c r="H4280" s="226"/>
      <c r="I4280" s="9" t="str">
        <f t="shared" si="66"/>
        <v>__</v>
      </c>
    </row>
    <row r="4281" spans="1:9" x14ac:dyDescent="0.35">
      <c r="A4281" s="226"/>
      <c r="B4281" s="226"/>
      <c r="C4281" s="226"/>
      <c r="D4281" s="226"/>
      <c r="E4281" s="226"/>
      <c r="F4281" s="226"/>
      <c r="G4281" s="226"/>
      <c r="H4281" s="226"/>
      <c r="I4281" s="9" t="str">
        <f t="shared" si="66"/>
        <v>__</v>
      </c>
    </row>
    <row r="4282" spans="1:9" x14ac:dyDescent="0.35">
      <c r="A4282" s="226"/>
      <c r="B4282" s="226"/>
      <c r="C4282" s="226"/>
      <c r="D4282" s="226"/>
      <c r="E4282" s="226"/>
      <c r="F4282" s="226"/>
      <c r="G4282" s="226"/>
      <c r="H4282" s="226"/>
      <c r="I4282" s="9" t="str">
        <f t="shared" si="66"/>
        <v>__</v>
      </c>
    </row>
    <row r="4283" spans="1:9" x14ac:dyDescent="0.35">
      <c r="A4283" s="226"/>
      <c r="B4283" s="226"/>
      <c r="C4283" s="226"/>
      <c r="D4283" s="226"/>
      <c r="E4283" s="226"/>
      <c r="F4283" s="226"/>
      <c r="G4283" s="226"/>
      <c r="H4283" s="226"/>
      <c r="I4283" s="9" t="str">
        <f t="shared" si="66"/>
        <v>__</v>
      </c>
    </row>
    <row r="4284" spans="1:9" x14ac:dyDescent="0.35">
      <c r="A4284" s="226"/>
      <c r="B4284" s="226"/>
      <c r="C4284" s="226"/>
      <c r="D4284" s="226"/>
      <c r="E4284" s="226"/>
      <c r="F4284" s="226"/>
      <c r="G4284" s="226"/>
      <c r="H4284" s="226"/>
      <c r="I4284" s="9" t="str">
        <f t="shared" si="66"/>
        <v>__</v>
      </c>
    </row>
    <row r="4285" spans="1:9" x14ac:dyDescent="0.35">
      <c r="A4285" s="226"/>
      <c r="B4285" s="226"/>
      <c r="C4285" s="226"/>
      <c r="D4285" s="226"/>
      <c r="E4285" s="226"/>
      <c r="F4285" s="226"/>
      <c r="G4285" s="226"/>
      <c r="H4285" s="226"/>
      <c r="I4285" s="9" t="str">
        <f t="shared" si="66"/>
        <v>__</v>
      </c>
    </row>
    <row r="4286" spans="1:9" x14ac:dyDescent="0.35">
      <c r="A4286" s="226"/>
      <c r="B4286" s="226"/>
      <c r="C4286" s="226"/>
      <c r="D4286" s="226"/>
      <c r="E4286" s="226"/>
      <c r="F4286" s="226"/>
      <c r="G4286" s="226"/>
      <c r="H4286" s="226"/>
      <c r="I4286" s="9" t="str">
        <f t="shared" si="66"/>
        <v>__</v>
      </c>
    </row>
    <row r="4287" spans="1:9" x14ac:dyDescent="0.35">
      <c r="A4287" s="226"/>
      <c r="B4287" s="226"/>
      <c r="C4287" s="226"/>
      <c r="D4287" s="226"/>
      <c r="E4287" s="226"/>
      <c r="F4287" s="226"/>
      <c r="G4287" s="226"/>
      <c r="H4287" s="226"/>
      <c r="I4287" s="9" t="str">
        <f t="shared" si="66"/>
        <v>__</v>
      </c>
    </row>
    <row r="4288" spans="1:9" x14ac:dyDescent="0.35">
      <c r="A4288" s="226"/>
      <c r="B4288" s="226"/>
      <c r="C4288" s="226"/>
      <c r="D4288" s="226"/>
      <c r="E4288" s="226"/>
      <c r="F4288" s="226"/>
      <c r="G4288" s="226"/>
      <c r="H4288" s="226"/>
      <c r="I4288" s="9" t="str">
        <f t="shared" si="66"/>
        <v>__</v>
      </c>
    </row>
    <row r="4289" spans="1:9" x14ac:dyDescent="0.35">
      <c r="A4289" s="226"/>
      <c r="B4289" s="226"/>
      <c r="C4289" s="226"/>
      <c r="D4289" s="226"/>
      <c r="E4289" s="226"/>
      <c r="F4289" s="226"/>
      <c r="G4289" s="226"/>
      <c r="H4289" s="226"/>
      <c r="I4289" s="9" t="str">
        <f t="shared" si="66"/>
        <v>__</v>
      </c>
    </row>
    <row r="4290" spans="1:9" x14ac:dyDescent="0.35">
      <c r="A4290" s="226"/>
      <c r="B4290" s="226"/>
      <c r="C4290" s="226"/>
      <c r="D4290" s="226"/>
      <c r="E4290" s="226"/>
      <c r="F4290" s="226"/>
      <c r="G4290" s="226"/>
      <c r="H4290" s="226"/>
      <c r="I4290" s="9" t="str">
        <f t="shared" si="66"/>
        <v>__</v>
      </c>
    </row>
    <row r="4291" spans="1:9" x14ac:dyDescent="0.35">
      <c r="A4291" s="226"/>
      <c r="B4291" s="226"/>
      <c r="C4291" s="226"/>
      <c r="D4291" s="226"/>
      <c r="E4291" s="226"/>
      <c r="F4291" s="226"/>
      <c r="G4291" s="226"/>
      <c r="H4291" s="226"/>
      <c r="I4291" s="9" t="str">
        <f t="shared" si="66"/>
        <v>__</v>
      </c>
    </row>
    <row r="4292" spans="1:9" x14ac:dyDescent="0.35">
      <c r="A4292" s="226"/>
      <c r="B4292" s="226"/>
      <c r="C4292" s="226"/>
      <c r="D4292" s="226"/>
      <c r="E4292" s="226"/>
      <c r="F4292" s="226"/>
      <c r="G4292" s="226"/>
      <c r="H4292" s="226"/>
      <c r="I4292" s="9" t="str">
        <f t="shared" si="66"/>
        <v>__</v>
      </c>
    </row>
    <row r="4293" spans="1:9" x14ac:dyDescent="0.35">
      <c r="A4293" s="226"/>
      <c r="B4293" s="226"/>
      <c r="C4293" s="226"/>
      <c r="D4293" s="226"/>
      <c r="E4293" s="226"/>
      <c r="F4293" s="226"/>
      <c r="G4293" s="226"/>
      <c r="H4293" s="226"/>
      <c r="I4293" s="9" t="str">
        <f t="shared" ref="I4293:I4356" si="67">CONCATENATE(A4293,"_",B4293,"_",C4293)</f>
        <v>__</v>
      </c>
    </row>
    <row r="4294" spans="1:9" x14ac:dyDescent="0.35">
      <c r="A4294" s="226"/>
      <c r="B4294" s="226"/>
      <c r="C4294" s="226"/>
      <c r="D4294" s="226"/>
      <c r="E4294" s="226"/>
      <c r="F4294" s="226"/>
      <c r="G4294" s="226"/>
      <c r="H4294" s="226"/>
      <c r="I4294" s="9" t="str">
        <f t="shared" si="67"/>
        <v>__</v>
      </c>
    </row>
    <row r="4295" spans="1:9" x14ac:dyDescent="0.35">
      <c r="A4295" s="226"/>
      <c r="B4295" s="226"/>
      <c r="C4295" s="226"/>
      <c r="D4295" s="226"/>
      <c r="E4295" s="226"/>
      <c r="F4295" s="226"/>
      <c r="G4295" s="226"/>
      <c r="H4295" s="226"/>
      <c r="I4295" s="9" t="str">
        <f t="shared" si="67"/>
        <v>__</v>
      </c>
    </row>
    <row r="4296" spans="1:9" x14ac:dyDescent="0.35">
      <c r="A4296" s="226"/>
      <c r="B4296" s="226"/>
      <c r="C4296" s="226"/>
      <c r="D4296" s="226"/>
      <c r="E4296" s="226"/>
      <c r="F4296" s="226"/>
      <c r="G4296" s="226"/>
      <c r="H4296" s="226"/>
      <c r="I4296" s="9" t="str">
        <f t="shared" si="67"/>
        <v>__</v>
      </c>
    </row>
    <row r="4297" spans="1:9" x14ac:dyDescent="0.35">
      <c r="A4297" s="226"/>
      <c r="B4297" s="226"/>
      <c r="C4297" s="226"/>
      <c r="D4297" s="226"/>
      <c r="E4297" s="226"/>
      <c r="F4297" s="226"/>
      <c r="G4297" s="226"/>
      <c r="H4297" s="226"/>
      <c r="I4297" s="9" t="str">
        <f t="shared" si="67"/>
        <v>__</v>
      </c>
    </row>
    <row r="4298" spans="1:9" x14ac:dyDescent="0.35">
      <c r="A4298" s="226"/>
      <c r="B4298" s="226"/>
      <c r="C4298" s="226"/>
      <c r="D4298" s="226"/>
      <c r="E4298" s="226"/>
      <c r="F4298" s="226"/>
      <c r="G4298" s="226"/>
      <c r="H4298" s="226"/>
      <c r="I4298" s="9" t="str">
        <f t="shared" si="67"/>
        <v>__</v>
      </c>
    </row>
    <row r="4299" spans="1:9" x14ac:dyDescent="0.35">
      <c r="A4299" s="226"/>
      <c r="B4299" s="226"/>
      <c r="C4299" s="226"/>
      <c r="D4299" s="226"/>
      <c r="E4299" s="226"/>
      <c r="F4299" s="226"/>
      <c r="G4299" s="226"/>
      <c r="H4299" s="226"/>
      <c r="I4299" s="9" t="str">
        <f t="shared" si="67"/>
        <v>__</v>
      </c>
    </row>
    <row r="4300" spans="1:9" x14ac:dyDescent="0.35">
      <c r="A4300" s="226"/>
      <c r="B4300" s="226"/>
      <c r="C4300" s="226"/>
      <c r="D4300" s="226"/>
      <c r="E4300" s="226"/>
      <c r="F4300" s="226"/>
      <c r="G4300" s="226"/>
      <c r="H4300" s="226"/>
      <c r="I4300" s="9" t="str">
        <f t="shared" si="67"/>
        <v>__</v>
      </c>
    </row>
    <row r="4301" spans="1:9" x14ac:dyDescent="0.35">
      <c r="A4301" s="226"/>
      <c r="B4301" s="226"/>
      <c r="C4301" s="226"/>
      <c r="D4301" s="226"/>
      <c r="E4301" s="226"/>
      <c r="F4301" s="226"/>
      <c r="G4301" s="226"/>
      <c r="H4301" s="226"/>
      <c r="I4301" s="9" t="str">
        <f t="shared" si="67"/>
        <v>__</v>
      </c>
    </row>
    <row r="4302" spans="1:9" x14ac:dyDescent="0.35">
      <c r="A4302" s="226"/>
      <c r="B4302" s="226"/>
      <c r="C4302" s="226"/>
      <c r="D4302" s="226"/>
      <c r="E4302" s="226"/>
      <c r="F4302" s="226"/>
      <c r="G4302" s="226"/>
      <c r="H4302" s="226"/>
      <c r="I4302" s="9" t="str">
        <f t="shared" si="67"/>
        <v>__</v>
      </c>
    </row>
    <row r="4303" spans="1:9" x14ac:dyDescent="0.35">
      <c r="A4303" s="226"/>
      <c r="B4303" s="226"/>
      <c r="C4303" s="226"/>
      <c r="D4303" s="226"/>
      <c r="E4303" s="226"/>
      <c r="F4303" s="226"/>
      <c r="G4303" s="226"/>
      <c r="H4303" s="226"/>
      <c r="I4303" s="9" t="str">
        <f t="shared" si="67"/>
        <v>__</v>
      </c>
    </row>
    <row r="4304" spans="1:9" x14ac:dyDescent="0.35">
      <c r="A4304" s="226"/>
      <c r="B4304" s="226"/>
      <c r="C4304" s="226"/>
      <c r="D4304" s="226"/>
      <c r="E4304" s="226"/>
      <c r="F4304" s="226"/>
      <c r="G4304" s="226"/>
      <c r="H4304" s="226"/>
      <c r="I4304" s="9" t="str">
        <f t="shared" si="67"/>
        <v>__</v>
      </c>
    </row>
    <row r="4305" spans="1:9" x14ac:dyDescent="0.35">
      <c r="A4305" s="226"/>
      <c r="B4305" s="226"/>
      <c r="C4305" s="226"/>
      <c r="D4305" s="226"/>
      <c r="E4305" s="226"/>
      <c r="F4305" s="226"/>
      <c r="G4305" s="226"/>
      <c r="H4305" s="226"/>
      <c r="I4305" s="9" t="str">
        <f t="shared" si="67"/>
        <v>__</v>
      </c>
    </row>
    <row r="4306" spans="1:9" x14ac:dyDescent="0.35">
      <c r="A4306" s="226"/>
      <c r="B4306" s="226"/>
      <c r="C4306" s="226"/>
      <c r="D4306" s="226"/>
      <c r="E4306" s="226"/>
      <c r="F4306" s="226"/>
      <c r="G4306" s="226"/>
      <c r="H4306" s="226"/>
      <c r="I4306" s="9" t="str">
        <f t="shared" si="67"/>
        <v>__</v>
      </c>
    </row>
    <row r="4307" spans="1:9" x14ac:dyDescent="0.35">
      <c r="A4307" s="226"/>
      <c r="B4307" s="226"/>
      <c r="C4307" s="226"/>
      <c r="D4307" s="226"/>
      <c r="E4307" s="226"/>
      <c r="F4307" s="226"/>
      <c r="G4307" s="226"/>
      <c r="H4307" s="226"/>
      <c r="I4307" s="9" t="str">
        <f t="shared" si="67"/>
        <v>__</v>
      </c>
    </row>
    <row r="4308" spans="1:9" x14ac:dyDescent="0.35">
      <c r="A4308" s="226"/>
      <c r="B4308" s="226"/>
      <c r="C4308" s="226"/>
      <c r="D4308" s="226"/>
      <c r="E4308" s="226"/>
      <c r="F4308" s="226"/>
      <c r="G4308" s="226"/>
      <c r="H4308" s="226"/>
      <c r="I4308" s="9" t="str">
        <f t="shared" si="67"/>
        <v>__</v>
      </c>
    </row>
    <row r="4309" spans="1:9" x14ac:dyDescent="0.35">
      <c r="A4309" s="226"/>
      <c r="B4309" s="226"/>
      <c r="C4309" s="226"/>
      <c r="D4309" s="226"/>
      <c r="E4309" s="226"/>
      <c r="F4309" s="226"/>
      <c r="G4309" s="226"/>
      <c r="H4309" s="226"/>
      <c r="I4309" s="9" t="str">
        <f t="shared" si="67"/>
        <v>__</v>
      </c>
    </row>
    <row r="4310" spans="1:9" x14ac:dyDescent="0.35">
      <c r="A4310" s="226"/>
      <c r="B4310" s="226"/>
      <c r="C4310" s="226"/>
      <c r="D4310" s="226"/>
      <c r="E4310" s="226"/>
      <c r="F4310" s="226"/>
      <c r="G4310" s="226"/>
      <c r="H4310" s="226"/>
      <c r="I4310" s="9" t="str">
        <f t="shared" si="67"/>
        <v>__</v>
      </c>
    </row>
    <row r="4311" spans="1:9" x14ac:dyDescent="0.35">
      <c r="A4311" s="226"/>
      <c r="B4311" s="226"/>
      <c r="C4311" s="226"/>
      <c r="D4311" s="226"/>
      <c r="E4311" s="226"/>
      <c r="F4311" s="226"/>
      <c r="G4311" s="226"/>
      <c r="H4311" s="226"/>
      <c r="I4311" s="9" t="str">
        <f t="shared" si="67"/>
        <v>__</v>
      </c>
    </row>
    <row r="4312" spans="1:9" x14ac:dyDescent="0.35">
      <c r="A4312" s="226"/>
      <c r="B4312" s="226"/>
      <c r="C4312" s="226"/>
      <c r="D4312" s="226"/>
      <c r="E4312" s="226"/>
      <c r="F4312" s="226"/>
      <c r="G4312" s="226"/>
      <c r="H4312" s="226"/>
      <c r="I4312" s="9" t="str">
        <f t="shared" si="67"/>
        <v>__</v>
      </c>
    </row>
    <row r="4313" spans="1:9" x14ac:dyDescent="0.35">
      <c r="A4313" s="226"/>
      <c r="B4313" s="226"/>
      <c r="C4313" s="226"/>
      <c r="D4313" s="226"/>
      <c r="E4313" s="226"/>
      <c r="F4313" s="226"/>
      <c r="G4313" s="226"/>
      <c r="H4313" s="226"/>
      <c r="I4313" s="9" t="str">
        <f t="shared" si="67"/>
        <v>__</v>
      </c>
    </row>
    <row r="4314" spans="1:9" x14ac:dyDescent="0.35">
      <c r="A4314" s="226"/>
      <c r="B4314" s="226"/>
      <c r="C4314" s="226"/>
      <c r="D4314" s="226"/>
      <c r="E4314" s="226"/>
      <c r="F4314" s="226"/>
      <c r="G4314" s="226"/>
      <c r="H4314" s="226"/>
      <c r="I4314" s="9" t="str">
        <f t="shared" si="67"/>
        <v>__</v>
      </c>
    </row>
    <row r="4315" spans="1:9" x14ac:dyDescent="0.35">
      <c r="A4315" s="226"/>
      <c r="B4315" s="226"/>
      <c r="C4315" s="226"/>
      <c r="D4315" s="226"/>
      <c r="E4315" s="226"/>
      <c r="F4315" s="226"/>
      <c r="G4315" s="226"/>
      <c r="H4315" s="226"/>
      <c r="I4315" s="9" t="str">
        <f t="shared" si="67"/>
        <v>__</v>
      </c>
    </row>
    <row r="4316" spans="1:9" x14ac:dyDescent="0.35">
      <c r="A4316" s="226"/>
      <c r="B4316" s="226"/>
      <c r="C4316" s="226"/>
      <c r="D4316" s="226"/>
      <c r="E4316" s="226"/>
      <c r="F4316" s="226"/>
      <c r="G4316" s="226"/>
      <c r="H4316" s="226"/>
      <c r="I4316" s="9" t="str">
        <f t="shared" si="67"/>
        <v>__</v>
      </c>
    </row>
    <row r="4317" spans="1:9" x14ac:dyDescent="0.35">
      <c r="A4317" s="226"/>
      <c r="B4317" s="226"/>
      <c r="C4317" s="226"/>
      <c r="D4317" s="226"/>
      <c r="E4317" s="226"/>
      <c r="F4317" s="226"/>
      <c r="G4317" s="226"/>
      <c r="H4317" s="226"/>
      <c r="I4317" s="9" t="str">
        <f t="shared" si="67"/>
        <v>__</v>
      </c>
    </row>
    <row r="4318" spans="1:9" x14ac:dyDescent="0.35">
      <c r="A4318" s="226"/>
      <c r="B4318" s="226"/>
      <c r="C4318" s="226"/>
      <c r="D4318" s="226"/>
      <c r="E4318" s="226"/>
      <c r="F4318" s="226"/>
      <c r="G4318" s="226"/>
      <c r="H4318" s="226"/>
      <c r="I4318" s="9" t="str">
        <f t="shared" si="67"/>
        <v>__</v>
      </c>
    </row>
    <row r="4319" spans="1:9" x14ac:dyDescent="0.35">
      <c r="A4319" s="226"/>
      <c r="B4319" s="226"/>
      <c r="C4319" s="226"/>
      <c r="D4319" s="226"/>
      <c r="E4319" s="226"/>
      <c r="F4319" s="226"/>
      <c r="G4319" s="226"/>
      <c r="H4319" s="226"/>
      <c r="I4319" s="9" t="str">
        <f t="shared" si="67"/>
        <v>__</v>
      </c>
    </row>
    <row r="4320" spans="1:9" x14ac:dyDescent="0.35">
      <c r="A4320" s="226"/>
      <c r="B4320" s="226"/>
      <c r="C4320" s="226"/>
      <c r="D4320" s="226"/>
      <c r="E4320" s="226"/>
      <c r="F4320" s="226"/>
      <c r="G4320" s="226"/>
      <c r="H4320" s="226"/>
      <c r="I4320" s="9" t="str">
        <f t="shared" si="67"/>
        <v>__</v>
      </c>
    </row>
    <row r="4321" spans="1:9" x14ac:dyDescent="0.35">
      <c r="A4321" s="226"/>
      <c r="B4321" s="226"/>
      <c r="C4321" s="226"/>
      <c r="D4321" s="226"/>
      <c r="E4321" s="226"/>
      <c r="F4321" s="226"/>
      <c r="G4321" s="226"/>
      <c r="H4321" s="226"/>
      <c r="I4321" s="9" t="str">
        <f t="shared" si="67"/>
        <v>__</v>
      </c>
    </row>
    <row r="4322" spans="1:9" x14ac:dyDescent="0.35">
      <c r="A4322" s="226"/>
      <c r="B4322" s="226"/>
      <c r="C4322" s="226"/>
      <c r="D4322" s="226"/>
      <c r="E4322" s="226"/>
      <c r="F4322" s="226"/>
      <c r="G4322" s="226"/>
      <c r="H4322" s="226"/>
      <c r="I4322" s="9" t="str">
        <f t="shared" si="67"/>
        <v>__</v>
      </c>
    </row>
    <row r="4323" spans="1:9" x14ac:dyDescent="0.35">
      <c r="A4323" s="226"/>
      <c r="B4323" s="226"/>
      <c r="C4323" s="226"/>
      <c r="D4323" s="226"/>
      <c r="E4323" s="226"/>
      <c r="F4323" s="226"/>
      <c r="G4323" s="226"/>
      <c r="H4323" s="226"/>
      <c r="I4323" s="9" t="str">
        <f t="shared" si="67"/>
        <v>__</v>
      </c>
    </row>
    <row r="4324" spans="1:9" x14ac:dyDescent="0.35">
      <c r="A4324" s="226"/>
      <c r="B4324" s="226"/>
      <c r="C4324" s="226"/>
      <c r="D4324" s="226"/>
      <c r="E4324" s="226"/>
      <c r="F4324" s="226"/>
      <c r="G4324" s="226"/>
      <c r="H4324" s="226"/>
      <c r="I4324" s="9" t="str">
        <f t="shared" si="67"/>
        <v>__</v>
      </c>
    </row>
    <row r="4325" spans="1:9" x14ac:dyDescent="0.35">
      <c r="A4325" s="226"/>
      <c r="B4325" s="226"/>
      <c r="C4325" s="226"/>
      <c r="D4325" s="226"/>
      <c r="E4325" s="226"/>
      <c r="F4325" s="226"/>
      <c r="G4325" s="226"/>
      <c r="H4325" s="226"/>
      <c r="I4325" s="9" t="str">
        <f t="shared" si="67"/>
        <v>__</v>
      </c>
    </row>
    <row r="4326" spans="1:9" x14ac:dyDescent="0.35">
      <c r="A4326" s="226"/>
      <c r="B4326" s="226"/>
      <c r="C4326" s="226"/>
      <c r="D4326" s="226"/>
      <c r="E4326" s="226"/>
      <c r="F4326" s="226"/>
      <c r="G4326" s="226"/>
      <c r="H4326" s="226"/>
      <c r="I4326" s="9" t="str">
        <f t="shared" si="67"/>
        <v>__</v>
      </c>
    </row>
    <row r="4327" spans="1:9" x14ac:dyDescent="0.35">
      <c r="A4327" s="226"/>
      <c r="B4327" s="226"/>
      <c r="C4327" s="226"/>
      <c r="D4327" s="226"/>
      <c r="E4327" s="226"/>
      <c r="F4327" s="226"/>
      <c r="G4327" s="226"/>
      <c r="H4327" s="226"/>
      <c r="I4327" s="9" t="str">
        <f t="shared" si="67"/>
        <v>__</v>
      </c>
    </row>
    <row r="4328" spans="1:9" x14ac:dyDescent="0.35">
      <c r="A4328" s="226"/>
      <c r="B4328" s="226"/>
      <c r="C4328" s="226"/>
      <c r="D4328" s="226"/>
      <c r="E4328" s="226"/>
      <c r="F4328" s="226"/>
      <c r="G4328" s="226"/>
      <c r="H4328" s="226"/>
      <c r="I4328" s="9" t="str">
        <f t="shared" si="67"/>
        <v>__</v>
      </c>
    </row>
    <row r="4329" spans="1:9" x14ac:dyDescent="0.35">
      <c r="A4329" s="226"/>
      <c r="B4329" s="226"/>
      <c r="C4329" s="226"/>
      <c r="D4329" s="226"/>
      <c r="E4329" s="226"/>
      <c r="F4329" s="226"/>
      <c r="G4329" s="226"/>
      <c r="H4329" s="226"/>
      <c r="I4329" s="9" t="str">
        <f t="shared" si="67"/>
        <v>__</v>
      </c>
    </row>
    <row r="4330" spans="1:9" x14ac:dyDescent="0.35">
      <c r="A4330" s="226"/>
      <c r="B4330" s="226"/>
      <c r="C4330" s="226"/>
      <c r="D4330" s="226"/>
      <c r="E4330" s="226"/>
      <c r="F4330" s="226"/>
      <c r="G4330" s="226"/>
      <c r="H4330" s="226"/>
      <c r="I4330" s="9" t="str">
        <f t="shared" si="67"/>
        <v>__</v>
      </c>
    </row>
    <row r="4331" spans="1:9" x14ac:dyDescent="0.35">
      <c r="A4331" s="226"/>
      <c r="B4331" s="226"/>
      <c r="C4331" s="226"/>
      <c r="D4331" s="226"/>
      <c r="E4331" s="226"/>
      <c r="F4331" s="226"/>
      <c r="G4331" s="226"/>
      <c r="H4331" s="226"/>
      <c r="I4331" s="9" t="str">
        <f t="shared" si="67"/>
        <v>__</v>
      </c>
    </row>
    <row r="4332" spans="1:9" x14ac:dyDescent="0.35">
      <c r="A4332" s="226"/>
      <c r="B4332" s="226"/>
      <c r="C4332" s="226"/>
      <c r="D4332" s="226"/>
      <c r="E4332" s="226"/>
      <c r="F4332" s="226"/>
      <c r="G4332" s="226"/>
      <c r="H4332" s="226"/>
      <c r="I4332" s="9" t="str">
        <f t="shared" si="67"/>
        <v>__</v>
      </c>
    </row>
    <row r="4333" spans="1:9" x14ac:dyDescent="0.35">
      <c r="A4333" s="226"/>
      <c r="B4333" s="226"/>
      <c r="C4333" s="226"/>
      <c r="D4333" s="226"/>
      <c r="E4333" s="226"/>
      <c r="F4333" s="226"/>
      <c r="G4333" s="226"/>
      <c r="H4333" s="226"/>
      <c r="I4333" s="9" t="str">
        <f t="shared" si="67"/>
        <v>__</v>
      </c>
    </row>
    <row r="4334" spans="1:9" x14ac:dyDescent="0.35">
      <c r="A4334" s="226"/>
      <c r="B4334" s="226"/>
      <c r="C4334" s="226"/>
      <c r="D4334" s="226"/>
      <c r="E4334" s="226"/>
      <c r="F4334" s="226"/>
      <c r="G4334" s="226"/>
      <c r="H4334" s="226"/>
      <c r="I4334" s="9" t="str">
        <f t="shared" si="67"/>
        <v>__</v>
      </c>
    </row>
    <row r="4335" spans="1:9" x14ac:dyDescent="0.35">
      <c r="A4335" s="226"/>
      <c r="B4335" s="226"/>
      <c r="C4335" s="226"/>
      <c r="D4335" s="226"/>
      <c r="E4335" s="226"/>
      <c r="F4335" s="226"/>
      <c r="G4335" s="226"/>
      <c r="H4335" s="226"/>
      <c r="I4335" s="9" t="str">
        <f t="shared" si="67"/>
        <v>__</v>
      </c>
    </row>
    <row r="4336" spans="1:9" x14ac:dyDescent="0.35">
      <c r="A4336" s="226"/>
      <c r="B4336" s="226"/>
      <c r="C4336" s="226"/>
      <c r="D4336" s="226"/>
      <c r="E4336" s="226"/>
      <c r="F4336" s="226"/>
      <c r="G4336" s="226"/>
      <c r="H4336" s="226"/>
      <c r="I4336" s="9" t="str">
        <f t="shared" si="67"/>
        <v>__</v>
      </c>
    </row>
    <row r="4337" spans="1:9" x14ac:dyDescent="0.35">
      <c r="A4337" s="226"/>
      <c r="B4337" s="226"/>
      <c r="C4337" s="226"/>
      <c r="D4337" s="226"/>
      <c r="E4337" s="226"/>
      <c r="F4337" s="226"/>
      <c r="G4337" s="226"/>
      <c r="H4337" s="226"/>
      <c r="I4337" s="9" t="str">
        <f t="shared" si="67"/>
        <v>__</v>
      </c>
    </row>
    <row r="4338" spans="1:9" x14ac:dyDescent="0.35">
      <c r="A4338" s="226"/>
      <c r="B4338" s="226"/>
      <c r="C4338" s="226"/>
      <c r="D4338" s="226"/>
      <c r="E4338" s="226"/>
      <c r="F4338" s="226"/>
      <c r="G4338" s="226"/>
      <c r="H4338" s="226"/>
      <c r="I4338" s="9" t="str">
        <f t="shared" si="67"/>
        <v>__</v>
      </c>
    </row>
    <row r="4339" spans="1:9" x14ac:dyDescent="0.35">
      <c r="A4339" s="226"/>
      <c r="B4339" s="226"/>
      <c r="C4339" s="226"/>
      <c r="D4339" s="226"/>
      <c r="E4339" s="226"/>
      <c r="F4339" s="226"/>
      <c r="G4339" s="226"/>
      <c r="H4339" s="226"/>
      <c r="I4339" s="9" t="str">
        <f t="shared" si="67"/>
        <v>__</v>
      </c>
    </row>
    <row r="4340" spans="1:9" x14ac:dyDescent="0.35">
      <c r="A4340" s="226"/>
      <c r="B4340" s="226"/>
      <c r="C4340" s="226"/>
      <c r="D4340" s="226"/>
      <c r="E4340" s="226"/>
      <c r="F4340" s="226"/>
      <c r="G4340" s="226"/>
      <c r="H4340" s="226"/>
      <c r="I4340" s="9" t="str">
        <f t="shared" si="67"/>
        <v>__</v>
      </c>
    </row>
    <row r="4341" spans="1:9" x14ac:dyDescent="0.35">
      <c r="A4341" s="226"/>
      <c r="B4341" s="226"/>
      <c r="C4341" s="226"/>
      <c r="D4341" s="226"/>
      <c r="E4341" s="226"/>
      <c r="F4341" s="226"/>
      <c r="G4341" s="226"/>
      <c r="H4341" s="226"/>
      <c r="I4341" s="9" t="str">
        <f t="shared" si="67"/>
        <v>__</v>
      </c>
    </row>
    <row r="4342" spans="1:9" x14ac:dyDescent="0.35">
      <c r="A4342" s="226"/>
      <c r="B4342" s="226"/>
      <c r="C4342" s="226"/>
      <c r="D4342" s="226"/>
      <c r="E4342" s="226"/>
      <c r="F4342" s="226"/>
      <c r="G4342" s="226"/>
      <c r="H4342" s="226"/>
      <c r="I4342" s="9" t="str">
        <f t="shared" si="67"/>
        <v>__</v>
      </c>
    </row>
    <row r="4343" spans="1:9" x14ac:dyDescent="0.35">
      <c r="A4343" s="226"/>
      <c r="B4343" s="226"/>
      <c r="C4343" s="226"/>
      <c r="D4343" s="226"/>
      <c r="E4343" s="226"/>
      <c r="F4343" s="226"/>
      <c r="G4343" s="226"/>
      <c r="H4343" s="226"/>
      <c r="I4343" s="9" t="str">
        <f t="shared" si="67"/>
        <v>__</v>
      </c>
    </row>
    <row r="4344" spans="1:9" x14ac:dyDescent="0.35">
      <c r="A4344" s="226"/>
      <c r="B4344" s="226"/>
      <c r="C4344" s="226"/>
      <c r="D4344" s="226"/>
      <c r="E4344" s="226"/>
      <c r="F4344" s="226"/>
      <c r="G4344" s="226"/>
      <c r="H4344" s="226"/>
      <c r="I4344" s="9" t="str">
        <f t="shared" si="67"/>
        <v>__</v>
      </c>
    </row>
    <row r="4345" spans="1:9" x14ac:dyDescent="0.35">
      <c r="A4345" s="226"/>
      <c r="B4345" s="226"/>
      <c r="C4345" s="226"/>
      <c r="D4345" s="226"/>
      <c r="E4345" s="226"/>
      <c r="F4345" s="226"/>
      <c r="G4345" s="226"/>
      <c r="H4345" s="226"/>
      <c r="I4345" s="9" t="str">
        <f t="shared" si="67"/>
        <v>__</v>
      </c>
    </row>
    <row r="4346" spans="1:9" x14ac:dyDescent="0.35">
      <c r="A4346" s="226"/>
      <c r="B4346" s="226"/>
      <c r="C4346" s="226"/>
      <c r="D4346" s="226"/>
      <c r="E4346" s="226"/>
      <c r="F4346" s="226"/>
      <c r="G4346" s="226"/>
      <c r="H4346" s="226"/>
      <c r="I4346" s="9" t="str">
        <f t="shared" si="67"/>
        <v>__</v>
      </c>
    </row>
    <row r="4347" spans="1:9" x14ac:dyDescent="0.35">
      <c r="A4347" s="226"/>
      <c r="B4347" s="226"/>
      <c r="C4347" s="226"/>
      <c r="D4347" s="226"/>
      <c r="E4347" s="226"/>
      <c r="F4347" s="226"/>
      <c r="G4347" s="226"/>
      <c r="H4347" s="226"/>
      <c r="I4347" s="9" t="str">
        <f t="shared" si="67"/>
        <v>__</v>
      </c>
    </row>
    <row r="4348" spans="1:9" x14ac:dyDescent="0.35">
      <c r="A4348" s="226"/>
      <c r="B4348" s="226"/>
      <c r="C4348" s="226"/>
      <c r="D4348" s="226"/>
      <c r="E4348" s="226"/>
      <c r="F4348" s="226"/>
      <c r="G4348" s="226"/>
      <c r="H4348" s="226"/>
      <c r="I4348" s="9" t="str">
        <f t="shared" si="67"/>
        <v>__</v>
      </c>
    </row>
    <row r="4349" spans="1:9" x14ac:dyDescent="0.35">
      <c r="A4349" s="226"/>
      <c r="B4349" s="226"/>
      <c r="C4349" s="226"/>
      <c r="D4349" s="226"/>
      <c r="E4349" s="226"/>
      <c r="F4349" s="226"/>
      <c r="G4349" s="226"/>
      <c r="H4349" s="226"/>
      <c r="I4349" s="9" t="str">
        <f t="shared" si="67"/>
        <v>__</v>
      </c>
    </row>
    <row r="4350" spans="1:9" x14ac:dyDescent="0.35">
      <c r="A4350" s="226"/>
      <c r="B4350" s="226"/>
      <c r="C4350" s="226"/>
      <c r="D4350" s="226"/>
      <c r="E4350" s="226"/>
      <c r="F4350" s="226"/>
      <c r="G4350" s="226"/>
      <c r="H4350" s="226"/>
      <c r="I4350" s="9" t="str">
        <f t="shared" si="67"/>
        <v>__</v>
      </c>
    </row>
    <row r="4351" spans="1:9" x14ac:dyDescent="0.35">
      <c r="A4351" s="226"/>
      <c r="B4351" s="226"/>
      <c r="C4351" s="226"/>
      <c r="D4351" s="226"/>
      <c r="E4351" s="226"/>
      <c r="F4351" s="226"/>
      <c r="G4351" s="226"/>
      <c r="H4351" s="226"/>
      <c r="I4351" s="9" t="str">
        <f t="shared" si="67"/>
        <v>__</v>
      </c>
    </row>
    <row r="4352" spans="1:9" x14ac:dyDescent="0.35">
      <c r="A4352" s="226"/>
      <c r="B4352" s="226"/>
      <c r="C4352" s="226"/>
      <c r="D4352" s="226"/>
      <c r="E4352" s="226"/>
      <c r="F4352" s="226"/>
      <c r="G4352" s="226"/>
      <c r="H4352" s="226"/>
      <c r="I4352" s="9" t="str">
        <f t="shared" si="67"/>
        <v>__</v>
      </c>
    </row>
    <row r="4353" spans="1:9" x14ac:dyDescent="0.35">
      <c r="A4353" s="226"/>
      <c r="B4353" s="226"/>
      <c r="C4353" s="226"/>
      <c r="D4353" s="226"/>
      <c r="E4353" s="226"/>
      <c r="F4353" s="226"/>
      <c r="G4353" s="226"/>
      <c r="H4353" s="226"/>
      <c r="I4353" s="9" t="str">
        <f t="shared" si="67"/>
        <v>__</v>
      </c>
    </row>
    <row r="4354" spans="1:9" x14ac:dyDescent="0.35">
      <c r="A4354" s="226"/>
      <c r="B4354" s="226"/>
      <c r="C4354" s="226"/>
      <c r="D4354" s="226"/>
      <c r="E4354" s="226"/>
      <c r="F4354" s="226"/>
      <c r="G4354" s="226"/>
      <c r="H4354" s="226"/>
      <c r="I4354" s="9" t="str">
        <f t="shared" si="67"/>
        <v>__</v>
      </c>
    </row>
    <row r="4355" spans="1:9" x14ac:dyDescent="0.35">
      <c r="A4355" s="226"/>
      <c r="B4355" s="226"/>
      <c r="C4355" s="226"/>
      <c r="D4355" s="226"/>
      <c r="E4355" s="226"/>
      <c r="F4355" s="226"/>
      <c r="G4355" s="226"/>
      <c r="H4355" s="226"/>
      <c r="I4355" s="9" t="str">
        <f t="shared" si="67"/>
        <v>__</v>
      </c>
    </row>
    <row r="4356" spans="1:9" x14ac:dyDescent="0.35">
      <c r="A4356" s="226"/>
      <c r="B4356" s="226"/>
      <c r="C4356" s="226"/>
      <c r="D4356" s="226"/>
      <c r="E4356" s="226"/>
      <c r="F4356" s="226"/>
      <c r="G4356" s="226"/>
      <c r="H4356" s="226"/>
      <c r="I4356" s="9" t="str">
        <f t="shared" si="67"/>
        <v>__</v>
      </c>
    </row>
    <row r="4357" spans="1:9" x14ac:dyDescent="0.35">
      <c r="A4357" s="226"/>
      <c r="B4357" s="226"/>
      <c r="C4357" s="226"/>
      <c r="D4357" s="226"/>
      <c r="E4357" s="226"/>
      <c r="F4357" s="226"/>
      <c r="G4357" s="226"/>
      <c r="H4357" s="226"/>
      <c r="I4357" s="9" t="str">
        <f t="shared" ref="I4357:I4420" si="68">CONCATENATE(A4357,"_",B4357,"_",C4357)</f>
        <v>__</v>
      </c>
    </row>
    <row r="4358" spans="1:9" x14ac:dyDescent="0.35">
      <c r="A4358" s="226"/>
      <c r="B4358" s="226"/>
      <c r="C4358" s="226"/>
      <c r="D4358" s="226"/>
      <c r="E4358" s="226"/>
      <c r="F4358" s="226"/>
      <c r="G4358" s="226"/>
      <c r="H4358" s="226"/>
      <c r="I4358" s="9" t="str">
        <f t="shared" si="68"/>
        <v>__</v>
      </c>
    </row>
    <row r="4359" spans="1:9" x14ac:dyDescent="0.35">
      <c r="A4359" s="226"/>
      <c r="B4359" s="226"/>
      <c r="C4359" s="226"/>
      <c r="D4359" s="226"/>
      <c r="E4359" s="226"/>
      <c r="F4359" s="226"/>
      <c r="G4359" s="226"/>
      <c r="H4359" s="226"/>
      <c r="I4359" s="9" t="str">
        <f t="shared" si="68"/>
        <v>__</v>
      </c>
    </row>
    <row r="4360" spans="1:9" x14ac:dyDescent="0.35">
      <c r="A4360" s="226"/>
      <c r="B4360" s="226"/>
      <c r="C4360" s="226"/>
      <c r="D4360" s="226"/>
      <c r="E4360" s="226"/>
      <c r="F4360" s="226"/>
      <c r="G4360" s="226"/>
      <c r="H4360" s="226"/>
      <c r="I4360" s="9" t="str">
        <f t="shared" si="68"/>
        <v>__</v>
      </c>
    </row>
    <row r="4361" spans="1:9" x14ac:dyDescent="0.35">
      <c r="A4361" s="226"/>
      <c r="B4361" s="226"/>
      <c r="C4361" s="226"/>
      <c r="D4361" s="226"/>
      <c r="E4361" s="226"/>
      <c r="F4361" s="226"/>
      <c r="G4361" s="226"/>
      <c r="H4361" s="226"/>
      <c r="I4361" s="9" t="str">
        <f t="shared" si="68"/>
        <v>__</v>
      </c>
    </row>
    <row r="4362" spans="1:9" x14ac:dyDescent="0.35">
      <c r="A4362" s="226"/>
      <c r="B4362" s="226"/>
      <c r="C4362" s="226"/>
      <c r="D4362" s="226"/>
      <c r="E4362" s="226"/>
      <c r="F4362" s="226"/>
      <c r="G4362" s="226"/>
      <c r="H4362" s="226"/>
      <c r="I4362" s="9" t="str">
        <f t="shared" si="68"/>
        <v>__</v>
      </c>
    </row>
    <row r="4363" spans="1:9" x14ac:dyDescent="0.35">
      <c r="A4363" s="226"/>
      <c r="B4363" s="226"/>
      <c r="C4363" s="226"/>
      <c r="D4363" s="226"/>
      <c r="E4363" s="226"/>
      <c r="F4363" s="226"/>
      <c r="G4363" s="226"/>
      <c r="H4363" s="226"/>
      <c r="I4363" s="9" t="str">
        <f t="shared" si="68"/>
        <v>__</v>
      </c>
    </row>
    <row r="4364" spans="1:9" x14ac:dyDescent="0.35">
      <c r="A4364" s="226"/>
      <c r="B4364" s="226"/>
      <c r="C4364" s="226"/>
      <c r="D4364" s="226"/>
      <c r="E4364" s="226"/>
      <c r="F4364" s="226"/>
      <c r="G4364" s="226"/>
      <c r="H4364" s="226"/>
      <c r="I4364" s="9" t="str">
        <f t="shared" si="68"/>
        <v>__</v>
      </c>
    </row>
    <row r="4365" spans="1:9" x14ac:dyDescent="0.35">
      <c r="A4365" s="226"/>
      <c r="B4365" s="226"/>
      <c r="C4365" s="226"/>
      <c r="D4365" s="226"/>
      <c r="E4365" s="226"/>
      <c r="F4365" s="226"/>
      <c r="G4365" s="226"/>
      <c r="H4365" s="226"/>
      <c r="I4365" s="9" t="str">
        <f t="shared" si="68"/>
        <v>__</v>
      </c>
    </row>
    <row r="4366" spans="1:9" x14ac:dyDescent="0.35">
      <c r="A4366" s="226"/>
      <c r="B4366" s="226"/>
      <c r="C4366" s="226"/>
      <c r="D4366" s="226"/>
      <c r="E4366" s="226"/>
      <c r="F4366" s="226"/>
      <c r="G4366" s="226"/>
      <c r="H4366" s="226"/>
      <c r="I4366" s="9" t="str">
        <f t="shared" si="68"/>
        <v>__</v>
      </c>
    </row>
    <row r="4367" spans="1:9" x14ac:dyDescent="0.35">
      <c r="A4367" s="226"/>
      <c r="B4367" s="226"/>
      <c r="C4367" s="226"/>
      <c r="D4367" s="226"/>
      <c r="E4367" s="226"/>
      <c r="F4367" s="226"/>
      <c r="G4367" s="226"/>
      <c r="H4367" s="226"/>
      <c r="I4367" s="9" t="str">
        <f t="shared" si="68"/>
        <v>__</v>
      </c>
    </row>
    <row r="4368" spans="1:9" x14ac:dyDescent="0.35">
      <c r="A4368" s="226"/>
      <c r="B4368" s="226"/>
      <c r="C4368" s="226"/>
      <c r="D4368" s="226"/>
      <c r="E4368" s="226"/>
      <c r="F4368" s="226"/>
      <c r="G4368" s="226"/>
      <c r="H4368" s="226"/>
      <c r="I4368" s="9" t="str">
        <f t="shared" si="68"/>
        <v>__</v>
      </c>
    </row>
    <row r="4369" spans="1:9" x14ac:dyDescent="0.35">
      <c r="A4369" s="226"/>
      <c r="B4369" s="226"/>
      <c r="C4369" s="226"/>
      <c r="D4369" s="226"/>
      <c r="E4369" s="226"/>
      <c r="F4369" s="226"/>
      <c r="G4369" s="226"/>
      <c r="H4369" s="226"/>
      <c r="I4369" s="9" t="str">
        <f t="shared" si="68"/>
        <v>__</v>
      </c>
    </row>
    <row r="4370" spans="1:9" x14ac:dyDescent="0.35">
      <c r="A4370" s="226"/>
      <c r="B4370" s="226"/>
      <c r="C4370" s="226"/>
      <c r="D4370" s="226"/>
      <c r="E4370" s="226"/>
      <c r="F4370" s="226"/>
      <c r="G4370" s="226"/>
      <c r="H4370" s="226"/>
      <c r="I4370" s="9" t="str">
        <f t="shared" si="68"/>
        <v>__</v>
      </c>
    </row>
    <row r="4371" spans="1:9" x14ac:dyDescent="0.35">
      <c r="A4371" s="226"/>
      <c r="B4371" s="226"/>
      <c r="C4371" s="226"/>
      <c r="D4371" s="226"/>
      <c r="E4371" s="226"/>
      <c r="F4371" s="226"/>
      <c r="G4371" s="226"/>
      <c r="H4371" s="226"/>
      <c r="I4371" s="9" t="str">
        <f t="shared" si="68"/>
        <v>__</v>
      </c>
    </row>
    <row r="4372" spans="1:9" x14ac:dyDescent="0.35">
      <c r="A4372" s="226"/>
      <c r="B4372" s="226"/>
      <c r="C4372" s="226"/>
      <c r="D4372" s="226"/>
      <c r="E4372" s="226"/>
      <c r="F4372" s="226"/>
      <c r="G4372" s="226"/>
      <c r="H4372" s="226"/>
      <c r="I4372" s="9" t="str">
        <f t="shared" si="68"/>
        <v>__</v>
      </c>
    </row>
    <row r="4373" spans="1:9" x14ac:dyDescent="0.35">
      <c r="A4373" s="226"/>
      <c r="B4373" s="226"/>
      <c r="C4373" s="226"/>
      <c r="D4373" s="226"/>
      <c r="E4373" s="226"/>
      <c r="F4373" s="226"/>
      <c r="G4373" s="226"/>
      <c r="H4373" s="226"/>
      <c r="I4373" s="9" t="str">
        <f t="shared" si="68"/>
        <v>__</v>
      </c>
    </row>
    <row r="4374" spans="1:9" x14ac:dyDescent="0.35">
      <c r="A4374" s="226"/>
      <c r="B4374" s="226"/>
      <c r="C4374" s="226"/>
      <c r="D4374" s="226"/>
      <c r="E4374" s="226"/>
      <c r="F4374" s="226"/>
      <c r="G4374" s="226"/>
      <c r="H4374" s="226"/>
      <c r="I4374" s="9" t="str">
        <f t="shared" si="68"/>
        <v>__</v>
      </c>
    </row>
    <row r="4375" spans="1:9" x14ac:dyDescent="0.35">
      <c r="A4375" s="226"/>
      <c r="B4375" s="226"/>
      <c r="C4375" s="226"/>
      <c r="D4375" s="226"/>
      <c r="E4375" s="226"/>
      <c r="F4375" s="226"/>
      <c r="G4375" s="226"/>
      <c r="H4375" s="226"/>
      <c r="I4375" s="9" t="str">
        <f t="shared" si="68"/>
        <v>__</v>
      </c>
    </row>
    <row r="4376" spans="1:9" x14ac:dyDescent="0.35">
      <c r="A4376" s="226"/>
      <c r="B4376" s="226"/>
      <c r="C4376" s="226"/>
      <c r="D4376" s="226"/>
      <c r="E4376" s="226"/>
      <c r="F4376" s="226"/>
      <c r="G4376" s="226"/>
      <c r="H4376" s="226"/>
      <c r="I4376" s="9" t="str">
        <f t="shared" si="68"/>
        <v>__</v>
      </c>
    </row>
    <row r="4377" spans="1:9" x14ac:dyDescent="0.35">
      <c r="A4377" s="226"/>
      <c r="B4377" s="226"/>
      <c r="C4377" s="226"/>
      <c r="D4377" s="226"/>
      <c r="E4377" s="226"/>
      <c r="F4377" s="226"/>
      <c r="G4377" s="226"/>
      <c r="H4377" s="226"/>
      <c r="I4377" s="9" t="str">
        <f t="shared" si="68"/>
        <v>__</v>
      </c>
    </row>
    <row r="4378" spans="1:9" x14ac:dyDescent="0.35">
      <c r="A4378" s="226"/>
      <c r="B4378" s="226"/>
      <c r="C4378" s="226"/>
      <c r="D4378" s="226"/>
      <c r="E4378" s="226"/>
      <c r="F4378" s="226"/>
      <c r="G4378" s="226"/>
      <c r="H4378" s="226"/>
      <c r="I4378" s="9" t="str">
        <f t="shared" si="68"/>
        <v>__</v>
      </c>
    </row>
    <row r="4379" spans="1:9" x14ac:dyDescent="0.35">
      <c r="A4379" s="226"/>
      <c r="B4379" s="226"/>
      <c r="C4379" s="226"/>
      <c r="D4379" s="226"/>
      <c r="E4379" s="226"/>
      <c r="F4379" s="226"/>
      <c r="G4379" s="226"/>
      <c r="H4379" s="226"/>
      <c r="I4379" s="9" t="str">
        <f t="shared" si="68"/>
        <v>__</v>
      </c>
    </row>
    <row r="4380" spans="1:9" x14ac:dyDescent="0.35">
      <c r="A4380" s="226"/>
      <c r="B4380" s="226"/>
      <c r="C4380" s="226"/>
      <c r="D4380" s="226"/>
      <c r="E4380" s="226"/>
      <c r="F4380" s="226"/>
      <c r="G4380" s="226"/>
      <c r="H4380" s="226"/>
      <c r="I4380" s="9" t="str">
        <f t="shared" si="68"/>
        <v>__</v>
      </c>
    </row>
    <row r="4381" spans="1:9" x14ac:dyDescent="0.35">
      <c r="A4381" s="226"/>
      <c r="B4381" s="226"/>
      <c r="C4381" s="226"/>
      <c r="D4381" s="226"/>
      <c r="E4381" s="226"/>
      <c r="F4381" s="226"/>
      <c r="G4381" s="226"/>
      <c r="H4381" s="226"/>
      <c r="I4381" s="9" t="str">
        <f t="shared" si="68"/>
        <v>__</v>
      </c>
    </row>
    <row r="4382" spans="1:9" x14ac:dyDescent="0.35">
      <c r="A4382" s="226"/>
      <c r="B4382" s="226"/>
      <c r="C4382" s="226"/>
      <c r="D4382" s="226"/>
      <c r="E4382" s="226"/>
      <c r="F4382" s="226"/>
      <c r="G4382" s="226"/>
      <c r="H4382" s="226"/>
      <c r="I4382" s="9" t="str">
        <f t="shared" si="68"/>
        <v>__</v>
      </c>
    </row>
    <row r="4383" spans="1:9" x14ac:dyDescent="0.35">
      <c r="A4383" s="226"/>
      <c r="B4383" s="226"/>
      <c r="C4383" s="226"/>
      <c r="D4383" s="226"/>
      <c r="E4383" s="226"/>
      <c r="F4383" s="226"/>
      <c r="G4383" s="226"/>
      <c r="H4383" s="226"/>
      <c r="I4383" s="9" t="str">
        <f t="shared" si="68"/>
        <v>__</v>
      </c>
    </row>
    <row r="4384" spans="1:9" x14ac:dyDescent="0.35">
      <c r="A4384" s="226"/>
      <c r="B4384" s="226"/>
      <c r="C4384" s="226"/>
      <c r="D4384" s="226"/>
      <c r="E4384" s="226"/>
      <c r="F4384" s="226"/>
      <c r="G4384" s="226"/>
      <c r="H4384" s="226"/>
      <c r="I4384" s="9" t="str">
        <f t="shared" si="68"/>
        <v>__</v>
      </c>
    </row>
    <row r="4385" spans="1:9" x14ac:dyDescent="0.35">
      <c r="A4385" s="226"/>
      <c r="B4385" s="226"/>
      <c r="C4385" s="226"/>
      <c r="D4385" s="226"/>
      <c r="E4385" s="226"/>
      <c r="F4385" s="226"/>
      <c r="G4385" s="226"/>
      <c r="H4385" s="226"/>
      <c r="I4385" s="9" t="str">
        <f t="shared" si="68"/>
        <v>__</v>
      </c>
    </row>
    <row r="4386" spans="1:9" x14ac:dyDescent="0.35">
      <c r="A4386" s="226"/>
      <c r="B4386" s="226"/>
      <c r="C4386" s="226"/>
      <c r="D4386" s="226"/>
      <c r="E4386" s="226"/>
      <c r="F4386" s="226"/>
      <c r="G4386" s="226"/>
      <c r="H4386" s="226"/>
      <c r="I4386" s="9" t="str">
        <f t="shared" si="68"/>
        <v>__</v>
      </c>
    </row>
    <row r="4387" spans="1:9" x14ac:dyDescent="0.35">
      <c r="A4387" s="226"/>
      <c r="B4387" s="226"/>
      <c r="C4387" s="226"/>
      <c r="D4387" s="226"/>
      <c r="E4387" s="226"/>
      <c r="F4387" s="226"/>
      <c r="G4387" s="226"/>
      <c r="H4387" s="226"/>
      <c r="I4387" s="9" t="str">
        <f t="shared" si="68"/>
        <v>__</v>
      </c>
    </row>
    <row r="4388" spans="1:9" x14ac:dyDescent="0.35">
      <c r="A4388" s="226"/>
      <c r="B4388" s="226"/>
      <c r="C4388" s="226"/>
      <c r="D4388" s="226"/>
      <c r="E4388" s="226"/>
      <c r="F4388" s="226"/>
      <c r="G4388" s="226"/>
      <c r="H4388" s="226"/>
      <c r="I4388" s="9" t="str">
        <f t="shared" si="68"/>
        <v>__</v>
      </c>
    </row>
    <row r="4389" spans="1:9" x14ac:dyDescent="0.35">
      <c r="A4389" s="226"/>
      <c r="B4389" s="226"/>
      <c r="C4389" s="226"/>
      <c r="D4389" s="226"/>
      <c r="E4389" s="226"/>
      <c r="F4389" s="226"/>
      <c r="G4389" s="226"/>
      <c r="H4389" s="226"/>
      <c r="I4389" s="9" t="str">
        <f t="shared" si="68"/>
        <v>__</v>
      </c>
    </row>
    <row r="4390" spans="1:9" x14ac:dyDescent="0.35">
      <c r="A4390" s="226"/>
      <c r="B4390" s="226"/>
      <c r="C4390" s="226"/>
      <c r="D4390" s="226"/>
      <c r="E4390" s="226"/>
      <c r="F4390" s="226"/>
      <c r="G4390" s="226"/>
      <c r="H4390" s="226"/>
      <c r="I4390" s="9" t="str">
        <f t="shared" si="68"/>
        <v>__</v>
      </c>
    </row>
    <row r="4391" spans="1:9" x14ac:dyDescent="0.35">
      <c r="A4391" s="226"/>
      <c r="B4391" s="226"/>
      <c r="C4391" s="226"/>
      <c r="D4391" s="226"/>
      <c r="E4391" s="226"/>
      <c r="F4391" s="226"/>
      <c r="G4391" s="226"/>
      <c r="H4391" s="226"/>
      <c r="I4391" s="9" t="str">
        <f t="shared" si="68"/>
        <v>__</v>
      </c>
    </row>
    <row r="4392" spans="1:9" x14ac:dyDescent="0.35">
      <c r="A4392" s="226"/>
      <c r="B4392" s="226"/>
      <c r="C4392" s="226"/>
      <c r="D4392" s="226"/>
      <c r="E4392" s="226"/>
      <c r="F4392" s="226"/>
      <c r="G4392" s="226"/>
      <c r="H4392" s="226"/>
      <c r="I4392" s="9" t="str">
        <f t="shared" si="68"/>
        <v>__</v>
      </c>
    </row>
    <row r="4393" spans="1:9" x14ac:dyDescent="0.35">
      <c r="A4393" s="226"/>
      <c r="B4393" s="226"/>
      <c r="C4393" s="226"/>
      <c r="D4393" s="226"/>
      <c r="E4393" s="226"/>
      <c r="F4393" s="226"/>
      <c r="G4393" s="226"/>
      <c r="H4393" s="226"/>
      <c r="I4393" s="9" t="str">
        <f t="shared" si="68"/>
        <v>__</v>
      </c>
    </row>
    <row r="4394" spans="1:9" x14ac:dyDescent="0.35">
      <c r="A4394" s="226"/>
      <c r="B4394" s="226"/>
      <c r="C4394" s="226"/>
      <c r="D4394" s="226"/>
      <c r="E4394" s="226"/>
      <c r="F4394" s="226"/>
      <c r="G4394" s="226"/>
      <c r="H4394" s="226"/>
      <c r="I4394" s="9" t="str">
        <f t="shared" si="68"/>
        <v>__</v>
      </c>
    </row>
    <row r="4395" spans="1:9" x14ac:dyDescent="0.35">
      <c r="A4395" s="226"/>
      <c r="B4395" s="226"/>
      <c r="C4395" s="226"/>
      <c r="D4395" s="226"/>
      <c r="E4395" s="226"/>
      <c r="F4395" s="226"/>
      <c r="G4395" s="226"/>
      <c r="H4395" s="226"/>
      <c r="I4395" s="9" t="str">
        <f t="shared" si="68"/>
        <v>__</v>
      </c>
    </row>
    <row r="4396" spans="1:9" x14ac:dyDescent="0.35">
      <c r="A4396" s="226"/>
      <c r="B4396" s="226"/>
      <c r="C4396" s="226"/>
      <c r="D4396" s="226"/>
      <c r="E4396" s="226"/>
      <c r="F4396" s="226"/>
      <c r="G4396" s="226"/>
      <c r="H4396" s="226"/>
      <c r="I4396" s="9" t="str">
        <f t="shared" si="68"/>
        <v>__</v>
      </c>
    </row>
    <row r="4397" spans="1:9" x14ac:dyDescent="0.35">
      <c r="A4397" s="226"/>
      <c r="B4397" s="226"/>
      <c r="C4397" s="226"/>
      <c r="D4397" s="226"/>
      <c r="E4397" s="226"/>
      <c r="F4397" s="226"/>
      <c r="G4397" s="226"/>
      <c r="H4397" s="226"/>
      <c r="I4397" s="9" t="str">
        <f t="shared" si="68"/>
        <v>__</v>
      </c>
    </row>
    <row r="4398" spans="1:9" x14ac:dyDescent="0.35">
      <c r="A4398" s="226"/>
      <c r="B4398" s="226"/>
      <c r="C4398" s="226"/>
      <c r="D4398" s="226"/>
      <c r="E4398" s="226"/>
      <c r="F4398" s="226"/>
      <c r="G4398" s="226"/>
      <c r="H4398" s="226"/>
      <c r="I4398" s="9" t="str">
        <f t="shared" si="68"/>
        <v>__</v>
      </c>
    </row>
    <row r="4399" spans="1:9" x14ac:dyDescent="0.35">
      <c r="A4399" s="226"/>
      <c r="B4399" s="226"/>
      <c r="C4399" s="226"/>
      <c r="D4399" s="226"/>
      <c r="E4399" s="226"/>
      <c r="F4399" s="226"/>
      <c r="G4399" s="226"/>
      <c r="H4399" s="226"/>
      <c r="I4399" s="9" t="str">
        <f t="shared" si="68"/>
        <v>__</v>
      </c>
    </row>
    <row r="4400" spans="1:9" x14ac:dyDescent="0.35">
      <c r="A4400" s="226"/>
      <c r="B4400" s="226"/>
      <c r="C4400" s="226"/>
      <c r="D4400" s="226"/>
      <c r="E4400" s="226"/>
      <c r="F4400" s="226"/>
      <c r="G4400" s="226"/>
      <c r="H4400" s="226"/>
      <c r="I4400" s="9" t="str">
        <f t="shared" si="68"/>
        <v>__</v>
      </c>
    </row>
    <row r="4401" spans="1:9" x14ac:dyDescent="0.35">
      <c r="A4401" s="226"/>
      <c r="B4401" s="226"/>
      <c r="C4401" s="226"/>
      <c r="D4401" s="226"/>
      <c r="E4401" s="226"/>
      <c r="F4401" s="226"/>
      <c r="G4401" s="226"/>
      <c r="H4401" s="226"/>
      <c r="I4401" s="9" t="str">
        <f t="shared" si="68"/>
        <v>__</v>
      </c>
    </row>
    <row r="4402" spans="1:9" x14ac:dyDescent="0.35">
      <c r="A4402" s="226"/>
      <c r="B4402" s="226"/>
      <c r="C4402" s="226"/>
      <c r="D4402" s="226"/>
      <c r="E4402" s="226"/>
      <c r="F4402" s="226"/>
      <c r="G4402" s="226"/>
      <c r="H4402" s="226"/>
      <c r="I4402" s="9" t="str">
        <f t="shared" si="68"/>
        <v>__</v>
      </c>
    </row>
    <row r="4403" spans="1:9" x14ac:dyDescent="0.35">
      <c r="A4403" s="226"/>
      <c r="B4403" s="226"/>
      <c r="C4403" s="226"/>
      <c r="D4403" s="226"/>
      <c r="E4403" s="226"/>
      <c r="F4403" s="226"/>
      <c r="G4403" s="226"/>
      <c r="H4403" s="226"/>
      <c r="I4403" s="9" t="str">
        <f t="shared" si="68"/>
        <v>__</v>
      </c>
    </row>
    <row r="4404" spans="1:9" x14ac:dyDescent="0.35">
      <c r="A4404" s="226"/>
      <c r="B4404" s="226"/>
      <c r="C4404" s="226"/>
      <c r="D4404" s="226"/>
      <c r="E4404" s="226"/>
      <c r="F4404" s="226"/>
      <c r="G4404" s="226"/>
      <c r="H4404" s="226"/>
      <c r="I4404" s="9" t="str">
        <f t="shared" si="68"/>
        <v>__</v>
      </c>
    </row>
    <row r="4405" spans="1:9" x14ac:dyDescent="0.35">
      <c r="A4405" s="226"/>
      <c r="B4405" s="226"/>
      <c r="C4405" s="226"/>
      <c r="D4405" s="226"/>
      <c r="E4405" s="226"/>
      <c r="F4405" s="226"/>
      <c r="G4405" s="226"/>
      <c r="H4405" s="226"/>
      <c r="I4405" s="9" t="str">
        <f t="shared" si="68"/>
        <v>__</v>
      </c>
    </row>
    <row r="4406" spans="1:9" x14ac:dyDescent="0.35">
      <c r="A4406" s="226"/>
      <c r="B4406" s="226"/>
      <c r="C4406" s="226"/>
      <c r="D4406" s="226"/>
      <c r="E4406" s="226"/>
      <c r="F4406" s="226"/>
      <c r="G4406" s="226"/>
      <c r="H4406" s="226"/>
      <c r="I4406" s="9" t="str">
        <f t="shared" si="68"/>
        <v>__</v>
      </c>
    </row>
    <row r="4407" spans="1:9" x14ac:dyDescent="0.35">
      <c r="A4407" s="226"/>
      <c r="B4407" s="226"/>
      <c r="C4407" s="226"/>
      <c r="D4407" s="226"/>
      <c r="E4407" s="226"/>
      <c r="F4407" s="226"/>
      <c r="G4407" s="226"/>
      <c r="H4407" s="226"/>
      <c r="I4407" s="9" t="str">
        <f t="shared" si="68"/>
        <v>__</v>
      </c>
    </row>
    <row r="4408" spans="1:9" x14ac:dyDescent="0.35">
      <c r="A4408" s="226"/>
      <c r="B4408" s="226"/>
      <c r="C4408" s="226"/>
      <c r="D4408" s="226"/>
      <c r="E4408" s="226"/>
      <c r="F4408" s="226"/>
      <c r="G4408" s="226"/>
      <c r="H4408" s="226"/>
      <c r="I4408" s="9" t="str">
        <f t="shared" si="68"/>
        <v>__</v>
      </c>
    </row>
    <row r="4409" spans="1:9" x14ac:dyDescent="0.35">
      <c r="A4409" s="226"/>
      <c r="B4409" s="226"/>
      <c r="C4409" s="226"/>
      <c r="D4409" s="226"/>
      <c r="E4409" s="226"/>
      <c r="F4409" s="226"/>
      <c r="G4409" s="226"/>
      <c r="H4409" s="226"/>
      <c r="I4409" s="9" t="str">
        <f t="shared" si="68"/>
        <v>__</v>
      </c>
    </row>
    <row r="4410" spans="1:9" x14ac:dyDescent="0.35">
      <c r="A4410" s="226"/>
      <c r="B4410" s="226"/>
      <c r="C4410" s="226"/>
      <c r="D4410" s="226"/>
      <c r="E4410" s="226"/>
      <c r="F4410" s="226"/>
      <c r="G4410" s="226"/>
      <c r="H4410" s="226"/>
      <c r="I4410" s="9" t="str">
        <f t="shared" si="68"/>
        <v>__</v>
      </c>
    </row>
    <row r="4411" spans="1:9" x14ac:dyDescent="0.35">
      <c r="A4411" s="226"/>
      <c r="B4411" s="226"/>
      <c r="C4411" s="226"/>
      <c r="D4411" s="226"/>
      <c r="E4411" s="226"/>
      <c r="F4411" s="226"/>
      <c r="G4411" s="226"/>
      <c r="H4411" s="226"/>
      <c r="I4411" s="9" t="str">
        <f t="shared" si="68"/>
        <v>__</v>
      </c>
    </row>
    <row r="4412" spans="1:9" x14ac:dyDescent="0.35">
      <c r="A4412" s="226"/>
      <c r="B4412" s="226"/>
      <c r="C4412" s="226"/>
      <c r="D4412" s="226"/>
      <c r="E4412" s="226"/>
      <c r="F4412" s="226"/>
      <c r="G4412" s="226"/>
      <c r="H4412" s="226"/>
      <c r="I4412" s="9" t="str">
        <f t="shared" si="68"/>
        <v>__</v>
      </c>
    </row>
    <row r="4413" spans="1:9" x14ac:dyDescent="0.35">
      <c r="A4413" s="226"/>
      <c r="B4413" s="226"/>
      <c r="C4413" s="226"/>
      <c r="D4413" s="226"/>
      <c r="E4413" s="226"/>
      <c r="F4413" s="226"/>
      <c r="G4413" s="226"/>
      <c r="H4413" s="226"/>
      <c r="I4413" s="9" t="str">
        <f t="shared" si="68"/>
        <v>__</v>
      </c>
    </row>
    <row r="4414" spans="1:9" x14ac:dyDescent="0.35">
      <c r="A4414" s="226"/>
      <c r="B4414" s="226"/>
      <c r="C4414" s="226"/>
      <c r="D4414" s="226"/>
      <c r="E4414" s="226"/>
      <c r="F4414" s="226"/>
      <c r="G4414" s="226"/>
      <c r="H4414" s="226"/>
      <c r="I4414" s="9" t="str">
        <f t="shared" si="68"/>
        <v>__</v>
      </c>
    </row>
    <row r="4415" spans="1:9" x14ac:dyDescent="0.35">
      <c r="A4415" s="226"/>
      <c r="B4415" s="226"/>
      <c r="C4415" s="226"/>
      <c r="D4415" s="226"/>
      <c r="E4415" s="226"/>
      <c r="F4415" s="226"/>
      <c r="G4415" s="226"/>
      <c r="H4415" s="226"/>
      <c r="I4415" s="9" t="str">
        <f t="shared" si="68"/>
        <v>__</v>
      </c>
    </row>
    <row r="4416" spans="1:9" x14ac:dyDescent="0.35">
      <c r="A4416" s="226"/>
      <c r="B4416" s="226"/>
      <c r="C4416" s="226"/>
      <c r="D4416" s="226"/>
      <c r="E4416" s="226"/>
      <c r="F4416" s="226"/>
      <c r="G4416" s="226"/>
      <c r="H4416" s="226"/>
      <c r="I4416" s="9" t="str">
        <f t="shared" si="68"/>
        <v>__</v>
      </c>
    </row>
    <row r="4417" spans="1:9" x14ac:dyDescent="0.35">
      <c r="A4417" s="226"/>
      <c r="B4417" s="226"/>
      <c r="C4417" s="226"/>
      <c r="D4417" s="226"/>
      <c r="E4417" s="226"/>
      <c r="F4417" s="226"/>
      <c r="G4417" s="226"/>
      <c r="H4417" s="226"/>
      <c r="I4417" s="9" t="str">
        <f t="shared" si="68"/>
        <v>__</v>
      </c>
    </row>
    <row r="4418" spans="1:9" x14ac:dyDescent="0.35">
      <c r="A4418" s="226"/>
      <c r="B4418" s="226"/>
      <c r="C4418" s="226"/>
      <c r="D4418" s="226"/>
      <c r="E4418" s="226"/>
      <c r="F4418" s="226"/>
      <c r="G4418" s="226"/>
      <c r="H4418" s="226"/>
      <c r="I4418" s="9" t="str">
        <f t="shared" si="68"/>
        <v>__</v>
      </c>
    </row>
    <row r="4419" spans="1:9" x14ac:dyDescent="0.35">
      <c r="A4419" s="226"/>
      <c r="B4419" s="226"/>
      <c r="C4419" s="226"/>
      <c r="D4419" s="226"/>
      <c r="E4419" s="226"/>
      <c r="F4419" s="226"/>
      <c r="G4419" s="226"/>
      <c r="H4419" s="226"/>
      <c r="I4419" s="9" t="str">
        <f t="shared" si="68"/>
        <v>__</v>
      </c>
    </row>
    <row r="4420" spans="1:9" x14ac:dyDescent="0.35">
      <c r="A4420" s="226"/>
      <c r="B4420" s="226"/>
      <c r="C4420" s="226"/>
      <c r="D4420" s="226"/>
      <c r="E4420" s="226"/>
      <c r="F4420" s="226"/>
      <c r="G4420" s="226"/>
      <c r="H4420" s="226"/>
      <c r="I4420" s="9" t="str">
        <f t="shared" si="68"/>
        <v>__</v>
      </c>
    </row>
    <row r="4421" spans="1:9" x14ac:dyDescent="0.35">
      <c r="A4421" s="226"/>
      <c r="B4421" s="226"/>
      <c r="C4421" s="226"/>
      <c r="D4421" s="226"/>
      <c r="E4421" s="226"/>
      <c r="F4421" s="226"/>
      <c r="G4421" s="226"/>
      <c r="H4421" s="226"/>
      <c r="I4421" s="9" t="str">
        <f t="shared" ref="I4421:I4484" si="69">CONCATENATE(A4421,"_",B4421,"_",C4421)</f>
        <v>__</v>
      </c>
    </row>
    <row r="4422" spans="1:9" x14ac:dyDescent="0.35">
      <c r="A4422" s="226"/>
      <c r="B4422" s="226"/>
      <c r="C4422" s="226"/>
      <c r="D4422" s="226"/>
      <c r="E4422" s="226"/>
      <c r="F4422" s="226"/>
      <c r="G4422" s="226"/>
      <c r="H4422" s="226"/>
      <c r="I4422" s="9" t="str">
        <f t="shared" si="69"/>
        <v>__</v>
      </c>
    </row>
    <row r="4423" spans="1:9" x14ac:dyDescent="0.35">
      <c r="A4423" s="226"/>
      <c r="B4423" s="226"/>
      <c r="C4423" s="226"/>
      <c r="D4423" s="226"/>
      <c r="E4423" s="226"/>
      <c r="F4423" s="226"/>
      <c r="G4423" s="226"/>
      <c r="H4423" s="226"/>
      <c r="I4423" s="9" t="str">
        <f t="shared" si="69"/>
        <v>__</v>
      </c>
    </row>
    <row r="4424" spans="1:9" x14ac:dyDescent="0.35">
      <c r="A4424" s="226"/>
      <c r="B4424" s="226"/>
      <c r="C4424" s="226"/>
      <c r="D4424" s="226"/>
      <c r="E4424" s="226"/>
      <c r="F4424" s="226"/>
      <c r="G4424" s="226"/>
      <c r="H4424" s="226"/>
      <c r="I4424" s="9" t="str">
        <f t="shared" si="69"/>
        <v>__</v>
      </c>
    </row>
    <row r="4425" spans="1:9" x14ac:dyDescent="0.35">
      <c r="A4425" s="226"/>
      <c r="B4425" s="226"/>
      <c r="C4425" s="226"/>
      <c r="D4425" s="226"/>
      <c r="E4425" s="226"/>
      <c r="F4425" s="226"/>
      <c r="G4425" s="226"/>
      <c r="H4425" s="226"/>
      <c r="I4425" s="9" t="str">
        <f t="shared" si="69"/>
        <v>__</v>
      </c>
    </row>
    <row r="4426" spans="1:9" x14ac:dyDescent="0.35">
      <c r="A4426" s="226"/>
      <c r="B4426" s="226"/>
      <c r="C4426" s="226"/>
      <c r="D4426" s="226"/>
      <c r="E4426" s="226"/>
      <c r="F4426" s="226"/>
      <c r="G4426" s="226"/>
      <c r="H4426" s="226"/>
      <c r="I4426" s="9" t="str">
        <f t="shared" si="69"/>
        <v>__</v>
      </c>
    </row>
    <row r="4427" spans="1:9" x14ac:dyDescent="0.35">
      <c r="A4427" s="226"/>
      <c r="B4427" s="226"/>
      <c r="C4427" s="226"/>
      <c r="D4427" s="226"/>
      <c r="E4427" s="226"/>
      <c r="F4427" s="226"/>
      <c r="G4427" s="226"/>
      <c r="H4427" s="226"/>
      <c r="I4427" s="9" t="str">
        <f t="shared" si="69"/>
        <v>__</v>
      </c>
    </row>
    <row r="4428" spans="1:9" x14ac:dyDescent="0.35">
      <c r="A4428" s="226"/>
      <c r="B4428" s="226"/>
      <c r="C4428" s="226"/>
      <c r="D4428" s="226"/>
      <c r="E4428" s="226"/>
      <c r="F4428" s="226"/>
      <c r="G4428" s="226"/>
      <c r="H4428" s="226"/>
      <c r="I4428" s="9" t="str">
        <f t="shared" si="69"/>
        <v>__</v>
      </c>
    </row>
    <row r="4429" spans="1:9" x14ac:dyDescent="0.35">
      <c r="A4429" s="226"/>
      <c r="B4429" s="226"/>
      <c r="C4429" s="226"/>
      <c r="D4429" s="226"/>
      <c r="E4429" s="226"/>
      <c r="F4429" s="226"/>
      <c r="G4429" s="226"/>
      <c r="H4429" s="226"/>
      <c r="I4429" s="9" t="str">
        <f t="shared" si="69"/>
        <v>__</v>
      </c>
    </row>
    <row r="4430" spans="1:9" x14ac:dyDescent="0.35">
      <c r="A4430" s="226"/>
      <c r="B4430" s="226"/>
      <c r="C4430" s="226"/>
      <c r="D4430" s="226"/>
      <c r="E4430" s="226"/>
      <c r="F4430" s="226"/>
      <c r="G4430" s="226"/>
      <c r="H4430" s="226"/>
      <c r="I4430" s="9" t="str">
        <f t="shared" si="69"/>
        <v>__</v>
      </c>
    </row>
    <row r="4431" spans="1:9" x14ac:dyDescent="0.35">
      <c r="A4431" s="226"/>
      <c r="B4431" s="226"/>
      <c r="C4431" s="226"/>
      <c r="D4431" s="226"/>
      <c r="E4431" s="226"/>
      <c r="F4431" s="226"/>
      <c r="G4431" s="226"/>
      <c r="H4431" s="226"/>
      <c r="I4431" s="9" t="str">
        <f t="shared" si="69"/>
        <v>__</v>
      </c>
    </row>
    <row r="4432" spans="1:9" x14ac:dyDescent="0.35">
      <c r="A4432" s="226"/>
      <c r="B4432" s="226"/>
      <c r="C4432" s="226"/>
      <c r="D4432" s="226"/>
      <c r="E4432" s="226"/>
      <c r="F4432" s="226"/>
      <c r="G4432" s="226"/>
      <c r="H4432" s="226"/>
      <c r="I4432" s="9" t="str">
        <f t="shared" si="69"/>
        <v>__</v>
      </c>
    </row>
    <row r="4433" spans="1:9" x14ac:dyDescent="0.35">
      <c r="A4433" s="226"/>
      <c r="B4433" s="226"/>
      <c r="C4433" s="226"/>
      <c r="D4433" s="226"/>
      <c r="E4433" s="226"/>
      <c r="F4433" s="226"/>
      <c r="G4433" s="226"/>
      <c r="H4433" s="226"/>
      <c r="I4433" s="9" t="str">
        <f t="shared" si="69"/>
        <v>__</v>
      </c>
    </row>
    <row r="4434" spans="1:9" x14ac:dyDescent="0.35">
      <c r="A4434" s="226"/>
      <c r="B4434" s="226"/>
      <c r="C4434" s="226"/>
      <c r="D4434" s="226"/>
      <c r="E4434" s="226"/>
      <c r="F4434" s="226"/>
      <c r="G4434" s="226"/>
      <c r="H4434" s="226"/>
      <c r="I4434" s="9" t="str">
        <f t="shared" si="69"/>
        <v>__</v>
      </c>
    </row>
    <row r="4435" spans="1:9" x14ac:dyDescent="0.35">
      <c r="A4435" s="226"/>
      <c r="B4435" s="226"/>
      <c r="C4435" s="226"/>
      <c r="D4435" s="226"/>
      <c r="E4435" s="226"/>
      <c r="F4435" s="226"/>
      <c r="G4435" s="226"/>
      <c r="H4435" s="226"/>
      <c r="I4435" s="9" t="str">
        <f t="shared" si="69"/>
        <v>__</v>
      </c>
    </row>
    <row r="4436" spans="1:9" x14ac:dyDescent="0.35">
      <c r="A4436" s="226"/>
      <c r="B4436" s="226"/>
      <c r="C4436" s="226"/>
      <c r="D4436" s="226"/>
      <c r="E4436" s="226"/>
      <c r="F4436" s="226"/>
      <c r="G4436" s="226"/>
      <c r="H4436" s="226"/>
      <c r="I4436" s="9" t="str">
        <f t="shared" si="69"/>
        <v>__</v>
      </c>
    </row>
    <row r="4437" spans="1:9" x14ac:dyDescent="0.35">
      <c r="A4437" s="226"/>
      <c r="B4437" s="226"/>
      <c r="C4437" s="226"/>
      <c r="D4437" s="226"/>
      <c r="E4437" s="226"/>
      <c r="F4437" s="226"/>
      <c r="G4437" s="226"/>
      <c r="H4437" s="226"/>
      <c r="I4437" s="9" t="str">
        <f t="shared" si="69"/>
        <v>__</v>
      </c>
    </row>
    <row r="4438" spans="1:9" x14ac:dyDescent="0.35">
      <c r="A4438" s="226"/>
      <c r="B4438" s="226"/>
      <c r="C4438" s="226"/>
      <c r="D4438" s="226"/>
      <c r="E4438" s="226"/>
      <c r="F4438" s="226"/>
      <c r="G4438" s="226"/>
      <c r="H4438" s="226"/>
      <c r="I4438" s="9" t="str">
        <f t="shared" si="69"/>
        <v>__</v>
      </c>
    </row>
    <row r="4439" spans="1:9" x14ac:dyDescent="0.35">
      <c r="A4439" s="226"/>
      <c r="B4439" s="226"/>
      <c r="C4439" s="226"/>
      <c r="D4439" s="226"/>
      <c r="E4439" s="226"/>
      <c r="F4439" s="226"/>
      <c r="G4439" s="226"/>
      <c r="H4439" s="226"/>
      <c r="I4439" s="9" t="str">
        <f t="shared" si="69"/>
        <v>__</v>
      </c>
    </row>
    <row r="4440" spans="1:9" x14ac:dyDescent="0.35">
      <c r="A4440" s="226"/>
      <c r="B4440" s="226"/>
      <c r="C4440" s="226"/>
      <c r="D4440" s="226"/>
      <c r="E4440" s="226"/>
      <c r="F4440" s="226"/>
      <c r="G4440" s="226"/>
      <c r="H4440" s="226"/>
      <c r="I4440" s="9" t="str">
        <f t="shared" si="69"/>
        <v>__</v>
      </c>
    </row>
    <row r="4441" spans="1:9" x14ac:dyDescent="0.35">
      <c r="A4441" s="226"/>
      <c r="B4441" s="226"/>
      <c r="C4441" s="226"/>
      <c r="D4441" s="226"/>
      <c r="E4441" s="226"/>
      <c r="F4441" s="226"/>
      <c r="G4441" s="226"/>
      <c r="H4441" s="226"/>
      <c r="I4441" s="9" t="str">
        <f t="shared" si="69"/>
        <v>__</v>
      </c>
    </row>
    <row r="4442" spans="1:9" x14ac:dyDescent="0.35">
      <c r="A4442" s="226"/>
      <c r="B4442" s="226"/>
      <c r="C4442" s="226"/>
      <c r="D4442" s="226"/>
      <c r="E4442" s="226"/>
      <c r="F4442" s="226"/>
      <c r="G4442" s="226"/>
      <c r="H4442" s="226"/>
      <c r="I4442" s="9" t="str">
        <f t="shared" si="69"/>
        <v>__</v>
      </c>
    </row>
    <row r="4443" spans="1:9" x14ac:dyDescent="0.35">
      <c r="A4443" s="226"/>
      <c r="B4443" s="226"/>
      <c r="C4443" s="226"/>
      <c r="D4443" s="226"/>
      <c r="E4443" s="226"/>
      <c r="F4443" s="226"/>
      <c r="G4443" s="226"/>
      <c r="H4443" s="226"/>
      <c r="I4443" s="9" t="str">
        <f t="shared" si="69"/>
        <v>__</v>
      </c>
    </row>
    <row r="4444" spans="1:9" x14ac:dyDescent="0.35">
      <c r="A4444" s="226"/>
      <c r="B4444" s="226"/>
      <c r="C4444" s="226"/>
      <c r="D4444" s="226"/>
      <c r="E4444" s="226"/>
      <c r="F4444" s="226"/>
      <c r="G4444" s="226"/>
      <c r="H4444" s="226"/>
      <c r="I4444" s="9" t="str">
        <f t="shared" si="69"/>
        <v>__</v>
      </c>
    </row>
    <row r="4445" spans="1:9" x14ac:dyDescent="0.35">
      <c r="A4445" s="226"/>
      <c r="B4445" s="226"/>
      <c r="C4445" s="226"/>
      <c r="D4445" s="226"/>
      <c r="E4445" s="226"/>
      <c r="F4445" s="226"/>
      <c r="G4445" s="226"/>
      <c r="H4445" s="226"/>
      <c r="I4445" s="9" t="str">
        <f t="shared" si="69"/>
        <v>__</v>
      </c>
    </row>
    <row r="4446" spans="1:9" x14ac:dyDescent="0.35">
      <c r="A4446" s="226"/>
      <c r="B4446" s="226"/>
      <c r="C4446" s="226"/>
      <c r="D4446" s="226"/>
      <c r="E4446" s="226"/>
      <c r="F4446" s="226"/>
      <c r="G4446" s="226"/>
      <c r="H4446" s="226"/>
      <c r="I4446" s="9" t="str">
        <f t="shared" si="69"/>
        <v>__</v>
      </c>
    </row>
    <row r="4447" spans="1:9" x14ac:dyDescent="0.35">
      <c r="A4447" s="226"/>
      <c r="B4447" s="226"/>
      <c r="C4447" s="226"/>
      <c r="D4447" s="226"/>
      <c r="E4447" s="226"/>
      <c r="F4447" s="226"/>
      <c r="G4447" s="226"/>
      <c r="H4447" s="226"/>
      <c r="I4447" s="9" t="str">
        <f t="shared" si="69"/>
        <v>__</v>
      </c>
    </row>
    <row r="4448" spans="1:9" x14ac:dyDescent="0.35">
      <c r="A4448" s="226"/>
      <c r="B4448" s="226"/>
      <c r="C4448" s="226"/>
      <c r="D4448" s="226"/>
      <c r="E4448" s="226"/>
      <c r="F4448" s="226"/>
      <c r="G4448" s="226"/>
      <c r="H4448" s="226"/>
      <c r="I4448" s="9" t="str">
        <f t="shared" si="69"/>
        <v>__</v>
      </c>
    </row>
    <row r="4449" spans="1:9" x14ac:dyDescent="0.35">
      <c r="A4449" s="226"/>
      <c r="B4449" s="226"/>
      <c r="C4449" s="226"/>
      <c r="D4449" s="226"/>
      <c r="E4449" s="226"/>
      <c r="F4449" s="226"/>
      <c r="G4449" s="226"/>
      <c r="H4449" s="226"/>
      <c r="I4449" s="9" t="str">
        <f t="shared" si="69"/>
        <v>__</v>
      </c>
    </row>
    <row r="4450" spans="1:9" x14ac:dyDescent="0.35">
      <c r="A4450" s="226"/>
      <c r="B4450" s="226"/>
      <c r="C4450" s="226"/>
      <c r="D4450" s="226"/>
      <c r="E4450" s="226"/>
      <c r="F4450" s="226"/>
      <c r="G4450" s="226"/>
      <c r="H4450" s="226"/>
      <c r="I4450" s="9" t="str">
        <f t="shared" si="69"/>
        <v>__</v>
      </c>
    </row>
    <row r="4451" spans="1:9" x14ac:dyDescent="0.35">
      <c r="A4451" s="226"/>
      <c r="B4451" s="226"/>
      <c r="C4451" s="226"/>
      <c r="D4451" s="226"/>
      <c r="E4451" s="226"/>
      <c r="F4451" s="226"/>
      <c r="G4451" s="226"/>
      <c r="H4451" s="226"/>
      <c r="I4451" s="9" t="str">
        <f t="shared" si="69"/>
        <v>__</v>
      </c>
    </row>
    <row r="4452" spans="1:9" x14ac:dyDescent="0.35">
      <c r="A4452" s="226"/>
      <c r="B4452" s="226"/>
      <c r="C4452" s="226"/>
      <c r="D4452" s="226"/>
      <c r="E4452" s="226"/>
      <c r="F4452" s="226"/>
      <c r="G4452" s="226"/>
      <c r="H4452" s="226"/>
      <c r="I4452" s="9" t="str">
        <f t="shared" si="69"/>
        <v>__</v>
      </c>
    </row>
    <row r="4453" spans="1:9" x14ac:dyDescent="0.35">
      <c r="A4453" s="226"/>
      <c r="B4453" s="226"/>
      <c r="C4453" s="226"/>
      <c r="D4453" s="226"/>
      <c r="E4453" s="226"/>
      <c r="F4453" s="226"/>
      <c r="G4453" s="226"/>
      <c r="H4453" s="226"/>
      <c r="I4453" s="9" t="str">
        <f t="shared" si="69"/>
        <v>__</v>
      </c>
    </row>
    <row r="4454" spans="1:9" x14ac:dyDescent="0.35">
      <c r="A4454" s="226"/>
      <c r="B4454" s="226"/>
      <c r="C4454" s="226"/>
      <c r="D4454" s="226"/>
      <c r="E4454" s="226"/>
      <c r="F4454" s="226"/>
      <c r="G4454" s="226"/>
      <c r="H4454" s="226"/>
      <c r="I4454" s="9" t="str">
        <f t="shared" si="69"/>
        <v>__</v>
      </c>
    </row>
    <row r="4455" spans="1:9" x14ac:dyDescent="0.35">
      <c r="A4455" s="226"/>
      <c r="B4455" s="226"/>
      <c r="C4455" s="226"/>
      <c r="D4455" s="226"/>
      <c r="E4455" s="226"/>
      <c r="F4455" s="226"/>
      <c r="G4455" s="226"/>
      <c r="H4455" s="226"/>
      <c r="I4455" s="9" t="str">
        <f t="shared" si="69"/>
        <v>__</v>
      </c>
    </row>
    <row r="4456" spans="1:9" x14ac:dyDescent="0.35">
      <c r="A4456" s="226"/>
      <c r="B4456" s="226"/>
      <c r="C4456" s="226"/>
      <c r="D4456" s="226"/>
      <c r="E4456" s="226"/>
      <c r="F4456" s="226"/>
      <c r="G4456" s="226"/>
      <c r="H4456" s="226"/>
      <c r="I4456" s="9" t="str">
        <f t="shared" si="69"/>
        <v>__</v>
      </c>
    </row>
    <row r="4457" spans="1:9" x14ac:dyDescent="0.35">
      <c r="A4457" s="226"/>
      <c r="B4457" s="226"/>
      <c r="C4457" s="226"/>
      <c r="D4457" s="226"/>
      <c r="E4457" s="226"/>
      <c r="F4457" s="226"/>
      <c r="G4457" s="226"/>
      <c r="H4457" s="226"/>
      <c r="I4457" s="9" t="str">
        <f t="shared" si="69"/>
        <v>__</v>
      </c>
    </row>
    <row r="4458" spans="1:9" x14ac:dyDescent="0.35">
      <c r="A4458" s="226"/>
      <c r="B4458" s="226"/>
      <c r="C4458" s="226"/>
      <c r="D4458" s="226"/>
      <c r="E4458" s="226"/>
      <c r="F4458" s="226"/>
      <c r="G4458" s="226"/>
      <c r="H4458" s="226"/>
      <c r="I4458" s="9" t="str">
        <f t="shared" si="69"/>
        <v>__</v>
      </c>
    </row>
    <row r="4459" spans="1:9" x14ac:dyDescent="0.35">
      <c r="A4459" s="226"/>
      <c r="B4459" s="226"/>
      <c r="C4459" s="226"/>
      <c r="D4459" s="226"/>
      <c r="E4459" s="226"/>
      <c r="F4459" s="226"/>
      <c r="G4459" s="226"/>
      <c r="H4459" s="226"/>
      <c r="I4459" s="9" t="str">
        <f t="shared" si="69"/>
        <v>__</v>
      </c>
    </row>
    <row r="4460" spans="1:9" x14ac:dyDescent="0.35">
      <c r="A4460" s="226"/>
      <c r="B4460" s="226"/>
      <c r="C4460" s="226"/>
      <c r="D4460" s="226"/>
      <c r="E4460" s="226"/>
      <c r="F4460" s="226"/>
      <c r="G4460" s="226"/>
      <c r="H4460" s="226"/>
      <c r="I4460" s="9" t="str">
        <f t="shared" si="69"/>
        <v>__</v>
      </c>
    </row>
    <row r="4461" spans="1:9" x14ac:dyDescent="0.35">
      <c r="A4461" s="226"/>
      <c r="B4461" s="226"/>
      <c r="C4461" s="226"/>
      <c r="D4461" s="226"/>
      <c r="E4461" s="226"/>
      <c r="F4461" s="226"/>
      <c r="G4461" s="226"/>
      <c r="H4461" s="226"/>
      <c r="I4461" s="9" t="str">
        <f t="shared" si="69"/>
        <v>__</v>
      </c>
    </row>
    <row r="4462" spans="1:9" x14ac:dyDescent="0.35">
      <c r="A4462" s="226"/>
      <c r="B4462" s="226"/>
      <c r="C4462" s="226"/>
      <c r="D4462" s="226"/>
      <c r="E4462" s="226"/>
      <c r="F4462" s="226"/>
      <c r="G4462" s="226"/>
      <c r="H4462" s="226"/>
      <c r="I4462" s="9" t="str">
        <f t="shared" si="69"/>
        <v>__</v>
      </c>
    </row>
    <row r="4463" spans="1:9" x14ac:dyDescent="0.35">
      <c r="A4463" s="226"/>
      <c r="B4463" s="226"/>
      <c r="C4463" s="226"/>
      <c r="D4463" s="226"/>
      <c r="E4463" s="226"/>
      <c r="F4463" s="226"/>
      <c r="G4463" s="226"/>
      <c r="H4463" s="226"/>
      <c r="I4463" s="9" t="str">
        <f t="shared" si="69"/>
        <v>__</v>
      </c>
    </row>
    <row r="4464" spans="1:9" x14ac:dyDescent="0.35">
      <c r="A4464" s="226"/>
      <c r="B4464" s="226"/>
      <c r="C4464" s="226"/>
      <c r="D4464" s="226"/>
      <c r="E4464" s="226"/>
      <c r="F4464" s="226"/>
      <c r="G4464" s="226"/>
      <c r="H4464" s="226"/>
      <c r="I4464" s="9" t="str">
        <f t="shared" si="69"/>
        <v>__</v>
      </c>
    </row>
    <row r="4465" spans="1:9" x14ac:dyDescent="0.35">
      <c r="A4465" s="226"/>
      <c r="B4465" s="226"/>
      <c r="C4465" s="226"/>
      <c r="D4465" s="226"/>
      <c r="E4465" s="226"/>
      <c r="F4465" s="226"/>
      <c r="G4465" s="226"/>
      <c r="H4465" s="226"/>
      <c r="I4465" s="9" t="str">
        <f t="shared" si="69"/>
        <v>__</v>
      </c>
    </row>
    <row r="4466" spans="1:9" x14ac:dyDescent="0.35">
      <c r="A4466" s="226"/>
      <c r="B4466" s="226"/>
      <c r="C4466" s="226"/>
      <c r="D4466" s="226"/>
      <c r="E4466" s="226"/>
      <c r="F4466" s="226"/>
      <c r="G4466" s="226"/>
      <c r="H4466" s="226"/>
      <c r="I4466" s="9" t="str">
        <f t="shared" si="69"/>
        <v>__</v>
      </c>
    </row>
    <row r="4467" spans="1:9" x14ac:dyDescent="0.35">
      <c r="A4467" s="226"/>
      <c r="B4467" s="226"/>
      <c r="C4467" s="226"/>
      <c r="D4467" s="226"/>
      <c r="E4467" s="226"/>
      <c r="F4467" s="226"/>
      <c r="G4467" s="226"/>
      <c r="H4467" s="226"/>
      <c r="I4467" s="9" t="str">
        <f t="shared" si="69"/>
        <v>__</v>
      </c>
    </row>
    <row r="4468" spans="1:9" x14ac:dyDescent="0.35">
      <c r="A4468" s="226"/>
      <c r="B4468" s="226"/>
      <c r="C4468" s="226"/>
      <c r="D4468" s="226"/>
      <c r="E4468" s="226"/>
      <c r="F4468" s="226"/>
      <c r="G4468" s="226"/>
      <c r="H4468" s="226"/>
      <c r="I4468" s="9" t="str">
        <f t="shared" si="69"/>
        <v>__</v>
      </c>
    </row>
    <row r="4469" spans="1:9" x14ac:dyDescent="0.35">
      <c r="A4469" s="226"/>
      <c r="B4469" s="226"/>
      <c r="C4469" s="226"/>
      <c r="D4469" s="226"/>
      <c r="E4469" s="226"/>
      <c r="F4469" s="226"/>
      <c r="G4469" s="226"/>
      <c r="H4469" s="226"/>
      <c r="I4469" s="9" t="str">
        <f t="shared" si="69"/>
        <v>__</v>
      </c>
    </row>
    <row r="4470" spans="1:9" x14ac:dyDescent="0.35">
      <c r="A4470" s="226"/>
      <c r="B4470" s="226"/>
      <c r="C4470" s="226"/>
      <c r="D4470" s="226"/>
      <c r="E4470" s="226"/>
      <c r="F4470" s="226"/>
      <c r="G4470" s="226"/>
      <c r="H4470" s="226"/>
      <c r="I4470" s="9" t="str">
        <f t="shared" si="69"/>
        <v>__</v>
      </c>
    </row>
    <row r="4471" spans="1:9" x14ac:dyDescent="0.35">
      <c r="A4471" s="226"/>
      <c r="B4471" s="226"/>
      <c r="C4471" s="226"/>
      <c r="D4471" s="226"/>
      <c r="E4471" s="226"/>
      <c r="F4471" s="226"/>
      <c r="G4471" s="226"/>
      <c r="H4471" s="226"/>
      <c r="I4471" s="9" t="str">
        <f t="shared" si="69"/>
        <v>__</v>
      </c>
    </row>
    <row r="4472" spans="1:9" x14ac:dyDescent="0.35">
      <c r="A4472" s="226"/>
      <c r="B4472" s="226"/>
      <c r="C4472" s="226"/>
      <c r="D4472" s="226"/>
      <c r="E4472" s="226"/>
      <c r="F4472" s="226"/>
      <c r="G4472" s="226"/>
      <c r="H4472" s="226"/>
      <c r="I4472" s="9" t="str">
        <f t="shared" si="69"/>
        <v>__</v>
      </c>
    </row>
    <row r="4473" spans="1:9" x14ac:dyDescent="0.35">
      <c r="A4473" s="226"/>
      <c r="B4473" s="226"/>
      <c r="C4473" s="226"/>
      <c r="D4473" s="226"/>
      <c r="E4473" s="226"/>
      <c r="F4473" s="226"/>
      <c r="G4473" s="226"/>
      <c r="H4473" s="226"/>
      <c r="I4473" s="9" t="str">
        <f t="shared" si="69"/>
        <v>__</v>
      </c>
    </row>
    <row r="4474" spans="1:9" x14ac:dyDescent="0.35">
      <c r="A4474" s="226"/>
      <c r="B4474" s="226"/>
      <c r="C4474" s="226"/>
      <c r="D4474" s="226"/>
      <c r="E4474" s="226"/>
      <c r="F4474" s="226"/>
      <c r="G4474" s="226"/>
      <c r="H4474" s="226"/>
      <c r="I4474" s="9" t="str">
        <f t="shared" si="69"/>
        <v>__</v>
      </c>
    </row>
    <row r="4475" spans="1:9" x14ac:dyDescent="0.35">
      <c r="A4475" s="226"/>
      <c r="B4475" s="226"/>
      <c r="C4475" s="226"/>
      <c r="D4475" s="226"/>
      <c r="E4475" s="226"/>
      <c r="F4475" s="226"/>
      <c r="G4475" s="226"/>
      <c r="H4475" s="226"/>
      <c r="I4475" s="9" t="str">
        <f t="shared" si="69"/>
        <v>__</v>
      </c>
    </row>
    <row r="4476" spans="1:9" x14ac:dyDescent="0.35">
      <c r="A4476" s="226"/>
      <c r="B4476" s="226"/>
      <c r="C4476" s="226"/>
      <c r="D4476" s="226"/>
      <c r="E4476" s="226"/>
      <c r="F4476" s="226"/>
      <c r="G4476" s="226"/>
      <c r="H4476" s="226"/>
      <c r="I4476" s="9" t="str">
        <f t="shared" si="69"/>
        <v>__</v>
      </c>
    </row>
    <row r="4477" spans="1:9" x14ac:dyDescent="0.35">
      <c r="A4477" s="226"/>
      <c r="B4477" s="226"/>
      <c r="C4477" s="226"/>
      <c r="D4477" s="226"/>
      <c r="E4477" s="226"/>
      <c r="F4477" s="226"/>
      <c r="G4477" s="226"/>
      <c r="H4477" s="226"/>
      <c r="I4477" s="9" t="str">
        <f t="shared" si="69"/>
        <v>__</v>
      </c>
    </row>
    <row r="4478" spans="1:9" x14ac:dyDescent="0.35">
      <c r="A4478" s="226"/>
      <c r="B4478" s="226"/>
      <c r="C4478" s="226"/>
      <c r="D4478" s="226"/>
      <c r="E4478" s="226"/>
      <c r="F4478" s="226"/>
      <c r="G4478" s="226"/>
      <c r="H4478" s="226"/>
      <c r="I4478" s="9" t="str">
        <f t="shared" si="69"/>
        <v>__</v>
      </c>
    </row>
    <row r="4479" spans="1:9" x14ac:dyDescent="0.35">
      <c r="A4479" s="226"/>
      <c r="B4479" s="226"/>
      <c r="C4479" s="226"/>
      <c r="D4479" s="226"/>
      <c r="E4479" s="226"/>
      <c r="F4479" s="226"/>
      <c r="G4479" s="226"/>
      <c r="H4479" s="226"/>
      <c r="I4479" s="9" t="str">
        <f t="shared" si="69"/>
        <v>__</v>
      </c>
    </row>
    <row r="4480" spans="1:9" x14ac:dyDescent="0.35">
      <c r="A4480" s="226"/>
      <c r="B4480" s="226"/>
      <c r="C4480" s="226"/>
      <c r="D4480" s="226"/>
      <c r="E4480" s="226"/>
      <c r="F4480" s="226"/>
      <c r="G4480" s="226"/>
      <c r="H4480" s="226"/>
      <c r="I4480" s="9" t="str">
        <f t="shared" si="69"/>
        <v>__</v>
      </c>
    </row>
    <row r="4481" spans="1:9" x14ac:dyDescent="0.35">
      <c r="A4481" s="226"/>
      <c r="B4481" s="226"/>
      <c r="C4481" s="226"/>
      <c r="D4481" s="226"/>
      <c r="E4481" s="226"/>
      <c r="F4481" s="226"/>
      <c r="G4481" s="226"/>
      <c r="H4481" s="226"/>
      <c r="I4481" s="9" t="str">
        <f t="shared" si="69"/>
        <v>__</v>
      </c>
    </row>
    <row r="4482" spans="1:9" x14ac:dyDescent="0.35">
      <c r="A4482" s="226"/>
      <c r="B4482" s="226"/>
      <c r="C4482" s="226"/>
      <c r="D4482" s="226"/>
      <c r="E4482" s="226"/>
      <c r="F4482" s="226"/>
      <c r="G4482" s="226"/>
      <c r="H4482" s="226"/>
      <c r="I4482" s="9" t="str">
        <f t="shared" si="69"/>
        <v>__</v>
      </c>
    </row>
    <row r="4483" spans="1:9" x14ac:dyDescent="0.35">
      <c r="A4483" s="226"/>
      <c r="B4483" s="226"/>
      <c r="C4483" s="226"/>
      <c r="D4483" s="226"/>
      <c r="E4483" s="226"/>
      <c r="F4483" s="226"/>
      <c r="G4483" s="226"/>
      <c r="H4483" s="226"/>
      <c r="I4483" s="9" t="str">
        <f t="shared" si="69"/>
        <v>__</v>
      </c>
    </row>
    <row r="4484" spans="1:9" x14ac:dyDescent="0.35">
      <c r="A4484" s="226"/>
      <c r="B4484" s="226"/>
      <c r="C4484" s="226"/>
      <c r="D4484" s="226"/>
      <c r="E4484" s="226"/>
      <c r="F4484" s="226"/>
      <c r="G4484" s="226"/>
      <c r="H4484" s="226"/>
      <c r="I4484" s="9" t="str">
        <f t="shared" si="69"/>
        <v>__</v>
      </c>
    </row>
    <row r="4485" spans="1:9" x14ac:dyDescent="0.35">
      <c r="A4485" s="226"/>
      <c r="B4485" s="226"/>
      <c r="C4485" s="226"/>
      <c r="D4485" s="226"/>
      <c r="E4485" s="226"/>
      <c r="F4485" s="226"/>
      <c r="G4485" s="226"/>
      <c r="H4485" s="226"/>
      <c r="I4485" s="9" t="str">
        <f t="shared" ref="I4485:I4548" si="70">CONCATENATE(A4485,"_",B4485,"_",C4485)</f>
        <v>__</v>
      </c>
    </row>
    <row r="4486" spans="1:9" x14ac:dyDescent="0.35">
      <c r="A4486" s="226"/>
      <c r="B4486" s="226"/>
      <c r="C4486" s="226"/>
      <c r="D4486" s="226"/>
      <c r="E4486" s="226"/>
      <c r="F4486" s="226"/>
      <c r="G4486" s="226"/>
      <c r="H4486" s="226"/>
      <c r="I4486" s="9" t="str">
        <f t="shared" si="70"/>
        <v>__</v>
      </c>
    </row>
    <row r="4487" spans="1:9" x14ac:dyDescent="0.35">
      <c r="A4487" s="226"/>
      <c r="B4487" s="226"/>
      <c r="C4487" s="226"/>
      <c r="D4487" s="226"/>
      <c r="E4487" s="226"/>
      <c r="F4487" s="226"/>
      <c r="G4487" s="226"/>
      <c r="H4487" s="226"/>
      <c r="I4487" s="9" t="str">
        <f t="shared" si="70"/>
        <v>__</v>
      </c>
    </row>
    <row r="4488" spans="1:9" x14ac:dyDescent="0.35">
      <c r="A4488" s="226"/>
      <c r="B4488" s="226"/>
      <c r="C4488" s="226"/>
      <c r="D4488" s="226"/>
      <c r="E4488" s="226"/>
      <c r="F4488" s="226"/>
      <c r="G4488" s="226"/>
      <c r="H4488" s="226"/>
      <c r="I4488" s="9" t="str">
        <f t="shared" si="70"/>
        <v>__</v>
      </c>
    </row>
    <row r="4489" spans="1:9" x14ac:dyDescent="0.35">
      <c r="A4489" s="226"/>
      <c r="B4489" s="226"/>
      <c r="C4489" s="226"/>
      <c r="D4489" s="226"/>
      <c r="E4489" s="226"/>
      <c r="F4489" s="226"/>
      <c r="G4489" s="226"/>
      <c r="H4489" s="226"/>
      <c r="I4489" s="9" t="str">
        <f t="shared" si="70"/>
        <v>__</v>
      </c>
    </row>
    <row r="4490" spans="1:9" x14ac:dyDescent="0.35">
      <c r="A4490" s="226"/>
      <c r="B4490" s="226"/>
      <c r="C4490" s="226"/>
      <c r="D4490" s="226"/>
      <c r="E4490" s="226"/>
      <c r="F4490" s="226"/>
      <c r="G4490" s="226"/>
      <c r="H4490" s="226"/>
      <c r="I4490" s="9" t="str">
        <f t="shared" si="70"/>
        <v>__</v>
      </c>
    </row>
    <row r="4491" spans="1:9" x14ac:dyDescent="0.35">
      <c r="A4491" s="226"/>
      <c r="B4491" s="226"/>
      <c r="C4491" s="226"/>
      <c r="D4491" s="226"/>
      <c r="E4491" s="226"/>
      <c r="F4491" s="226"/>
      <c r="G4491" s="226"/>
      <c r="H4491" s="226"/>
      <c r="I4491" s="9" t="str">
        <f t="shared" si="70"/>
        <v>__</v>
      </c>
    </row>
    <row r="4492" spans="1:9" x14ac:dyDescent="0.35">
      <c r="A4492" s="226"/>
      <c r="B4492" s="226"/>
      <c r="C4492" s="226"/>
      <c r="D4492" s="226"/>
      <c r="E4492" s="226"/>
      <c r="F4492" s="226"/>
      <c r="G4492" s="226"/>
      <c r="H4492" s="226"/>
      <c r="I4492" s="9" t="str">
        <f t="shared" si="70"/>
        <v>__</v>
      </c>
    </row>
    <row r="4493" spans="1:9" x14ac:dyDescent="0.35">
      <c r="A4493" s="226"/>
      <c r="B4493" s="226"/>
      <c r="C4493" s="226"/>
      <c r="D4493" s="226"/>
      <c r="E4493" s="226"/>
      <c r="F4493" s="226"/>
      <c r="G4493" s="226"/>
      <c r="H4493" s="226"/>
      <c r="I4493" s="9" t="str">
        <f t="shared" si="70"/>
        <v>__</v>
      </c>
    </row>
    <row r="4494" spans="1:9" x14ac:dyDescent="0.35">
      <c r="A4494" s="226"/>
      <c r="B4494" s="226"/>
      <c r="C4494" s="226"/>
      <c r="D4494" s="226"/>
      <c r="E4494" s="226"/>
      <c r="F4494" s="226"/>
      <c r="G4494" s="226"/>
      <c r="H4494" s="226"/>
      <c r="I4494" s="9" t="str">
        <f t="shared" si="70"/>
        <v>__</v>
      </c>
    </row>
    <row r="4495" spans="1:9" x14ac:dyDescent="0.35">
      <c r="A4495" s="226"/>
      <c r="B4495" s="226"/>
      <c r="C4495" s="226"/>
      <c r="D4495" s="226"/>
      <c r="E4495" s="226"/>
      <c r="F4495" s="226"/>
      <c r="G4495" s="226"/>
      <c r="H4495" s="226"/>
      <c r="I4495" s="9" t="str">
        <f t="shared" si="70"/>
        <v>__</v>
      </c>
    </row>
    <row r="4496" spans="1:9" x14ac:dyDescent="0.35">
      <c r="A4496" s="226"/>
      <c r="B4496" s="226"/>
      <c r="C4496" s="226"/>
      <c r="D4496" s="226"/>
      <c r="E4496" s="226"/>
      <c r="F4496" s="226"/>
      <c r="G4496" s="226"/>
      <c r="H4496" s="226"/>
      <c r="I4496" s="9" t="str">
        <f t="shared" si="70"/>
        <v>__</v>
      </c>
    </row>
    <row r="4497" spans="1:9" x14ac:dyDescent="0.35">
      <c r="A4497" s="226"/>
      <c r="B4497" s="226"/>
      <c r="C4497" s="226"/>
      <c r="D4497" s="226"/>
      <c r="E4497" s="226"/>
      <c r="F4497" s="226"/>
      <c r="G4497" s="226"/>
      <c r="H4497" s="226"/>
      <c r="I4497" s="9" t="str">
        <f t="shared" si="70"/>
        <v>__</v>
      </c>
    </row>
    <row r="4498" spans="1:9" x14ac:dyDescent="0.35">
      <c r="A4498" s="226"/>
      <c r="B4498" s="226"/>
      <c r="C4498" s="226"/>
      <c r="D4498" s="226"/>
      <c r="E4498" s="226"/>
      <c r="F4498" s="226"/>
      <c r="G4498" s="226"/>
      <c r="H4498" s="226"/>
      <c r="I4498" s="9" t="str">
        <f t="shared" si="70"/>
        <v>__</v>
      </c>
    </row>
    <row r="4499" spans="1:9" x14ac:dyDescent="0.35">
      <c r="A4499" s="226"/>
      <c r="B4499" s="226"/>
      <c r="C4499" s="226"/>
      <c r="D4499" s="226"/>
      <c r="E4499" s="226"/>
      <c r="F4499" s="226"/>
      <c r="G4499" s="226"/>
      <c r="H4499" s="226"/>
      <c r="I4499" s="9" t="str">
        <f t="shared" si="70"/>
        <v>__</v>
      </c>
    </row>
    <row r="4500" spans="1:9" x14ac:dyDescent="0.35">
      <c r="A4500" s="226"/>
      <c r="B4500" s="226"/>
      <c r="C4500" s="226"/>
      <c r="D4500" s="226"/>
      <c r="E4500" s="226"/>
      <c r="F4500" s="226"/>
      <c r="G4500" s="226"/>
      <c r="H4500" s="226"/>
      <c r="I4500" s="9" t="str">
        <f t="shared" si="70"/>
        <v>__</v>
      </c>
    </row>
    <row r="4501" spans="1:9" x14ac:dyDescent="0.35">
      <c r="A4501" s="226"/>
      <c r="B4501" s="226"/>
      <c r="C4501" s="226"/>
      <c r="D4501" s="226"/>
      <c r="E4501" s="226"/>
      <c r="F4501" s="226"/>
      <c r="G4501" s="226"/>
      <c r="H4501" s="226"/>
      <c r="I4501" s="9" t="str">
        <f t="shared" si="70"/>
        <v>__</v>
      </c>
    </row>
    <row r="4502" spans="1:9" x14ac:dyDescent="0.35">
      <c r="A4502" s="226"/>
      <c r="B4502" s="226"/>
      <c r="C4502" s="226"/>
      <c r="D4502" s="226"/>
      <c r="E4502" s="226"/>
      <c r="F4502" s="226"/>
      <c r="G4502" s="226"/>
      <c r="H4502" s="226"/>
      <c r="I4502" s="9" t="str">
        <f t="shared" si="70"/>
        <v>__</v>
      </c>
    </row>
    <row r="4503" spans="1:9" x14ac:dyDescent="0.35">
      <c r="A4503" s="226"/>
      <c r="B4503" s="226"/>
      <c r="C4503" s="226"/>
      <c r="D4503" s="226"/>
      <c r="E4503" s="226"/>
      <c r="F4503" s="226"/>
      <c r="G4503" s="226"/>
      <c r="H4503" s="226"/>
      <c r="I4503" s="9" t="str">
        <f t="shared" si="70"/>
        <v>__</v>
      </c>
    </row>
    <row r="4504" spans="1:9" x14ac:dyDescent="0.35">
      <c r="A4504" s="226"/>
      <c r="B4504" s="226"/>
      <c r="C4504" s="226"/>
      <c r="D4504" s="226"/>
      <c r="E4504" s="226"/>
      <c r="F4504" s="226"/>
      <c r="G4504" s="226"/>
      <c r="H4504" s="226"/>
      <c r="I4504" s="9" t="str">
        <f t="shared" si="70"/>
        <v>__</v>
      </c>
    </row>
    <row r="4505" spans="1:9" x14ac:dyDescent="0.35">
      <c r="A4505" s="226"/>
      <c r="B4505" s="226"/>
      <c r="C4505" s="226"/>
      <c r="D4505" s="226"/>
      <c r="E4505" s="226"/>
      <c r="F4505" s="226"/>
      <c r="G4505" s="226"/>
      <c r="H4505" s="226"/>
      <c r="I4505" s="9" t="str">
        <f t="shared" si="70"/>
        <v>__</v>
      </c>
    </row>
    <row r="4506" spans="1:9" x14ac:dyDescent="0.35">
      <c r="A4506" s="226"/>
      <c r="B4506" s="226"/>
      <c r="C4506" s="226"/>
      <c r="D4506" s="226"/>
      <c r="E4506" s="226"/>
      <c r="F4506" s="226"/>
      <c r="G4506" s="226"/>
      <c r="H4506" s="226"/>
      <c r="I4506" s="9" t="str">
        <f t="shared" si="70"/>
        <v>__</v>
      </c>
    </row>
    <row r="4507" spans="1:9" x14ac:dyDescent="0.35">
      <c r="A4507" s="226"/>
      <c r="B4507" s="226"/>
      <c r="C4507" s="226"/>
      <c r="D4507" s="226"/>
      <c r="E4507" s="226"/>
      <c r="F4507" s="226"/>
      <c r="G4507" s="226"/>
      <c r="H4507" s="226"/>
      <c r="I4507" s="9" t="str">
        <f t="shared" si="70"/>
        <v>__</v>
      </c>
    </row>
    <row r="4508" spans="1:9" x14ac:dyDescent="0.35">
      <c r="A4508" s="226"/>
      <c r="B4508" s="226"/>
      <c r="C4508" s="226"/>
      <c r="D4508" s="226"/>
      <c r="E4508" s="226"/>
      <c r="F4508" s="226"/>
      <c r="G4508" s="226"/>
      <c r="H4508" s="226"/>
      <c r="I4508" s="9" t="str">
        <f t="shared" si="70"/>
        <v>__</v>
      </c>
    </row>
    <row r="4509" spans="1:9" x14ac:dyDescent="0.35">
      <c r="A4509" s="226"/>
      <c r="B4509" s="226"/>
      <c r="C4509" s="226"/>
      <c r="D4509" s="226"/>
      <c r="E4509" s="226"/>
      <c r="F4509" s="226"/>
      <c r="G4509" s="226"/>
      <c r="H4509" s="226"/>
      <c r="I4509" s="9" t="str">
        <f t="shared" si="70"/>
        <v>__</v>
      </c>
    </row>
    <row r="4510" spans="1:9" x14ac:dyDescent="0.35">
      <c r="A4510" s="226"/>
      <c r="B4510" s="226"/>
      <c r="C4510" s="226"/>
      <c r="D4510" s="226"/>
      <c r="E4510" s="226"/>
      <c r="F4510" s="226"/>
      <c r="G4510" s="226"/>
      <c r="H4510" s="226"/>
      <c r="I4510" s="9" t="str">
        <f t="shared" si="70"/>
        <v>__</v>
      </c>
    </row>
    <row r="4511" spans="1:9" x14ac:dyDescent="0.35">
      <c r="A4511" s="226"/>
      <c r="B4511" s="226"/>
      <c r="C4511" s="226"/>
      <c r="D4511" s="226"/>
      <c r="E4511" s="226"/>
      <c r="F4511" s="226"/>
      <c r="G4511" s="226"/>
      <c r="H4511" s="226"/>
      <c r="I4511" s="9" t="str">
        <f t="shared" si="70"/>
        <v>__</v>
      </c>
    </row>
    <row r="4512" spans="1:9" x14ac:dyDescent="0.35">
      <c r="A4512" s="226"/>
      <c r="B4512" s="226"/>
      <c r="C4512" s="226"/>
      <c r="D4512" s="226"/>
      <c r="E4512" s="226"/>
      <c r="F4512" s="226"/>
      <c r="G4512" s="226"/>
      <c r="H4512" s="226"/>
      <c r="I4512" s="9" t="str">
        <f t="shared" si="70"/>
        <v>__</v>
      </c>
    </row>
    <row r="4513" spans="1:9" x14ac:dyDescent="0.35">
      <c r="A4513" s="226"/>
      <c r="B4513" s="226"/>
      <c r="C4513" s="226"/>
      <c r="D4513" s="226"/>
      <c r="E4513" s="226"/>
      <c r="F4513" s="226"/>
      <c r="G4513" s="226"/>
      <c r="H4513" s="226"/>
      <c r="I4513" s="9" t="str">
        <f t="shared" si="70"/>
        <v>__</v>
      </c>
    </row>
    <row r="4514" spans="1:9" x14ac:dyDescent="0.35">
      <c r="A4514" s="226"/>
      <c r="B4514" s="226"/>
      <c r="C4514" s="226"/>
      <c r="D4514" s="226"/>
      <c r="E4514" s="226"/>
      <c r="F4514" s="226"/>
      <c r="G4514" s="226"/>
      <c r="H4514" s="226"/>
      <c r="I4514" s="9" t="str">
        <f t="shared" si="70"/>
        <v>__</v>
      </c>
    </row>
    <row r="4515" spans="1:9" x14ac:dyDescent="0.35">
      <c r="A4515" s="226"/>
      <c r="B4515" s="226"/>
      <c r="C4515" s="226"/>
      <c r="D4515" s="226"/>
      <c r="E4515" s="226"/>
      <c r="F4515" s="226"/>
      <c r="G4515" s="226"/>
      <c r="H4515" s="226"/>
      <c r="I4515" s="9" t="str">
        <f t="shared" si="70"/>
        <v>__</v>
      </c>
    </row>
    <row r="4516" spans="1:9" x14ac:dyDescent="0.35">
      <c r="A4516" s="226"/>
      <c r="B4516" s="226"/>
      <c r="C4516" s="226"/>
      <c r="D4516" s="226"/>
      <c r="E4516" s="226"/>
      <c r="F4516" s="226"/>
      <c r="G4516" s="226"/>
      <c r="H4516" s="226"/>
      <c r="I4516" s="9" t="str">
        <f t="shared" si="70"/>
        <v>__</v>
      </c>
    </row>
    <row r="4517" spans="1:9" x14ac:dyDescent="0.35">
      <c r="A4517" s="226"/>
      <c r="B4517" s="226"/>
      <c r="C4517" s="226"/>
      <c r="D4517" s="226"/>
      <c r="E4517" s="226"/>
      <c r="F4517" s="226"/>
      <c r="G4517" s="226"/>
      <c r="H4517" s="226"/>
      <c r="I4517" s="9" t="str">
        <f t="shared" si="70"/>
        <v>__</v>
      </c>
    </row>
    <row r="4518" spans="1:9" x14ac:dyDescent="0.35">
      <c r="A4518" s="226"/>
      <c r="B4518" s="226"/>
      <c r="C4518" s="226"/>
      <c r="D4518" s="226"/>
      <c r="E4518" s="226"/>
      <c r="F4518" s="226"/>
      <c r="G4518" s="226"/>
      <c r="H4518" s="226"/>
      <c r="I4518" s="9" t="str">
        <f t="shared" si="70"/>
        <v>__</v>
      </c>
    </row>
    <row r="4519" spans="1:9" x14ac:dyDescent="0.35">
      <c r="A4519" s="226"/>
      <c r="B4519" s="226"/>
      <c r="C4519" s="226"/>
      <c r="D4519" s="226"/>
      <c r="E4519" s="226"/>
      <c r="F4519" s="226"/>
      <c r="G4519" s="226"/>
      <c r="H4519" s="226"/>
      <c r="I4519" s="9" t="str">
        <f t="shared" si="70"/>
        <v>__</v>
      </c>
    </row>
    <row r="4520" spans="1:9" x14ac:dyDescent="0.35">
      <c r="A4520" s="226"/>
      <c r="B4520" s="226"/>
      <c r="C4520" s="226"/>
      <c r="D4520" s="226"/>
      <c r="E4520" s="226"/>
      <c r="F4520" s="226"/>
      <c r="G4520" s="226"/>
      <c r="H4520" s="226"/>
      <c r="I4520" s="9" t="str">
        <f t="shared" si="70"/>
        <v>__</v>
      </c>
    </row>
    <row r="4521" spans="1:9" x14ac:dyDescent="0.35">
      <c r="A4521" s="226"/>
      <c r="B4521" s="226"/>
      <c r="C4521" s="226"/>
      <c r="D4521" s="226"/>
      <c r="E4521" s="226"/>
      <c r="F4521" s="226"/>
      <c r="G4521" s="226"/>
      <c r="H4521" s="226"/>
      <c r="I4521" s="9" t="str">
        <f t="shared" si="70"/>
        <v>__</v>
      </c>
    </row>
    <row r="4522" spans="1:9" x14ac:dyDescent="0.35">
      <c r="A4522" s="226"/>
      <c r="B4522" s="226"/>
      <c r="C4522" s="226"/>
      <c r="D4522" s="226"/>
      <c r="E4522" s="226"/>
      <c r="F4522" s="226"/>
      <c r="G4522" s="226"/>
      <c r="H4522" s="226"/>
      <c r="I4522" s="9" t="str">
        <f t="shared" si="70"/>
        <v>__</v>
      </c>
    </row>
    <row r="4523" spans="1:9" x14ac:dyDescent="0.35">
      <c r="A4523" s="226"/>
      <c r="B4523" s="226"/>
      <c r="C4523" s="226"/>
      <c r="D4523" s="226"/>
      <c r="E4523" s="226"/>
      <c r="F4523" s="226"/>
      <c r="G4523" s="226"/>
      <c r="H4523" s="226"/>
      <c r="I4523" s="9" t="str">
        <f t="shared" si="70"/>
        <v>__</v>
      </c>
    </row>
    <row r="4524" spans="1:9" x14ac:dyDescent="0.35">
      <c r="A4524" s="226"/>
      <c r="B4524" s="226"/>
      <c r="C4524" s="226"/>
      <c r="D4524" s="226"/>
      <c r="E4524" s="226"/>
      <c r="F4524" s="226"/>
      <c r="G4524" s="226"/>
      <c r="H4524" s="226"/>
      <c r="I4524" s="9" t="str">
        <f t="shared" si="70"/>
        <v>__</v>
      </c>
    </row>
    <row r="4525" spans="1:9" x14ac:dyDescent="0.35">
      <c r="A4525" s="226"/>
      <c r="B4525" s="226"/>
      <c r="C4525" s="226"/>
      <c r="D4525" s="226"/>
      <c r="E4525" s="226"/>
      <c r="F4525" s="226"/>
      <c r="G4525" s="226"/>
      <c r="H4525" s="226"/>
      <c r="I4525" s="9" t="str">
        <f t="shared" si="70"/>
        <v>__</v>
      </c>
    </row>
    <row r="4526" spans="1:9" x14ac:dyDescent="0.35">
      <c r="A4526" s="226"/>
      <c r="B4526" s="226"/>
      <c r="C4526" s="226"/>
      <c r="D4526" s="226"/>
      <c r="E4526" s="226"/>
      <c r="F4526" s="226"/>
      <c r="G4526" s="226"/>
      <c r="H4526" s="226"/>
      <c r="I4526" s="9" t="str">
        <f t="shared" si="70"/>
        <v>__</v>
      </c>
    </row>
    <row r="4527" spans="1:9" x14ac:dyDescent="0.35">
      <c r="A4527" s="226"/>
      <c r="B4527" s="226"/>
      <c r="C4527" s="226"/>
      <c r="D4527" s="226"/>
      <c r="E4527" s="226"/>
      <c r="F4527" s="226"/>
      <c r="G4527" s="226"/>
      <c r="H4527" s="226"/>
      <c r="I4527" s="9" t="str">
        <f t="shared" si="70"/>
        <v>__</v>
      </c>
    </row>
    <row r="4528" spans="1:9" x14ac:dyDescent="0.35">
      <c r="A4528" s="226"/>
      <c r="B4528" s="226"/>
      <c r="C4528" s="226"/>
      <c r="D4528" s="226"/>
      <c r="E4528" s="226"/>
      <c r="F4528" s="226"/>
      <c r="G4528" s="226"/>
      <c r="H4528" s="226"/>
      <c r="I4528" s="9" t="str">
        <f t="shared" si="70"/>
        <v>__</v>
      </c>
    </row>
    <row r="4529" spans="1:9" x14ac:dyDescent="0.35">
      <c r="A4529" s="226"/>
      <c r="B4529" s="226"/>
      <c r="C4529" s="226"/>
      <c r="D4529" s="226"/>
      <c r="E4529" s="226"/>
      <c r="F4529" s="226"/>
      <c r="G4529" s="226"/>
      <c r="H4529" s="226"/>
      <c r="I4529" s="9" t="str">
        <f t="shared" si="70"/>
        <v>__</v>
      </c>
    </row>
    <row r="4530" spans="1:9" x14ac:dyDescent="0.35">
      <c r="A4530" s="226"/>
      <c r="B4530" s="226"/>
      <c r="C4530" s="226"/>
      <c r="D4530" s="226"/>
      <c r="E4530" s="226"/>
      <c r="F4530" s="226"/>
      <c r="G4530" s="226"/>
      <c r="H4530" s="226"/>
      <c r="I4530" s="9" t="str">
        <f t="shared" si="70"/>
        <v>__</v>
      </c>
    </row>
    <row r="4531" spans="1:9" x14ac:dyDescent="0.35">
      <c r="A4531" s="226"/>
      <c r="B4531" s="226"/>
      <c r="C4531" s="226"/>
      <c r="D4531" s="226"/>
      <c r="E4531" s="226"/>
      <c r="F4531" s="226"/>
      <c r="G4531" s="226"/>
      <c r="H4531" s="226"/>
      <c r="I4531" s="9" t="str">
        <f t="shared" si="70"/>
        <v>__</v>
      </c>
    </row>
    <row r="4532" spans="1:9" x14ac:dyDescent="0.35">
      <c r="A4532" s="226"/>
      <c r="B4532" s="226"/>
      <c r="C4532" s="226"/>
      <c r="D4532" s="226"/>
      <c r="E4532" s="226"/>
      <c r="F4532" s="226"/>
      <c r="G4532" s="226"/>
      <c r="H4532" s="226"/>
      <c r="I4532" s="9" t="str">
        <f t="shared" si="70"/>
        <v>__</v>
      </c>
    </row>
    <row r="4533" spans="1:9" x14ac:dyDescent="0.35">
      <c r="A4533" s="226"/>
      <c r="B4533" s="226"/>
      <c r="C4533" s="226"/>
      <c r="D4533" s="226"/>
      <c r="E4533" s="226"/>
      <c r="F4533" s="226"/>
      <c r="G4533" s="226"/>
      <c r="H4533" s="226"/>
      <c r="I4533" s="9" t="str">
        <f t="shared" si="70"/>
        <v>__</v>
      </c>
    </row>
    <row r="4534" spans="1:9" x14ac:dyDescent="0.35">
      <c r="A4534" s="226"/>
      <c r="B4534" s="226"/>
      <c r="C4534" s="226"/>
      <c r="D4534" s="226"/>
      <c r="E4534" s="226"/>
      <c r="F4534" s="226"/>
      <c r="G4534" s="226"/>
      <c r="H4534" s="226"/>
      <c r="I4534" s="9" t="str">
        <f t="shared" si="70"/>
        <v>__</v>
      </c>
    </row>
    <row r="4535" spans="1:9" x14ac:dyDescent="0.35">
      <c r="A4535" s="226"/>
      <c r="B4535" s="226"/>
      <c r="C4535" s="226"/>
      <c r="D4535" s="226"/>
      <c r="E4535" s="226"/>
      <c r="F4535" s="226"/>
      <c r="G4535" s="226"/>
      <c r="H4535" s="226"/>
      <c r="I4535" s="9" t="str">
        <f t="shared" si="70"/>
        <v>__</v>
      </c>
    </row>
    <row r="4536" spans="1:9" x14ac:dyDescent="0.35">
      <c r="A4536" s="226"/>
      <c r="B4536" s="226"/>
      <c r="C4536" s="226"/>
      <c r="D4536" s="226"/>
      <c r="E4536" s="226"/>
      <c r="F4536" s="226"/>
      <c r="G4536" s="226"/>
      <c r="H4536" s="226"/>
      <c r="I4536" s="9" t="str">
        <f t="shared" si="70"/>
        <v>__</v>
      </c>
    </row>
    <row r="4537" spans="1:9" x14ac:dyDescent="0.35">
      <c r="A4537" s="226"/>
      <c r="B4537" s="226"/>
      <c r="C4537" s="226"/>
      <c r="D4537" s="226"/>
      <c r="E4537" s="226"/>
      <c r="F4537" s="226"/>
      <c r="G4537" s="226"/>
      <c r="H4537" s="226"/>
      <c r="I4537" s="9" t="str">
        <f t="shared" si="70"/>
        <v>__</v>
      </c>
    </row>
    <row r="4538" spans="1:9" x14ac:dyDescent="0.35">
      <c r="A4538" s="226"/>
      <c r="B4538" s="226"/>
      <c r="C4538" s="226"/>
      <c r="D4538" s="226"/>
      <c r="E4538" s="226"/>
      <c r="F4538" s="226"/>
      <c r="G4538" s="226"/>
      <c r="H4538" s="226"/>
      <c r="I4538" s="9" t="str">
        <f t="shared" si="70"/>
        <v>__</v>
      </c>
    </row>
    <row r="4539" spans="1:9" x14ac:dyDescent="0.35">
      <c r="A4539" s="226"/>
      <c r="B4539" s="226"/>
      <c r="C4539" s="226"/>
      <c r="D4539" s="226"/>
      <c r="E4539" s="226"/>
      <c r="F4539" s="226"/>
      <c r="G4539" s="226"/>
      <c r="H4539" s="226"/>
      <c r="I4539" s="9" t="str">
        <f t="shared" si="70"/>
        <v>__</v>
      </c>
    </row>
    <row r="4540" spans="1:9" x14ac:dyDescent="0.35">
      <c r="A4540" s="226"/>
      <c r="B4540" s="226"/>
      <c r="C4540" s="226"/>
      <c r="D4540" s="226"/>
      <c r="E4540" s="226"/>
      <c r="F4540" s="226"/>
      <c r="G4540" s="226"/>
      <c r="H4540" s="226"/>
      <c r="I4540" s="9" t="str">
        <f t="shared" si="70"/>
        <v>__</v>
      </c>
    </row>
    <row r="4541" spans="1:9" x14ac:dyDescent="0.35">
      <c r="A4541" s="226"/>
      <c r="B4541" s="226"/>
      <c r="C4541" s="226"/>
      <c r="D4541" s="226"/>
      <c r="E4541" s="226"/>
      <c r="F4541" s="226"/>
      <c r="G4541" s="226"/>
      <c r="H4541" s="226"/>
      <c r="I4541" s="9" t="str">
        <f t="shared" si="70"/>
        <v>__</v>
      </c>
    </row>
    <row r="4542" spans="1:9" x14ac:dyDescent="0.35">
      <c r="A4542" s="226"/>
      <c r="B4542" s="226"/>
      <c r="C4542" s="226"/>
      <c r="D4542" s="226"/>
      <c r="E4542" s="226"/>
      <c r="F4542" s="226"/>
      <c r="G4542" s="226"/>
      <c r="H4542" s="226"/>
      <c r="I4542" s="9" t="str">
        <f t="shared" si="70"/>
        <v>__</v>
      </c>
    </row>
    <row r="4543" spans="1:9" x14ac:dyDescent="0.35">
      <c r="A4543" s="226"/>
      <c r="B4543" s="226"/>
      <c r="C4543" s="226"/>
      <c r="D4543" s="226"/>
      <c r="E4543" s="226"/>
      <c r="F4543" s="226"/>
      <c r="G4543" s="226"/>
      <c r="H4543" s="226"/>
      <c r="I4543" s="9" t="str">
        <f t="shared" si="70"/>
        <v>__</v>
      </c>
    </row>
    <row r="4544" spans="1:9" x14ac:dyDescent="0.35">
      <c r="A4544" s="226"/>
      <c r="B4544" s="226"/>
      <c r="C4544" s="226"/>
      <c r="D4544" s="226"/>
      <c r="E4544" s="226"/>
      <c r="F4544" s="226"/>
      <c r="G4544" s="226"/>
      <c r="H4544" s="226"/>
      <c r="I4544" s="9" t="str">
        <f t="shared" si="70"/>
        <v>__</v>
      </c>
    </row>
    <row r="4545" spans="1:9" x14ac:dyDescent="0.35">
      <c r="A4545" s="226"/>
      <c r="B4545" s="226"/>
      <c r="C4545" s="226"/>
      <c r="D4545" s="226"/>
      <c r="E4545" s="226"/>
      <c r="F4545" s="226"/>
      <c r="G4545" s="226"/>
      <c r="H4545" s="226"/>
      <c r="I4545" s="9" t="str">
        <f t="shared" si="70"/>
        <v>__</v>
      </c>
    </row>
    <row r="4546" spans="1:9" x14ac:dyDescent="0.35">
      <c r="A4546" s="226"/>
      <c r="B4546" s="226"/>
      <c r="C4546" s="226"/>
      <c r="D4546" s="226"/>
      <c r="E4546" s="226"/>
      <c r="F4546" s="226"/>
      <c r="G4546" s="226"/>
      <c r="H4546" s="226"/>
      <c r="I4546" s="9" t="str">
        <f t="shared" si="70"/>
        <v>__</v>
      </c>
    </row>
    <row r="4547" spans="1:9" x14ac:dyDescent="0.35">
      <c r="A4547" s="226"/>
      <c r="B4547" s="226"/>
      <c r="C4547" s="226"/>
      <c r="D4547" s="226"/>
      <c r="E4547" s="226"/>
      <c r="F4547" s="226"/>
      <c r="G4547" s="226"/>
      <c r="H4547" s="226"/>
      <c r="I4547" s="9" t="str">
        <f t="shared" si="70"/>
        <v>__</v>
      </c>
    </row>
    <row r="4548" spans="1:9" x14ac:dyDescent="0.35">
      <c r="A4548" s="226"/>
      <c r="B4548" s="226"/>
      <c r="C4548" s="226"/>
      <c r="D4548" s="226"/>
      <c r="E4548" s="226"/>
      <c r="F4548" s="226"/>
      <c r="G4548" s="226"/>
      <c r="H4548" s="226"/>
      <c r="I4548" s="9" t="str">
        <f t="shared" si="70"/>
        <v>__</v>
      </c>
    </row>
    <row r="4549" spans="1:9" x14ac:dyDescent="0.35">
      <c r="A4549" s="226"/>
      <c r="B4549" s="226"/>
      <c r="C4549" s="226"/>
      <c r="D4549" s="226"/>
      <c r="E4549" s="226"/>
      <c r="F4549" s="226"/>
      <c r="G4549" s="226"/>
      <c r="H4549" s="226"/>
      <c r="I4549" s="9" t="str">
        <f t="shared" ref="I4549:I4612" si="71">CONCATENATE(A4549,"_",B4549,"_",C4549)</f>
        <v>__</v>
      </c>
    </row>
    <row r="4550" spans="1:9" x14ac:dyDescent="0.35">
      <c r="A4550" s="226"/>
      <c r="B4550" s="226"/>
      <c r="C4550" s="226"/>
      <c r="D4550" s="226"/>
      <c r="E4550" s="226"/>
      <c r="F4550" s="226"/>
      <c r="G4550" s="226"/>
      <c r="H4550" s="226"/>
      <c r="I4550" s="9" t="str">
        <f t="shared" si="71"/>
        <v>__</v>
      </c>
    </row>
    <row r="4551" spans="1:9" x14ac:dyDescent="0.35">
      <c r="A4551" s="226"/>
      <c r="B4551" s="226"/>
      <c r="C4551" s="226"/>
      <c r="D4551" s="226"/>
      <c r="E4551" s="226"/>
      <c r="F4551" s="226"/>
      <c r="G4551" s="226"/>
      <c r="H4551" s="226"/>
      <c r="I4551" s="9" t="str">
        <f t="shared" si="71"/>
        <v>__</v>
      </c>
    </row>
    <row r="4552" spans="1:9" x14ac:dyDescent="0.35">
      <c r="A4552" s="226"/>
      <c r="B4552" s="226"/>
      <c r="C4552" s="226"/>
      <c r="D4552" s="226"/>
      <c r="E4552" s="226"/>
      <c r="F4552" s="226"/>
      <c r="G4552" s="226"/>
      <c r="H4552" s="226"/>
      <c r="I4552" s="9" t="str">
        <f t="shared" si="71"/>
        <v>__</v>
      </c>
    </row>
    <row r="4553" spans="1:9" x14ac:dyDescent="0.35">
      <c r="A4553" s="226"/>
      <c r="B4553" s="226"/>
      <c r="C4553" s="226"/>
      <c r="D4553" s="226"/>
      <c r="E4553" s="226"/>
      <c r="F4553" s="226"/>
      <c r="G4553" s="226"/>
      <c r="H4553" s="226"/>
      <c r="I4553" s="9" t="str">
        <f t="shared" si="71"/>
        <v>__</v>
      </c>
    </row>
    <row r="4554" spans="1:9" x14ac:dyDescent="0.35">
      <c r="A4554" s="226"/>
      <c r="B4554" s="226"/>
      <c r="C4554" s="226"/>
      <c r="D4554" s="226"/>
      <c r="E4554" s="226"/>
      <c r="F4554" s="226"/>
      <c r="G4554" s="226"/>
      <c r="H4554" s="226"/>
      <c r="I4554" s="9" t="str">
        <f t="shared" si="71"/>
        <v>__</v>
      </c>
    </row>
    <row r="4555" spans="1:9" x14ac:dyDescent="0.35">
      <c r="A4555" s="226"/>
      <c r="B4555" s="226"/>
      <c r="C4555" s="226"/>
      <c r="D4555" s="226"/>
      <c r="E4555" s="226"/>
      <c r="F4555" s="226"/>
      <c r="G4555" s="226"/>
      <c r="H4555" s="226"/>
      <c r="I4555" s="9" t="str">
        <f t="shared" si="71"/>
        <v>__</v>
      </c>
    </row>
    <row r="4556" spans="1:9" x14ac:dyDescent="0.35">
      <c r="A4556" s="226"/>
      <c r="B4556" s="226"/>
      <c r="C4556" s="226"/>
      <c r="D4556" s="226"/>
      <c r="E4556" s="226"/>
      <c r="F4556" s="226"/>
      <c r="G4556" s="226"/>
      <c r="H4556" s="226"/>
      <c r="I4556" s="9" t="str">
        <f t="shared" si="71"/>
        <v>__</v>
      </c>
    </row>
    <row r="4557" spans="1:9" x14ac:dyDescent="0.35">
      <c r="A4557" s="226"/>
      <c r="B4557" s="226"/>
      <c r="C4557" s="226"/>
      <c r="D4557" s="226"/>
      <c r="E4557" s="226"/>
      <c r="F4557" s="226"/>
      <c r="G4557" s="226"/>
      <c r="H4557" s="226"/>
      <c r="I4557" s="9" t="str">
        <f t="shared" si="71"/>
        <v>__</v>
      </c>
    </row>
    <row r="4558" spans="1:9" x14ac:dyDescent="0.35">
      <c r="A4558" s="226"/>
      <c r="B4558" s="226"/>
      <c r="C4558" s="226"/>
      <c r="D4558" s="226"/>
      <c r="E4558" s="226"/>
      <c r="F4558" s="226"/>
      <c r="G4558" s="226"/>
      <c r="H4558" s="226"/>
      <c r="I4558" s="9" t="str">
        <f t="shared" si="71"/>
        <v>__</v>
      </c>
    </row>
    <row r="4559" spans="1:9" x14ac:dyDescent="0.35">
      <c r="A4559" s="226"/>
      <c r="B4559" s="226"/>
      <c r="C4559" s="226"/>
      <c r="D4559" s="226"/>
      <c r="E4559" s="226"/>
      <c r="F4559" s="226"/>
      <c r="G4559" s="226"/>
      <c r="H4559" s="226"/>
      <c r="I4559" s="9" t="str">
        <f t="shared" si="71"/>
        <v>__</v>
      </c>
    </row>
    <row r="4560" spans="1:9" x14ac:dyDescent="0.35">
      <c r="A4560" s="226"/>
      <c r="B4560" s="226"/>
      <c r="C4560" s="226"/>
      <c r="D4560" s="226"/>
      <c r="E4560" s="226"/>
      <c r="F4560" s="226"/>
      <c r="G4560" s="226"/>
      <c r="H4560" s="226"/>
      <c r="I4560" s="9" t="str">
        <f t="shared" si="71"/>
        <v>__</v>
      </c>
    </row>
    <row r="4561" spans="1:9" x14ac:dyDescent="0.35">
      <c r="A4561" s="226"/>
      <c r="B4561" s="226"/>
      <c r="C4561" s="226"/>
      <c r="D4561" s="226"/>
      <c r="E4561" s="226"/>
      <c r="F4561" s="226"/>
      <c r="G4561" s="226"/>
      <c r="H4561" s="226"/>
      <c r="I4561" s="9" t="str">
        <f t="shared" si="71"/>
        <v>__</v>
      </c>
    </row>
    <row r="4562" spans="1:9" x14ac:dyDescent="0.35">
      <c r="A4562" s="226"/>
      <c r="B4562" s="226"/>
      <c r="C4562" s="226"/>
      <c r="D4562" s="226"/>
      <c r="E4562" s="226"/>
      <c r="F4562" s="226"/>
      <c r="G4562" s="226"/>
      <c r="H4562" s="226"/>
      <c r="I4562" s="9" t="str">
        <f t="shared" si="71"/>
        <v>__</v>
      </c>
    </row>
    <row r="4563" spans="1:9" x14ac:dyDescent="0.35">
      <c r="A4563" s="226"/>
      <c r="B4563" s="226"/>
      <c r="C4563" s="226"/>
      <c r="D4563" s="226"/>
      <c r="E4563" s="226"/>
      <c r="F4563" s="226"/>
      <c r="G4563" s="226"/>
      <c r="H4563" s="226"/>
      <c r="I4563" s="9" t="str">
        <f t="shared" si="71"/>
        <v>__</v>
      </c>
    </row>
    <row r="4564" spans="1:9" x14ac:dyDescent="0.35">
      <c r="A4564" s="226"/>
      <c r="B4564" s="226"/>
      <c r="C4564" s="226"/>
      <c r="D4564" s="226"/>
      <c r="E4564" s="226"/>
      <c r="F4564" s="226"/>
      <c r="G4564" s="226"/>
      <c r="H4564" s="226"/>
      <c r="I4564" s="9" t="str">
        <f t="shared" si="71"/>
        <v>__</v>
      </c>
    </row>
    <row r="4565" spans="1:9" x14ac:dyDescent="0.35">
      <c r="A4565" s="226"/>
      <c r="B4565" s="226"/>
      <c r="C4565" s="226"/>
      <c r="D4565" s="226"/>
      <c r="E4565" s="226"/>
      <c r="F4565" s="226"/>
      <c r="G4565" s="226"/>
      <c r="H4565" s="226"/>
      <c r="I4565" s="9" t="str">
        <f t="shared" si="71"/>
        <v>__</v>
      </c>
    </row>
    <row r="4566" spans="1:9" x14ac:dyDescent="0.35">
      <c r="A4566" s="226"/>
      <c r="B4566" s="226"/>
      <c r="C4566" s="226"/>
      <c r="D4566" s="226"/>
      <c r="E4566" s="226"/>
      <c r="F4566" s="226"/>
      <c r="G4566" s="226"/>
      <c r="H4566" s="226"/>
      <c r="I4566" s="9" t="str">
        <f t="shared" si="71"/>
        <v>__</v>
      </c>
    </row>
    <row r="4567" spans="1:9" x14ac:dyDescent="0.35">
      <c r="A4567" s="226"/>
      <c r="B4567" s="226"/>
      <c r="C4567" s="226"/>
      <c r="D4567" s="226"/>
      <c r="E4567" s="226"/>
      <c r="F4567" s="226"/>
      <c r="G4567" s="226"/>
      <c r="H4567" s="226"/>
      <c r="I4567" s="9" t="str">
        <f t="shared" si="71"/>
        <v>__</v>
      </c>
    </row>
    <row r="4568" spans="1:9" x14ac:dyDescent="0.35">
      <c r="A4568" s="226"/>
      <c r="B4568" s="226"/>
      <c r="C4568" s="226"/>
      <c r="D4568" s="226"/>
      <c r="E4568" s="226"/>
      <c r="F4568" s="226"/>
      <c r="G4568" s="226"/>
      <c r="H4568" s="226"/>
      <c r="I4568" s="9" t="str">
        <f t="shared" si="71"/>
        <v>__</v>
      </c>
    </row>
    <row r="4569" spans="1:9" x14ac:dyDescent="0.35">
      <c r="A4569" s="226"/>
      <c r="B4569" s="226"/>
      <c r="C4569" s="226"/>
      <c r="D4569" s="226"/>
      <c r="E4569" s="226"/>
      <c r="F4569" s="226"/>
      <c r="G4569" s="226"/>
      <c r="H4569" s="226"/>
      <c r="I4569" s="9" t="str">
        <f t="shared" si="71"/>
        <v>__</v>
      </c>
    </row>
    <row r="4570" spans="1:9" x14ac:dyDescent="0.35">
      <c r="A4570" s="226"/>
      <c r="B4570" s="226"/>
      <c r="C4570" s="226"/>
      <c r="D4570" s="226"/>
      <c r="E4570" s="226"/>
      <c r="F4570" s="226"/>
      <c r="G4570" s="226"/>
      <c r="H4570" s="226"/>
      <c r="I4570" s="9" t="str">
        <f t="shared" si="71"/>
        <v>__</v>
      </c>
    </row>
    <row r="4571" spans="1:9" x14ac:dyDescent="0.35">
      <c r="A4571" s="226"/>
      <c r="B4571" s="226"/>
      <c r="C4571" s="226"/>
      <c r="D4571" s="226"/>
      <c r="E4571" s="226"/>
      <c r="F4571" s="226"/>
      <c r="G4571" s="226"/>
      <c r="H4571" s="226"/>
      <c r="I4571" s="9" t="str">
        <f t="shared" si="71"/>
        <v>__</v>
      </c>
    </row>
    <row r="4572" spans="1:9" x14ac:dyDescent="0.35">
      <c r="A4572" s="226"/>
      <c r="B4572" s="226"/>
      <c r="C4572" s="226"/>
      <c r="D4572" s="226"/>
      <c r="E4572" s="226"/>
      <c r="F4572" s="226"/>
      <c r="G4572" s="226"/>
      <c r="H4572" s="226"/>
      <c r="I4572" s="9" t="str">
        <f t="shared" si="71"/>
        <v>__</v>
      </c>
    </row>
    <row r="4573" spans="1:9" x14ac:dyDescent="0.35">
      <c r="A4573" s="226"/>
      <c r="B4573" s="226"/>
      <c r="C4573" s="226"/>
      <c r="D4573" s="226"/>
      <c r="E4573" s="226"/>
      <c r="F4573" s="226"/>
      <c r="G4573" s="226"/>
      <c r="H4573" s="226"/>
      <c r="I4573" s="9" t="str">
        <f t="shared" si="71"/>
        <v>__</v>
      </c>
    </row>
    <row r="4574" spans="1:9" x14ac:dyDescent="0.35">
      <c r="A4574" s="226"/>
      <c r="B4574" s="226"/>
      <c r="C4574" s="226"/>
      <c r="D4574" s="226"/>
      <c r="E4574" s="226"/>
      <c r="F4574" s="226"/>
      <c r="G4574" s="226"/>
      <c r="H4574" s="226"/>
      <c r="I4574" s="9" t="str">
        <f t="shared" si="71"/>
        <v>__</v>
      </c>
    </row>
    <row r="4575" spans="1:9" x14ac:dyDescent="0.35">
      <c r="A4575" s="226"/>
      <c r="B4575" s="226"/>
      <c r="C4575" s="226"/>
      <c r="D4575" s="226"/>
      <c r="E4575" s="226"/>
      <c r="F4575" s="226"/>
      <c r="G4575" s="226"/>
      <c r="H4575" s="226"/>
      <c r="I4575" s="9" t="str">
        <f t="shared" si="71"/>
        <v>__</v>
      </c>
    </row>
    <row r="4576" spans="1:9" x14ac:dyDescent="0.35">
      <c r="A4576" s="226"/>
      <c r="B4576" s="226"/>
      <c r="C4576" s="226"/>
      <c r="D4576" s="226"/>
      <c r="E4576" s="226"/>
      <c r="F4576" s="226"/>
      <c r="G4576" s="226"/>
      <c r="H4576" s="226"/>
      <c r="I4576" s="9" t="str">
        <f t="shared" si="71"/>
        <v>__</v>
      </c>
    </row>
    <row r="4577" spans="1:9" x14ac:dyDescent="0.35">
      <c r="A4577" s="226"/>
      <c r="B4577" s="226"/>
      <c r="C4577" s="226"/>
      <c r="D4577" s="226"/>
      <c r="E4577" s="226"/>
      <c r="F4577" s="226"/>
      <c r="G4577" s="226"/>
      <c r="H4577" s="226"/>
      <c r="I4577" s="9" t="str">
        <f t="shared" si="71"/>
        <v>__</v>
      </c>
    </row>
    <row r="4578" spans="1:9" x14ac:dyDescent="0.35">
      <c r="A4578" s="226"/>
      <c r="B4578" s="226"/>
      <c r="C4578" s="226"/>
      <c r="D4578" s="226"/>
      <c r="E4578" s="226"/>
      <c r="F4578" s="226"/>
      <c r="G4578" s="226"/>
      <c r="H4578" s="226"/>
      <c r="I4578" s="9" t="str">
        <f t="shared" si="71"/>
        <v>__</v>
      </c>
    </row>
    <row r="4579" spans="1:9" x14ac:dyDescent="0.35">
      <c r="A4579" s="226"/>
      <c r="B4579" s="226"/>
      <c r="C4579" s="226"/>
      <c r="D4579" s="226"/>
      <c r="E4579" s="226"/>
      <c r="F4579" s="226"/>
      <c r="G4579" s="226"/>
      <c r="H4579" s="226"/>
      <c r="I4579" s="9" t="str">
        <f t="shared" si="71"/>
        <v>__</v>
      </c>
    </row>
    <row r="4580" spans="1:9" x14ac:dyDescent="0.35">
      <c r="A4580" s="226"/>
      <c r="B4580" s="226"/>
      <c r="C4580" s="226"/>
      <c r="D4580" s="226"/>
      <c r="E4580" s="226"/>
      <c r="F4580" s="226"/>
      <c r="G4580" s="226"/>
      <c r="H4580" s="226"/>
      <c r="I4580" s="9" t="str">
        <f t="shared" si="71"/>
        <v>__</v>
      </c>
    </row>
    <row r="4581" spans="1:9" x14ac:dyDescent="0.35">
      <c r="A4581" s="226"/>
      <c r="B4581" s="226"/>
      <c r="C4581" s="226"/>
      <c r="D4581" s="226"/>
      <c r="E4581" s="226"/>
      <c r="F4581" s="226"/>
      <c r="G4581" s="226"/>
      <c r="H4581" s="226"/>
      <c r="I4581" s="9" t="str">
        <f t="shared" si="71"/>
        <v>__</v>
      </c>
    </row>
    <row r="4582" spans="1:9" x14ac:dyDescent="0.35">
      <c r="A4582" s="226"/>
      <c r="B4582" s="226"/>
      <c r="C4582" s="226"/>
      <c r="D4582" s="226"/>
      <c r="E4582" s="226"/>
      <c r="F4582" s="226"/>
      <c r="G4582" s="226"/>
      <c r="H4582" s="226"/>
      <c r="I4582" s="9" t="str">
        <f t="shared" si="71"/>
        <v>__</v>
      </c>
    </row>
    <row r="4583" spans="1:9" x14ac:dyDescent="0.35">
      <c r="A4583" s="226"/>
      <c r="B4583" s="226"/>
      <c r="C4583" s="226"/>
      <c r="D4583" s="226"/>
      <c r="E4583" s="226"/>
      <c r="F4583" s="226"/>
      <c r="G4583" s="226"/>
      <c r="H4583" s="226"/>
      <c r="I4583" s="9" t="str">
        <f t="shared" si="71"/>
        <v>__</v>
      </c>
    </row>
    <row r="4584" spans="1:9" x14ac:dyDescent="0.35">
      <c r="A4584" s="226"/>
      <c r="B4584" s="226"/>
      <c r="C4584" s="226"/>
      <c r="D4584" s="226"/>
      <c r="E4584" s="226"/>
      <c r="F4584" s="226"/>
      <c r="G4584" s="226"/>
      <c r="H4584" s="226"/>
      <c r="I4584" s="9" t="str">
        <f t="shared" si="71"/>
        <v>__</v>
      </c>
    </row>
    <row r="4585" spans="1:9" x14ac:dyDescent="0.35">
      <c r="A4585" s="226"/>
      <c r="B4585" s="226"/>
      <c r="C4585" s="226"/>
      <c r="D4585" s="226"/>
      <c r="E4585" s="226"/>
      <c r="F4585" s="226"/>
      <c r="G4585" s="226"/>
      <c r="H4585" s="226"/>
      <c r="I4585" s="9" t="str">
        <f t="shared" si="71"/>
        <v>__</v>
      </c>
    </row>
    <row r="4586" spans="1:9" x14ac:dyDescent="0.35">
      <c r="A4586" s="226"/>
      <c r="B4586" s="226"/>
      <c r="C4586" s="226"/>
      <c r="D4586" s="226"/>
      <c r="E4586" s="226"/>
      <c r="F4586" s="226"/>
      <c r="G4586" s="226"/>
      <c r="H4586" s="226"/>
      <c r="I4586" s="9" t="str">
        <f t="shared" si="71"/>
        <v>__</v>
      </c>
    </row>
    <row r="4587" spans="1:9" x14ac:dyDescent="0.35">
      <c r="A4587" s="226"/>
      <c r="B4587" s="226"/>
      <c r="C4587" s="226"/>
      <c r="D4587" s="226"/>
      <c r="E4587" s="226"/>
      <c r="F4587" s="226"/>
      <c r="G4587" s="226"/>
      <c r="H4587" s="226"/>
      <c r="I4587" s="9" t="str">
        <f t="shared" si="71"/>
        <v>__</v>
      </c>
    </row>
    <row r="4588" spans="1:9" x14ac:dyDescent="0.35">
      <c r="A4588" s="226"/>
      <c r="B4588" s="226"/>
      <c r="C4588" s="226"/>
      <c r="D4588" s="226"/>
      <c r="E4588" s="226"/>
      <c r="F4588" s="226"/>
      <c r="G4588" s="226"/>
      <c r="H4588" s="226"/>
      <c r="I4588" s="9" t="str">
        <f t="shared" si="71"/>
        <v>__</v>
      </c>
    </row>
    <row r="4589" spans="1:9" x14ac:dyDescent="0.35">
      <c r="A4589" s="226"/>
      <c r="B4589" s="226"/>
      <c r="C4589" s="226"/>
      <c r="D4589" s="226"/>
      <c r="E4589" s="226"/>
      <c r="F4589" s="226"/>
      <c r="G4589" s="226"/>
      <c r="H4589" s="226"/>
      <c r="I4589" s="9" t="str">
        <f t="shared" si="71"/>
        <v>__</v>
      </c>
    </row>
    <row r="4590" spans="1:9" x14ac:dyDescent="0.35">
      <c r="A4590" s="226"/>
      <c r="B4590" s="226"/>
      <c r="C4590" s="226"/>
      <c r="D4590" s="226"/>
      <c r="E4590" s="226"/>
      <c r="F4590" s="226"/>
      <c r="G4590" s="226"/>
      <c r="H4590" s="226"/>
      <c r="I4590" s="9" t="str">
        <f t="shared" si="71"/>
        <v>__</v>
      </c>
    </row>
    <row r="4591" spans="1:9" x14ac:dyDescent="0.35">
      <c r="A4591" s="226"/>
      <c r="B4591" s="226"/>
      <c r="C4591" s="226"/>
      <c r="D4591" s="226"/>
      <c r="E4591" s="226"/>
      <c r="F4591" s="226"/>
      <c r="G4591" s="226"/>
      <c r="H4591" s="226"/>
      <c r="I4591" s="9" t="str">
        <f t="shared" si="71"/>
        <v>__</v>
      </c>
    </row>
    <row r="4592" spans="1:9" x14ac:dyDescent="0.35">
      <c r="A4592" s="226"/>
      <c r="B4592" s="226"/>
      <c r="C4592" s="226"/>
      <c r="D4592" s="226"/>
      <c r="E4592" s="226"/>
      <c r="F4592" s="226"/>
      <c r="G4592" s="226"/>
      <c r="H4592" s="226"/>
      <c r="I4592" s="9" t="str">
        <f t="shared" si="71"/>
        <v>__</v>
      </c>
    </row>
    <row r="4593" spans="1:9" x14ac:dyDescent="0.35">
      <c r="A4593" s="226"/>
      <c r="B4593" s="226"/>
      <c r="C4593" s="226"/>
      <c r="D4593" s="226"/>
      <c r="E4593" s="226"/>
      <c r="F4593" s="226"/>
      <c r="G4593" s="226"/>
      <c r="H4593" s="226"/>
      <c r="I4593" s="9" t="str">
        <f t="shared" si="71"/>
        <v>__</v>
      </c>
    </row>
    <row r="4594" spans="1:9" x14ac:dyDescent="0.35">
      <c r="A4594" s="226"/>
      <c r="B4594" s="226"/>
      <c r="C4594" s="226"/>
      <c r="D4594" s="226"/>
      <c r="E4594" s="226"/>
      <c r="F4594" s="226"/>
      <c r="G4594" s="226"/>
      <c r="H4594" s="226"/>
      <c r="I4594" s="9" t="str">
        <f t="shared" si="71"/>
        <v>__</v>
      </c>
    </row>
    <row r="4595" spans="1:9" x14ac:dyDescent="0.35">
      <c r="A4595" s="226"/>
      <c r="B4595" s="226"/>
      <c r="C4595" s="226"/>
      <c r="D4595" s="226"/>
      <c r="E4595" s="226"/>
      <c r="F4595" s="226"/>
      <c r="G4595" s="226"/>
      <c r="H4595" s="226"/>
      <c r="I4595" s="9" t="str">
        <f t="shared" si="71"/>
        <v>__</v>
      </c>
    </row>
    <row r="4596" spans="1:9" x14ac:dyDescent="0.35">
      <c r="A4596" s="226"/>
      <c r="B4596" s="226"/>
      <c r="C4596" s="226"/>
      <c r="D4596" s="226"/>
      <c r="E4596" s="226"/>
      <c r="F4596" s="226"/>
      <c r="G4596" s="226"/>
      <c r="H4596" s="226"/>
      <c r="I4596" s="9" t="str">
        <f t="shared" si="71"/>
        <v>__</v>
      </c>
    </row>
    <row r="4597" spans="1:9" x14ac:dyDescent="0.35">
      <c r="A4597" s="226"/>
      <c r="B4597" s="226"/>
      <c r="C4597" s="226"/>
      <c r="D4597" s="226"/>
      <c r="E4597" s="226"/>
      <c r="F4597" s="226"/>
      <c r="G4597" s="226"/>
      <c r="H4597" s="226"/>
      <c r="I4597" s="9" t="str">
        <f t="shared" si="71"/>
        <v>__</v>
      </c>
    </row>
    <row r="4598" spans="1:9" x14ac:dyDescent="0.35">
      <c r="A4598" s="226"/>
      <c r="B4598" s="226"/>
      <c r="C4598" s="226"/>
      <c r="D4598" s="226"/>
      <c r="E4598" s="226"/>
      <c r="F4598" s="226"/>
      <c r="G4598" s="226"/>
      <c r="H4598" s="226"/>
      <c r="I4598" s="9" t="str">
        <f t="shared" si="71"/>
        <v>__</v>
      </c>
    </row>
    <row r="4599" spans="1:9" x14ac:dyDescent="0.35">
      <c r="A4599" s="226"/>
      <c r="B4599" s="226"/>
      <c r="C4599" s="226"/>
      <c r="D4599" s="226"/>
      <c r="E4599" s="226"/>
      <c r="F4599" s="226"/>
      <c r="G4599" s="226"/>
      <c r="H4599" s="226"/>
      <c r="I4599" s="9" t="str">
        <f t="shared" si="71"/>
        <v>__</v>
      </c>
    </row>
    <row r="4600" spans="1:9" x14ac:dyDescent="0.35">
      <c r="A4600" s="226"/>
      <c r="B4600" s="226"/>
      <c r="C4600" s="226"/>
      <c r="D4600" s="226"/>
      <c r="E4600" s="226"/>
      <c r="F4600" s="226"/>
      <c r="G4600" s="226"/>
      <c r="H4600" s="226"/>
      <c r="I4600" s="9" t="str">
        <f t="shared" si="71"/>
        <v>__</v>
      </c>
    </row>
    <row r="4601" spans="1:9" x14ac:dyDescent="0.35">
      <c r="A4601" s="226"/>
      <c r="B4601" s="226"/>
      <c r="C4601" s="226"/>
      <c r="D4601" s="226"/>
      <c r="E4601" s="226"/>
      <c r="F4601" s="226"/>
      <c r="G4601" s="226"/>
      <c r="H4601" s="226"/>
      <c r="I4601" s="9" t="str">
        <f t="shared" si="71"/>
        <v>__</v>
      </c>
    </row>
    <row r="4602" spans="1:9" x14ac:dyDescent="0.35">
      <c r="A4602" s="226"/>
      <c r="B4602" s="226"/>
      <c r="C4602" s="226"/>
      <c r="D4602" s="226"/>
      <c r="E4602" s="226"/>
      <c r="F4602" s="226"/>
      <c r="G4602" s="226"/>
      <c r="H4602" s="226"/>
      <c r="I4602" s="9" t="str">
        <f t="shared" si="71"/>
        <v>__</v>
      </c>
    </row>
    <row r="4603" spans="1:9" x14ac:dyDescent="0.35">
      <c r="A4603" s="226"/>
      <c r="B4603" s="226"/>
      <c r="C4603" s="226"/>
      <c r="D4603" s="226"/>
      <c r="E4603" s="226"/>
      <c r="F4603" s="226"/>
      <c r="G4603" s="226"/>
      <c r="H4603" s="226"/>
      <c r="I4603" s="9" t="str">
        <f t="shared" si="71"/>
        <v>__</v>
      </c>
    </row>
    <row r="4604" spans="1:9" x14ac:dyDescent="0.35">
      <c r="A4604" s="226"/>
      <c r="B4604" s="226"/>
      <c r="C4604" s="226"/>
      <c r="D4604" s="226"/>
      <c r="E4604" s="226"/>
      <c r="F4604" s="226"/>
      <c r="G4604" s="226"/>
      <c r="H4604" s="226"/>
      <c r="I4604" s="9" t="str">
        <f t="shared" si="71"/>
        <v>__</v>
      </c>
    </row>
    <row r="4605" spans="1:9" x14ac:dyDescent="0.35">
      <c r="A4605" s="226"/>
      <c r="B4605" s="226"/>
      <c r="C4605" s="226"/>
      <c r="D4605" s="226"/>
      <c r="E4605" s="226"/>
      <c r="F4605" s="226"/>
      <c r="G4605" s="226"/>
      <c r="H4605" s="226"/>
      <c r="I4605" s="9" t="str">
        <f t="shared" si="71"/>
        <v>__</v>
      </c>
    </row>
    <row r="4606" spans="1:9" x14ac:dyDescent="0.35">
      <c r="A4606" s="226"/>
      <c r="B4606" s="226"/>
      <c r="C4606" s="226"/>
      <c r="D4606" s="226"/>
      <c r="E4606" s="226"/>
      <c r="F4606" s="226"/>
      <c r="G4606" s="226"/>
      <c r="H4606" s="226"/>
      <c r="I4606" s="9" t="str">
        <f t="shared" si="71"/>
        <v>__</v>
      </c>
    </row>
    <row r="4607" spans="1:9" x14ac:dyDescent="0.35">
      <c r="A4607" s="226"/>
      <c r="B4607" s="226"/>
      <c r="C4607" s="226"/>
      <c r="D4607" s="226"/>
      <c r="E4607" s="226"/>
      <c r="F4607" s="226"/>
      <c r="G4607" s="226"/>
      <c r="H4607" s="226"/>
      <c r="I4607" s="9" t="str">
        <f t="shared" si="71"/>
        <v>__</v>
      </c>
    </row>
    <row r="4608" spans="1:9" x14ac:dyDescent="0.35">
      <c r="A4608" s="226"/>
      <c r="B4608" s="226"/>
      <c r="C4608" s="226"/>
      <c r="D4608" s="226"/>
      <c r="E4608" s="226"/>
      <c r="F4608" s="226"/>
      <c r="G4608" s="226"/>
      <c r="H4608" s="226"/>
      <c r="I4608" s="9" t="str">
        <f t="shared" si="71"/>
        <v>__</v>
      </c>
    </row>
    <row r="4609" spans="1:9" x14ac:dyDescent="0.35">
      <c r="A4609" s="226"/>
      <c r="B4609" s="226"/>
      <c r="C4609" s="226"/>
      <c r="D4609" s="226"/>
      <c r="E4609" s="226"/>
      <c r="F4609" s="226"/>
      <c r="G4609" s="226"/>
      <c r="H4609" s="226"/>
      <c r="I4609" s="9" t="str">
        <f t="shared" si="71"/>
        <v>__</v>
      </c>
    </row>
    <row r="4610" spans="1:9" x14ac:dyDescent="0.35">
      <c r="A4610" s="226"/>
      <c r="B4610" s="226"/>
      <c r="C4610" s="226"/>
      <c r="D4610" s="226"/>
      <c r="E4610" s="226"/>
      <c r="F4610" s="226"/>
      <c r="G4610" s="226"/>
      <c r="H4610" s="226"/>
      <c r="I4610" s="9" t="str">
        <f t="shared" si="71"/>
        <v>__</v>
      </c>
    </row>
    <row r="4611" spans="1:9" x14ac:dyDescent="0.35">
      <c r="A4611" s="226"/>
      <c r="B4611" s="226"/>
      <c r="C4611" s="226"/>
      <c r="D4611" s="226"/>
      <c r="E4611" s="226"/>
      <c r="F4611" s="226"/>
      <c r="G4611" s="226"/>
      <c r="H4611" s="226"/>
      <c r="I4611" s="9" t="str">
        <f t="shared" si="71"/>
        <v>__</v>
      </c>
    </row>
    <row r="4612" spans="1:9" x14ac:dyDescent="0.35">
      <c r="A4612" s="226"/>
      <c r="B4612" s="226"/>
      <c r="C4612" s="226"/>
      <c r="D4612" s="226"/>
      <c r="E4612" s="226"/>
      <c r="F4612" s="226"/>
      <c r="G4612" s="226"/>
      <c r="H4612" s="226"/>
      <c r="I4612" s="9" t="str">
        <f t="shared" si="71"/>
        <v>__</v>
      </c>
    </row>
    <row r="4613" spans="1:9" x14ac:dyDescent="0.35">
      <c r="A4613" s="226"/>
      <c r="B4613" s="226"/>
      <c r="C4613" s="226"/>
      <c r="D4613" s="226"/>
      <c r="E4613" s="226"/>
      <c r="F4613" s="226"/>
      <c r="G4613" s="226"/>
      <c r="H4613" s="226"/>
      <c r="I4613" s="9" t="str">
        <f t="shared" ref="I4613:I4676" si="72">CONCATENATE(A4613,"_",B4613,"_",C4613)</f>
        <v>__</v>
      </c>
    </row>
    <row r="4614" spans="1:9" x14ac:dyDescent="0.35">
      <c r="A4614" s="226"/>
      <c r="B4614" s="226"/>
      <c r="C4614" s="226"/>
      <c r="D4614" s="226"/>
      <c r="E4614" s="226"/>
      <c r="F4614" s="226"/>
      <c r="G4614" s="226"/>
      <c r="H4614" s="226"/>
      <c r="I4614" s="9" t="str">
        <f t="shared" si="72"/>
        <v>__</v>
      </c>
    </row>
    <row r="4615" spans="1:9" x14ac:dyDescent="0.35">
      <c r="A4615" s="226"/>
      <c r="B4615" s="226"/>
      <c r="C4615" s="226"/>
      <c r="D4615" s="226"/>
      <c r="E4615" s="226"/>
      <c r="F4615" s="226"/>
      <c r="G4615" s="226"/>
      <c r="H4615" s="226"/>
      <c r="I4615" s="9" t="str">
        <f t="shared" si="72"/>
        <v>__</v>
      </c>
    </row>
    <row r="4616" spans="1:9" x14ac:dyDescent="0.35">
      <c r="A4616" s="226"/>
      <c r="B4616" s="226"/>
      <c r="C4616" s="226"/>
      <c r="D4616" s="226"/>
      <c r="E4616" s="226"/>
      <c r="F4616" s="226"/>
      <c r="G4616" s="226"/>
      <c r="H4616" s="226"/>
      <c r="I4616" s="9" t="str">
        <f t="shared" si="72"/>
        <v>__</v>
      </c>
    </row>
    <row r="4617" spans="1:9" x14ac:dyDescent="0.35">
      <c r="A4617" s="226"/>
      <c r="B4617" s="226"/>
      <c r="C4617" s="226"/>
      <c r="D4617" s="226"/>
      <c r="E4617" s="226"/>
      <c r="F4617" s="226"/>
      <c r="G4617" s="226"/>
      <c r="H4617" s="226"/>
      <c r="I4617" s="9" t="str">
        <f t="shared" si="72"/>
        <v>__</v>
      </c>
    </row>
    <row r="4618" spans="1:9" x14ac:dyDescent="0.35">
      <c r="A4618" s="226"/>
      <c r="B4618" s="226"/>
      <c r="C4618" s="226"/>
      <c r="D4618" s="226"/>
      <c r="E4618" s="226"/>
      <c r="F4618" s="226"/>
      <c r="G4618" s="226"/>
      <c r="H4618" s="226"/>
      <c r="I4618" s="9" t="str">
        <f t="shared" si="72"/>
        <v>__</v>
      </c>
    </row>
    <row r="4619" spans="1:9" x14ac:dyDescent="0.35">
      <c r="A4619" s="226"/>
      <c r="B4619" s="226"/>
      <c r="C4619" s="226"/>
      <c r="D4619" s="226"/>
      <c r="E4619" s="226"/>
      <c r="F4619" s="226"/>
      <c r="G4619" s="226"/>
      <c r="H4619" s="226"/>
      <c r="I4619" s="9" t="str">
        <f t="shared" si="72"/>
        <v>__</v>
      </c>
    </row>
    <row r="4620" spans="1:9" x14ac:dyDescent="0.35">
      <c r="A4620" s="226"/>
      <c r="B4620" s="226"/>
      <c r="C4620" s="226"/>
      <c r="D4620" s="226"/>
      <c r="E4620" s="226"/>
      <c r="F4620" s="226"/>
      <c r="G4620" s="226"/>
      <c r="H4620" s="226"/>
      <c r="I4620" s="9" t="str">
        <f t="shared" si="72"/>
        <v>__</v>
      </c>
    </row>
    <row r="4621" spans="1:9" x14ac:dyDescent="0.35">
      <c r="A4621" s="226"/>
      <c r="B4621" s="226"/>
      <c r="C4621" s="226"/>
      <c r="D4621" s="226"/>
      <c r="E4621" s="226"/>
      <c r="F4621" s="226"/>
      <c r="G4621" s="226"/>
      <c r="H4621" s="226"/>
      <c r="I4621" s="9" t="str">
        <f t="shared" si="72"/>
        <v>__</v>
      </c>
    </row>
    <row r="4622" spans="1:9" x14ac:dyDescent="0.35">
      <c r="A4622" s="226"/>
      <c r="B4622" s="226"/>
      <c r="C4622" s="226"/>
      <c r="D4622" s="226"/>
      <c r="E4622" s="226"/>
      <c r="F4622" s="226"/>
      <c r="G4622" s="226"/>
      <c r="H4622" s="226"/>
      <c r="I4622" s="9" t="str">
        <f t="shared" si="72"/>
        <v>__</v>
      </c>
    </row>
    <row r="4623" spans="1:9" x14ac:dyDescent="0.35">
      <c r="A4623" s="226"/>
      <c r="B4623" s="226"/>
      <c r="C4623" s="226"/>
      <c r="D4623" s="226"/>
      <c r="E4623" s="226"/>
      <c r="F4623" s="226"/>
      <c r="G4623" s="226"/>
      <c r="H4623" s="226"/>
      <c r="I4623" s="9" t="str">
        <f t="shared" si="72"/>
        <v>__</v>
      </c>
    </row>
    <row r="4624" spans="1:9" x14ac:dyDescent="0.35">
      <c r="A4624" s="226"/>
      <c r="B4624" s="226"/>
      <c r="C4624" s="226"/>
      <c r="D4624" s="226"/>
      <c r="E4624" s="226"/>
      <c r="F4624" s="226"/>
      <c r="G4624" s="226"/>
      <c r="H4624" s="226"/>
      <c r="I4624" s="9" t="str">
        <f t="shared" si="72"/>
        <v>__</v>
      </c>
    </row>
    <row r="4625" spans="1:9" x14ac:dyDescent="0.35">
      <c r="A4625" s="226"/>
      <c r="B4625" s="226"/>
      <c r="C4625" s="226"/>
      <c r="D4625" s="226"/>
      <c r="E4625" s="226"/>
      <c r="F4625" s="226"/>
      <c r="G4625" s="226"/>
      <c r="H4625" s="226"/>
      <c r="I4625" s="9" t="str">
        <f t="shared" si="72"/>
        <v>__</v>
      </c>
    </row>
    <row r="4626" spans="1:9" x14ac:dyDescent="0.35">
      <c r="A4626" s="226"/>
      <c r="B4626" s="226"/>
      <c r="C4626" s="226"/>
      <c r="D4626" s="226"/>
      <c r="E4626" s="226"/>
      <c r="F4626" s="226"/>
      <c r="G4626" s="226"/>
      <c r="H4626" s="226"/>
      <c r="I4626" s="9" t="str">
        <f t="shared" si="72"/>
        <v>__</v>
      </c>
    </row>
    <row r="4627" spans="1:9" x14ac:dyDescent="0.35">
      <c r="A4627" s="226"/>
      <c r="B4627" s="226"/>
      <c r="C4627" s="226"/>
      <c r="D4627" s="226"/>
      <c r="E4627" s="226"/>
      <c r="F4627" s="226"/>
      <c r="G4627" s="226"/>
      <c r="H4627" s="226"/>
      <c r="I4627" s="9" t="str">
        <f t="shared" si="72"/>
        <v>__</v>
      </c>
    </row>
    <row r="4628" spans="1:9" x14ac:dyDescent="0.35">
      <c r="A4628" s="226"/>
      <c r="B4628" s="226"/>
      <c r="C4628" s="226"/>
      <c r="D4628" s="226"/>
      <c r="E4628" s="226"/>
      <c r="F4628" s="226"/>
      <c r="G4628" s="226"/>
      <c r="H4628" s="226"/>
      <c r="I4628" s="9" t="str">
        <f t="shared" si="72"/>
        <v>__</v>
      </c>
    </row>
    <row r="4629" spans="1:9" x14ac:dyDescent="0.35">
      <c r="A4629" s="226"/>
      <c r="B4629" s="226"/>
      <c r="C4629" s="226"/>
      <c r="D4629" s="226"/>
      <c r="E4629" s="226"/>
      <c r="F4629" s="226"/>
      <c r="G4629" s="226"/>
      <c r="H4629" s="226"/>
      <c r="I4629" s="9" t="str">
        <f t="shared" si="72"/>
        <v>__</v>
      </c>
    </row>
    <row r="4630" spans="1:9" x14ac:dyDescent="0.35">
      <c r="A4630" s="226"/>
      <c r="B4630" s="226"/>
      <c r="C4630" s="226"/>
      <c r="D4630" s="226"/>
      <c r="E4630" s="226"/>
      <c r="F4630" s="226"/>
      <c r="G4630" s="226"/>
      <c r="H4630" s="226"/>
      <c r="I4630" s="9" t="str">
        <f t="shared" si="72"/>
        <v>__</v>
      </c>
    </row>
    <row r="4631" spans="1:9" x14ac:dyDescent="0.35">
      <c r="A4631" s="226"/>
      <c r="B4631" s="226"/>
      <c r="C4631" s="226"/>
      <c r="D4631" s="226"/>
      <c r="E4631" s="226"/>
      <c r="F4631" s="226"/>
      <c r="G4631" s="226"/>
      <c r="H4631" s="226"/>
      <c r="I4631" s="9" t="str">
        <f t="shared" si="72"/>
        <v>__</v>
      </c>
    </row>
    <row r="4632" spans="1:9" x14ac:dyDescent="0.35">
      <c r="A4632" s="226"/>
      <c r="B4632" s="226"/>
      <c r="C4632" s="226"/>
      <c r="D4632" s="226"/>
      <c r="E4632" s="226"/>
      <c r="F4632" s="226"/>
      <c r="G4632" s="226"/>
      <c r="H4632" s="226"/>
      <c r="I4632" s="9" t="str">
        <f t="shared" si="72"/>
        <v>__</v>
      </c>
    </row>
    <row r="4633" spans="1:9" x14ac:dyDescent="0.35">
      <c r="A4633" s="226"/>
      <c r="B4633" s="226"/>
      <c r="C4633" s="226"/>
      <c r="D4633" s="226"/>
      <c r="E4633" s="226"/>
      <c r="F4633" s="226"/>
      <c r="G4633" s="226"/>
      <c r="H4633" s="226"/>
      <c r="I4633" s="9" t="str">
        <f t="shared" si="72"/>
        <v>__</v>
      </c>
    </row>
    <row r="4634" spans="1:9" x14ac:dyDescent="0.35">
      <c r="A4634" s="226"/>
      <c r="B4634" s="226"/>
      <c r="C4634" s="226"/>
      <c r="D4634" s="226"/>
      <c r="E4634" s="226"/>
      <c r="F4634" s="226"/>
      <c r="G4634" s="226"/>
      <c r="H4634" s="226"/>
      <c r="I4634" s="9" t="str">
        <f t="shared" si="72"/>
        <v>__</v>
      </c>
    </row>
    <row r="4635" spans="1:9" x14ac:dyDescent="0.35">
      <c r="A4635" s="226"/>
      <c r="B4635" s="226"/>
      <c r="C4635" s="226"/>
      <c r="D4635" s="226"/>
      <c r="E4635" s="226"/>
      <c r="F4635" s="226"/>
      <c r="G4635" s="226"/>
      <c r="H4635" s="226"/>
      <c r="I4635" s="9" t="str">
        <f t="shared" si="72"/>
        <v>__</v>
      </c>
    </row>
    <row r="4636" spans="1:9" x14ac:dyDescent="0.35">
      <c r="A4636" s="226"/>
      <c r="B4636" s="226"/>
      <c r="C4636" s="226"/>
      <c r="D4636" s="226"/>
      <c r="E4636" s="226"/>
      <c r="F4636" s="226"/>
      <c r="G4636" s="226"/>
      <c r="H4636" s="226"/>
      <c r="I4636" s="9" t="str">
        <f t="shared" si="72"/>
        <v>__</v>
      </c>
    </row>
    <row r="4637" spans="1:9" x14ac:dyDescent="0.35">
      <c r="A4637" s="226"/>
      <c r="B4637" s="226"/>
      <c r="C4637" s="226"/>
      <c r="D4637" s="226"/>
      <c r="E4637" s="226"/>
      <c r="F4637" s="226"/>
      <c r="G4637" s="226"/>
      <c r="H4637" s="226"/>
      <c r="I4637" s="9" t="str">
        <f t="shared" si="72"/>
        <v>__</v>
      </c>
    </row>
    <row r="4638" spans="1:9" x14ac:dyDescent="0.35">
      <c r="A4638" s="226"/>
      <c r="B4638" s="226"/>
      <c r="C4638" s="226"/>
      <c r="D4638" s="226"/>
      <c r="E4638" s="226"/>
      <c r="F4638" s="226"/>
      <c r="G4638" s="226"/>
      <c r="H4638" s="226"/>
      <c r="I4638" s="9" t="str">
        <f t="shared" si="72"/>
        <v>__</v>
      </c>
    </row>
    <row r="4639" spans="1:9" x14ac:dyDescent="0.35">
      <c r="A4639" s="226"/>
      <c r="B4639" s="226"/>
      <c r="C4639" s="226"/>
      <c r="D4639" s="226"/>
      <c r="E4639" s="226"/>
      <c r="F4639" s="226"/>
      <c r="G4639" s="226"/>
      <c r="H4639" s="226"/>
      <c r="I4639" s="9" t="str">
        <f t="shared" si="72"/>
        <v>__</v>
      </c>
    </row>
    <row r="4640" spans="1:9" x14ac:dyDescent="0.35">
      <c r="A4640" s="226"/>
      <c r="B4640" s="226"/>
      <c r="C4640" s="226"/>
      <c r="D4640" s="226"/>
      <c r="E4640" s="226"/>
      <c r="F4640" s="226"/>
      <c r="G4640" s="226"/>
      <c r="H4640" s="226"/>
      <c r="I4640" s="9" t="str">
        <f t="shared" si="72"/>
        <v>__</v>
      </c>
    </row>
    <row r="4641" spans="1:9" x14ac:dyDescent="0.35">
      <c r="A4641" s="226"/>
      <c r="B4641" s="226"/>
      <c r="C4641" s="226"/>
      <c r="D4641" s="226"/>
      <c r="E4641" s="226"/>
      <c r="F4641" s="226"/>
      <c r="G4641" s="226"/>
      <c r="H4641" s="226"/>
      <c r="I4641" s="9" t="str">
        <f t="shared" si="72"/>
        <v>__</v>
      </c>
    </row>
    <row r="4642" spans="1:9" x14ac:dyDescent="0.35">
      <c r="A4642" s="226"/>
      <c r="B4642" s="226"/>
      <c r="C4642" s="226"/>
      <c r="D4642" s="226"/>
      <c r="E4642" s="226"/>
      <c r="F4642" s="226"/>
      <c r="G4642" s="226"/>
      <c r="H4642" s="226"/>
      <c r="I4642" s="9" t="str">
        <f t="shared" si="72"/>
        <v>__</v>
      </c>
    </row>
    <row r="4643" spans="1:9" x14ac:dyDescent="0.35">
      <c r="A4643" s="226"/>
      <c r="B4643" s="226"/>
      <c r="C4643" s="226"/>
      <c r="D4643" s="226"/>
      <c r="E4643" s="226"/>
      <c r="F4643" s="226"/>
      <c r="G4643" s="226"/>
      <c r="H4643" s="226"/>
      <c r="I4643" s="9" t="str">
        <f t="shared" si="72"/>
        <v>__</v>
      </c>
    </row>
    <row r="4644" spans="1:9" x14ac:dyDescent="0.35">
      <c r="A4644" s="226"/>
      <c r="B4644" s="226"/>
      <c r="C4644" s="226"/>
      <c r="D4644" s="226"/>
      <c r="E4644" s="226"/>
      <c r="F4644" s="226"/>
      <c r="G4644" s="226"/>
      <c r="H4644" s="226"/>
      <c r="I4644" s="9" t="str">
        <f t="shared" si="72"/>
        <v>__</v>
      </c>
    </row>
    <row r="4645" spans="1:9" x14ac:dyDescent="0.35">
      <c r="A4645" s="226"/>
      <c r="B4645" s="226"/>
      <c r="C4645" s="226"/>
      <c r="D4645" s="226"/>
      <c r="E4645" s="226"/>
      <c r="F4645" s="226"/>
      <c r="G4645" s="226"/>
      <c r="H4645" s="226"/>
      <c r="I4645" s="9" t="str">
        <f t="shared" si="72"/>
        <v>__</v>
      </c>
    </row>
    <row r="4646" spans="1:9" x14ac:dyDescent="0.35">
      <c r="A4646" s="226"/>
      <c r="B4646" s="226"/>
      <c r="C4646" s="226"/>
      <c r="D4646" s="226"/>
      <c r="E4646" s="226"/>
      <c r="F4646" s="226"/>
      <c r="G4646" s="226"/>
      <c r="H4646" s="226"/>
      <c r="I4646" s="9" t="str">
        <f t="shared" si="72"/>
        <v>__</v>
      </c>
    </row>
    <row r="4647" spans="1:9" x14ac:dyDescent="0.35">
      <c r="A4647" s="226"/>
      <c r="B4647" s="226"/>
      <c r="C4647" s="226"/>
      <c r="D4647" s="226"/>
      <c r="E4647" s="226"/>
      <c r="F4647" s="226"/>
      <c r="G4647" s="226"/>
      <c r="H4647" s="226"/>
      <c r="I4647" s="9" t="str">
        <f t="shared" si="72"/>
        <v>__</v>
      </c>
    </row>
    <row r="4648" spans="1:9" x14ac:dyDescent="0.35">
      <c r="A4648" s="226"/>
      <c r="B4648" s="226"/>
      <c r="C4648" s="226"/>
      <c r="D4648" s="226"/>
      <c r="E4648" s="226"/>
      <c r="F4648" s="226"/>
      <c r="G4648" s="226"/>
      <c r="H4648" s="226"/>
      <c r="I4648" s="9" t="str">
        <f t="shared" si="72"/>
        <v>__</v>
      </c>
    </row>
    <row r="4649" spans="1:9" x14ac:dyDescent="0.35">
      <c r="A4649" s="226"/>
      <c r="B4649" s="226"/>
      <c r="C4649" s="226"/>
      <c r="D4649" s="226"/>
      <c r="E4649" s="226"/>
      <c r="F4649" s="226"/>
      <c r="G4649" s="226"/>
      <c r="H4649" s="226"/>
      <c r="I4649" s="9" t="str">
        <f t="shared" si="72"/>
        <v>__</v>
      </c>
    </row>
    <row r="4650" spans="1:9" x14ac:dyDescent="0.35">
      <c r="A4650" s="226"/>
      <c r="B4650" s="226"/>
      <c r="C4650" s="226"/>
      <c r="D4650" s="226"/>
      <c r="E4650" s="226"/>
      <c r="F4650" s="226"/>
      <c r="G4650" s="226"/>
      <c r="H4650" s="226"/>
      <c r="I4650" s="9" t="str">
        <f t="shared" si="72"/>
        <v>__</v>
      </c>
    </row>
    <row r="4651" spans="1:9" x14ac:dyDescent="0.35">
      <c r="A4651" s="226"/>
      <c r="B4651" s="226"/>
      <c r="C4651" s="226"/>
      <c r="D4651" s="226"/>
      <c r="E4651" s="226"/>
      <c r="F4651" s="226"/>
      <c r="G4651" s="226"/>
      <c r="H4651" s="226"/>
      <c r="I4651" s="9" t="str">
        <f t="shared" si="72"/>
        <v>__</v>
      </c>
    </row>
    <row r="4652" spans="1:9" x14ac:dyDescent="0.35">
      <c r="A4652" s="226"/>
      <c r="B4652" s="226"/>
      <c r="C4652" s="226"/>
      <c r="D4652" s="226"/>
      <c r="E4652" s="226"/>
      <c r="F4652" s="226"/>
      <c r="G4652" s="226"/>
      <c r="H4652" s="226"/>
      <c r="I4652" s="9" t="str">
        <f t="shared" si="72"/>
        <v>__</v>
      </c>
    </row>
    <row r="4653" spans="1:9" x14ac:dyDescent="0.35">
      <c r="A4653" s="226"/>
      <c r="B4653" s="226"/>
      <c r="C4653" s="226"/>
      <c r="D4653" s="226"/>
      <c r="E4653" s="226"/>
      <c r="F4653" s="226"/>
      <c r="G4653" s="226"/>
      <c r="H4653" s="226"/>
      <c r="I4653" s="9" t="str">
        <f t="shared" si="72"/>
        <v>__</v>
      </c>
    </row>
    <row r="4654" spans="1:9" x14ac:dyDescent="0.35">
      <c r="A4654" s="226"/>
      <c r="B4654" s="226"/>
      <c r="C4654" s="226"/>
      <c r="D4654" s="226"/>
      <c r="E4654" s="226"/>
      <c r="F4654" s="226"/>
      <c r="G4654" s="226"/>
      <c r="H4654" s="226"/>
      <c r="I4654" s="9" t="str">
        <f t="shared" si="72"/>
        <v>__</v>
      </c>
    </row>
    <row r="4655" spans="1:9" x14ac:dyDescent="0.35">
      <c r="A4655" s="226"/>
      <c r="B4655" s="226"/>
      <c r="C4655" s="226"/>
      <c r="D4655" s="226"/>
      <c r="E4655" s="226"/>
      <c r="F4655" s="226"/>
      <c r="G4655" s="226"/>
      <c r="H4655" s="226"/>
      <c r="I4655" s="9" t="str">
        <f t="shared" si="72"/>
        <v>__</v>
      </c>
    </row>
    <row r="4656" spans="1:9" x14ac:dyDescent="0.35">
      <c r="A4656" s="226"/>
      <c r="B4656" s="226"/>
      <c r="C4656" s="226"/>
      <c r="D4656" s="226"/>
      <c r="E4656" s="226"/>
      <c r="F4656" s="226"/>
      <c r="G4656" s="226"/>
      <c r="H4656" s="226"/>
      <c r="I4656" s="9" t="str">
        <f t="shared" si="72"/>
        <v>__</v>
      </c>
    </row>
    <row r="4657" spans="1:9" x14ac:dyDescent="0.35">
      <c r="A4657" s="226"/>
      <c r="B4657" s="226"/>
      <c r="C4657" s="226"/>
      <c r="D4657" s="226"/>
      <c r="E4657" s="226"/>
      <c r="F4657" s="226"/>
      <c r="G4657" s="226"/>
      <c r="H4657" s="226"/>
      <c r="I4657" s="9" t="str">
        <f t="shared" si="72"/>
        <v>__</v>
      </c>
    </row>
    <row r="4658" spans="1:9" x14ac:dyDescent="0.35">
      <c r="A4658" s="226"/>
      <c r="B4658" s="226"/>
      <c r="C4658" s="226"/>
      <c r="D4658" s="226"/>
      <c r="E4658" s="226"/>
      <c r="F4658" s="226"/>
      <c r="G4658" s="226"/>
      <c r="H4658" s="226"/>
      <c r="I4658" s="9" t="str">
        <f t="shared" si="72"/>
        <v>__</v>
      </c>
    </row>
    <row r="4659" spans="1:9" x14ac:dyDescent="0.35">
      <c r="A4659" s="226"/>
      <c r="B4659" s="226"/>
      <c r="C4659" s="226"/>
      <c r="D4659" s="226"/>
      <c r="E4659" s="226"/>
      <c r="F4659" s="226"/>
      <c r="G4659" s="226"/>
      <c r="H4659" s="226"/>
      <c r="I4659" s="9" t="str">
        <f t="shared" si="72"/>
        <v>__</v>
      </c>
    </row>
    <row r="4660" spans="1:9" x14ac:dyDescent="0.35">
      <c r="A4660" s="226"/>
      <c r="B4660" s="226"/>
      <c r="C4660" s="226"/>
      <c r="D4660" s="226"/>
      <c r="E4660" s="226"/>
      <c r="F4660" s="226"/>
      <c r="G4660" s="226"/>
      <c r="H4660" s="226"/>
      <c r="I4660" s="9" t="str">
        <f t="shared" si="72"/>
        <v>__</v>
      </c>
    </row>
    <row r="4661" spans="1:9" x14ac:dyDescent="0.35">
      <c r="A4661" s="226"/>
      <c r="B4661" s="226"/>
      <c r="C4661" s="226"/>
      <c r="D4661" s="226"/>
      <c r="E4661" s="226"/>
      <c r="F4661" s="226"/>
      <c r="G4661" s="226"/>
      <c r="H4661" s="226"/>
      <c r="I4661" s="9" t="str">
        <f t="shared" si="72"/>
        <v>__</v>
      </c>
    </row>
    <row r="4662" spans="1:9" x14ac:dyDescent="0.35">
      <c r="A4662" s="226"/>
      <c r="B4662" s="226"/>
      <c r="C4662" s="226"/>
      <c r="D4662" s="226"/>
      <c r="E4662" s="226"/>
      <c r="F4662" s="226"/>
      <c r="G4662" s="226"/>
      <c r="H4662" s="226"/>
      <c r="I4662" s="9" t="str">
        <f t="shared" si="72"/>
        <v>__</v>
      </c>
    </row>
    <row r="4663" spans="1:9" x14ac:dyDescent="0.35">
      <c r="A4663" s="226"/>
      <c r="B4663" s="226"/>
      <c r="C4663" s="226"/>
      <c r="D4663" s="226"/>
      <c r="E4663" s="226"/>
      <c r="F4663" s="226"/>
      <c r="G4663" s="226"/>
      <c r="H4663" s="226"/>
      <c r="I4663" s="9" t="str">
        <f t="shared" si="72"/>
        <v>__</v>
      </c>
    </row>
    <row r="4664" spans="1:9" x14ac:dyDescent="0.35">
      <c r="A4664" s="226"/>
      <c r="B4664" s="226"/>
      <c r="C4664" s="226"/>
      <c r="D4664" s="226"/>
      <c r="E4664" s="226"/>
      <c r="F4664" s="226"/>
      <c r="G4664" s="226"/>
      <c r="H4664" s="226"/>
      <c r="I4664" s="9" t="str">
        <f t="shared" si="72"/>
        <v>__</v>
      </c>
    </row>
    <row r="4665" spans="1:9" x14ac:dyDescent="0.35">
      <c r="A4665" s="226"/>
      <c r="B4665" s="226"/>
      <c r="C4665" s="226"/>
      <c r="D4665" s="226"/>
      <c r="E4665" s="226"/>
      <c r="F4665" s="226"/>
      <c r="G4665" s="226"/>
      <c r="H4665" s="226"/>
      <c r="I4665" s="9" t="str">
        <f t="shared" si="72"/>
        <v>__</v>
      </c>
    </row>
    <row r="4666" spans="1:9" x14ac:dyDescent="0.35">
      <c r="A4666" s="226"/>
      <c r="B4666" s="226"/>
      <c r="C4666" s="226"/>
      <c r="D4666" s="226"/>
      <c r="E4666" s="226"/>
      <c r="F4666" s="226"/>
      <c r="G4666" s="226"/>
      <c r="H4666" s="226"/>
      <c r="I4666" s="9" t="str">
        <f t="shared" si="72"/>
        <v>__</v>
      </c>
    </row>
    <row r="4667" spans="1:9" x14ac:dyDescent="0.35">
      <c r="A4667" s="226"/>
      <c r="B4667" s="226"/>
      <c r="C4667" s="226"/>
      <c r="D4667" s="226"/>
      <c r="E4667" s="226"/>
      <c r="F4667" s="226"/>
      <c r="G4667" s="226"/>
      <c r="H4667" s="226"/>
      <c r="I4667" s="9" t="str">
        <f t="shared" si="72"/>
        <v>__</v>
      </c>
    </row>
    <row r="4668" spans="1:9" x14ac:dyDescent="0.35">
      <c r="A4668" s="226"/>
      <c r="B4668" s="226"/>
      <c r="C4668" s="226"/>
      <c r="D4668" s="226"/>
      <c r="E4668" s="226"/>
      <c r="F4668" s="226"/>
      <c r="G4668" s="226"/>
      <c r="H4668" s="226"/>
      <c r="I4668" s="9" t="str">
        <f t="shared" si="72"/>
        <v>__</v>
      </c>
    </row>
    <row r="4669" spans="1:9" x14ac:dyDescent="0.35">
      <c r="A4669" s="226"/>
      <c r="B4669" s="226"/>
      <c r="C4669" s="226"/>
      <c r="D4669" s="226"/>
      <c r="E4669" s="226"/>
      <c r="F4669" s="226"/>
      <c r="G4669" s="226"/>
      <c r="H4669" s="226"/>
      <c r="I4669" s="9" t="str">
        <f t="shared" si="72"/>
        <v>__</v>
      </c>
    </row>
    <row r="4670" spans="1:9" x14ac:dyDescent="0.35">
      <c r="A4670" s="226"/>
      <c r="B4670" s="226"/>
      <c r="C4670" s="226"/>
      <c r="D4670" s="226"/>
      <c r="E4670" s="226"/>
      <c r="F4670" s="226"/>
      <c r="G4670" s="226"/>
      <c r="H4670" s="226"/>
      <c r="I4670" s="9" t="str">
        <f t="shared" si="72"/>
        <v>__</v>
      </c>
    </row>
    <row r="4671" spans="1:9" x14ac:dyDescent="0.35">
      <c r="A4671" s="226"/>
      <c r="B4671" s="226"/>
      <c r="C4671" s="226"/>
      <c r="D4671" s="226"/>
      <c r="E4671" s="226"/>
      <c r="F4671" s="226"/>
      <c r="G4671" s="226"/>
      <c r="H4671" s="226"/>
      <c r="I4671" s="9" t="str">
        <f t="shared" si="72"/>
        <v>__</v>
      </c>
    </row>
    <row r="4672" spans="1:9" x14ac:dyDescent="0.35">
      <c r="A4672" s="226"/>
      <c r="B4672" s="226"/>
      <c r="C4672" s="226"/>
      <c r="D4672" s="226"/>
      <c r="E4672" s="226"/>
      <c r="F4672" s="226"/>
      <c r="G4672" s="226"/>
      <c r="H4672" s="226"/>
      <c r="I4672" s="9" t="str">
        <f t="shared" si="72"/>
        <v>__</v>
      </c>
    </row>
    <row r="4673" spans="1:9" x14ac:dyDescent="0.35">
      <c r="A4673" s="226"/>
      <c r="B4673" s="226"/>
      <c r="C4673" s="226"/>
      <c r="D4673" s="226"/>
      <c r="E4673" s="226"/>
      <c r="F4673" s="226"/>
      <c r="G4673" s="226"/>
      <c r="H4673" s="226"/>
      <c r="I4673" s="9" t="str">
        <f t="shared" si="72"/>
        <v>__</v>
      </c>
    </row>
    <row r="4674" spans="1:9" x14ac:dyDescent="0.35">
      <c r="A4674" s="226"/>
      <c r="B4674" s="226"/>
      <c r="C4674" s="226"/>
      <c r="D4674" s="226"/>
      <c r="E4674" s="226"/>
      <c r="F4674" s="226"/>
      <c r="G4674" s="226"/>
      <c r="H4674" s="226"/>
      <c r="I4674" s="9" t="str">
        <f t="shared" si="72"/>
        <v>__</v>
      </c>
    </row>
    <row r="4675" spans="1:9" x14ac:dyDescent="0.35">
      <c r="A4675" s="226"/>
      <c r="B4675" s="226"/>
      <c r="C4675" s="226"/>
      <c r="D4675" s="226"/>
      <c r="E4675" s="226"/>
      <c r="F4675" s="226"/>
      <c r="G4675" s="226"/>
      <c r="H4675" s="226"/>
      <c r="I4675" s="9" t="str">
        <f t="shared" si="72"/>
        <v>__</v>
      </c>
    </row>
    <row r="4676" spans="1:9" x14ac:dyDescent="0.35">
      <c r="A4676" s="226"/>
      <c r="B4676" s="226"/>
      <c r="C4676" s="226"/>
      <c r="D4676" s="226"/>
      <c r="E4676" s="226"/>
      <c r="F4676" s="226"/>
      <c r="G4676" s="226"/>
      <c r="H4676" s="226"/>
      <c r="I4676" s="9" t="str">
        <f t="shared" si="72"/>
        <v>__</v>
      </c>
    </row>
    <row r="4677" spans="1:9" x14ac:dyDescent="0.35">
      <c r="A4677" s="226"/>
      <c r="B4677" s="226"/>
      <c r="C4677" s="226"/>
      <c r="D4677" s="226"/>
      <c r="E4677" s="226"/>
      <c r="F4677" s="226"/>
      <c r="G4677" s="226"/>
      <c r="H4677" s="226"/>
      <c r="I4677" s="9" t="str">
        <f t="shared" ref="I4677:I4740" si="73">CONCATENATE(A4677,"_",B4677,"_",C4677)</f>
        <v>__</v>
      </c>
    </row>
    <row r="4678" spans="1:9" x14ac:dyDescent="0.35">
      <c r="A4678" s="226"/>
      <c r="B4678" s="226"/>
      <c r="C4678" s="226"/>
      <c r="D4678" s="226"/>
      <c r="E4678" s="226"/>
      <c r="F4678" s="226"/>
      <c r="G4678" s="226"/>
      <c r="H4678" s="226"/>
      <c r="I4678" s="9" t="str">
        <f t="shared" si="73"/>
        <v>__</v>
      </c>
    </row>
    <row r="4679" spans="1:9" x14ac:dyDescent="0.35">
      <c r="A4679" s="226"/>
      <c r="B4679" s="226"/>
      <c r="C4679" s="226"/>
      <c r="D4679" s="226"/>
      <c r="E4679" s="226"/>
      <c r="F4679" s="226"/>
      <c r="G4679" s="226"/>
      <c r="H4679" s="226"/>
      <c r="I4679" s="9" t="str">
        <f t="shared" si="73"/>
        <v>__</v>
      </c>
    </row>
    <row r="4680" spans="1:9" x14ac:dyDescent="0.35">
      <c r="A4680" s="226"/>
      <c r="B4680" s="226"/>
      <c r="C4680" s="226"/>
      <c r="D4680" s="226"/>
      <c r="E4680" s="226"/>
      <c r="F4680" s="226"/>
      <c r="G4680" s="226"/>
      <c r="H4680" s="226"/>
      <c r="I4680" s="9" t="str">
        <f t="shared" si="73"/>
        <v>__</v>
      </c>
    </row>
    <row r="4681" spans="1:9" x14ac:dyDescent="0.35">
      <c r="A4681" s="226"/>
      <c r="B4681" s="226"/>
      <c r="C4681" s="226"/>
      <c r="D4681" s="226"/>
      <c r="E4681" s="226"/>
      <c r="F4681" s="226"/>
      <c r="G4681" s="226"/>
      <c r="H4681" s="226"/>
      <c r="I4681" s="9" t="str">
        <f t="shared" si="73"/>
        <v>__</v>
      </c>
    </row>
    <row r="4682" spans="1:9" x14ac:dyDescent="0.35">
      <c r="A4682" s="226"/>
      <c r="B4682" s="226"/>
      <c r="C4682" s="226"/>
      <c r="D4682" s="226"/>
      <c r="E4682" s="226"/>
      <c r="F4682" s="226"/>
      <c r="G4682" s="226"/>
      <c r="H4682" s="226"/>
      <c r="I4682" s="9" t="str">
        <f t="shared" si="73"/>
        <v>__</v>
      </c>
    </row>
    <row r="4683" spans="1:9" x14ac:dyDescent="0.35">
      <c r="A4683" s="226"/>
      <c r="B4683" s="226"/>
      <c r="C4683" s="226"/>
      <c r="D4683" s="226"/>
      <c r="E4683" s="226"/>
      <c r="F4683" s="226"/>
      <c r="G4683" s="226"/>
      <c r="H4683" s="226"/>
      <c r="I4683" s="9" t="str">
        <f t="shared" si="73"/>
        <v>__</v>
      </c>
    </row>
    <row r="4684" spans="1:9" x14ac:dyDescent="0.35">
      <c r="A4684" s="226"/>
      <c r="B4684" s="226"/>
      <c r="C4684" s="226"/>
      <c r="D4684" s="226"/>
      <c r="E4684" s="226"/>
      <c r="F4684" s="226"/>
      <c r="G4684" s="226"/>
      <c r="H4684" s="226"/>
      <c r="I4684" s="9" t="str">
        <f t="shared" si="73"/>
        <v>__</v>
      </c>
    </row>
    <row r="4685" spans="1:9" x14ac:dyDescent="0.35">
      <c r="A4685" s="226"/>
      <c r="B4685" s="226"/>
      <c r="C4685" s="226"/>
      <c r="D4685" s="226"/>
      <c r="E4685" s="226"/>
      <c r="F4685" s="226"/>
      <c r="G4685" s="226"/>
      <c r="H4685" s="226"/>
      <c r="I4685" s="9" t="str">
        <f t="shared" si="73"/>
        <v>__</v>
      </c>
    </row>
    <row r="4686" spans="1:9" x14ac:dyDescent="0.35">
      <c r="A4686" s="226"/>
      <c r="B4686" s="226"/>
      <c r="C4686" s="226"/>
      <c r="D4686" s="226"/>
      <c r="E4686" s="226"/>
      <c r="F4686" s="226"/>
      <c r="G4686" s="226"/>
      <c r="H4686" s="226"/>
      <c r="I4686" s="9" t="str">
        <f t="shared" si="73"/>
        <v>__</v>
      </c>
    </row>
    <row r="4687" spans="1:9" x14ac:dyDescent="0.35">
      <c r="A4687" s="226"/>
      <c r="B4687" s="226"/>
      <c r="C4687" s="226"/>
      <c r="D4687" s="226"/>
      <c r="E4687" s="226"/>
      <c r="F4687" s="226"/>
      <c r="G4687" s="226"/>
      <c r="H4687" s="226"/>
      <c r="I4687" s="9" t="str">
        <f t="shared" si="73"/>
        <v>__</v>
      </c>
    </row>
    <row r="4688" spans="1:9" x14ac:dyDescent="0.35">
      <c r="A4688" s="226"/>
      <c r="B4688" s="226"/>
      <c r="C4688" s="226"/>
      <c r="D4688" s="226"/>
      <c r="E4688" s="226"/>
      <c r="F4688" s="226"/>
      <c r="G4688" s="226"/>
      <c r="H4688" s="226"/>
      <c r="I4688" s="9" t="str">
        <f t="shared" si="73"/>
        <v>__</v>
      </c>
    </row>
    <row r="4689" spans="1:9" x14ac:dyDescent="0.35">
      <c r="A4689" s="226"/>
      <c r="B4689" s="226"/>
      <c r="C4689" s="226"/>
      <c r="D4689" s="226"/>
      <c r="E4689" s="226"/>
      <c r="F4689" s="226"/>
      <c r="G4689" s="226"/>
      <c r="H4689" s="226"/>
      <c r="I4689" s="9" t="str">
        <f t="shared" si="73"/>
        <v>__</v>
      </c>
    </row>
    <row r="4690" spans="1:9" x14ac:dyDescent="0.35">
      <c r="A4690" s="226"/>
      <c r="B4690" s="226"/>
      <c r="C4690" s="226"/>
      <c r="D4690" s="226"/>
      <c r="E4690" s="226"/>
      <c r="F4690" s="226"/>
      <c r="G4690" s="226"/>
      <c r="H4690" s="226"/>
      <c r="I4690" s="9" t="str">
        <f t="shared" si="73"/>
        <v>__</v>
      </c>
    </row>
    <row r="4691" spans="1:9" x14ac:dyDescent="0.35">
      <c r="A4691" s="226"/>
      <c r="B4691" s="226"/>
      <c r="C4691" s="226"/>
      <c r="D4691" s="226"/>
      <c r="E4691" s="226"/>
      <c r="F4691" s="226"/>
      <c r="G4691" s="226"/>
      <c r="H4691" s="226"/>
      <c r="I4691" s="9" t="str">
        <f t="shared" si="73"/>
        <v>__</v>
      </c>
    </row>
    <row r="4692" spans="1:9" x14ac:dyDescent="0.35">
      <c r="A4692" s="226"/>
      <c r="B4692" s="226"/>
      <c r="C4692" s="226"/>
      <c r="D4692" s="226"/>
      <c r="E4692" s="226"/>
      <c r="F4692" s="226"/>
      <c r="G4692" s="226"/>
      <c r="H4692" s="226"/>
      <c r="I4692" s="9" t="str">
        <f t="shared" si="73"/>
        <v>__</v>
      </c>
    </row>
    <row r="4693" spans="1:9" x14ac:dyDescent="0.35">
      <c r="A4693" s="226"/>
      <c r="B4693" s="226"/>
      <c r="C4693" s="226"/>
      <c r="D4693" s="226"/>
      <c r="E4693" s="226"/>
      <c r="F4693" s="226"/>
      <c r="G4693" s="226"/>
      <c r="H4693" s="226"/>
      <c r="I4693" s="9" t="str">
        <f t="shared" si="73"/>
        <v>__</v>
      </c>
    </row>
    <row r="4694" spans="1:9" x14ac:dyDescent="0.35">
      <c r="A4694" s="226"/>
      <c r="B4694" s="226"/>
      <c r="C4694" s="226"/>
      <c r="D4694" s="226"/>
      <c r="E4694" s="226"/>
      <c r="F4694" s="226"/>
      <c r="G4694" s="226"/>
      <c r="H4694" s="226"/>
      <c r="I4694" s="9" t="str">
        <f t="shared" si="73"/>
        <v>__</v>
      </c>
    </row>
    <row r="4695" spans="1:9" x14ac:dyDescent="0.35">
      <c r="A4695" s="226"/>
      <c r="B4695" s="226"/>
      <c r="C4695" s="226"/>
      <c r="D4695" s="226"/>
      <c r="E4695" s="226"/>
      <c r="F4695" s="226"/>
      <c r="G4695" s="226"/>
      <c r="H4695" s="226"/>
      <c r="I4695" s="9" t="str">
        <f t="shared" si="73"/>
        <v>__</v>
      </c>
    </row>
    <row r="4696" spans="1:9" x14ac:dyDescent="0.35">
      <c r="A4696" s="226"/>
      <c r="B4696" s="226"/>
      <c r="C4696" s="226"/>
      <c r="D4696" s="226"/>
      <c r="E4696" s="226"/>
      <c r="F4696" s="226"/>
      <c r="G4696" s="226"/>
      <c r="H4696" s="226"/>
      <c r="I4696" s="9" t="str">
        <f t="shared" si="73"/>
        <v>__</v>
      </c>
    </row>
    <row r="4697" spans="1:9" x14ac:dyDescent="0.35">
      <c r="A4697" s="226"/>
      <c r="B4697" s="226"/>
      <c r="C4697" s="226"/>
      <c r="D4697" s="226"/>
      <c r="E4697" s="226"/>
      <c r="F4697" s="226"/>
      <c r="G4697" s="226"/>
      <c r="H4697" s="226"/>
      <c r="I4697" s="9" t="str">
        <f t="shared" si="73"/>
        <v>__</v>
      </c>
    </row>
    <row r="4698" spans="1:9" x14ac:dyDescent="0.35">
      <c r="A4698" s="226"/>
      <c r="B4698" s="226"/>
      <c r="C4698" s="226"/>
      <c r="D4698" s="226"/>
      <c r="E4698" s="226"/>
      <c r="F4698" s="226"/>
      <c r="G4698" s="226"/>
      <c r="H4698" s="226"/>
      <c r="I4698" s="9" t="str">
        <f t="shared" si="73"/>
        <v>__</v>
      </c>
    </row>
    <row r="4699" spans="1:9" x14ac:dyDescent="0.35">
      <c r="A4699" s="226"/>
      <c r="B4699" s="226"/>
      <c r="C4699" s="226"/>
      <c r="D4699" s="226"/>
      <c r="E4699" s="226"/>
      <c r="F4699" s="226"/>
      <c r="G4699" s="226"/>
      <c r="H4699" s="226"/>
      <c r="I4699" s="9" t="str">
        <f t="shared" si="73"/>
        <v>__</v>
      </c>
    </row>
    <row r="4700" spans="1:9" x14ac:dyDescent="0.35">
      <c r="A4700" s="226"/>
      <c r="B4700" s="226"/>
      <c r="C4700" s="226"/>
      <c r="D4700" s="226"/>
      <c r="E4700" s="226"/>
      <c r="F4700" s="226"/>
      <c r="G4700" s="226"/>
      <c r="H4700" s="226"/>
      <c r="I4700" s="9" t="str">
        <f t="shared" si="73"/>
        <v>__</v>
      </c>
    </row>
    <row r="4701" spans="1:9" x14ac:dyDescent="0.35">
      <c r="A4701" s="226"/>
      <c r="B4701" s="226"/>
      <c r="C4701" s="226"/>
      <c r="D4701" s="226"/>
      <c r="E4701" s="226"/>
      <c r="F4701" s="226"/>
      <c r="G4701" s="226"/>
      <c r="H4701" s="226"/>
      <c r="I4701" s="9" t="str">
        <f t="shared" si="73"/>
        <v>__</v>
      </c>
    </row>
    <row r="4702" spans="1:9" x14ac:dyDescent="0.35">
      <c r="A4702" s="226"/>
      <c r="B4702" s="226"/>
      <c r="C4702" s="226"/>
      <c r="D4702" s="226"/>
      <c r="E4702" s="226"/>
      <c r="F4702" s="226"/>
      <c r="G4702" s="226"/>
      <c r="H4702" s="226"/>
      <c r="I4702" s="9" t="str">
        <f t="shared" si="73"/>
        <v>__</v>
      </c>
    </row>
    <row r="4703" spans="1:9" x14ac:dyDescent="0.35">
      <c r="A4703" s="226"/>
      <c r="B4703" s="226"/>
      <c r="C4703" s="226"/>
      <c r="D4703" s="226"/>
      <c r="E4703" s="226"/>
      <c r="F4703" s="226"/>
      <c r="G4703" s="226"/>
      <c r="H4703" s="226"/>
      <c r="I4703" s="9" t="str">
        <f t="shared" si="73"/>
        <v>__</v>
      </c>
    </row>
    <row r="4704" spans="1:9" x14ac:dyDescent="0.35">
      <c r="A4704" s="226"/>
      <c r="B4704" s="226"/>
      <c r="C4704" s="226"/>
      <c r="D4704" s="226"/>
      <c r="E4704" s="226"/>
      <c r="F4704" s="226"/>
      <c r="G4704" s="226"/>
      <c r="H4704" s="226"/>
      <c r="I4704" s="9" t="str">
        <f t="shared" si="73"/>
        <v>__</v>
      </c>
    </row>
    <row r="4705" spans="1:9" x14ac:dyDescent="0.35">
      <c r="A4705" s="226"/>
      <c r="B4705" s="226"/>
      <c r="C4705" s="226"/>
      <c r="D4705" s="226"/>
      <c r="E4705" s="226"/>
      <c r="F4705" s="226"/>
      <c r="G4705" s="226"/>
      <c r="H4705" s="226"/>
      <c r="I4705" s="9" t="str">
        <f t="shared" si="73"/>
        <v>__</v>
      </c>
    </row>
    <row r="4706" spans="1:9" x14ac:dyDescent="0.35">
      <c r="A4706" s="226"/>
      <c r="B4706" s="226"/>
      <c r="C4706" s="226"/>
      <c r="D4706" s="226"/>
      <c r="E4706" s="226"/>
      <c r="F4706" s="226"/>
      <c r="G4706" s="226"/>
      <c r="H4706" s="226"/>
      <c r="I4706" s="9" t="str">
        <f t="shared" si="73"/>
        <v>__</v>
      </c>
    </row>
    <row r="4707" spans="1:9" x14ac:dyDescent="0.35">
      <c r="A4707" s="226"/>
      <c r="B4707" s="226"/>
      <c r="C4707" s="226"/>
      <c r="D4707" s="226"/>
      <c r="E4707" s="226"/>
      <c r="F4707" s="226"/>
      <c r="G4707" s="226"/>
      <c r="H4707" s="226"/>
      <c r="I4707" s="9" t="str">
        <f t="shared" si="73"/>
        <v>__</v>
      </c>
    </row>
    <row r="4708" spans="1:9" x14ac:dyDescent="0.35">
      <c r="A4708" s="226"/>
      <c r="B4708" s="226"/>
      <c r="C4708" s="226"/>
      <c r="D4708" s="226"/>
      <c r="E4708" s="226"/>
      <c r="F4708" s="226"/>
      <c r="G4708" s="226"/>
      <c r="H4708" s="226"/>
      <c r="I4708" s="9" t="str">
        <f t="shared" si="73"/>
        <v>__</v>
      </c>
    </row>
    <row r="4709" spans="1:9" x14ac:dyDescent="0.35">
      <c r="A4709" s="226"/>
      <c r="B4709" s="226"/>
      <c r="C4709" s="226"/>
      <c r="D4709" s="226"/>
      <c r="E4709" s="226"/>
      <c r="F4709" s="226"/>
      <c r="G4709" s="226"/>
      <c r="H4709" s="226"/>
      <c r="I4709" s="9" t="str">
        <f t="shared" si="73"/>
        <v>__</v>
      </c>
    </row>
    <row r="4710" spans="1:9" x14ac:dyDescent="0.35">
      <c r="A4710" s="226"/>
      <c r="B4710" s="226"/>
      <c r="C4710" s="226"/>
      <c r="D4710" s="226"/>
      <c r="E4710" s="226"/>
      <c r="F4710" s="226"/>
      <c r="G4710" s="226"/>
      <c r="H4710" s="226"/>
      <c r="I4710" s="9" t="str">
        <f t="shared" si="73"/>
        <v>__</v>
      </c>
    </row>
    <row r="4711" spans="1:9" x14ac:dyDescent="0.35">
      <c r="A4711" s="226"/>
      <c r="B4711" s="226"/>
      <c r="C4711" s="226"/>
      <c r="D4711" s="226"/>
      <c r="E4711" s="226"/>
      <c r="F4711" s="226"/>
      <c r="G4711" s="226"/>
      <c r="H4711" s="226"/>
      <c r="I4711" s="9" t="str">
        <f t="shared" si="73"/>
        <v>__</v>
      </c>
    </row>
    <row r="4712" spans="1:9" x14ac:dyDescent="0.35">
      <c r="A4712" s="226"/>
      <c r="B4712" s="226"/>
      <c r="C4712" s="226"/>
      <c r="D4712" s="226"/>
      <c r="E4712" s="226"/>
      <c r="F4712" s="226"/>
      <c r="G4712" s="226"/>
      <c r="H4712" s="226"/>
      <c r="I4712" s="9" t="str">
        <f t="shared" si="73"/>
        <v>__</v>
      </c>
    </row>
    <row r="4713" spans="1:9" x14ac:dyDescent="0.35">
      <c r="A4713" s="226"/>
      <c r="B4713" s="226"/>
      <c r="C4713" s="226"/>
      <c r="D4713" s="226"/>
      <c r="E4713" s="226"/>
      <c r="F4713" s="226"/>
      <c r="G4713" s="226"/>
      <c r="H4713" s="226"/>
      <c r="I4713" s="9" t="str">
        <f t="shared" si="73"/>
        <v>__</v>
      </c>
    </row>
    <row r="4714" spans="1:9" x14ac:dyDescent="0.35">
      <c r="A4714" s="226"/>
      <c r="B4714" s="226"/>
      <c r="C4714" s="226"/>
      <c r="D4714" s="226"/>
      <c r="E4714" s="226"/>
      <c r="F4714" s="226"/>
      <c r="G4714" s="226"/>
      <c r="H4714" s="226"/>
      <c r="I4714" s="9" t="str">
        <f t="shared" si="73"/>
        <v>__</v>
      </c>
    </row>
    <row r="4715" spans="1:9" x14ac:dyDescent="0.35">
      <c r="A4715" s="226"/>
      <c r="B4715" s="226"/>
      <c r="C4715" s="226"/>
      <c r="D4715" s="226"/>
      <c r="E4715" s="226"/>
      <c r="F4715" s="226"/>
      <c r="G4715" s="226"/>
      <c r="H4715" s="226"/>
      <c r="I4715" s="9" t="str">
        <f t="shared" si="73"/>
        <v>__</v>
      </c>
    </row>
    <row r="4716" spans="1:9" x14ac:dyDescent="0.35">
      <c r="A4716" s="226"/>
      <c r="B4716" s="226"/>
      <c r="C4716" s="226"/>
      <c r="D4716" s="226"/>
      <c r="E4716" s="226"/>
      <c r="F4716" s="226"/>
      <c r="G4716" s="226"/>
      <c r="H4716" s="226"/>
      <c r="I4716" s="9" t="str">
        <f t="shared" si="73"/>
        <v>__</v>
      </c>
    </row>
    <row r="4717" spans="1:9" x14ac:dyDescent="0.35">
      <c r="A4717" s="226"/>
      <c r="B4717" s="226"/>
      <c r="C4717" s="226"/>
      <c r="D4717" s="226"/>
      <c r="E4717" s="226"/>
      <c r="F4717" s="226"/>
      <c r="G4717" s="226"/>
      <c r="H4717" s="226"/>
      <c r="I4717" s="9" t="str">
        <f t="shared" si="73"/>
        <v>__</v>
      </c>
    </row>
    <row r="4718" spans="1:9" x14ac:dyDescent="0.35">
      <c r="A4718" s="226"/>
      <c r="B4718" s="226"/>
      <c r="C4718" s="226"/>
      <c r="D4718" s="226"/>
      <c r="E4718" s="226"/>
      <c r="F4718" s="226"/>
      <c r="G4718" s="226"/>
      <c r="H4718" s="226"/>
      <c r="I4718" s="9" t="str">
        <f t="shared" si="73"/>
        <v>__</v>
      </c>
    </row>
    <row r="4719" spans="1:9" x14ac:dyDescent="0.35">
      <c r="A4719" s="226"/>
      <c r="B4719" s="226"/>
      <c r="C4719" s="226"/>
      <c r="D4719" s="226"/>
      <c r="E4719" s="226"/>
      <c r="F4719" s="226"/>
      <c r="G4719" s="226"/>
      <c r="H4719" s="226"/>
      <c r="I4719" s="9" t="str">
        <f t="shared" si="73"/>
        <v>__</v>
      </c>
    </row>
    <row r="4720" spans="1:9" x14ac:dyDescent="0.35">
      <c r="A4720" s="226"/>
      <c r="B4720" s="226"/>
      <c r="C4720" s="226"/>
      <c r="D4720" s="226"/>
      <c r="E4720" s="226"/>
      <c r="F4720" s="226"/>
      <c r="G4720" s="226"/>
      <c r="H4720" s="226"/>
      <c r="I4720" s="9" t="str">
        <f t="shared" si="73"/>
        <v>__</v>
      </c>
    </row>
    <row r="4721" spans="1:9" x14ac:dyDescent="0.35">
      <c r="A4721" s="226"/>
      <c r="B4721" s="226"/>
      <c r="C4721" s="226"/>
      <c r="D4721" s="226"/>
      <c r="E4721" s="226"/>
      <c r="F4721" s="226"/>
      <c r="G4721" s="226"/>
      <c r="H4721" s="226"/>
      <c r="I4721" s="9" t="str">
        <f t="shared" si="73"/>
        <v>__</v>
      </c>
    </row>
    <row r="4722" spans="1:9" x14ac:dyDescent="0.35">
      <c r="A4722" s="226"/>
      <c r="B4722" s="226"/>
      <c r="C4722" s="226"/>
      <c r="D4722" s="226"/>
      <c r="E4722" s="226"/>
      <c r="F4722" s="226"/>
      <c r="G4722" s="226"/>
      <c r="H4722" s="226"/>
      <c r="I4722" s="9" t="str">
        <f t="shared" si="73"/>
        <v>__</v>
      </c>
    </row>
    <row r="4723" spans="1:9" x14ac:dyDescent="0.35">
      <c r="A4723" s="226"/>
      <c r="B4723" s="226"/>
      <c r="C4723" s="226"/>
      <c r="D4723" s="226"/>
      <c r="E4723" s="226"/>
      <c r="F4723" s="226"/>
      <c r="G4723" s="226"/>
      <c r="H4723" s="226"/>
      <c r="I4723" s="9" t="str">
        <f t="shared" si="73"/>
        <v>__</v>
      </c>
    </row>
    <row r="4724" spans="1:9" x14ac:dyDescent="0.35">
      <c r="A4724" s="226"/>
      <c r="B4724" s="226"/>
      <c r="C4724" s="226"/>
      <c r="D4724" s="226"/>
      <c r="E4724" s="226"/>
      <c r="F4724" s="226"/>
      <c r="G4724" s="226"/>
      <c r="H4724" s="226"/>
      <c r="I4724" s="9" t="str">
        <f t="shared" si="73"/>
        <v>__</v>
      </c>
    </row>
    <row r="4725" spans="1:9" x14ac:dyDescent="0.35">
      <c r="A4725" s="226"/>
      <c r="B4725" s="226"/>
      <c r="C4725" s="226"/>
      <c r="D4725" s="226"/>
      <c r="E4725" s="226"/>
      <c r="F4725" s="226"/>
      <c r="G4725" s="226"/>
      <c r="H4725" s="226"/>
      <c r="I4725" s="9" t="str">
        <f t="shared" si="73"/>
        <v>__</v>
      </c>
    </row>
    <row r="4726" spans="1:9" x14ac:dyDescent="0.35">
      <c r="A4726" s="226"/>
      <c r="B4726" s="226"/>
      <c r="C4726" s="226"/>
      <c r="D4726" s="226"/>
      <c r="E4726" s="226"/>
      <c r="F4726" s="226"/>
      <c r="G4726" s="226"/>
      <c r="H4726" s="226"/>
      <c r="I4726" s="9" t="str">
        <f t="shared" si="73"/>
        <v>__</v>
      </c>
    </row>
    <row r="4727" spans="1:9" x14ac:dyDescent="0.35">
      <c r="A4727" s="226"/>
      <c r="B4727" s="226"/>
      <c r="C4727" s="226"/>
      <c r="D4727" s="226"/>
      <c r="E4727" s="226"/>
      <c r="F4727" s="226"/>
      <c r="G4727" s="226"/>
      <c r="H4727" s="226"/>
      <c r="I4727" s="9" t="str">
        <f t="shared" si="73"/>
        <v>__</v>
      </c>
    </row>
    <row r="4728" spans="1:9" x14ac:dyDescent="0.35">
      <c r="A4728" s="226"/>
      <c r="B4728" s="226"/>
      <c r="C4728" s="226"/>
      <c r="D4728" s="226"/>
      <c r="E4728" s="226"/>
      <c r="F4728" s="226"/>
      <c r="G4728" s="226"/>
      <c r="H4728" s="226"/>
      <c r="I4728" s="9" t="str">
        <f t="shared" si="73"/>
        <v>__</v>
      </c>
    </row>
    <row r="4729" spans="1:9" x14ac:dyDescent="0.35">
      <c r="A4729" s="226"/>
      <c r="B4729" s="226"/>
      <c r="C4729" s="226"/>
      <c r="D4729" s="226"/>
      <c r="E4729" s="226"/>
      <c r="F4729" s="226"/>
      <c r="G4729" s="226"/>
      <c r="H4729" s="226"/>
      <c r="I4729" s="9" t="str">
        <f t="shared" si="73"/>
        <v>__</v>
      </c>
    </row>
    <row r="4730" spans="1:9" x14ac:dyDescent="0.35">
      <c r="A4730" s="226"/>
      <c r="B4730" s="226"/>
      <c r="C4730" s="226"/>
      <c r="D4730" s="226"/>
      <c r="E4730" s="226"/>
      <c r="F4730" s="226"/>
      <c r="G4730" s="226"/>
      <c r="H4730" s="226"/>
      <c r="I4730" s="9" t="str">
        <f t="shared" si="73"/>
        <v>__</v>
      </c>
    </row>
    <row r="4731" spans="1:9" x14ac:dyDescent="0.35">
      <c r="A4731" s="226"/>
      <c r="B4731" s="226"/>
      <c r="C4731" s="226"/>
      <c r="D4731" s="226"/>
      <c r="E4731" s="226"/>
      <c r="F4731" s="226"/>
      <c r="G4731" s="226"/>
      <c r="H4731" s="226"/>
      <c r="I4731" s="9" t="str">
        <f t="shared" si="73"/>
        <v>__</v>
      </c>
    </row>
    <row r="4732" spans="1:9" x14ac:dyDescent="0.35">
      <c r="A4732" s="226"/>
      <c r="B4732" s="226"/>
      <c r="C4732" s="226"/>
      <c r="D4732" s="226"/>
      <c r="E4732" s="226"/>
      <c r="F4732" s="226"/>
      <c r="G4732" s="226"/>
      <c r="H4732" s="226"/>
      <c r="I4732" s="9" t="str">
        <f t="shared" si="73"/>
        <v>__</v>
      </c>
    </row>
    <row r="4733" spans="1:9" x14ac:dyDescent="0.35">
      <c r="A4733" s="226"/>
      <c r="B4733" s="226"/>
      <c r="C4733" s="226"/>
      <c r="D4733" s="226"/>
      <c r="E4733" s="226"/>
      <c r="F4733" s="226"/>
      <c r="G4733" s="226"/>
      <c r="H4733" s="226"/>
      <c r="I4733" s="9" t="str">
        <f t="shared" si="73"/>
        <v>__</v>
      </c>
    </row>
    <row r="4734" spans="1:9" x14ac:dyDescent="0.35">
      <c r="A4734" s="226"/>
      <c r="B4734" s="226"/>
      <c r="C4734" s="226"/>
      <c r="D4734" s="226"/>
      <c r="E4734" s="226"/>
      <c r="F4734" s="226"/>
      <c r="G4734" s="226"/>
      <c r="H4734" s="226"/>
      <c r="I4734" s="9" t="str">
        <f t="shared" si="73"/>
        <v>__</v>
      </c>
    </row>
    <row r="4735" spans="1:9" x14ac:dyDescent="0.35">
      <c r="A4735" s="226"/>
      <c r="B4735" s="226"/>
      <c r="C4735" s="226"/>
      <c r="D4735" s="226"/>
      <c r="E4735" s="226"/>
      <c r="F4735" s="226"/>
      <c r="G4735" s="226"/>
      <c r="H4735" s="226"/>
      <c r="I4735" s="9" t="str">
        <f t="shared" si="73"/>
        <v>__</v>
      </c>
    </row>
    <row r="4736" spans="1:9" x14ac:dyDescent="0.35">
      <c r="A4736" s="226"/>
      <c r="B4736" s="226"/>
      <c r="C4736" s="226"/>
      <c r="D4736" s="226"/>
      <c r="E4736" s="226"/>
      <c r="F4736" s="226"/>
      <c r="G4736" s="226"/>
      <c r="H4736" s="226"/>
      <c r="I4736" s="9" t="str">
        <f t="shared" si="73"/>
        <v>__</v>
      </c>
    </row>
    <row r="4737" spans="1:9" x14ac:dyDescent="0.35">
      <c r="A4737" s="226"/>
      <c r="B4737" s="226"/>
      <c r="C4737" s="226"/>
      <c r="D4737" s="226"/>
      <c r="E4737" s="226"/>
      <c r="F4737" s="226"/>
      <c r="G4737" s="226"/>
      <c r="H4737" s="226"/>
      <c r="I4737" s="9" t="str">
        <f t="shared" si="73"/>
        <v>__</v>
      </c>
    </row>
    <row r="4738" spans="1:9" x14ac:dyDescent="0.35">
      <c r="A4738" s="226"/>
      <c r="B4738" s="226"/>
      <c r="C4738" s="226"/>
      <c r="D4738" s="226"/>
      <c r="E4738" s="226"/>
      <c r="F4738" s="226"/>
      <c r="G4738" s="226"/>
      <c r="H4738" s="226"/>
      <c r="I4738" s="9" t="str">
        <f t="shared" si="73"/>
        <v>__</v>
      </c>
    </row>
    <row r="4739" spans="1:9" x14ac:dyDescent="0.35">
      <c r="A4739" s="226"/>
      <c r="B4739" s="226"/>
      <c r="C4739" s="226"/>
      <c r="D4739" s="226"/>
      <c r="E4739" s="226"/>
      <c r="F4739" s="226"/>
      <c r="G4739" s="226"/>
      <c r="H4739" s="226"/>
      <c r="I4739" s="9" t="str">
        <f t="shared" si="73"/>
        <v>__</v>
      </c>
    </row>
    <row r="4740" spans="1:9" x14ac:dyDescent="0.35">
      <c r="A4740" s="226"/>
      <c r="B4740" s="226"/>
      <c r="C4740" s="226"/>
      <c r="D4740" s="226"/>
      <c r="E4740" s="226"/>
      <c r="F4740" s="226"/>
      <c r="G4740" s="226"/>
      <c r="H4740" s="226"/>
      <c r="I4740" s="9" t="str">
        <f t="shared" si="73"/>
        <v>__</v>
      </c>
    </row>
    <row r="4741" spans="1:9" x14ac:dyDescent="0.35">
      <c r="A4741" s="226"/>
      <c r="B4741" s="226"/>
      <c r="C4741" s="226"/>
      <c r="D4741" s="226"/>
      <c r="E4741" s="226"/>
      <c r="F4741" s="226"/>
      <c r="G4741" s="226"/>
      <c r="H4741" s="226"/>
      <c r="I4741" s="9" t="str">
        <f t="shared" ref="I4741:I4804" si="74">CONCATENATE(A4741,"_",B4741,"_",C4741)</f>
        <v>__</v>
      </c>
    </row>
    <row r="4742" spans="1:9" x14ac:dyDescent="0.35">
      <c r="A4742" s="226"/>
      <c r="B4742" s="226"/>
      <c r="C4742" s="226"/>
      <c r="D4742" s="226"/>
      <c r="E4742" s="226"/>
      <c r="F4742" s="226"/>
      <c r="G4742" s="226"/>
      <c r="H4742" s="226"/>
      <c r="I4742" s="9" t="str">
        <f t="shared" si="74"/>
        <v>__</v>
      </c>
    </row>
    <row r="4743" spans="1:9" x14ac:dyDescent="0.35">
      <c r="A4743" s="226"/>
      <c r="B4743" s="226"/>
      <c r="C4743" s="226"/>
      <c r="D4743" s="226"/>
      <c r="E4743" s="226"/>
      <c r="F4743" s="226"/>
      <c r="G4743" s="226"/>
      <c r="H4743" s="226"/>
      <c r="I4743" s="9" t="str">
        <f t="shared" si="74"/>
        <v>__</v>
      </c>
    </row>
    <row r="4744" spans="1:9" x14ac:dyDescent="0.35">
      <c r="A4744" s="226"/>
      <c r="B4744" s="226"/>
      <c r="C4744" s="226"/>
      <c r="D4744" s="226"/>
      <c r="E4744" s="226"/>
      <c r="F4744" s="226"/>
      <c r="G4744" s="226"/>
      <c r="H4744" s="226"/>
      <c r="I4744" s="9" t="str">
        <f t="shared" si="74"/>
        <v>__</v>
      </c>
    </row>
    <row r="4745" spans="1:9" x14ac:dyDescent="0.35">
      <c r="A4745" s="226"/>
      <c r="B4745" s="226"/>
      <c r="C4745" s="226"/>
      <c r="D4745" s="226"/>
      <c r="E4745" s="226"/>
      <c r="F4745" s="226"/>
      <c r="G4745" s="226"/>
      <c r="H4745" s="226"/>
      <c r="I4745" s="9" t="str">
        <f t="shared" si="74"/>
        <v>__</v>
      </c>
    </row>
    <row r="4746" spans="1:9" x14ac:dyDescent="0.35">
      <c r="A4746" s="226"/>
      <c r="B4746" s="226"/>
      <c r="C4746" s="226"/>
      <c r="D4746" s="226"/>
      <c r="E4746" s="226"/>
      <c r="F4746" s="226"/>
      <c r="G4746" s="226"/>
      <c r="H4746" s="226"/>
      <c r="I4746" s="9" t="str">
        <f t="shared" si="74"/>
        <v>__</v>
      </c>
    </row>
    <row r="4747" spans="1:9" x14ac:dyDescent="0.35">
      <c r="A4747" s="226"/>
      <c r="B4747" s="226"/>
      <c r="C4747" s="226"/>
      <c r="D4747" s="226"/>
      <c r="E4747" s="226"/>
      <c r="F4747" s="226"/>
      <c r="G4747" s="226"/>
      <c r="H4747" s="226"/>
      <c r="I4747" s="9" t="str">
        <f t="shared" si="74"/>
        <v>__</v>
      </c>
    </row>
    <row r="4748" spans="1:9" x14ac:dyDescent="0.35">
      <c r="A4748" s="226"/>
      <c r="B4748" s="226"/>
      <c r="C4748" s="226"/>
      <c r="D4748" s="226"/>
      <c r="E4748" s="226"/>
      <c r="F4748" s="226"/>
      <c r="G4748" s="226"/>
      <c r="H4748" s="226"/>
      <c r="I4748" s="9" t="str">
        <f t="shared" si="74"/>
        <v>__</v>
      </c>
    </row>
    <row r="4749" spans="1:9" x14ac:dyDescent="0.35">
      <c r="A4749" s="226"/>
      <c r="B4749" s="226"/>
      <c r="C4749" s="226"/>
      <c r="D4749" s="226"/>
      <c r="E4749" s="226"/>
      <c r="F4749" s="226"/>
      <c r="G4749" s="226"/>
      <c r="H4749" s="226"/>
      <c r="I4749" s="9" t="str">
        <f t="shared" si="74"/>
        <v>__</v>
      </c>
    </row>
    <row r="4750" spans="1:9" x14ac:dyDescent="0.35">
      <c r="A4750" s="226"/>
      <c r="B4750" s="226"/>
      <c r="C4750" s="226"/>
      <c r="D4750" s="226"/>
      <c r="E4750" s="226"/>
      <c r="F4750" s="226"/>
      <c r="G4750" s="226"/>
      <c r="H4750" s="226"/>
      <c r="I4750" s="9" t="str">
        <f t="shared" si="74"/>
        <v>__</v>
      </c>
    </row>
    <row r="4751" spans="1:9" x14ac:dyDescent="0.35">
      <c r="A4751" s="226"/>
      <c r="B4751" s="226"/>
      <c r="C4751" s="226"/>
      <c r="D4751" s="226"/>
      <c r="E4751" s="226"/>
      <c r="F4751" s="226"/>
      <c r="G4751" s="226"/>
      <c r="H4751" s="226"/>
      <c r="I4751" s="9" t="str">
        <f t="shared" si="74"/>
        <v>__</v>
      </c>
    </row>
    <row r="4752" spans="1:9" x14ac:dyDescent="0.35">
      <c r="A4752" s="226"/>
      <c r="B4752" s="226"/>
      <c r="C4752" s="226"/>
      <c r="D4752" s="226"/>
      <c r="E4752" s="226"/>
      <c r="F4752" s="226"/>
      <c r="G4752" s="226"/>
      <c r="H4752" s="226"/>
      <c r="I4752" s="9" t="str">
        <f t="shared" si="74"/>
        <v>__</v>
      </c>
    </row>
    <row r="4753" spans="1:9" x14ac:dyDescent="0.35">
      <c r="A4753" s="226"/>
      <c r="B4753" s="226"/>
      <c r="C4753" s="226"/>
      <c r="D4753" s="226"/>
      <c r="E4753" s="226"/>
      <c r="F4753" s="226"/>
      <c r="G4753" s="226"/>
      <c r="H4753" s="226"/>
      <c r="I4753" s="9" t="str">
        <f t="shared" si="74"/>
        <v>__</v>
      </c>
    </row>
    <row r="4754" spans="1:9" x14ac:dyDescent="0.35">
      <c r="A4754" s="226"/>
      <c r="B4754" s="226"/>
      <c r="C4754" s="226"/>
      <c r="D4754" s="226"/>
      <c r="E4754" s="226"/>
      <c r="F4754" s="226"/>
      <c r="G4754" s="226"/>
      <c r="H4754" s="226"/>
      <c r="I4754" s="9" t="str">
        <f t="shared" si="74"/>
        <v>__</v>
      </c>
    </row>
    <row r="4755" spans="1:9" x14ac:dyDescent="0.35">
      <c r="A4755" s="226"/>
      <c r="B4755" s="226"/>
      <c r="C4755" s="226"/>
      <c r="D4755" s="226"/>
      <c r="E4755" s="226"/>
      <c r="F4755" s="226"/>
      <c r="G4755" s="226"/>
      <c r="H4755" s="226"/>
      <c r="I4755" s="9" t="str">
        <f t="shared" si="74"/>
        <v>__</v>
      </c>
    </row>
    <row r="4756" spans="1:9" x14ac:dyDescent="0.35">
      <c r="A4756" s="226"/>
      <c r="B4756" s="226"/>
      <c r="C4756" s="226"/>
      <c r="D4756" s="226"/>
      <c r="E4756" s="226"/>
      <c r="F4756" s="226"/>
      <c r="G4756" s="226"/>
      <c r="H4756" s="226"/>
      <c r="I4756" s="9" t="str">
        <f t="shared" si="74"/>
        <v>__</v>
      </c>
    </row>
    <row r="4757" spans="1:9" x14ac:dyDescent="0.35">
      <c r="A4757" s="226"/>
      <c r="B4757" s="226"/>
      <c r="C4757" s="226"/>
      <c r="D4757" s="226"/>
      <c r="E4757" s="226"/>
      <c r="F4757" s="226"/>
      <c r="G4757" s="226"/>
      <c r="H4757" s="226"/>
      <c r="I4757" s="9" t="str">
        <f t="shared" si="74"/>
        <v>__</v>
      </c>
    </row>
    <row r="4758" spans="1:9" x14ac:dyDescent="0.35">
      <c r="A4758" s="226"/>
      <c r="B4758" s="226"/>
      <c r="C4758" s="226"/>
      <c r="D4758" s="226"/>
      <c r="E4758" s="226"/>
      <c r="F4758" s="226"/>
      <c r="G4758" s="226"/>
      <c r="H4758" s="226"/>
      <c r="I4758" s="9" t="str">
        <f t="shared" si="74"/>
        <v>__</v>
      </c>
    </row>
    <row r="4759" spans="1:9" x14ac:dyDescent="0.35">
      <c r="A4759" s="226"/>
      <c r="B4759" s="226"/>
      <c r="C4759" s="226"/>
      <c r="D4759" s="226"/>
      <c r="E4759" s="226"/>
      <c r="F4759" s="226"/>
      <c r="G4759" s="226"/>
      <c r="H4759" s="226"/>
      <c r="I4759" s="9" t="str">
        <f t="shared" si="74"/>
        <v>__</v>
      </c>
    </row>
    <row r="4760" spans="1:9" x14ac:dyDescent="0.35">
      <c r="A4760" s="226"/>
      <c r="B4760" s="226"/>
      <c r="C4760" s="226"/>
      <c r="D4760" s="226"/>
      <c r="E4760" s="226"/>
      <c r="F4760" s="226"/>
      <c r="G4760" s="226"/>
      <c r="H4760" s="226"/>
      <c r="I4760" s="9" t="str">
        <f t="shared" si="74"/>
        <v>__</v>
      </c>
    </row>
    <row r="4761" spans="1:9" x14ac:dyDescent="0.35">
      <c r="A4761" s="226"/>
      <c r="B4761" s="226"/>
      <c r="C4761" s="226"/>
      <c r="D4761" s="226"/>
      <c r="E4761" s="226"/>
      <c r="F4761" s="226"/>
      <c r="G4761" s="226"/>
      <c r="H4761" s="226"/>
      <c r="I4761" s="9" t="str">
        <f t="shared" si="74"/>
        <v>__</v>
      </c>
    </row>
    <row r="4762" spans="1:9" x14ac:dyDescent="0.35">
      <c r="A4762" s="226"/>
      <c r="B4762" s="226"/>
      <c r="C4762" s="226"/>
      <c r="D4762" s="226"/>
      <c r="E4762" s="226"/>
      <c r="F4762" s="226"/>
      <c r="G4762" s="226"/>
      <c r="H4762" s="226"/>
      <c r="I4762" s="9" t="str">
        <f t="shared" si="74"/>
        <v>__</v>
      </c>
    </row>
    <row r="4763" spans="1:9" x14ac:dyDescent="0.35">
      <c r="A4763" s="226"/>
      <c r="B4763" s="226"/>
      <c r="C4763" s="226"/>
      <c r="D4763" s="226"/>
      <c r="E4763" s="226"/>
      <c r="F4763" s="226"/>
      <c r="G4763" s="226"/>
      <c r="H4763" s="226"/>
      <c r="I4763" s="9" t="str">
        <f t="shared" si="74"/>
        <v>__</v>
      </c>
    </row>
    <row r="4764" spans="1:9" x14ac:dyDescent="0.35">
      <c r="A4764" s="226"/>
      <c r="B4764" s="226"/>
      <c r="C4764" s="226"/>
      <c r="D4764" s="226"/>
      <c r="E4764" s="226"/>
      <c r="F4764" s="226"/>
      <c r="G4764" s="226"/>
      <c r="H4764" s="226"/>
      <c r="I4764" s="9" t="str">
        <f t="shared" si="74"/>
        <v>__</v>
      </c>
    </row>
    <row r="4765" spans="1:9" x14ac:dyDescent="0.35">
      <c r="A4765" s="226"/>
      <c r="B4765" s="226"/>
      <c r="C4765" s="226"/>
      <c r="D4765" s="226"/>
      <c r="E4765" s="226"/>
      <c r="F4765" s="226"/>
      <c r="G4765" s="226"/>
      <c r="H4765" s="226"/>
      <c r="I4765" s="9" t="str">
        <f t="shared" si="74"/>
        <v>__</v>
      </c>
    </row>
    <row r="4766" spans="1:9" x14ac:dyDescent="0.35">
      <c r="A4766" s="226"/>
      <c r="B4766" s="226"/>
      <c r="C4766" s="226"/>
      <c r="D4766" s="226"/>
      <c r="E4766" s="226"/>
      <c r="F4766" s="226"/>
      <c r="G4766" s="226"/>
      <c r="H4766" s="226"/>
      <c r="I4766" s="9" t="str">
        <f t="shared" si="74"/>
        <v>__</v>
      </c>
    </row>
    <row r="4767" spans="1:9" x14ac:dyDescent="0.35">
      <c r="A4767" s="226"/>
      <c r="B4767" s="226"/>
      <c r="C4767" s="226"/>
      <c r="D4767" s="226"/>
      <c r="E4767" s="226"/>
      <c r="F4767" s="226"/>
      <c r="G4767" s="226"/>
      <c r="H4767" s="226"/>
      <c r="I4767" s="9" t="str">
        <f t="shared" si="74"/>
        <v>__</v>
      </c>
    </row>
    <row r="4768" spans="1:9" x14ac:dyDescent="0.35">
      <c r="A4768" s="226"/>
      <c r="B4768" s="226"/>
      <c r="C4768" s="226"/>
      <c r="D4768" s="226"/>
      <c r="E4768" s="226"/>
      <c r="F4768" s="226"/>
      <c r="G4768" s="226"/>
      <c r="H4768" s="226"/>
      <c r="I4768" s="9" t="str">
        <f t="shared" si="74"/>
        <v>__</v>
      </c>
    </row>
    <row r="4769" spans="1:9" x14ac:dyDescent="0.35">
      <c r="A4769" s="226"/>
      <c r="B4769" s="226"/>
      <c r="C4769" s="226"/>
      <c r="D4769" s="226"/>
      <c r="E4769" s="226"/>
      <c r="F4769" s="226"/>
      <c r="G4769" s="226"/>
      <c r="H4769" s="226"/>
      <c r="I4769" s="9" t="str">
        <f t="shared" si="74"/>
        <v>__</v>
      </c>
    </row>
    <row r="4770" spans="1:9" x14ac:dyDescent="0.35">
      <c r="A4770" s="226"/>
      <c r="B4770" s="226"/>
      <c r="C4770" s="226"/>
      <c r="D4770" s="226"/>
      <c r="E4770" s="226"/>
      <c r="F4770" s="226"/>
      <c r="G4770" s="226"/>
      <c r="H4770" s="226"/>
      <c r="I4770" s="9" t="str">
        <f t="shared" si="74"/>
        <v>__</v>
      </c>
    </row>
    <row r="4771" spans="1:9" x14ac:dyDescent="0.35">
      <c r="A4771" s="226"/>
      <c r="B4771" s="226"/>
      <c r="C4771" s="226"/>
      <c r="D4771" s="226"/>
      <c r="E4771" s="226"/>
      <c r="F4771" s="226"/>
      <c r="G4771" s="226"/>
      <c r="H4771" s="226"/>
      <c r="I4771" s="9" t="str">
        <f t="shared" si="74"/>
        <v>__</v>
      </c>
    </row>
    <row r="4772" spans="1:9" x14ac:dyDescent="0.35">
      <c r="A4772" s="226"/>
      <c r="B4772" s="226"/>
      <c r="C4772" s="226"/>
      <c r="D4772" s="226"/>
      <c r="E4772" s="226"/>
      <c r="F4772" s="226"/>
      <c r="G4772" s="226"/>
      <c r="H4772" s="226"/>
      <c r="I4772" s="9" t="str">
        <f t="shared" si="74"/>
        <v>__</v>
      </c>
    </row>
    <row r="4773" spans="1:9" x14ac:dyDescent="0.35">
      <c r="A4773" s="226"/>
      <c r="B4773" s="226"/>
      <c r="C4773" s="226"/>
      <c r="D4773" s="226"/>
      <c r="E4773" s="226"/>
      <c r="F4773" s="226"/>
      <c r="G4773" s="226"/>
      <c r="H4773" s="226"/>
      <c r="I4773" s="9" t="str">
        <f t="shared" si="74"/>
        <v>__</v>
      </c>
    </row>
    <row r="4774" spans="1:9" x14ac:dyDescent="0.35">
      <c r="A4774" s="226"/>
      <c r="B4774" s="226"/>
      <c r="C4774" s="226"/>
      <c r="D4774" s="226"/>
      <c r="E4774" s="226"/>
      <c r="F4774" s="226"/>
      <c r="G4774" s="226"/>
      <c r="H4774" s="226"/>
      <c r="I4774" s="9" t="str">
        <f t="shared" si="74"/>
        <v>__</v>
      </c>
    </row>
    <row r="4775" spans="1:9" x14ac:dyDescent="0.35">
      <c r="A4775" s="226"/>
      <c r="B4775" s="226"/>
      <c r="C4775" s="226"/>
      <c r="D4775" s="226"/>
      <c r="E4775" s="226"/>
      <c r="F4775" s="226"/>
      <c r="G4775" s="226"/>
      <c r="H4775" s="226"/>
      <c r="I4775" s="9" t="str">
        <f t="shared" si="74"/>
        <v>__</v>
      </c>
    </row>
    <row r="4776" spans="1:9" x14ac:dyDescent="0.35">
      <c r="A4776" s="226"/>
      <c r="B4776" s="226"/>
      <c r="C4776" s="226"/>
      <c r="D4776" s="226"/>
      <c r="E4776" s="226"/>
      <c r="F4776" s="226"/>
      <c r="G4776" s="226"/>
      <c r="H4776" s="226"/>
      <c r="I4776" s="9" t="str">
        <f t="shared" si="74"/>
        <v>__</v>
      </c>
    </row>
    <row r="4777" spans="1:9" x14ac:dyDescent="0.35">
      <c r="A4777" s="226"/>
      <c r="B4777" s="226"/>
      <c r="C4777" s="226"/>
      <c r="D4777" s="226"/>
      <c r="E4777" s="226"/>
      <c r="F4777" s="226"/>
      <c r="G4777" s="226"/>
      <c r="H4777" s="226"/>
      <c r="I4777" s="9" t="str">
        <f t="shared" si="74"/>
        <v>__</v>
      </c>
    </row>
    <row r="4778" spans="1:9" x14ac:dyDescent="0.35">
      <c r="A4778" s="226"/>
      <c r="B4778" s="226"/>
      <c r="C4778" s="226"/>
      <c r="D4778" s="226"/>
      <c r="E4778" s="226"/>
      <c r="F4778" s="226"/>
      <c r="G4778" s="226"/>
      <c r="H4778" s="226"/>
      <c r="I4778" s="9" t="str">
        <f t="shared" si="74"/>
        <v>__</v>
      </c>
    </row>
    <row r="4779" spans="1:9" x14ac:dyDescent="0.35">
      <c r="A4779" s="226"/>
      <c r="B4779" s="226"/>
      <c r="C4779" s="226"/>
      <c r="D4779" s="226"/>
      <c r="E4779" s="226"/>
      <c r="F4779" s="226"/>
      <c r="G4779" s="226"/>
      <c r="H4779" s="226"/>
      <c r="I4779" s="9" t="str">
        <f t="shared" si="74"/>
        <v>__</v>
      </c>
    </row>
    <row r="4780" spans="1:9" x14ac:dyDescent="0.35">
      <c r="A4780" s="226"/>
      <c r="B4780" s="226"/>
      <c r="C4780" s="226"/>
      <c r="D4780" s="226"/>
      <c r="E4780" s="226"/>
      <c r="F4780" s="226"/>
      <c r="G4780" s="226"/>
      <c r="H4780" s="226"/>
      <c r="I4780" s="9" t="str">
        <f t="shared" si="74"/>
        <v>__</v>
      </c>
    </row>
    <row r="4781" spans="1:9" x14ac:dyDescent="0.35">
      <c r="A4781" s="226"/>
      <c r="B4781" s="226"/>
      <c r="C4781" s="226"/>
      <c r="D4781" s="226"/>
      <c r="E4781" s="226"/>
      <c r="F4781" s="226"/>
      <c r="G4781" s="226"/>
      <c r="H4781" s="226"/>
      <c r="I4781" s="9" t="str">
        <f t="shared" si="74"/>
        <v>__</v>
      </c>
    </row>
    <row r="4782" spans="1:9" x14ac:dyDescent="0.35">
      <c r="A4782" s="226"/>
      <c r="B4782" s="226"/>
      <c r="C4782" s="226"/>
      <c r="D4782" s="226"/>
      <c r="E4782" s="226"/>
      <c r="F4782" s="226"/>
      <c r="G4782" s="226"/>
      <c r="H4782" s="226"/>
      <c r="I4782" s="9" t="str">
        <f t="shared" si="74"/>
        <v>__</v>
      </c>
    </row>
    <row r="4783" spans="1:9" x14ac:dyDescent="0.35">
      <c r="A4783" s="226"/>
      <c r="B4783" s="226"/>
      <c r="C4783" s="226"/>
      <c r="D4783" s="226"/>
      <c r="E4783" s="226"/>
      <c r="F4783" s="226"/>
      <c r="G4783" s="226"/>
      <c r="H4783" s="226"/>
      <c r="I4783" s="9" t="str">
        <f t="shared" si="74"/>
        <v>__</v>
      </c>
    </row>
    <row r="4784" spans="1:9" x14ac:dyDescent="0.35">
      <c r="A4784" s="226"/>
      <c r="B4784" s="226"/>
      <c r="C4784" s="226"/>
      <c r="D4784" s="226"/>
      <c r="E4784" s="226"/>
      <c r="F4784" s="226"/>
      <c r="G4784" s="226"/>
      <c r="H4784" s="226"/>
      <c r="I4784" s="9" t="str">
        <f t="shared" si="74"/>
        <v>__</v>
      </c>
    </row>
    <row r="4785" spans="1:9" x14ac:dyDescent="0.35">
      <c r="A4785" s="226"/>
      <c r="B4785" s="226"/>
      <c r="C4785" s="226"/>
      <c r="D4785" s="226"/>
      <c r="E4785" s="226"/>
      <c r="F4785" s="226"/>
      <c r="G4785" s="226"/>
      <c r="H4785" s="226"/>
      <c r="I4785" s="9" t="str">
        <f t="shared" si="74"/>
        <v>__</v>
      </c>
    </row>
    <row r="4786" spans="1:9" x14ac:dyDescent="0.35">
      <c r="A4786" s="226"/>
      <c r="B4786" s="226"/>
      <c r="C4786" s="226"/>
      <c r="D4786" s="226"/>
      <c r="E4786" s="226"/>
      <c r="F4786" s="226"/>
      <c r="G4786" s="226"/>
      <c r="H4786" s="226"/>
      <c r="I4786" s="9" t="str">
        <f t="shared" si="74"/>
        <v>__</v>
      </c>
    </row>
    <row r="4787" spans="1:9" x14ac:dyDescent="0.35">
      <c r="A4787" s="226"/>
      <c r="B4787" s="226"/>
      <c r="C4787" s="226"/>
      <c r="D4787" s="226"/>
      <c r="E4787" s="226"/>
      <c r="F4787" s="226"/>
      <c r="G4787" s="226"/>
      <c r="H4787" s="226"/>
      <c r="I4787" s="9" t="str">
        <f t="shared" si="74"/>
        <v>__</v>
      </c>
    </row>
    <row r="4788" spans="1:9" x14ac:dyDescent="0.35">
      <c r="A4788" s="226"/>
      <c r="B4788" s="226"/>
      <c r="C4788" s="226"/>
      <c r="D4788" s="226"/>
      <c r="E4788" s="226"/>
      <c r="F4788" s="226"/>
      <c r="G4788" s="226"/>
      <c r="H4788" s="226"/>
      <c r="I4788" s="9" t="str">
        <f t="shared" si="74"/>
        <v>__</v>
      </c>
    </row>
    <row r="4789" spans="1:9" x14ac:dyDescent="0.35">
      <c r="A4789" s="226"/>
      <c r="B4789" s="226"/>
      <c r="C4789" s="226"/>
      <c r="D4789" s="226"/>
      <c r="E4789" s="226"/>
      <c r="F4789" s="226"/>
      <c r="G4789" s="226"/>
      <c r="H4789" s="226"/>
      <c r="I4789" s="9" t="str">
        <f t="shared" si="74"/>
        <v>__</v>
      </c>
    </row>
    <row r="4790" spans="1:9" x14ac:dyDescent="0.35">
      <c r="A4790" s="226"/>
      <c r="B4790" s="226"/>
      <c r="C4790" s="226"/>
      <c r="D4790" s="226"/>
      <c r="E4790" s="226"/>
      <c r="F4790" s="226"/>
      <c r="G4790" s="226"/>
      <c r="H4790" s="226"/>
      <c r="I4790" s="9" t="str">
        <f t="shared" si="74"/>
        <v>__</v>
      </c>
    </row>
    <row r="4791" spans="1:9" x14ac:dyDescent="0.35">
      <c r="A4791" s="226"/>
      <c r="B4791" s="226"/>
      <c r="C4791" s="226"/>
      <c r="D4791" s="226"/>
      <c r="E4791" s="226"/>
      <c r="F4791" s="226"/>
      <c r="G4791" s="226"/>
      <c r="H4791" s="226"/>
      <c r="I4791" s="9" t="str">
        <f t="shared" si="74"/>
        <v>__</v>
      </c>
    </row>
    <row r="4792" spans="1:9" x14ac:dyDescent="0.35">
      <c r="A4792" s="226"/>
      <c r="B4792" s="226"/>
      <c r="C4792" s="226"/>
      <c r="D4792" s="226"/>
      <c r="E4792" s="226"/>
      <c r="F4792" s="226"/>
      <c r="G4792" s="226"/>
      <c r="H4792" s="226"/>
      <c r="I4792" s="9" t="str">
        <f t="shared" si="74"/>
        <v>__</v>
      </c>
    </row>
    <row r="4793" spans="1:9" x14ac:dyDescent="0.35">
      <c r="A4793" s="226"/>
      <c r="B4793" s="226"/>
      <c r="C4793" s="226"/>
      <c r="D4793" s="226"/>
      <c r="E4793" s="226"/>
      <c r="F4793" s="226"/>
      <c r="G4793" s="226"/>
      <c r="H4793" s="226"/>
      <c r="I4793" s="9" t="str">
        <f t="shared" si="74"/>
        <v>__</v>
      </c>
    </row>
    <row r="4794" spans="1:9" x14ac:dyDescent="0.35">
      <c r="A4794" s="226"/>
      <c r="B4794" s="226"/>
      <c r="C4794" s="226"/>
      <c r="D4794" s="226"/>
      <c r="E4794" s="226"/>
      <c r="F4794" s="226"/>
      <c r="G4794" s="226"/>
      <c r="H4794" s="226"/>
      <c r="I4794" s="9" t="str">
        <f t="shared" si="74"/>
        <v>__</v>
      </c>
    </row>
    <row r="4795" spans="1:9" x14ac:dyDescent="0.35">
      <c r="A4795" s="226"/>
      <c r="B4795" s="226"/>
      <c r="C4795" s="226"/>
      <c r="D4795" s="226"/>
      <c r="E4795" s="226"/>
      <c r="F4795" s="226"/>
      <c r="G4795" s="226"/>
      <c r="H4795" s="226"/>
      <c r="I4795" s="9" t="str">
        <f t="shared" si="74"/>
        <v>__</v>
      </c>
    </row>
    <row r="4796" spans="1:9" x14ac:dyDescent="0.35">
      <c r="A4796" s="226"/>
      <c r="B4796" s="226"/>
      <c r="C4796" s="226"/>
      <c r="D4796" s="226"/>
      <c r="E4796" s="226"/>
      <c r="F4796" s="226"/>
      <c r="G4796" s="226"/>
      <c r="H4796" s="226"/>
      <c r="I4796" s="9" t="str">
        <f t="shared" si="74"/>
        <v>__</v>
      </c>
    </row>
    <row r="4797" spans="1:9" x14ac:dyDescent="0.35">
      <c r="A4797" s="226"/>
      <c r="B4797" s="226"/>
      <c r="C4797" s="226"/>
      <c r="D4797" s="226"/>
      <c r="E4797" s="226"/>
      <c r="F4797" s="226"/>
      <c r="G4797" s="226"/>
      <c r="H4797" s="226"/>
      <c r="I4797" s="9" t="str">
        <f t="shared" si="74"/>
        <v>__</v>
      </c>
    </row>
    <row r="4798" spans="1:9" x14ac:dyDescent="0.35">
      <c r="A4798" s="226"/>
      <c r="B4798" s="226"/>
      <c r="C4798" s="226"/>
      <c r="D4798" s="226"/>
      <c r="E4798" s="226"/>
      <c r="F4798" s="226"/>
      <c r="G4798" s="226"/>
      <c r="H4798" s="226"/>
      <c r="I4798" s="9" t="str">
        <f t="shared" si="74"/>
        <v>__</v>
      </c>
    </row>
    <row r="4799" spans="1:9" x14ac:dyDescent="0.35">
      <c r="A4799" s="226"/>
      <c r="B4799" s="226"/>
      <c r="C4799" s="226"/>
      <c r="D4799" s="226"/>
      <c r="E4799" s="226"/>
      <c r="F4799" s="226"/>
      <c r="G4799" s="226"/>
      <c r="H4799" s="226"/>
      <c r="I4799" s="9" t="str">
        <f t="shared" si="74"/>
        <v>__</v>
      </c>
    </row>
    <row r="4800" spans="1:9" x14ac:dyDescent="0.35">
      <c r="A4800" s="226"/>
      <c r="B4800" s="226"/>
      <c r="C4800" s="226"/>
      <c r="D4800" s="226"/>
      <c r="E4800" s="226"/>
      <c r="F4800" s="226"/>
      <c r="G4800" s="226"/>
      <c r="H4800" s="226"/>
      <c r="I4800" s="9" t="str">
        <f t="shared" si="74"/>
        <v>__</v>
      </c>
    </row>
    <row r="4801" spans="1:9" x14ac:dyDescent="0.35">
      <c r="A4801" s="226"/>
      <c r="B4801" s="226"/>
      <c r="C4801" s="226"/>
      <c r="D4801" s="226"/>
      <c r="E4801" s="226"/>
      <c r="F4801" s="226"/>
      <c r="G4801" s="226"/>
      <c r="H4801" s="226"/>
      <c r="I4801" s="9" t="str">
        <f t="shared" si="74"/>
        <v>__</v>
      </c>
    </row>
    <row r="4802" spans="1:9" x14ac:dyDescent="0.35">
      <c r="A4802" s="226"/>
      <c r="B4802" s="226"/>
      <c r="C4802" s="226"/>
      <c r="D4802" s="226"/>
      <c r="E4802" s="226"/>
      <c r="F4802" s="226"/>
      <c r="G4802" s="226"/>
      <c r="H4802" s="226"/>
      <c r="I4802" s="9" t="str">
        <f t="shared" si="74"/>
        <v>__</v>
      </c>
    </row>
    <row r="4803" spans="1:9" x14ac:dyDescent="0.35">
      <c r="A4803" s="226"/>
      <c r="B4803" s="226"/>
      <c r="C4803" s="226"/>
      <c r="D4803" s="226"/>
      <c r="E4803" s="226"/>
      <c r="F4803" s="226"/>
      <c r="G4803" s="226"/>
      <c r="H4803" s="226"/>
      <c r="I4803" s="9" t="str">
        <f t="shared" si="74"/>
        <v>__</v>
      </c>
    </row>
    <row r="4804" spans="1:9" x14ac:dyDescent="0.35">
      <c r="A4804" s="226"/>
      <c r="B4804" s="226"/>
      <c r="C4804" s="226"/>
      <c r="D4804" s="226"/>
      <c r="E4804" s="226"/>
      <c r="F4804" s="226"/>
      <c r="G4804" s="226"/>
      <c r="H4804" s="226"/>
      <c r="I4804" s="9" t="str">
        <f t="shared" si="74"/>
        <v>__</v>
      </c>
    </row>
    <row r="4805" spans="1:9" x14ac:dyDescent="0.35">
      <c r="A4805" s="226"/>
      <c r="B4805" s="226"/>
      <c r="C4805" s="226"/>
      <c r="D4805" s="226"/>
      <c r="E4805" s="226"/>
      <c r="F4805" s="226"/>
      <c r="G4805" s="226"/>
      <c r="H4805" s="226"/>
      <c r="I4805" s="9" t="str">
        <f t="shared" ref="I4805:I4868" si="75">CONCATENATE(A4805,"_",B4805,"_",C4805)</f>
        <v>__</v>
      </c>
    </row>
    <row r="4806" spans="1:9" x14ac:dyDescent="0.35">
      <c r="A4806" s="226"/>
      <c r="B4806" s="226"/>
      <c r="C4806" s="226"/>
      <c r="D4806" s="226"/>
      <c r="E4806" s="226"/>
      <c r="F4806" s="226"/>
      <c r="G4806" s="226"/>
      <c r="H4806" s="226"/>
      <c r="I4806" s="9" t="str">
        <f t="shared" si="75"/>
        <v>__</v>
      </c>
    </row>
    <row r="4807" spans="1:9" x14ac:dyDescent="0.35">
      <c r="A4807" s="226"/>
      <c r="B4807" s="226"/>
      <c r="C4807" s="226"/>
      <c r="D4807" s="226"/>
      <c r="E4807" s="226"/>
      <c r="F4807" s="226"/>
      <c r="G4807" s="226"/>
      <c r="H4807" s="226"/>
      <c r="I4807" s="9" t="str">
        <f t="shared" si="75"/>
        <v>__</v>
      </c>
    </row>
    <row r="4808" spans="1:9" x14ac:dyDescent="0.35">
      <c r="A4808" s="226"/>
      <c r="B4808" s="226"/>
      <c r="C4808" s="226"/>
      <c r="D4808" s="226"/>
      <c r="E4808" s="226"/>
      <c r="F4808" s="226"/>
      <c r="G4808" s="226"/>
      <c r="H4808" s="226"/>
      <c r="I4808" s="9" t="str">
        <f t="shared" si="75"/>
        <v>__</v>
      </c>
    </row>
    <row r="4809" spans="1:9" x14ac:dyDescent="0.35">
      <c r="A4809" s="226"/>
      <c r="B4809" s="226"/>
      <c r="C4809" s="226"/>
      <c r="D4809" s="226"/>
      <c r="E4809" s="226"/>
      <c r="F4809" s="226"/>
      <c r="G4809" s="226"/>
      <c r="H4809" s="226"/>
      <c r="I4809" s="9" t="str">
        <f t="shared" si="75"/>
        <v>__</v>
      </c>
    </row>
    <row r="4810" spans="1:9" x14ac:dyDescent="0.35">
      <c r="A4810" s="226"/>
      <c r="B4810" s="226"/>
      <c r="C4810" s="226"/>
      <c r="D4810" s="226"/>
      <c r="E4810" s="226"/>
      <c r="F4810" s="226"/>
      <c r="G4810" s="226"/>
      <c r="H4810" s="226"/>
      <c r="I4810" s="9" t="str">
        <f t="shared" si="75"/>
        <v>__</v>
      </c>
    </row>
    <row r="4811" spans="1:9" x14ac:dyDescent="0.35">
      <c r="A4811" s="226"/>
      <c r="B4811" s="226"/>
      <c r="C4811" s="226"/>
      <c r="D4811" s="226"/>
      <c r="E4811" s="226"/>
      <c r="F4811" s="226"/>
      <c r="G4811" s="226"/>
      <c r="H4811" s="226"/>
      <c r="I4811" s="9" t="str">
        <f t="shared" si="75"/>
        <v>__</v>
      </c>
    </row>
    <row r="4812" spans="1:9" x14ac:dyDescent="0.35">
      <c r="A4812" s="226"/>
      <c r="B4812" s="226"/>
      <c r="C4812" s="226"/>
      <c r="D4812" s="226"/>
      <c r="E4812" s="226"/>
      <c r="F4812" s="226"/>
      <c r="G4812" s="226"/>
      <c r="H4812" s="226"/>
      <c r="I4812" s="9" t="str">
        <f t="shared" si="75"/>
        <v>__</v>
      </c>
    </row>
    <row r="4813" spans="1:9" x14ac:dyDescent="0.35">
      <c r="A4813" s="226"/>
      <c r="B4813" s="226"/>
      <c r="C4813" s="226"/>
      <c r="D4813" s="226"/>
      <c r="E4813" s="226"/>
      <c r="F4813" s="226"/>
      <c r="G4813" s="226"/>
      <c r="H4813" s="226"/>
      <c r="I4813" s="9" t="str">
        <f t="shared" si="75"/>
        <v>__</v>
      </c>
    </row>
    <row r="4814" spans="1:9" x14ac:dyDescent="0.35">
      <c r="A4814" s="226"/>
      <c r="B4814" s="226"/>
      <c r="C4814" s="226"/>
      <c r="D4814" s="226"/>
      <c r="E4814" s="226"/>
      <c r="F4814" s="226"/>
      <c r="G4814" s="226"/>
      <c r="H4814" s="226"/>
      <c r="I4814" s="9" t="str">
        <f t="shared" si="75"/>
        <v>__</v>
      </c>
    </row>
    <row r="4815" spans="1:9" x14ac:dyDescent="0.35">
      <c r="A4815" s="226"/>
      <c r="B4815" s="226"/>
      <c r="C4815" s="226"/>
      <c r="D4815" s="226"/>
      <c r="E4815" s="226"/>
      <c r="F4815" s="226"/>
      <c r="G4815" s="226"/>
      <c r="H4815" s="226"/>
      <c r="I4815" s="9" t="str">
        <f t="shared" si="75"/>
        <v>__</v>
      </c>
    </row>
    <row r="4816" spans="1:9" x14ac:dyDescent="0.35">
      <c r="A4816" s="226"/>
      <c r="B4816" s="226"/>
      <c r="C4816" s="226"/>
      <c r="D4816" s="226"/>
      <c r="E4816" s="226"/>
      <c r="F4816" s="226"/>
      <c r="G4816" s="226"/>
      <c r="H4816" s="226"/>
      <c r="I4816" s="9" t="str">
        <f t="shared" si="75"/>
        <v>__</v>
      </c>
    </row>
    <row r="4817" spans="1:9" x14ac:dyDescent="0.35">
      <c r="A4817" s="226"/>
      <c r="B4817" s="226"/>
      <c r="C4817" s="226"/>
      <c r="D4817" s="226"/>
      <c r="E4817" s="226"/>
      <c r="F4817" s="226"/>
      <c r="G4817" s="226"/>
      <c r="H4817" s="226"/>
      <c r="I4817" s="9" t="str">
        <f t="shared" si="75"/>
        <v>__</v>
      </c>
    </row>
    <row r="4818" spans="1:9" x14ac:dyDescent="0.35">
      <c r="A4818" s="226"/>
      <c r="B4818" s="226"/>
      <c r="C4818" s="226"/>
      <c r="D4818" s="226"/>
      <c r="E4818" s="226"/>
      <c r="F4818" s="226"/>
      <c r="G4818" s="226"/>
      <c r="H4818" s="226"/>
      <c r="I4818" s="9" t="str">
        <f t="shared" si="75"/>
        <v>__</v>
      </c>
    </row>
    <row r="4819" spans="1:9" x14ac:dyDescent="0.35">
      <c r="A4819" s="226"/>
      <c r="B4819" s="226"/>
      <c r="C4819" s="226"/>
      <c r="D4819" s="226"/>
      <c r="E4819" s="226"/>
      <c r="F4819" s="226"/>
      <c r="G4819" s="226"/>
      <c r="H4819" s="226"/>
      <c r="I4819" s="9" t="str">
        <f t="shared" si="75"/>
        <v>__</v>
      </c>
    </row>
    <row r="4820" spans="1:9" x14ac:dyDescent="0.35">
      <c r="A4820" s="226"/>
      <c r="B4820" s="226"/>
      <c r="C4820" s="226"/>
      <c r="D4820" s="226"/>
      <c r="E4820" s="226"/>
      <c r="F4820" s="226"/>
      <c r="G4820" s="226"/>
      <c r="H4820" s="226"/>
      <c r="I4820" s="9" t="str">
        <f t="shared" si="75"/>
        <v>__</v>
      </c>
    </row>
    <row r="4821" spans="1:9" x14ac:dyDescent="0.35">
      <c r="A4821" s="226"/>
      <c r="B4821" s="226"/>
      <c r="C4821" s="226"/>
      <c r="D4821" s="226"/>
      <c r="E4821" s="226"/>
      <c r="F4821" s="226"/>
      <c r="G4821" s="226"/>
      <c r="H4821" s="226"/>
      <c r="I4821" s="9" t="str">
        <f t="shared" si="75"/>
        <v>__</v>
      </c>
    </row>
    <row r="4822" spans="1:9" x14ac:dyDescent="0.35">
      <c r="A4822" s="226"/>
      <c r="B4822" s="226"/>
      <c r="C4822" s="226"/>
      <c r="D4822" s="226"/>
      <c r="E4822" s="226"/>
      <c r="F4822" s="226"/>
      <c r="G4822" s="226"/>
      <c r="H4822" s="226"/>
      <c r="I4822" s="9" t="str">
        <f t="shared" si="75"/>
        <v>__</v>
      </c>
    </row>
    <row r="4823" spans="1:9" x14ac:dyDescent="0.35">
      <c r="A4823" s="226"/>
      <c r="B4823" s="226"/>
      <c r="C4823" s="226"/>
      <c r="D4823" s="226"/>
      <c r="E4823" s="226"/>
      <c r="F4823" s="226"/>
      <c r="G4823" s="226"/>
      <c r="H4823" s="226"/>
      <c r="I4823" s="9" t="str">
        <f t="shared" si="75"/>
        <v>__</v>
      </c>
    </row>
    <row r="4824" spans="1:9" x14ac:dyDescent="0.35">
      <c r="A4824" s="226"/>
      <c r="B4824" s="226"/>
      <c r="C4824" s="226"/>
      <c r="D4824" s="226"/>
      <c r="E4824" s="226"/>
      <c r="F4824" s="226"/>
      <c r="G4824" s="226"/>
      <c r="H4824" s="226"/>
      <c r="I4824" s="9" t="str">
        <f t="shared" si="75"/>
        <v>__</v>
      </c>
    </row>
    <row r="4825" spans="1:9" x14ac:dyDescent="0.35">
      <c r="A4825" s="226"/>
      <c r="B4825" s="226"/>
      <c r="C4825" s="226"/>
      <c r="D4825" s="226"/>
      <c r="E4825" s="226"/>
      <c r="F4825" s="226"/>
      <c r="G4825" s="226"/>
      <c r="H4825" s="226"/>
      <c r="I4825" s="9" t="str">
        <f t="shared" si="75"/>
        <v>__</v>
      </c>
    </row>
    <row r="4826" spans="1:9" x14ac:dyDescent="0.35">
      <c r="A4826" s="226"/>
      <c r="B4826" s="226"/>
      <c r="C4826" s="226"/>
      <c r="D4826" s="226"/>
      <c r="E4826" s="226"/>
      <c r="F4826" s="226"/>
      <c r="G4826" s="226"/>
      <c r="H4826" s="226"/>
      <c r="I4826" s="9" t="str">
        <f t="shared" si="75"/>
        <v>__</v>
      </c>
    </row>
    <row r="4827" spans="1:9" x14ac:dyDescent="0.35">
      <c r="A4827" s="226"/>
      <c r="B4827" s="226"/>
      <c r="C4827" s="226"/>
      <c r="D4827" s="226"/>
      <c r="E4827" s="226"/>
      <c r="F4827" s="226"/>
      <c r="G4827" s="226"/>
      <c r="H4827" s="226"/>
      <c r="I4827" s="9" t="str">
        <f t="shared" si="75"/>
        <v>__</v>
      </c>
    </row>
    <row r="4828" spans="1:9" x14ac:dyDescent="0.35">
      <c r="A4828" s="226"/>
      <c r="B4828" s="226"/>
      <c r="C4828" s="226"/>
      <c r="D4828" s="226"/>
      <c r="E4828" s="226"/>
      <c r="F4828" s="226"/>
      <c r="G4828" s="226"/>
      <c r="H4828" s="226"/>
      <c r="I4828" s="9" t="str">
        <f t="shared" si="75"/>
        <v>__</v>
      </c>
    </row>
    <row r="4829" spans="1:9" x14ac:dyDescent="0.35">
      <c r="A4829" s="226"/>
      <c r="B4829" s="226"/>
      <c r="C4829" s="226"/>
      <c r="D4829" s="226"/>
      <c r="E4829" s="226"/>
      <c r="F4829" s="226"/>
      <c r="G4829" s="226"/>
      <c r="H4829" s="226"/>
      <c r="I4829" s="9" t="str">
        <f t="shared" si="75"/>
        <v>__</v>
      </c>
    </row>
    <row r="4830" spans="1:9" x14ac:dyDescent="0.35">
      <c r="A4830" s="226"/>
      <c r="B4830" s="226"/>
      <c r="C4830" s="226"/>
      <c r="D4830" s="226"/>
      <c r="E4830" s="226"/>
      <c r="F4830" s="226"/>
      <c r="G4830" s="226"/>
      <c r="H4830" s="226"/>
      <c r="I4830" s="9" t="str">
        <f t="shared" si="75"/>
        <v>__</v>
      </c>
    </row>
    <row r="4831" spans="1:9" x14ac:dyDescent="0.35">
      <c r="A4831" s="226"/>
      <c r="B4831" s="226"/>
      <c r="C4831" s="226"/>
      <c r="D4831" s="226"/>
      <c r="E4831" s="226"/>
      <c r="F4831" s="226"/>
      <c r="G4831" s="226"/>
      <c r="H4831" s="226"/>
      <c r="I4831" s="9" t="str">
        <f t="shared" si="75"/>
        <v>__</v>
      </c>
    </row>
    <row r="4832" spans="1:9" x14ac:dyDescent="0.35">
      <c r="A4832" s="226"/>
      <c r="B4832" s="226"/>
      <c r="C4832" s="226"/>
      <c r="D4832" s="226"/>
      <c r="E4832" s="226"/>
      <c r="F4832" s="226"/>
      <c r="G4832" s="226"/>
      <c r="H4832" s="226"/>
      <c r="I4832" s="9" t="str">
        <f t="shared" si="75"/>
        <v>__</v>
      </c>
    </row>
    <row r="4833" spans="1:9" x14ac:dyDescent="0.35">
      <c r="A4833" s="226"/>
      <c r="B4833" s="226"/>
      <c r="C4833" s="226"/>
      <c r="D4833" s="226"/>
      <c r="E4833" s="226"/>
      <c r="F4833" s="226"/>
      <c r="G4833" s="226"/>
      <c r="H4833" s="226"/>
      <c r="I4833" s="9" t="str">
        <f t="shared" si="75"/>
        <v>__</v>
      </c>
    </row>
    <row r="4834" spans="1:9" x14ac:dyDescent="0.35">
      <c r="A4834" s="226"/>
      <c r="B4834" s="226"/>
      <c r="C4834" s="226"/>
      <c r="D4834" s="226"/>
      <c r="E4834" s="226"/>
      <c r="F4834" s="226"/>
      <c r="G4834" s="226"/>
      <c r="H4834" s="226"/>
      <c r="I4834" s="9" t="str">
        <f t="shared" si="75"/>
        <v>__</v>
      </c>
    </row>
    <row r="4835" spans="1:9" x14ac:dyDescent="0.35">
      <c r="A4835" s="226"/>
      <c r="B4835" s="226"/>
      <c r="C4835" s="226"/>
      <c r="D4835" s="226"/>
      <c r="E4835" s="226"/>
      <c r="F4835" s="226"/>
      <c r="G4835" s="226"/>
      <c r="H4835" s="226"/>
      <c r="I4835" s="9" t="str">
        <f t="shared" si="75"/>
        <v>__</v>
      </c>
    </row>
    <row r="4836" spans="1:9" x14ac:dyDescent="0.35">
      <c r="A4836" s="226"/>
      <c r="B4836" s="226"/>
      <c r="C4836" s="226"/>
      <c r="D4836" s="226"/>
      <c r="E4836" s="226"/>
      <c r="F4836" s="226"/>
      <c r="G4836" s="226"/>
      <c r="H4836" s="226"/>
      <c r="I4836" s="9" t="str">
        <f t="shared" si="75"/>
        <v>__</v>
      </c>
    </row>
    <row r="4837" spans="1:9" x14ac:dyDescent="0.35">
      <c r="A4837" s="226"/>
      <c r="B4837" s="226"/>
      <c r="C4837" s="226"/>
      <c r="D4837" s="226"/>
      <c r="E4837" s="226"/>
      <c r="F4837" s="226"/>
      <c r="G4837" s="226"/>
      <c r="H4837" s="226"/>
      <c r="I4837" s="9" t="str">
        <f t="shared" si="75"/>
        <v>__</v>
      </c>
    </row>
    <row r="4838" spans="1:9" x14ac:dyDescent="0.35">
      <c r="A4838" s="226"/>
      <c r="B4838" s="226"/>
      <c r="C4838" s="226"/>
      <c r="D4838" s="226"/>
      <c r="E4838" s="226"/>
      <c r="F4838" s="226"/>
      <c r="G4838" s="226"/>
      <c r="H4838" s="226"/>
      <c r="I4838" s="9" t="str">
        <f t="shared" si="75"/>
        <v>__</v>
      </c>
    </row>
    <row r="4839" spans="1:9" x14ac:dyDescent="0.35">
      <c r="A4839" s="226"/>
      <c r="B4839" s="226"/>
      <c r="C4839" s="226"/>
      <c r="D4839" s="226"/>
      <c r="E4839" s="226"/>
      <c r="F4839" s="226"/>
      <c r="G4839" s="226"/>
      <c r="H4839" s="226"/>
      <c r="I4839" s="9" t="str">
        <f t="shared" si="75"/>
        <v>__</v>
      </c>
    </row>
    <row r="4840" spans="1:9" x14ac:dyDescent="0.35">
      <c r="A4840" s="226"/>
      <c r="B4840" s="226"/>
      <c r="C4840" s="226"/>
      <c r="D4840" s="226"/>
      <c r="E4840" s="226"/>
      <c r="F4840" s="226"/>
      <c r="G4840" s="226"/>
      <c r="H4840" s="226"/>
      <c r="I4840" s="9" t="str">
        <f t="shared" si="75"/>
        <v>__</v>
      </c>
    </row>
    <row r="4841" spans="1:9" x14ac:dyDescent="0.35">
      <c r="A4841" s="226"/>
      <c r="B4841" s="226"/>
      <c r="C4841" s="226"/>
      <c r="D4841" s="226"/>
      <c r="E4841" s="226"/>
      <c r="F4841" s="226"/>
      <c r="G4841" s="226"/>
      <c r="H4841" s="226"/>
      <c r="I4841" s="9" t="str">
        <f t="shared" si="75"/>
        <v>__</v>
      </c>
    </row>
    <row r="4842" spans="1:9" x14ac:dyDescent="0.35">
      <c r="A4842" s="226"/>
      <c r="B4842" s="226"/>
      <c r="C4842" s="226"/>
      <c r="D4842" s="226"/>
      <c r="E4842" s="226"/>
      <c r="F4842" s="226"/>
      <c r="G4842" s="226"/>
      <c r="H4842" s="226"/>
      <c r="I4842" s="9" t="str">
        <f t="shared" si="75"/>
        <v>__</v>
      </c>
    </row>
    <row r="4843" spans="1:9" x14ac:dyDescent="0.35">
      <c r="A4843" s="226"/>
      <c r="B4843" s="226"/>
      <c r="C4843" s="226"/>
      <c r="D4843" s="226"/>
      <c r="E4843" s="226"/>
      <c r="F4843" s="226"/>
      <c r="G4843" s="226"/>
      <c r="H4843" s="226"/>
      <c r="I4843" s="9" t="str">
        <f t="shared" si="75"/>
        <v>__</v>
      </c>
    </row>
    <row r="4844" spans="1:9" x14ac:dyDescent="0.35">
      <c r="A4844" s="226"/>
      <c r="B4844" s="226"/>
      <c r="C4844" s="226"/>
      <c r="D4844" s="226"/>
      <c r="E4844" s="226"/>
      <c r="F4844" s="226"/>
      <c r="G4844" s="226"/>
      <c r="H4844" s="226"/>
      <c r="I4844" s="9" t="str">
        <f t="shared" si="75"/>
        <v>__</v>
      </c>
    </row>
    <row r="4845" spans="1:9" x14ac:dyDescent="0.35">
      <c r="A4845" s="226"/>
      <c r="B4845" s="226"/>
      <c r="C4845" s="226"/>
      <c r="D4845" s="226"/>
      <c r="E4845" s="226"/>
      <c r="F4845" s="226"/>
      <c r="G4845" s="226"/>
      <c r="H4845" s="226"/>
      <c r="I4845" s="9" t="str">
        <f t="shared" si="75"/>
        <v>__</v>
      </c>
    </row>
    <row r="4846" spans="1:9" x14ac:dyDescent="0.35">
      <c r="A4846" s="226"/>
      <c r="B4846" s="226"/>
      <c r="C4846" s="226"/>
      <c r="D4846" s="226"/>
      <c r="E4846" s="226"/>
      <c r="F4846" s="226"/>
      <c r="G4846" s="226"/>
      <c r="H4846" s="226"/>
      <c r="I4846" s="9" t="str">
        <f t="shared" si="75"/>
        <v>__</v>
      </c>
    </row>
    <row r="4847" spans="1:9" x14ac:dyDescent="0.35">
      <c r="A4847" s="226"/>
      <c r="B4847" s="226"/>
      <c r="C4847" s="226"/>
      <c r="D4847" s="226"/>
      <c r="E4847" s="226"/>
      <c r="F4847" s="226"/>
      <c r="G4847" s="226"/>
      <c r="H4847" s="226"/>
      <c r="I4847" s="9" t="str">
        <f t="shared" si="75"/>
        <v>__</v>
      </c>
    </row>
    <row r="4848" spans="1:9" x14ac:dyDescent="0.35">
      <c r="A4848" s="226"/>
      <c r="B4848" s="226"/>
      <c r="C4848" s="226"/>
      <c r="D4848" s="226"/>
      <c r="E4848" s="226"/>
      <c r="F4848" s="226"/>
      <c r="G4848" s="226"/>
      <c r="H4848" s="226"/>
      <c r="I4848" s="9" t="str">
        <f t="shared" si="75"/>
        <v>__</v>
      </c>
    </row>
    <row r="4849" spans="1:9" x14ac:dyDescent="0.35">
      <c r="A4849" s="226"/>
      <c r="B4849" s="226"/>
      <c r="C4849" s="226"/>
      <c r="D4849" s="226"/>
      <c r="E4849" s="226"/>
      <c r="F4849" s="226"/>
      <c r="G4849" s="226"/>
      <c r="H4849" s="226"/>
      <c r="I4849" s="9" t="str">
        <f t="shared" si="75"/>
        <v>__</v>
      </c>
    </row>
    <row r="4850" spans="1:9" x14ac:dyDescent="0.35">
      <c r="A4850" s="226"/>
      <c r="B4850" s="226"/>
      <c r="C4850" s="226"/>
      <c r="D4850" s="226"/>
      <c r="E4850" s="226"/>
      <c r="F4850" s="226"/>
      <c r="G4850" s="226"/>
      <c r="H4850" s="226"/>
      <c r="I4850" s="9" t="str">
        <f t="shared" si="75"/>
        <v>__</v>
      </c>
    </row>
    <row r="4851" spans="1:9" x14ac:dyDescent="0.35">
      <c r="A4851" s="226"/>
      <c r="B4851" s="226"/>
      <c r="C4851" s="226"/>
      <c r="D4851" s="226"/>
      <c r="E4851" s="226"/>
      <c r="F4851" s="226"/>
      <c r="G4851" s="226"/>
      <c r="H4851" s="226"/>
      <c r="I4851" s="9" t="str">
        <f t="shared" si="75"/>
        <v>__</v>
      </c>
    </row>
    <row r="4852" spans="1:9" x14ac:dyDescent="0.35">
      <c r="A4852" s="226"/>
      <c r="B4852" s="226"/>
      <c r="C4852" s="226"/>
      <c r="D4852" s="226"/>
      <c r="E4852" s="226"/>
      <c r="F4852" s="226"/>
      <c r="G4852" s="226"/>
      <c r="H4852" s="226"/>
      <c r="I4852" s="9" t="str">
        <f t="shared" si="75"/>
        <v>__</v>
      </c>
    </row>
    <row r="4853" spans="1:9" x14ac:dyDescent="0.35">
      <c r="A4853" s="226"/>
      <c r="B4853" s="226"/>
      <c r="C4853" s="226"/>
      <c r="D4853" s="226"/>
      <c r="E4853" s="226"/>
      <c r="F4853" s="226"/>
      <c r="G4853" s="226"/>
      <c r="H4853" s="226"/>
      <c r="I4853" s="9" t="str">
        <f t="shared" si="75"/>
        <v>__</v>
      </c>
    </row>
    <row r="4854" spans="1:9" x14ac:dyDescent="0.35">
      <c r="A4854" s="226"/>
      <c r="B4854" s="226"/>
      <c r="C4854" s="226"/>
      <c r="D4854" s="226"/>
      <c r="E4854" s="226"/>
      <c r="F4854" s="226"/>
      <c r="G4854" s="226"/>
      <c r="H4854" s="226"/>
      <c r="I4854" s="9" t="str">
        <f t="shared" si="75"/>
        <v>__</v>
      </c>
    </row>
    <row r="4855" spans="1:9" x14ac:dyDescent="0.35">
      <c r="A4855" s="226"/>
      <c r="B4855" s="226"/>
      <c r="C4855" s="226"/>
      <c r="D4855" s="226"/>
      <c r="E4855" s="226"/>
      <c r="F4855" s="226"/>
      <c r="G4855" s="226"/>
      <c r="H4855" s="226"/>
      <c r="I4855" s="9" t="str">
        <f t="shared" si="75"/>
        <v>__</v>
      </c>
    </row>
    <row r="4856" spans="1:9" x14ac:dyDescent="0.35">
      <c r="A4856" s="226"/>
      <c r="B4856" s="226"/>
      <c r="C4856" s="226"/>
      <c r="D4856" s="226"/>
      <c r="E4856" s="226"/>
      <c r="F4856" s="226"/>
      <c r="G4856" s="226"/>
      <c r="H4856" s="226"/>
      <c r="I4856" s="9" t="str">
        <f t="shared" si="75"/>
        <v>__</v>
      </c>
    </row>
    <row r="4857" spans="1:9" x14ac:dyDescent="0.35">
      <c r="A4857" s="226"/>
      <c r="B4857" s="226"/>
      <c r="C4857" s="226"/>
      <c r="D4857" s="226"/>
      <c r="E4857" s="226"/>
      <c r="F4857" s="226"/>
      <c r="G4857" s="226"/>
      <c r="H4857" s="226"/>
      <c r="I4857" s="9" t="str">
        <f t="shared" si="75"/>
        <v>__</v>
      </c>
    </row>
    <row r="4858" spans="1:9" x14ac:dyDescent="0.35">
      <c r="A4858" s="226"/>
      <c r="B4858" s="226"/>
      <c r="C4858" s="226"/>
      <c r="D4858" s="226"/>
      <c r="E4858" s="226"/>
      <c r="F4858" s="226"/>
      <c r="G4858" s="226"/>
      <c r="H4858" s="226"/>
      <c r="I4858" s="9" t="str">
        <f t="shared" si="75"/>
        <v>__</v>
      </c>
    </row>
    <row r="4859" spans="1:9" x14ac:dyDescent="0.35">
      <c r="A4859" s="226"/>
      <c r="B4859" s="226"/>
      <c r="C4859" s="226"/>
      <c r="D4859" s="226"/>
      <c r="E4859" s="226"/>
      <c r="F4859" s="226"/>
      <c r="G4859" s="226"/>
      <c r="H4859" s="226"/>
      <c r="I4859" s="9" t="str">
        <f t="shared" si="75"/>
        <v>__</v>
      </c>
    </row>
    <row r="4860" spans="1:9" x14ac:dyDescent="0.35">
      <c r="A4860" s="226"/>
      <c r="B4860" s="226"/>
      <c r="C4860" s="226"/>
      <c r="D4860" s="226"/>
      <c r="E4860" s="226"/>
      <c r="F4860" s="226"/>
      <c r="G4860" s="226"/>
      <c r="H4860" s="226"/>
      <c r="I4860" s="9" t="str">
        <f t="shared" si="75"/>
        <v>__</v>
      </c>
    </row>
    <row r="4861" spans="1:9" x14ac:dyDescent="0.35">
      <c r="A4861" s="226"/>
      <c r="B4861" s="226"/>
      <c r="C4861" s="226"/>
      <c r="D4861" s="226"/>
      <c r="E4861" s="226"/>
      <c r="F4861" s="226"/>
      <c r="G4861" s="226"/>
      <c r="H4861" s="226"/>
      <c r="I4861" s="9" t="str">
        <f t="shared" si="75"/>
        <v>__</v>
      </c>
    </row>
    <row r="4862" spans="1:9" x14ac:dyDescent="0.35">
      <c r="A4862" s="226"/>
      <c r="B4862" s="226"/>
      <c r="C4862" s="226"/>
      <c r="D4862" s="226"/>
      <c r="E4862" s="226"/>
      <c r="F4862" s="226"/>
      <c r="G4862" s="226"/>
      <c r="H4862" s="226"/>
      <c r="I4862" s="9" t="str">
        <f t="shared" si="75"/>
        <v>__</v>
      </c>
    </row>
    <row r="4863" spans="1:9" x14ac:dyDescent="0.35">
      <c r="A4863" s="226"/>
      <c r="B4863" s="226"/>
      <c r="C4863" s="226"/>
      <c r="D4863" s="226"/>
      <c r="E4863" s="226"/>
      <c r="F4863" s="226"/>
      <c r="G4863" s="226"/>
      <c r="H4863" s="226"/>
      <c r="I4863" s="9" t="str">
        <f t="shared" si="75"/>
        <v>__</v>
      </c>
    </row>
    <row r="4864" spans="1:9" x14ac:dyDescent="0.35">
      <c r="A4864" s="226"/>
      <c r="B4864" s="226"/>
      <c r="C4864" s="226"/>
      <c r="D4864" s="226"/>
      <c r="E4864" s="226"/>
      <c r="F4864" s="226"/>
      <c r="G4864" s="226"/>
      <c r="H4864" s="226"/>
      <c r="I4864" s="9" t="str">
        <f t="shared" si="75"/>
        <v>__</v>
      </c>
    </row>
    <row r="4865" spans="1:9" x14ac:dyDescent="0.35">
      <c r="A4865" s="226"/>
      <c r="B4865" s="226"/>
      <c r="C4865" s="226"/>
      <c r="D4865" s="226"/>
      <c r="E4865" s="226"/>
      <c r="F4865" s="226"/>
      <c r="G4865" s="226"/>
      <c r="H4865" s="226"/>
      <c r="I4865" s="9" t="str">
        <f t="shared" si="75"/>
        <v>__</v>
      </c>
    </row>
    <row r="4866" spans="1:9" x14ac:dyDescent="0.35">
      <c r="A4866" s="226"/>
      <c r="B4866" s="226"/>
      <c r="C4866" s="226"/>
      <c r="D4866" s="226"/>
      <c r="E4866" s="226"/>
      <c r="F4866" s="226"/>
      <c r="G4866" s="226"/>
      <c r="H4866" s="226"/>
      <c r="I4866" s="9" t="str">
        <f t="shared" si="75"/>
        <v>__</v>
      </c>
    </row>
    <row r="4867" spans="1:9" x14ac:dyDescent="0.35">
      <c r="A4867" s="226"/>
      <c r="B4867" s="226"/>
      <c r="C4867" s="226"/>
      <c r="D4867" s="226"/>
      <c r="E4867" s="226"/>
      <c r="F4867" s="226"/>
      <c r="G4867" s="226"/>
      <c r="H4867" s="226"/>
      <c r="I4867" s="9" t="str">
        <f t="shared" si="75"/>
        <v>__</v>
      </c>
    </row>
    <row r="4868" spans="1:9" x14ac:dyDescent="0.35">
      <c r="A4868" s="226"/>
      <c r="B4868" s="226"/>
      <c r="C4868" s="226"/>
      <c r="D4868" s="226"/>
      <c r="E4868" s="226"/>
      <c r="F4868" s="226"/>
      <c r="G4868" s="226"/>
      <c r="H4868" s="226"/>
      <c r="I4868" s="9" t="str">
        <f t="shared" si="75"/>
        <v>__</v>
      </c>
    </row>
    <row r="4869" spans="1:9" x14ac:dyDescent="0.35">
      <c r="A4869" s="226"/>
      <c r="B4869" s="226"/>
      <c r="C4869" s="226"/>
      <c r="D4869" s="226"/>
      <c r="E4869" s="226"/>
      <c r="F4869" s="226"/>
      <c r="G4869" s="226"/>
      <c r="H4869" s="226"/>
      <c r="I4869" s="9" t="str">
        <f t="shared" ref="I4869:I4932" si="76">CONCATENATE(A4869,"_",B4869,"_",C4869)</f>
        <v>__</v>
      </c>
    </row>
    <row r="4870" spans="1:9" x14ac:dyDescent="0.35">
      <c r="A4870" s="226"/>
      <c r="B4870" s="226"/>
      <c r="C4870" s="226"/>
      <c r="D4870" s="226"/>
      <c r="E4870" s="226"/>
      <c r="F4870" s="226"/>
      <c r="G4870" s="226"/>
      <c r="H4870" s="226"/>
      <c r="I4870" s="9" t="str">
        <f t="shared" si="76"/>
        <v>__</v>
      </c>
    </row>
    <row r="4871" spans="1:9" x14ac:dyDescent="0.35">
      <c r="A4871" s="226"/>
      <c r="B4871" s="226"/>
      <c r="C4871" s="226"/>
      <c r="D4871" s="226"/>
      <c r="E4871" s="226"/>
      <c r="F4871" s="226"/>
      <c r="G4871" s="226"/>
      <c r="H4871" s="226"/>
      <c r="I4871" s="9" t="str">
        <f t="shared" si="76"/>
        <v>__</v>
      </c>
    </row>
    <row r="4872" spans="1:9" x14ac:dyDescent="0.35">
      <c r="A4872" s="226"/>
      <c r="B4872" s="226"/>
      <c r="C4872" s="226"/>
      <c r="D4872" s="226"/>
      <c r="E4872" s="226"/>
      <c r="F4872" s="226"/>
      <c r="G4872" s="226"/>
      <c r="H4872" s="226"/>
      <c r="I4872" s="9" t="str">
        <f t="shared" si="76"/>
        <v>__</v>
      </c>
    </row>
    <row r="4873" spans="1:9" x14ac:dyDescent="0.35">
      <c r="A4873" s="226"/>
      <c r="B4873" s="226"/>
      <c r="C4873" s="226"/>
      <c r="D4873" s="226"/>
      <c r="E4873" s="226"/>
      <c r="F4873" s="226"/>
      <c r="G4873" s="226"/>
      <c r="H4873" s="226"/>
      <c r="I4873" s="9" t="str">
        <f t="shared" si="76"/>
        <v>__</v>
      </c>
    </row>
    <row r="4874" spans="1:9" x14ac:dyDescent="0.35">
      <c r="A4874" s="226"/>
      <c r="B4874" s="226"/>
      <c r="C4874" s="226"/>
      <c r="D4874" s="226"/>
      <c r="E4874" s="226"/>
      <c r="F4874" s="226"/>
      <c r="G4874" s="226"/>
      <c r="H4874" s="226"/>
      <c r="I4874" s="9" t="str">
        <f t="shared" si="76"/>
        <v>__</v>
      </c>
    </row>
    <row r="4875" spans="1:9" x14ac:dyDescent="0.35">
      <c r="A4875" s="226"/>
      <c r="B4875" s="226"/>
      <c r="C4875" s="226"/>
      <c r="D4875" s="226"/>
      <c r="E4875" s="226"/>
      <c r="F4875" s="226"/>
      <c r="G4875" s="226"/>
      <c r="H4875" s="226"/>
      <c r="I4875" s="9" t="str">
        <f t="shared" si="76"/>
        <v>__</v>
      </c>
    </row>
    <row r="4876" spans="1:9" x14ac:dyDescent="0.35">
      <c r="A4876" s="226"/>
      <c r="B4876" s="226"/>
      <c r="C4876" s="226"/>
      <c r="D4876" s="226"/>
      <c r="E4876" s="226"/>
      <c r="F4876" s="226"/>
      <c r="G4876" s="226"/>
      <c r="H4876" s="226"/>
      <c r="I4876" s="9" t="str">
        <f t="shared" si="76"/>
        <v>__</v>
      </c>
    </row>
    <row r="4877" spans="1:9" x14ac:dyDescent="0.35">
      <c r="A4877" s="226"/>
      <c r="B4877" s="226"/>
      <c r="C4877" s="226"/>
      <c r="D4877" s="226"/>
      <c r="E4877" s="226"/>
      <c r="F4877" s="226"/>
      <c r="G4877" s="226"/>
      <c r="H4877" s="226"/>
      <c r="I4877" s="9" t="str">
        <f t="shared" si="76"/>
        <v>__</v>
      </c>
    </row>
    <row r="4878" spans="1:9" x14ac:dyDescent="0.35">
      <c r="A4878" s="226"/>
      <c r="B4878" s="226"/>
      <c r="C4878" s="226"/>
      <c r="D4878" s="226"/>
      <c r="E4878" s="226"/>
      <c r="F4878" s="226"/>
      <c r="G4878" s="226"/>
      <c r="H4878" s="226"/>
      <c r="I4878" s="9" t="str">
        <f t="shared" si="76"/>
        <v>__</v>
      </c>
    </row>
    <row r="4879" spans="1:9" x14ac:dyDescent="0.35">
      <c r="A4879" s="226"/>
      <c r="B4879" s="226"/>
      <c r="C4879" s="226"/>
      <c r="D4879" s="226"/>
      <c r="E4879" s="226"/>
      <c r="F4879" s="226"/>
      <c r="G4879" s="226"/>
      <c r="H4879" s="226"/>
      <c r="I4879" s="9" t="str">
        <f t="shared" si="76"/>
        <v>__</v>
      </c>
    </row>
    <row r="4880" spans="1:9" x14ac:dyDescent="0.35">
      <c r="A4880" s="226"/>
      <c r="B4880" s="226"/>
      <c r="C4880" s="226"/>
      <c r="D4880" s="226"/>
      <c r="E4880" s="226"/>
      <c r="F4880" s="226"/>
      <c r="G4880" s="226"/>
      <c r="H4880" s="226"/>
      <c r="I4880" s="9" t="str">
        <f t="shared" si="76"/>
        <v>__</v>
      </c>
    </row>
    <row r="4881" spans="1:9" x14ac:dyDescent="0.35">
      <c r="A4881" s="226"/>
      <c r="B4881" s="226"/>
      <c r="C4881" s="226"/>
      <c r="D4881" s="226"/>
      <c r="E4881" s="226"/>
      <c r="F4881" s="226"/>
      <c r="G4881" s="226"/>
      <c r="H4881" s="226"/>
      <c r="I4881" s="9" t="str">
        <f t="shared" si="76"/>
        <v>__</v>
      </c>
    </row>
    <row r="4882" spans="1:9" x14ac:dyDescent="0.35">
      <c r="A4882" s="226"/>
      <c r="B4882" s="226"/>
      <c r="C4882" s="226"/>
      <c r="D4882" s="226"/>
      <c r="E4882" s="226"/>
      <c r="F4882" s="226"/>
      <c r="G4882" s="226"/>
      <c r="H4882" s="226"/>
      <c r="I4882" s="9" t="str">
        <f t="shared" si="76"/>
        <v>__</v>
      </c>
    </row>
    <row r="4883" spans="1:9" x14ac:dyDescent="0.35">
      <c r="A4883" s="226"/>
      <c r="B4883" s="226"/>
      <c r="C4883" s="226"/>
      <c r="D4883" s="226"/>
      <c r="E4883" s="226"/>
      <c r="F4883" s="226"/>
      <c r="G4883" s="226"/>
      <c r="H4883" s="226"/>
      <c r="I4883" s="9" t="str">
        <f t="shared" si="76"/>
        <v>__</v>
      </c>
    </row>
    <row r="4884" spans="1:9" x14ac:dyDescent="0.35">
      <c r="A4884" s="226"/>
      <c r="B4884" s="226"/>
      <c r="C4884" s="226"/>
      <c r="D4884" s="226"/>
      <c r="E4884" s="226"/>
      <c r="F4884" s="226"/>
      <c r="G4884" s="226"/>
      <c r="H4884" s="226"/>
      <c r="I4884" s="9" t="str">
        <f t="shared" si="76"/>
        <v>__</v>
      </c>
    </row>
    <row r="4885" spans="1:9" x14ac:dyDescent="0.35">
      <c r="A4885" s="226"/>
      <c r="B4885" s="226"/>
      <c r="C4885" s="226"/>
      <c r="D4885" s="226"/>
      <c r="E4885" s="226"/>
      <c r="F4885" s="226"/>
      <c r="G4885" s="226"/>
      <c r="H4885" s="226"/>
      <c r="I4885" s="9" t="str">
        <f t="shared" si="76"/>
        <v>__</v>
      </c>
    </row>
    <row r="4886" spans="1:9" x14ac:dyDescent="0.35">
      <c r="A4886" s="226"/>
      <c r="B4886" s="226"/>
      <c r="C4886" s="226"/>
      <c r="D4886" s="226"/>
      <c r="E4886" s="226"/>
      <c r="F4886" s="226"/>
      <c r="G4886" s="226"/>
      <c r="H4886" s="226"/>
      <c r="I4886" s="9" t="str">
        <f t="shared" si="76"/>
        <v>__</v>
      </c>
    </row>
    <row r="4887" spans="1:9" x14ac:dyDescent="0.35">
      <c r="A4887" s="226"/>
      <c r="B4887" s="226"/>
      <c r="C4887" s="226"/>
      <c r="D4887" s="226"/>
      <c r="E4887" s="226"/>
      <c r="F4887" s="226"/>
      <c r="G4887" s="226"/>
      <c r="H4887" s="226"/>
      <c r="I4887" s="9" t="str">
        <f t="shared" si="76"/>
        <v>__</v>
      </c>
    </row>
    <row r="4888" spans="1:9" x14ac:dyDescent="0.35">
      <c r="A4888" s="226"/>
      <c r="B4888" s="226"/>
      <c r="C4888" s="226"/>
      <c r="D4888" s="226"/>
      <c r="E4888" s="226"/>
      <c r="F4888" s="226"/>
      <c r="G4888" s="226"/>
      <c r="H4888" s="226"/>
      <c r="I4888" s="9" t="str">
        <f t="shared" si="76"/>
        <v>__</v>
      </c>
    </row>
    <row r="4889" spans="1:9" x14ac:dyDescent="0.35">
      <c r="A4889" s="226"/>
      <c r="B4889" s="226"/>
      <c r="C4889" s="226"/>
      <c r="D4889" s="226"/>
      <c r="E4889" s="226"/>
      <c r="F4889" s="226"/>
      <c r="G4889" s="226"/>
      <c r="H4889" s="226"/>
      <c r="I4889" s="9" t="str">
        <f t="shared" si="76"/>
        <v>__</v>
      </c>
    </row>
    <row r="4890" spans="1:9" x14ac:dyDescent="0.35">
      <c r="A4890" s="226"/>
      <c r="B4890" s="226"/>
      <c r="C4890" s="226"/>
      <c r="D4890" s="226"/>
      <c r="E4890" s="226"/>
      <c r="F4890" s="226"/>
      <c r="G4890" s="226"/>
      <c r="H4890" s="226"/>
      <c r="I4890" s="9" t="str">
        <f t="shared" si="76"/>
        <v>__</v>
      </c>
    </row>
    <row r="4891" spans="1:9" x14ac:dyDescent="0.35">
      <c r="A4891" s="226"/>
      <c r="B4891" s="226"/>
      <c r="C4891" s="226"/>
      <c r="D4891" s="226"/>
      <c r="E4891" s="226"/>
      <c r="F4891" s="226"/>
      <c r="G4891" s="226"/>
      <c r="H4891" s="226"/>
      <c r="I4891" s="9" t="str">
        <f t="shared" si="76"/>
        <v>__</v>
      </c>
    </row>
    <row r="4892" spans="1:9" x14ac:dyDescent="0.35">
      <c r="A4892" s="226"/>
      <c r="B4892" s="226"/>
      <c r="C4892" s="226"/>
      <c r="D4892" s="226"/>
      <c r="E4892" s="226"/>
      <c r="F4892" s="226"/>
      <c r="G4892" s="226"/>
      <c r="H4892" s="226"/>
      <c r="I4892" s="9" t="str">
        <f t="shared" si="76"/>
        <v>__</v>
      </c>
    </row>
    <row r="4893" spans="1:9" x14ac:dyDescent="0.35">
      <c r="A4893" s="226"/>
      <c r="B4893" s="226"/>
      <c r="C4893" s="226"/>
      <c r="D4893" s="226"/>
      <c r="E4893" s="226"/>
      <c r="F4893" s="226"/>
      <c r="G4893" s="226"/>
      <c r="H4893" s="226"/>
      <c r="I4893" s="9" t="str">
        <f t="shared" si="76"/>
        <v>__</v>
      </c>
    </row>
    <row r="4894" spans="1:9" x14ac:dyDescent="0.35">
      <c r="A4894" s="226"/>
      <c r="B4894" s="226"/>
      <c r="C4894" s="226"/>
      <c r="D4894" s="226"/>
      <c r="E4894" s="226"/>
      <c r="F4894" s="226"/>
      <c r="G4894" s="226"/>
      <c r="H4894" s="226"/>
      <c r="I4894" s="9" t="str">
        <f t="shared" si="76"/>
        <v>__</v>
      </c>
    </row>
    <row r="4895" spans="1:9" x14ac:dyDescent="0.35">
      <c r="A4895" s="226"/>
      <c r="B4895" s="226"/>
      <c r="C4895" s="226"/>
      <c r="D4895" s="226"/>
      <c r="E4895" s="226"/>
      <c r="F4895" s="226"/>
      <c r="G4895" s="226"/>
      <c r="H4895" s="226"/>
      <c r="I4895" s="9" t="str">
        <f t="shared" si="76"/>
        <v>__</v>
      </c>
    </row>
    <row r="4896" spans="1:9" x14ac:dyDescent="0.35">
      <c r="A4896" s="226"/>
      <c r="B4896" s="226"/>
      <c r="C4896" s="226"/>
      <c r="D4896" s="226"/>
      <c r="E4896" s="226"/>
      <c r="F4896" s="226"/>
      <c r="G4896" s="226"/>
      <c r="H4896" s="226"/>
      <c r="I4896" s="9" t="str">
        <f t="shared" si="76"/>
        <v>__</v>
      </c>
    </row>
    <row r="4897" spans="1:9" x14ac:dyDescent="0.35">
      <c r="A4897" s="226"/>
      <c r="B4897" s="226"/>
      <c r="C4897" s="226"/>
      <c r="D4897" s="226"/>
      <c r="E4897" s="226"/>
      <c r="F4897" s="226"/>
      <c r="G4897" s="226"/>
      <c r="H4897" s="226"/>
      <c r="I4897" s="9" t="str">
        <f t="shared" si="76"/>
        <v>__</v>
      </c>
    </row>
    <row r="4898" spans="1:9" x14ac:dyDescent="0.35">
      <c r="A4898" s="226"/>
      <c r="B4898" s="226"/>
      <c r="C4898" s="226"/>
      <c r="D4898" s="226"/>
      <c r="E4898" s="226"/>
      <c r="F4898" s="226"/>
      <c r="G4898" s="226"/>
      <c r="H4898" s="226"/>
      <c r="I4898" s="9" t="str">
        <f t="shared" si="76"/>
        <v>__</v>
      </c>
    </row>
    <row r="4899" spans="1:9" x14ac:dyDescent="0.35">
      <c r="A4899" s="226"/>
      <c r="B4899" s="226"/>
      <c r="C4899" s="226"/>
      <c r="D4899" s="226"/>
      <c r="E4899" s="226"/>
      <c r="F4899" s="226"/>
      <c r="G4899" s="226"/>
      <c r="H4899" s="226"/>
      <c r="I4899" s="9" t="str">
        <f t="shared" si="76"/>
        <v>__</v>
      </c>
    </row>
    <row r="4900" spans="1:9" x14ac:dyDescent="0.35">
      <c r="A4900" s="226"/>
      <c r="B4900" s="226"/>
      <c r="C4900" s="226"/>
      <c r="D4900" s="226"/>
      <c r="E4900" s="226"/>
      <c r="F4900" s="226"/>
      <c r="G4900" s="226"/>
      <c r="H4900" s="226"/>
      <c r="I4900" s="9" t="str">
        <f t="shared" si="76"/>
        <v>__</v>
      </c>
    </row>
    <row r="4901" spans="1:9" x14ac:dyDescent="0.35">
      <c r="A4901" s="226"/>
      <c r="B4901" s="226"/>
      <c r="C4901" s="226"/>
      <c r="D4901" s="226"/>
      <c r="E4901" s="226"/>
      <c r="F4901" s="226"/>
      <c r="G4901" s="226"/>
      <c r="H4901" s="226"/>
      <c r="I4901" s="9" t="str">
        <f t="shared" si="76"/>
        <v>__</v>
      </c>
    </row>
    <row r="4902" spans="1:9" x14ac:dyDescent="0.35">
      <c r="A4902" s="226"/>
      <c r="B4902" s="226"/>
      <c r="C4902" s="226"/>
      <c r="D4902" s="226"/>
      <c r="E4902" s="226"/>
      <c r="F4902" s="226"/>
      <c r="G4902" s="226"/>
      <c r="H4902" s="226"/>
      <c r="I4902" s="9" t="str">
        <f t="shared" si="76"/>
        <v>__</v>
      </c>
    </row>
    <row r="4903" spans="1:9" x14ac:dyDescent="0.35">
      <c r="A4903" s="226"/>
      <c r="B4903" s="226"/>
      <c r="C4903" s="226"/>
      <c r="D4903" s="226"/>
      <c r="E4903" s="226"/>
      <c r="F4903" s="226"/>
      <c r="G4903" s="226"/>
      <c r="H4903" s="226"/>
      <c r="I4903" s="9" t="str">
        <f t="shared" si="76"/>
        <v>__</v>
      </c>
    </row>
    <row r="4904" spans="1:9" x14ac:dyDescent="0.35">
      <c r="A4904" s="226"/>
      <c r="B4904" s="226"/>
      <c r="C4904" s="226"/>
      <c r="D4904" s="226"/>
      <c r="E4904" s="226"/>
      <c r="F4904" s="226"/>
      <c r="G4904" s="226"/>
      <c r="H4904" s="226"/>
      <c r="I4904" s="9" t="str">
        <f t="shared" si="76"/>
        <v>__</v>
      </c>
    </row>
    <row r="4905" spans="1:9" x14ac:dyDescent="0.35">
      <c r="A4905" s="226"/>
      <c r="B4905" s="226"/>
      <c r="C4905" s="226"/>
      <c r="D4905" s="226"/>
      <c r="E4905" s="226"/>
      <c r="F4905" s="226"/>
      <c r="G4905" s="226"/>
      <c r="H4905" s="226"/>
      <c r="I4905" s="9" t="str">
        <f t="shared" si="76"/>
        <v>__</v>
      </c>
    </row>
    <row r="4906" spans="1:9" x14ac:dyDescent="0.35">
      <c r="A4906" s="226"/>
      <c r="B4906" s="226"/>
      <c r="C4906" s="226"/>
      <c r="D4906" s="226"/>
      <c r="E4906" s="226"/>
      <c r="F4906" s="226"/>
      <c r="G4906" s="226"/>
      <c r="H4906" s="226"/>
      <c r="I4906" s="9" t="str">
        <f t="shared" si="76"/>
        <v>__</v>
      </c>
    </row>
    <row r="4907" spans="1:9" x14ac:dyDescent="0.35">
      <c r="A4907" s="226"/>
      <c r="B4907" s="226"/>
      <c r="C4907" s="226"/>
      <c r="D4907" s="226"/>
      <c r="E4907" s="226"/>
      <c r="F4907" s="226"/>
      <c r="G4907" s="226"/>
      <c r="H4907" s="226"/>
      <c r="I4907" s="9" t="str">
        <f t="shared" si="76"/>
        <v>__</v>
      </c>
    </row>
    <row r="4908" spans="1:9" x14ac:dyDescent="0.35">
      <c r="A4908" s="226"/>
      <c r="B4908" s="226"/>
      <c r="C4908" s="226"/>
      <c r="D4908" s="226"/>
      <c r="E4908" s="226"/>
      <c r="F4908" s="226"/>
      <c r="G4908" s="226"/>
      <c r="H4908" s="226"/>
      <c r="I4908" s="9" t="str">
        <f t="shared" si="76"/>
        <v>__</v>
      </c>
    </row>
    <row r="4909" spans="1:9" x14ac:dyDescent="0.35">
      <c r="A4909" s="226"/>
      <c r="B4909" s="226"/>
      <c r="C4909" s="226"/>
      <c r="D4909" s="226"/>
      <c r="E4909" s="226"/>
      <c r="F4909" s="226"/>
      <c r="G4909" s="226"/>
      <c r="H4909" s="226"/>
      <c r="I4909" s="9" t="str">
        <f t="shared" si="76"/>
        <v>__</v>
      </c>
    </row>
    <row r="4910" spans="1:9" x14ac:dyDescent="0.35">
      <c r="A4910" s="226"/>
      <c r="B4910" s="226"/>
      <c r="C4910" s="226"/>
      <c r="D4910" s="226"/>
      <c r="E4910" s="226"/>
      <c r="F4910" s="226"/>
      <c r="G4910" s="226"/>
      <c r="H4910" s="226"/>
      <c r="I4910" s="9" t="str">
        <f t="shared" si="76"/>
        <v>__</v>
      </c>
    </row>
    <row r="4911" spans="1:9" x14ac:dyDescent="0.35">
      <c r="A4911" s="226"/>
      <c r="B4911" s="226"/>
      <c r="C4911" s="226"/>
      <c r="D4911" s="226"/>
      <c r="E4911" s="226"/>
      <c r="F4911" s="226"/>
      <c r="G4911" s="226"/>
      <c r="H4911" s="226"/>
      <c r="I4911" s="9" t="str">
        <f t="shared" si="76"/>
        <v>__</v>
      </c>
    </row>
    <row r="4912" spans="1:9" x14ac:dyDescent="0.35">
      <c r="A4912" s="226"/>
      <c r="B4912" s="226"/>
      <c r="C4912" s="226"/>
      <c r="D4912" s="226"/>
      <c r="E4912" s="226"/>
      <c r="F4912" s="226"/>
      <c r="G4912" s="226"/>
      <c r="H4912" s="226"/>
      <c r="I4912" s="9" t="str">
        <f t="shared" si="76"/>
        <v>__</v>
      </c>
    </row>
    <row r="4913" spans="1:9" x14ac:dyDescent="0.35">
      <c r="A4913" s="226"/>
      <c r="B4913" s="226"/>
      <c r="C4913" s="226"/>
      <c r="D4913" s="226"/>
      <c r="E4913" s="226"/>
      <c r="F4913" s="226"/>
      <c r="G4913" s="226"/>
      <c r="H4913" s="226"/>
      <c r="I4913" s="9" t="str">
        <f t="shared" si="76"/>
        <v>__</v>
      </c>
    </row>
    <row r="4914" spans="1:9" x14ac:dyDescent="0.35">
      <c r="A4914" s="226"/>
      <c r="B4914" s="226"/>
      <c r="C4914" s="226"/>
      <c r="D4914" s="226"/>
      <c r="E4914" s="226"/>
      <c r="F4914" s="226"/>
      <c r="G4914" s="226"/>
      <c r="H4914" s="226"/>
      <c r="I4914" s="9" t="str">
        <f t="shared" si="76"/>
        <v>__</v>
      </c>
    </row>
    <row r="4915" spans="1:9" x14ac:dyDescent="0.35">
      <c r="A4915" s="226"/>
      <c r="B4915" s="226"/>
      <c r="C4915" s="226"/>
      <c r="D4915" s="226"/>
      <c r="E4915" s="226"/>
      <c r="F4915" s="226"/>
      <c r="G4915" s="226"/>
      <c r="H4915" s="226"/>
      <c r="I4915" s="9" t="str">
        <f t="shared" si="76"/>
        <v>__</v>
      </c>
    </row>
    <row r="4916" spans="1:9" x14ac:dyDescent="0.35">
      <c r="A4916" s="226"/>
      <c r="B4916" s="226"/>
      <c r="C4916" s="226"/>
      <c r="D4916" s="226"/>
      <c r="E4916" s="226"/>
      <c r="F4916" s="226"/>
      <c r="G4916" s="226"/>
      <c r="H4916" s="226"/>
      <c r="I4916" s="9" t="str">
        <f t="shared" si="76"/>
        <v>__</v>
      </c>
    </row>
    <row r="4917" spans="1:9" x14ac:dyDescent="0.35">
      <c r="A4917" s="226"/>
      <c r="B4917" s="226"/>
      <c r="C4917" s="226"/>
      <c r="D4917" s="226"/>
      <c r="E4917" s="226"/>
      <c r="F4917" s="226"/>
      <c r="G4917" s="226"/>
      <c r="H4917" s="226"/>
      <c r="I4917" s="9" t="str">
        <f t="shared" si="76"/>
        <v>__</v>
      </c>
    </row>
    <row r="4918" spans="1:9" x14ac:dyDescent="0.35">
      <c r="A4918" s="226"/>
      <c r="B4918" s="226"/>
      <c r="C4918" s="226"/>
      <c r="D4918" s="226"/>
      <c r="E4918" s="226"/>
      <c r="F4918" s="226"/>
      <c r="G4918" s="226"/>
      <c r="H4918" s="226"/>
      <c r="I4918" s="9" t="str">
        <f t="shared" si="76"/>
        <v>__</v>
      </c>
    </row>
    <row r="4919" spans="1:9" x14ac:dyDescent="0.35">
      <c r="A4919" s="226"/>
      <c r="B4919" s="226"/>
      <c r="C4919" s="226"/>
      <c r="D4919" s="226"/>
      <c r="E4919" s="226"/>
      <c r="F4919" s="226"/>
      <c r="G4919" s="226"/>
      <c r="H4919" s="226"/>
      <c r="I4919" s="9" t="str">
        <f t="shared" si="76"/>
        <v>__</v>
      </c>
    </row>
    <row r="4920" spans="1:9" x14ac:dyDescent="0.35">
      <c r="A4920" s="226"/>
      <c r="B4920" s="226"/>
      <c r="C4920" s="226"/>
      <c r="D4920" s="226"/>
      <c r="E4920" s="226"/>
      <c r="F4920" s="226"/>
      <c r="G4920" s="226"/>
      <c r="H4920" s="226"/>
      <c r="I4920" s="9" t="str">
        <f t="shared" si="76"/>
        <v>__</v>
      </c>
    </row>
    <row r="4921" spans="1:9" x14ac:dyDescent="0.35">
      <c r="A4921" s="226"/>
      <c r="B4921" s="226"/>
      <c r="C4921" s="226"/>
      <c r="D4921" s="226"/>
      <c r="E4921" s="226"/>
      <c r="F4921" s="226"/>
      <c r="G4921" s="226"/>
      <c r="H4921" s="226"/>
      <c r="I4921" s="9" t="str">
        <f t="shared" si="76"/>
        <v>__</v>
      </c>
    </row>
    <row r="4922" spans="1:9" x14ac:dyDescent="0.35">
      <c r="A4922" s="226"/>
      <c r="B4922" s="226"/>
      <c r="C4922" s="226"/>
      <c r="D4922" s="226"/>
      <c r="E4922" s="226"/>
      <c r="F4922" s="226"/>
      <c r="G4922" s="226"/>
      <c r="H4922" s="226"/>
      <c r="I4922" s="9" t="str">
        <f t="shared" si="76"/>
        <v>__</v>
      </c>
    </row>
    <row r="4923" spans="1:9" x14ac:dyDescent="0.35">
      <c r="A4923" s="226"/>
      <c r="B4923" s="226"/>
      <c r="C4923" s="226"/>
      <c r="D4923" s="226"/>
      <c r="E4923" s="226"/>
      <c r="F4923" s="226"/>
      <c r="G4923" s="226"/>
      <c r="H4923" s="226"/>
      <c r="I4923" s="9" t="str">
        <f t="shared" si="76"/>
        <v>__</v>
      </c>
    </row>
    <row r="4924" spans="1:9" x14ac:dyDescent="0.35">
      <c r="A4924" s="226"/>
      <c r="B4924" s="226"/>
      <c r="C4924" s="226"/>
      <c r="D4924" s="226"/>
      <c r="E4924" s="226"/>
      <c r="F4924" s="226"/>
      <c r="G4924" s="226"/>
      <c r="H4924" s="226"/>
      <c r="I4924" s="9" t="str">
        <f t="shared" si="76"/>
        <v>__</v>
      </c>
    </row>
    <row r="4925" spans="1:9" x14ac:dyDescent="0.35">
      <c r="A4925" s="226"/>
      <c r="B4925" s="226"/>
      <c r="C4925" s="226"/>
      <c r="D4925" s="226"/>
      <c r="E4925" s="226"/>
      <c r="F4925" s="226"/>
      <c r="G4925" s="226"/>
      <c r="H4925" s="226"/>
      <c r="I4925" s="9" t="str">
        <f t="shared" si="76"/>
        <v>__</v>
      </c>
    </row>
    <row r="4926" spans="1:9" x14ac:dyDescent="0.35">
      <c r="A4926" s="226"/>
      <c r="B4926" s="226"/>
      <c r="C4926" s="226"/>
      <c r="D4926" s="226"/>
      <c r="E4926" s="226"/>
      <c r="F4926" s="226"/>
      <c r="G4926" s="226"/>
      <c r="H4926" s="226"/>
      <c r="I4926" s="9" t="str">
        <f t="shared" si="76"/>
        <v>__</v>
      </c>
    </row>
    <row r="4927" spans="1:9" x14ac:dyDescent="0.35">
      <c r="A4927" s="226"/>
      <c r="B4927" s="226"/>
      <c r="C4927" s="226"/>
      <c r="D4927" s="226"/>
      <c r="E4927" s="226"/>
      <c r="F4927" s="226"/>
      <c r="G4927" s="226"/>
      <c r="H4927" s="226"/>
      <c r="I4927" s="9" t="str">
        <f t="shared" si="76"/>
        <v>__</v>
      </c>
    </row>
    <row r="4928" spans="1:9" x14ac:dyDescent="0.35">
      <c r="A4928" s="226"/>
      <c r="B4928" s="226"/>
      <c r="C4928" s="226"/>
      <c r="D4928" s="226"/>
      <c r="E4928" s="226"/>
      <c r="F4928" s="226"/>
      <c r="G4928" s="226"/>
      <c r="H4928" s="226"/>
      <c r="I4928" s="9" t="str">
        <f t="shared" si="76"/>
        <v>__</v>
      </c>
    </row>
    <row r="4929" spans="1:9" x14ac:dyDescent="0.35">
      <c r="A4929" s="226"/>
      <c r="B4929" s="226"/>
      <c r="C4929" s="226"/>
      <c r="D4929" s="226"/>
      <c r="E4929" s="226"/>
      <c r="F4929" s="226"/>
      <c r="G4929" s="226"/>
      <c r="H4929" s="226"/>
      <c r="I4929" s="9" t="str">
        <f t="shared" si="76"/>
        <v>__</v>
      </c>
    </row>
    <row r="4930" spans="1:9" x14ac:dyDescent="0.35">
      <c r="A4930" s="226"/>
      <c r="B4930" s="226"/>
      <c r="C4930" s="226"/>
      <c r="D4930" s="226"/>
      <c r="E4930" s="226"/>
      <c r="F4930" s="226"/>
      <c r="G4930" s="226"/>
      <c r="H4930" s="226"/>
      <c r="I4930" s="9" t="str">
        <f t="shared" si="76"/>
        <v>__</v>
      </c>
    </row>
    <row r="4931" spans="1:9" x14ac:dyDescent="0.35">
      <c r="A4931" s="226"/>
      <c r="B4931" s="226"/>
      <c r="C4931" s="226"/>
      <c r="D4931" s="226"/>
      <c r="E4931" s="226"/>
      <c r="F4931" s="226"/>
      <c r="G4931" s="226"/>
      <c r="H4931" s="226"/>
      <c r="I4931" s="9" t="str">
        <f t="shared" si="76"/>
        <v>__</v>
      </c>
    </row>
    <row r="4932" spans="1:9" x14ac:dyDescent="0.35">
      <c r="A4932" s="226"/>
      <c r="B4932" s="226"/>
      <c r="C4932" s="226"/>
      <c r="D4932" s="226"/>
      <c r="E4932" s="226"/>
      <c r="F4932" s="226"/>
      <c r="G4932" s="226"/>
      <c r="H4932" s="226"/>
      <c r="I4932" s="9" t="str">
        <f t="shared" si="76"/>
        <v>__</v>
      </c>
    </row>
    <row r="4933" spans="1:9" x14ac:dyDescent="0.35">
      <c r="A4933" s="226"/>
      <c r="B4933" s="226"/>
      <c r="C4933" s="226"/>
      <c r="D4933" s="226"/>
      <c r="E4933" s="226"/>
      <c r="F4933" s="226"/>
      <c r="G4933" s="226"/>
      <c r="H4933" s="226"/>
      <c r="I4933" s="9" t="str">
        <f t="shared" ref="I4933:I4996" si="77">CONCATENATE(A4933,"_",B4933,"_",C4933)</f>
        <v>__</v>
      </c>
    </row>
    <row r="4934" spans="1:9" x14ac:dyDescent="0.35">
      <c r="A4934" s="226"/>
      <c r="B4934" s="226"/>
      <c r="C4934" s="226"/>
      <c r="D4934" s="226"/>
      <c r="E4934" s="226"/>
      <c r="F4934" s="226"/>
      <c r="G4934" s="226"/>
      <c r="H4934" s="226"/>
      <c r="I4934" s="9" t="str">
        <f t="shared" si="77"/>
        <v>__</v>
      </c>
    </row>
    <row r="4935" spans="1:9" x14ac:dyDescent="0.35">
      <c r="A4935" s="226"/>
      <c r="B4935" s="226"/>
      <c r="C4935" s="226"/>
      <c r="D4935" s="226"/>
      <c r="E4935" s="226"/>
      <c r="F4935" s="226"/>
      <c r="G4935" s="226"/>
      <c r="H4935" s="226"/>
      <c r="I4935" s="9" t="str">
        <f t="shared" si="77"/>
        <v>__</v>
      </c>
    </row>
    <row r="4936" spans="1:9" x14ac:dyDescent="0.35">
      <c r="A4936" s="226"/>
      <c r="B4936" s="226"/>
      <c r="C4936" s="226"/>
      <c r="D4936" s="226"/>
      <c r="E4936" s="226"/>
      <c r="F4936" s="226"/>
      <c r="G4936" s="226"/>
      <c r="H4936" s="226"/>
      <c r="I4936" s="9" t="str">
        <f t="shared" si="77"/>
        <v>__</v>
      </c>
    </row>
    <row r="4937" spans="1:9" x14ac:dyDescent="0.35">
      <c r="A4937" s="226"/>
      <c r="B4937" s="226"/>
      <c r="C4937" s="226"/>
      <c r="D4937" s="226"/>
      <c r="E4937" s="226"/>
      <c r="F4937" s="226"/>
      <c r="G4937" s="226"/>
      <c r="H4937" s="226"/>
      <c r="I4937" s="9" t="str">
        <f t="shared" si="77"/>
        <v>__</v>
      </c>
    </row>
    <row r="4938" spans="1:9" x14ac:dyDescent="0.35">
      <c r="A4938" s="226"/>
      <c r="B4938" s="226"/>
      <c r="C4938" s="226"/>
      <c r="D4938" s="226"/>
      <c r="E4938" s="226"/>
      <c r="F4938" s="226"/>
      <c r="G4938" s="226"/>
      <c r="H4938" s="226"/>
      <c r="I4938" s="9" t="str">
        <f t="shared" si="77"/>
        <v>__</v>
      </c>
    </row>
    <row r="4939" spans="1:9" x14ac:dyDescent="0.35">
      <c r="A4939" s="226"/>
      <c r="B4939" s="226"/>
      <c r="C4939" s="226"/>
      <c r="D4939" s="226"/>
      <c r="E4939" s="226"/>
      <c r="F4939" s="226"/>
      <c r="G4939" s="226"/>
      <c r="H4939" s="226"/>
      <c r="I4939" s="9" t="str">
        <f t="shared" si="77"/>
        <v>__</v>
      </c>
    </row>
    <row r="4940" spans="1:9" x14ac:dyDescent="0.35">
      <c r="A4940" s="226"/>
      <c r="B4940" s="226"/>
      <c r="C4940" s="226"/>
      <c r="D4940" s="226"/>
      <c r="E4940" s="226"/>
      <c r="F4940" s="226"/>
      <c r="G4940" s="226"/>
      <c r="H4940" s="226"/>
      <c r="I4940" s="9" t="str">
        <f t="shared" si="77"/>
        <v>__</v>
      </c>
    </row>
    <row r="4941" spans="1:9" x14ac:dyDescent="0.35">
      <c r="A4941" s="226"/>
      <c r="B4941" s="226"/>
      <c r="C4941" s="226"/>
      <c r="D4941" s="226"/>
      <c r="E4941" s="226"/>
      <c r="F4941" s="226"/>
      <c r="G4941" s="226"/>
      <c r="H4941" s="226"/>
      <c r="I4941" s="9" t="str">
        <f t="shared" si="77"/>
        <v>__</v>
      </c>
    </row>
    <row r="4942" spans="1:9" x14ac:dyDescent="0.35">
      <c r="A4942" s="226"/>
      <c r="B4942" s="226"/>
      <c r="C4942" s="226"/>
      <c r="D4942" s="226"/>
      <c r="E4942" s="226"/>
      <c r="F4942" s="226"/>
      <c r="G4942" s="226"/>
      <c r="H4942" s="226"/>
      <c r="I4942" s="9" t="str">
        <f t="shared" si="77"/>
        <v>__</v>
      </c>
    </row>
    <row r="4943" spans="1:9" x14ac:dyDescent="0.35">
      <c r="A4943" s="226"/>
      <c r="B4943" s="226"/>
      <c r="C4943" s="226"/>
      <c r="D4943" s="226"/>
      <c r="E4943" s="226"/>
      <c r="F4943" s="226"/>
      <c r="G4943" s="226"/>
      <c r="H4943" s="226"/>
      <c r="I4943" s="9" t="str">
        <f t="shared" si="77"/>
        <v>__</v>
      </c>
    </row>
    <row r="4944" spans="1:9" x14ac:dyDescent="0.35">
      <c r="A4944" s="226"/>
      <c r="B4944" s="226"/>
      <c r="C4944" s="226"/>
      <c r="D4944" s="226"/>
      <c r="E4944" s="226"/>
      <c r="F4944" s="226"/>
      <c r="G4944" s="226"/>
      <c r="H4944" s="226"/>
      <c r="I4944" s="9" t="str">
        <f t="shared" si="77"/>
        <v>__</v>
      </c>
    </row>
    <row r="4945" spans="1:9" x14ac:dyDescent="0.35">
      <c r="A4945" s="226"/>
      <c r="B4945" s="226"/>
      <c r="C4945" s="226"/>
      <c r="D4945" s="226"/>
      <c r="E4945" s="226"/>
      <c r="F4945" s="226"/>
      <c r="G4945" s="226"/>
      <c r="H4945" s="226"/>
      <c r="I4945" s="9" t="str">
        <f t="shared" si="77"/>
        <v>__</v>
      </c>
    </row>
    <row r="4946" spans="1:9" x14ac:dyDescent="0.35">
      <c r="A4946" s="226"/>
      <c r="B4946" s="226"/>
      <c r="C4946" s="226"/>
      <c r="D4946" s="226"/>
      <c r="E4946" s="226"/>
      <c r="F4946" s="226"/>
      <c r="G4946" s="226"/>
      <c r="H4946" s="226"/>
      <c r="I4946" s="9" t="str">
        <f t="shared" si="77"/>
        <v>__</v>
      </c>
    </row>
    <row r="4947" spans="1:9" x14ac:dyDescent="0.35">
      <c r="A4947" s="226"/>
      <c r="B4947" s="226"/>
      <c r="C4947" s="226"/>
      <c r="D4947" s="226"/>
      <c r="E4947" s="226"/>
      <c r="F4947" s="226"/>
      <c r="G4947" s="226"/>
      <c r="H4947" s="226"/>
      <c r="I4947" s="9" t="str">
        <f t="shared" si="77"/>
        <v>__</v>
      </c>
    </row>
    <row r="4948" spans="1:9" x14ac:dyDescent="0.35">
      <c r="A4948" s="226"/>
      <c r="B4948" s="226"/>
      <c r="C4948" s="226"/>
      <c r="D4948" s="226"/>
      <c r="E4948" s="226"/>
      <c r="F4948" s="226"/>
      <c r="G4948" s="226"/>
      <c r="H4948" s="226"/>
      <c r="I4948" s="9" t="str">
        <f t="shared" si="77"/>
        <v>__</v>
      </c>
    </row>
    <row r="4949" spans="1:9" x14ac:dyDescent="0.35">
      <c r="A4949" s="226"/>
      <c r="B4949" s="226"/>
      <c r="C4949" s="226"/>
      <c r="D4949" s="226"/>
      <c r="E4949" s="226"/>
      <c r="F4949" s="226"/>
      <c r="G4949" s="226"/>
      <c r="H4949" s="226"/>
      <c r="I4949" s="9" t="str">
        <f t="shared" si="77"/>
        <v>__</v>
      </c>
    </row>
    <row r="4950" spans="1:9" x14ac:dyDescent="0.35">
      <c r="A4950" s="226"/>
      <c r="B4950" s="226"/>
      <c r="C4950" s="226"/>
      <c r="D4950" s="226"/>
      <c r="E4950" s="226"/>
      <c r="F4950" s="226"/>
      <c r="G4950" s="226"/>
      <c r="H4950" s="226"/>
      <c r="I4950" s="9" t="str">
        <f t="shared" si="77"/>
        <v>__</v>
      </c>
    </row>
    <row r="4951" spans="1:9" x14ac:dyDescent="0.35">
      <c r="A4951" s="226"/>
      <c r="B4951" s="226"/>
      <c r="C4951" s="226"/>
      <c r="D4951" s="226"/>
      <c r="E4951" s="226"/>
      <c r="F4951" s="226"/>
      <c r="G4951" s="226"/>
      <c r="H4951" s="226"/>
      <c r="I4951" s="9" t="str">
        <f t="shared" si="77"/>
        <v>__</v>
      </c>
    </row>
    <row r="4952" spans="1:9" x14ac:dyDescent="0.35">
      <c r="A4952" s="226"/>
      <c r="B4952" s="226"/>
      <c r="C4952" s="226"/>
      <c r="D4952" s="226"/>
      <c r="E4952" s="226"/>
      <c r="F4952" s="226"/>
      <c r="G4952" s="226"/>
      <c r="H4952" s="226"/>
      <c r="I4952" s="9" t="str">
        <f t="shared" si="77"/>
        <v>__</v>
      </c>
    </row>
    <row r="4953" spans="1:9" x14ac:dyDescent="0.35">
      <c r="A4953" s="226"/>
      <c r="B4953" s="226"/>
      <c r="C4953" s="226"/>
      <c r="D4953" s="226"/>
      <c r="E4953" s="226"/>
      <c r="F4953" s="226"/>
      <c r="G4953" s="226"/>
      <c r="H4953" s="226"/>
      <c r="I4953" s="9" t="str">
        <f t="shared" si="77"/>
        <v>__</v>
      </c>
    </row>
    <row r="4954" spans="1:9" x14ac:dyDescent="0.35">
      <c r="A4954" s="226"/>
      <c r="B4954" s="226"/>
      <c r="C4954" s="226"/>
      <c r="D4954" s="226"/>
      <c r="E4954" s="226"/>
      <c r="F4954" s="226"/>
      <c r="G4954" s="226"/>
      <c r="H4954" s="226"/>
      <c r="I4954" s="9" t="str">
        <f t="shared" si="77"/>
        <v>__</v>
      </c>
    </row>
    <row r="4955" spans="1:9" x14ac:dyDescent="0.35">
      <c r="A4955" s="226"/>
      <c r="B4955" s="226"/>
      <c r="C4955" s="226"/>
      <c r="D4955" s="226"/>
      <c r="E4955" s="226"/>
      <c r="F4955" s="226"/>
      <c r="G4955" s="226"/>
      <c r="H4955" s="226"/>
      <c r="I4955" s="9" t="str">
        <f t="shared" si="77"/>
        <v>__</v>
      </c>
    </row>
    <row r="4956" spans="1:9" x14ac:dyDescent="0.35">
      <c r="A4956" s="226"/>
      <c r="B4956" s="226"/>
      <c r="C4956" s="226"/>
      <c r="D4956" s="226"/>
      <c r="E4956" s="226"/>
      <c r="F4956" s="226"/>
      <c r="G4956" s="226"/>
      <c r="H4956" s="226"/>
      <c r="I4956" s="9" t="str">
        <f t="shared" si="77"/>
        <v>__</v>
      </c>
    </row>
    <row r="4957" spans="1:9" x14ac:dyDescent="0.35">
      <c r="A4957" s="226"/>
      <c r="B4957" s="226"/>
      <c r="C4957" s="226"/>
      <c r="D4957" s="226"/>
      <c r="E4957" s="226"/>
      <c r="F4957" s="226"/>
      <c r="G4957" s="226"/>
      <c r="H4957" s="226"/>
      <c r="I4957" s="9" t="str">
        <f t="shared" si="77"/>
        <v>__</v>
      </c>
    </row>
    <row r="4958" spans="1:9" x14ac:dyDescent="0.35">
      <c r="A4958" s="226"/>
      <c r="B4958" s="226"/>
      <c r="C4958" s="226"/>
      <c r="D4958" s="226"/>
      <c r="E4958" s="226"/>
      <c r="F4958" s="226"/>
      <c r="G4958" s="226"/>
      <c r="H4958" s="226"/>
      <c r="I4958" s="9" t="str">
        <f t="shared" si="77"/>
        <v>__</v>
      </c>
    </row>
    <row r="4959" spans="1:9" x14ac:dyDescent="0.35">
      <c r="A4959" s="226"/>
      <c r="B4959" s="226"/>
      <c r="C4959" s="226"/>
      <c r="D4959" s="226"/>
      <c r="E4959" s="226"/>
      <c r="F4959" s="226"/>
      <c r="G4959" s="226"/>
      <c r="H4959" s="226"/>
      <c r="I4959" s="9" t="str">
        <f t="shared" si="77"/>
        <v>__</v>
      </c>
    </row>
    <row r="4960" spans="1:9" x14ac:dyDescent="0.35">
      <c r="A4960" s="226"/>
      <c r="B4960" s="226"/>
      <c r="C4960" s="226"/>
      <c r="D4960" s="226"/>
      <c r="E4960" s="226"/>
      <c r="F4960" s="226"/>
      <c r="G4960" s="226"/>
      <c r="H4960" s="226"/>
      <c r="I4960" s="9" t="str">
        <f t="shared" si="77"/>
        <v>__</v>
      </c>
    </row>
    <row r="4961" spans="1:9" x14ac:dyDescent="0.35">
      <c r="A4961" s="226"/>
      <c r="B4961" s="226"/>
      <c r="C4961" s="226"/>
      <c r="D4961" s="226"/>
      <c r="E4961" s="226"/>
      <c r="F4961" s="226"/>
      <c r="G4961" s="226"/>
      <c r="H4961" s="226"/>
      <c r="I4961" s="9" t="str">
        <f t="shared" si="77"/>
        <v>__</v>
      </c>
    </row>
    <row r="4962" spans="1:9" x14ac:dyDescent="0.35">
      <c r="A4962" s="226"/>
      <c r="B4962" s="226"/>
      <c r="C4962" s="226"/>
      <c r="D4962" s="226"/>
      <c r="E4962" s="226"/>
      <c r="F4962" s="226"/>
      <c r="G4962" s="226"/>
      <c r="H4962" s="226"/>
      <c r="I4962" s="9" t="str">
        <f t="shared" si="77"/>
        <v>__</v>
      </c>
    </row>
    <row r="4963" spans="1:9" x14ac:dyDescent="0.35">
      <c r="A4963" s="226"/>
      <c r="B4963" s="226"/>
      <c r="C4963" s="226"/>
      <c r="D4963" s="226"/>
      <c r="E4963" s="226"/>
      <c r="F4963" s="226"/>
      <c r="G4963" s="226"/>
      <c r="H4963" s="226"/>
      <c r="I4963" s="9" t="str">
        <f t="shared" si="77"/>
        <v>__</v>
      </c>
    </row>
    <row r="4964" spans="1:9" x14ac:dyDescent="0.35">
      <c r="A4964" s="226"/>
      <c r="B4964" s="226"/>
      <c r="C4964" s="226"/>
      <c r="D4964" s="226"/>
      <c r="E4964" s="226"/>
      <c r="F4964" s="226"/>
      <c r="G4964" s="226"/>
      <c r="H4964" s="226"/>
      <c r="I4964" s="9" t="str">
        <f t="shared" si="77"/>
        <v>__</v>
      </c>
    </row>
    <row r="4965" spans="1:9" x14ac:dyDescent="0.35">
      <c r="A4965" s="226"/>
      <c r="B4965" s="226"/>
      <c r="C4965" s="226"/>
      <c r="D4965" s="226"/>
      <c r="E4965" s="226"/>
      <c r="F4965" s="226"/>
      <c r="G4965" s="226"/>
      <c r="H4965" s="226"/>
      <c r="I4965" s="9" t="str">
        <f t="shared" si="77"/>
        <v>__</v>
      </c>
    </row>
    <row r="4966" spans="1:9" x14ac:dyDescent="0.35">
      <c r="A4966" s="226"/>
      <c r="B4966" s="226"/>
      <c r="C4966" s="226"/>
      <c r="D4966" s="226"/>
      <c r="E4966" s="226"/>
      <c r="F4966" s="226"/>
      <c r="G4966" s="226"/>
      <c r="H4966" s="226"/>
      <c r="I4966" s="9" t="str">
        <f t="shared" si="77"/>
        <v>__</v>
      </c>
    </row>
    <row r="4967" spans="1:9" x14ac:dyDescent="0.35">
      <c r="A4967" s="226"/>
      <c r="B4967" s="226"/>
      <c r="C4967" s="226"/>
      <c r="D4967" s="226"/>
      <c r="E4967" s="226"/>
      <c r="F4967" s="226"/>
      <c r="G4967" s="226"/>
      <c r="H4967" s="226"/>
      <c r="I4967" s="9" t="str">
        <f t="shared" si="77"/>
        <v>__</v>
      </c>
    </row>
    <row r="4968" spans="1:9" x14ac:dyDescent="0.35">
      <c r="A4968" s="226"/>
      <c r="B4968" s="226"/>
      <c r="C4968" s="226"/>
      <c r="D4968" s="226"/>
      <c r="E4968" s="226"/>
      <c r="F4968" s="226"/>
      <c r="G4968" s="226"/>
      <c r="H4968" s="226"/>
      <c r="I4968" s="9" t="str">
        <f t="shared" si="77"/>
        <v>__</v>
      </c>
    </row>
    <row r="4969" spans="1:9" x14ac:dyDescent="0.35">
      <c r="A4969" s="226"/>
      <c r="B4969" s="226"/>
      <c r="C4969" s="226"/>
      <c r="D4969" s="226"/>
      <c r="E4969" s="226"/>
      <c r="F4969" s="226"/>
      <c r="G4969" s="226"/>
      <c r="H4969" s="226"/>
      <c r="I4969" s="9" t="str">
        <f t="shared" si="77"/>
        <v>__</v>
      </c>
    </row>
    <row r="4970" spans="1:9" x14ac:dyDescent="0.35">
      <c r="A4970" s="226"/>
      <c r="B4970" s="226"/>
      <c r="C4970" s="226"/>
      <c r="D4970" s="226"/>
      <c r="E4970" s="226"/>
      <c r="F4970" s="226"/>
      <c r="G4970" s="226"/>
      <c r="H4970" s="226"/>
      <c r="I4970" s="9" t="str">
        <f t="shared" si="77"/>
        <v>__</v>
      </c>
    </row>
    <row r="4971" spans="1:9" x14ac:dyDescent="0.35">
      <c r="A4971" s="226"/>
      <c r="B4971" s="226"/>
      <c r="C4971" s="226"/>
      <c r="D4971" s="226"/>
      <c r="E4971" s="226"/>
      <c r="F4971" s="226"/>
      <c r="G4971" s="226"/>
      <c r="H4971" s="226"/>
      <c r="I4971" s="9" t="str">
        <f t="shared" si="77"/>
        <v>__</v>
      </c>
    </row>
    <row r="4972" spans="1:9" x14ac:dyDescent="0.35">
      <c r="A4972" s="226"/>
      <c r="B4972" s="226"/>
      <c r="C4972" s="226"/>
      <c r="D4972" s="226"/>
      <c r="E4972" s="226"/>
      <c r="F4972" s="226"/>
      <c r="G4972" s="226"/>
      <c r="H4972" s="226"/>
      <c r="I4972" s="9" t="str">
        <f t="shared" si="77"/>
        <v>__</v>
      </c>
    </row>
    <row r="4973" spans="1:9" x14ac:dyDescent="0.35">
      <c r="A4973" s="226"/>
      <c r="B4973" s="226"/>
      <c r="C4973" s="226"/>
      <c r="D4973" s="226"/>
      <c r="E4973" s="226"/>
      <c r="F4973" s="226"/>
      <c r="G4973" s="226"/>
      <c r="H4973" s="226"/>
      <c r="I4973" s="9" t="str">
        <f t="shared" si="77"/>
        <v>__</v>
      </c>
    </row>
    <row r="4974" spans="1:9" x14ac:dyDescent="0.35">
      <c r="A4974" s="226"/>
      <c r="B4974" s="226"/>
      <c r="C4974" s="226"/>
      <c r="D4974" s="226"/>
      <c r="E4974" s="226"/>
      <c r="F4974" s="226"/>
      <c r="G4974" s="226"/>
      <c r="H4974" s="226"/>
      <c r="I4974" s="9" t="str">
        <f t="shared" si="77"/>
        <v>__</v>
      </c>
    </row>
    <row r="4975" spans="1:9" x14ac:dyDescent="0.35">
      <c r="A4975" s="226"/>
      <c r="B4975" s="226"/>
      <c r="C4975" s="226"/>
      <c r="D4975" s="226"/>
      <c r="E4975" s="226"/>
      <c r="F4975" s="226"/>
      <c r="G4975" s="226"/>
      <c r="H4975" s="226"/>
      <c r="I4975" s="9" t="str">
        <f t="shared" si="77"/>
        <v>__</v>
      </c>
    </row>
    <row r="4976" spans="1:9" x14ac:dyDescent="0.35">
      <c r="A4976" s="226"/>
      <c r="B4976" s="226"/>
      <c r="C4976" s="226"/>
      <c r="D4976" s="226"/>
      <c r="E4976" s="226"/>
      <c r="F4976" s="226"/>
      <c r="G4976" s="226"/>
      <c r="H4976" s="226"/>
      <c r="I4976" s="9" t="str">
        <f t="shared" si="77"/>
        <v>__</v>
      </c>
    </row>
    <row r="4977" spans="1:9" x14ac:dyDescent="0.35">
      <c r="A4977" s="226"/>
      <c r="B4977" s="226"/>
      <c r="C4977" s="226"/>
      <c r="D4977" s="226"/>
      <c r="E4977" s="226"/>
      <c r="F4977" s="226"/>
      <c r="G4977" s="226"/>
      <c r="H4977" s="226"/>
      <c r="I4977" s="9" t="str">
        <f t="shared" si="77"/>
        <v>__</v>
      </c>
    </row>
    <row r="4978" spans="1:9" x14ac:dyDescent="0.35">
      <c r="A4978" s="226"/>
      <c r="B4978" s="226"/>
      <c r="C4978" s="226"/>
      <c r="D4978" s="226"/>
      <c r="E4978" s="226"/>
      <c r="F4978" s="226"/>
      <c r="G4978" s="226"/>
      <c r="H4978" s="226"/>
      <c r="I4978" s="9" t="str">
        <f t="shared" si="77"/>
        <v>__</v>
      </c>
    </row>
    <row r="4979" spans="1:9" x14ac:dyDescent="0.35">
      <c r="A4979" s="226"/>
      <c r="B4979" s="226"/>
      <c r="C4979" s="226"/>
      <c r="D4979" s="226"/>
      <c r="E4979" s="226"/>
      <c r="F4979" s="226"/>
      <c r="G4979" s="226"/>
      <c r="H4979" s="226"/>
      <c r="I4979" s="9" t="str">
        <f t="shared" si="77"/>
        <v>__</v>
      </c>
    </row>
    <row r="4980" spans="1:9" x14ac:dyDescent="0.35">
      <c r="A4980" s="226"/>
      <c r="B4980" s="226"/>
      <c r="C4980" s="226"/>
      <c r="D4980" s="226"/>
      <c r="E4980" s="226"/>
      <c r="F4980" s="226"/>
      <c r="G4980" s="226"/>
      <c r="H4980" s="226"/>
      <c r="I4980" s="9" t="str">
        <f t="shared" si="77"/>
        <v>__</v>
      </c>
    </row>
    <row r="4981" spans="1:9" x14ac:dyDescent="0.35">
      <c r="A4981" s="226"/>
      <c r="B4981" s="226"/>
      <c r="C4981" s="226"/>
      <c r="D4981" s="226"/>
      <c r="E4981" s="226"/>
      <c r="F4981" s="226"/>
      <c r="G4981" s="226"/>
      <c r="H4981" s="226"/>
      <c r="I4981" s="9" t="str">
        <f t="shared" si="77"/>
        <v>__</v>
      </c>
    </row>
    <row r="4982" spans="1:9" x14ac:dyDescent="0.35">
      <c r="A4982" s="226"/>
      <c r="B4982" s="226"/>
      <c r="C4982" s="226"/>
      <c r="D4982" s="226"/>
      <c r="E4982" s="226"/>
      <c r="F4982" s="226"/>
      <c r="G4982" s="226"/>
      <c r="H4982" s="226"/>
      <c r="I4982" s="9" t="str">
        <f t="shared" si="77"/>
        <v>__</v>
      </c>
    </row>
    <row r="4983" spans="1:9" x14ac:dyDescent="0.35">
      <c r="A4983" s="226"/>
      <c r="B4983" s="226"/>
      <c r="C4983" s="226"/>
      <c r="D4983" s="226"/>
      <c r="E4983" s="226"/>
      <c r="F4983" s="226"/>
      <c r="G4983" s="226"/>
      <c r="H4983" s="226"/>
      <c r="I4983" s="9" t="str">
        <f t="shared" si="77"/>
        <v>__</v>
      </c>
    </row>
    <row r="4984" spans="1:9" x14ac:dyDescent="0.35">
      <c r="A4984" s="226"/>
      <c r="B4984" s="226"/>
      <c r="C4984" s="226"/>
      <c r="D4984" s="226"/>
      <c r="E4984" s="226"/>
      <c r="F4984" s="226"/>
      <c r="G4984" s="226"/>
      <c r="H4984" s="226"/>
      <c r="I4984" s="9" t="str">
        <f t="shared" si="77"/>
        <v>__</v>
      </c>
    </row>
    <row r="4985" spans="1:9" x14ac:dyDescent="0.35">
      <c r="A4985" s="226"/>
      <c r="B4985" s="226"/>
      <c r="C4985" s="226"/>
      <c r="D4985" s="226"/>
      <c r="E4985" s="226"/>
      <c r="F4985" s="226"/>
      <c r="G4985" s="226"/>
      <c r="H4985" s="226"/>
      <c r="I4985" s="9" t="str">
        <f t="shared" si="77"/>
        <v>__</v>
      </c>
    </row>
    <row r="4986" spans="1:9" x14ac:dyDescent="0.35">
      <c r="A4986" s="226"/>
      <c r="B4986" s="226"/>
      <c r="C4986" s="226"/>
      <c r="D4986" s="226"/>
      <c r="E4986" s="226"/>
      <c r="F4986" s="226"/>
      <c r="G4986" s="226"/>
      <c r="H4986" s="226"/>
      <c r="I4986" s="9" t="str">
        <f t="shared" si="77"/>
        <v>__</v>
      </c>
    </row>
    <row r="4987" spans="1:9" x14ac:dyDescent="0.35">
      <c r="A4987" s="226"/>
      <c r="B4987" s="226"/>
      <c r="C4987" s="226"/>
      <c r="D4987" s="226"/>
      <c r="E4987" s="226"/>
      <c r="F4987" s="226"/>
      <c r="G4987" s="226"/>
      <c r="H4987" s="226"/>
      <c r="I4987" s="9" t="str">
        <f t="shared" si="77"/>
        <v>__</v>
      </c>
    </row>
    <row r="4988" spans="1:9" x14ac:dyDescent="0.35">
      <c r="A4988" s="226"/>
      <c r="B4988" s="226"/>
      <c r="C4988" s="226"/>
      <c r="D4988" s="226"/>
      <c r="E4988" s="226"/>
      <c r="F4988" s="226"/>
      <c r="G4988" s="226"/>
      <c r="H4988" s="226"/>
      <c r="I4988" s="9" t="str">
        <f t="shared" si="77"/>
        <v>__</v>
      </c>
    </row>
    <row r="4989" spans="1:9" x14ac:dyDescent="0.35">
      <c r="A4989" s="226"/>
      <c r="B4989" s="226"/>
      <c r="C4989" s="226"/>
      <c r="D4989" s="226"/>
      <c r="E4989" s="226"/>
      <c r="F4989" s="226"/>
      <c r="G4989" s="226"/>
      <c r="H4989" s="226"/>
      <c r="I4989" s="9" t="str">
        <f t="shared" si="77"/>
        <v>__</v>
      </c>
    </row>
    <row r="4990" spans="1:9" x14ac:dyDescent="0.35">
      <c r="A4990" s="226"/>
      <c r="B4990" s="226"/>
      <c r="C4990" s="226"/>
      <c r="D4990" s="226"/>
      <c r="E4990" s="226"/>
      <c r="F4990" s="226"/>
      <c r="G4990" s="226"/>
      <c r="H4990" s="226"/>
      <c r="I4990" s="9" t="str">
        <f t="shared" si="77"/>
        <v>__</v>
      </c>
    </row>
    <row r="4991" spans="1:9" x14ac:dyDescent="0.35">
      <c r="A4991" s="226"/>
      <c r="B4991" s="226"/>
      <c r="C4991" s="226"/>
      <c r="D4991" s="226"/>
      <c r="E4991" s="226"/>
      <c r="F4991" s="226"/>
      <c r="G4991" s="226"/>
      <c r="H4991" s="226"/>
      <c r="I4991" s="9" t="str">
        <f t="shared" si="77"/>
        <v>__</v>
      </c>
    </row>
    <row r="4992" spans="1:9" x14ac:dyDescent="0.35">
      <c r="A4992" s="226"/>
      <c r="B4992" s="226"/>
      <c r="C4992" s="226"/>
      <c r="D4992" s="226"/>
      <c r="E4992" s="226"/>
      <c r="F4992" s="226"/>
      <c r="G4992" s="226"/>
      <c r="H4992" s="226"/>
      <c r="I4992" s="9" t="str">
        <f t="shared" si="77"/>
        <v>__</v>
      </c>
    </row>
    <row r="4993" spans="1:9" x14ac:dyDescent="0.35">
      <c r="A4993" s="226"/>
      <c r="B4993" s="226"/>
      <c r="C4993" s="226"/>
      <c r="D4993" s="226"/>
      <c r="E4993" s="226"/>
      <c r="F4993" s="226"/>
      <c r="G4993" s="226"/>
      <c r="H4993" s="226"/>
      <c r="I4993" s="9" t="str">
        <f t="shared" si="77"/>
        <v>__</v>
      </c>
    </row>
    <row r="4994" spans="1:9" x14ac:dyDescent="0.35">
      <c r="A4994" s="226"/>
      <c r="B4994" s="226"/>
      <c r="C4994" s="226"/>
      <c r="D4994" s="226"/>
      <c r="E4994" s="226"/>
      <c r="F4994" s="226"/>
      <c r="G4994" s="226"/>
      <c r="H4994" s="226"/>
      <c r="I4994" s="9" t="str">
        <f t="shared" si="77"/>
        <v>__</v>
      </c>
    </row>
    <row r="4995" spans="1:9" x14ac:dyDescent="0.35">
      <c r="A4995" s="226"/>
      <c r="B4995" s="226"/>
      <c r="C4995" s="226"/>
      <c r="D4995" s="226"/>
      <c r="E4995" s="226"/>
      <c r="F4995" s="226"/>
      <c r="G4995" s="226"/>
      <c r="H4995" s="226"/>
      <c r="I4995" s="9" t="str">
        <f t="shared" si="77"/>
        <v>__</v>
      </c>
    </row>
    <row r="4996" spans="1:9" x14ac:dyDescent="0.35">
      <c r="A4996" s="226"/>
      <c r="B4996" s="226"/>
      <c r="C4996" s="226"/>
      <c r="D4996" s="226"/>
      <c r="E4996" s="226"/>
      <c r="F4996" s="226"/>
      <c r="G4996" s="226"/>
      <c r="H4996" s="226"/>
      <c r="I4996" s="9" t="str">
        <f t="shared" si="77"/>
        <v>__</v>
      </c>
    </row>
    <row r="4997" spans="1:9" x14ac:dyDescent="0.35">
      <c r="A4997" s="226"/>
      <c r="B4997" s="226"/>
      <c r="C4997" s="226"/>
      <c r="D4997" s="226"/>
      <c r="E4997" s="226"/>
      <c r="F4997" s="226"/>
      <c r="G4997" s="226"/>
      <c r="H4997" s="226"/>
      <c r="I4997" s="9" t="str">
        <f t="shared" ref="I4997:I5000" si="78">CONCATENATE(A4997,"_",B4997,"_",C4997)</f>
        <v>__</v>
      </c>
    </row>
    <row r="4998" spans="1:9" x14ac:dyDescent="0.35">
      <c r="A4998" s="226"/>
      <c r="B4998" s="226"/>
      <c r="C4998" s="226"/>
      <c r="D4998" s="226"/>
      <c r="E4998" s="226"/>
      <c r="F4998" s="226"/>
      <c r="G4998" s="226"/>
      <c r="H4998" s="226"/>
      <c r="I4998" s="9" t="str">
        <f t="shared" si="78"/>
        <v>__</v>
      </c>
    </row>
    <row r="4999" spans="1:9" x14ac:dyDescent="0.35">
      <c r="A4999" s="226"/>
      <c r="B4999" s="226"/>
      <c r="C4999" s="226"/>
      <c r="D4999" s="226"/>
      <c r="E4999" s="226"/>
      <c r="F4999" s="226"/>
      <c r="G4999" s="226"/>
      <c r="H4999" s="226"/>
      <c r="I4999" s="9" t="str">
        <f t="shared" si="78"/>
        <v>__</v>
      </c>
    </row>
    <row r="5000" spans="1:9" x14ac:dyDescent="0.35">
      <c r="A5000" s="226"/>
      <c r="B5000" s="226"/>
      <c r="C5000" s="226"/>
      <c r="D5000" s="226"/>
      <c r="E5000" s="226"/>
      <c r="F5000" s="226"/>
      <c r="G5000" s="226"/>
      <c r="H5000" s="226"/>
      <c r="I5000" s="9" t="str">
        <f t="shared" si="78"/>
        <v>__</v>
      </c>
    </row>
  </sheetData>
  <sheetProtection algorithmName="SHA-512" hashValue="1kpJkzu+H3SDgB9Eo+D5Eu/To8AqtDkDUppgQq/+NIsdzY8S2KY6/AlLUTsgkX5iUUU7bvuvasJvtJCj1dRtdw==" saltValue="Ou71qQJTfIV0KkeLh1SLbQ==" spinCount="100000" sheet="1" objects="1" scenarios="1" formatColumns="0" formatRows="0"/>
  <autoFilter ref="A3:H1389" xr:uid="{DAD7F93F-CFA3-48CB-88FE-B6F6F13C7D23}"/>
  <conditionalFormatting sqref="A1:A1048576">
    <cfRule type="duplicateValues" dxfId="13" priority="4"/>
  </conditionalFormatting>
  <conditionalFormatting sqref="A1:N5000">
    <cfRule type="expression" dxfId="12" priority="1">
      <formula>CELL("protect",A1)=0</formula>
    </cfRule>
    <cfRule type="expression" dxfId="11" priority="2">
      <formula>_xlfn.ISFORMULA(A1)</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93924-5544-4536-B39E-5270835DEE4F}">
  <sheetPr codeName="Sheet16">
    <tabColor theme="2" tint="-0.249977111117893"/>
  </sheetPr>
  <dimension ref="A2:R2954"/>
  <sheetViews>
    <sheetView zoomScaleNormal="100" workbookViewId="0">
      <pane xSplit="1" ySplit="2" topLeftCell="E3" activePane="bottomRight" state="frozen"/>
      <selection pane="topRight" activeCell="B1" sqref="B1"/>
      <selection pane="bottomLeft" activeCell="A3" sqref="A3"/>
      <selection pane="bottomRight"/>
    </sheetView>
  </sheetViews>
  <sheetFormatPr defaultRowHeight="14.5" x14ac:dyDescent="0.35"/>
  <cols>
    <col min="1" max="1" width="43.6328125" bestFit="1" customWidth="1"/>
    <col min="2" max="2" width="9.90625" bestFit="1" customWidth="1"/>
    <col min="3" max="3" width="37.08984375" bestFit="1" customWidth="1"/>
    <col min="4" max="4" width="10.36328125" bestFit="1" customWidth="1"/>
    <col min="5" max="5" width="74.36328125" bestFit="1" customWidth="1"/>
    <col min="6" max="6" width="34.54296875" customWidth="1"/>
    <col min="7" max="7" width="42.08984375" bestFit="1" customWidth="1"/>
    <col min="8" max="8" width="12.08984375" style="9" bestFit="1" customWidth="1"/>
    <col min="9" max="9" width="13.08984375" style="289" customWidth="1"/>
    <col min="10" max="10" width="9.08984375" style="9" customWidth="1"/>
    <col min="11" max="11" width="8.453125" style="9" customWidth="1"/>
    <col min="12" max="12" width="8.36328125" style="9" customWidth="1"/>
    <col min="13" max="13" width="16.36328125" style="9" customWidth="1"/>
    <col min="14" max="14" width="8.6328125" style="9" customWidth="1"/>
    <col min="15" max="16" width="34.36328125" style="9" bestFit="1" customWidth="1"/>
    <col min="18" max="18" width="21.81640625" bestFit="1" customWidth="1"/>
  </cols>
  <sheetData>
    <row r="2" spans="1:18" ht="29" x14ac:dyDescent="0.35">
      <c r="A2" s="122" t="s">
        <v>1127</v>
      </c>
      <c r="B2" s="122" t="s">
        <v>1128</v>
      </c>
      <c r="C2" s="122" t="s">
        <v>4310</v>
      </c>
      <c r="D2" s="122" t="s">
        <v>1129</v>
      </c>
      <c r="E2" s="122" t="s">
        <v>4450</v>
      </c>
      <c r="F2" s="228" t="s">
        <v>1140</v>
      </c>
      <c r="G2" s="228" t="s">
        <v>1141</v>
      </c>
      <c r="H2" s="228" t="s">
        <v>1134</v>
      </c>
      <c r="I2" s="122" t="s">
        <v>1424</v>
      </c>
      <c r="J2" s="122" t="s">
        <v>1425</v>
      </c>
      <c r="K2" s="228" t="s">
        <v>1135</v>
      </c>
      <c r="L2" s="228" t="s">
        <v>1136</v>
      </c>
      <c r="M2" s="122" t="s">
        <v>1139</v>
      </c>
      <c r="N2" s="228" t="s">
        <v>2252</v>
      </c>
      <c r="O2" s="228" t="s">
        <v>2738</v>
      </c>
      <c r="P2" s="228" t="s">
        <v>2739</v>
      </c>
      <c r="Q2" s="228" t="s">
        <v>4379</v>
      </c>
      <c r="R2" s="122" t="s">
        <v>4487</v>
      </c>
    </row>
    <row r="3" spans="1:18" x14ac:dyDescent="0.35">
      <c r="A3" t="s">
        <v>2868</v>
      </c>
      <c r="E3" t="str">
        <f>_xlfn.XLOOKUP(F3,'Raw Data'!$I$4:$I$5000,'Raw Data'!$D$4:$D$5000,"*** Mnemonic not found ***",0)</f>
        <v>*** Mnemonic not found ***</v>
      </c>
      <c r="F3" t="str">
        <f t="shared" ref="F3" si="0">CONCATENATE(A3,"_",B3,"_",D3)</f>
        <v>SUCMCONAME__</v>
      </c>
      <c r="G3" t="s">
        <v>357</v>
      </c>
      <c r="H3" s="9" t="s">
        <v>1137</v>
      </c>
      <c r="I3" s="289">
        <f>ROW(section_summary)</f>
        <v>8</v>
      </c>
      <c r="J3" s="9">
        <v>2</v>
      </c>
      <c r="K3" s="9">
        <f>I3+J3</f>
        <v>10</v>
      </c>
      <c r="L3" s="9" t="s">
        <v>1124</v>
      </c>
      <c r="M3" s="9" t="str">
        <f t="shared" ref="M3:M78" si="1">CONCATENATE(H3,"!",L3,K3)</f>
        <v>Input!F10</v>
      </c>
      <c r="N3" s="9">
        <f>_xlfn.XLOOKUP(F3,'Raw Data'!$I$4:$I$5000,'Raw Data'!$E$4:$E$5000,100,0)</f>
        <v>100</v>
      </c>
      <c r="O3" s="9" t="str">
        <f>IF(N3=0,_xlfn.XLOOKUP(F3,'Raw Data'!$I$4:$I$5000,'Raw Data'!$H$4:$H$5000,"",0),"")</f>
        <v/>
      </c>
      <c r="P3" s="9" t="str" cm="1">
        <f t="array" aca="1" ref="P3" ca="1">IF(INDIRECT(M3) = "","",INDIRECT(M3))</f>
        <v/>
      </c>
      <c r="Q3" s="359" t="s">
        <v>4380</v>
      </c>
    </row>
    <row r="4" spans="1:18" x14ac:dyDescent="0.35">
      <c r="A4" t="s">
        <v>2878</v>
      </c>
      <c r="E4" t="str">
        <f>_xlfn.XLOOKUP(F4,'Raw Data'!$I$4:$I$5000,'Raw Data'!$D$4:$D$5000,"*** Mnemonic not found ***",0)</f>
        <v>*** Mnemonic not found ***</v>
      </c>
      <c r="F4" t="str">
        <f t="shared" ref="F4:F68" si="2">CONCATENATE(A4,"_",B4,"_",D4)</f>
        <v>SUCMINFO__</v>
      </c>
      <c r="H4" s="9" t="s">
        <v>1137</v>
      </c>
      <c r="K4" s="9">
        <f>K3+1</f>
        <v>11</v>
      </c>
      <c r="L4" s="9" t="str">
        <f>L3</f>
        <v>F</v>
      </c>
      <c r="M4" s="9" t="str">
        <f t="shared" si="1"/>
        <v>Input!F11</v>
      </c>
      <c r="N4" s="9">
        <f>_xlfn.XLOOKUP(F4,'Raw Data'!$I$4:$I$5000,'Raw Data'!$E$4:$E$5000,100,0)</f>
        <v>100</v>
      </c>
      <c r="O4" s="9" t="str">
        <f>IF(N4=0,_xlfn.XLOOKUP(F4,'Raw Data'!$I$4:$I$5000,'Raw Data'!$H$4:$H$5000,"",0),"")</f>
        <v/>
      </c>
      <c r="P4" s="9" t="str" cm="1">
        <f t="array" aca="1" ref="P4" ca="1">IF(INDIRECT(M4) = "","",INDIRECT(M4))</f>
        <v/>
      </c>
      <c r="Q4" s="359" t="s">
        <v>4380</v>
      </c>
    </row>
    <row r="5" spans="1:18" x14ac:dyDescent="0.35">
      <c r="A5" s="694" t="s">
        <v>4483</v>
      </c>
      <c r="E5" t="str">
        <f>_xlfn.XLOOKUP(F5,'Raw Data'!$I$4:$I$5000,'Raw Data'!$D$4:$D$5000,"*** Mnemonic not found ***",0)</f>
        <v>*** Mnemonic not found ***</v>
      </c>
      <c r="F5" t="str">
        <f t="shared" si="2"/>
        <v>SUCMREVTYPE__</v>
      </c>
      <c r="H5" s="9" t="s">
        <v>1137</v>
      </c>
      <c r="K5" s="9">
        <f>K4</f>
        <v>11</v>
      </c>
      <c r="L5" s="9" t="s">
        <v>1144</v>
      </c>
      <c r="M5" s="9" t="str">
        <f t="shared" si="1"/>
        <v>Input!H11</v>
      </c>
      <c r="N5" s="9">
        <f>_xlfn.XLOOKUP(F5,'Raw Data'!$I$4:$I$5000,'Raw Data'!$E$4:$E$5000,100,0)</f>
        <v>100</v>
      </c>
      <c r="O5" s="9" t="str">
        <f>IF(N5=0,_xlfn.XLOOKUP(F5,'Raw Data'!$I$4:$I$5000,'Raw Data'!$H$4:$H$5000,"",0),"")</f>
        <v/>
      </c>
      <c r="P5" s="9" t="str" cm="1">
        <f t="array" aca="1" ref="P5" ca="1">IF(INDIRECT(M5) = "","",INDIRECT(M5))</f>
        <v>Actual</v>
      </c>
      <c r="Q5" s="359" t="s">
        <v>4380</v>
      </c>
      <c r="R5" t="s">
        <v>4169</v>
      </c>
    </row>
    <row r="6" spans="1:18" x14ac:dyDescent="0.35">
      <c r="A6" s="694" t="s">
        <v>4484</v>
      </c>
      <c r="E6" t="str">
        <f>_xlfn.XLOOKUP(F6,'Raw Data'!$I$4:$I$5000,'Raw Data'!$D$4:$D$5000,"*** Mnemonic not found ***",0)</f>
        <v>*** Mnemonic not found ***</v>
      </c>
      <c r="F6" t="str">
        <f t="shared" si="2"/>
        <v>SUCMREGION__</v>
      </c>
      <c r="H6" s="9" t="s">
        <v>1137</v>
      </c>
      <c r="K6" s="9">
        <f>K5</f>
        <v>11</v>
      </c>
      <c r="L6" s="9" t="s">
        <v>1376</v>
      </c>
      <c r="M6" s="9" t="str">
        <f t="shared" ref="M6" si="3">CONCATENATE(H6,"!",L6,K6)</f>
        <v>Input!J11</v>
      </c>
      <c r="N6" s="9">
        <f>_xlfn.XLOOKUP(F6,'Raw Data'!$I$4:$I$5000,'Raw Data'!$E$4:$E$5000,100,0)</f>
        <v>100</v>
      </c>
      <c r="O6" s="9" t="str">
        <f>IF(N6=0,_xlfn.XLOOKUP(F6,'Raw Data'!$I$4:$I$5000,'Raw Data'!$H$4:$H$5000,"",0),"")</f>
        <v/>
      </c>
      <c r="P6" s="9" t="str" cm="1">
        <f t="array" aca="1" ref="P6" ca="1">IF(INDIRECT(M6) = "","",INDIRECT(M6))</f>
        <v/>
      </c>
      <c r="Q6" s="359" t="s">
        <v>4380</v>
      </c>
      <c r="R6" t="s">
        <v>4170</v>
      </c>
    </row>
    <row r="7" spans="1:18" x14ac:dyDescent="0.35">
      <c r="A7" t="s">
        <v>2875</v>
      </c>
      <c r="E7" t="str">
        <f>_xlfn.XLOOKUP(F7,'Raw Data'!$I$4:$I$5000,'Raw Data'!$D$4:$D$5000,"*** Mnemonic not found ***",0)</f>
        <v>*** Mnemonic not found ***</v>
      </c>
      <c r="F7" t="str">
        <f t="shared" si="2"/>
        <v>SUCMDOMCNTRY__</v>
      </c>
      <c r="H7" s="9" t="s">
        <v>1137</v>
      </c>
      <c r="K7" s="9">
        <f>K4</f>
        <v>11</v>
      </c>
      <c r="L7" s="9" t="s">
        <v>1378</v>
      </c>
      <c r="M7" s="9" t="str">
        <f t="shared" si="1"/>
        <v>Input!L11</v>
      </c>
      <c r="N7" s="9">
        <f>_xlfn.XLOOKUP(F7,'Raw Data'!$I$4:$I$5000,'Raw Data'!$E$4:$E$5000,100,0)</f>
        <v>100</v>
      </c>
      <c r="O7" s="9" t="str">
        <f>IF(N7=0,_xlfn.XLOOKUP(F7,'Raw Data'!$I$4:$I$5000,'Raw Data'!$H$4:$H$5000,"",0),"")</f>
        <v/>
      </c>
      <c r="P7" s="9" t="str" cm="1">
        <f t="array" aca="1" ref="P7" ca="1">IF(INDIRECT(M7) = "","",INDIRECT(M7))</f>
        <v/>
      </c>
      <c r="Q7" s="359" t="s">
        <v>4380</v>
      </c>
    </row>
    <row r="8" spans="1:18" x14ac:dyDescent="0.35">
      <c r="A8" t="s">
        <v>2876</v>
      </c>
      <c r="E8" t="str">
        <f>_xlfn.XLOOKUP(F8,'Raw Data'!$I$4:$I$5000,'Raw Data'!$D$4:$D$5000,"*** Mnemonic not found ***",0)</f>
        <v>*** Mnemonic not found ***</v>
      </c>
      <c r="F8" t="str">
        <f t="shared" si="2"/>
        <v>SUCMCURRENCY__</v>
      </c>
      <c r="H8" s="9" t="s">
        <v>1137</v>
      </c>
      <c r="K8" s="9">
        <f>K7+1</f>
        <v>12</v>
      </c>
      <c r="L8" s="9" t="s">
        <v>1124</v>
      </c>
      <c r="M8" s="9" t="str">
        <f t="shared" si="1"/>
        <v>Input!F12</v>
      </c>
      <c r="N8" s="9">
        <f>_xlfn.XLOOKUP(F8,'Raw Data'!$I$4:$I$5000,'Raw Data'!$E$4:$E$5000,100,0)</f>
        <v>100</v>
      </c>
      <c r="O8" s="9" t="str">
        <f>IF(N8=0,_xlfn.XLOOKUP(F8,'Raw Data'!$I$4:$I$5000,'Raw Data'!$H$4:$H$5000,"",0),"")</f>
        <v/>
      </c>
      <c r="P8" s="9" t="str" cm="1">
        <f t="array" aca="1" ref="P8" ca="1">IF(INDIRECT(M8) = "","",INDIRECT(M8))</f>
        <v>USD</v>
      </c>
      <c r="Q8" s="359" t="s">
        <v>4380</v>
      </c>
    </row>
    <row r="9" spans="1:18" x14ac:dyDescent="0.35">
      <c r="A9" t="s">
        <v>3664</v>
      </c>
      <c r="E9" t="str">
        <f>_xlfn.XLOOKUP(F9,'Raw Data'!$I$4:$I$5000,'Raw Data'!$D$4:$D$5000,"*** Mnemonic not found ***",0)</f>
        <v>*** Mnemonic not found ***</v>
      </c>
      <c r="F9" t="str">
        <f t="shared" si="2"/>
        <v>SUCMUSDEXRATE__</v>
      </c>
      <c r="H9" s="9" t="s">
        <v>1137</v>
      </c>
      <c r="K9" s="9">
        <f>K8</f>
        <v>12</v>
      </c>
      <c r="L9" s="9" t="s">
        <v>1144</v>
      </c>
      <c r="M9" s="9" t="str">
        <f t="shared" ref="M9" si="4">CONCATENATE(H9,"!",L9,K9)</f>
        <v>Input!H12</v>
      </c>
      <c r="N9" s="9">
        <f>_xlfn.XLOOKUP(F9,'Raw Data'!$I$4:$I$5000,'Raw Data'!$E$4:$E$5000,100,0)</f>
        <v>100</v>
      </c>
      <c r="O9" s="9" t="str">
        <f>IF(N9=0,_xlfn.XLOOKUP(F9,'Raw Data'!$I$4:$I$5000,'Raw Data'!$H$4:$H$5000,"",0),"")</f>
        <v/>
      </c>
      <c r="P9" s="9" cm="1">
        <f t="array" aca="1" ref="P9" ca="1">IF(INDIRECT(M9) = "","",INDIRECT(M9))</f>
        <v>1</v>
      </c>
      <c r="Q9" s="359" t="s">
        <v>4381</v>
      </c>
    </row>
    <row r="10" spans="1:18" x14ac:dyDescent="0.35">
      <c r="A10" t="s">
        <v>2877</v>
      </c>
      <c r="E10" t="str">
        <f>_xlfn.XLOOKUP(F10,'Raw Data'!$I$4:$I$5000,'Raw Data'!$D$4:$D$5000,"*** Mnemonic not found ***",0)</f>
        <v>*** Mnemonic not found ***</v>
      </c>
      <c r="F10" t="str">
        <f t="shared" si="2"/>
        <v>SUCMUNITS__</v>
      </c>
      <c r="H10" s="9" t="s">
        <v>1137</v>
      </c>
      <c r="K10" s="9">
        <f>K8</f>
        <v>12</v>
      </c>
      <c r="L10" s="9" t="s">
        <v>1376</v>
      </c>
      <c r="M10" s="9" t="str">
        <f t="shared" si="1"/>
        <v>Input!J12</v>
      </c>
      <c r="N10" s="9">
        <f>_xlfn.XLOOKUP(F10,'Raw Data'!$I$4:$I$5000,'Raw Data'!$E$4:$E$5000,100,0)</f>
        <v>100</v>
      </c>
      <c r="O10" s="9" t="str">
        <f>IF(N10=0,_xlfn.XLOOKUP(F10,'Raw Data'!$I$4:$I$5000,'Raw Data'!$H$4:$H$5000,"",0),"")</f>
        <v/>
      </c>
      <c r="P10" s="9" t="str" cm="1">
        <f t="array" aca="1" ref="P10" ca="1">IF(INDIRECT(M10) = "","",INDIRECT(M10))</f>
        <v>Millions</v>
      </c>
      <c r="Q10" s="359" t="s">
        <v>4380</v>
      </c>
    </row>
    <row r="11" spans="1:18" x14ac:dyDescent="0.35">
      <c r="A11" s="694" t="s">
        <v>4485</v>
      </c>
      <c r="E11" t="str">
        <f>_xlfn.XLOOKUP(F11,'Raw Data'!$I$4:$I$5000,'Raw Data'!$D$4:$D$5000,"*** Mnemonic not found ***",0)</f>
        <v>*** Mnemonic not found ***</v>
      </c>
      <c r="F11" t="str">
        <f t="shared" si="2"/>
        <v>SUCMSECTOR__</v>
      </c>
      <c r="H11" s="9" t="s">
        <v>1137</v>
      </c>
      <c r="K11" s="9">
        <f>K9</f>
        <v>12</v>
      </c>
      <c r="L11" s="9" t="s">
        <v>1378</v>
      </c>
      <c r="M11" s="9" t="str">
        <f t="shared" ref="M11" si="5">CONCATENATE(H11,"!",L11,K11)</f>
        <v>Input!L12</v>
      </c>
      <c r="N11" s="9">
        <f>_xlfn.XLOOKUP(F11,'Raw Data'!$I$4:$I$5000,'Raw Data'!$E$4:$E$5000,100,0)</f>
        <v>100</v>
      </c>
      <c r="O11" s="9" t="str">
        <f>IF(N11=0,_xlfn.XLOOKUP(F11,'Raw Data'!$I$4:$I$5000,'Raw Data'!$H$4:$H$5000,"",0),"")</f>
        <v/>
      </c>
      <c r="P11" s="9" t="str" cm="1">
        <f t="array" aca="1" ref="P11" ca="1">IF(INDIRECT(M11) = "","",INDIRECT(M11))</f>
        <v/>
      </c>
      <c r="Q11" s="359" t="s">
        <v>4380</v>
      </c>
      <c r="R11" t="s">
        <v>4171</v>
      </c>
    </row>
    <row r="12" spans="1:18" x14ac:dyDescent="0.35">
      <c r="A12" s="694" t="s">
        <v>4486</v>
      </c>
      <c r="E12" t="str">
        <f>_xlfn.XLOOKUP(F12,'Raw Data'!$I$4:$I$5000,'Raw Data'!$D$4:$D$5000,"*** Mnemonic not found ***",0)</f>
        <v>*** Mnemonic not found ***</v>
      </c>
      <c r="F12" t="str">
        <f t="shared" si="2"/>
        <v>SUCMREPORTINGYEAR__</v>
      </c>
      <c r="H12" s="9" t="s">
        <v>1137</v>
      </c>
      <c r="K12" s="9">
        <f>K11+1</f>
        <v>13</v>
      </c>
      <c r="L12" s="9" t="s">
        <v>1124</v>
      </c>
      <c r="M12" s="9" t="str">
        <f t="shared" ref="M12" si="6">CONCATENATE(H12,"!",L12,K12)</f>
        <v>Input!F13</v>
      </c>
      <c r="N12" s="9">
        <f>_xlfn.XLOOKUP(F12,'Raw Data'!$I$4:$I$5000,'Raw Data'!$E$4:$E$5000,100,0)</f>
        <v>100</v>
      </c>
      <c r="O12" s="9" t="str">
        <f>IF(N12=0,_xlfn.XLOOKUP(F12,'Raw Data'!$I$4:$I$5000,'Raw Data'!$H$4:$H$5000,"",0),"")</f>
        <v/>
      </c>
      <c r="P12" s="9" t="str" cm="1">
        <f t="array" aca="1" ref="P12" ca="1">IF(INDIRECT(M12) = "","",INDIRECT(M12))</f>
        <v/>
      </c>
      <c r="Q12" s="359" t="s">
        <v>4381</v>
      </c>
      <c r="R12" t="s">
        <v>4172</v>
      </c>
    </row>
    <row r="13" spans="1:18" x14ac:dyDescent="0.35">
      <c r="A13" t="s">
        <v>1184</v>
      </c>
      <c r="E13" t="str">
        <f>_xlfn.XLOOKUP(F13,'Raw Data'!$I$4:$I$5000,'Raw Data'!$D$4:$D$5000,"*** Mnemonic not found ***",0)</f>
        <v>*** Mnemonic not found ***</v>
      </c>
      <c r="F13" t="str">
        <f t="shared" si="2"/>
        <v>SUCMTACPHS__</v>
      </c>
      <c r="G13" t="s">
        <v>238</v>
      </c>
      <c r="H13" s="9" t="s">
        <v>1137</v>
      </c>
      <c r="I13" s="289">
        <f>ROW(section_tac)</f>
        <v>15</v>
      </c>
      <c r="J13" s="9">
        <v>2</v>
      </c>
      <c r="K13" s="9">
        <f>I13+J13</f>
        <v>17</v>
      </c>
      <c r="L13" s="9" t="s">
        <v>1124</v>
      </c>
      <c r="M13" s="9" t="str">
        <f t="shared" si="1"/>
        <v>Input!F17</v>
      </c>
      <c r="N13" s="9">
        <f>_xlfn.XLOOKUP(F13,'Raw Data'!$I$4:$I$5000,'Raw Data'!$E$4:$E$5000,100,0)</f>
        <v>100</v>
      </c>
      <c r="O13" s="9" t="str">
        <f>IF(N13=0,_xlfn.XLOOKUP(F13,'Raw Data'!$I$4:$I$5000,'Raw Data'!$H$4:$H$5000,"",0),"")</f>
        <v/>
      </c>
      <c r="P13" s="9" t="str" cm="1">
        <f t="array" aca="1" ref="P13" ca="1">IF(INDIRECT(M13) = "","",INDIRECT(M13))</f>
        <v/>
      </c>
      <c r="Q13" s="359" t="s">
        <v>4381</v>
      </c>
    </row>
    <row r="14" spans="1:18" x14ac:dyDescent="0.35">
      <c r="A14" t="s">
        <v>1185</v>
      </c>
      <c r="E14" t="str">
        <f>_xlfn.XLOOKUP(F14,'Raw Data'!$I$4:$I$5000,'Raw Data'!$D$4:$D$5000,"*** Mnemonic not found ***",0)</f>
        <v>*** Mnemonic not found ***</v>
      </c>
      <c r="F14" t="str">
        <f t="shared" si="2"/>
        <v>SUCMEQMINCONSSUB__</v>
      </c>
      <c r="H14" s="9" t="s">
        <v>1137</v>
      </c>
      <c r="I14" s="289">
        <f>I13</f>
        <v>15</v>
      </c>
      <c r="K14" s="9">
        <f>K13+3</f>
        <v>20</v>
      </c>
      <c r="L14" s="9" t="str">
        <f t="shared" ref="L14:L27" si="7">L13</f>
        <v>F</v>
      </c>
      <c r="M14" s="9" t="str">
        <f t="shared" si="1"/>
        <v>Input!F20</v>
      </c>
      <c r="N14" s="9">
        <f>_xlfn.XLOOKUP(F14,'Raw Data'!$I$4:$I$5000,'Raw Data'!$E$4:$E$5000,100,0)</f>
        <v>100</v>
      </c>
      <c r="O14" s="9" t="str">
        <f>IF(N14=0,_xlfn.XLOOKUP(F14,'Raw Data'!$I$4:$I$5000,'Raw Data'!$H$4:$H$5000,"",0),"")</f>
        <v/>
      </c>
      <c r="P14" s="9" t="str" cm="1">
        <f t="array" aca="1" ref="P14" ca="1">IF(INDIRECT(M14) = "","",INDIRECT(M14))</f>
        <v/>
      </c>
      <c r="Q14" s="359" t="s">
        <v>4381</v>
      </c>
    </row>
    <row r="15" spans="1:18" x14ac:dyDescent="0.35">
      <c r="A15" t="s">
        <v>1186</v>
      </c>
      <c r="E15" t="str">
        <f>_xlfn.XLOOKUP(F15,'Raw Data'!$I$4:$I$5000,'Raw Data'!$D$4:$D$5000,"*** Mnemonic not found ***",0)</f>
        <v>*** Mnemonic not found ***</v>
      </c>
      <c r="F15" t="str">
        <f t="shared" si="2"/>
        <v>SUCMPROPSHDVDNOTACC__</v>
      </c>
      <c r="H15" s="9" t="s">
        <v>1137</v>
      </c>
      <c r="I15" s="289">
        <f t="shared" ref="I15:I51" si="8">I14</f>
        <v>15</v>
      </c>
      <c r="K15" s="9">
        <f>K14+1</f>
        <v>21</v>
      </c>
      <c r="L15" s="9" t="str">
        <f t="shared" si="7"/>
        <v>F</v>
      </c>
      <c r="M15" s="9" t="str">
        <f t="shared" si="1"/>
        <v>Input!F21</v>
      </c>
      <c r="N15" s="9">
        <f>_xlfn.XLOOKUP(F15,'Raw Data'!$I$4:$I$5000,'Raw Data'!$E$4:$E$5000,100,0)</f>
        <v>100</v>
      </c>
      <c r="O15" s="9" t="str">
        <f>IF(N15=0,_xlfn.XLOOKUP(F15,'Raw Data'!$I$4:$I$5000,'Raw Data'!$H$4:$H$5000,"",0),"")</f>
        <v/>
      </c>
      <c r="P15" s="9" t="str" cm="1">
        <f t="array" aca="1" ref="P15" ca="1">IF(INDIRECT(M15) = "","",INDIRECT(M15))</f>
        <v/>
      </c>
      <c r="Q15" s="359" t="s">
        <v>4381</v>
      </c>
    </row>
    <row r="16" spans="1:18" x14ac:dyDescent="0.35">
      <c r="A16" t="s">
        <v>1187</v>
      </c>
      <c r="E16" t="str">
        <f>_xlfn.XLOOKUP(F16,'Raw Data'!$I$4:$I$5000,'Raw Data'!$D$4:$D$5000,"*** Mnemonic not found ***",0)</f>
        <v>*** Mnemonic not found ***</v>
      </c>
      <c r="F16" t="str">
        <f t="shared" si="2"/>
        <v>SUCMOFFBALPENSDEFAFTER__</v>
      </c>
      <c r="H16" s="9" t="s">
        <v>1137</v>
      </c>
      <c r="I16" s="289">
        <f t="shared" si="8"/>
        <v>15</v>
      </c>
      <c r="K16" s="9">
        <f t="shared" ref="K16" si="9">K15+1</f>
        <v>22</v>
      </c>
      <c r="L16" s="9" t="str">
        <f t="shared" si="7"/>
        <v>F</v>
      </c>
      <c r="M16" s="9" t="str">
        <f t="shared" si="1"/>
        <v>Input!F22</v>
      </c>
      <c r="N16" s="9">
        <f>_xlfn.XLOOKUP(F16,'Raw Data'!$I$4:$I$5000,'Raw Data'!$E$4:$E$5000,100,0)</f>
        <v>100</v>
      </c>
      <c r="O16" s="9" t="str">
        <f>IF(N16=0,_xlfn.XLOOKUP(F16,'Raw Data'!$I$4:$I$5000,'Raw Data'!$H$4:$H$5000,"",0),"")</f>
        <v/>
      </c>
      <c r="P16" s="9" t="str" cm="1">
        <f t="array" aca="1" ref="P16" ca="1">IF(INDIRECT(M16) = "","",INDIRECT(M16))</f>
        <v/>
      </c>
      <c r="Q16" s="359" t="s">
        <v>4381</v>
      </c>
    </row>
    <row r="17" spans="1:17" x14ac:dyDescent="0.35">
      <c r="A17" t="s">
        <v>3661</v>
      </c>
      <c r="E17" t="str">
        <f>_xlfn.XLOOKUP(F17,'Raw Data'!$I$4:$I$5000,'Raw Data'!$D$4:$D$5000,"*** Mnemonic not found ***",0)</f>
        <v>*** Mnemonic not found ***</v>
      </c>
      <c r="F17" t="str">
        <f t="shared" si="2"/>
        <v>SUCMOFFBALPENSURP__</v>
      </c>
      <c r="H17" s="9" t="s">
        <v>1137</v>
      </c>
      <c r="I17" s="289">
        <f>I16</f>
        <v>15</v>
      </c>
      <c r="K17" s="9">
        <f>K16+1</f>
        <v>23</v>
      </c>
      <c r="L17" s="9" t="str">
        <f>L16</f>
        <v>F</v>
      </c>
      <c r="M17" s="9" t="str">
        <f t="shared" si="1"/>
        <v>Input!F23</v>
      </c>
      <c r="N17" s="9">
        <f>_xlfn.XLOOKUP(F17,'Raw Data'!$I$4:$I$5000,'Raw Data'!$E$4:$E$5000,100,0)</f>
        <v>100</v>
      </c>
      <c r="O17" s="9" t="str">
        <f>IF(N17=0,_xlfn.XLOOKUP(F17,'Raw Data'!$I$4:$I$5000,'Raw Data'!$H$4:$H$5000,"",0),"")</f>
        <v/>
      </c>
      <c r="P17" s="9" t="str" cm="1">
        <f t="array" aca="1" ref="P17" ca="1">IF(INDIRECT(M17) = "","",INDIRECT(M17))</f>
        <v/>
      </c>
      <c r="Q17" s="359" t="s">
        <v>4381</v>
      </c>
    </row>
    <row r="18" spans="1:17" x14ac:dyDescent="0.35">
      <c r="A18" t="s">
        <v>3660</v>
      </c>
      <c r="E18" t="str">
        <f>_xlfn.XLOOKUP(F18,'Raw Data'!$I$4:$I$5000,'Raw Data'!$D$4:$D$5000,"*** Mnemonic not found ***",0)</f>
        <v>*** Mnemonic not found ***</v>
      </c>
      <c r="F18" t="str">
        <f t="shared" si="2"/>
        <v>SUCMONBALPENSURP__</v>
      </c>
      <c r="H18" s="9" t="s">
        <v>1137</v>
      </c>
      <c r="I18" s="289">
        <f>I17</f>
        <v>15</v>
      </c>
      <c r="K18" s="9">
        <f>K17+1</f>
        <v>24</v>
      </c>
      <c r="L18" s="9" t="str">
        <f>L16</f>
        <v>F</v>
      </c>
      <c r="M18" s="9" t="str">
        <f t="shared" si="1"/>
        <v>Input!F24</v>
      </c>
      <c r="N18" s="9">
        <f>_xlfn.XLOOKUP(F18,'Raw Data'!$I$4:$I$5000,'Raw Data'!$E$4:$E$5000,100,0)</f>
        <v>100</v>
      </c>
      <c r="O18" s="9" t="str">
        <f>IF(N18=0,_xlfn.XLOOKUP(F18,'Raw Data'!$I$4:$I$5000,'Raw Data'!$H$4:$H$5000,"",0),"")</f>
        <v/>
      </c>
      <c r="P18" s="9" t="str" cm="1">
        <f t="array" aca="1" ref="P18" ca="1">IF(INDIRECT(M18) = "","",INDIRECT(M18))</f>
        <v/>
      </c>
      <c r="Q18" s="359" t="s">
        <v>4381</v>
      </c>
    </row>
    <row r="19" spans="1:17" x14ac:dyDescent="0.35">
      <c r="A19" t="s">
        <v>1188</v>
      </c>
      <c r="E19" t="str">
        <f>_xlfn.XLOOKUP(F19,'Raw Data'!$I$4:$I$5000,'Raw Data'!$D$4:$D$5000,"*** Mnemonic not found ***",0)</f>
        <v>*** Mnemonic not found ***</v>
      </c>
      <c r="F19" t="str">
        <f t="shared" si="2"/>
        <v>SUCMINVOWNTREASSHRS__</v>
      </c>
      <c r="H19" s="9" t="s">
        <v>1137</v>
      </c>
      <c r="I19" s="289">
        <f t="shared" si="8"/>
        <v>15</v>
      </c>
      <c r="K19" s="9">
        <f t="shared" ref="K19" si="10">K18+1</f>
        <v>25</v>
      </c>
      <c r="L19" s="9" t="str">
        <f t="shared" si="7"/>
        <v>F</v>
      </c>
      <c r="M19" s="9" t="str">
        <f t="shared" si="1"/>
        <v>Input!F25</v>
      </c>
      <c r="N19" s="9">
        <f>_xlfn.XLOOKUP(F19,'Raw Data'!$I$4:$I$5000,'Raw Data'!$E$4:$E$5000,100,0)</f>
        <v>100</v>
      </c>
      <c r="O19" s="9" t="str">
        <f>IF(N19=0,_xlfn.XLOOKUP(F19,'Raw Data'!$I$4:$I$5000,'Raw Data'!$H$4:$H$5000,"",0),"")</f>
        <v/>
      </c>
      <c r="P19" s="9" t="str" cm="1">
        <f t="array" aca="1" ref="P19" ca="1">IF(INDIRECT(M19) = "","",INDIRECT(M19))</f>
        <v/>
      </c>
      <c r="Q19" s="359" t="s">
        <v>4381</v>
      </c>
    </row>
    <row r="20" spans="1:17" x14ac:dyDescent="0.35">
      <c r="A20" t="s">
        <v>1189</v>
      </c>
      <c r="E20" t="str">
        <f>_xlfn.XLOOKUP(F20,'Raw Data'!$I$4:$I$5000,'Raw Data'!$D$4:$D$5000,"*** Mnemonic not found ***",0)</f>
        <v>*** Mnemonic not found ***</v>
      </c>
      <c r="F20" t="str">
        <f t="shared" si="2"/>
        <v>SUCMGOODWILL__</v>
      </c>
      <c r="H20" s="9" t="s">
        <v>1137</v>
      </c>
      <c r="I20" s="289">
        <f t="shared" si="8"/>
        <v>15</v>
      </c>
      <c r="K20" s="9">
        <f>K19+3</f>
        <v>28</v>
      </c>
      <c r="L20" s="9" t="str">
        <f t="shared" si="7"/>
        <v>F</v>
      </c>
      <c r="M20" s="9" t="str">
        <f t="shared" si="1"/>
        <v>Input!F28</v>
      </c>
      <c r="N20" s="9">
        <f>_xlfn.XLOOKUP(F20,'Raw Data'!$I$4:$I$5000,'Raw Data'!$E$4:$E$5000,100,0)</f>
        <v>100</v>
      </c>
      <c r="O20" s="9" t="str">
        <f>IF(N20=0,_xlfn.XLOOKUP(F20,'Raw Data'!$I$4:$I$5000,'Raw Data'!$H$4:$H$5000,"",0),"")</f>
        <v/>
      </c>
      <c r="P20" s="9" t="str" cm="1">
        <f t="array" aca="1" ref="P20" ca="1">IF(INDIRECT(M20) = "","",INDIRECT(M20))</f>
        <v/>
      </c>
      <c r="Q20" s="359" t="s">
        <v>4381</v>
      </c>
    </row>
    <row r="21" spans="1:17" x14ac:dyDescent="0.35">
      <c r="A21" t="s">
        <v>1190</v>
      </c>
      <c r="E21" t="str">
        <f>_xlfn.XLOOKUP(F21,'Raw Data'!$I$4:$I$5000,'Raw Data'!$D$4:$D$5000,"*** Mnemonic not found ***",0)</f>
        <v>*** Mnemonic not found ***</v>
      </c>
      <c r="F21" t="str">
        <f t="shared" si="2"/>
        <v>SUCMOTHINTANGASST__</v>
      </c>
      <c r="H21" s="9" t="s">
        <v>1137</v>
      </c>
      <c r="I21" s="289">
        <f t="shared" si="8"/>
        <v>15</v>
      </c>
      <c r="K21" s="9">
        <f t="shared" ref="K21" si="11">K20+1</f>
        <v>29</v>
      </c>
      <c r="L21" s="9" t="str">
        <f t="shared" si="7"/>
        <v>F</v>
      </c>
      <c r="M21" s="9" t="str">
        <f t="shared" si="1"/>
        <v>Input!F29</v>
      </c>
      <c r="N21" s="9">
        <f>_xlfn.XLOOKUP(F21,'Raw Data'!$I$4:$I$5000,'Raw Data'!$E$4:$E$5000,100,0)</f>
        <v>100</v>
      </c>
      <c r="O21" s="9" t="str">
        <f>IF(N21=0,_xlfn.XLOOKUP(F21,'Raw Data'!$I$4:$I$5000,'Raw Data'!$H$4:$H$5000,"",0),"")</f>
        <v/>
      </c>
      <c r="P21" s="9" t="str" cm="1">
        <f t="array" aca="1" ref="P21" ca="1">IF(INDIRECT(M21) = "","",INDIRECT(M21))</f>
        <v/>
      </c>
      <c r="Q21" s="359" t="s">
        <v>4381</v>
      </c>
    </row>
    <row r="22" spans="1:17" x14ac:dyDescent="0.35">
      <c r="A22" t="s">
        <v>1191</v>
      </c>
      <c r="E22" t="str">
        <f>_xlfn.XLOOKUP(F22,'Raw Data'!$I$4:$I$5000,'Raw Data'!$D$4:$D$5000,"*** Mnemonic not found ***",0)</f>
        <v>*** Mnemonic not found ***</v>
      </c>
      <c r="F22" t="str">
        <f t="shared" si="2"/>
        <v>SUCMOFFUNREALNOLIFEBNDS__</v>
      </c>
      <c r="H22" s="9" t="s">
        <v>1137</v>
      </c>
      <c r="I22" s="289">
        <f t="shared" si="8"/>
        <v>15</v>
      </c>
      <c r="K22" s="9">
        <f>K21+3</f>
        <v>32</v>
      </c>
      <c r="L22" s="9" t="str">
        <f t="shared" si="7"/>
        <v>F</v>
      </c>
      <c r="M22" s="9" t="str">
        <f t="shared" si="1"/>
        <v>Input!F32</v>
      </c>
      <c r="N22" s="9">
        <f>_xlfn.XLOOKUP(F22,'Raw Data'!$I$4:$I$5000,'Raw Data'!$E$4:$E$5000,100,0)</f>
        <v>100</v>
      </c>
      <c r="O22" s="9" t="str">
        <f>IF(N22=0,_xlfn.XLOOKUP(F22,'Raw Data'!$I$4:$I$5000,'Raw Data'!$H$4:$H$5000,"",0),"")</f>
        <v/>
      </c>
      <c r="P22" s="9" t="str" cm="1">
        <f t="array" aca="1" ref="P22" ca="1">IF(INDIRECT(M22) = "","",INDIRECT(M22))</f>
        <v/>
      </c>
      <c r="Q22" s="359" t="s">
        <v>4381</v>
      </c>
    </row>
    <row r="23" spans="1:17" x14ac:dyDescent="0.35">
      <c r="A23" t="s">
        <v>1211</v>
      </c>
      <c r="E23" t="str">
        <f>_xlfn.XLOOKUP(F23,'Raw Data'!$I$4:$I$5000,'Raw Data'!$D$4:$D$5000,"*** Mnemonic not found ***",0)</f>
        <v>*** Mnemonic not found ***</v>
      </c>
      <c r="F23" t="str">
        <f t="shared" si="2"/>
        <v>SUCMUNCONASSJOINTMV__</v>
      </c>
      <c r="H23" s="9" t="s">
        <v>1137</v>
      </c>
      <c r="I23" s="289">
        <f t="shared" si="8"/>
        <v>15</v>
      </c>
      <c r="K23" s="9">
        <f>K22+1</f>
        <v>33</v>
      </c>
      <c r="L23" s="9" t="str">
        <f t="shared" si="7"/>
        <v>F</v>
      </c>
      <c r="M23" s="9" t="str">
        <f t="shared" si="1"/>
        <v>Input!F33</v>
      </c>
      <c r="N23" s="9">
        <f>_xlfn.XLOOKUP(F23,'Raw Data'!$I$4:$I$5000,'Raw Data'!$E$4:$E$5000,100,0)</f>
        <v>100</v>
      </c>
      <c r="O23" s="9" t="str">
        <f>IF(N23=0,_xlfn.XLOOKUP(F23,'Raw Data'!$I$4:$I$5000,'Raw Data'!$H$4:$H$5000,"",0),"")</f>
        <v/>
      </c>
      <c r="P23" s="9" t="str" cm="1">
        <f t="array" aca="1" ref="P23" ca="1">IF(INDIRECT(M23) = "","",INDIRECT(M23))</f>
        <v/>
      </c>
      <c r="Q23" s="359" t="s">
        <v>4381</v>
      </c>
    </row>
    <row r="24" spans="1:17" x14ac:dyDescent="0.35">
      <c r="A24" t="s">
        <v>1212</v>
      </c>
      <c r="E24" t="str">
        <f>_xlfn.XLOOKUP(F24,'Raw Data'!$I$4:$I$5000,'Raw Data'!$D$4:$D$5000,"*** Mnemonic not found ***",0)</f>
        <v>*** Mnemonic not found ***</v>
      </c>
      <c r="F24" t="str">
        <f t="shared" si="2"/>
        <v>SUCMUNCONASSJOINTBV__</v>
      </c>
      <c r="H24" s="9" t="s">
        <v>1137</v>
      </c>
      <c r="I24" s="289">
        <f t="shared" si="8"/>
        <v>15</v>
      </c>
      <c r="K24" s="9">
        <f>K23+1</f>
        <v>34</v>
      </c>
      <c r="L24" s="9" t="str">
        <f t="shared" si="7"/>
        <v>F</v>
      </c>
      <c r="M24" s="9" t="str">
        <f t="shared" si="1"/>
        <v>Input!F34</v>
      </c>
      <c r="N24" s="9">
        <f>_xlfn.XLOOKUP(F24,'Raw Data'!$I$4:$I$5000,'Raw Data'!$E$4:$E$5000,100,0)</f>
        <v>100</v>
      </c>
      <c r="O24" s="9" t="str">
        <f>IF(N24=0,_xlfn.XLOOKUP(F24,'Raw Data'!$I$4:$I$5000,'Raw Data'!$H$4:$H$5000,"",0),"")</f>
        <v/>
      </c>
      <c r="P24" s="9" t="str" cm="1">
        <f t="array" aca="1" ref="P24" ca="1">IF(INDIRECT(M24) = "","",INDIRECT(M24))</f>
        <v/>
      </c>
      <c r="Q24" s="359" t="s">
        <v>4381</v>
      </c>
    </row>
    <row r="25" spans="1:17" x14ac:dyDescent="0.35">
      <c r="A25" t="s">
        <v>1192</v>
      </c>
      <c r="E25" t="str">
        <f>_xlfn.XLOOKUP(F25,'Raw Data'!$I$4:$I$5000,'Raw Data'!$D$4:$D$5000,"*** Mnemonic not found ***",0)</f>
        <v>*** Mnemonic not found ***</v>
      </c>
      <c r="F25" t="str">
        <f t="shared" si="2"/>
        <v>SUCMNOLIFENOTDISC__</v>
      </c>
      <c r="H25" s="9" t="s">
        <v>1137</v>
      </c>
      <c r="I25" s="289">
        <f t="shared" si="8"/>
        <v>15</v>
      </c>
      <c r="K25" s="9">
        <f>K24+3</f>
        <v>37</v>
      </c>
      <c r="L25" s="9" t="str">
        <f t="shared" si="7"/>
        <v>F</v>
      </c>
      <c r="M25" s="9" t="str">
        <f t="shared" si="1"/>
        <v>Input!F37</v>
      </c>
      <c r="N25" s="9">
        <f>_xlfn.XLOOKUP(F25,'Raw Data'!$I$4:$I$5000,'Raw Data'!$E$4:$E$5000,100,0)</f>
        <v>100</v>
      </c>
      <c r="O25" s="9" t="str">
        <f>IF(N25=0,_xlfn.XLOOKUP(F25,'Raw Data'!$I$4:$I$5000,'Raw Data'!$H$4:$H$5000,"",0),"")</f>
        <v/>
      </c>
      <c r="P25" s="9" t="str" cm="1">
        <f t="array" aca="1" ref="P25" ca="1">IF(INDIRECT(M25) = "","",INDIRECT(M25))</f>
        <v/>
      </c>
      <c r="Q25" s="359" t="s">
        <v>4381</v>
      </c>
    </row>
    <row r="26" spans="1:17" x14ac:dyDescent="0.35">
      <c r="A26" t="s">
        <v>1193</v>
      </c>
      <c r="E26" t="str">
        <f>_xlfn.XLOOKUP(F26,'Raw Data'!$I$4:$I$5000,'Raw Data'!$D$4:$D$5000,"*** Mnemonic not found ***",0)</f>
        <v>*** Mnemonic not found ***</v>
      </c>
      <c r="F26" t="str">
        <f t="shared" si="2"/>
        <v>SUCMNOLIFEDISC__</v>
      </c>
      <c r="H26" s="9" t="s">
        <v>1137</v>
      </c>
      <c r="I26" s="289">
        <f t="shared" si="8"/>
        <v>15</v>
      </c>
      <c r="K26" s="9">
        <f t="shared" ref="K26" si="12">K25+1</f>
        <v>38</v>
      </c>
      <c r="L26" s="9" t="str">
        <f t="shared" si="7"/>
        <v>F</v>
      </c>
      <c r="M26" s="9" t="str">
        <f t="shared" si="1"/>
        <v>Input!F38</v>
      </c>
      <c r="N26" s="9">
        <f>_xlfn.XLOOKUP(F26,'Raw Data'!$I$4:$I$5000,'Raw Data'!$E$4:$E$5000,100,0)</f>
        <v>100</v>
      </c>
      <c r="O26" s="9" t="str">
        <f>IF(N26=0,_xlfn.XLOOKUP(F26,'Raw Data'!$I$4:$I$5000,'Raw Data'!$H$4:$H$5000,"",0),"")</f>
        <v/>
      </c>
      <c r="P26" s="9" t="str" cm="1">
        <f t="array" aca="1" ref="P26" ca="1">IF(INDIRECT(M26) = "","",INDIRECT(M26))</f>
        <v/>
      </c>
      <c r="Q26" s="359" t="s">
        <v>4381</v>
      </c>
    </row>
    <row r="27" spans="1:17" x14ac:dyDescent="0.35">
      <c r="A27" t="s">
        <v>2879</v>
      </c>
      <c r="E27" t="str">
        <f>_xlfn.XLOOKUP(F27,'Raw Data'!$I$4:$I$5000,'Raw Data'!$D$4:$D$5000,"*** Mnemonic not found ***",0)</f>
        <v>*** Mnemonic not found ***</v>
      </c>
      <c r="F27" t="str">
        <f t="shared" si="2"/>
        <v>SUCMAPPTAXRATE__</v>
      </c>
      <c r="H27" s="9" t="s">
        <v>1137</v>
      </c>
      <c r="I27" s="289">
        <f t="shared" si="8"/>
        <v>15</v>
      </c>
      <c r="K27" s="9">
        <f>K26+1</f>
        <v>39</v>
      </c>
      <c r="L27" s="9" t="str">
        <f t="shared" si="7"/>
        <v>F</v>
      </c>
      <c r="M27" s="9" t="str">
        <f t="shared" si="1"/>
        <v>Input!F39</v>
      </c>
      <c r="N27" s="9">
        <f>_xlfn.XLOOKUP(F27,'Raw Data'!$I$4:$I$5000,'Raw Data'!$E$4:$E$5000,100,0)</f>
        <v>100</v>
      </c>
      <c r="O27" s="9" t="str">
        <f>IF(N27=0,_xlfn.XLOOKUP(F27,'Raw Data'!$I$4:$I$5000,'Raw Data'!$H$4:$H$5000,"",0),"")</f>
        <v/>
      </c>
      <c r="P27" s="9" t="str" cm="1">
        <f t="array" aca="1" ref="P27" ca="1">IF(INDIRECT(M27) = "","",INDIRECT(M27))</f>
        <v/>
      </c>
      <c r="Q27" s="359" t="s">
        <v>4381</v>
      </c>
    </row>
    <row r="28" spans="1:17" x14ac:dyDescent="0.35">
      <c r="A28" t="s">
        <v>1194</v>
      </c>
      <c r="E28" t="str">
        <f>_xlfn.XLOOKUP(F28,'Raw Data'!$I$4:$I$5000,'Raw Data'!$D$4:$D$5000,"*** Mnemonic not found ***",0)</f>
        <v>*** Mnemonic not found ***</v>
      </c>
      <c r="F28" t="str">
        <f t="shared" si="2"/>
        <v>SUCMONBALLOSSRESDISC__</v>
      </c>
      <c r="H28" s="9" t="s">
        <v>1137</v>
      </c>
      <c r="I28" s="289">
        <f t="shared" si="8"/>
        <v>15</v>
      </c>
      <c r="K28" s="9">
        <f>K27+1</f>
        <v>40</v>
      </c>
      <c r="L28" s="9" t="str">
        <f>L26</f>
        <v>F</v>
      </c>
      <c r="M28" s="9" t="str">
        <f t="shared" si="1"/>
        <v>Input!F40</v>
      </c>
      <c r="N28" s="9">
        <f>_xlfn.XLOOKUP(F28,'Raw Data'!$I$4:$I$5000,'Raw Data'!$E$4:$E$5000,100,0)</f>
        <v>100</v>
      </c>
      <c r="O28" s="9" t="str">
        <f>IF(N28=0,_xlfn.XLOOKUP(F28,'Raw Data'!$I$4:$I$5000,'Raw Data'!$H$4:$H$5000,"",0),"")</f>
        <v/>
      </c>
      <c r="P28" s="9" t="str" cm="1">
        <f t="array" aca="1" ref="P28" ca="1">IF(INDIRECT(M28) = "","",INDIRECT(M28))</f>
        <v/>
      </c>
      <c r="Q28" s="359" t="s">
        <v>4381</v>
      </c>
    </row>
    <row r="29" spans="1:17" x14ac:dyDescent="0.35">
      <c r="A29" t="s">
        <v>1195</v>
      </c>
      <c r="E29" t="str">
        <f>_xlfn.XLOOKUP(F29,'Raw Data'!$I$4:$I$5000,'Raw Data'!$D$4:$D$5000,"*** Mnemonic not found ***",0)</f>
        <v>*** Mnemonic not found ***</v>
      </c>
      <c r="F29" t="str">
        <f t="shared" si="2"/>
        <v>SUCMRELEGVTBONDYIELD__</v>
      </c>
      <c r="H29" s="9" t="s">
        <v>1137</v>
      </c>
      <c r="I29" s="289">
        <f t="shared" si="8"/>
        <v>15</v>
      </c>
      <c r="K29" s="9">
        <f t="shared" ref="K29:K32" si="13">K28+1</f>
        <v>41</v>
      </c>
      <c r="L29" s="9" t="str">
        <f t="shared" ref="L29:L51" si="14">L28</f>
        <v>F</v>
      </c>
      <c r="M29" s="9" t="str">
        <f t="shared" si="1"/>
        <v>Input!F41</v>
      </c>
      <c r="N29" s="9">
        <f>_xlfn.XLOOKUP(F29,'Raw Data'!$I$4:$I$5000,'Raw Data'!$E$4:$E$5000,100,0)</f>
        <v>100</v>
      </c>
      <c r="O29" s="9" t="str">
        <f>IF(N29=0,_xlfn.XLOOKUP(F29,'Raw Data'!$I$4:$I$5000,'Raw Data'!$H$4:$H$5000,"",0),"")</f>
        <v/>
      </c>
      <c r="P29" s="9" t="str" cm="1">
        <f t="array" aca="1" ref="P29" ca="1">IF(INDIRECT(M29) = "","",INDIRECT(M29))</f>
        <v/>
      </c>
      <c r="Q29" s="359" t="s">
        <v>4381</v>
      </c>
    </row>
    <row r="30" spans="1:17" x14ac:dyDescent="0.35">
      <c r="A30" t="s">
        <v>1196</v>
      </c>
      <c r="E30" t="str">
        <f>_xlfn.XLOOKUP(F30,'Raw Data'!$I$4:$I$5000,'Raw Data'!$D$4:$D$5000,"*** Mnemonic not found ***",0)</f>
        <v>*** Mnemonic not found ***</v>
      </c>
      <c r="F30" t="str">
        <f t="shared" si="2"/>
        <v>SUCMMEANTERMUNDISC__</v>
      </c>
      <c r="H30" s="9" t="s">
        <v>1137</v>
      </c>
      <c r="I30" s="289">
        <f t="shared" si="8"/>
        <v>15</v>
      </c>
      <c r="K30" s="9">
        <f t="shared" si="13"/>
        <v>42</v>
      </c>
      <c r="L30" s="9" t="str">
        <f t="shared" si="14"/>
        <v>F</v>
      </c>
      <c r="M30" s="9" t="str">
        <f t="shared" si="1"/>
        <v>Input!F42</v>
      </c>
      <c r="N30" s="9">
        <f>_xlfn.XLOOKUP(F30,'Raw Data'!$I$4:$I$5000,'Raw Data'!$E$4:$E$5000,100,0)</f>
        <v>100</v>
      </c>
      <c r="O30" s="9" t="str">
        <f>IF(N30=0,_xlfn.XLOOKUP(F30,'Raw Data'!$I$4:$I$5000,'Raw Data'!$H$4:$H$5000,"",0),"")</f>
        <v/>
      </c>
      <c r="P30" s="9" t="str" cm="1">
        <f t="array" aca="1" ref="P30" ca="1">IF(INDIRECT(M30) = "","",INDIRECT(M30))</f>
        <v/>
      </c>
      <c r="Q30" s="359" t="s">
        <v>4381</v>
      </c>
    </row>
    <row r="31" spans="1:17" x14ac:dyDescent="0.35">
      <c r="A31" t="s">
        <v>1197</v>
      </c>
      <c r="E31" t="str">
        <f>_xlfn.XLOOKUP(F31,'Raw Data'!$I$4:$I$5000,'Raw Data'!$D$4:$D$5000,"*** Mnemonic not found ***",0)</f>
        <v>*** Mnemonic not found ***</v>
      </c>
      <c r="F31" t="str">
        <f t="shared" si="2"/>
        <v>SUCMPCLRSURPDEFUNDISC__</v>
      </c>
      <c r="H31" s="9" t="s">
        <v>1137</v>
      </c>
      <c r="I31" s="289">
        <f t="shared" si="8"/>
        <v>15</v>
      </c>
      <c r="K31" s="9">
        <f t="shared" si="13"/>
        <v>43</v>
      </c>
      <c r="L31" s="9" t="str">
        <f t="shared" si="14"/>
        <v>F</v>
      </c>
      <c r="M31" s="9" t="str">
        <f t="shared" si="1"/>
        <v>Input!F43</v>
      </c>
      <c r="N31" s="9">
        <f>_xlfn.XLOOKUP(F31,'Raw Data'!$I$4:$I$5000,'Raw Data'!$E$4:$E$5000,100,0)</f>
        <v>100</v>
      </c>
      <c r="O31" s="9" t="str">
        <f>IF(N31=0,_xlfn.XLOOKUP(F31,'Raw Data'!$I$4:$I$5000,'Raw Data'!$H$4:$H$5000,"",0),"")</f>
        <v/>
      </c>
      <c r="P31" s="9" t="str" cm="1">
        <f t="array" aca="1" ref="P31" ca="1">IF(INDIRECT(M31) = "","",INDIRECT(M31))</f>
        <v/>
      </c>
      <c r="Q31" s="359" t="s">
        <v>4381</v>
      </c>
    </row>
    <row r="32" spans="1:17" x14ac:dyDescent="0.35">
      <c r="A32" t="s">
        <v>3134</v>
      </c>
      <c r="E32" t="str">
        <f>_xlfn.XLOOKUP(F32,'Raw Data'!$I$4:$I$5000,'Raw Data'!$D$4:$D$5000,"*** Mnemonic not found ***",0)</f>
        <v>*** Mnemonic not found ***</v>
      </c>
      <c r="F32" t="str">
        <f t="shared" si="2"/>
        <v>SUCMTACOTHEQRESNON__</v>
      </c>
      <c r="H32" s="9" t="s">
        <v>1137</v>
      </c>
      <c r="I32" s="289">
        <f t="shared" si="8"/>
        <v>15</v>
      </c>
      <c r="K32" s="9">
        <f t="shared" si="13"/>
        <v>44</v>
      </c>
      <c r="L32" s="9" t="str">
        <f t="shared" si="14"/>
        <v>F</v>
      </c>
      <c r="M32" s="9" t="str">
        <f t="shared" si="1"/>
        <v>Input!F44</v>
      </c>
      <c r="N32" s="9">
        <f>_xlfn.XLOOKUP(F32,'Raw Data'!$I$4:$I$5000,'Raw Data'!$E$4:$E$5000,100,0)</f>
        <v>100</v>
      </c>
      <c r="O32" s="9" t="str">
        <f>IF(N32=0,_xlfn.XLOOKUP(F32,'Raw Data'!$I$4:$I$5000,'Raw Data'!$H$4:$H$5000,"",0),"")</f>
        <v/>
      </c>
      <c r="P32" s="9" t="str" cm="1">
        <f t="array" aca="1" ref="P32" ca="1">IF(INDIRECT(M32) = "","",INDIRECT(M32))</f>
        <v/>
      </c>
      <c r="Q32" s="359" t="s">
        <v>4381</v>
      </c>
    </row>
    <row r="33" spans="1:18" x14ac:dyDescent="0.35">
      <c r="A33" s="217" t="s">
        <v>3136</v>
      </c>
      <c r="E33" t="str">
        <f>_xlfn.XLOOKUP(F33,'Raw Data'!$I$4:$I$5000,'Raw Data'!$D$4:$D$5000,"*** Mnemonic not found ***",0)</f>
        <v>*** Mnemonic not found ***</v>
      </c>
      <c r="F33" t="str">
        <f t="shared" si="2"/>
        <v>SUCMPCLRSURPDEFDISC__</v>
      </c>
      <c r="H33" s="9" t="s">
        <v>1137</v>
      </c>
      <c r="I33" s="289">
        <f t="shared" si="8"/>
        <v>15</v>
      </c>
      <c r="K33" s="9">
        <f>K32+1</f>
        <v>45</v>
      </c>
      <c r="L33" s="9" t="str">
        <f>L32</f>
        <v>F</v>
      </c>
      <c r="M33" s="9" t="str">
        <f t="shared" si="1"/>
        <v>Input!F45</v>
      </c>
      <c r="N33" s="9">
        <f>_xlfn.XLOOKUP(F33,'Raw Data'!$I$4:$I$5000,'Raw Data'!$E$4:$E$5000,100,0)</f>
        <v>100</v>
      </c>
      <c r="O33" s="9" t="str">
        <f>IF(N33=0,_xlfn.XLOOKUP(F33,'Raw Data'!$I$4:$I$5000,'Raw Data'!$H$4:$H$5000,"",0),"")</f>
        <v/>
      </c>
      <c r="P33" s="9" t="str" cm="1">
        <f t="array" aca="1" ref="P33" ca="1">IF(INDIRECT(M33) = "","",INDIRECT(M33))</f>
        <v/>
      </c>
      <c r="Q33" s="359" t="s">
        <v>4381</v>
      </c>
    </row>
    <row r="34" spans="1:18" x14ac:dyDescent="0.35">
      <c r="A34" t="s">
        <v>1198</v>
      </c>
      <c r="E34" t="str">
        <f>_xlfn.XLOOKUP(F34,'Raw Data'!$I$4:$I$5000,'Raw Data'!$D$4:$D$5000,"*** Mnemonic not found ***",0)</f>
        <v>*** Mnemonic not found ***</v>
      </c>
      <c r="F34" t="str">
        <f t="shared" si="2"/>
        <v>SUCMOFFBALLIFEVIFNET__</v>
      </c>
      <c r="H34" s="9" t="s">
        <v>1137</v>
      </c>
      <c r="I34" s="289">
        <f>I33</f>
        <v>15</v>
      </c>
      <c r="K34" s="9">
        <f>K33+3</f>
        <v>48</v>
      </c>
      <c r="L34" s="9" t="str">
        <f>L33</f>
        <v>F</v>
      </c>
      <c r="M34" s="9" t="str">
        <f t="shared" si="1"/>
        <v>Input!F48</v>
      </c>
      <c r="N34" s="9">
        <f>_xlfn.XLOOKUP(F34,'Raw Data'!$I$4:$I$5000,'Raw Data'!$E$4:$E$5000,100,0)</f>
        <v>100</v>
      </c>
      <c r="O34" s="9" t="str">
        <f>IF(N34=0,_xlfn.XLOOKUP(F34,'Raw Data'!$I$4:$I$5000,'Raw Data'!$H$4:$H$5000,"",0),"")</f>
        <v/>
      </c>
      <c r="P34" s="9" t="str" cm="1">
        <f t="array" aca="1" ref="P34" ca="1">IF(INDIRECT(M34) = "","",INDIRECT(M34))</f>
        <v/>
      </c>
      <c r="Q34" s="359" t="s">
        <v>4381</v>
      </c>
    </row>
    <row r="35" spans="1:18" x14ac:dyDescent="0.35">
      <c r="A35" t="s">
        <v>1199</v>
      </c>
      <c r="E35" t="str">
        <f>_xlfn.XLOOKUP(F35,'Raw Data'!$I$4:$I$5000,'Raw Data'!$D$4:$D$5000,"*** Mnemonic not found ***",0)</f>
        <v>*** Mnemonic not found ***</v>
      </c>
      <c r="F35" t="str">
        <f t="shared" si="2"/>
        <v>SUCMONBALDACVOBAVIF__</v>
      </c>
      <c r="H35" s="9" t="s">
        <v>1137</v>
      </c>
      <c r="I35" s="289">
        <f t="shared" si="8"/>
        <v>15</v>
      </c>
      <c r="K35" s="9">
        <f t="shared" ref="K35" si="15">K34+1</f>
        <v>49</v>
      </c>
      <c r="L35" s="9" t="str">
        <f t="shared" si="14"/>
        <v>F</v>
      </c>
      <c r="M35" s="9" t="str">
        <f t="shared" si="1"/>
        <v>Input!F49</v>
      </c>
      <c r="N35" s="9">
        <f>_xlfn.XLOOKUP(F35,'Raw Data'!$I$4:$I$5000,'Raw Data'!$E$4:$E$5000,100,0)</f>
        <v>100</v>
      </c>
      <c r="O35" s="9" t="str">
        <f>IF(N35=0,_xlfn.XLOOKUP(F35,'Raw Data'!$I$4:$I$5000,'Raw Data'!$H$4:$H$5000,"",0),"")</f>
        <v/>
      </c>
      <c r="P35" s="9" t="str" cm="1">
        <f t="array" aca="1" ref="P35" ca="1">IF(INDIRECT(M35) = "","",INDIRECT(M35))</f>
        <v/>
      </c>
      <c r="Q35" s="359" t="s">
        <v>4381</v>
      </c>
    </row>
    <row r="36" spans="1:18" x14ac:dyDescent="0.35">
      <c r="A36" t="s">
        <v>3135</v>
      </c>
      <c r="E36" t="str">
        <f>_xlfn.XLOOKUP(F36,'Raw Data'!$I$4:$I$5000,'Raw Data'!$D$4:$D$5000,"*** Mnemonic not found ***",0)</f>
        <v>*** Mnemonic not found ***</v>
      </c>
      <c r="F36" t="str">
        <f t="shared" si="2"/>
        <v>SUCMTACOTHEQRESLIF__</v>
      </c>
      <c r="H36" s="9" t="s">
        <v>1137</v>
      </c>
      <c r="I36" s="289">
        <f>I35</f>
        <v>15</v>
      </c>
      <c r="K36" s="9">
        <f>K35+1</f>
        <v>50</v>
      </c>
      <c r="L36" s="9" t="str">
        <f>L35</f>
        <v>F</v>
      </c>
      <c r="M36" s="9" t="str">
        <f t="shared" si="1"/>
        <v>Input!F50</v>
      </c>
      <c r="N36" s="9">
        <f>_xlfn.XLOOKUP(F36,'Raw Data'!$I$4:$I$5000,'Raw Data'!$E$4:$E$5000,100,0)</f>
        <v>100</v>
      </c>
      <c r="O36" s="9" t="str">
        <f>IF(N36=0,_xlfn.XLOOKUP(F36,'Raw Data'!$I$4:$I$5000,'Raw Data'!$H$4:$H$5000,"",0),"")</f>
        <v/>
      </c>
      <c r="P36" s="9" t="str" cm="1">
        <f t="array" aca="1" ref="P36" ca="1">IF(INDIRECT(M36) = "","",INDIRECT(M36))</f>
        <v/>
      </c>
      <c r="Q36" s="359" t="s">
        <v>4381</v>
      </c>
    </row>
    <row r="37" spans="1:18" x14ac:dyDescent="0.35">
      <c r="A37" t="s">
        <v>1200</v>
      </c>
      <c r="E37" t="str">
        <f>_xlfn.XLOOKUP(F37,'Raw Data'!$I$4:$I$5000,'Raw Data'!$D$4:$D$5000,"*** Mnemonic not found ***",0)</f>
        <v>*** Mnemonic not found ***</v>
      </c>
      <c r="F37" t="str">
        <f t="shared" si="2"/>
        <v>SUCMLIFERESMVADJ__</v>
      </c>
      <c r="H37" s="9" t="s">
        <v>1137</v>
      </c>
      <c r="I37" s="289">
        <f>I36</f>
        <v>15</v>
      </c>
      <c r="K37" s="9">
        <f>K36+1</f>
        <v>51</v>
      </c>
      <c r="L37" s="9" t="str">
        <f>L35</f>
        <v>F</v>
      </c>
      <c r="M37" s="9" t="str">
        <f t="shared" si="1"/>
        <v>Input!F51</v>
      </c>
      <c r="N37" s="9">
        <f>_xlfn.XLOOKUP(F37,'Raw Data'!$I$4:$I$5000,'Raw Data'!$E$4:$E$5000,100,0)</f>
        <v>100</v>
      </c>
      <c r="O37" s="9" t="str">
        <f>IF(N37=0,_xlfn.XLOOKUP(F37,'Raw Data'!$I$4:$I$5000,'Raw Data'!$H$4:$H$5000,"",0),"")</f>
        <v/>
      </c>
      <c r="P37" s="9" t="str" cm="1">
        <f t="array" aca="1" ref="P37" ca="1">IF(INDIRECT(M37) = "","",INDIRECT(M37))</f>
        <v/>
      </c>
      <c r="Q37" s="359" t="s">
        <v>4381</v>
      </c>
    </row>
    <row r="38" spans="1:18" x14ac:dyDescent="0.35">
      <c r="A38" t="s">
        <v>1201</v>
      </c>
      <c r="E38" t="str">
        <f>_xlfn.XLOOKUP(F38,'Raw Data'!$I$4:$I$5000,'Raw Data'!$D$4:$D$5000,"*** Mnemonic not found ***",0)</f>
        <v>*** Mnemonic not found ***</v>
      </c>
      <c r="F38" t="str">
        <f t="shared" si="2"/>
        <v>SUCMPHCAPAVAIL__</v>
      </c>
      <c r="H38" s="9" t="s">
        <v>1137</v>
      </c>
      <c r="I38" s="289">
        <f t="shared" si="8"/>
        <v>15</v>
      </c>
      <c r="K38" s="9">
        <f>K37+2</f>
        <v>53</v>
      </c>
      <c r="L38" s="9" t="str">
        <f t="shared" si="14"/>
        <v>F</v>
      </c>
      <c r="M38" s="9" t="str">
        <f t="shared" si="1"/>
        <v>Input!F53</v>
      </c>
      <c r="N38" s="9">
        <f>_xlfn.XLOOKUP(F38,'Raw Data'!$I$4:$I$5000,'Raw Data'!$E$4:$E$5000,100,0)</f>
        <v>100</v>
      </c>
      <c r="O38" s="9" t="str">
        <f>IF(N38=0,_xlfn.XLOOKUP(F38,'Raw Data'!$I$4:$I$5000,'Raw Data'!$H$4:$H$5000,"",0),"")</f>
        <v/>
      </c>
      <c r="P38" s="9" t="str" cm="1">
        <f t="array" aca="1" ref="P38" ca="1">IF(INDIRECT(M38) = "","",INDIRECT(M38))</f>
        <v/>
      </c>
      <c r="Q38" s="359" t="s">
        <v>4381</v>
      </c>
    </row>
    <row r="39" spans="1:18" x14ac:dyDescent="0.35">
      <c r="A39" s="694" t="s">
        <v>4488</v>
      </c>
      <c r="E39" t="str">
        <f>_xlfn.XLOOKUP(F39,'Raw Data'!$I$4:$I$5000,'Raw Data'!$D$4:$D$5000,"*** Mnemonic not found ***",0)</f>
        <v>*** Mnemonic not found ***</v>
      </c>
      <c r="F39" t="str">
        <f t="shared" si="2"/>
        <v>SUCMURGINVBKLIFE__</v>
      </c>
      <c r="H39" s="9" t="s">
        <v>1137</v>
      </c>
      <c r="I39" s="289">
        <f t="shared" si="8"/>
        <v>15</v>
      </c>
      <c r="K39" s="9">
        <f>K38+2</f>
        <v>55</v>
      </c>
      <c r="L39" s="9" t="str">
        <f t="shared" si="14"/>
        <v>F</v>
      </c>
      <c r="M39" s="9" t="str">
        <f t="shared" ref="M39" si="16">CONCATENATE(H39,"!",L39,K39)</f>
        <v>Input!F55</v>
      </c>
      <c r="N39" s="9">
        <f>_xlfn.XLOOKUP(F39,'Raw Data'!$I$4:$I$5000,'Raw Data'!$E$4:$E$5000,100,0)</f>
        <v>100</v>
      </c>
      <c r="O39" s="9" t="str">
        <f>IF(N39=0,_xlfn.XLOOKUP(F39,'Raw Data'!$I$4:$I$5000,'Raw Data'!$H$4:$H$5000,"",0),"")</f>
        <v/>
      </c>
      <c r="P39" s="9" t="str" cm="1">
        <f t="array" aca="1" ref="P39" ca="1">IF(INDIRECT(M39) = "","",INDIRECT(M39))</f>
        <v/>
      </c>
      <c r="Q39" s="359" t="s">
        <v>4381</v>
      </c>
      <c r="R39" t="s">
        <v>4173</v>
      </c>
    </row>
    <row r="40" spans="1:18" x14ac:dyDescent="0.35">
      <c r="A40" t="s">
        <v>1202</v>
      </c>
      <c r="E40" t="str">
        <f>_xlfn.XLOOKUP(F40,'Raw Data'!$I$4:$I$5000,'Raw Data'!$D$4:$D$5000,"*** Mnemonic not found ***",0)</f>
        <v>*** Mnemonic not found ***</v>
      </c>
      <c r="F40" t="str">
        <f t="shared" si="2"/>
        <v>SUCMHYBEQHIGH__</v>
      </c>
      <c r="H40" s="9" t="s">
        <v>1137</v>
      </c>
      <c r="I40" s="289">
        <f>I38</f>
        <v>15</v>
      </c>
      <c r="K40" s="9">
        <f>K39+3</f>
        <v>58</v>
      </c>
      <c r="L40" s="9" t="str">
        <f>L38</f>
        <v>F</v>
      </c>
      <c r="M40" s="9" t="str">
        <f t="shared" si="1"/>
        <v>Input!F58</v>
      </c>
      <c r="N40" s="9">
        <f>_xlfn.XLOOKUP(F40,'Raw Data'!$I$4:$I$5000,'Raw Data'!$E$4:$E$5000,100,0)</f>
        <v>100</v>
      </c>
      <c r="O40" s="9" t="str">
        <f>IF(N40=0,_xlfn.XLOOKUP(F40,'Raw Data'!$I$4:$I$5000,'Raw Data'!$H$4:$H$5000,"",0),"")</f>
        <v/>
      </c>
      <c r="P40" s="9" t="str" cm="1">
        <f t="array" aca="1" ref="P40" ca="1">IF(INDIRECT(M40) = "","",INDIRECT(M40))</f>
        <v/>
      </c>
      <c r="Q40" s="359" t="s">
        <v>4381</v>
      </c>
    </row>
    <row r="41" spans="1:18" x14ac:dyDescent="0.35">
      <c r="A41" t="s">
        <v>1203</v>
      </c>
      <c r="E41" t="str">
        <f>_xlfn.XLOOKUP(F41,'Raw Data'!$I$4:$I$5000,'Raw Data'!$D$4:$D$5000,"*** Mnemonic not found ***",0)</f>
        <v>*** Mnemonic not found ***</v>
      </c>
      <c r="F41" t="str">
        <f t="shared" si="2"/>
        <v>SUCMHYBEQINTERM__</v>
      </c>
      <c r="H41" s="9" t="s">
        <v>1137</v>
      </c>
      <c r="I41" s="289">
        <f t="shared" si="8"/>
        <v>15</v>
      </c>
      <c r="K41" s="9">
        <f>K40+1</f>
        <v>59</v>
      </c>
      <c r="L41" s="9" t="str">
        <f t="shared" si="14"/>
        <v>F</v>
      </c>
      <c r="M41" s="9" t="str">
        <f t="shared" si="1"/>
        <v>Input!F59</v>
      </c>
      <c r="N41" s="9">
        <f>_xlfn.XLOOKUP(F41,'Raw Data'!$I$4:$I$5000,'Raw Data'!$E$4:$E$5000,100,0)</f>
        <v>100</v>
      </c>
      <c r="O41" s="9" t="str">
        <f>IF(N41=0,_xlfn.XLOOKUP(F41,'Raw Data'!$I$4:$I$5000,'Raw Data'!$H$4:$H$5000,"",0),"")</f>
        <v/>
      </c>
      <c r="P41" s="9" t="str" cm="1">
        <f t="array" aca="1" ref="P41" ca="1">IF(INDIRECT(M41) = "","",INDIRECT(M41))</f>
        <v/>
      </c>
      <c r="Q41" s="359" t="s">
        <v>4381</v>
      </c>
    </row>
    <row r="42" spans="1:18" x14ac:dyDescent="0.35">
      <c r="A42" t="s">
        <v>1204</v>
      </c>
      <c r="E42" t="str">
        <f>_xlfn.XLOOKUP(F42,'Raw Data'!$I$4:$I$5000,'Raw Data'!$D$4:$D$5000,"*** Mnemonic not found ***",0)</f>
        <v>*** Mnemonic not found ***</v>
      </c>
      <c r="F42" t="str">
        <f t="shared" si="2"/>
        <v>SUCMHYBEQNONE__</v>
      </c>
      <c r="H42" s="9" t="s">
        <v>1137</v>
      </c>
      <c r="I42" s="289">
        <f t="shared" si="8"/>
        <v>15</v>
      </c>
      <c r="K42" s="9">
        <f>K41+1</f>
        <v>60</v>
      </c>
      <c r="L42" s="9" t="str">
        <f t="shared" si="14"/>
        <v>F</v>
      </c>
      <c r="M42" s="9" t="str">
        <f t="shared" si="1"/>
        <v>Input!F60</v>
      </c>
      <c r="N42" s="9">
        <f>_xlfn.XLOOKUP(F42,'Raw Data'!$I$4:$I$5000,'Raw Data'!$E$4:$E$5000,100,0)</f>
        <v>100</v>
      </c>
      <c r="O42" s="9" t="str">
        <f>IF(N42=0,_xlfn.XLOOKUP(F42,'Raw Data'!$I$4:$I$5000,'Raw Data'!$H$4:$H$5000,"",0),"")</f>
        <v/>
      </c>
      <c r="P42" s="9" t="str" cm="1">
        <f t="array" aca="1" ref="P42" ca="1">IF(INDIRECT(M42) = "","",INDIRECT(M42))</f>
        <v/>
      </c>
      <c r="Q42" s="359" t="s">
        <v>4381</v>
      </c>
    </row>
    <row r="43" spans="1:18" x14ac:dyDescent="0.35">
      <c r="A43" t="s">
        <v>1205</v>
      </c>
      <c r="E43" t="str">
        <f>_xlfn.XLOOKUP(F43,'Raw Data'!$I$4:$I$5000,'Raw Data'!$D$4:$D$5000,"*** Mnemonic not found ***",0)</f>
        <v>*** Mnemonic not found ***</v>
      </c>
      <c r="F43" t="str">
        <f t="shared" si="2"/>
        <v>SUCMHYBELIGDFC__</v>
      </c>
      <c r="H43" s="9" t="s">
        <v>1137</v>
      </c>
      <c r="I43" s="289">
        <f t="shared" si="8"/>
        <v>15</v>
      </c>
      <c r="K43" s="9">
        <f>K42+1</f>
        <v>61</v>
      </c>
      <c r="L43" s="9" t="str">
        <f t="shared" si="14"/>
        <v>F</v>
      </c>
      <c r="M43" s="9" t="str">
        <f t="shared" si="1"/>
        <v>Input!F61</v>
      </c>
      <c r="N43" s="9">
        <f>_xlfn.XLOOKUP(F43,'Raw Data'!$I$4:$I$5000,'Raw Data'!$E$4:$E$5000,100,0)</f>
        <v>100</v>
      </c>
      <c r="O43" s="9" t="str">
        <f>IF(N43=0,_xlfn.XLOOKUP(F43,'Raw Data'!$I$4:$I$5000,'Raw Data'!$H$4:$H$5000,"",0),"")</f>
        <v/>
      </c>
      <c r="P43" s="9" t="str" cm="1">
        <f t="array" aca="1" ref="P43" ca="1">IF(INDIRECT(M43) = "","",INDIRECT(M43))</f>
        <v/>
      </c>
      <c r="Q43" s="359" t="s">
        <v>4381</v>
      </c>
    </row>
    <row r="44" spans="1:18" x14ac:dyDescent="0.35">
      <c r="A44" t="s">
        <v>1206</v>
      </c>
      <c r="E44" t="str">
        <f>_xlfn.XLOOKUP(F44,'Raw Data'!$I$4:$I$5000,'Raw Data'!$D$4:$D$5000,"*** Mnemonic not found ***",0)</f>
        <v>*** Mnemonic not found ***</v>
      </c>
      <c r="F44" t="str">
        <f t="shared" si="2"/>
        <v>SUCMDEBTCAPELIG__</v>
      </c>
      <c r="H44" s="9" t="s">
        <v>1137</v>
      </c>
      <c r="I44" s="289">
        <f t="shared" si="8"/>
        <v>15</v>
      </c>
      <c r="K44" s="9">
        <f>K43+2</f>
        <v>63</v>
      </c>
      <c r="L44" s="9" t="str">
        <f t="shared" si="14"/>
        <v>F</v>
      </c>
      <c r="M44" s="9" t="str">
        <f t="shared" si="1"/>
        <v>Input!F63</v>
      </c>
      <c r="N44" s="9">
        <f>_xlfn.XLOOKUP(F44,'Raw Data'!$I$4:$I$5000,'Raw Data'!$E$4:$E$5000,100,0)</f>
        <v>100</v>
      </c>
      <c r="O44" s="9" t="str">
        <f>IF(N44=0,_xlfn.XLOOKUP(F44,'Raw Data'!$I$4:$I$5000,'Raw Data'!$H$4:$H$5000,"",0),"")</f>
        <v/>
      </c>
      <c r="P44" s="9" t="str" cm="1">
        <f t="array" aca="1" ref="P44" ca="1">IF(INDIRECT(M44) = "","",INDIRECT(M44))</f>
        <v>No</v>
      </c>
      <c r="Q44" s="359" t="s">
        <v>4380</v>
      </c>
    </row>
    <row r="45" spans="1:18" x14ac:dyDescent="0.35">
      <c r="A45" t="s">
        <v>1207</v>
      </c>
      <c r="E45" t="str">
        <f>_xlfn.XLOOKUP(F45,'Raw Data'!$I$4:$I$5000,'Raw Data'!$D$4:$D$5000,"*** Mnemonic not found ***",0)</f>
        <v>*** Mnemonic not found ***</v>
      </c>
      <c r="F45" t="str">
        <f t="shared" si="2"/>
        <v>SUCMDEBTELIGDFC__</v>
      </c>
      <c r="H45" s="9" t="s">
        <v>1137</v>
      </c>
      <c r="I45" s="289">
        <f t="shared" si="8"/>
        <v>15</v>
      </c>
      <c r="K45" s="9">
        <f>K44+1</f>
        <v>64</v>
      </c>
      <c r="L45" s="9" t="str">
        <f t="shared" si="14"/>
        <v>F</v>
      </c>
      <c r="M45" s="9" t="str">
        <f t="shared" si="1"/>
        <v>Input!F64</v>
      </c>
      <c r="N45" s="9">
        <f>_xlfn.XLOOKUP(F45,'Raw Data'!$I$4:$I$5000,'Raw Data'!$E$4:$E$5000,100,0)</f>
        <v>100</v>
      </c>
      <c r="O45" s="9" t="str">
        <f>IF(N45=0,_xlfn.XLOOKUP(F45,'Raw Data'!$I$4:$I$5000,'Raw Data'!$H$4:$H$5000,"",0),"")</f>
        <v/>
      </c>
      <c r="P45" s="9" t="str" cm="1">
        <f t="array" aca="1" ref="P45" ca="1">IF(INDIRECT(M45) = "","",INDIRECT(M45))</f>
        <v/>
      </c>
      <c r="Q45" s="359" t="s">
        <v>4381</v>
      </c>
    </row>
    <row r="46" spans="1:18" x14ac:dyDescent="0.35">
      <c r="A46" s="694" t="s">
        <v>4429</v>
      </c>
      <c r="E46" t="str">
        <f>_xlfn.XLOOKUP(F46,'Raw Data'!$I$4:$I$5000,'Raw Data'!$D$4:$D$5000,"*** Mnemonic not found ***",0)</f>
        <v>*** Mnemonic not found ***</v>
      </c>
      <c r="F46" t="str">
        <f t="shared" ref="F46" si="17">CONCATENATE(A46,"_",B46,"_",D46)</f>
        <v>SUCMDEBTELIGDFCIN__</v>
      </c>
      <c r="H46" s="9" t="s">
        <v>1137</v>
      </c>
      <c r="I46" s="289">
        <f t="shared" si="8"/>
        <v>15</v>
      </c>
      <c r="K46" s="9">
        <f>K45+1</f>
        <v>65</v>
      </c>
      <c r="L46" s="9" t="str">
        <f t="shared" si="14"/>
        <v>F</v>
      </c>
      <c r="M46" s="9" t="str">
        <f t="shared" ref="M46" si="18">CONCATENATE(H46,"!",L46,K46)</f>
        <v>Input!F65</v>
      </c>
      <c r="N46" s="9">
        <f>_xlfn.XLOOKUP(F46,'Raw Data'!$I$4:$I$5000,'Raw Data'!$E$4:$E$5000,100,0)</f>
        <v>100</v>
      </c>
      <c r="O46" s="9" t="str">
        <f>IF(N46=0,_xlfn.XLOOKUP(F46,'Raw Data'!$I$4:$I$5000,'Raw Data'!$H$4:$H$5000,"",0),"")</f>
        <v/>
      </c>
      <c r="P46" s="9" t="str" cm="1">
        <f t="array" aca="1" ref="P46" ca="1">IF(INDIRECT(M46) = "","",INDIRECT(M46))</f>
        <v/>
      </c>
      <c r="Q46" s="359" t="s">
        <v>4381</v>
      </c>
    </row>
    <row r="47" spans="1:18" x14ac:dyDescent="0.35">
      <c r="A47" t="s">
        <v>1208</v>
      </c>
      <c r="E47" t="str">
        <f>_xlfn.XLOOKUP(F47,'Raw Data'!$I$4:$I$5000,'Raw Data'!$D$4:$D$5000,"*** Mnemonic not found ***",0)</f>
        <v>*** Mnemonic not found ***</v>
      </c>
      <c r="F47" t="str">
        <f t="shared" si="2"/>
        <v>SUCMDEBTNOELIGSFC__</v>
      </c>
      <c r="H47" s="9" t="s">
        <v>1137</v>
      </c>
      <c r="I47" s="289">
        <f>I45</f>
        <v>15</v>
      </c>
      <c r="K47" s="9">
        <f t="shared" ref="K47:K48" si="19">K46+1</f>
        <v>66</v>
      </c>
      <c r="L47" s="9" t="str">
        <f t="shared" si="14"/>
        <v>F</v>
      </c>
      <c r="M47" s="9" t="str">
        <f t="shared" si="1"/>
        <v>Input!F66</v>
      </c>
      <c r="N47" s="9">
        <f>_xlfn.XLOOKUP(F47,'Raw Data'!$I$4:$I$5000,'Raw Data'!$E$4:$E$5000,100,0)</f>
        <v>100</v>
      </c>
      <c r="O47" s="9" t="str">
        <f>IF(N47=0,_xlfn.XLOOKUP(F47,'Raw Data'!$I$4:$I$5000,'Raw Data'!$H$4:$H$5000,"",0),"")</f>
        <v/>
      </c>
      <c r="P47" s="9" t="str" cm="1">
        <f t="array" aca="1" ref="P47" ca="1">IF(INDIRECT(M47) = "","",INDIRECT(M47))</f>
        <v/>
      </c>
      <c r="Q47" s="359" t="s">
        <v>4381</v>
      </c>
    </row>
    <row r="48" spans="1:18" x14ac:dyDescent="0.35">
      <c r="A48" s="694" t="s">
        <v>4489</v>
      </c>
      <c r="E48" t="str">
        <f>_xlfn.XLOOKUP(F48,'Raw Data'!$I$4:$I$5000,'Raw Data'!$D$4:$D$5000,"*** Mnemonic not found ***",0)</f>
        <v>*** Mnemonic not found ***</v>
      </c>
      <c r="F48" t="str">
        <f t="shared" si="2"/>
        <v>SUCMCASHINVATNOHCAMT__</v>
      </c>
      <c r="H48" s="9" t="s">
        <v>1137</v>
      </c>
      <c r="I48" s="289">
        <f t="shared" si="8"/>
        <v>15</v>
      </c>
      <c r="K48" s="9">
        <f t="shared" si="19"/>
        <v>67</v>
      </c>
      <c r="L48" s="9" t="str">
        <f t="shared" si="14"/>
        <v>F</v>
      </c>
      <c r="M48" s="9" t="str">
        <f t="shared" ref="M48" si="20">CONCATENATE(H48,"!",L48,K48)</f>
        <v>Input!F67</v>
      </c>
      <c r="N48" s="9">
        <f>_xlfn.XLOOKUP(F48,'Raw Data'!$I$4:$I$5000,'Raw Data'!$E$4:$E$5000,100,0)</f>
        <v>100</v>
      </c>
      <c r="O48" s="9" t="str">
        <f>IF(N48=0,_xlfn.XLOOKUP(F48,'Raw Data'!$I$4:$I$5000,'Raw Data'!$H$4:$H$5000,"",0),"")</f>
        <v/>
      </c>
      <c r="P48" s="9" t="str" cm="1">
        <f t="array" aca="1" ref="P48" ca="1">IF(INDIRECT(M48) = "","",INDIRECT(M48))</f>
        <v/>
      </c>
      <c r="Q48" s="359" t="s">
        <v>4381</v>
      </c>
      <c r="R48" t="s">
        <v>4174</v>
      </c>
    </row>
    <row r="49" spans="1:18" x14ac:dyDescent="0.35">
      <c r="A49" s="694" t="s">
        <v>4490</v>
      </c>
      <c r="E49" t="str">
        <f>_xlfn.XLOOKUP(F49,'Raw Data'!$I$4:$I$5000,'Raw Data'!$D$4:$D$5000,"*** Mnemonic not found ***",0)</f>
        <v>*** Mnemonic not found ***</v>
      </c>
      <c r="F49" t="str">
        <f t="shared" si="2"/>
        <v>SUCMCASHINVATNOHCHC__</v>
      </c>
      <c r="H49" s="9" t="s">
        <v>1137</v>
      </c>
      <c r="I49" s="289">
        <f t="shared" si="8"/>
        <v>15</v>
      </c>
      <c r="K49" s="9">
        <f>K48+1</f>
        <v>68</v>
      </c>
      <c r="L49" s="9" t="str">
        <f t="shared" si="14"/>
        <v>F</v>
      </c>
      <c r="M49" s="9" t="str">
        <f t="shared" ref="M49" si="21">CONCATENATE(H49,"!",L49,K49)</f>
        <v>Input!F68</v>
      </c>
      <c r="N49" s="9">
        <f>_xlfn.XLOOKUP(F49,'Raw Data'!$I$4:$I$5000,'Raw Data'!$E$4:$E$5000,100,0)</f>
        <v>100</v>
      </c>
      <c r="O49" s="9" t="str">
        <f>IF(N49=0,_xlfn.XLOOKUP(F49,'Raw Data'!$I$4:$I$5000,'Raw Data'!$H$4:$H$5000,"",0),"")</f>
        <v/>
      </c>
      <c r="P49" s="9" t="str" cm="1">
        <f t="array" aca="1" ref="P49" ca="1">IF(INDIRECT(M49) = "","",INDIRECT(M49))</f>
        <v/>
      </c>
      <c r="Q49" s="359" t="s">
        <v>4381</v>
      </c>
      <c r="R49" t="s">
        <v>4175</v>
      </c>
    </row>
    <row r="50" spans="1:18" x14ac:dyDescent="0.35">
      <c r="A50" t="s">
        <v>1209</v>
      </c>
      <c r="E50" t="str">
        <f>_xlfn.XLOOKUP(F50,'Raw Data'!$I$4:$I$5000,'Raw Data'!$D$4:$D$5000,"*** Mnemonic not found ***",0)</f>
        <v>*** Mnemonic not found ***</v>
      </c>
      <c r="F50" t="str">
        <f t="shared" si="2"/>
        <v>SUCMINVSUBDECONS__</v>
      </c>
      <c r="H50" s="9" t="s">
        <v>1137</v>
      </c>
      <c r="I50" s="289">
        <f>I47</f>
        <v>15</v>
      </c>
      <c r="K50" s="9">
        <f>K49+5</f>
        <v>73</v>
      </c>
      <c r="L50" s="9" t="str">
        <f>L47</f>
        <v>F</v>
      </c>
      <c r="M50" s="9" t="str">
        <f t="shared" si="1"/>
        <v>Input!F73</v>
      </c>
      <c r="N50" s="9">
        <f>_xlfn.XLOOKUP(F50,'Raw Data'!$I$4:$I$5000,'Raw Data'!$E$4:$E$5000,100,0)</f>
        <v>100</v>
      </c>
      <c r="O50" s="9" t="str">
        <f>IF(N50=0,_xlfn.XLOOKUP(F50,'Raw Data'!$I$4:$I$5000,'Raw Data'!$H$4:$H$5000,"",0),"")</f>
        <v/>
      </c>
      <c r="P50" s="9" t="str" cm="1">
        <f t="array" aca="1" ref="P50" ca="1">IF(INDIRECT(M50) = "","",INDIRECT(M50))</f>
        <v/>
      </c>
      <c r="Q50" s="359" t="s">
        <v>4381</v>
      </c>
    </row>
    <row r="51" spans="1:18" x14ac:dyDescent="0.35">
      <c r="A51" t="s">
        <v>1210</v>
      </c>
      <c r="E51" t="str">
        <f>_xlfn.XLOOKUP(F51,'Raw Data'!$I$4:$I$5000,'Raw Data'!$D$4:$D$5000,"*** Mnemonic not found ***",0)</f>
        <v>*** Mnemonic not found ***</v>
      </c>
      <c r="F51" t="str">
        <f t="shared" si="2"/>
        <v>SUCMUNCONSSUBSNOCONS__</v>
      </c>
      <c r="H51" s="9" t="s">
        <v>1137</v>
      </c>
      <c r="I51" s="289">
        <f t="shared" si="8"/>
        <v>15</v>
      </c>
      <c r="K51" s="9">
        <f>K50+1</f>
        <v>74</v>
      </c>
      <c r="L51" s="9" t="str">
        <f t="shared" si="14"/>
        <v>F</v>
      </c>
      <c r="M51" s="9" t="str">
        <f t="shared" si="1"/>
        <v>Input!F74</v>
      </c>
      <c r="N51" s="9">
        <f>_xlfn.XLOOKUP(F51,'Raw Data'!$I$4:$I$5000,'Raw Data'!$E$4:$E$5000,100,0)</f>
        <v>100</v>
      </c>
      <c r="O51" s="9" t="str">
        <f>IF(N51=0,_xlfn.XLOOKUP(F51,'Raw Data'!$I$4:$I$5000,'Raw Data'!$H$4:$H$5000,"",0),"")</f>
        <v/>
      </c>
      <c r="P51" s="9" t="str" cm="1">
        <f t="array" aca="1" ref="P51" ca="1">IF(INDIRECT(M51) = "","",INDIRECT(M51))</f>
        <v/>
      </c>
      <c r="Q51" s="359" t="s">
        <v>4381</v>
      </c>
    </row>
    <row r="52" spans="1:18" x14ac:dyDescent="0.35">
      <c r="A52" t="s">
        <v>1213</v>
      </c>
      <c r="E52" t="str">
        <f>_xlfn.XLOOKUP(F52,'Raw Data'!$I$4:$I$5000,'Raw Data'!$D$4:$D$5000,"*** Mnemonic not found ***",0)</f>
        <v>*** Mnemonic not found ***</v>
      </c>
      <c r="F52" t="str">
        <f t="shared" si="2"/>
        <v>SUCMCGHRAAA_LESS1__</v>
      </c>
      <c r="G52" t="s">
        <v>4443</v>
      </c>
      <c r="H52" s="9" t="s">
        <v>1137</v>
      </c>
      <c r="I52" s="289">
        <f>ROW(section_bonds_sp_rated)</f>
        <v>79</v>
      </c>
      <c r="J52" s="9">
        <v>4</v>
      </c>
      <c r="K52" s="9">
        <f>I52+J52</f>
        <v>83</v>
      </c>
      <c r="L52" s="9" t="s">
        <v>1124</v>
      </c>
      <c r="M52" s="9" t="str">
        <f t="shared" si="1"/>
        <v>Input!F83</v>
      </c>
      <c r="N52" s="9">
        <f>_xlfn.XLOOKUP(F52,'Raw Data'!$I$4:$I$5000,'Raw Data'!$E$4:$E$5000,100,0)</f>
        <v>100</v>
      </c>
      <c r="O52" s="9" t="str">
        <f>IF(N52=0,_xlfn.XLOOKUP(F52,'Raw Data'!$I$4:$I$5000,'Raw Data'!$H$4:$H$5000,"",0),"")</f>
        <v/>
      </c>
      <c r="P52" s="9" t="str" cm="1">
        <f t="array" aca="1" ref="P52" ca="1">IF(INDIRECT(M52) = "","",INDIRECT(M52))</f>
        <v/>
      </c>
      <c r="Q52" s="359" t="s">
        <v>4381</v>
      </c>
    </row>
    <row r="53" spans="1:18" x14ac:dyDescent="0.35">
      <c r="A53" t="s">
        <v>1214</v>
      </c>
      <c r="E53" t="str">
        <f>_xlfn.XLOOKUP(F53,'Raw Data'!$I$4:$I$5000,'Raw Data'!$D$4:$D$5000,"*** Mnemonic not found ***",0)</f>
        <v>*** Mnemonic not found ***</v>
      </c>
      <c r="F53" t="str">
        <f t="shared" si="2"/>
        <v>SUCMCGHRAAA_1TO5__</v>
      </c>
      <c r="H53" s="9" t="s">
        <v>1137</v>
      </c>
      <c r="K53" s="9">
        <f>K52+1</f>
        <v>84</v>
      </c>
      <c r="L53" s="9" t="str">
        <f t="shared" ref="L53:L56" si="22">L52</f>
        <v>F</v>
      </c>
      <c r="M53" s="9" t="str">
        <f t="shared" si="1"/>
        <v>Input!F84</v>
      </c>
      <c r="N53" s="9">
        <f>_xlfn.XLOOKUP(F53,'Raw Data'!$I$4:$I$5000,'Raw Data'!$E$4:$E$5000,100,0)</f>
        <v>100</v>
      </c>
      <c r="O53" s="9" t="str">
        <f>IF(N53=0,_xlfn.XLOOKUP(F53,'Raw Data'!$I$4:$I$5000,'Raw Data'!$H$4:$H$5000,"",0),"")</f>
        <v/>
      </c>
      <c r="P53" s="9" t="str" cm="1">
        <f t="array" aca="1" ref="P53" ca="1">IF(INDIRECT(M53) = "","",INDIRECT(M53))</f>
        <v/>
      </c>
      <c r="Q53" s="359" t="s">
        <v>4381</v>
      </c>
    </row>
    <row r="54" spans="1:18" x14ac:dyDescent="0.35">
      <c r="A54" t="s">
        <v>1215</v>
      </c>
      <c r="E54" t="str">
        <f>_xlfn.XLOOKUP(F54,'Raw Data'!$I$4:$I$5000,'Raw Data'!$D$4:$D$5000,"*** Mnemonic not found ***",0)</f>
        <v>*** Mnemonic not found ***</v>
      </c>
      <c r="F54" t="str">
        <f t="shared" si="2"/>
        <v>SUCMCGHRAAA_5TO10__</v>
      </c>
      <c r="H54" s="9" t="s">
        <v>1137</v>
      </c>
      <c r="K54" s="9">
        <f t="shared" ref="K54:K56" si="23">K53+1</f>
        <v>85</v>
      </c>
      <c r="L54" s="9" t="str">
        <f t="shared" si="22"/>
        <v>F</v>
      </c>
      <c r="M54" s="9" t="str">
        <f t="shared" si="1"/>
        <v>Input!F85</v>
      </c>
      <c r="N54" s="9">
        <f>_xlfn.XLOOKUP(F54,'Raw Data'!$I$4:$I$5000,'Raw Data'!$E$4:$E$5000,100,0)</f>
        <v>100</v>
      </c>
      <c r="O54" s="9" t="str">
        <f>IF(N54=0,_xlfn.XLOOKUP(F54,'Raw Data'!$I$4:$I$5000,'Raw Data'!$H$4:$H$5000,"",0),"")</f>
        <v/>
      </c>
      <c r="P54" s="9" t="str" cm="1">
        <f t="array" aca="1" ref="P54" ca="1">IF(INDIRECT(M54) = "","",INDIRECT(M54))</f>
        <v/>
      </c>
      <c r="Q54" s="359" t="s">
        <v>4381</v>
      </c>
    </row>
    <row r="55" spans="1:18" x14ac:dyDescent="0.35">
      <c r="A55" t="s">
        <v>1216</v>
      </c>
      <c r="E55" t="str">
        <f>_xlfn.XLOOKUP(F55,'Raw Data'!$I$4:$I$5000,'Raw Data'!$D$4:$D$5000,"*** Mnemonic not found ***",0)</f>
        <v>*** Mnemonic not found ***</v>
      </c>
      <c r="F55" t="str">
        <f t="shared" si="2"/>
        <v>SUCMCGHRAAA_10TO20__</v>
      </c>
      <c r="H55" s="9" t="s">
        <v>1137</v>
      </c>
      <c r="K55" s="9">
        <f t="shared" si="23"/>
        <v>86</v>
      </c>
      <c r="L55" s="9" t="str">
        <f t="shared" si="22"/>
        <v>F</v>
      </c>
      <c r="M55" s="9" t="str">
        <f t="shared" si="1"/>
        <v>Input!F86</v>
      </c>
      <c r="N55" s="9">
        <f>_xlfn.XLOOKUP(F55,'Raw Data'!$I$4:$I$5000,'Raw Data'!$E$4:$E$5000,100,0)</f>
        <v>100</v>
      </c>
      <c r="O55" s="9" t="str">
        <f>IF(N55=0,_xlfn.XLOOKUP(F55,'Raw Data'!$I$4:$I$5000,'Raw Data'!$H$4:$H$5000,"",0),"")</f>
        <v/>
      </c>
      <c r="P55" s="9" t="str" cm="1">
        <f t="array" aca="1" ref="P55" ca="1">IF(INDIRECT(M55) = "","",INDIRECT(M55))</f>
        <v/>
      </c>
      <c r="Q55" s="359" t="s">
        <v>4381</v>
      </c>
    </row>
    <row r="56" spans="1:18" x14ac:dyDescent="0.35">
      <c r="A56" t="s">
        <v>1217</v>
      </c>
      <c r="E56" t="str">
        <f>_xlfn.XLOOKUP(F56,'Raw Data'!$I$4:$I$5000,'Raw Data'!$D$4:$D$5000,"*** Mnemonic not found ***",0)</f>
        <v>*** Mnemonic not found ***</v>
      </c>
      <c r="F56" t="str">
        <f t="shared" si="2"/>
        <v>SUCMCGHRAAA_GRTR20__</v>
      </c>
      <c r="H56" s="9" t="s">
        <v>1137</v>
      </c>
      <c r="K56" s="9">
        <f t="shared" si="23"/>
        <v>87</v>
      </c>
      <c r="L56" s="9" t="str">
        <f t="shared" si="22"/>
        <v>F</v>
      </c>
      <c r="M56" s="9" t="str">
        <f t="shared" si="1"/>
        <v>Input!F87</v>
      </c>
      <c r="N56" s="9">
        <f>_xlfn.XLOOKUP(F56,'Raw Data'!$I$4:$I$5000,'Raw Data'!$E$4:$E$5000,100,0)</f>
        <v>100</v>
      </c>
      <c r="O56" s="9" t="str">
        <f>IF(N56=0,_xlfn.XLOOKUP(F56,'Raw Data'!$I$4:$I$5000,'Raw Data'!$H$4:$H$5000,"",0),"")</f>
        <v/>
      </c>
      <c r="P56" s="9" t="str" cm="1">
        <f t="array" aca="1" ref="P56" ca="1">IF(INDIRECT(M56) = "","",INDIRECT(M56))</f>
        <v/>
      </c>
      <c r="Q56" s="359" t="s">
        <v>4381</v>
      </c>
    </row>
    <row r="57" spans="1:18" x14ac:dyDescent="0.35">
      <c r="A57" t="s">
        <v>1218</v>
      </c>
      <c r="E57" t="str">
        <f>_xlfn.XLOOKUP(F57,'Raw Data'!$I$4:$I$5000,'Raw Data'!$D$4:$D$5000,"*** Mnemonic not found ***",0)</f>
        <v>*** Mnemonic not found ***</v>
      </c>
      <c r="F57" t="str">
        <f t="shared" si="2"/>
        <v>SUCMCGHRAA_LESS1__</v>
      </c>
      <c r="H57" s="9" t="s">
        <v>1137</v>
      </c>
      <c r="K57" s="9">
        <f>K52</f>
        <v>83</v>
      </c>
      <c r="L57" s="9" t="s">
        <v>1145</v>
      </c>
      <c r="M57" s="9" t="str">
        <f t="shared" si="1"/>
        <v>Input!G83</v>
      </c>
      <c r="N57" s="9">
        <f>_xlfn.XLOOKUP(F57,'Raw Data'!$I$4:$I$5000,'Raw Data'!$E$4:$E$5000,100,0)</f>
        <v>100</v>
      </c>
      <c r="O57" s="9" t="str">
        <f>IF(N57=0,_xlfn.XLOOKUP(F57,'Raw Data'!$I$4:$I$5000,'Raw Data'!$H$4:$H$5000,"",0),"")</f>
        <v/>
      </c>
      <c r="P57" s="9" t="str" cm="1">
        <f t="array" aca="1" ref="P57" ca="1">IF(INDIRECT(M57) = "","",INDIRECT(M57))</f>
        <v/>
      </c>
      <c r="Q57" s="359" t="s">
        <v>4381</v>
      </c>
    </row>
    <row r="58" spans="1:18" x14ac:dyDescent="0.35">
      <c r="A58" t="s">
        <v>1219</v>
      </c>
      <c r="E58" t="str">
        <f>_xlfn.XLOOKUP(F58,'Raw Data'!$I$4:$I$5000,'Raw Data'!$D$4:$D$5000,"*** Mnemonic not found ***",0)</f>
        <v>*** Mnemonic not found ***</v>
      </c>
      <c r="F58" t="str">
        <f t="shared" si="2"/>
        <v>SUCMCGHRAA_1TO5__</v>
      </c>
      <c r="H58" s="9" t="s">
        <v>1137</v>
      </c>
      <c r="K58" s="9">
        <f>K57+1</f>
        <v>84</v>
      </c>
      <c r="L58" s="9" t="str">
        <f t="shared" ref="L58:L61" si="24">L57</f>
        <v>G</v>
      </c>
      <c r="M58" s="9" t="str">
        <f t="shared" si="1"/>
        <v>Input!G84</v>
      </c>
      <c r="N58" s="9">
        <f>_xlfn.XLOOKUP(F58,'Raw Data'!$I$4:$I$5000,'Raw Data'!$E$4:$E$5000,100,0)</f>
        <v>100</v>
      </c>
      <c r="O58" s="9" t="str">
        <f>IF(N58=0,_xlfn.XLOOKUP(F58,'Raw Data'!$I$4:$I$5000,'Raw Data'!$H$4:$H$5000,"",0),"")</f>
        <v/>
      </c>
      <c r="P58" s="9" t="str" cm="1">
        <f t="array" aca="1" ref="P58" ca="1">IF(INDIRECT(M58) = "","",INDIRECT(M58))</f>
        <v/>
      </c>
      <c r="Q58" s="359" t="s">
        <v>4381</v>
      </c>
    </row>
    <row r="59" spans="1:18" x14ac:dyDescent="0.35">
      <c r="A59" t="s">
        <v>1220</v>
      </c>
      <c r="E59" t="str">
        <f>_xlfn.XLOOKUP(F59,'Raw Data'!$I$4:$I$5000,'Raw Data'!$D$4:$D$5000,"*** Mnemonic not found ***",0)</f>
        <v>*** Mnemonic not found ***</v>
      </c>
      <c r="F59" t="str">
        <f t="shared" si="2"/>
        <v>SUCMCGHRAA_5TO10__</v>
      </c>
      <c r="H59" s="9" t="s">
        <v>1137</v>
      </c>
      <c r="K59" s="9">
        <f t="shared" ref="K59:K61" si="25">K58+1</f>
        <v>85</v>
      </c>
      <c r="L59" s="9" t="str">
        <f t="shared" si="24"/>
        <v>G</v>
      </c>
      <c r="M59" s="9" t="str">
        <f t="shared" si="1"/>
        <v>Input!G85</v>
      </c>
      <c r="N59" s="9">
        <f>_xlfn.XLOOKUP(F59,'Raw Data'!$I$4:$I$5000,'Raw Data'!$E$4:$E$5000,100,0)</f>
        <v>100</v>
      </c>
      <c r="O59" s="9" t="str">
        <f>IF(N59=0,_xlfn.XLOOKUP(F59,'Raw Data'!$I$4:$I$5000,'Raw Data'!$H$4:$H$5000,"",0),"")</f>
        <v/>
      </c>
      <c r="P59" s="9" t="str" cm="1">
        <f t="array" aca="1" ref="P59" ca="1">IF(INDIRECT(M59) = "","",INDIRECT(M59))</f>
        <v/>
      </c>
      <c r="Q59" s="359" t="s">
        <v>4381</v>
      </c>
    </row>
    <row r="60" spans="1:18" x14ac:dyDescent="0.35">
      <c r="A60" t="s">
        <v>1221</v>
      </c>
      <c r="E60" t="str">
        <f>_xlfn.XLOOKUP(F60,'Raw Data'!$I$4:$I$5000,'Raw Data'!$D$4:$D$5000,"*** Mnemonic not found ***",0)</f>
        <v>*** Mnemonic not found ***</v>
      </c>
      <c r="F60" t="str">
        <f t="shared" si="2"/>
        <v>SUCMCGHRAA_10TO20__</v>
      </c>
      <c r="H60" s="9" t="s">
        <v>1137</v>
      </c>
      <c r="K60" s="9">
        <f t="shared" si="25"/>
        <v>86</v>
      </c>
      <c r="L60" s="9" t="str">
        <f t="shared" si="24"/>
        <v>G</v>
      </c>
      <c r="M60" s="9" t="str">
        <f t="shared" si="1"/>
        <v>Input!G86</v>
      </c>
      <c r="N60" s="9">
        <f>_xlfn.XLOOKUP(F60,'Raw Data'!$I$4:$I$5000,'Raw Data'!$E$4:$E$5000,100,0)</f>
        <v>100</v>
      </c>
      <c r="O60" s="9" t="str">
        <f>IF(N60=0,_xlfn.XLOOKUP(F60,'Raw Data'!$I$4:$I$5000,'Raw Data'!$H$4:$H$5000,"",0),"")</f>
        <v/>
      </c>
      <c r="P60" s="9" t="str" cm="1">
        <f t="array" aca="1" ref="P60" ca="1">IF(INDIRECT(M60) = "","",INDIRECT(M60))</f>
        <v/>
      </c>
      <c r="Q60" s="359" t="s">
        <v>4381</v>
      </c>
    </row>
    <row r="61" spans="1:18" x14ac:dyDescent="0.35">
      <c r="A61" t="s">
        <v>1222</v>
      </c>
      <c r="E61" t="str">
        <f>_xlfn.XLOOKUP(F61,'Raw Data'!$I$4:$I$5000,'Raw Data'!$D$4:$D$5000,"*** Mnemonic not found ***",0)</f>
        <v>*** Mnemonic not found ***</v>
      </c>
      <c r="F61" t="str">
        <f t="shared" si="2"/>
        <v>SUCMCGHRAA_GRTR20__</v>
      </c>
      <c r="H61" s="9" t="s">
        <v>1137</v>
      </c>
      <c r="K61" s="9">
        <f t="shared" si="25"/>
        <v>87</v>
      </c>
      <c r="L61" s="9" t="str">
        <f t="shared" si="24"/>
        <v>G</v>
      </c>
      <c r="M61" s="9" t="str">
        <f t="shared" si="1"/>
        <v>Input!G87</v>
      </c>
      <c r="N61" s="9">
        <f>_xlfn.XLOOKUP(F61,'Raw Data'!$I$4:$I$5000,'Raw Data'!$E$4:$E$5000,100,0)</f>
        <v>100</v>
      </c>
      <c r="O61" s="9" t="str">
        <f>IF(N61=0,_xlfn.XLOOKUP(F61,'Raw Data'!$I$4:$I$5000,'Raw Data'!$H$4:$H$5000,"",0),"")</f>
        <v/>
      </c>
      <c r="P61" s="9" t="str" cm="1">
        <f t="array" aca="1" ref="P61" ca="1">IF(INDIRECT(M61) = "","",INDIRECT(M61))</f>
        <v/>
      </c>
      <c r="Q61" s="359" t="s">
        <v>4381</v>
      </c>
    </row>
    <row r="62" spans="1:18" x14ac:dyDescent="0.35">
      <c r="A62" t="s">
        <v>1223</v>
      </c>
      <c r="E62" t="str">
        <f>_xlfn.XLOOKUP(F62,'Raw Data'!$I$4:$I$5000,'Raw Data'!$D$4:$D$5000,"*** Mnemonic not found ***",0)</f>
        <v>*** Mnemonic not found ***</v>
      </c>
      <c r="F62" t="str">
        <f t="shared" si="2"/>
        <v>SUCMCGHRA_LESS1__</v>
      </c>
      <c r="H62" s="9" t="s">
        <v>1137</v>
      </c>
      <c r="K62" s="9">
        <f>K57</f>
        <v>83</v>
      </c>
      <c r="L62" s="9" t="s">
        <v>1144</v>
      </c>
      <c r="M62" s="9" t="str">
        <f t="shared" si="1"/>
        <v>Input!H83</v>
      </c>
      <c r="N62" s="9">
        <f>_xlfn.XLOOKUP(F62,'Raw Data'!$I$4:$I$5000,'Raw Data'!$E$4:$E$5000,100,0)</f>
        <v>100</v>
      </c>
      <c r="O62" s="9" t="str">
        <f>IF(N62=0,_xlfn.XLOOKUP(F62,'Raw Data'!$I$4:$I$5000,'Raw Data'!$H$4:$H$5000,"",0),"")</f>
        <v/>
      </c>
      <c r="P62" s="9" t="str" cm="1">
        <f t="array" aca="1" ref="P62" ca="1">IF(INDIRECT(M62) = "","",INDIRECT(M62))</f>
        <v/>
      </c>
      <c r="Q62" s="359" t="s">
        <v>4381</v>
      </c>
    </row>
    <row r="63" spans="1:18" x14ac:dyDescent="0.35">
      <c r="A63" t="s">
        <v>1224</v>
      </c>
      <c r="E63" t="str">
        <f>_xlfn.XLOOKUP(F63,'Raw Data'!$I$4:$I$5000,'Raw Data'!$D$4:$D$5000,"*** Mnemonic not found ***",0)</f>
        <v>*** Mnemonic not found ***</v>
      </c>
      <c r="F63" t="str">
        <f t="shared" si="2"/>
        <v>SUCMCGHRA_1TO5__</v>
      </c>
      <c r="H63" s="9" t="s">
        <v>1137</v>
      </c>
      <c r="K63" s="9">
        <f>K62+1</f>
        <v>84</v>
      </c>
      <c r="L63" s="9" t="str">
        <f t="shared" ref="L63:L66" si="26">L62</f>
        <v>H</v>
      </c>
      <c r="M63" s="9" t="str">
        <f t="shared" si="1"/>
        <v>Input!H84</v>
      </c>
      <c r="N63" s="9">
        <f>_xlfn.XLOOKUP(F63,'Raw Data'!$I$4:$I$5000,'Raw Data'!$E$4:$E$5000,100,0)</f>
        <v>100</v>
      </c>
      <c r="O63" s="9" t="str">
        <f>IF(N63=0,_xlfn.XLOOKUP(F63,'Raw Data'!$I$4:$I$5000,'Raw Data'!$H$4:$H$5000,"",0),"")</f>
        <v/>
      </c>
      <c r="P63" s="9" t="str" cm="1">
        <f t="array" aca="1" ref="P63" ca="1">IF(INDIRECT(M63) = "","",INDIRECT(M63))</f>
        <v/>
      </c>
      <c r="Q63" s="359" t="s">
        <v>4381</v>
      </c>
    </row>
    <row r="64" spans="1:18" x14ac:dyDescent="0.35">
      <c r="A64" t="s">
        <v>1225</v>
      </c>
      <c r="E64" t="str">
        <f>_xlfn.XLOOKUP(F64,'Raw Data'!$I$4:$I$5000,'Raw Data'!$D$4:$D$5000,"*** Mnemonic not found ***",0)</f>
        <v>*** Mnemonic not found ***</v>
      </c>
      <c r="F64" t="str">
        <f t="shared" si="2"/>
        <v>SUCMCGHRA_5TO10__</v>
      </c>
      <c r="H64" s="9" t="s">
        <v>1137</v>
      </c>
      <c r="K64" s="9">
        <f t="shared" ref="K64:K66" si="27">K63+1</f>
        <v>85</v>
      </c>
      <c r="L64" s="9" t="str">
        <f t="shared" si="26"/>
        <v>H</v>
      </c>
      <c r="M64" s="9" t="str">
        <f t="shared" si="1"/>
        <v>Input!H85</v>
      </c>
      <c r="N64" s="9">
        <f>_xlfn.XLOOKUP(F64,'Raw Data'!$I$4:$I$5000,'Raw Data'!$E$4:$E$5000,100,0)</f>
        <v>100</v>
      </c>
      <c r="O64" s="9" t="str">
        <f>IF(N64=0,_xlfn.XLOOKUP(F64,'Raw Data'!$I$4:$I$5000,'Raw Data'!$H$4:$H$5000,"",0),"")</f>
        <v/>
      </c>
      <c r="P64" s="9" t="str" cm="1">
        <f t="array" aca="1" ref="P64" ca="1">IF(INDIRECT(M64) = "","",INDIRECT(M64))</f>
        <v/>
      </c>
      <c r="Q64" s="359" t="s">
        <v>4381</v>
      </c>
    </row>
    <row r="65" spans="1:17" x14ac:dyDescent="0.35">
      <c r="A65" t="s">
        <v>1226</v>
      </c>
      <c r="E65" t="str">
        <f>_xlfn.XLOOKUP(F65,'Raw Data'!$I$4:$I$5000,'Raw Data'!$D$4:$D$5000,"*** Mnemonic not found ***",0)</f>
        <v>*** Mnemonic not found ***</v>
      </c>
      <c r="F65" t="str">
        <f t="shared" si="2"/>
        <v>SUCMCGHRA_10TO20__</v>
      </c>
      <c r="H65" s="9" t="s">
        <v>1137</v>
      </c>
      <c r="K65" s="9">
        <f t="shared" si="27"/>
        <v>86</v>
      </c>
      <c r="L65" s="9" t="str">
        <f t="shared" si="26"/>
        <v>H</v>
      </c>
      <c r="M65" s="9" t="str">
        <f t="shared" si="1"/>
        <v>Input!H86</v>
      </c>
      <c r="N65" s="9">
        <f>_xlfn.XLOOKUP(F65,'Raw Data'!$I$4:$I$5000,'Raw Data'!$E$4:$E$5000,100,0)</f>
        <v>100</v>
      </c>
      <c r="O65" s="9" t="str">
        <f>IF(N65=0,_xlfn.XLOOKUP(F65,'Raw Data'!$I$4:$I$5000,'Raw Data'!$H$4:$H$5000,"",0),"")</f>
        <v/>
      </c>
      <c r="P65" s="9" t="str" cm="1">
        <f t="array" aca="1" ref="P65" ca="1">IF(INDIRECT(M65) = "","",INDIRECT(M65))</f>
        <v/>
      </c>
      <c r="Q65" s="359" t="s">
        <v>4381</v>
      </c>
    </row>
    <row r="66" spans="1:17" x14ac:dyDescent="0.35">
      <c r="A66" t="s">
        <v>1227</v>
      </c>
      <c r="E66" t="str">
        <f>_xlfn.XLOOKUP(F66,'Raw Data'!$I$4:$I$5000,'Raw Data'!$D$4:$D$5000,"*** Mnemonic not found ***",0)</f>
        <v>*** Mnemonic not found ***</v>
      </c>
      <c r="F66" t="str">
        <f t="shared" si="2"/>
        <v>SUCMCGHRA_GRTR20__</v>
      </c>
      <c r="H66" s="9" t="s">
        <v>1137</v>
      </c>
      <c r="K66" s="9">
        <f t="shared" si="27"/>
        <v>87</v>
      </c>
      <c r="L66" s="9" t="str">
        <f t="shared" si="26"/>
        <v>H</v>
      </c>
      <c r="M66" s="9" t="str">
        <f t="shared" si="1"/>
        <v>Input!H87</v>
      </c>
      <c r="N66" s="9">
        <f>_xlfn.XLOOKUP(F66,'Raw Data'!$I$4:$I$5000,'Raw Data'!$E$4:$E$5000,100,0)</f>
        <v>100</v>
      </c>
      <c r="O66" s="9" t="str">
        <f>IF(N66=0,_xlfn.XLOOKUP(F66,'Raw Data'!$I$4:$I$5000,'Raw Data'!$H$4:$H$5000,"",0),"")</f>
        <v/>
      </c>
      <c r="P66" s="9" t="str" cm="1">
        <f t="array" aca="1" ref="P66" ca="1">IF(INDIRECT(M66) = "","",INDIRECT(M66))</f>
        <v/>
      </c>
      <c r="Q66" s="359" t="s">
        <v>4381</v>
      </c>
    </row>
    <row r="67" spans="1:17" x14ac:dyDescent="0.35">
      <c r="A67" t="s">
        <v>1228</v>
      </c>
      <c r="E67" t="str">
        <f>_xlfn.XLOOKUP(F67,'Raw Data'!$I$4:$I$5000,'Raw Data'!$D$4:$D$5000,"*** Mnemonic not found ***",0)</f>
        <v>*** Mnemonic not found ***</v>
      </c>
      <c r="F67" t="str">
        <f t="shared" si="2"/>
        <v>SUCMCGHRBBB_LESS1__</v>
      </c>
      <c r="H67" s="9" t="s">
        <v>1137</v>
      </c>
      <c r="K67" s="9">
        <f>K62</f>
        <v>83</v>
      </c>
      <c r="L67" s="9" t="s">
        <v>1375</v>
      </c>
      <c r="M67" s="9" t="str">
        <f t="shared" si="1"/>
        <v>Input!I83</v>
      </c>
      <c r="N67" s="9">
        <f>_xlfn.XLOOKUP(F67,'Raw Data'!$I$4:$I$5000,'Raw Data'!$E$4:$E$5000,100,0)</f>
        <v>100</v>
      </c>
      <c r="O67" s="9" t="str">
        <f>IF(N67=0,_xlfn.XLOOKUP(F67,'Raw Data'!$I$4:$I$5000,'Raw Data'!$H$4:$H$5000,"",0),"")</f>
        <v/>
      </c>
      <c r="P67" s="9" t="str" cm="1">
        <f t="array" aca="1" ref="P67" ca="1">IF(INDIRECT(M67) = "","",INDIRECT(M67))</f>
        <v/>
      </c>
      <c r="Q67" s="359" t="s">
        <v>4381</v>
      </c>
    </row>
    <row r="68" spans="1:17" x14ac:dyDescent="0.35">
      <c r="A68" t="s">
        <v>1229</v>
      </c>
      <c r="E68" t="str">
        <f>_xlfn.XLOOKUP(F68,'Raw Data'!$I$4:$I$5000,'Raw Data'!$D$4:$D$5000,"*** Mnemonic not found ***",0)</f>
        <v>*** Mnemonic not found ***</v>
      </c>
      <c r="F68" t="str">
        <f t="shared" si="2"/>
        <v>SUCMCGHRBBB_1TO5__</v>
      </c>
      <c r="H68" s="9" t="s">
        <v>1137</v>
      </c>
      <c r="K68" s="9">
        <f>K67+1</f>
        <v>84</v>
      </c>
      <c r="L68" s="9" t="str">
        <f t="shared" ref="L68:L71" si="28">L67</f>
        <v>I</v>
      </c>
      <c r="M68" s="9" t="str">
        <f t="shared" si="1"/>
        <v>Input!I84</v>
      </c>
      <c r="N68" s="9">
        <f>_xlfn.XLOOKUP(F68,'Raw Data'!$I$4:$I$5000,'Raw Data'!$E$4:$E$5000,100,0)</f>
        <v>100</v>
      </c>
      <c r="O68" s="9" t="str">
        <f>IF(N68=0,_xlfn.XLOOKUP(F68,'Raw Data'!$I$4:$I$5000,'Raw Data'!$H$4:$H$5000,"",0),"")</f>
        <v/>
      </c>
      <c r="P68" s="9" t="str" cm="1">
        <f t="array" aca="1" ref="P68" ca="1">IF(INDIRECT(M68) = "","",INDIRECT(M68))</f>
        <v/>
      </c>
      <c r="Q68" s="359" t="s">
        <v>4381</v>
      </c>
    </row>
    <row r="69" spans="1:17" x14ac:dyDescent="0.35">
      <c r="A69" t="s">
        <v>1230</v>
      </c>
      <c r="E69" t="str">
        <f>_xlfn.XLOOKUP(F69,'Raw Data'!$I$4:$I$5000,'Raw Data'!$D$4:$D$5000,"*** Mnemonic not found ***",0)</f>
        <v>*** Mnemonic not found ***</v>
      </c>
      <c r="F69" t="str">
        <f t="shared" ref="F69:F132" si="29">CONCATENATE(A69,"_",B69,"_",D69)</f>
        <v>SUCMCGHRBBB_5TO10__</v>
      </c>
      <c r="H69" s="9" t="s">
        <v>1137</v>
      </c>
      <c r="K69" s="9">
        <f t="shared" ref="K69:K71" si="30">K68+1</f>
        <v>85</v>
      </c>
      <c r="L69" s="9" t="str">
        <f t="shared" si="28"/>
        <v>I</v>
      </c>
      <c r="M69" s="9" t="str">
        <f t="shared" si="1"/>
        <v>Input!I85</v>
      </c>
      <c r="N69" s="9">
        <f>_xlfn.XLOOKUP(F69,'Raw Data'!$I$4:$I$5000,'Raw Data'!$E$4:$E$5000,100,0)</f>
        <v>100</v>
      </c>
      <c r="O69" s="9" t="str">
        <f>IF(N69=0,_xlfn.XLOOKUP(F69,'Raw Data'!$I$4:$I$5000,'Raw Data'!$H$4:$H$5000,"",0),"")</f>
        <v/>
      </c>
      <c r="P69" s="9" t="str" cm="1">
        <f t="array" aca="1" ref="P69" ca="1">IF(INDIRECT(M69) = "","",INDIRECT(M69))</f>
        <v/>
      </c>
      <c r="Q69" s="359" t="s">
        <v>4381</v>
      </c>
    </row>
    <row r="70" spans="1:17" x14ac:dyDescent="0.35">
      <c r="A70" t="s">
        <v>1231</v>
      </c>
      <c r="E70" t="str">
        <f>_xlfn.XLOOKUP(F70,'Raw Data'!$I$4:$I$5000,'Raw Data'!$D$4:$D$5000,"*** Mnemonic not found ***",0)</f>
        <v>*** Mnemonic not found ***</v>
      </c>
      <c r="F70" t="str">
        <f t="shared" si="29"/>
        <v>SUCMCGHRBBB_10TO20__</v>
      </c>
      <c r="H70" s="9" t="s">
        <v>1137</v>
      </c>
      <c r="K70" s="9">
        <f t="shared" si="30"/>
        <v>86</v>
      </c>
      <c r="L70" s="9" t="str">
        <f t="shared" si="28"/>
        <v>I</v>
      </c>
      <c r="M70" s="9" t="str">
        <f t="shared" si="1"/>
        <v>Input!I86</v>
      </c>
      <c r="N70" s="9">
        <f>_xlfn.XLOOKUP(F70,'Raw Data'!$I$4:$I$5000,'Raw Data'!$E$4:$E$5000,100,0)</f>
        <v>100</v>
      </c>
      <c r="O70" s="9" t="str">
        <f>IF(N70=0,_xlfn.XLOOKUP(F70,'Raw Data'!$I$4:$I$5000,'Raw Data'!$H$4:$H$5000,"",0),"")</f>
        <v/>
      </c>
      <c r="P70" s="9" t="str" cm="1">
        <f t="array" aca="1" ref="P70" ca="1">IF(INDIRECT(M70) = "","",INDIRECT(M70))</f>
        <v/>
      </c>
      <c r="Q70" s="359" t="s">
        <v>4381</v>
      </c>
    </row>
    <row r="71" spans="1:17" x14ac:dyDescent="0.35">
      <c r="A71" t="s">
        <v>1232</v>
      </c>
      <c r="E71" t="str">
        <f>_xlfn.XLOOKUP(F71,'Raw Data'!$I$4:$I$5000,'Raw Data'!$D$4:$D$5000,"*** Mnemonic not found ***",0)</f>
        <v>*** Mnemonic not found ***</v>
      </c>
      <c r="F71" t="str">
        <f t="shared" si="29"/>
        <v>SUCMCGHRBBB_GRTR20__</v>
      </c>
      <c r="H71" s="9" t="s">
        <v>1137</v>
      </c>
      <c r="K71" s="9">
        <f t="shared" si="30"/>
        <v>87</v>
      </c>
      <c r="L71" s="9" t="str">
        <f t="shared" si="28"/>
        <v>I</v>
      </c>
      <c r="M71" s="9" t="str">
        <f t="shared" si="1"/>
        <v>Input!I87</v>
      </c>
      <c r="N71" s="9">
        <f>_xlfn.XLOOKUP(F71,'Raw Data'!$I$4:$I$5000,'Raw Data'!$E$4:$E$5000,100,0)</f>
        <v>100</v>
      </c>
      <c r="O71" s="9" t="str">
        <f>IF(N71=0,_xlfn.XLOOKUP(F71,'Raw Data'!$I$4:$I$5000,'Raw Data'!$H$4:$H$5000,"",0),"")</f>
        <v/>
      </c>
      <c r="P71" s="9" t="str" cm="1">
        <f t="array" aca="1" ref="P71" ca="1">IF(INDIRECT(M71) = "","",INDIRECT(M71))</f>
        <v/>
      </c>
      <c r="Q71" s="359" t="s">
        <v>4381</v>
      </c>
    </row>
    <row r="72" spans="1:17" x14ac:dyDescent="0.35">
      <c r="A72" t="s">
        <v>1233</v>
      </c>
      <c r="E72" t="str">
        <f>_xlfn.XLOOKUP(F72,'Raw Data'!$I$4:$I$5000,'Raw Data'!$D$4:$D$5000,"*** Mnemonic not found ***",0)</f>
        <v>*** Mnemonic not found ***</v>
      </c>
      <c r="F72" t="str">
        <f t="shared" si="29"/>
        <v>SUCMCGHRBB_LESS1__</v>
      </c>
      <c r="H72" s="9" t="s">
        <v>1137</v>
      </c>
      <c r="K72" s="9">
        <f>K67</f>
        <v>83</v>
      </c>
      <c r="L72" s="9" t="s">
        <v>1376</v>
      </c>
      <c r="M72" s="9" t="str">
        <f t="shared" si="1"/>
        <v>Input!J83</v>
      </c>
      <c r="N72" s="9">
        <f>_xlfn.XLOOKUP(F72,'Raw Data'!$I$4:$I$5000,'Raw Data'!$E$4:$E$5000,100,0)</f>
        <v>100</v>
      </c>
      <c r="O72" s="9" t="str">
        <f>IF(N72=0,_xlfn.XLOOKUP(F72,'Raw Data'!$I$4:$I$5000,'Raw Data'!$H$4:$H$5000,"",0),"")</f>
        <v/>
      </c>
      <c r="P72" s="9" t="str" cm="1">
        <f t="array" aca="1" ref="P72" ca="1">IF(INDIRECT(M72) = "","",INDIRECT(M72))</f>
        <v/>
      </c>
      <c r="Q72" s="359" t="s">
        <v>4381</v>
      </c>
    </row>
    <row r="73" spans="1:17" x14ac:dyDescent="0.35">
      <c r="A73" t="s">
        <v>1234</v>
      </c>
      <c r="E73" t="str">
        <f>_xlfn.XLOOKUP(F73,'Raw Data'!$I$4:$I$5000,'Raw Data'!$D$4:$D$5000,"*** Mnemonic not found ***",0)</f>
        <v>*** Mnemonic not found ***</v>
      </c>
      <c r="F73" t="str">
        <f t="shared" si="29"/>
        <v>SUCMCGHRBB_1TO5__</v>
      </c>
      <c r="H73" s="9" t="s">
        <v>1137</v>
      </c>
      <c r="K73" s="9">
        <f>K72+1</f>
        <v>84</v>
      </c>
      <c r="L73" s="9" t="str">
        <f t="shared" ref="L73:L76" si="31">L72</f>
        <v>J</v>
      </c>
      <c r="M73" s="9" t="str">
        <f t="shared" si="1"/>
        <v>Input!J84</v>
      </c>
      <c r="N73" s="9">
        <f>_xlfn.XLOOKUP(F73,'Raw Data'!$I$4:$I$5000,'Raw Data'!$E$4:$E$5000,100,0)</f>
        <v>100</v>
      </c>
      <c r="O73" s="9" t="str">
        <f>IF(N73=0,_xlfn.XLOOKUP(F73,'Raw Data'!$I$4:$I$5000,'Raw Data'!$H$4:$H$5000,"",0),"")</f>
        <v/>
      </c>
      <c r="P73" s="9" t="str" cm="1">
        <f t="array" aca="1" ref="P73" ca="1">IF(INDIRECT(M73) = "","",INDIRECT(M73))</f>
        <v/>
      </c>
      <c r="Q73" s="359" t="s">
        <v>4381</v>
      </c>
    </row>
    <row r="74" spans="1:17" x14ac:dyDescent="0.35">
      <c r="A74" t="s">
        <v>1235</v>
      </c>
      <c r="E74" t="str">
        <f>_xlfn.XLOOKUP(F74,'Raw Data'!$I$4:$I$5000,'Raw Data'!$D$4:$D$5000,"*** Mnemonic not found ***",0)</f>
        <v>*** Mnemonic not found ***</v>
      </c>
      <c r="F74" t="str">
        <f t="shared" si="29"/>
        <v>SUCMCGHRBB_5TO10__</v>
      </c>
      <c r="H74" s="9" t="s">
        <v>1137</v>
      </c>
      <c r="K74" s="9">
        <f t="shared" ref="K74:K76" si="32">K73+1</f>
        <v>85</v>
      </c>
      <c r="L74" s="9" t="str">
        <f t="shared" si="31"/>
        <v>J</v>
      </c>
      <c r="M74" s="9" t="str">
        <f t="shared" si="1"/>
        <v>Input!J85</v>
      </c>
      <c r="N74" s="9">
        <f>_xlfn.XLOOKUP(F74,'Raw Data'!$I$4:$I$5000,'Raw Data'!$E$4:$E$5000,100,0)</f>
        <v>100</v>
      </c>
      <c r="O74" s="9" t="str">
        <f>IF(N74=0,_xlfn.XLOOKUP(F74,'Raw Data'!$I$4:$I$5000,'Raw Data'!$H$4:$H$5000,"",0),"")</f>
        <v/>
      </c>
      <c r="P74" s="9" t="str" cm="1">
        <f t="array" aca="1" ref="P74" ca="1">IF(INDIRECT(M74) = "","",INDIRECT(M74))</f>
        <v/>
      </c>
      <c r="Q74" s="359" t="s">
        <v>4381</v>
      </c>
    </row>
    <row r="75" spans="1:17" x14ac:dyDescent="0.35">
      <c r="A75" t="s">
        <v>1236</v>
      </c>
      <c r="E75" t="str">
        <f>_xlfn.XLOOKUP(F75,'Raw Data'!$I$4:$I$5000,'Raw Data'!$D$4:$D$5000,"*** Mnemonic not found ***",0)</f>
        <v>*** Mnemonic not found ***</v>
      </c>
      <c r="F75" t="str">
        <f t="shared" si="29"/>
        <v>SUCMCGHRBB_10TO20__</v>
      </c>
      <c r="H75" s="9" t="s">
        <v>1137</v>
      </c>
      <c r="K75" s="9">
        <f t="shared" si="32"/>
        <v>86</v>
      </c>
      <c r="L75" s="9" t="str">
        <f t="shared" si="31"/>
        <v>J</v>
      </c>
      <c r="M75" s="9" t="str">
        <f t="shared" si="1"/>
        <v>Input!J86</v>
      </c>
      <c r="N75" s="9">
        <f>_xlfn.XLOOKUP(F75,'Raw Data'!$I$4:$I$5000,'Raw Data'!$E$4:$E$5000,100,0)</f>
        <v>100</v>
      </c>
      <c r="O75" s="9" t="str">
        <f>IF(N75=0,_xlfn.XLOOKUP(F75,'Raw Data'!$I$4:$I$5000,'Raw Data'!$H$4:$H$5000,"",0),"")</f>
        <v/>
      </c>
      <c r="P75" s="9" t="str" cm="1">
        <f t="array" aca="1" ref="P75" ca="1">IF(INDIRECT(M75) = "","",INDIRECT(M75))</f>
        <v/>
      </c>
      <c r="Q75" s="359" t="s">
        <v>4381</v>
      </c>
    </row>
    <row r="76" spans="1:17" x14ac:dyDescent="0.35">
      <c r="A76" t="s">
        <v>1237</v>
      </c>
      <c r="E76" t="str">
        <f>_xlfn.XLOOKUP(F76,'Raw Data'!$I$4:$I$5000,'Raw Data'!$D$4:$D$5000,"*** Mnemonic not found ***",0)</f>
        <v>*** Mnemonic not found ***</v>
      </c>
      <c r="F76" t="str">
        <f t="shared" si="29"/>
        <v>SUCMCGHRBB_GRTR20__</v>
      </c>
      <c r="H76" s="9" t="s">
        <v>1137</v>
      </c>
      <c r="K76" s="9">
        <f t="shared" si="32"/>
        <v>87</v>
      </c>
      <c r="L76" s="9" t="str">
        <f t="shared" si="31"/>
        <v>J</v>
      </c>
      <c r="M76" s="9" t="str">
        <f t="shared" si="1"/>
        <v>Input!J87</v>
      </c>
      <c r="N76" s="9">
        <f>_xlfn.XLOOKUP(F76,'Raw Data'!$I$4:$I$5000,'Raw Data'!$E$4:$E$5000,100,0)</f>
        <v>100</v>
      </c>
      <c r="O76" s="9" t="str">
        <f>IF(N76=0,_xlfn.XLOOKUP(F76,'Raw Data'!$I$4:$I$5000,'Raw Data'!$H$4:$H$5000,"",0),"")</f>
        <v/>
      </c>
      <c r="P76" s="9" t="str" cm="1">
        <f t="array" aca="1" ref="P76" ca="1">IF(INDIRECT(M76) = "","",INDIRECT(M76))</f>
        <v/>
      </c>
      <c r="Q76" s="359" t="s">
        <v>4381</v>
      </c>
    </row>
    <row r="77" spans="1:17" x14ac:dyDescent="0.35">
      <c r="A77" t="s">
        <v>1238</v>
      </c>
      <c r="E77" t="str">
        <f>_xlfn.XLOOKUP(F77,'Raw Data'!$I$4:$I$5000,'Raw Data'!$D$4:$D$5000,"*** Mnemonic not found ***",0)</f>
        <v>*** Mnemonic not found ***</v>
      </c>
      <c r="F77" t="str">
        <f t="shared" si="29"/>
        <v>SUCMCGHRB_LESS1__</v>
      </c>
      <c r="H77" s="9" t="s">
        <v>1137</v>
      </c>
      <c r="K77" s="9">
        <f>K72</f>
        <v>83</v>
      </c>
      <c r="L77" s="9" t="s">
        <v>1377</v>
      </c>
      <c r="M77" s="9" t="str">
        <f t="shared" si="1"/>
        <v>Input!K83</v>
      </c>
      <c r="N77" s="9">
        <f>_xlfn.XLOOKUP(F77,'Raw Data'!$I$4:$I$5000,'Raw Data'!$E$4:$E$5000,100,0)</f>
        <v>100</v>
      </c>
      <c r="O77" s="9" t="str">
        <f>IF(N77=0,_xlfn.XLOOKUP(F77,'Raw Data'!$I$4:$I$5000,'Raw Data'!$H$4:$H$5000,"",0),"")</f>
        <v/>
      </c>
      <c r="P77" s="9" t="str" cm="1">
        <f t="array" aca="1" ref="P77" ca="1">IF(INDIRECT(M77) = "","",INDIRECT(M77))</f>
        <v/>
      </c>
      <c r="Q77" s="359" t="s">
        <v>4381</v>
      </c>
    </row>
    <row r="78" spans="1:17" x14ac:dyDescent="0.35">
      <c r="A78" t="s">
        <v>1239</v>
      </c>
      <c r="E78" t="str">
        <f>_xlfn.XLOOKUP(F78,'Raw Data'!$I$4:$I$5000,'Raw Data'!$D$4:$D$5000,"*** Mnemonic not found ***",0)</f>
        <v>*** Mnemonic not found ***</v>
      </c>
      <c r="F78" t="str">
        <f t="shared" si="29"/>
        <v>SUCMCGHRB_1TO5__</v>
      </c>
      <c r="H78" s="9" t="s">
        <v>1137</v>
      </c>
      <c r="K78" s="9">
        <f>K77+1</f>
        <v>84</v>
      </c>
      <c r="L78" s="9" t="str">
        <f t="shared" ref="L78:L81" si="33">L77</f>
        <v>K</v>
      </c>
      <c r="M78" s="9" t="str">
        <f t="shared" si="1"/>
        <v>Input!K84</v>
      </c>
      <c r="N78" s="9">
        <f>_xlfn.XLOOKUP(F78,'Raw Data'!$I$4:$I$5000,'Raw Data'!$E$4:$E$5000,100,0)</f>
        <v>100</v>
      </c>
      <c r="O78" s="9" t="str">
        <f>IF(N78=0,_xlfn.XLOOKUP(F78,'Raw Data'!$I$4:$I$5000,'Raw Data'!$H$4:$H$5000,"",0),"")</f>
        <v/>
      </c>
      <c r="P78" s="9" t="str" cm="1">
        <f t="array" aca="1" ref="P78" ca="1">IF(INDIRECT(M78) = "","",INDIRECT(M78))</f>
        <v/>
      </c>
      <c r="Q78" s="359" t="s">
        <v>4381</v>
      </c>
    </row>
    <row r="79" spans="1:17" x14ac:dyDescent="0.35">
      <c r="A79" t="s">
        <v>1240</v>
      </c>
      <c r="E79" t="str">
        <f>_xlfn.XLOOKUP(F79,'Raw Data'!$I$4:$I$5000,'Raw Data'!$D$4:$D$5000,"*** Mnemonic not found ***",0)</f>
        <v>*** Mnemonic not found ***</v>
      </c>
      <c r="F79" t="str">
        <f t="shared" si="29"/>
        <v>SUCMCGHRB_5TO10__</v>
      </c>
      <c r="H79" s="9" t="s">
        <v>1137</v>
      </c>
      <c r="K79" s="9">
        <f t="shared" ref="K79:K81" si="34">K78+1</f>
        <v>85</v>
      </c>
      <c r="L79" s="9" t="str">
        <f t="shared" si="33"/>
        <v>K</v>
      </c>
      <c r="M79" s="9" t="str">
        <f t="shared" ref="M79:M142" si="35">CONCATENATE(H79,"!",L79,K79)</f>
        <v>Input!K85</v>
      </c>
      <c r="N79" s="9">
        <f>_xlfn.XLOOKUP(F79,'Raw Data'!$I$4:$I$5000,'Raw Data'!$E$4:$E$5000,100,0)</f>
        <v>100</v>
      </c>
      <c r="O79" s="9" t="str">
        <f>IF(N79=0,_xlfn.XLOOKUP(F79,'Raw Data'!$I$4:$I$5000,'Raw Data'!$H$4:$H$5000,"",0),"")</f>
        <v/>
      </c>
      <c r="P79" s="9" t="str" cm="1">
        <f t="array" aca="1" ref="P79" ca="1">IF(INDIRECT(M79) = "","",INDIRECT(M79))</f>
        <v/>
      </c>
      <c r="Q79" s="359" t="s">
        <v>4381</v>
      </c>
    </row>
    <row r="80" spans="1:17" x14ac:dyDescent="0.35">
      <c r="A80" t="s">
        <v>1241</v>
      </c>
      <c r="E80" t="str">
        <f>_xlfn.XLOOKUP(F80,'Raw Data'!$I$4:$I$5000,'Raw Data'!$D$4:$D$5000,"*** Mnemonic not found ***",0)</f>
        <v>*** Mnemonic not found ***</v>
      </c>
      <c r="F80" t="str">
        <f t="shared" si="29"/>
        <v>SUCMCGHRB_10TO20__</v>
      </c>
      <c r="H80" s="9" t="s">
        <v>1137</v>
      </c>
      <c r="K80" s="9">
        <f t="shared" si="34"/>
        <v>86</v>
      </c>
      <c r="L80" s="9" t="str">
        <f t="shared" si="33"/>
        <v>K</v>
      </c>
      <c r="M80" s="9" t="str">
        <f t="shared" si="35"/>
        <v>Input!K86</v>
      </c>
      <c r="N80" s="9">
        <f>_xlfn.XLOOKUP(F80,'Raw Data'!$I$4:$I$5000,'Raw Data'!$E$4:$E$5000,100,0)</f>
        <v>100</v>
      </c>
      <c r="O80" s="9" t="str">
        <f>IF(N80=0,_xlfn.XLOOKUP(F80,'Raw Data'!$I$4:$I$5000,'Raw Data'!$H$4:$H$5000,"",0),"")</f>
        <v/>
      </c>
      <c r="P80" s="9" t="str" cm="1">
        <f t="array" aca="1" ref="P80" ca="1">IF(INDIRECT(M80) = "","",INDIRECT(M80))</f>
        <v/>
      </c>
      <c r="Q80" s="359" t="s">
        <v>4381</v>
      </c>
    </row>
    <row r="81" spans="1:17" x14ac:dyDescent="0.35">
      <c r="A81" t="s">
        <v>1242</v>
      </c>
      <c r="E81" t="str">
        <f>_xlfn.XLOOKUP(F81,'Raw Data'!$I$4:$I$5000,'Raw Data'!$D$4:$D$5000,"*** Mnemonic not found ***",0)</f>
        <v>*** Mnemonic not found ***</v>
      </c>
      <c r="F81" t="str">
        <f t="shared" si="29"/>
        <v>SUCMCGHRB_GRTR20__</v>
      </c>
      <c r="H81" s="9" t="s">
        <v>1137</v>
      </c>
      <c r="K81" s="9">
        <f t="shared" si="34"/>
        <v>87</v>
      </c>
      <c r="L81" s="9" t="str">
        <f t="shared" si="33"/>
        <v>K</v>
      </c>
      <c r="M81" s="9" t="str">
        <f t="shared" si="35"/>
        <v>Input!K87</v>
      </c>
      <c r="N81" s="9">
        <f>_xlfn.XLOOKUP(F81,'Raw Data'!$I$4:$I$5000,'Raw Data'!$E$4:$E$5000,100,0)</f>
        <v>100</v>
      </c>
      <c r="O81" s="9" t="str">
        <f>IF(N81=0,_xlfn.XLOOKUP(F81,'Raw Data'!$I$4:$I$5000,'Raw Data'!$H$4:$H$5000,"",0),"")</f>
        <v/>
      </c>
      <c r="P81" s="9" t="str" cm="1">
        <f t="array" aca="1" ref="P81" ca="1">IF(INDIRECT(M81) = "","",INDIRECT(M81))</f>
        <v/>
      </c>
      <c r="Q81" s="359" t="s">
        <v>4381</v>
      </c>
    </row>
    <row r="82" spans="1:17" x14ac:dyDescent="0.35">
      <c r="A82" t="s">
        <v>1243</v>
      </c>
      <c r="E82" t="str">
        <f>_xlfn.XLOOKUP(F82,'Raw Data'!$I$4:$I$5000,'Raw Data'!$D$4:$D$5000,"*** Mnemonic not found ***",0)</f>
        <v>*** Mnemonic not found ***</v>
      </c>
      <c r="F82" t="str">
        <f t="shared" si="29"/>
        <v>SUCMCGHRCCC_LESS1__</v>
      </c>
      <c r="H82" s="9" t="s">
        <v>1137</v>
      </c>
      <c r="K82" s="9">
        <f>K77</f>
        <v>83</v>
      </c>
      <c r="L82" s="9" t="s">
        <v>1378</v>
      </c>
      <c r="M82" s="9" t="str">
        <f t="shared" si="35"/>
        <v>Input!L83</v>
      </c>
      <c r="N82" s="9">
        <f>_xlfn.XLOOKUP(F82,'Raw Data'!$I$4:$I$5000,'Raw Data'!$E$4:$E$5000,100,0)</f>
        <v>100</v>
      </c>
      <c r="O82" s="9" t="str">
        <f>IF(N82=0,_xlfn.XLOOKUP(F82,'Raw Data'!$I$4:$I$5000,'Raw Data'!$H$4:$H$5000,"",0),"")</f>
        <v/>
      </c>
      <c r="P82" s="9" t="str" cm="1">
        <f t="array" aca="1" ref="P82" ca="1">IF(INDIRECT(M82) = "","",INDIRECT(M82))</f>
        <v/>
      </c>
      <c r="Q82" s="359" t="s">
        <v>4381</v>
      </c>
    </row>
    <row r="83" spans="1:17" x14ac:dyDescent="0.35">
      <c r="A83" t="s">
        <v>1244</v>
      </c>
      <c r="E83" t="str">
        <f>_xlfn.XLOOKUP(F83,'Raw Data'!$I$4:$I$5000,'Raw Data'!$D$4:$D$5000,"*** Mnemonic not found ***",0)</f>
        <v>*** Mnemonic not found ***</v>
      </c>
      <c r="F83" t="str">
        <f t="shared" si="29"/>
        <v>SUCMCGHRCCC_1TO5__</v>
      </c>
      <c r="H83" s="9" t="s">
        <v>1137</v>
      </c>
      <c r="K83" s="9">
        <f>K82+1</f>
        <v>84</v>
      </c>
      <c r="L83" s="9" t="str">
        <f t="shared" ref="L83:L86" si="36">L82</f>
        <v>L</v>
      </c>
      <c r="M83" s="9" t="str">
        <f t="shared" si="35"/>
        <v>Input!L84</v>
      </c>
      <c r="N83" s="9">
        <f>_xlfn.XLOOKUP(F83,'Raw Data'!$I$4:$I$5000,'Raw Data'!$E$4:$E$5000,100,0)</f>
        <v>100</v>
      </c>
      <c r="O83" s="9" t="str">
        <f>IF(N83=0,_xlfn.XLOOKUP(F83,'Raw Data'!$I$4:$I$5000,'Raw Data'!$H$4:$H$5000,"",0),"")</f>
        <v/>
      </c>
      <c r="P83" s="9" t="str" cm="1">
        <f t="array" aca="1" ref="P83" ca="1">IF(INDIRECT(M83) = "","",INDIRECT(M83))</f>
        <v/>
      </c>
      <c r="Q83" s="359" t="s">
        <v>4381</v>
      </c>
    </row>
    <row r="84" spans="1:17" x14ac:dyDescent="0.35">
      <c r="A84" t="s">
        <v>1245</v>
      </c>
      <c r="E84" t="str">
        <f>_xlfn.XLOOKUP(F84,'Raw Data'!$I$4:$I$5000,'Raw Data'!$D$4:$D$5000,"*** Mnemonic not found ***",0)</f>
        <v>*** Mnemonic not found ***</v>
      </c>
      <c r="F84" t="str">
        <f t="shared" si="29"/>
        <v>SUCMCGHRCCC_5TO10__</v>
      </c>
      <c r="H84" s="9" t="s">
        <v>1137</v>
      </c>
      <c r="K84" s="9">
        <f t="shared" ref="K84:K86" si="37">K83+1</f>
        <v>85</v>
      </c>
      <c r="L84" s="9" t="str">
        <f t="shared" si="36"/>
        <v>L</v>
      </c>
      <c r="M84" s="9" t="str">
        <f t="shared" si="35"/>
        <v>Input!L85</v>
      </c>
      <c r="N84" s="9">
        <f>_xlfn.XLOOKUP(F84,'Raw Data'!$I$4:$I$5000,'Raw Data'!$E$4:$E$5000,100,0)</f>
        <v>100</v>
      </c>
      <c r="O84" s="9" t="str">
        <f>IF(N84=0,_xlfn.XLOOKUP(F84,'Raw Data'!$I$4:$I$5000,'Raw Data'!$H$4:$H$5000,"",0),"")</f>
        <v/>
      </c>
      <c r="P84" s="9" t="str" cm="1">
        <f t="array" aca="1" ref="P84" ca="1">IF(INDIRECT(M84) = "","",INDIRECT(M84))</f>
        <v/>
      </c>
      <c r="Q84" s="359" t="s">
        <v>4381</v>
      </c>
    </row>
    <row r="85" spans="1:17" x14ac:dyDescent="0.35">
      <c r="A85" t="s">
        <v>1246</v>
      </c>
      <c r="E85" t="str">
        <f>_xlfn.XLOOKUP(F85,'Raw Data'!$I$4:$I$5000,'Raw Data'!$D$4:$D$5000,"*** Mnemonic not found ***",0)</f>
        <v>*** Mnemonic not found ***</v>
      </c>
      <c r="F85" t="str">
        <f t="shared" si="29"/>
        <v>SUCMCGHRCCC_10TO20__</v>
      </c>
      <c r="H85" s="9" t="s">
        <v>1137</v>
      </c>
      <c r="K85" s="9">
        <f t="shared" si="37"/>
        <v>86</v>
      </c>
      <c r="L85" s="9" t="str">
        <f t="shared" si="36"/>
        <v>L</v>
      </c>
      <c r="M85" s="9" t="str">
        <f t="shared" si="35"/>
        <v>Input!L86</v>
      </c>
      <c r="N85" s="9">
        <f>_xlfn.XLOOKUP(F85,'Raw Data'!$I$4:$I$5000,'Raw Data'!$E$4:$E$5000,100,0)</f>
        <v>100</v>
      </c>
      <c r="O85" s="9" t="str">
        <f>IF(N85=0,_xlfn.XLOOKUP(F85,'Raw Data'!$I$4:$I$5000,'Raw Data'!$H$4:$H$5000,"",0),"")</f>
        <v/>
      </c>
      <c r="P85" s="9" t="str" cm="1">
        <f t="array" aca="1" ref="P85" ca="1">IF(INDIRECT(M85) = "","",INDIRECT(M85))</f>
        <v/>
      </c>
      <c r="Q85" s="359" t="s">
        <v>4381</v>
      </c>
    </row>
    <row r="86" spans="1:17" x14ac:dyDescent="0.35">
      <c r="A86" t="s">
        <v>1247</v>
      </c>
      <c r="E86" t="str">
        <f>_xlfn.XLOOKUP(F86,'Raw Data'!$I$4:$I$5000,'Raw Data'!$D$4:$D$5000,"*** Mnemonic not found ***",0)</f>
        <v>*** Mnemonic not found ***</v>
      </c>
      <c r="F86" t="str">
        <f t="shared" si="29"/>
        <v>SUCMCGHRCCC_GRTR20__</v>
      </c>
      <c r="H86" s="9" t="s">
        <v>1137</v>
      </c>
      <c r="K86" s="9">
        <f t="shared" si="37"/>
        <v>87</v>
      </c>
      <c r="L86" s="9" t="str">
        <f t="shared" si="36"/>
        <v>L</v>
      </c>
      <c r="M86" s="9" t="str">
        <f t="shared" si="35"/>
        <v>Input!L87</v>
      </c>
      <c r="N86" s="9">
        <f>_xlfn.XLOOKUP(F86,'Raw Data'!$I$4:$I$5000,'Raw Data'!$E$4:$E$5000,100,0)</f>
        <v>100</v>
      </c>
      <c r="O86" s="9" t="str">
        <f>IF(N86=0,_xlfn.XLOOKUP(F86,'Raw Data'!$I$4:$I$5000,'Raw Data'!$H$4:$H$5000,"",0),"")</f>
        <v/>
      </c>
      <c r="P86" s="9" t="str" cm="1">
        <f t="array" aca="1" ref="P86" ca="1">IF(INDIRECT(M86) = "","",INDIRECT(M86))</f>
        <v/>
      </c>
      <c r="Q86" s="359" t="s">
        <v>4381</v>
      </c>
    </row>
    <row r="87" spans="1:17" x14ac:dyDescent="0.35">
      <c r="A87" t="s">
        <v>1248</v>
      </c>
      <c r="E87" t="str">
        <f>_xlfn.XLOOKUP(F87,'Raw Data'!$I$4:$I$5000,'Raw Data'!$D$4:$D$5000,"*** Mnemonic not found ***",0)</f>
        <v>*** Mnemonic not found ***</v>
      </c>
      <c r="F87" t="str">
        <f t="shared" si="29"/>
        <v>SUCMCGHRD_LESS1__</v>
      </c>
      <c r="H87" s="9" t="s">
        <v>1137</v>
      </c>
      <c r="K87" s="9">
        <f>K82</f>
        <v>83</v>
      </c>
      <c r="L87" s="9" t="s">
        <v>1374</v>
      </c>
      <c r="M87" s="9" t="str">
        <f t="shared" si="35"/>
        <v>Input!M83</v>
      </c>
      <c r="N87" s="9">
        <f>_xlfn.XLOOKUP(F87,'Raw Data'!$I$4:$I$5000,'Raw Data'!$E$4:$E$5000,100,0)</f>
        <v>100</v>
      </c>
      <c r="O87" s="9" t="str">
        <f>IF(N87=0,_xlfn.XLOOKUP(F87,'Raw Data'!$I$4:$I$5000,'Raw Data'!$H$4:$H$5000,"",0),"")</f>
        <v/>
      </c>
      <c r="P87" s="9" t="str" cm="1">
        <f t="array" aca="1" ref="P87" ca="1">IF(INDIRECT(M87) = "","",INDIRECT(M87))</f>
        <v/>
      </c>
      <c r="Q87" s="359" t="s">
        <v>4381</v>
      </c>
    </row>
    <row r="88" spans="1:17" x14ac:dyDescent="0.35">
      <c r="A88" t="s">
        <v>1249</v>
      </c>
      <c r="E88" t="str">
        <f>_xlfn.XLOOKUP(F88,'Raw Data'!$I$4:$I$5000,'Raw Data'!$D$4:$D$5000,"*** Mnemonic not found ***",0)</f>
        <v>*** Mnemonic not found ***</v>
      </c>
      <c r="F88" t="str">
        <f t="shared" si="29"/>
        <v>SUCMCGHRD_1TO5__</v>
      </c>
      <c r="H88" s="9" t="s">
        <v>1137</v>
      </c>
      <c r="K88" s="9">
        <f>K87+1</f>
        <v>84</v>
      </c>
      <c r="L88" s="9" t="str">
        <f t="shared" ref="L88:L91" si="38">L87</f>
        <v>M</v>
      </c>
      <c r="M88" s="9" t="str">
        <f t="shared" si="35"/>
        <v>Input!M84</v>
      </c>
      <c r="N88" s="9">
        <f>_xlfn.XLOOKUP(F88,'Raw Data'!$I$4:$I$5000,'Raw Data'!$E$4:$E$5000,100,0)</f>
        <v>100</v>
      </c>
      <c r="O88" s="9" t="str">
        <f>IF(N88=0,_xlfn.XLOOKUP(F88,'Raw Data'!$I$4:$I$5000,'Raw Data'!$H$4:$H$5000,"",0),"")</f>
        <v/>
      </c>
      <c r="P88" s="9" t="str" cm="1">
        <f t="array" aca="1" ref="P88" ca="1">IF(INDIRECT(M88) = "","",INDIRECT(M88))</f>
        <v/>
      </c>
      <c r="Q88" s="359" t="s">
        <v>4381</v>
      </c>
    </row>
    <row r="89" spans="1:17" x14ac:dyDescent="0.35">
      <c r="A89" t="s">
        <v>1250</v>
      </c>
      <c r="E89" t="str">
        <f>_xlfn.XLOOKUP(F89,'Raw Data'!$I$4:$I$5000,'Raw Data'!$D$4:$D$5000,"*** Mnemonic not found ***",0)</f>
        <v>*** Mnemonic not found ***</v>
      </c>
      <c r="F89" t="str">
        <f t="shared" si="29"/>
        <v>SUCMCGHRD_5TO10__</v>
      </c>
      <c r="H89" s="9" t="s">
        <v>1137</v>
      </c>
      <c r="K89" s="9">
        <f t="shared" ref="K89:K91" si="39">K88+1</f>
        <v>85</v>
      </c>
      <c r="L89" s="9" t="str">
        <f t="shared" si="38"/>
        <v>M</v>
      </c>
      <c r="M89" s="9" t="str">
        <f t="shared" si="35"/>
        <v>Input!M85</v>
      </c>
      <c r="N89" s="9">
        <f>_xlfn.XLOOKUP(F89,'Raw Data'!$I$4:$I$5000,'Raw Data'!$E$4:$E$5000,100,0)</f>
        <v>100</v>
      </c>
      <c r="O89" s="9" t="str">
        <f>IF(N89=0,_xlfn.XLOOKUP(F89,'Raw Data'!$I$4:$I$5000,'Raw Data'!$H$4:$H$5000,"",0),"")</f>
        <v/>
      </c>
      <c r="P89" s="9" t="str" cm="1">
        <f t="array" aca="1" ref="P89" ca="1">IF(INDIRECT(M89) = "","",INDIRECT(M89))</f>
        <v/>
      </c>
      <c r="Q89" s="359" t="s">
        <v>4381</v>
      </c>
    </row>
    <row r="90" spans="1:17" x14ac:dyDescent="0.35">
      <c r="A90" t="s">
        <v>1251</v>
      </c>
      <c r="E90" t="str">
        <f>_xlfn.XLOOKUP(F90,'Raw Data'!$I$4:$I$5000,'Raw Data'!$D$4:$D$5000,"*** Mnemonic not found ***",0)</f>
        <v>*** Mnemonic not found ***</v>
      </c>
      <c r="F90" t="str">
        <f t="shared" si="29"/>
        <v>SUCMCGHRD_10TO20__</v>
      </c>
      <c r="H90" s="9" t="s">
        <v>1137</v>
      </c>
      <c r="K90" s="9">
        <f t="shared" si="39"/>
        <v>86</v>
      </c>
      <c r="L90" s="9" t="str">
        <f t="shared" si="38"/>
        <v>M</v>
      </c>
      <c r="M90" s="9" t="str">
        <f t="shared" si="35"/>
        <v>Input!M86</v>
      </c>
      <c r="N90" s="9">
        <f>_xlfn.XLOOKUP(F90,'Raw Data'!$I$4:$I$5000,'Raw Data'!$E$4:$E$5000,100,0)</f>
        <v>100</v>
      </c>
      <c r="O90" s="9" t="str">
        <f>IF(N90=0,_xlfn.XLOOKUP(F90,'Raw Data'!$I$4:$I$5000,'Raw Data'!$H$4:$H$5000,"",0),"")</f>
        <v/>
      </c>
      <c r="P90" s="9" t="str" cm="1">
        <f t="array" aca="1" ref="P90" ca="1">IF(INDIRECT(M90) = "","",INDIRECT(M90))</f>
        <v/>
      </c>
      <c r="Q90" s="359" t="s">
        <v>4381</v>
      </c>
    </row>
    <row r="91" spans="1:17" x14ac:dyDescent="0.35">
      <c r="A91" t="s">
        <v>1252</v>
      </c>
      <c r="E91" t="str">
        <f>_xlfn.XLOOKUP(F91,'Raw Data'!$I$4:$I$5000,'Raw Data'!$D$4:$D$5000,"*** Mnemonic not found ***",0)</f>
        <v>*** Mnemonic not found ***</v>
      </c>
      <c r="F91" t="str">
        <f t="shared" si="29"/>
        <v>SUCMCGHRD_GRTR20__</v>
      </c>
      <c r="H91" s="9" t="s">
        <v>1137</v>
      </c>
      <c r="K91" s="9">
        <f t="shared" si="39"/>
        <v>87</v>
      </c>
      <c r="L91" s="9" t="str">
        <f t="shared" si="38"/>
        <v>M</v>
      </c>
      <c r="M91" s="9" t="str">
        <f t="shared" si="35"/>
        <v>Input!M87</v>
      </c>
      <c r="N91" s="9">
        <f>_xlfn.XLOOKUP(F91,'Raw Data'!$I$4:$I$5000,'Raw Data'!$E$4:$E$5000,100,0)</f>
        <v>100</v>
      </c>
      <c r="O91" s="9" t="str">
        <f>IF(N91=0,_xlfn.XLOOKUP(F91,'Raw Data'!$I$4:$I$5000,'Raw Data'!$H$4:$H$5000,"",0),"")</f>
        <v/>
      </c>
      <c r="P91" s="9" t="str" cm="1">
        <f t="array" aca="1" ref="P91" ca="1">IF(INDIRECT(M91) = "","",INDIRECT(M91))</f>
        <v/>
      </c>
      <c r="Q91" s="359" t="s">
        <v>4381</v>
      </c>
    </row>
    <row r="92" spans="1:17" x14ac:dyDescent="0.35">
      <c r="A92" t="s">
        <v>1253</v>
      </c>
      <c r="E92" t="str">
        <f>_xlfn.XLOOKUP(F92,'Raw Data'!$I$4:$I$5000,'Raw Data'!$D$4:$D$5000,"*** Mnemonic not found ***",0)</f>
        <v>*** Mnemonic not found ***</v>
      </c>
      <c r="F92" t="str">
        <f t="shared" si="29"/>
        <v>SUCMCGMRAAA_LESS1__</v>
      </c>
      <c r="H92" s="9" t="s">
        <v>1137</v>
      </c>
      <c r="I92" s="289">
        <f>ROW(section_bonds_sp_rated)</f>
        <v>79</v>
      </c>
      <c r="J92" s="9">
        <f>J52+8</f>
        <v>12</v>
      </c>
      <c r="K92" s="9">
        <f>I92+J92</f>
        <v>91</v>
      </c>
      <c r="L92" s="9" t="s">
        <v>1124</v>
      </c>
      <c r="M92" s="9" t="str">
        <f t="shared" si="35"/>
        <v>Input!F91</v>
      </c>
      <c r="N92" s="9">
        <f>_xlfn.XLOOKUP(F92,'Raw Data'!$I$4:$I$5000,'Raw Data'!$E$4:$E$5000,100,0)</f>
        <v>100</v>
      </c>
      <c r="O92" s="9" t="str">
        <f>IF(N92=0,_xlfn.XLOOKUP(F92,'Raw Data'!$I$4:$I$5000,'Raw Data'!$H$4:$H$5000,"",0),"")</f>
        <v/>
      </c>
      <c r="P92" s="9" t="str" cm="1">
        <f t="array" aca="1" ref="P92" ca="1">IF(INDIRECT(M92) = "","",INDIRECT(M92))</f>
        <v/>
      </c>
      <c r="Q92" s="359" t="s">
        <v>4381</v>
      </c>
    </row>
    <row r="93" spans="1:17" x14ac:dyDescent="0.35">
      <c r="A93" t="s">
        <v>1254</v>
      </c>
      <c r="E93" t="str">
        <f>_xlfn.XLOOKUP(F93,'Raw Data'!$I$4:$I$5000,'Raw Data'!$D$4:$D$5000,"*** Mnemonic not found ***",0)</f>
        <v>*** Mnemonic not found ***</v>
      </c>
      <c r="F93" t="str">
        <f t="shared" si="29"/>
        <v>SUCMCGMRAAA_1TO5__</v>
      </c>
      <c r="H93" s="9" t="s">
        <v>1137</v>
      </c>
      <c r="K93" s="9">
        <f>K92+1</f>
        <v>92</v>
      </c>
      <c r="L93" s="9" t="str">
        <f t="shared" ref="L93:L96" si="40">L92</f>
        <v>F</v>
      </c>
      <c r="M93" s="9" t="str">
        <f t="shared" si="35"/>
        <v>Input!F92</v>
      </c>
      <c r="N93" s="9">
        <f>_xlfn.XLOOKUP(F93,'Raw Data'!$I$4:$I$5000,'Raw Data'!$E$4:$E$5000,100,0)</f>
        <v>100</v>
      </c>
      <c r="O93" s="9" t="str">
        <f>IF(N93=0,_xlfn.XLOOKUP(F93,'Raw Data'!$I$4:$I$5000,'Raw Data'!$H$4:$H$5000,"",0),"")</f>
        <v/>
      </c>
      <c r="P93" s="9" t="str" cm="1">
        <f t="array" aca="1" ref="P93" ca="1">IF(INDIRECT(M93) = "","",INDIRECT(M93))</f>
        <v/>
      </c>
      <c r="Q93" s="359" t="s">
        <v>4381</v>
      </c>
    </row>
    <row r="94" spans="1:17" x14ac:dyDescent="0.35">
      <c r="A94" t="s">
        <v>1255</v>
      </c>
      <c r="E94" t="str">
        <f>_xlfn.XLOOKUP(F94,'Raw Data'!$I$4:$I$5000,'Raw Data'!$D$4:$D$5000,"*** Mnemonic not found ***",0)</f>
        <v>*** Mnemonic not found ***</v>
      </c>
      <c r="F94" t="str">
        <f t="shared" si="29"/>
        <v>SUCMCGMRAAA_5TO10__</v>
      </c>
      <c r="H94" s="9" t="s">
        <v>1137</v>
      </c>
      <c r="K94" s="9">
        <f t="shared" ref="K94:K96" si="41">K93+1</f>
        <v>93</v>
      </c>
      <c r="L94" s="9" t="str">
        <f t="shared" si="40"/>
        <v>F</v>
      </c>
      <c r="M94" s="9" t="str">
        <f t="shared" si="35"/>
        <v>Input!F93</v>
      </c>
      <c r="N94" s="9">
        <f>_xlfn.XLOOKUP(F94,'Raw Data'!$I$4:$I$5000,'Raw Data'!$E$4:$E$5000,100,0)</f>
        <v>100</v>
      </c>
      <c r="O94" s="9" t="str">
        <f>IF(N94=0,_xlfn.XLOOKUP(F94,'Raw Data'!$I$4:$I$5000,'Raw Data'!$H$4:$H$5000,"",0),"")</f>
        <v/>
      </c>
      <c r="P94" s="9" t="str" cm="1">
        <f t="array" aca="1" ref="P94" ca="1">IF(INDIRECT(M94) = "","",INDIRECT(M94))</f>
        <v/>
      </c>
      <c r="Q94" s="359" t="s">
        <v>4381</v>
      </c>
    </row>
    <row r="95" spans="1:17" x14ac:dyDescent="0.35">
      <c r="A95" t="s">
        <v>1256</v>
      </c>
      <c r="E95" t="str">
        <f>_xlfn.XLOOKUP(F95,'Raw Data'!$I$4:$I$5000,'Raw Data'!$D$4:$D$5000,"*** Mnemonic not found ***",0)</f>
        <v>*** Mnemonic not found ***</v>
      </c>
      <c r="F95" t="str">
        <f t="shared" si="29"/>
        <v>SUCMCGMRAAA_10TO20__</v>
      </c>
      <c r="H95" s="9" t="s">
        <v>1137</v>
      </c>
      <c r="K95" s="9">
        <f t="shared" si="41"/>
        <v>94</v>
      </c>
      <c r="L95" s="9" t="str">
        <f t="shared" si="40"/>
        <v>F</v>
      </c>
      <c r="M95" s="9" t="str">
        <f t="shared" si="35"/>
        <v>Input!F94</v>
      </c>
      <c r="N95" s="9">
        <f>_xlfn.XLOOKUP(F95,'Raw Data'!$I$4:$I$5000,'Raw Data'!$E$4:$E$5000,100,0)</f>
        <v>100</v>
      </c>
      <c r="O95" s="9" t="str">
        <f>IF(N95=0,_xlfn.XLOOKUP(F95,'Raw Data'!$I$4:$I$5000,'Raw Data'!$H$4:$H$5000,"",0),"")</f>
        <v/>
      </c>
      <c r="P95" s="9" t="str" cm="1">
        <f t="array" aca="1" ref="P95" ca="1">IF(INDIRECT(M95) = "","",INDIRECT(M95))</f>
        <v/>
      </c>
      <c r="Q95" s="359" t="s">
        <v>4381</v>
      </c>
    </row>
    <row r="96" spans="1:17" x14ac:dyDescent="0.35">
      <c r="A96" t="s">
        <v>1257</v>
      </c>
      <c r="E96" t="str">
        <f>_xlfn.XLOOKUP(F96,'Raw Data'!$I$4:$I$5000,'Raw Data'!$D$4:$D$5000,"*** Mnemonic not found ***",0)</f>
        <v>*** Mnemonic not found ***</v>
      </c>
      <c r="F96" t="str">
        <f t="shared" si="29"/>
        <v>SUCMCGMRAAA_GRTR20__</v>
      </c>
      <c r="H96" s="9" t="s">
        <v>1137</v>
      </c>
      <c r="K96" s="9">
        <f t="shared" si="41"/>
        <v>95</v>
      </c>
      <c r="L96" s="9" t="str">
        <f t="shared" si="40"/>
        <v>F</v>
      </c>
      <c r="M96" s="9" t="str">
        <f t="shared" si="35"/>
        <v>Input!F95</v>
      </c>
      <c r="N96" s="9">
        <f>_xlfn.XLOOKUP(F96,'Raw Data'!$I$4:$I$5000,'Raw Data'!$E$4:$E$5000,100,0)</f>
        <v>100</v>
      </c>
      <c r="O96" s="9" t="str">
        <f>IF(N96=0,_xlfn.XLOOKUP(F96,'Raw Data'!$I$4:$I$5000,'Raw Data'!$H$4:$H$5000,"",0),"")</f>
        <v/>
      </c>
      <c r="P96" s="9" t="str" cm="1">
        <f t="array" aca="1" ref="P96" ca="1">IF(INDIRECT(M96) = "","",INDIRECT(M96))</f>
        <v/>
      </c>
      <c r="Q96" s="359" t="s">
        <v>4381</v>
      </c>
    </row>
    <row r="97" spans="1:17" x14ac:dyDescent="0.35">
      <c r="A97" t="s">
        <v>1258</v>
      </c>
      <c r="E97" t="str">
        <f>_xlfn.XLOOKUP(F97,'Raw Data'!$I$4:$I$5000,'Raw Data'!$D$4:$D$5000,"*** Mnemonic not found ***",0)</f>
        <v>*** Mnemonic not found ***</v>
      </c>
      <c r="F97" t="str">
        <f t="shared" si="29"/>
        <v>SUCMCGMRAA_LESS1__</v>
      </c>
      <c r="H97" s="9" t="s">
        <v>1137</v>
      </c>
      <c r="K97" s="9">
        <f>K92</f>
        <v>91</v>
      </c>
      <c r="L97" s="9" t="s">
        <v>1145</v>
      </c>
      <c r="M97" s="9" t="str">
        <f t="shared" si="35"/>
        <v>Input!G91</v>
      </c>
      <c r="N97" s="9">
        <f>_xlfn.XLOOKUP(F97,'Raw Data'!$I$4:$I$5000,'Raw Data'!$E$4:$E$5000,100,0)</f>
        <v>100</v>
      </c>
      <c r="O97" s="9" t="str">
        <f>IF(N97=0,_xlfn.XLOOKUP(F97,'Raw Data'!$I$4:$I$5000,'Raw Data'!$H$4:$H$5000,"",0),"")</f>
        <v/>
      </c>
      <c r="P97" s="9" t="str" cm="1">
        <f t="array" aca="1" ref="P97" ca="1">IF(INDIRECT(M97) = "","",INDIRECT(M97))</f>
        <v/>
      </c>
      <c r="Q97" s="359" t="s">
        <v>4381</v>
      </c>
    </row>
    <row r="98" spans="1:17" x14ac:dyDescent="0.35">
      <c r="A98" t="s">
        <v>1259</v>
      </c>
      <c r="E98" t="str">
        <f>_xlfn.XLOOKUP(F98,'Raw Data'!$I$4:$I$5000,'Raw Data'!$D$4:$D$5000,"*** Mnemonic not found ***",0)</f>
        <v>*** Mnemonic not found ***</v>
      </c>
      <c r="F98" t="str">
        <f t="shared" si="29"/>
        <v>SUCMCGMRAA_1TO5__</v>
      </c>
      <c r="H98" s="9" t="s">
        <v>1137</v>
      </c>
      <c r="K98" s="9">
        <f>K97+1</f>
        <v>92</v>
      </c>
      <c r="L98" s="9" t="str">
        <f t="shared" ref="L98:L101" si="42">L97</f>
        <v>G</v>
      </c>
      <c r="M98" s="9" t="str">
        <f t="shared" si="35"/>
        <v>Input!G92</v>
      </c>
      <c r="N98" s="9">
        <f>_xlfn.XLOOKUP(F98,'Raw Data'!$I$4:$I$5000,'Raw Data'!$E$4:$E$5000,100,0)</f>
        <v>100</v>
      </c>
      <c r="O98" s="9" t="str">
        <f>IF(N98=0,_xlfn.XLOOKUP(F98,'Raw Data'!$I$4:$I$5000,'Raw Data'!$H$4:$H$5000,"",0),"")</f>
        <v/>
      </c>
      <c r="P98" s="9" t="str" cm="1">
        <f t="array" aca="1" ref="P98" ca="1">IF(INDIRECT(M98) = "","",INDIRECT(M98))</f>
        <v/>
      </c>
      <c r="Q98" s="359" t="s">
        <v>4381</v>
      </c>
    </row>
    <row r="99" spans="1:17" x14ac:dyDescent="0.35">
      <c r="A99" t="s">
        <v>1260</v>
      </c>
      <c r="E99" t="str">
        <f>_xlfn.XLOOKUP(F99,'Raw Data'!$I$4:$I$5000,'Raw Data'!$D$4:$D$5000,"*** Mnemonic not found ***",0)</f>
        <v>*** Mnemonic not found ***</v>
      </c>
      <c r="F99" t="str">
        <f t="shared" si="29"/>
        <v>SUCMCGMRAA_5TO10__</v>
      </c>
      <c r="H99" s="9" t="s">
        <v>1137</v>
      </c>
      <c r="K99" s="9">
        <f t="shared" ref="K99:K101" si="43">K98+1</f>
        <v>93</v>
      </c>
      <c r="L99" s="9" t="str">
        <f t="shared" si="42"/>
        <v>G</v>
      </c>
      <c r="M99" s="9" t="str">
        <f t="shared" si="35"/>
        <v>Input!G93</v>
      </c>
      <c r="N99" s="9">
        <f>_xlfn.XLOOKUP(F99,'Raw Data'!$I$4:$I$5000,'Raw Data'!$E$4:$E$5000,100,0)</f>
        <v>100</v>
      </c>
      <c r="O99" s="9" t="str">
        <f>IF(N99=0,_xlfn.XLOOKUP(F99,'Raw Data'!$I$4:$I$5000,'Raw Data'!$H$4:$H$5000,"",0),"")</f>
        <v/>
      </c>
      <c r="P99" s="9" t="str" cm="1">
        <f t="array" aca="1" ref="P99" ca="1">IF(INDIRECT(M99) = "","",INDIRECT(M99))</f>
        <v/>
      </c>
      <c r="Q99" s="359" t="s">
        <v>4381</v>
      </c>
    </row>
    <row r="100" spans="1:17" x14ac:dyDescent="0.35">
      <c r="A100" t="s">
        <v>1261</v>
      </c>
      <c r="E100" t="str">
        <f>_xlfn.XLOOKUP(F100,'Raw Data'!$I$4:$I$5000,'Raw Data'!$D$4:$D$5000,"*** Mnemonic not found ***",0)</f>
        <v>*** Mnemonic not found ***</v>
      </c>
      <c r="F100" t="str">
        <f t="shared" si="29"/>
        <v>SUCMCGMRAA_10TO20__</v>
      </c>
      <c r="H100" s="9" t="s">
        <v>1137</v>
      </c>
      <c r="K100" s="9">
        <f t="shared" si="43"/>
        <v>94</v>
      </c>
      <c r="L100" s="9" t="str">
        <f t="shared" si="42"/>
        <v>G</v>
      </c>
      <c r="M100" s="9" t="str">
        <f t="shared" si="35"/>
        <v>Input!G94</v>
      </c>
      <c r="N100" s="9">
        <f>_xlfn.XLOOKUP(F100,'Raw Data'!$I$4:$I$5000,'Raw Data'!$E$4:$E$5000,100,0)</f>
        <v>100</v>
      </c>
      <c r="O100" s="9" t="str">
        <f>IF(N100=0,_xlfn.XLOOKUP(F100,'Raw Data'!$I$4:$I$5000,'Raw Data'!$H$4:$H$5000,"",0),"")</f>
        <v/>
      </c>
      <c r="P100" s="9" t="str" cm="1">
        <f t="array" aca="1" ref="P100" ca="1">IF(INDIRECT(M100) = "","",INDIRECT(M100))</f>
        <v/>
      </c>
      <c r="Q100" s="359" t="s">
        <v>4381</v>
      </c>
    </row>
    <row r="101" spans="1:17" x14ac:dyDescent="0.35">
      <c r="A101" t="s">
        <v>1262</v>
      </c>
      <c r="E101" t="str">
        <f>_xlfn.XLOOKUP(F101,'Raw Data'!$I$4:$I$5000,'Raw Data'!$D$4:$D$5000,"*** Mnemonic not found ***",0)</f>
        <v>*** Mnemonic not found ***</v>
      </c>
      <c r="F101" t="str">
        <f t="shared" si="29"/>
        <v>SUCMCGMRAA_GRTR20__</v>
      </c>
      <c r="H101" s="9" t="s">
        <v>1137</v>
      </c>
      <c r="K101" s="9">
        <f t="shared" si="43"/>
        <v>95</v>
      </c>
      <c r="L101" s="9" t="str">
        <f t="shared" si="42"/>
        <v>G</v>
      </c>
      <c r="M101" s="9" t="str">
        <f t="shared" si="35"/>
        <v>Input!G95</v>
      </c>
      <c r="N101" s="9">
        <f>_xlfn.XLOOKUP(F101,'Raw Data'!$I$4:$I$5000,'Raw Data'!$E$4:$E$5000,100,0)</f>
        <v>100</v>
      </c>
      <c r="O101" s="9" t="str">
        <f>IF(N101=0,_xlfn.XLOOKUP(F101,'Raw Data'!$I$4:$I$5000,'Raw Data'!$H$4:$H$5000,"",0),"")</f>
        <v/>
      </c>
      <c r="P101" s="9" t="str" cm="1">
        <f t="array" aca="1" ref="P101" ca="1">IF(INDIRECT(M101) = "","",INDIRECT(M101))</f>
        <v/>
      </c>
      <c r="Q101" s="359" t="s">
        <v>4381</v>
      </c>
    </row>
    <row r="102" spans="1:17" x14ac:dyDescent="0.35">
      <c r="A102" t="s">
        <v>1263</v>
      </c>
      <c r="E102" t="str">
        <f>_xlfn.XLOOKUP(F102,'Raw Data'!$I$4:$I$5000,'Raw Data'!$D$4:$D$5000,"*** Mnemonic not found ***",0)</f>
        <v>*** Mnemonic not found ***</v>
      </c>
      <c r="F102" t="str">
        <f t="shared" si="29"/>
        <v>SUCMCGMRA_LESS1__</v>
      </c>
      <c r="H102" s="9" t="s">
        <v>1137</v>
      </c>
      <c r="K102" s="9">
        <f>K97</f>
        <v>91</v>
      </c>
      <c r="L102" s="9" t="s">
        <v>1144</v>
      </c>
      <c r="M102" s="9" t="str">
        <f t="shared" si="35"/>
        <v>Input!H91</v>
      </c>
      <c r="N102" s="9">
        <f>_xlfn.XLOOKUP(F102,'Raw Data'!$I$4:$I$5000,'Raw Data'!$E$4:$E$5000,100,0)</f>
        <v>100</v>
      </c>
      <c r="O102" s="9" t="str">
        <f>IF(N102=0,_xlfn.XLOOKUP(F102,'Raw Data'!$I$4:$I$5000,'Raw Data'!$H$4:$H$5000,"",0),"")</f>
        <v/>
      </c>
      <c r="P102" s="9" t="str" cm="1">
        <f t="array" aca="1" ref="P102" ca="1">IF(INDIRECT(M102) = "","",INDIRECT(M102))</f>
        <v/>
      </c>
      <c r="Q102" s="359" t="s">
        <v>4381</v>
      </c>
    </row>
    <row r="103" spans="1:17" x14ac:dyDescent="0.35">
      <c r="A103" t="s">
        <v>1264</v>
      </c>
      <c r="E103" t="str">
        <f>_xlfn.XLOOKUP(F103,'Raw Data'!$I$4:$I$5000,'Raw Data'!$D$4:$D$5000,"*** Mnemonic not found ***",0)</f>
        <v>*** Mnemonic not found ***</v>
      </c>
      <c r="F103" t="str">
        <f t="shared" si="29"/>
        <v>SUCMCGMRA_1TO5__</v>
      </c>
      <c r="H103" s="9" t="s">
        <v>1137</v>
      </c>
      <c r="K103" s="9">
        <f>K102+1</f>
        <v>92</v>
      </c>
      <c r="L103" s="9" t="str">
        <f t="shared" ref="L103:L106" si="44">L102</f>
        <v>H</v>
      </c>
      <c r="M103" s="9" t="str">
        <f t="shared" si="35"/>
        <v>Input!H92</v>
      </c>
      <c r="N103" s="9">
        <f>_xlfn.XLOOKUP(F103,'Raw Data'!$I$4:$I$5000,'Raw Data'!$E$4:$E$5000,100,0)</f>
        <v>100</v>
      </c>
      <c r="O103" s="9" t="str">
        <f>IF(N103=0,_xlfn.XLOOKUP(F103,'Raw Data'!$I$4:$I$5000,'Raw Data'!$H$4:$H$5000,"",0),"")</f>
        <v/>
      </c>
      <c r="P103" s="9" t="str" cm="1">
        <f t="array" aca="1" ref="P103" ca="1">IF(INDIRECT(M103) = "","",INDIRECT(M103))</f>
        <v/>
      </c>
      <c r="Q103" s="359" t="s">
        <v>4381</v>
      </c>
    </row>
    <row r="104" spans="1:17" x14ac:dyDescent="0.35">
      <c r="A104" t="s">
        <v>1265</v>
      </c>
      <c r="E104" t="str">
        <f>_xlfn.XLOOKUP(F104,'Raw Data'!$I$4:$I$5000,'Raw Data'!$D$4:$D$5000,"*** Mnemonic not found ***",0)</f>
        <v>*** Mnemonic not found ***</v>
      </c>
      <c r="F104" t="str">
        <f t="shared" si="29"/>
        <v>SUCMCGMRA_5TO10__</v>
      </c>
      <c r="H104" s="9" t="s">
        <v>1137</v>
      </c>
      <c r="K104" s="9">
        <f t="shared" ref="K104:K106" si="45">K103+1</f>
        <v>93</v>
      </c>
      <c r="L104" s="9" t="str">
        <f t="shared" si="44"/>
        <v>H</v>
      </c>
      <c r="M104" s="9" t="str">
        <f t="shared" si="35"/>
        <v>Input!H93</v>
      </c>
      <c r="N104" s="9">
        <f>_xlfn.XLOOKUP(F104,'Raw Data'!$I$4:$I$5000,'Raw Data'!$E$4:$E$5000,100,0)</f>
        <v>100</v>
      </c>
      <c r="O104" s="9" t="str">
        <f>IF(N104=0,_xlfn.XLOOKUP(F104,'Raw Data'!$I$4:$I$5000,'Raw Data'!$H$4:$H$5000,"",0),"")</f>
        <v/>
      </c>
      <c r="P104" s="9" t="str" cm="1">
        <f t="array" aca="1" ref="P104" ca="1">IF(INDIRECT(M104) = "","",INDIRECT(M104))</f>
        <v/>
      </c>
      <c r="Q104" s="359" t="s">
        <v>4381</v>
      </c>
    </row>
    <row r="105" spans="1:17" x14ac:dyDescent="0.35">
      <c r="A105" t="s">
        <v>1266</v>
      </c>
      <c r="E105" t="str">
        <f>_xlfn.XLOOKUP(F105,'Raw Data'!$I$4:$I$5000,'Raw Data'!$D$4:$D$5000,"*** Mnemonic not found ***",0)</f>
        <v>*** Mnemonic not found ***</v>
      </c>
      <c r="F105" t="str">
        <f t="shared" si="29"/>
        <v>SUCMCGMRA_10TO20__</v>
      </c>
      <c r="H105" s="9" t="s">
        <v>1137</v>
      </c>
      <c r="K105" s="9">
        <f t="shared" si="45"/>
        <v>94</v>
      </c>
      <c r="L105" s="9" t="str">
        <f t="shared" si="44"/>
        <v>H</v>
      </c>
      <c r="M105" s="9" t="str">
        <f t="shared" si="35"/>
        <v>Input!H94</v>
      </c>
      <c r="N105" s="9">
        <f>_xlfn.XLOOKUP(F105,'Raw Data'!$I$4:$I$5000,'Raw Data'!$E$4:$E$5000,100,0)</f>
        <v>100</v>
      </c>
      <c r="O105" s="9" t="str">
        <f>IF(N105=0,_xlfn.XLOOKUP(F105,'Raw Data'!$I$4:$I$5000,'Raw Data'!$H$4:$H$5000,"",0),"")</f>
        <v/>
      </c>
      <c r="P105" s="9" t="str" cm="1">
        <f t="array" aca="1" ref="P105" ca="1">IF(INDIRECT(M105) = "","",INDIRECT(M105))</f>
        <v/>
      </c>
      <c r="Q105" s="359" t="s">
        <v>4381</v>
      </c>
    </row>
    <row r="106" spans="1:17" x14ac:dyDescent="0.35">
      <c r="A106" t="s">
        <v>1267</v>
      </c>
      <c r="E106" t="str">
        <f>_xlfn.XLOOKUP(F106,'Raw Data'!$I$4:$I$5000,'Raw Data'!$D$4:$D$5000,"*** Mnemonic not found ***",0)</f>
        <v>*** Mnemonic not found ***</v>
      </c>
      <c r="F106" t="str">
        <f t="shared" si="29"/>
        <v>SUCMCGMRA_GRTR20__</v>
      </c>
      <c r="H106" s="9" t="s">
        <v>1137</v>
      </c>
      <c r="K106" s="9">
        <f t="shared" si="45"/>
        <v>95</v>
      </c>
      <c r="L106" s="9" t="str">
        <f t="shared" si="44"/>
        <v>H</v>
      </c>
      <c r="M106" s="9" t="str">
        <f t="shared" si="35"/>
        <v>Input!H95</v>
      </c>
      <c r="N106" s="9">
        <f>_xlfn.XLOOKUP(F106,'Raw Data'!$I$4:$I$5000,'Raw Data'!$E$4:$E$5000,100,0)</f>
        <v>100</v>
      </c>
      <c r="O106" s="9" t="str">
        <f>IF(N106=0,_xlfn.XLOOKUP(F106,'Raw Data'!$I$4:$I$5000,'Raw Data'!$H$4:$H$5000,"",0),"")</f>
        <v/>
      </c>
      <c r="P106" s="9" t="str" cm="1">
        <f t="array" aca="1" ref="P106" ca="1">IF(INDIRECT(M106) = "","",INDIRECT(M106))</f>
        <v/>
      </c>
      <c r="Q106" s="359" t="s">
        <v>4381</v>
      </c>
    </row>
    <row r="107" spans="1:17" x14ac:dyDescent="0.35">
      <c r="A107" t="s">
        <v>1268</v>
      </c>
      <c r="E107" t="str">
        <f>_xlfn.XLOOKUP(F107,'Raw Data'!$I$4:$I$5000,'Raw Data'!$D$4:$D$5000,"*** Mnemonic not found ***",0)</f>
        <v>*** Mnemonic not found ***</v>
      </c>
      <c r="F107" t="str">
        <f t="shared" si="29"/>
        <v>SUCMCGMRBBB_LESS1__</v>
      </c>
      <c r="H107" s="9" t="s">
        <v>1137</v>
      </c>
      <c r="K107" s="9">
        <f>K102</f>
        <v>91</v>
      </c>
      <c r="L107" s="9" t="s">
        <v>1375</v>
      </c>
      <c r="M107" s="9" t="str">
        <f t="shared" si="35"/>
        <v>Input!I91</v>
      </c>
      <c r="N107" s="9">
        <f>_xlfn.XLOOKUP(F107,'Raw Data'!$I$4:$I$5000,'Raw Data'!$E$4:$E$5000,100,0)</f>
        <v>100</v>
      </c>
      <c r="O107" s="9" t="str">
        <f>IF(N107=0,_xlfn.XLOOKUP(F107,'Raw Data'!$I$4:$I$5000,'Raw Data'!$H$4:$H$5000,"",0),"")</f>
        <v/>
      </c>
      <c r="P107" s="9" t="str" cm="1">
        <f t="array" aca="1" ref="P107" ca="1">IF(INDIRECT(M107) = "","",INDIRECT(M107))</f>
        <v/>
      </c>
      <c r="Q107" s="359" t="s">
        <v>4381</v>
      </c>
    </row>
    <row r="108" spans="1:17" x14ac:dyDescent="0.35">
      <c r="A108" t="s">
        <v>1269</v>
      </c>
      <c r="E108" t="str">
        <f>_xlfn.XLOOKUP(F108,'Raw Data'!$I$4:$I$5000,'Raw Data'!$D$4:$D$5000,"*** Mnemonic not found ***",0)</f>
        <v>*** Mnemonic not found ***</v>
      </c>
      <c r="F108" t="str">
        <f t="shared" si="29"/>
        <v>SUCMCGMRBBB_1TO5__</v>
      </c>
      <c r="H108" s="9" t="s">
        <v>1137</v>
      </c>
      <c r="K108" s="9">
        <f>K107+1</f>
        <v>92</v>
      </c>
      <c r="L108" s="9" t="str">
        <f t="shared" ref="L108:L111" si="46">L107</f>
        <v>I</v>
      </c>
      <c r="M108" s="9" t="str">
        <f t="shared" si="35"/>
        <v>Input!I92</v>
      </c>
      <c r="N108" s="9">
        <f>_xlfn.XLOOKUP(F108,'Raw Data'!$I$4:$I$5000,'Raw Data'!$E$4:$E$5000,100,0)</f>
        <v>100</v>
      </c>
      <c r="O108" s="9" t="str">
        <f>IF(N108=0,_xlfn.XLOOKUP(F108,'Raw Data'!$I$4:$I$5000,'Raw Data'!$H$4:$H$5000,"",0),"")</f>
        <v/>
      </c>
      <c r="P108" s="9" t="str" cm="1">
        <f t="array" aca="1" ref="P108" ca="1">IF(INDIRECT(M108) = "","",INDIRECT(M108))</f>
        <v/>
      </c>
      <c r="Q108" s="359" t="s">
        <v>4381</v>
      </c>
    </row>
    <row r="109" spans="1:17" x14ac:dyDescent="0.35">
      <c r="A109" t="s">
        <v>1270</v>
      </c>
      <c r="E109" t="str">
        <f>_xlfn.XLOOKUP(F109,'Raw Data'!$I$4:$I$5000,'Raw Data'!$D$4:$D$5000,"*** Mnemonic not found ***",0)</f>
        <v>*** Mnemonic not found ***</v>
      </c>
      <c r="F109" t="str">
        <f t="shared" si="29"/>
        <v>SUCMCGMRBBB_5TO10__</v>
      </c>
      <c r="H109" s="9" t="s">
        <v>1137</v>
      </c>
      <c r="K109" s="9">
        <f t="shared" ref="K109:K111" si="47">K108+1</f>
        <v>93</v>
      </c>
      <c r="L109" s="9" t="str">
        <f t="shared" si="46"/>
        <v>I</v>
      </c>
      <c r="M109" s="9" t="str">
        <f t="shared" si="35"/>
        <v>Input!I93</v>
      </c>
      <c r="N109" s="9">
        <f>_xlfn.XLOOKUP(F109,'Raw Data'!$I$4:$I$5000,'Raw Data'!$E$4:$E$5000,100,0)</f>
        <v>100</v>
      </c>
      <c r="O109" s="9" t="str">
        <f>IF(N109=0,_xlfn.XLOOKUP(F109,'Raw Data'!$I$4:$I$5000,'Raw Data'!$H$4:$H$5000,"",0),"")</f>
        <v/>
      </c>
      <c r="P109" s="9" t="str" cm="1">
        <f t="array" aca="1" ref="P109" ca="1">IF(INDIRECT(M109) = "","",INDIRECT(M109))</f>
        <v/>
      </c>
      <c r="Q109" s="359" t="s">
        <v>4381</v>
      </c>
    </row>
    <row r="110" spans="1:17" x14ac:dyDescent="0.35">
      <c r="A110" t="s">
        <v>1271</v>
      </c>
      <c r="E110" t="str">
        <f>_xlfn.XLOOKUP(F110,'Raw Data'!$I$4:$I$5000,'Raw Data'!$D$4:$D$5000,"*** Mnemonic not found ***",0)</f>
        <v>*** Mnemonic not found ***</v>
      </c>
      <c r="F110" t="str">
        <f t="shared" si="29"/>
        <v>SUCMCGMRBBB_10TO20__</v>
      </c>
      <c r="H110" s="9" t="s">
        <v>1137</v>
      </c>
      <c r="K110" s="9">
        <f t="shared" si="47"/>
        <v>94</v>
      </c>
      <c r="L110" s="9" t="str">
        <f t="shared" si="46"/>
        <v>I</v>
      </c>
      <c r="M110" s="9" t="str">
        <f t="shared" si="35"/>
        <v>Input!I94</v>
      </c>
      <c r="N110" s="9">
        <f>_xlfn.XLOOKUP(F110,'Raw Data'!$I$4:$I$5000,'Raw Data'!$E$4:$E$5000,100,0)</f>
        <v>100</v>
      </c>
      <c r="O110" s="9" t="str">
        <f>IF(N110=0,_xlfn.XLOOKUP(F110,'Raw Data'!$I$4:$I$5000,'Raw Data'!$H$4:$H$5000,"",0),"")</f>
        <v/>
      </c>
      <c r="P110" s="9" t="str" cm="1">
        <f t="array" aca="1" ref="P110" ca="1">IF(INDIRECT(M110) = "","",INDIRECT(M110))</f>
        <v/>
      </c>
      <c r="Q110" s="359" t="s">
        <v>4381</v>
      </c>
    </row>
    <row r="111" spans="1:17" x14ac:dyDescent="0.35">
      <c r="A111" t="s">
        <v>1272</v>
      </c>
      <c r="E111" t="str">
        <f>_xlfn.XLOOKUP(F111,'Raw Data'!$I$4:$I$5000,'Raw Data'!$D$4:$D$5000,"*** Mnemonic not found ***",0)</f>
        <v>*** Mnemonic not found ***</v>
      </c>
      <c r="F111" t="str">
        <f t="shared" si="29"/>
        <v>SUCMCGMRBBB_GRTR20__</v>
      </c>
      <c r="H111" s="9" t="s">
        <v>1137</v>
      </c>
      <c r="K111" s="9">
        <f t="shared" si="47"/>
        <v>95</v>
      </c>
      <c r="L111" s="9" t="str">
        <f t="shared" si="46"/>
        <v>I</v>
      </c>
      <c r="M111" s="9" t="str">
        <f t="shared" si="35"/>
        <v>Input!I95</v>
      </c>
      <c r="N111" s="9">
        <f>_xlfn.XLOOKUP(F111,'Raw Data'!$I$4:$I$5000,'Raw Data'!$E$4:$E$5000,100,0)</f>
        <v>100</v>
      </c>
      <c r="O111" s="9" t="str">
        <f>IF(N111=0,_xlfn.XLOOKUP(F111,'Raw Data'!$I$4:$I$5000,'Raw Data'!$H$4:$H$5000,"",0),"")</f>
        <v/>
      </c>
      <c r="P111" s="9" t="str" cm="1">
        <f t="array" aca="1" ref="P111" ca="1">IF(INDIRECT(M111) = "","",INDIRECT(M111))</f>
        <v/>
      </c>
      <c r="Q111" s="359" t="s">
        <v>4381</v>
      </c>
    </row>
    <row r="112" spans="1:17" x14ac:dyDescent="0.35">
      <c r="A112" t="s">
        <v>1273</v>
      </c>
      <c r="E112" t="str">
        <f>_xlfn.XLOOKUP(F112,'Raw Data'!$I$4:$I$5000,'Raw Data'!$D$4:$D$5000,"*** Mnemonic not found ***",0)</f>
        <v>*** Mnemonic not found ***</v>
      </c>
      <c r="F112" t="str">
        <f t="shared" si="29"/>
        <v>SUCMCGMRBB_LESS1__</v>
      </c>
      <c r="H112" s="9" t="s">
        <v>1137</v>
      </c>
      <c r="K112" s="9">
        <f>K107</f>
        <v>91</v>
      </c>
      <c r="L112" s="9" t="s">
        <v>1376</v>
      </c>
      <c r="M112" s="9" t="str">
        <f t="shared" si="35"/>
        <v>Input!J91</v>
      </c>
      <c r="N112" s="9">
        <f>_xlfn.XLOOKUP(F112,'Raw Data'!$I$4:$I$5000,'Raw Data'!$E$4:$E$5000,100,0)</f>
        <v>100</v>
      </c>
      <c r="O112" s="9" t="str">
        <f>IF(N112=0,_xlfn.XLOOKUP(F112,'Raw Data'!$I$4:$I$5000,'Raw Data'!$H$4:$H$5000,"",0),"")</f>
        <v/>
      </c>
      <c r="P112" s="9" t="str" cm="1">
        <f t="array" aca="1" ref="P112" ca="1">IF(INDIRECT(M112) = "","",INDIRECT(M112))</f>
        <v/>
      </c>
      <c r="Q112" s="359" t="s">
        <v>4381</v>
      </c>
    </row>
    <row r="113" spans="1:17" x14ac:dyDescent="0.35">
      <c r="A113" t="s">
        <v>1274</v>
      </c>
      <c r="E113" t="str">
        <f>_xlfn.XLOOKUP(F113,'Raw Data'!$I$4:$I$5000,'Raw Data'!$D$4:$D$5000,"*** Mnemonic not found ***",0)</f>
        <v>*** Mnemonic not found ***</v>
      </c>
      <c r="F113" t="str">
        <f t="shared" si="29"/>
        <v>SUCMCGMRBB_1TO5__</v>
      </c>
      <c r="H113" s="9" t="s">
        <v>1137</v>
      </c>
      <c r="K113" s="9">
        <f>K112+1</f>
        <v>92</v>
      </c>
      <c r="L113" s="9" t="str">
        <f t="shared" ref="L113:L116" si="48">L112</f>
        <v>J</v>
      </c>
      <c r="M113" s="9" t="str">
        <f t="shared" si="35"/>
        <v>Input!J92</v>
      </c>
      <c r="N113" s="9">
        <f>_xlfn.XLOOKUP(F113,'Raw Data'!$I$4:$I$5000,'Raw Data'!$E$4:$E$5000,100,0)</f>
        <v>100</v>
      </c>
      <c r="O113" s="9" t="str">
        <f>IF(N113=0,_xlfn.XLOOKUP(F113,'Raw Data'!$I$4:$I$5000,'Raw Data'!$H$4:$H$5000,"",0),"")</f>
        <v/>
      </c>
      <c r="P113" s="9" t="str" cm="1">
        <f t="array" aca="1" ref="P113" ca="1">IF(INDIRECT(M113) = "","",INDIRECT(M113))</f>
        <v/>
      </c>
      <c r="Q113" s="359" t="s">
        <v>4381</v>
      </c>
    </row>
    <row r="114" spans="1:17" x14ac:dyDescent="0.35">
      <c r="A114" t="s">
        <v>1275</v>
      </c>
      <c r="E114" t="str">
        <f>_xlfn.XLOOKUP(F114,'Raw Data'!$I$4:$I$5000,'Raw Data'!$D$4:$D$5000,"*** Mnemonic not found ***",0)</f>
        <v>*** Mnemonic not found ***</v>
      </c>
      <c r="F114" t="str">
        <f t="shared" si="29"/>
        <v>SUCMCGMRBB_5TO10__</v>
      </c>
      <c r="H114" s="9" t="s">
        <v>1137</v>
      </c>
      <c r="K114" s="9">
        <f t="shared" ref="K114:K116" si="49">K113+1</f>
        <v>93</v>
      </c>
      <c r="L114" s="9" t="str">
        <f t="shared" si="48"/>
        <v>J</v>
      </c>
      <c r="M114" s="9" t="str">
        <f t="shared" si="35"/>
        <v>Input!J93</v>
      </c>
      <c r="N114" s="9">
        <f>_xlfn.XLOOKUP(F114,'Raw Data'!$I$4:$I$5000,'Raw Data'!$E$4:$E$5000,100,0)</f>
        <v>100</v>
      </c>
      <c r="O114" s="9" t="str">
        <f>IF(N114=0,_xlfn.XLOOKUP(F114,'Raw Data'!$I$4:$I$5000,'Raw Data'!$H$4:$H$5000,"",0),"")</f>
        <v/>
      </c>
      <c r="P114" s="9" t="str" cm="1">
        <f t="array" aca="1" ref="P114" ca="1">IF(INDIRECT(M114) = "","",INDIRECT(M114))</f>
        <v/>
      </c>
      <c r="Q114" s="359" t="s">
        <v>4381</v>
      </c>
    </row>
    <row r="115" spans="1:17" x14ac:dyDescent="0.35">
      <c r="A115" t="s">
        <v>1276</v>
      </c>
      <c r="E115" t="str">
        <f>_xlfn.XLOOKUP(F115,'Raw Data'!$I$4:$I$5000,'Raw Data'!$D$4:$D$5000,"*** Mnemonic not found ***",0)</f>
        <v>*** Mnemonic not found ***</v>
      </c>
      <c r="F115" t="str">
        <f t="shared" si="29"/>
        <v>SUCMCGMRBB_10TO20__</v>
      </c>
      <c r="H115" s="9" t="s">
        <v>1137</v>
      </c>
      <c r="K115" s="9">
        <f t="shared" si="49"/>
        <v>94</v>
      </c>
      <c r="L115" s="9" t="str">
        <f t="shared" si="48"/>
        <v>J</v>
      </c>
      <c r="M115" s="9" t="str">
        <f t="shared" si="35"/>
        <v>Input!J94</v>
      </c>
      <c r="N115" s="9">
        <f>_xlfn.XLOOKUP(F115,'Raw Data'!$I$4:$I$5000,'Raw Data'!$E$4:$E$5000,100,0)</f>
        <v>100</v>
      </c>
      <c r="O115" s="9" t="str">
        <f>IF(N115=0,_xlfn.XLOOKUP(F115,'Raw Data'!$I$4:$I$5000,'Raw Data'!$H$4:$H$5000,"",0),"")</f>
        <v/>
      </c>
      <c r="P115" s="9" t="str" cm="1">
        <f t="array" aca="1" ref="P115" ca="1">IF(INDIRECT(M115) = "","",INDIRECT(M115))</f>
        <v/>
      </c>
      <c r="Q115" s="359" t="s">
        <v>4381</v>
      </c>
    </row>
    <row r="116" spans="1:17" x14ac:dyDescent="0.35">
      <c r="A116" t="s">
        <v>1277</v>
      </c>
      <c r="E116" t="str">
        <f>_xlfn.XLOOKUP(F116,'Raw Data'!$I$4:$I$5000,'Raw Data'!$D$4:$D$5000,"*** Mnemonic not found ***",0)</f>
        <v>*** Mnemonic not found ***</v>
      </c>
      <c r="F116" t="str">
        <f t="shared" si="29"/>
        <v>SUCMCGMRBB_GRTR20__</v>
      </c>
      <c r="H116" s="9" t="s">
        <v>1137</v>
      </c>
      <c r="K116" s="9">
        <f t="shared" si="49"/>
        <v>95</v>
      </c>
      <c r="L116" s="9" t="str">
        <f t="shared" si="48"/>
        <v>J</v>
      </c>
      <c r="M116" s="9" t="str">
        <f t="shared" si="35"/>
        <v>Input!J95</v>
      </c>
      <c r="N116" s="9">
        <f>_xlfn.XLOOKUP(F116,'Raw Data'!$I$4:$I$5000,'Raw Data'!$E$4:$E$5000,100,0)</f>
        <v>100</v>
      </c>
      <c r="O116" s="9" t="str">
        <f>IF(N116=0,_xlfn.XLOOKUP(F116,'Raw Data'!$I$4:$I$5000,'Raw Data'!$H$4:$H$5000,"",0),"")</f>
        <v/>
      </c>
      <c r="P116" s="9" t="str" cm="1">
        <f t="array" aca="1" ref="P116" ca="1">IF(INDIRECT(M116) = "","",INDIRECT(M116))</f>
        <v/>
      </c>
      <c r="Q116" s="359" t="s">
        <v>4381</v>
      </c>
    </row>
    <row r="117" spans="1:17" x14ac:dyDescent="0.35">
      <c r="A117" t="s">
        <v>1278</v>
      </c>
      <c r="E117" t="str">
        <f>_xlfn.XLOOKUP(F117,'Raw Data'!$I$4:$I$5000,'Raw Data'!$D$4:$D$5000,"*** Mnemonic not found ***",0)</f>
        <v>*** Mnemonic not found ***</v>
      </c>
      <c r="F117" t="str">
        <f t="shared" si="29"/>
        <v>SUCMCGMRB_LESS1__</v>
      </c>
      <c r="H117" s="9" t="s">
        <v>1137</v>
      </c>
      <c r="K117" s="9">
        <f>K112</f>
        <v>91</v>
      </c>
      <c r="L117" s="9" t="s">
        <v>1377</v>
      </c>
      <c r="M117" s="9" t="str">
        <f t="shared" si="35"/>
        <v>Input!K91</v>
      </c>
      <c r="N117" s="9">
        <f>_xlfn.XLOOKUP(F117,'Raw Data'!$I$4:$I$5000,'Raw Data'!$E$4:$E$5000,100,0)</f>
        <v>100</v>
      </c>
      <c r="O117" s="9" t="str">
        <f>IF(N117=0,_xlfn.XLOOKUP(F117,'Raw Data'!$I$4:$I$5000,'Raw Data'!$H$4:$H$5000,"",0),"")</f>
        <v/>
      </c>
      <c r="P117" s="9" t="str" cm="1">
        <f t="array" aca="1" ref="P117" ca="1">IF(INDIRECT(M117) = "","",INDIRECT(M117))</f>
        <v/>
      </c>
      <c r="Q117" s="359" t="s">
        <v>4381</v>
      </c>
    </row>
    <row r="118" spans="1:17" x14ac:dyDescent="0.35">
      <c r="A118" t="s">
        <v>1279</v>
      </c>
      <c r="E118" t="str">
        <f>_xlfn.XLOOKUP(F118,'Raw Data'!$I$4:$I$5000,'Raw Data'!$D$4:$D$5000,"*** Mnemonic not found ***",0)</f>
        <v>*** Mnemonic not found ***</v>
      </c>
      <c r="F118" t="str">
        <f t="shared" si="29"/>
        <v>SUCMCGMRB_1TO5__</v>
      </c>
      <c r="H118" s="9" t="s">
        <v>1137</v>
      </c>
      <c r="K118" s="9">
        <f>K117+1</f>
        <v>92</v>
      </c>
      <c r="L118" s="9" t="str">
        <f t="shared" ref="L118:L121" si="50">L117</f>
        <v>K</v>
      </c>
      <c r="M118" s="9" t="str">
        <f t="shared" si="35"/>
        <v>Input!K92</v>
      </c>
      <c r="N118" s="9">
        <f>_xlfn.XLOOKUP(F118,'Raw Data'!$I$4:$I$5000,'Raw Data'!$E$4:$E$5000,100,0)</f>
        <v>100</v>
      </c>
      <c r="O118" s="9" t="str">
        <f>IF(N118=0,_xlfn.XLOOKUP(F118,'Raw Data'!$I$4:$I$5000,'Raw Data'!$H$4:$H$5000,"",0),"")</f>
        <v/>
      </c>
      <c r="P118" s="9" t="str" cm="1">
        <f t="array" aca="1" ref="P118" ca="1">IF(INDIRECT(M118) = "","",INDIRECT(M118))</f>
        <v/>
      </c>
      <c r="Q118" s="359" t="s">
        <v>4381</v>
      </c>
    </row>
    <row r="119" spans="1:17" x14ac:dyDescent="0.35">
      <c r="A119" t="s">
        <v>1280</v>
      </c>
      <c r="E119" t="str">
        <f>_xlfn.XLOOKUP(F119,'Raw Data'!$I$4:$I$5000,'Raw Data'!$D$4:$D$5000,"*** Mnemonic not found ***",0)</f>
        <v>*** Mnemonic not found ***</v>
      </c>
      <c r="F119" t="str">
        <f t="shared" si="29"/>
        <v>SUCMCGMRB_5TO10__</v>
      </c>
      <c r="H119" s="9" t="s">
        <v>1137</v>
      </c>
      <c r="K119" s="9">
        <f t="shared" ref="K119:K121" si="51">K118+1</f>
        <v>93</v>
      </c>
      <c r="L119" s="9" t="str">
        <f t="shared" si="50"/>
        <v>K</v>
      </c>
      <c r="M119" s="9" t="str">
        <f t="shared" si="35"/>
        <v>Input!K93</v>
      </c>
      <c r="N119" s="9">
        <f>_xlfn.XLOOKUP(F119,'Raw Data'!$I$4:$I$5000,'Raw Data'!$E$4:$E$5000,100,0)</f>
        <v>100</v>
      </c>
      <c r="O119" s="9" t="str">
        <f>IF(N119=0,_xlfn.XLOOKUP(F119,'Raw Data'!$I$4:$I$5000,'Raw Data'!$H$4:$H$5000,"",0),"")</f>
        <v/>
      </c>
      <c r="P119" s="9" t="str" cm="1">
        <f t="array" aca="1" ref="P119" ca="1">IF(INDIRECT(M119) = "","",INDIRECT(M119))</f>
        <v/>
      </c>
      <c r="Q119" s="359" t="s">
        <v>4381</v>
      </c>
    </row>
    <row r="120" spans="1:17" x14ac:dyDescent="0.35">
      <c r="A120" t="s">
        <v>1281</v>
      </c>
      <c r="E120" t="str">
        <f>_xlfn.XLOOKUP(F120,'Raw Data'!$I$4:$I$5000,'Raw Data'!$D$4:$D$5000,"*** Mnemonic not found ***",0)</f>
        <v>*** Mnemonic not found ***</v>
      </c>
      <c r="F120" t="str">
        <f t="shared" si="29"/>
        <v>SUCMCGMRB_10TO20__</v>
      </c>
      <c r="H120" s="9" t="s">
        <v>1137</v>
      </c>
      <c r="K120" s="9">
        <f t="shared" si="51"/>
        <v>94</v>
      </c>
      <c r="L120" s="9" t="str">
        <f t="shared" si="50"/>
        <v>K</v>
      </c>
      <c r="M120" s="9" t="str">
        <f t="shared" si="35"/>
        <v>Input!K94</v>
      </c>
      <c r="N120" s="9">
        <f>_xlfn.XLOOKUP(F120,'Raw Data'!$I$4:$I$5000,'Raw Data'!$E$4:$E$5000,100,0)</f>
        <v>100</v>
      </c>
      <c r="O120" s="9" t="str">
        <f>IF(N120=0,_xlfn.XLOOKUP(F120,'Raw Data'!$I$4:$I$5000,'Raw Data'!$H$4:$H$5000,"",0),"")</f>
        <v/>
      </c>
      <c r="P120" s="9" t="str" cm="1">
        <f t="array" aca="1" ref="P120" ca="1">IF(INDIRECT(M120) = "","",INDIRECT(M120))</f>
        <v/>
      </c>
      <c r="Q120" s="359" t="s">
        <v>4381</v>
      </c>
    </row>
    <row r="121" spans="1:17" x14ac:dyDescent="0.35">
      <c r="A121" t="s">
        <v>1282</v>
      </c>
      <c r="E121" t="str">
        <f>_xlfn.XLOOKUP(F121,'Raw Data'!$I$4:$I$5000,'Raw Data'!$D$4:$D$5000,"*** Mnemonic not found ***",0)</f>
        <v>*** Mnemonic not found ***</v>
      </c>
      <c r="F121" t="str">
        <f t="shared" si="29"/>
        <v>SUCMCGMRB_GRTR20__</v>
      </c>
      <c r="H121" s="9" t="s">
        <v>1137</v>
      </c>
      <c r="K121" s="9">
        <f t="shared" si="51"/>
        <v>95</v>
      </c>
      <c r="L121" s="9" t="str">
        <f t="shared" si="50"/>
        <v>K</v>
      </c>
      <c r="M121" s="9" t="str">
        <f t="shared" si="35"/>
        <v>Input!K95</v>
      </c>
      <c r="N121" s="9">
        <f>_xlfn.XLOOKUP(F121,'Raw Data'!$I$4:$I$5000,'Raw Data'!$E$4:$E$5000,100,0)</f>
        <v>100</v>
      </c>
      <c r="O121" s="9" t="str">
        <f>IF(N121=0,_xlfn.XLOOKUP(F121,'Raw Data'!$I$4:$I$5000,'Raw Data'!$H$4:$H$5000,"",0),"")</f>
        <v/>
      </c>
      <c r="P121" s="9" t="str" cm="1">
        <f t="array" aca="1" ref="P121" ca="1">IF(INDIRECT(M121) = "","",INDIRECT(M121))</f>
        <v/>
      </c>
      <c r="Q121" s="359" t="s">
        <v>4381</v>
      </c>
    </row>
    <row r="122" spans="1:17" x14ac:dyDescent="0.35">
      <c r="A122" t="s">
        <v>1283</v>
      </c>
      <c r="E122" t="str">
        <f>_xlfn.XLOOKUP(F122,'Raw Data'!$I$4:$I$5000,'Raw Data'!$D$4:$D$5000,"*** Mnemonic not found ***",0)</f>
        <v>*** Mnemonic not found ***</v>
      </c>
      <c r="F122" t="str">
        <f t="shared" si="29"/>
        <v>SUCMCGMRCCC_LESS1__</v>
      </c>
      <c r="H122" s="9" t="s">
        <v>1137</v>
      </c>
      <c r="K122" s="9">
        <f>K117</f>
        <v>91</v>
      </c>
      <c r="L122" s="9" t="s">
        <v>1378</v>
      </c>
      <c r="M122" s="9" t="str">
        <f t="shared" si="35"/>
        <v>Input!L91</v>
      </c>
      <c r="N122" s="9">
        <f>_xlfn.XLOOKUP(F122,'Raw Data'!$I$4:$I$5000,'Raw Data'!$E$4:$E$5000,100,0)</f>
        <v>100</v>
      </c>
      <c r="O122" s="9" t="str">
        <f>IF(N122=0,_xlfn.XLOOKUP(F122,'Raw Data'!$I$4:$I$5000,'Raw Data'!$H$4:$H$5000,"",0),"")</f>
        <v/>
      </c>
      <c r="P122" s="9" t="str" cm="1">
        <f t="array" aca="1" ref="P122" ca="1">IF(INDIRECT(M122) = "","",INDIRECT(M122))</f>
        <v/>
      </c>
      <c r="Q122" s="359" t="s">
        <v>4381</v>
      </c>
    </row>
    <row r="123" spans="1:17" x14ac:dyDescent="0.35">
      <c r="A123" t="s">
        <v>1284</v>
      </c>
      <c r="E123" t="str">
        <f>_xlfn.XLOOKUP(F123,'Raw Data'!$I$4:$I$5000,'Raw Data'!$D$4:$D$5000,"*** Mnemonic not found ***",0)</f>
        <v>*** Mnemonic not found ***</v>
      </c>
      <c r="F123" t="str">
        <f t="shared" si="29"/>
        <v>SUCMCGMRCCC_1TO5__</v>
      </c>
      <c r="H123" s="9" t="s">
        <v>1137</v>
      </c>
      <c r="K123" s="9">
        <f>K122+1</f>
        <v>92</v>
      </c>
      <c r="L123" s="9" t="str">
        <f t="shared" ref="L123:L126" si="52">L122</f>
        <v>L</v>
      </c>
      <c r="M123" s="9" t="str">
        <f t="shared" si="35"/>
        <v>Input!L92</v>
      </c>
      <c r="N123" s="9">
        <f>_xlfn.XLOOKUP(F123,'Raw Data'!$I$4:$I$5000,'Raw Data'!$E$4:$E$5000,100,0)</f>
        <v>100</v>
      </c>
      <c r="O123" s="9" t="str">
        <f>IF(N123=0,_xlfn.XLOOKUP(F123,'Raw Data'!$I$4:$I$5000,'Raw Data'!$H$4:$H$5000,"",0),"")</f>
        <v/>
      </c>
      <c r="P123" s="9" t="str" cm="1">
        <f t="array" aca="1" ref="P123" ca="1">IF(INDIRECT(M123) = "","",INDIRECT(M123))</f>
        <v/>
      </c>
      <c r="Q123" s="359" t="s">
        <v>4381</v>
      </c>
    </row>
    <row r="124" spans="1:17" x14ac:dyDescent="0.35">
      <c r="A124" t="s">
        <v>1285</v>
      </c>
      <c r="E124" t="str">
        <f>_xlfn.XLOOKUP(F124,'Raw Data'!$I$4:$I$5000,'Raw Data'!$D$4:$D$5000,"*** Mnemonic not found ***",0)</f>
        <v>*** Mnemonic not found ***</v>
      </c>
      <c r="F124" t="str">
        <f t="shared" si="29"/>
        <v>SUCMCGMRCCC_5TO10__</v>
      </c>
      <c r="H124" s="9" t="s">
        <v>1137</v>
      </c>
      <c r="K124" s="9">
        <f t="shared" ref="K124:K126" si="53">K123+1</f>
        <v>93</v>
      </c>
      <c r="L124" s="9" t="str">
        <f t="shared" si="52"/>
        <v>L</v>
      </c>
      <c r="M124" s="9" t="str">
        <f t="shared" si="35"/>
        <v>Input!L93</v>
      </c>
      <c r="N124" s="9">
        <f>_xlfn.XLOOKUP(F124,'Raw Data'!$I$4:$I$5000,'Raw Data'!$E$4:$E$5000,100,0)</f>
        <v>100</v>
      </c>
      <c r="O124" s="9" t="str">
        <f>IF(N124=0,_xlfn.XLOOKUP(F124,'Raw Data'!$I$4:$I$5000,'Raw Data'!$H$4:$H$5000,"",0),"")</f>
        <v/>
      </c>
      <c r="P124" s="9" t="str" cm="1">
        <f t="array" aca="1" ref="P124" ca="1">IF(INDIRECT(M124) = "","",INDIRECT(M124))</f>
        <v/>
      </c>
      <c r="Q124" s="359" t="s">
        <v>4381</v>
      </c>
    </row>
    <row r="125" spans="1:17" x14ac:dyDescent="0.35">
      <c r="A125" t="s">
        <v>1286</v>
      </c>
      <c r="E125" t="str">
        <f>_xlfn.XLOOKUP(F125,'Raw Data'!$I$4:$I$5000,'Raw Data'!$D$4:$D$5000,"*** Mnemonic not found ***",0)</f>
        <v>*** Mnemonic not found ***</v>
      </c>
      <c r="F125" t="str">
        <f t="shared" si="29"/>
        <v>SUCMCGMRCCC_10TO20__</v>
      </c>
      <c r="H125" s="9" t="s">
        <v>1137</v>
      </c>
      <c r="K125" s="9">
        <f t="shared" si="53"/>
        <v>94</v>
      </c>
      <c r="L125" s="9" t="str">
        <f t="shared" si="52"/>
        <v>L</v>
      </c>
      <c r="M125" s="9" t="str">
        <f t="shared" si="35"/>
        <v>Input!L94</v>
      </c>
      <c r="N125" s="9">
        <f>_xlfn.XLOOKUP(F125,'Raw Data'!$I$4:$I$5000,'Raw Data'!$E$4:$E$5000,100,0)</f>
        <v>100</v>
      </c>
      <c r="O125" s="9" t="str">
        <f>IF(N125=0,_xlfn.XLOOKUP(F125,'Raw Data'!$I$4:$I$5000,'Raw Data'!$H$4:$H$5000,"",0),"")</f>
        <v/>
      </c>
      <c r="P125" s="9" t="str" cm="1">
        <f t="array" aca="1" ref="P125" ca="1">IF(INDIRECT(M125) = "","",INDIRECT(M125))</f>
        <v/>
      </c>
      <c r="Q125" s="359" t="s">
        <v>4381</v>
      </c>
    </row>
    <row r="126" spans="1:17" x14ac:dyDescent="0.35">
      <c r="A126" t="s">
        <v>1287</v>
      </c>
      <c r="E126" t="str">
        <f>_xlfn.XLOOKUP(F126,'Raw Data'!$I$4:$I$5000,'Raw Data'!$D$4:$D$5000,"*** Mnemonic not found ***",0)</f>
        <v>*** Mnemonic not found ***</v>
      </c>
      <c r="F126" t="str">
        <f t="shared" si="29"/>
        <v>SUCMCGMRCCC_GRTR20__</v>
      </c>
      <c r="H126" s="9" t="s">
        <v>1137</v>
      </c>
      <c r="K126" s="9">
        <f t="shared" si="53"/>
        <v>95</v>
      </c>
      <c r="L126" s="9" t="str">
        <f t="shared" si="52"/>
        <v>L</v>
      </c>
      <c r="M126" s="9" t="str">
        <f t="shared" si="35"/>
        <v>Input!L95</v>
      </c>
      <c r="N126" s="9">
        <f>_xlfn.XLOOKUP(F126,'Raw Data'!$I$4:$I$5000,'Raw Data'!$E$4:$E$5000,100,0)</f>
        <v>100</v>
      </c>
      <c r="O126" s="9" t="str">
        <f>IF(N126=0,_xlfn.XLOOKUP(F126,'Raw Data'!$I$4:$I$5000,'Raw Data'!$H$4:$H$5000,"",0),"")</f>
        <v/>
      </c>
      <c r="P126" s="9" t="str" cm="1">
        <f t="array" aca="1" ref="P126" ca="1">IF(INDIRECT(M126) = "","",INDIRECT(M126))</f>
        <v/>
      </c>
      <c r="Q126" s="359" t="s">
        <v>4381</v>
      </c>
    </row>
    <row r="127" spans="1:17" x14ac:dyDescent="0.35">
      <c r="A127" t="s">
        <v>1288</v>
      </c>
      <c r="E127" t="str">
        <f>_xlfn.XLOOKUP(F127,'Raw Data'!$I$4:$I$5000,'Raw Data'!$D$4:$D$5000,"*** Mnemonic not found ***",0)</f>
        <v>*** Mnemonic not found ***</v>
      </c>
      <c r="F127" t="str">
        <f t="shared" si="29"/>
        <v>SUCMCGMRD_LESS1__</v>
      </c>
      <c r="H127" s="9" t="s">
        <v>1137</v>
      </c>
      <c r="K127" s="9">
        <f>K122</f>
        <v>91</v>
      </c>
      <c r="L127" s="9" t="s">
        <v>1374</v>
      </c>
      <c r="M127" s="9" t="str">
        <f t="shared" si="35"/>
        <v>Input!M91</v>
      </c>
      <c r="N127" s="9">
        <f>_xlfn.XLOOKUP(F127,'Raw Data'!$I$4:$I$5000,'Raw Data'!$E$4:$E$5000,100,0)</f>
        <v>100</v>
      </c>
      <c r="O127" s="9" t="str">
        <f>IF(N127=0,_xlfn.XLOOKUP(F127,'Raw Data'!$I$4:$I$5000,'Raw Data'!$H$4:$H$5000,"",0),"")</f>
        <v/>
      </c>
      <c r="P127" s="9" t="str" cm="1">
        <f t="array" aca="1" ref="P127" ca="1">IF(INDIRECT(M127) = "","",INDIRECT(M127))</f>
        <v/>
      </c>
      <c r="Q127" s="359" t="s">
        <v>4381</v>
      </c>
    </row>
    <row r="128" spans="1:17" x14ac:dyDescent="0.35">
      <c r="A128" t="s">
        <v>1289</v>
      </c>
      <c r="E128" t="str">
        <f>_xlfn.XLOOKUP(F128,'Raw Data'!$I$4:$I$5000,'Raw Data'!$D$4:$D$5000,"*** Mnemonic not found ***",0)</f>
        <v>*** Mnemonic not found ***</v>
      </c>
      <c r="F128" t="str">
        <f t="shared" si="29"/>
        <v>SUCMCGMRD_1TO5__</v>
      </c>
      <c r="H128" s="9" t="s">
        <v>1137</v>
      </c>
      <c r="K128" s="9">
        <f>K127+1</f>
        <v>92</v>
      </c>
      <c r="L128" s="9" t="str">
        <f t="shared" ref="L128:L131" si="54">L127</f>
        <v>M</v>
      </c>
      <c r="M128" s="9" t="str">
        <f t="shared" si="35"/>
        <v>Input!M92</v>
      </c>
      <c r="N128" s="9">
        <f>_xlfn.XLOOKUP(F128,'Raw Data'!$I$4:$I$5000,'Raw Data'!$E$4:$E$5000,100,0)</f>
        <v>100</v>
      </c>
      <c r="O128" s="9" t="str">
        <f>IF(N128=0,_xlfn.XLOOKUP(F128,'Raw Data'!$I$4:$I$5000,'Raw Data'!$H$4:$H$5000,"",0),"")</f>
        <v/>
      </c>
      <c r="P128" s="9" t="str" cm="1">
        <f t="array" aca="1" ref="P128" ca="1">IF(INDIRECT(M128) = "","",INDIRECT(M128))</f>
        <v/>
      </c>
      <c r="Q128" s="359" t="s">
        <v>4381</v>
      </c>
    </row>
    <row r="129" spans="1:17" x14ac:dyDescent="0.35">
      <c r="A129" t="s">
        <v>1290</v>
      </c>
      <c r="E129" t="str">
        <f>_xlfn.XLOOKUP(F129,'Raw Data'!$I$4:$I$5000,'Raw Data'!$D$4:$D$5000,"*** Mnemonic not found ***",0)</f>
        <v>*** Mnemonic not found ***</v>
      </c>
      <c r="F129" t="str">
        <f t="shared" si="29"/>
        <v>SUCMCGMRD_5TO10__</v>
      </c>
      <c r="H129" s="9" t="s">
        <v>1137</v>
      </c>
      <c r="K129" s="9">
        <f t="shared" ref="K129:K131" si="55">K128+1</f>
        <v>93</v>
      </c>
      <c r="L129" s="9" t="str">
        <f t="shared" si="54"/>
        <v>M</v>
      </c>
      <c r="M129" s="9" t="str">
        <f t="shared" si="35"/>
        <v>Input!M93</v>
      </c>
      <c r="N129" s="9">
        <f>_xlfn.XLOOKUP(F129,'Raw Data'!$I$4:$I$5000,'Raw Data'!$E$4:$E$5000,100,0)</f>
        <v>100</v>
      </c>
      <c r="O129" s="9" t="str">
        <f>IF(N129=0,_xlfn.XLOOKUP(F129,'Raw Data'!$I$4:$I$5000,'Raw Data'!$H$4:$H$5000,"",0),"")</f>
        <v/>
      </c>
      <c r="P129" s="9" t="str" cm="1">
        <f t="array" aca="1" ref="P129" ca="1">IF(INDIRECT(M129) = "","",INDIRECT(M129))</f>
        <v/>
      </c>
      <c r="Q129" s="359" t="s">
        <v>4381</v>
      </c>
    </row>
    <row r="130" spans="1:17" x14ac:dyDescent="0.35">
      <c r="A130" t="s">
        <v>1291</v>
      </c>
      <c r="E130" t="str">
        <f>_xlfn.XLOOKUP(F130,'Raw Data'!$I$4:$I$5000,'Raw Data'!$D$4:$D$5000,"*** Mnemonic not found ***",0)</f>
        <v>*** Mnemonic not found ***</v>
      </c>
      <c r="F130" t="str">
        <f t="shared" si="29"/>
        <v>SUCMCGMRD_10TO20__</v>
      </c>
      <c r="H130" s="9" t="s">
        <v>1137</v>
      </c>
      <c r="K130" s="9">
        <f t="shared" si="55"/>
        <v>94</v>
      </c>
      <c r="L130" s="9" t="str">
        <f t="shared" si="54"/>
        <v>M</v>
      </c>
      <c r="M130" s="9" t="str">
        <f t="shared" si="35"/>
        <v>Input!M94</v>
      </c>
      <c r="N130" s="9">
        <f>_xlfn.XLOOKUP(F130,'Raw Data'!$I$4:$I$5000,'Raw Data'!$E$4:$E$5000,100,0)</f>
        <v>100</v>
      </c>
      <c r="O130" s="9" t="str">
        <f>IF(N130=0,_xlfn.XLOOKUP(F130,'Raw Data'!$I$4:$I$5000,'Raw Data'!$H$4:$H$5000,"",0),"")</f>
        <v/>
      </c>
      <c r="P130" s="9" t="str" cm="1">
        <f t="array" aca="1" ref="P130" ca="1">IF(INDIRECT(M130) = "","",INDIRECT(M130))</f>
        <v/>
      </c>
      <c r="Q130" s="359" t="s">
        <v>4381</v>
      </c>
    </row>
    <row r="131" spans="1:17" x14ac:dyDescent="0.35">
      <c r="A131" t="s">
        <v>1292</v>
      </c>
      <c r="E131" t="str">
        <f>_xlfn.XLOOKUP(F131,'Raw Data'!$I$4:$I$5000,'Raw Data'!$D$4:$D$5000,"*** Mnemonic not found ***",0)</f>
        <v>*** Mnemonic not found ***</v>
      </c>
      <c r="F131" t="str">
        <f t="shared" si="29"/>
        <v>SUCMCGMRD_GRTR20__</v>
      </c>
      <c r="H131" s="9" t="s">
        <v>1137</v>
      </c>
      <c r="K131" s="9">
        <f t="shared" si="55"/>
        <v>95</v>
      </c>
      <c r="L131" s="9" t="str">
        <f t="shared" si="54"/>
        <v>M</v>
      </c>
      <c r="M131" s="9" t="str">
        <f t="shared" si="35"/>
        <v>Input!M95</v>
      </c>
      <c r="N131" s="9">
        <f>_xlfn.XLOOKUP(F131,'Raw Data'!$I$4:$I$5000,'Raw Data'!$E$4:$E$5000,100,0)</f>
        <v>100</v>
      </c>
      <c r="O131" s="9" t="str">
        <f>IF(N131=0,_xlfn.XLOOKUP(F131,'Raw Data'!$I$4:$I$5000,'Raw Data'!$H$4:$H$5000,"",0),"")</f>
        <v/>
      </c>
      <c r="P131" s="9" t="str" cm="1">
        <f t="array" aca="1" ref="P131" ca="1">IF(INDIRECT(M131) = "","",INDIRECT(M131))</f>
        <v/>
      </c>
      <c r="Q131" s="359" t="s">
        <v>4381</v>
      </c>
    </row>
    <row r="132" spans="1:17" x14ac:dyDescent="0.35">
      <c r="A132" t="s">
        <v>1293</v>
      </c>
      <c r="E132" t="str">
        <f>_xlfn.XLOOKUP(F132,'Raw Data'!$I$4:$I$5000,'Raw Data'!$D$4:$D$5000,"*** Mnemonic not found ***",0)</f>
        <v>*** Mnemonic not found ***</v>
      </c>
      <c r="F132" t="str">
        <f t="shared" si="29"/>
        <v>SUCMCGLRAAA_LESS1__</v>
      </c>
      <c r="H132" s="9" t="s">
        <v>1137</v>
      </c>
      <c r="I132" s="289">
        <f>ROW(section_bonds_sp_rated)</f>
        <v>79</v>
      </c>
      <c r="J132" s="9">
        <f>J92+8</f>
        <v>20</v>
      </c>
      <c r="K132" s="9">
        <f>I132+J132</f>
        <v>99</v>
      </c>
      <c r="L132" s="9" t="s">
        <v>1124</v>
      </c>
      <c r="M132" s="9" t="str">
        <f t="shared" si="35"/>
        <v>Input!F99</v>
      </c>
      <c r="N132" s="9">
        <f>_xlfn.XLOOKUP(F132,'Raw Data'!$I$4:$I$5000,'Raw Data'!$E$4:$E$5000,100,0)</f>
        <v>100</v>
      </c>
      <c r="O132" s="9" t="str">
        <f>IF(N132=0,_xlfn.XLOOKUP(F132,'Raw Data'!$I$4:$I$5000,'Raw Data'!$H$4:$H$5000,"",0),"")</f>
        <v/>
      </c>
      <c r="P132" s="9" t="str" cm="1">
        <f t="array" aca="1" ref="P132" ca="1">IF(INDIRECT(M132) = "","",INDIRECT(M132))</f>
        <v/>
      </c>
      <c r="Q132" s="359" t="s">
        <v>4381</v>
      </c>
    </row>
    <row r="133" spans="1:17" x14ac:dyDescent="0.35">
      <c r="A133" t="s">
        <v>1294</v>
      </c>
      <c r="E133" t="str">
        <f>_xlfn.XLOOKUP(F133,'Raw Data'!$I$4:$I$5000,'Raw Data'!$D$4:$D$5000,"*** Mnemonic not found ***",0)</f>
        <v>*** Mnemonic not found ***</v>
      </c>
      <c r="F133" t="str">
        <f t="shared" ref="F133:F196" si="56">CONCATENATE(A133,"_",B133,"_",D133)</f>
        <v>SUCMCGLRAAA_1TO5__</v>
      </c>
      <c r="H133" s="9" t="s">
        <v>1137</v>
      </c>
      <c r="K133" s="9">
        <f>K132+1</f>
        <v>100</v>
      </c>
      <c r="L133" s="9" t="str">
        <f t="shared" ref="L133:L136" si="57">L132</f>
        <v>F</v>
      </c>
      <c r="M133" s="9" t="str">
        <f t="shared" si="35"/>
        <v>Input!F100</v>
      </c>
      <c r="N133" s="9">
        <f>_xlfn.XLOOKUP(F133,'Raw Data'!$I$4:$I$5000,'Raw Data'!$E$4:$E$5000,100,0)</f>
        <v>100</v>
      </c>
      <c r="O133" s="9" t="str">
        <f>IF(N133=0,_xlfn.XLOOKUP(F133,'Raw Data'!$I$4:$I$5000,'Raw Data'!$H$4:$H$5000,"",0),"")</f>
        <v/>
      </c>
      <c r="P133" s="9" t="str" cm="1">
        <f t="array" aca="1" ref="P133" ca="1">IF(INDIRECT(M133) = "","",INDIRECT(M133))</f>
        <v/>
      </c>
      <c r="Q133" s="359" t="s">
        <v>4381</v>
      </c>
    </row>
    <row r="134" spans="1:17" x14ac:dyDescent="0.35">
      <c r="A134" t="s">
        <v>1295</v>
      </c>
      <c r="E134" t="str">
        <f>_xlfn.XLOOKUP(F134,'Raw Data'!$I$4:$I$5000,'Raw Data'!$D$4:$D$5000,"*** Mnemonic not found ***",0)</f>
        <v>*** Mnemonic not found ***</v>
      </c>
      <c r="F134" t="str">
        <f t="shared" si="56"/>
        <v>SUCMCGLRAAA_5TO10__</v>
      </c>
      <c r="H134" s="9" t="s">
        <v>1137</v>
      </c>
      <c r="K134" s="9">
        <f t="shared" ref="K134:K136" si="58">K133+1</f>
        <v>101</v>
      </c>
      <c r="L134" s="9" t="str">
        <f t="shared" si="57"/>
        <v>F</v>
      </c>
      <c r="M134" s="9" t="str">
        <f t="shared" si="35"/>
        <v>Input!F101</v>
      </c>
      <c r="N134" s="9">
        <f>_xlfn.XLOOKUP(F134,'Raw Data'!$I$4:$I$5000,'Raw Data'!$E$4:$E$5000,100,0)</f>
        <v>100</v>
      </c>
      <c r="O134" s="9" t="str">
        <f>IF(N134=0,_xlfn.XLOOKUP(F134,'Raw Data'!$I$4:$I$5000,'Raw Data'!$H$4:$H$5000,"",0),"")</f>
        <v/>
      </c>
      <c r="P134" s="9" t="str" cm="1">
        <f t="array" aca="1" ref="P134" ca="1">IF(INDIRECT(M134) = "","",INDIRECT(M134))</f>
        <v/>
      </c>
      <c r="Q134" s="359" t="s">
        <v>4381</v>
      </c>
    </row>
    <row r="135" spans="1:17" x14ac:dyDescent="0.35">
      <c r="A135" t="s">
        <v>1296</v>
      </c>
      <c r="E135" t="str">
        <f>_xlfn.XLOOKUP(F135,'Raw Data'!$I$4:$I$5000,'Raw Data'!$D$4:$D$5000,"*** Mnemonic not found ***",0)</f>
        <v>*** Mnemonic not found ***</v>
      </c>
      <c r="F135" t="str">
        <f t="shared" si="56"/>
        <v>SUCMCGLRAAA_10TO20__</v>
      </c>
      <c r="H135" s="9" t="s">
        <v>1137</v>
      </c>
      <c r="K135" s="9">
        <f t="shared" si="58"/>
        <v>102</v>
      </c>
      <c r="L135" s="9" t="str">
        <f t="shared" si="57"/>
        <v>F</v>
      </c>
      <c r="M135" s="9" t="str">
        <f t="shared" si="35"/>
        <v>Input!F102</v>
      </c>
      <c r="N135" s="9">
        <f>_xlfn.XLOOKUP(F135,'Raw Data'!$I$4:$I$5000,'Raw Data'!$E$4:$E$5000,100,0)</f>
        <v>100</v>
      </c>
      <c r="O135" s="9" t="str">
        <f>IF(N135=0,_xlfn.XLOOKUP(F135,'Raw Data'!$I$4:$I$5000,'Raw Data'!$H$4:$H$5000,"",0),"")</f>
        <v/>
      </c>
      <c r="P135" s="9" t="str" cm="1">
        <f t="array" aca="1" ref="P135" ca="1">IF(INDIRECT(M135) = "","",INDIRECT(M135))</f>
        <v/>
      </c>
      <c r="Q135" s="359" t="s">
        <v>4381</v>
      </c>
    </row>
    <row r="136" spans="1:17" x14ac:dyDescent="0.35">
      <c r="A136" t="s">
        <v>1297</v>
      </c>
      <c r="E136" t="str">
        <f>_xlfn.XLOOKUP(F136,'Raw Data'!$I$4:$I$5000,'Raw Data'!$D$4:$D$5000,"*** Mnemonic not found ***",0)</f>
        <v>*** Mnemonic not found ***</v>
      </c>
      <c r="F136" t="str">
        <f t="shared" si="56"/>
        <v>SUCMCGLRAAA_GRTR20__</v>
      </c>
      <c r="H136" s="9" t="s">
        <v>1137</v>
      </c>
      <c r="K136" s="9">
        <f t="shared" si="58"/>
        <v>103</v>
      </c>
      <c r="L136" s="9" t="str">
        <f t="shared" si="57"/>
        <v>F</v>
      </c>
      <c r="M136" s="9" t="str">
        <f t="shared" si="35"/>
        <v>Input!F103</v>
      </c>
      <c r="N136" s="9">
        <f>_xlfn.XLOOKUP(F136,'Raw Data'!$I$4:$I$5000,'Raw Data'!$E$4:$E$5000,100,0)</f>
        <v>100</v>
      </c>
      <c r="O136" s="9" t="str">
        <f>IF(N136=0,_xlfn.XLOOKUP(F136,'Raw Data'!$I$4:$I$5000,'Raw Data'!$H$4:$H$5000,"",0),"")</f>
        <v/>
      </c>
      <c r="P136" s="9" t="str" cm="1">
        <f t="array" aca="1" ref="P136" ca="1">IF(INDIRECT(M136) = "","",INDIRECT(M136))</f>
        <v/>
      </c>
      <c r="Q136" s="359" t="s">
        <v>4381</v>
      </c>
    </row>
    <row r="137" spans="1:17" x14ac:dyDescent="0.35">
      <c r="A137" t="s">
        <v>1298</v>
      </c>
      <c r="E137" t="str">
        <f>_xlfn.XLOOKUP(F137,'Raw Data'!$I$4:$I$5000,'Raw Data'!$D$4:$D$5000,"*** Mnemonic not found ***",0)</f>
        <v>*** Mnemonic not found ***</v>
      </c>
      <c r="F137" t="str">
        <f t="shared" si="56"/>
        <v>SUCMCGLRAA_LESS1__</v>
      </c>
      <c r="H137" s="9" t="s">
        <v>1137</v>
      </c>
      <c r="K137" s="9">
        <f>K132</f>
        <v>99</v>
      </c>
      <c r="L137" s="9" t="s">
        <v>1145</v>
      </c>
      <c r="M137" s="9" t="str">
        <f t="shared" si="35"/>
        <v>Input!G99</v>
      </c>
      <c r="N137" s="9">
        <f>_xlfn.XLOOKUP(F137,'Raw Data'!$I$4:$I$5000,'Raw Data'!$E$4:$E$5000,100,0)</f>
        <v>100</v>
      </c>
      <c r="O137" s="9" t="str">
        <f>IF(N137=0,_xlfn.XLOOKUP(F137,'Raw Data'!$I$4:$I$5000,'Raw Data'!$H$4:$H$5000,"",0),"")</f>
        <v/>
      </c>
      <c r="P137" s="9" t="str" cm="1">
        <f t="array" aca="1" ref="P137" ca="1">IF(INDIRECT(M137) = "","",INDIRECT(M137))</f>
        <v/>
      </c>
      <c r="Q137" s="359" t="s">
        <v>4381</v>
      </c>
    </row>
    <row r="138" spans="1:17" x14ac:dyDescent="0.35">
      <c r="A138" t="s">
        <v>1299</v>
      </c>
      <c r="E138" t="str">
        <f>_xlfn.XLOOKUP(F138,'Raw Data'!$I$4:$I$5000,'Raw Data'!$D$4:$D$5000,"*** Mnemonic not found ***",0)</f>
        <v>*** Mnemonic not found ***</v>
      </c>
      <c r="F138" t="str">
        <f t="shared" si="56"/>
        <v>SUCMCGLRAA_1TO5__</v>
      </c>
      <c r="H138" s="9" t="s">
        <v>1137</v>
      </c>
      <c r="K138" s="9">
        <f>K137+1</f>
        <v>100</v>
      </c>
      <c r="L138" s="9" t="str">
        <f t="shared" ref="L138:L141" si="59">L137</f>
        <v>G</v>
      </c>
      <c r="M138" s="9" t="str">
        <f t="shared" si="35"/>
        <v>Input!G100</v>
      </c>
      <c r="N138" s="9">
        <f>_xlfn.XLOOKUP(F138,'Raw Data'!$I$4:$I$5000,'Raw Data'!$E$4:$E$5000,100,0)</f>
        <v>100</v>
      </c>
      <c r="O138" s="9" t="str">
        <f>IF(N138=0,_xlfn.XLOOKUP(F138,'Raw Data'!$I$4:$I$5000,'Raw Data'!$H$4:$H$5000,"",0),"")</f>
        <v/>
      </c>
      <c r="P138" s="9" t="str" cm="1">
        <f t="array" aca="1" ref="P138" ca="1">IF(INDIRECT(M138) = "","",INDIRECT(M138))</f>
        <v/>
      </c>
      <c r="Q138" s="359" t="s">
        <v>4381</v>
      </c>
    </row>
    <row r="139" spans="1:17" x14ac:dyDescent="0.35">
      <c r="A139" t="s">
        <v>1300</v>
      </c>
      <c r="E139" t="str">
        <f>_xlfn.XLOOKUP(F139,'Raw Data'!$I$4:$I$5000,'Raw Data'!$D$4:$D$5000,"*** Mnemonic not found ***",0)</f>
        <v>*** Mnemonic not found ***</v>
      </c>
      <c r="F139" t="str">
        <f t="shared" si="56"/>
        <v>SUCMCGLRAA_5TO10__</v>
      </c>
      <c r="H139" s="9" t="s">
        <v>1137</v>
      </c>
      <c r="K139" s="9">
        <f t="shared" ref="K139:K141" si="60">K138+1</f>
        <v>101</v>
      </c>
      <c r="L139" s="9" t="str">
        <f t="shared" si="59"/>
        <v>G</v>
      </c>
      <c r="M139" s="9" t="str">
        <f t="shared" si="35"/>
        <v>Input!G101</v>
      </c>
      <c r="N139" s="9">
        <f>_xlfn.XLOOKUP(F139,'Raw Data'!$I$4:$I$5000,'Raw Data'!$E$4:$E$5000,100,0)</f>
        <v>100</v>
      </c>
      <c r="O139" s="9" t="str">
        <f>IF(N139=0,_xlfn.XLOOKUP(F139,'Raw Data'!$I$4:$I$5000,'Raw Data'!$H$4:$H$5000,"",0),"")</f>
        <v/>
      </c>
      <c r="P139" s="9" t="str" cm="1">
        <f t="array" aca="1" ref="P139" ca="1">IF(INDIRECT(M139) = "","",INDIRECT(M139))</f>
        <v/>
      </c>
      <c r="Q139" s="359" t="s">
        <v>4381</v>
      </c>
    </row>
    <row r="140" spans="1:17" x14ac:dyDescent="0.35">
      <c r="A140" t="s">
        <v>1301</v>
      </c>
      <c r="E140" t="str">
        <f>_xlfn.XLOOKUP(F140,'Raw Data'!$I$4:$I$5000,'Raw Data'!$D$4:$D$5000,"*** Mnemonic not found ***",0)</f>
        <v>*** Mnemonic not found ***</v>
      </c>
      <c r="F140" t="str">
        <f t="shared" si="56"/>
        <v>SUCMCGLRAA_10TO20__</v>
      </c>
      <c r="H140" s="9" t="s">
        <v>1137</v>
      </c>
      <c r="K140" s="9">
        <f t="shared" si="60"/>
        <v>102</v>
      </c>
      <c r="L140" s="9" t="str">
        <f t="shared" si="59"/>
        <v>G</v>
      </c>
      <c r="M140" s="9" t="str">
        <f t="shared" si="35"/>
        <v>Input!G102</v>
      </c>
      <c r="N140" s="9">
        <f>_xlfn.XLOOKUP(F140,'Raw Data'!$I$4:$I$5000,'Raw Data'!$E$4:$E$5000,100,0)</f>
        <v>100</v>
      </c>
      <c r="O140" s="9" t="str">
        <f>IF(N140=0,_xlfn.XLOOKUP(F140,'Raw Data'!$I$4:$I$5000,'Raw Data'!$H$4:$H$5000,"",0),"")</f>
        <v/>
      </c>
      <c r="P140" s="9" t="str" cm="1">
        <f t="array" aca="1" ref="P140" ca="1">IF(INDIRECT(M140) = "","",INDIRECT(M140))</f>
        <v/>
      </c>
      <c r="Q140" s="359" t="s">
        <v>4381</v>
      </c>
    </row>
    <row r="141" spans="1:17" x14ac:dyDescent="0.35">
      <c r="A141" t="s">
        <v>1302</v>
      </c>
      <c r="E141" t="str">
        <f>_xlfn.XLOOKUP(F141,'Raw Data'!$I$4:$I$5000,'Raw Data'!$D$4:$D$5000,"*** Mnemonic not found ***",0)</f>
        <v>*** Mnemonic not found ***</v>
      </c>
      <c r="F141" t="str">
        <f t="shared" si="56"/>
        <v>SUCMCGLRAA_GRTR20__</v>
      </c>
      <c r="H141" s="9" t="s">
        <v>1137</v>
      </c>
      <c r="K141" s="9">
        <f t="shared" si="60"/>
        <v>103</v>
      </c>
      <c r="L141" s="9" t="str">
        <f t="shared" si="59"/>
        <v>G</v>
      </c>
      <c r="M141" s="9" t="str">
        <f t="shared" si="35"/>
        <v>Input!G103</v>
      </c>
      <c r="N141" s="9">
        <f>_xlfn.XLOOKUP(F141,'Raw Data'!$I$4:$I$5000,'Raw Data'!$E$4:$E$5000,100,0)</f>
        <v>100</v>
      </c>
      <c r="O141" s="9" t="str">
        <f>IF(N141=0,_xlfn.XLOOKUP(F141,'Raw Data'!$I$4:$I$5000,'Raw Data'!$H$4:$H$5000,"",0),"")</f>
        <v/>
      </c>
      <c r="P141" s="9" t="str" cm="1">
        <f t="array" aca="1" ref="P141" ca="1">IF(INDIRECT(M141) = "","",INDIRECT(M141))</f>
        <v/>
      </c>
      <c r="Q141" s="359" t="s">
        <v>4381</v>
      </c>
    </row>
    <row r="142" spans="1:17" x14ac:dyDescent="0.35">
      <c r="A142" t="s">
        <v>1303</v>
      </c>
      <c r="E142" t="str">
        <f>_xlfn.XLOOKUP(F142,'Raw Data'!$I$4:$I$5000,'Raw Data'!$D$4:$D$5000,"*** Mnemonic not found ***",0)</f>
        <v>*** Mnemonic not found ***</v>
      </c>
      <c r="F142" t="str">
        <f t="shared" si="56"/>
        <v>SUCMCGLRA_LESS1__</v>
      </c>
      <c r="H142" s="9" t="s">
        <v>1137</v>
      </c>
      <c r="K142" s="9">
        <f>K137</f>
        <v>99</v>
      </c>
      <c r="L142" s="9" t="s">
        <v>1144</v>
      </c>
      <c r="M142" s="9" t="str">
        <f t="shared" si="35"/>
        <v>Input!H99</v>
      </c>
      <c r="N142" s="9">
        <f>_xlfn.XLOOKUP(F142,'Raw Data'!$I$4:$I$5000,'Raw Data'!$E$4:$E$5000,100,0)</f>
        <v>100</v>
      </c>
      <c r="O142" s="9" t="str">
        <f>IF(N142=0,_xlfn.XLOOKUP(F142,'Raw Data'!$I$4:$I$5000,'Raw Data'!$H$4:$H$5000,"",0),"")</f>
        <v/>
      </c>
      <c r="P142" s="9" t="str" cm="1">
        <f t="array" aca="1" ref="P142" ca="1">IF(INDIRECT(M142) = "","",INDIRECT(M142))</f>
        <v/>
      </c>
      <c r="Q142" s="359" t="s">
        <v>4381</v>
      </c>
    </row>
    <row r="143" spans="1:17" x14ac:dyDescent="0.35">
      <c r="A143" t="s">
        <v>1304</v>
      </c>
      <c r="E143" t="str">
        <f>_xlfn.XLOOKUP(F143,'Raw Data'!$I$4:$I$5000,'Raw Data'!$D$4:$D$5000,"*** Mnemonic not found ***",0)</f>
        <v>*** Mnemonic not found ***</v>
      </c>
      <c r="F143" t="str">
        <f t="shared" si="56"/>
        <v>SUCMCGLRA_1TO5__</v>
      </c>
      <c r="H143" s="9" t="s">
        <v>1137</v>
      </c>
      <c r="K143" s="9">
        <f>K142+1</f>
        <v>100</v>
      </c>
      <c r="L143" s="9" t="str">
        <f t="shared" ref="L143:L146" si="61">L142</f>
        <v>H</v>
      </c>
      <c r="M143" s="9" t="str">
        <f t="shared" ref="M143:M206" si="62">CONCATENATE(H143,"!",L143,K143)</f>
        <v>Input!H100</v>
      </c>
      <c r="N143" s="9">
        <f>_xlfn.XLOOKUP(F143,'Raw Data'!$I$4:$I$5000,'Raw Data'!$E$4:$E$5000,100,0)</f>
        <v>100</v>
      </c>
      <c r="O143" s="9" t="str">
        <f>IF(N143=0,_xlfn.XLOOKUP(F143,'Raw Data'!$I$4:$I$5000,'Raw Data'!$H$4:$H$5000,"",0),"")</f>
        <v/>
      </c>
      <c r="P143" s="9" t="str" cm="1">
        <f t="array" aca="1" ref="P143" ca="1">IF(INDIRECT(M143) = "","",INDIRECT(M143))</f>
        <v/>
      </c>
      <c r="Q143" s="359" t="s">
        <v>4381</v>
      </c>
    </row>
    <row r="144" spans="1:17" x14ac:dyDescent="0.35">
      <c r="A144" t="s">
        <v>1305</v>
      </c>
      <c r="E144" t="str">
        <f>_xlfn.XLOOKUP(F144,'Raw Data'!$I$4:$I$5000,'Raw Data'!$D$4:$D$5000,"*** Mnemonic not found ***",0)</f>
        <v>*** Mnemonic not found ***</v>
      </c>
      <c r="F144" t="str">
        <f t="shared" si="56"/>
        <v>SUCMCGLRA_5TO10__</v>
      </c>
      <c r="H144" s="9" t="s">
        <v>1137</v>
      </c>
      <c r="K144" s="9">
        <f t="shared" ref="K144:K146" si="63">K143+1</f>
        <v>101</v>
      </c>
      <c r="L144" s="9" t="str">
        <f t="shared" si="61"/>
        <v>H</v>
      </c>
      <c r="M144" s="9" t="str">
        <f t="shared" si="62"/>
        <v>Input!H101</v>
      </c>
      <c r="N144" s="9">
        <f>_xlfn.XLOOKUP(F144,'Raw Data'!$I$4:$I$5000,'Raw Data'!$E$4:$E$5000,100,0)</f>
        <v>100</v>
      </c>
      <c r="O144" s="9" t="str">
        <f>IF(N144=0,_xlfn.XLOOKUP(F144,'Raw Data'!$I$4:$I$5000,'Raw Data'!$H$4:$H$5000,"",0),"")</f>
        <v/>
      </c>
      <c r="P144" s="9" t="str" cm="1">
        <f t="array" aca="1" ref="P144" ca="1">IF(INDIRECT(M144) = "","",INDIRECT(M144))</f>
        <v/>
      </c>
      <c r="Q144" s="359" t="s">
        <v>4381</v>
      </c>
    </row>
    <row r="145" spans="1:17" x14ac:dyDescent="0.35">
      <c r="A145" t="s">
        <v>1306</v>
      </c>
      <c r="E145" t="str">
        <f>_xlfn.XLOOKUP(F145,'Raw Data'!$I$4:$I$5000,'Raw Data'!$D$4:$D$5000,"*** Mnemonic not found ***",0)</f>
        <v>*** Mnemonic not found ***</v>
      </c>
      <c r="F145" t="str">
        <f t="shared" si="56"/>
        <v>SUCMCGLRA_10TO20__</v>
      </c>
      <c r="H145" s="9" t="s">
        <v>1137</v>
      </c>
      <c r="K145" s="9">
        <f t="shared" si="63"/>
        <v>102</v>
      </c>
      <c r="L145" s="9" t="str">
        <f t="shared" si="61"/>
        <v>H</v>
      </c>
      <c r="M145" s="9" t="str">
        <f t="shared" si="62"/>
        <v>Input!H102</v>
      </c>
      <c r="N145" s="9">
        <f>_xlfn.XLOOKUP(F145,'Raw Data'!$I$4:$I$5000,'Raw Data'!$E$4:$E$5000,100,0)</f>
        <v>100</v>
      </c>
      <c r="O145" s="9" t="str">
        <f>IF(N145=0,_xlfn.XLOOKUP(F145,'Raw Data'!$I$4:$I$5000,'Raw Data'!$H$4:$H$5000,"",0),"")</f>
        <v/>
      </c>
      <c r="P145" s="9" t="str" cm="1">
        <f t="array" aca="1" ref="P145" ca="1">IF(INDIRECT(M145) = "","",INDIRECT(M145))</f>
        <v/>
      </c>
      <c r="Q145" s="359" t="s">
        <v>4381</v>
      </c>
    </row>
    <row r="146" spans="1:17" x14ac:dyDescent="0.35">
      <c r="A146" t="s">
        <v>1307</v>
      </c>
      <c r="E146" t="str">
        <f>_xlfn.XLOOKUP(F146,'Raw Data'!$I$4:$I$5000,'Raw Data'!$D$4:$D$5000,"*** Mnemonic not found ***",0)</f>
        <v>*** Mnemonic not found ***</v>
      </c>
      <c r="F146" t="str">
        <f t="shared" si="56"/>
        <v>SUCMCGLRA_GRTR20__</v>
      </c>
      <c r="H146" s="9" t="s">
        <v>1137</v>
      </c>
      <c r="K146" s="9">
        <f t="shared" si="63"/>
        <v>103</v>
      </c>
      <c r="L146" s="9" t="str">
        <f t="shared" si="61"/>
        <v>H</v>
      </c>
      <c r="M146" s="9" t="str">
        <f t="shared" si="62"/>
        <v>Input!H103</v>
      </c>
      <c r="N146" s="9">
        <f>_xlfn.XLOOKUP(F146,'Raw Data'!$I$4:$I$5000,'Raw Data'!$E$4:$E$5000,100,0)</f>
        <v>100</v>
      </c>
      <c r="O146" s="9" t="str">
        <f>IF(N146=0,_xlfn.XLOOKUP(F146,'Raw Data'!$I$4:$I$5000,'Raw Data'!$H$4:$H$5000,"",0),"")</f>
        <v/>
      </c>
      <c r="P146" s="9" t="str" cm="1">
        <f t="array" aca="1" ref="P146" ca="1">IF(INDIRECT(M146) = "","",INDIRECT(M146))</f>
        <v/>
      </c>
      <c r="Q146" s="359" t="s">
        <v>4381</v>
      </c>
    </row>
    <row r="147" spans="1:17" x14ac:dyDescent="0.35">
      <c r="A147" t="s">
        <v>1308</v>
      </c>
      <c r="E147" t="str">
        <f>_xlfn.XLOOKUP(F147,'Raw Data'!$I$4:$I$5000,'Raw Data'!$D$4:$D$5000,"*** Mnemonic not found ***",0)</f>
        <v>*** Mnemonic not found ***</v>
      </c>
      <c r="F147" t="str">
        <f t="shared" si="56"/>
        <v>SUCMCGLRBBB_LESS1__</v>
      </c>
      <c r="H147" s="9" t="s">
        <v>1137</v>
      </c>
      <c r="K147" s="9">
        <f>K142</f>
        <v>99</v>
      </c>
      <c r="L147" s="9" t="s">
        <v>1375</v>
      </c>
      <c r="M147" s="9" t="str">
        <f t="shared" si="62"/>
        <v>Input!I99</v>
      </c>
      <c r="N147" s="9">
        <f>_xlfn.XLOOKUP(F147,'Raw Data'!$I$4:$I$5000,'Raw Data'!$E$4:$E$5000,100,0)</f>
        <v>100</v>
      </c>
      <c r="O147" s="9" t="str">
        <f>IF(N147=0,_xlfn.XLOOKUP(F147,'Raw Data'!$I$4:$I$5000,'Raw Data'!$H$4:$H$5000,"",0),"")</f>
        <v/>
      </c>
      <c r="P147" s="9" t="str" cm="1">
        <f t="array" aca="1" ref="P147" ca="1">IF(INDIRECT(M147) = "","",INDIRECT(M147))</f>
        <v/>
      </c>
      <c r="Q147" s="359" t="s">
        <v>4381</v>
      </c>
    </row>
    <row r="148" spans="1:17" x14ac:dyDescent="0.35">
      <c r="A148" t="s">
        <v>1309</v>
      </c>
      <c r="E148" t="str">
        <f>_xlfn.XLOOKUP(F148,'Raw Data'!$I$4:$I$5000,'Raw Data'!$D$4:$D$5000,"*** Mnemonic not found ***",0)</f>
        <v>*** Mnemonic not found ***</v>
      </c>
      <c r="F148" t="str">
        <f t="shared" si="56"/>
        <v>SUCMCGLRBBB_1TO5__</v>
      </c>
      <c r="H148" s="9" t="s">
        <v>1137</v>
      </c>
      <c r="K148" s="9">
        <f>K147+1</f>
        <v>100</v>
      </c>
      <c r="L148" s="9" t="str">
        <f t="shared" ref="L148:L151" si="64">L147</f>
        <v>I</v>
      </c>
      <c r="M148" s="9" t="str">
        <f t="shared" si="62"/>
        <v>Input!I100</v>
      </c>
      <c r="N148" s="9">
        <f>_xlfn.XLOOKUP(F148,'Raw Data'!$I$4:$I$5000,'Raw Data'!$E$4:$E$5000,100,0)</f>
        <v>100</v>
      </c>
      <c r="O148" s="9" t="str">
        <f>IF(N148=0,_xlfn.XLOOKUP(F148,'Raw Data'!$I$4:$I$5000,'Raw Data'!$H$4:$H$5000,"",0),"")</f>
        <v/>
      </c>
      <c r="P148" s="9" t="str" cm="1">
        <f t="array" aca="1" ref="P148" ca="1">IF(INDIRECT(M148) = "","",INDIRECT(M148))</f>
        <v/>
      </c>
      <c r="Q148" s="359" t="s">
        <v>4381</v>
      </c>
    </row>
    <row r="149" spans="1:17" x14ac:dyDescent="0.35">
      <c r="A149" t="s">
        <v>1310</v>
      </c>
      <c r="E149" t="str">
        <f>_xlfn.XLOOKUP(F149,'Raw Data'!$I$4:$I$5000,'Raw Data'!$D$4:$D$5000,"*** Mnemonic not found ***",0)</f>
        <v>*** Mnemonic not found ***</v>
      </c>
      <c r="F149" t="str">
        <f t="shared" si="56"/>
        <v>SUCMCGLRBBB_5TO10__</v>
      </c>
      <c r="H149" s="9" t="s">
        <v>1137</v>
      </c>
      <c r="K149" s="9">
        <f t="shared" ref="K149:K151" si="65">K148+1</f>
        <v>101</v>
      </c>
      <c r="L149" s="9" t="str">
        <f t="shared" si="64"/>
        <v>I</v>
      </c>
      <c r="M149" s="9" t="str">
        <f t="shared" si="62"/>
        <v>Input!I101</v>
      </c>
      <c r="N149" s="9">
        <f>_xlfn.XLOOKUP(F149,'Raw Data'!$I$4:$I$5000,'Raw Data'!$E$4:$E$5000,100,0)</f>
        <v>100</v>
      </c>
      <c r="O149" s="9" t="str">
        <f>IF(N149=0,_xlfn.XLOOKUP(F149,'Raw Data'!$I$4:$I$5000,'Raw Data'!$H$4:$H$5000,"",0),"")</f>
        <v/>
      </c>
      <c r="P149" s="9" t="str" cm="1">
        <f t="array" aca="1" ref="P149" ca="1">IF(INDIRECT(M149) = "","",INDIRECT(M149))</f>
        <v/>
      </c>
      <c r="Q149" s="359" t="s">
        <v>4381</v>
      </c>
    </row>
    <row r="150" spans="1:17" x14ac:dyDescent="0.35">
      <c r="A150" t="s">
        <v>1311</v>
      </c>
      <c r="E150" t="str">
        <f>_xlfn.XLOOKUP(F150,'Raw Data'!$I$4:$I$5000,'Raw Data'!$D$4:$D$5000,"*** Mnemonic not found ***",0)</f>
        <v>*** Mnemonic not found ***</v>
      </c>
      <c r="F150" t="str">
        <f t="shared" si="56"/>
        <v>SUCMCGLRBBB_10TO20__</v>
      </c>
      <c r="H150" s="9" t="s">
        <v>1137</v>
      </c>
      <c r="K150" s="9">
        <f t="shared" si="65"/>
        <v>102</v>
      </c>
      <c r="L150" s="9" t="str">
        <f t="shared" si="64"/>
        <v>I</v>
      </c>
      <c r="M150" s="9" t="str">
        <f t="shared" si="62"/>
        <v>Input!I102</v>
      </c>
      <c r="N150" s="9">
        <f>_xlfn.XLOOKUP(F150,'Raw Data'!$I$4:$I$5000,'Raw Data'!$E$4:$E$5000,100,0)</f>
        <v>100</v>
      </c>
      <c r="O150" s="9" t="str">
        <f>IF(N150=0,_xlfn.XLOOKUP(F150,'Raw Data'!$I$4:$I$5000,'Raw Data'!$H$4:$H$5000,"",0),"")</f>
        <v/>
      </c>
      <c r="P150" s="9" t="str" cm="1">
        <f t="array" aca="1" ref="P150" ca="1">IF(INDIRECT(M150) = "","",INDIRECT(M150))</f>
        <v/>
      </c>
      <c r="Q150" s="359" t="s">
        <v>4381</v>
      </c>
    </row>
    <row r="151" spans="1:17" x14ac:dyDescent="0.35">
      <c r="A151" t="s">
        <v>1312</v>
      </c>
      <c r="E151" t="str">
        <f>_xlfn.XLOOKUP(F151,'Raw Data'!$I$4:$I$5000,'Raw Data'!$D$4:$D$5000,"*** Mnemonic not found ***",0)</f>
        <v>*** Mnemonic not found ***</v>
      </c>
      <c r="F151" t="str">
        <f t="shared" si="56"/>
        <v>SUCMCGLRBBB_GRTR20__</v>
      </c>
      <c r="H151" s="9" t="s">
        <v>1137</v>
      </c>
      <c r="K151" s="9">
        <f t="shared" si="65"/>
        <v>103</v>
      </c>
      <c r="L151" s="9" t="str">
        <f t="shared" si="64"/>
        <v>I</v>
      </c>
      <c r="M151" s="9" t="str">
        <f t="shared" si="62"/>
        <v>Input!I103</v>
      </c>
      <c r="N151" s="9">
        <f>_xlfn.XLOOKUP(F151,'Raw Data'!$I$4:$I$5000,'Raw Data'!$E$4:$E$5000,100,0)</f>
        <v>100</v>
      </c>
      <c r="O151" s="9" t="str">
        <f>IF(N151=0,_xlfn.XLOOKUP(F151,'Raw Data'!$I$4:$I$5000,'Raw Data'!$H$4:$H$5000,"",0),"")</f>
        <v/>
      </c>
      <c r="P151" s="9" t="str" cm="1">
        <f t="array" aca="1" ref="P151" ca="1">IF(INDIRECT(M151) = "","",INDIRECT(M151))</f>
        <v/>
      </c>
      <c r="Q151" s="359" t="s">
        <v>4381</v>
      </c>
    </row>
    <row r="152" spans="1:17" x14ac:dyDescent="0.35">
      <c r="A152" t="s">
        <v>1313</v>
      </c>
      <c r="E152" t="str">
        <f>_xlfn.XLOOKUP(F152,'Raw Data'!$I$4:$I$5000,'Raw Data'!$D$4:$D$5000,"*** Mnemonic not found ***",0)</f>
        <v>*** Mnemonic not found ***</v>
      </c>
      <c r="F152" t="str">
        <f t="shared" si="56"/>
        <v>SUCMCGLRBB_LESS1__</v>
      </c>
      <c r="H152" s="9" t="s">
        <v>1137</v>
      </c>
      <c r="K152" s="9">
        <f>K147</f>
        <v>99</v>
      </c>
      <c r="L152" s="9" t="s">
        <v>1376</v>
      </c>
      <c r="M152" s="9" t="str">
        <f t="shared" si="62"/>
        <v>Input!J99</v>
      </c>
      <c r="N152" s="9">
        <f>_xlfn.XLOOKUP(F152,'Raw Data'!$I$4:$I$5000,'Raw Data'!$E$4:$E$5000,100,0)</f>
        <v>100</v>
      </c>
      <c r="O152" s="9" t="str">
        <f>IF(N152=0,_xlfn.XLOOKUP(F152,'Raw Data'!$I$4:$I$5000,'Raw Data'!$H$4:$H$5000,"",0),"")</f>
        <v/>
      </c>
      <c r="P152" s="9" t="str" cm="1">
        <f t="array" aca="1" ref="P152" ca="1">IF(INDIRECT(M152) = "","",INDIRECT(M152))</f>
        <v/>
      </c>
      <c r="Q152" s="359" t="s">
        <v>4381</v>
      </c>
    </row>
    <row r="153" spans="1:17" x14ac:dyDescent="0.35">
      <c r="A153" t="s">
        <v>1314</v>
      </c>
      <c r="E153" t="str">
        <f>_xlfn.XLOOKUP(F153,'Raw Data'!$I$4:$I$5000,'Raw Data'!$D$4:$D$5000,"*** Mnemonic not found ***",0)</f>
        <v>*** Mnemonic not found ***</v>
      </c>
      <c r="F153" t="str">
        <f t="shared" si="56"/>
        <v>SUCMCGLRBB_1TO5__</v>
      </c>
      <c r="H153" s="9" t="s">
        <v>1137</v>
      </c>
      <c r="K153" s="9">
        <f>K152+1</f>
        <v>100</v>
      </c>
      <c r="L153" s="9" t="str">
        <f t="shared" ref="L153:L156" si="66">L152</f>
        <v>J</v>
      </c>
      <c r="M153" s="9" t="str">
        <f t="shared" si="62"/>
        <v>Input!J100</v>
      </c>
      <c r="N153" s="9">
        <f>_xlfn.XLOOKUP(F153,'Raw Data'!$I$4:$I$5000,'Raw Data'!$E$4:$E$5000,100,0)</f>
        <v>100</v>
      </c>
      <c r="O153" s="9" t="str">
        <f>IF(N153=0,_xlfn.XLOOKUP(F153,'Raw Data'!$I$4:$I$5000,'Raw Data'!$H$4:$H$5000,"",0),"")</f>
        <v/>
      </c>
      <c r="P153" s="9" t="str" cm="1">
        <f t="array" aca="1" ref="P153" ca="1">IF(INDIRECT(M153) = "","",INDIRECT(M153))</f>
        <v/>
      </c>
      <c r="Q153" s="359" t="s">
        <v>4381</v>
      </c>
    </row>
    <row r="154" spans="1:17" x14ac:dyDescent="0.35">
      <c r="A154" t="s">
        <v>1315</v>
      </c>
      <c r="E154" t="str">
        <f>_xlfn.XLOOKUP(F154,'Raw Data'!$I$4:$I$5000,'Raw Data'!$D$4:$D$5000,"*** Mnemonic not found ***",0)</f>
        <v>*** Mnemonic not found ***</v>
      </c>
      <c r="F154" t="str">
        <f t="shared" si="56"/>
        <v>SUCMCGLRBB_5TO10__</v>
      </c>
      <c r="H154" s="9" t="s">
        <v>1137</v>
      </c>
      <c r="K154" s="9">
        <f t="shared" ref="K154:K156" si="67">K153+1</f>
        <v>101</v>
      </c>
      <c r="L154" s="9" t="str">
        <f t="shared" si="66"/>
        <v>J</v>
      </c>
      <c r="M154" s="9" t="str">
        <f t="shared" si="62"/>
        <v>Input!J101</v>
      </c>
      <c r="N154" s="9">
        <f>_xlfn.XLOOKUP(F154,'Raw Data'!$I$4:$I$5000,'Raw Data'!$E$4:$E$5000,100,0)</f>
        <v>100</v>
      </c>
      <c r="O154" s="9" t="str">
        <f>IF(N154=0,_xlfn.XLOOKUP(F154,'Raw Data'!$I$4:$I$5000,'Raw Data'!$H$4:$H$5000,"",0),"")</f>
        <v/>
      </c>
      <c r="P154" s="9" t="str" cm="1">
        <f t="array" aca="1" ref="P154" ca="1">IF(INDIRECT(M154) = "","",INDIRECT(M154))</f>
        <v/>
      </c>
      <c r="Q154" s="359" t="s">
        <v>4381</v>
      </c>
    </row>
    <row r="155" spans="1:17" x14ac:dyDescent="0.35">
      <c r="A155" t="s">
        <v>1316</v>
      </c>
      <c r="E155" t="str">
        <f>_xlfn.XLOOKUP(F155,'Raw Data'!$I$4:$I$5000,'Raw Data'!$D$4:$D$5000,"*** Mnemonic not found ***",0)</f>
        <v>*** Mnemonic not found ***</v>
      </c>
      <c r="F155" t="str">
        <f t="shared" si="56"/>
        <v>SUCMCGLRBB_10TO20__</v>
      </c>
      <c r="H155" s="9" t="s">
        <v>1137</v>
      </c>
      <c r="K155" s="9">
        <f t="shared" si="67"/>
        <v>102</v>
      </c>
      <c r="L155" s="9" t="str">
        <f t="shared" si="66"/>
        <v>J</v>
      </c>
      <c r="M155" s="9" t="str">
        <f t="shared" si="62"/>
        <v>Input!J102</v>
      </c>
      <c r="N155" s="9">
        <f>_xlfn.XLOOKUP(F155,'Raw Data'!$I$4:$I$5000,'Raw Data'!$E$4:$E$5000,100,0)</f>
        <v>100</v>
      </c>
      <c r="O155" s="9" t="str">
        <f>IF(N155=0,_xlfn.XLOOKUP(F155,'Raw Data'!$I$4:$I$5000,'Raw Data'!$H$4:$H$5000,"",0),"")</f>
        <v/>
      </c>
      <c r="P155" s="9" t="str" cm="1">
        <f t="array" aca="1" ref="P155" ca="1">IF(INDIRECT(M155) = "","",INDIRECT(M155))</f>
        <v/>
      </c>
      <c r="Q155" s="359" t="s">
        <v>4381</v>
      </c>
    </row>
    <row r="156" spans="1:17" x14ac:dyDescent="0.35">
      <c r="A156" t="s">
        <v>1317</v>
      </c>
      <c r="E156" t="str">
        <f>_xlfn.XLOOKUP(F156,'Raw Data'!$I$4:$I$5000,'Raw Data'!$D$4:$D$5000,"*** Mnemonic not found ***",0)</f>
        <v>*** Mnemonic not found ***</v>
      </c>
      <c r="F156" t="str">
        <f t="shared" si="56"/>
        <v>SUCMCGLRBB_GRTR20__</v>
      </c>
      <c r="H156" s="9" t="s">
        <v>1137</v>
      </c>
      <c r="K156" s="9">
        <f t="shared" si="67"/>
        <v>103</v>
      </c>
      <c r="L156" s="9" t="str">
        <f t="shared" si="66"/>
        <v>J</v>
      </c>
      <c r="M156" s="9" t="str">
        <f t="shared" si="62"/>
        <v>Input!J103</v>
      </c>
      <c r="N156" s="9">
        <f>_xlfn.XLOOKUP(F156,'Raw Data'!$I$4:$I$5000,'Raw Data'!$E$4:$E$5000,100,0)</f>
        <v>100</v>
      </c>
      <c r="O156" s="9" t="str">
        <f>IF(N156=0,_xlfn.XLOOKUP(F156,'Raw Data'!$I$4:$I$5000,'Raw Data'!$H$4:$H$5000,"",0),"")</f>
        <v/>
      </c>
      <c r="P156" s="9" t="str" cm="1">
        <f t="array" aca="1" ref="P156" ca="1">IF(INDIRECT(M156) = "","",INDIRECT(M156))</f>
        <v/>
      </c>
      <c r="Q156" s="359" t="s">
        <v>4381</v>
      </c>
    </row>
    <row r="157" spans="1:17" x14ac:dyDescent="0.35">
      <c r="A157" t="s">
        <v>1318</v>
      </c>
      <c r="E157" t="str">
        <f>_xlfn.XLOOKUP(F157,'Raw Data'!$I$4:$I$5000,'Raw Data'!$D$4:$D$5000,"*** Mnemonic not found ***",0)</f>
        <v>*** Mnemonic not found ***</v>
      </c>
      <c r="F157" t="str">
        <f t="shared" si="56"/>
        <v>SUCMCGLRB_LESS1__</v>
      </c>
      <c r="H157" s="9" t="s">
        <v>1137</v>
      </c>
      <c r="K157" s="9">
        <f>K152</f>
        <v>99</v>
      </c>
      <c r="L157" s="9" t="s">
        <v>1377</v>
      </c>
      <c r="M157" s="9" t="str">
        <f t="shared" si="62"/>
        <v>Input!K99</v>
      </c>
      <c r="N157" s="9">
        <f>_xlfn.XLOOKUP(F157,'Raw Data'!$I$4:$I$5000,'Raw Data'!$E$4:$E$5000,100,0)</f>
        <v>100</v>
      </c>
      <c r="O157" s="9" t="str">
        <f>IF(N157=0,_xlfn.XLOOKUP(F157,'Raw Data'!$I$4:$I$5000,'Raw Data'!$H$4:$H$5000,"",0),"")</f>
        <v/>
      </c>
      <c r="P157" s="9" t="str" cm="1">
        <f t="array" aca="1" ref="P157" ca="1">IF(INDIRECT(M157) = "","",INDIRECT(M157))</f>
        <v/>
      </c>
      <c r="Q157" s="359" t="s">
        <v>4381</v>
      </c>
    </row>
    <row r="158" spans="1:17" x14ac:dyDescent="0.35">
      <c r="A158" t="s">
        <v>1319</v>
      </c>
      <c r="E158" t="str">
        <f>_xlfn.XLOOKUP(F158,'Raw Data'!$I$4:$I$5000,'Raw Data'!$D$4:$D$5000,"*** Mnemonic not found ***",0)</f>
        <v>*** Mnemonic not found ***</v>
      </c>
      <c r="F158" t="str">
        <f t="shared" si="56"/>
        <v>SUCMCGLRB_1TO5__</v>
      </c>
      <c r="H158" s="9" t="s">
        <v>1137</v>
      </c>
      <c r="K158" s="9">
        <f>K157+1</f>
        <v>100</v>
      </c>
      <c r="L158" s="9" t="str">
        <f t="shared" ref="L158:L161" si="68">L157</f>
        <v>K</v>
      </c>
      <c r="M158" s="9" t="str">
        <f t="shared" si="62"/>
        <v>Input!K100</v>
      </c>
      <c r="N158" s="9">
        <f>_xlfn.XLOOKUP(F158,'Raw Data'!$I$4:$I$5000,'Raw Data'!$E$4:$E$5000,100,0)</f>
        <v>100</v>
      </c>
      <c r="O158" s="9" t="str">
        <f>IF(N158=0,_xlfn.XLOOKUP(F158,'Raw Data'!$I$4:$I$5000,'Raw Data'!$H$4:$H$5000,"",0),"")</f>
        <v/>
      </c>
      <c r="P158" s="9" t="str" cm="1">
        <f t="array" aca="1" ref="P158" ca="1">IF(INDIRECT(M158) = "","",INDIRECT(M158))</f>
        <v/>
      </c>
      <c r="Q158" s="359" t="s">
        <v>4381</v>
      </c>
    </row>
    <row r="159" spans="1:17" x14ac:dyDescent="0.35">
      <c r="A159" t="s">
        <v>1320</v>
      </c>
      <c r="E159" t="str">
        <f>_xlfn.XLOOKUP(F159,'Raw Data'!$I$4:$I$5000,'Raw Data'!$D$4:$D$5000,"*** Mnemonic not found ***",0)</f>
        <v>*** Mnemonic not found ***</v>
      </c>
      <c r="F159" t="str">
        <f t="shared" si="56"/>
        <v>SUCMCGLRB_5TO10__</v>
      </c>
      <c r="H159" s="9" t="s">
        <v>1137</v>
      </c>
      <c r="K159" s="9">
        <f t="shared" ref="K159:K161" si="69">K158+1</f>
        <v>101</v>
      </c>
      <c r="L159" s="9" t="str">
        <f t="shared" si="68"/>
        <v>K</v>
      </c>
      <c r="M159" s="9" t="str">
        <f t="shared" si="62"/>
        <v>Input!K101</v>
      </c>
      <c r="N159" s="9">
        <f>_xlfn.XLOOKUP(F159,'Raw Data'!$I$4:$I$5000,'Raw Data'!$E$4:$E$5000,100,0)</f>
        <v>100</v>
      </c>
      <c r="O159" s="9" t="str">
        <f>IF(N159=0,_xlfn.XLOOKUP(F159,'Raw Data'!$I$4:$I$5000,'Raw Data'!$H$4:$H$5000,"",0),"")</f>
        <v/>
      </c>
      <c r="P159" s="9" t="str" cm="1">
        <f t="array" aca="1" ref="P159" ca="1">IF(INDIRECT(M159) = "","",INDIRECT(M159))</f>
        <v/>
      </c>
      <c r="Q159" s="359" t="s">
        <v>4381</v>
      </c>
    </row>
    <row r="160" spans="1:17" x14ac:dyDescent="0.35">
      <c r="A160" t="s">
        <v>1321</v>
      </c>
      <c r="E160" t="str">
        <f>_xlfn.XLOOKUP(F160,'Raw Data'!$I$4:$I$5000,'Raw Data'!$D$4:$D$5000,"*** Mnemonic not found ***",0)</f>
        <v>*** Mnemonic not found ***</v>
      </c>
      <c r="F160" t="str">
        <f t="shared" si="56"/>
        <v>SUCMCGLRB_10TO20__</v>
      </c>
      <c r="H160" s="9" t="s">
        <v>1137</v>
      </c>
      <c r="K160" s="9">
        <f t="shared" si="69"/>
        <v>102</v>
      </c>
      <c r="L160" s="9" t="str">
        <f t="shared" si="68"/>
        <v>K</v>
      </c>
      <c r="M160" s="9" t="str">
        <f t="shared" si="62"/>
        <v>Input!K102</v>
      </c>
      <c r="N160" s="9">
        <f>_xlfn.XLOOKUP(F160,'Raw Data'!$I$4:$I$5000,'Raw Data'!$E$4:$E$5000,100,0)</f>
        <v>100</v>
      </c>
      <c r="O160" s="9" t="str">
        <f>IF(N160=0,_xlfn.XLOOKUP(F160,'Raw Data'!$I$4:$I$5000,'Raw Data'!$H$4:$H$5000,"",0),"")</f>
        <v/>
      </c>
      <c r="P160" s="9" t="str" cm="1">
        <f t="array" aca="1" ref="P160" ca="1">IF(INDIRECT(M160) = "","",INDIRECT(M160))</f>
        <v/>
      </c>
      <c r="Q160" s="359" t="s">
        <v>4381</v>
      </c>
    </row>
    <row r="161" spans="1:17" x14ac:dyDescent="0.35">
      <c r="A161" t="s">
        <v>1322</v>
      </c>
      <c r="E161" t="str">
        <f>_xlfn.XLOOKUP(F161,'Raw Data'!$I$4:$I$5000,'Raw Data'!$D$4:$D$5000,"*** Mnemonic not found ***",0)</f>
        <v>*** Mnemonic not found ***</v>
      </c>
      <c r="F161" t="str">
        <f t="shared" si="56"/>
        <v>SUCMCGLRB_GRTR20__</v>
      </c>
      <c r="H161" s="9" t="s">
        <v>1137</v>
      </c>
      <c r="K161" s="9">
        <f t="shared" si="69"/>
        <v>103</v>
      </c>
      <c r="L161" s="9" t="str">
        <f t="shared" si="68"/>
        <v>K</v>
      </c>
      <c r="M161" s="9" t="str">
        <f t="shared" si="62"/>
        <v>Input!K103</v>
      </c>
      <c r="N161" s="9">
        <f>_xlfn.XLOOKUP(F161,'Raw Data'!$I$4:$I$5000,'Raw Data'!$E$4:$E$5000,100,0)</f>
        <v>100</v>
      </c>
      <c r="O161" s="9" t="str">
        <f>IF(N161=0,_xlfn.XLOOKUP(F161,'Raw Data'!$I$4:$I$5000,'Raw Data'!$H$4:$H$5000,"",0),"")</f>
        <v/>
      </c>
      <c r="P161" s="9" t="str" cm="1">
        <f t="array" aca="1" ref="P161" ca="1">IF(INDIRECT(M161) = "","",INDIRECT(M161))</f>
        <v/>
      </c>
      <c r="Q161" s="359" t="s">
        <v>4381</v>
      </c>
    </row>
    <row r="162" spans="1:17" x14ac:dyDescent="0.35">
      <c r="A162" t="s">
        <v>1323</v>
      </c>
      <c r="E162" t="str">
        <f>_xlfn.XLOOKUP(F162,'Raw Data'!$I$4:$I$5000,'Raw Data'!$D$4:$D$5000,"*** Mnemonic not found ***",0)</f>
        <v>*** Mnemonic not found ***</v>
      </c>
      <c r="F162" t="str">
        <f t="shared" si="56"/>
        <v>SUCMCGLRCCC_LESS1__</v>
      </c>
      <c r="H162" s="9" t="s">
        <v>1137</v>
      </c>
      <c r="K162" s="9">
        <f>K157</f>
        <v>99</v>
      </c>
      <c r="L162" s="9" t="s">
        <v>1378</v>
      </c>
      <c r="M162" s="9" t="str">
        <f t="shared" si="62"/>
        <v>Input!L99</v>
      </c>
      <c r="N162" s="9">
        <f>_xlfn.XLOOKUP(F162,'Raw Data'!$I$4:$I$5000,'Raw Data'!$E$4:$E$5000,100,0)</f>
        <v>100</v>
      </c>
      <c r="O162" s="9" t="str">
        <f>IF(N162=0,_xlfn.XLOOKUP(F162,'Raw Data'!$I$4:$I$5000,'Raw Data'!$H$4:$H$5000,"",0),"")</f>
        <v/>
      </c>
      <c r="P162" s="9" t="str" cm="1">
        <f t="array" aca="1" ref="P162" ca="1">IF(INDIRECT(M162) = "","",INDIRECT(M162))</f>
        <v/>
      </c>
      <c r="Q162" s="359" t="s">
        <v>4381</v>
      </c>
    </row>
    <row r="163" spans="1:17" x14ac:dyDescent="0.35">
      <c r="A163" t="s">
        <v>1324</v>
      </c>
      <c r="E163" t="str">
        <f>_xlfn.XLOOKUP(F163,'Raw Data'!$I$4:$I$5000,'Raw Data'!$D$4:$D$5000,"*** Mnemonic not found ***",0)</f>
        <v>*** Mnemonic not found ***</v>
      </c>
      <c r="F163" t="str">
        <f t="shared" si="56"/>
        <v>SUCMCGLRCCC_1TO5__</v>
      </c>
      <c r="H163" s="9" t="s">
        <v>1137</v>
      </c>
      <c r="K163" s="9">
        <f>K162+1</f>
        <v>100</v>
      </c>
      <c r="L163" s="9" t="str">
        <f t="shared" ref="L163:L166" si="70">L162</f>
        <v>L</v>
      </c>
      <c r="M163" s="9" t="str">
        <f t="shared" si="62"/>
        <v>Input!L100</v>
      </c>
      <c r="N163" s="9">
        <f>_xlfn.XLOOKUP(F163,'Raw Data'!$I$4:$I$5000,'Raw Data'!$E$4:$E$5000,100,0)</f>
        <v>100</v>
      </c>
      <c r="O163" s="9" t="str">
        <f>IF(N163=0,_xlfn.XLOOKUP(F163,'Raw Data'!$I$4:$I$5000,'Raw Data'!$H$4:$H$5000,"",0),"")</f>
        <v/>
      </c>
      <c r="P163" s="9" t="str" cm="1">
        <f t="array" aca="1" ref="P163" ca="1">IF(INDIRECT(M163) = "","",INDIRECT(M163))</f>
        <v/>
      </c>
      <c r="Q163" s="359" t="s">
        <v>4381</v>
      </c>
    </row>
    <row r="164" spans="1:17" x14ac:dyDescent="0.35">
      <c r="A164" t="s">
        <v>1325</v>
      </c>
      <c r="E164" t="str">
        <f>_xlfn.XLOOKUP(F164,'Raw Data'!$I$4:$I$5000,'Raw Data'!$D$4:$D$5000,"*** Mnemonic not found ***",0)</f>
        <v>*** Mnemonic not found ***</v>
      </c>
      <c r="F164" t="str">
        <f t="shared" si="56"/>
        <v>SUCMCGLRCCC_5TO10__</v>
      </c>
      <c r="H164" s="9" t="s">
        <v>1137</v>
      </c>
      <c r="K164" s="9">
        <f t="shared" ref="K164:K166" si="71">K163+1</f>
        <v>101</v>
      </c>
      <c r="L164" s="9" t="str">
        <f t="shared" si="70"/>
        <v>L</v>
      </c>
      <c r="M164" s="9" t="str">
        <f t="shared" si="62"/>
        <v>Input!L101</v>
      </c>
      <c r="N164" s="9">
        <f>_xlfn.XLOOKUP(F164,'Raw Data'!$I$4:$I$5000,'Raw Data'!$E$4:$E$5000,100,0)</f>
        <v>100</v>
      </c>
      <c r="O164" s="9" t="str">
        <f>IF(N164=0,_xlfn.XLOOKUP(F164,'Raw Data'!$I$4:$I$5000,'Raw Data'!$H$4:$H$5000,"",0),"")</f>
        <v/>
      </c>
      <c r="P164" s="9" t="str" cm="1">
        <f t="array" aca="1" ref="P164" ca="1">IF(INDIRECT(M164) = "","",INDIRECT(M164))</f>
        <v/>
      </c>
      <c r="Q164" s="359" t="s">
        <v>4381</v>
      </c>
    </row>
    <row r="165" spans="1:17" x14ac:dyDescent="0.35">
      <c r="A165" t="s">
        <v>1326</v>
      </c>
      <c r="E165" t="str">
        <f>_xlfn.XLOOKUP(F165,'Raw Data'!$I$4:$I$5000,'Raw Data'!$D$4:$D$5000,"*** Mnemonic not found ***",0)</f>
        <v>*** Mnemonic not found ***</v>
      </c>
      <c r="F165" t="str">
        <f t="shared" si="56"/>
        <v>SUCMCGLRCCC_10TO20__</v>
      </c>
      <c r="H165" s="9" t="s">
        <v>1137</v>
      </c>
      <c r="K165" s="9">
        <f t="shared" si="71"/>
        <v>102</v>
      </c>
      <c r="L165" s="9" t="str">
        <f t="shared" si="70"/>
        <v>L</v>
      </c>
      <c r="M165" s="9" t="str">
        <f t="shared" si="62"/>
        <v>Input!L102</v>
      </c>
      <c r="N165" s="9">
        <f>_xlfn.XLOOKUP(F165,'Raw Data'!$I$4:$I$5000,'Raw Data'!$E$4:$E$5000,100,0)</f>
        <v>100</v>
      </c>
      <c r="O165" s="9" t="str">
        <f>IF(N165=0,_xlfn.XLOOKUP(F165,'Raw Data'!$I$4:$I$5000,'Raw Data'!$H$4:$H$5000,"",0),"")</f>
        <v/>
      </c>
      <c r="P165" s="9" t="str" cm="1">
        <f t="array" aca="1" ref="P165" ca="1">IF(INDIRECT(M165) = "","",INDIRECT(M165))</f>
        <v/>
      </c>
      <c r="Q165" s="359" t="s">
        <v>4381</v>
      </c>
    </row>
    <row r="166" spans="1:17" x14ac:dyDescent="0.35">
      <c r="A166" t="s">
        <v>1327</v>
      </c>
      <c r="E166" t="str">
        <f>_xlfn.XLOOKUP(F166,'Raw Data'!$I$4:$I$5000,'Raw Data'!$D$4:$D$5000,"*** Mnemonic not found ***",0)</f>
        <v>*** Mnemonic not found ***</v>
      </c>
      <c r="F166" t="str">
        <f t="shared" si="56"/>
        <v>SUCMCGLRCCC_GRTR20__</v>
      </c>
      <c r="H166" s="9" t="s">
        <v>1137</v>
      </c>
      <c r="K166" s="9">
        <f t="shared" si="71"/>
        <v>103</v>
      </c>
      <c r="L166" s="9" t="str">
        <f t="shared" si="70"/>
        <v>L</v>
      </c>
      <c r="M166" s="9" t="str">
        <f t="shared" si="62"/>
        <v>Input!L103</v>
      </c>
      <c r="N166" s="9">
        <f>_xlfn.XLOOKUP(F166,'Raw Data'!$I$4:$I$5000,'Raw Data'!$E$4:$E$5000,100,0)</f>
        <v>100</v>
      </c>
      <c r="O166" s="9" t="str">
        <f>IF(N166=0,_xlfn.XLOOKUP(F166,'Raw Data'!$I$4:$I$5000,'Raw Data'!$H$4:$H$5000,"",0),"")</f>
        <v/>
      </c>
      <c r="P166" s="9" t="str" cm="1">
        <f t="array" aca="1" ref="P166" ca="1">IF(INDIRECT(M166) = "","",INDIRECT(M166))</f>
        <v/>
      </c>
      <c r="Q166" s="359" t="s">
        <v>4381</v>
      </c>
    </row>
    <row r="167" spans="1:17" x14ac:dyDescent="0.35">
      <c r="A167" t="s">
        <v>1328</v>
      </c>
      <c r="E167" t="str">
        <f>_xlfn.XLOOKUP(F167,'Raw Data'!$I$4:$I$5000,'Raw Data'!$D$4:$D$5000,"*** Mnemonic not found ***",0)</f>
        <v>*** Mnemonic not found ***</v>
      </c>
      <c r="F167" t="str">
        <f t="shared" si="56"/>
        <v>SUCMCGLRD_LESS1__</v>
      </c>
      <c r="H167" s="9" t="s">
        <v>1137</v>
      </c>
      <c r="K167" s="9">
        <f>K162</f>
        <v>99</v>
      </c>
      <c r="L167" s="9" t="s">
        <v>1374</v>
      </c>
      <c r="M167" s="9" t="str">
        <f t="shared" si="62"/>
        <v>Input!M99</v>
      </c>
      <c r="N167" s="9">
        <f>_xlfn.XLOOKUP(F167,'Raw Data'!$I$4:$I$5000,'Raw Data'!$E$4:$E$5000,100,0)</f>
        <v>100</v>
      </c>
      <c r="O167" s="9" t="str">
        <f>IF(N167=0,_xlfn.XLOOKUP(F167,'Raw Data'!$I$4:$I$5000,'Raw Data'!$H$4:$H$5000,"",0),"")</f>
        <v/>
      </c>
      <c r="P167" s="9" t="str" cm="1">
        <f t="array" aca="1" ref="P167" ca="1">IF(INDIRECT(M167) = "","",INDIRECT(M167))</f>
        <v/>
      </c>
      <c r="Q167" s="359" t="s">
        <v>4381</v>
      </c>
    </row>
    <row r="168" spans="1:17" x14ac:dyDescent="0.35">
      <c r="A168" t="s">
        <v>1329</v>
      </c>
      <c r="E168" t="str">
        <f>_xlfn.XLOOKUP(F168,'Raw Data'!$I$4:$I$5000,'Raw Data'!$D$4:$D$5000,"*** Mnemonic not found ***",0)</f>
        <v>*** Mnemonic not found ***</v>
      </c>
      <c r="F168" t="str">
        <f t="shared" si="56"/>
        <v>SUCMCGLRD_1TO5__</v>
      </c>
      <c r="H168" s="9" t="s">
        <v>1137</v>
      </c>
      <c r="K168" s="9">
        <f>K167+1</f>
        <v>100</v>
      </c>
      <c r="L168" s="9" t="str">
        <f t="shared" ref="L168:L171" si="72">L167</f>
        <v>M</v>
      </c>
      <c r="M168" s="9" t="str">
        <f t="shared" si="62"/>
        <v>Input!M100</v>
      </c>
      <c r="N168" s="9">
        <f>_xlfn.XLOOKUP(F168,'Raw Data'!$I$4:$I$5000,'Raw Data'!$E$4:$E$5000,100,0)</f>
        <v>100</v>
      </c>
      <c r="O168" s="9" t="str">
        <f>IF(N168=0,_xlfn.XLOOKUP(F168,'Raw Data'!$I$4:$I$5000,'Raw Data'!$H$4:$H$5000,"",0),"")</f>
        <v/>
      </c>
      <c r="P168" s="9" t="str" cm="1">
        <f t="array" aca="1" ref="P168" ca="1">IF(INDIRECT(M168) = "","",INDIRECT(M168))</f>
        <v/>
      </c>
      <c r="Q168" s="359" t="s">
        <v>4381</v>
      </c>
    </row>
    <row r="169" spans="1:17" x14ac:dyDescent="0.35">
      <c r="A169" t="s">
        <v>1330</v>
      </c>
      <c r="E169" t="str">
        <f>_xlfn.XLOOKUP(F169,'Raw Data'!$I$4:$I$5000,'Raw Data'!$D$4:$D$5000,"*** Mnemonic not found ***",0)</f>
        <v>*** Mnemonic not found ***</v>
      </c>
      <c r="F169" t="str">
        <f t="shared" si="56"/>
        <v>SUCMCGLRD_5TO10__</v>
      </c>
      <c r="H169" s="9" t="s">
        <v>1137</v>
      </c>
      <c r="K169" s="9">
        <f t="shared" ref="K169:K171" si="73">K168+1</f>
        <v>101</v>
      </c>
      <c r="L169" s="9" t="str">
        <f t="shared" si="72"/>
        <v>M</v>
      </c>
      <c r="M169" s="9" t="str">
        <f t="shared" si="62"/>
        <v>Input!M101</v>
      </c>
      <c r="N169" s="9">
        <f>_xlfn.XLOOKUP(F169,'Raw Data'!$I$4:$I$5000,'Raw Data'!$E$4:$E$5000,100,0)</f>
        <v>100</v>
      </c>
      <c r="O169" s="9" t="str">
        <f>IF(N169=0,_xlfn.XLOOKUP(F169,'Raw Data'!$I$4:$I$5000,'Raw Data'!$H$4:$H$5000,"",0),"")</f>
        <v/>
      </c>
      <c r="P169" s="9" t="str" cm="1">
        <f t="array" aca="1" ref="P169" ca="1">IF(INDIRECT(M169) = "","",INDIRECT(M169))</f>
        <v/>
      </c>
      <c r="Q169" s="359" t="s">
        <v>4381</v>
      </c>
    </row>
    <row r="170" spans="1:17" x14ac:dyDescent="0.35">
      <c r="A170" t="s">
        <v>1331</v>
      </c>
      <c r="E170" t="str">
        <f>_xlfn.XLOOKUP(F170,'Raw Data'!$I$4:$I$5000,'Raw Data'!$D$4:$D$5000,"*** Mnemonic not found ***",0)</f>
        <v>*** Mnemonic not found ***</v>
      </c>
      <c r="F170" t="str">
        <f t="shared" si="56"/>
        <v>SUCMCGLRD_10TO20__</v>
      </c>
      <c r="H170" s="9" t="s">
        <v>1137</v>
      </c>
      <c r="K170" s="9">
        <f t="shared" si="73"/>
        <v>102</v>
      </c>
      <c r="L170" s="9" t="str">
        <f t="shared" si="72"/>
        <v>M</v>
      </c>
      <c r="M170" s="9" t="str">
        <f t="shared" si="62"/>
        <v>Input!M102</v>
      </c>
      <c r="N170" s="9">
        <f>_xlfn.XLOOKUP(F170,'Raw Data'!$I$4:$I$5000,'Raw Data'!$E$4:$E$5000,100,0)</f>
        <v>100</v>
      </c>
      <c r="O170" s="9" t="str">
        <f>IF(N170=0,_xlfn.XLOOKUP(F170,'Raw Data'!$I$4:$I$5000,'Raw Data'!$H$4:$H$5000,"",0),"")</f>
        <v/>
      </c>
      <c r="P170" s="9" t="str" cm="1">
        <f t="array" aca="1" ref="P170" ca="1">IF(INDIRECT(M170) = "","",INDIRECT(M170))</f>
        <v/>
      </c>
      <c r="Q170" s="359" t="s">
        <v>4381</v>
      </c>
    </row>
    <row r="171" spans="1:17" x14ac:dyDescent="0.35">
      <c r="A171" t="s">
        <v>1332</v>
      </c>
      <c r="E171" t="str">
        <f>_xlfn.XLOOKUP(F171,'Raw Data'!$I$4:$I$5000,'Raw Data'!$D$4:$D$5000,"*** Mnemonic not found ***",0)</f>
        <v>*** Mnemonic not found ***</v>
      </c>
      <c r="F171" t="str">
        <f t="shared" si="56"/>
        <v>SUCMCGLRD_GRTR20__</v>
      </c>
      <c r="H171" s="9" t="s">
        <v>1137</v>
      </c>
      <c r="K171" s="9">
        <f t="shared" si="73"/>
        <v>103</v>
      </c>
      <c r="L171" s="9" t="str">
        <f t="shared" si="72"/>
        <v>M</v>
      </c>
      <c r="M171" s="9" t="str">
        <f t="shared" si="62"/>
        <v>Input!M103</v>
      </c>
      <c r="N171" s="9">
        <f>_xlfn.XLOOKUP(F171,'Raw Data'!$I$4:$I$5000,'Raw Data'!$E$4:$E$5000,100,0)</f>
        <v>100</v>
      </c>
      <c r="O171" s="9" t="str">
        <f>IF(N171=0,_xlfn.XLOOKUP(F171,'Raw Data'!$I$4:$I$5000,'Raw Data'!$H$4:$H$5000,"",0),"")</f>
        <v/>
      </c>
      <c r="P171" s="9" t="str" cm="1">
        <f t="array" aca="1" ref="P171" ca="1">IF(INDIRECT(M171) = "","",INDIRECT(M171))</f>
        <v/>
      </c>
      <c r="Q171" s="359" t="s">
        <v>4381</v>
      </c>
    </row>
    <row r="172" spans="1:17" x14ac:dyDescent="0.35">
      <c r="A172" t="s">
        <v>1333</v>
      </c>
      <c r="E172" t="str">
        <f>_xlfn.XLOOKUP(F172,'Raw Data'!$I$4:$I$5000,'Raw Data'!$D$4:$D$5000,"*** Mnemonic not found ***",0)</f>
        <v>*** Mnemonic not found ***</v>
      </c>
      <c r="F172" t="str">
        <f t="shared" si="56"/>
        <v>SUCMCGSFAAA_LESS1__</v>
      </c>
      <c r="H172" s="9" t="s">
        <v>1137</v>
      </c>
      <c r="I172" s="289">
        <f>ROW(section_bonds_sp_rated)</f>
        <v>79</v>
      </c>
      <c r="J172" s="9">
        <f>J132+8</f>
        <v>28</v>
      </c>
      <c r="K172" s="9">
        <f>I172+J172</f>
        <v>107</v>
      </c>
      <c r="L172" s="9" t="s">
        <v>1124</v>
      </c>
      <c r="M172" s="9" t="str">
        <f t="shared" si="62"/>
        <v>Input!F107</v>
      </c>
      <c r="N172" s="9">
        <f>_xlfn.XLOOKUP(F172,'Raw Data'!$I$4:$I$5000,'Raw Data'!$E$4:$E$5000,100,0)</f>
        <v>100</v>
      </c>
      <c r="O172" s="9" t="str">
        <f>IF(N172=0,_xlfn.XLOOKUP(F172,'Raw Data'!$I$4:$I$5000,'Raw Data'!$H$4:$H$5000,"",0),"")</f>
        <v/>
      </c>
      <c r="P172" s="9" t="str" cm="1">
        <f t="array" aca="1" ref="P172" ca="1">IF(INDIRECT(M172) = "","",INDIRECT(M172))</f>
        <v/>
      </c>
      <c r="Q172" s="359" t="s">
        <v>4381</v>
      </c>
    </row>
    <row r="173" spans="1:17" x14ac:dyDescent="0.35">
      <c r="A173" t="s">
        <v>1334</v>
      </c>
      <c r="E173" t="str">
        <f>_xlfn.XLOOKUP(F173,'Raw Data'!$I$4:$I$5000,'Raw Data'!$D$4:$D$5000,"*** Mnemonic not found ***",0)</f>
        <v>*** Mnemonic not found ***</v>
      </c>
      <c r="F173" t="str">
        <f t="shared" si="56"/>
        <v>SUCMCGSFAAA_1TO5__</v>
      </c>
      <c r="H173" s="9" t="s">
        <v>1137</v>
      </c>
      <c r="K173" s="9">
        <f>K172+1</f>
        <v>108</v>
      </c>
      <c r="L173" s="9" t="str">
        <f t="shared" ref="L173:L176" si="74">L172</f>
        <v>F</v>
      </c>
      <c r="M173" s="9" t="str">
        <f t="shared" si="62"/>
        <v>Input!F108</v>
      </c>
      <c r="N173" s="9">
        <f>_xlfn.XLOOKUP(F173,'Raw Data'!$I$4:$I$5000,'Raw Data'!$E$4:$E$5000,100,0)</f>
        <v>100</v>
      </c>
      <c r="O173" s="9" t="str">
        <f>IF(N173=0,_xlfn.XLOOKUP(F173,'Raw Data'!$I$4:$I$5000,'Raw Data'!$H$4:$H$5000,"",0),"")</f>
        <v/>
      </c>
      <c r="P173" s="9" t="str" cm="1">
        <f t="array" aca="1" ref="P173" ca="1">IF(INDIRECT(M173) = "","",INDIRECT(M173))</f>
        <v/>
      </c>
      <c r="Q173" s="359" t="s">
        <v>4381</v>
      </c>
    </row>
    <row r="174" spans="1:17" x14ac:dyDescent="0.35">
      <c r="A174" t="s">
        <v>1335</v>
      </c>
      <c r="E174" t="str">
        <f>_xlfn.XLOOKUP(F174,'Raw Data'!$I$4:$I$5000,'Raw Data'!$D$4:$D$5000,"*** Mnemonic not found ***",0)</f>
        <v>*** Mnemonic not found ***</v>
      </c>
      <c r="F174" t="str">
        <f t="shared" si="56"/>
        <v>SUCMCGSFAAA_5TO10__</v>
      </c>
      <c r="H174" s="9" t="s">
        <v>1137</v>
      </c>
      <c r="K174" s="9">
        <f t="shared" ref="K174:K176" si="75">K173+1</f>
        <v>109</v>
      </c>
      <c r="L174" s="9" t="str">
        <f t="shared" si="74"/>
        <v>F</v>
      </c>
      <c r="M174" s="9" t="str">
        <f t="shared" si="62"/>
        <v>Input!F109</v>
      </c>
      <c r="N174" s="9">
        <f>_xlfn.XLOOKUP(F174,'Raw Data'!$I$4:$I$5000,'Raw Data'!$E$4:$E$5000,100,0)</f>
        <v>100</v>
      </c>
      <c r="O174" s="9" t="str">
        <f>IF(N174=0,_xlfn.XLOOKUP(F174,'Raw Data'!$I$4:$I$5000,'Raw Data'!$H$4:$H$5000,"",0),"")</f>
        <v/>
      </c>
      <c r="P174" s="9" t="str" cm="1">
        <f t="array" aca="1" ref="P174" ca="1">IF(INDIRECT(M174) = "","",INDIRECT(M174))</f>
        <v/>
      </c>
      <c r="Q174" s="359" t="s">
        <v>4381</v>
      </c>
    </row>
    <row r="175" spans="1:17" x14ac:dyDescent="0.35">
      <c r="A175" t="s">
        <v>1336</v>
      </c>
      <c r="E175" t="str">
        <f>_xlfn.XLOOKUP(F175,'Raw Data'!$I$4:$I$5000,'Raw Data'!$D$4:$D$5000,"*** Mnemonic not found ***",0)</f>
        <v>*** Mnemonic not found ***</v>
      </c>
      <c r="F175" t="str">
        <f t="shared" si="56"/>
        <v>SUCMCGSFAAA_10TO20__</v>
      </c>
      <c r="H175" s="9" t="s">
        <v>1137</v>
      </c>
      <c r="K175" s="9">
        <f t="shared" si="75"/>
        <v>110</v>
      </c>
      <c r="L175" s="9" t="str">
        <f t="shared" si="74"/>
        <v>F</v>
      </c>
      <c r="M175" s="9" t="str">
        <f t="shared" si="62"/>
        <v>Input!F110</v>
      </c>
      <c r="N175" s="9">
        <f>_xlfn.XLOOKUP(F175,'Raw Data'!$I$4:$I$5000,'Raw Data'!$E$4:$E$5000,100,0)</f>
        <v>100</v>
      </c>
      <c r="O175" s="9" t="str">
        <f>IF(N175=0,_xlfn.XLOOKUP(F175,'Raw Data'!$I$4:$I$5000,'Raw Data'!$H$4:$H$5000,"",0),"")</f>
        <v/>
      </c>
      <c r="P175" s="9" t="str" cm="1">
        <f t="array" aca="1" ref="P175" ca="1">IF(INDIRECT(M175) = "","",INDIRECT(M175))</f>
        <v/>
      </c>
      <c r="Q175" s="359" t="s">
        <v>4381</v>
      </c>
    </row>
    <row r="176" spans="1:17" x14ac:dyDescent="0.35">
      <c r="A176" t="s">
        <v>1337</v>
      </c>
      <c r="E176" t="str">
        <f>_xlfn.XLOOKUP(F176,'Raw Data'!$I$4:$I$5000,'Raw Data'!$D$4:$D$5000,"*** Mnemonic not found ***",0)</f>
        <v>*** Mnemonic not found ***</v>
      </c>
      <c r="F176" t="str">
        <f t="shared" si="56"/>
        <v>SUCMCGSFAAA_GRTR20__</v>
      </c>
      <c r="H176" s="9" t="s">
        <v>1137</v>
      </c>
      <c r="K176" s="9">
        <f t="shared" si="75"/>
        <v>111</v>
      </c>
      <c r="L176" s="9" t="str">
        <f t="shared" si="74"/>
        <v>F</v>
      </c>
      <c r="M176" s="9" t="str">
        <f t="shared" si="62"/>
        <v>Input!F111</v>
      </c>
      <c r="N176" s="9">
        <f>_xlfn.XLOOKUP(F176,'Raw Data'!$I$4:$I$5000,'Raw Data'!$E$4:$E$5000,100,0)</f>
        <v>100</v>
      </c>
      <c r="O176" s="9" t="str">
        <f>IF(N176=0,_xlfn.XLOOKUP(F176,'Raw Data'!$I$4:$I$5000,'Raw Data'!$H$4:$H$5000,"",0),"")</f>
        <v/>
      </c>
      <c r="P176" s="9" t="str" cm="1">
        <f t="array" aca="1" ref="P176" ca="1">IF(INDIRECT(M176) = "","",INDIRECT(M176))</f>
        <v/>
      </c>
      <c r="Q176" s="359" t="s">
        <v>4381</v>
      </c>
    </row>
    <row r="177" spans="1:17" x14ac:dyDescent="0.35">
      <c r="A177" t="s">
        <v>1338</v>
      </c>
      <c r="E177" t="str">
        <f>_xlfn.XLOOKUP(F177,'Raw Data'!$I$4:$I$5000,'Raw Data'!$D$4:$D$5000,"*** Mnemonic not found ***",0)</f>
        <v>*** Mnemonic not found ***</v>
      </c>
      <c r="F177" t="str">
        <f t="shared" si="56"/>
        <v>SUCMCGSFAA_LESS1__</v>
      </c>
      <c r="H177" s="9" t="s">
        <v>1137</v>
      </c>
      <c r="K177" s="9">
        <f>K172</f>
        <v>107</v>
      </c>
      <c r="L177" s="9" t="s">
        <v>1145</v>
      </c>
      <c r="M177" s="9" t="str">
        <f t="shared" si="62"/>
        <v>Input!G107</v>
      </c>
      <c r="N177" s="9">
        <f>_xlfn.XLOOKUP(F177,'Raw Data'!$I$4:$I$5000,'Raw Data'!$E$4:$E$5000,100,0)</f>
        <v>100</v>
      </c>
      <c r="O177" s="9" t="str">
        <f>IF(N177=0,_xlfn.XLOOKUP(F177,'Raw Data'!$I$4:$I$5000,'Raw Data'!$H$4:$H$5000,"",0),"")</f>
        <v/>
      </c>
      <c r="P177" s="9" t="str" cm="1">
        <f t="array" aca="1" ref="P177" ca="1">IF(INDIRECT(M177) = "","",INDIRECT(M177))</f>
        <v/>
      </c>
      <c r="Q177" s="359" t="s">
        <v>4381</v>
      </c>
    </row>
    <row r="178" spans="1:17" x14ac:dyDescent="0.35">
      <c r="A178" t="s">
        <v>1339</v>
      </c>
      <c r="E178" t="str">
        <f>_xlfn.XLOOKUP(F178,'Raw Data'!$I$4:$I$5000,'Raw Data'!$D$4:$D$5000,"*** Mnemonic not found ***",0)</f>
        <v>*** Mnemonic not found ***</v>
      </c>
      <c r="F178" t="str">
        <f t="shared" si="56"/>
        <v>SUCMCGSFAA_1TO5__</v>
      </c>
      <c r="H178" s="9" t="s">
        <v>1137</v>
      </c>
      <c r="K178" s="9">
        <f>K177+1</f>
        <v>108</v>
      </c>
      <c r="L178" s="9" t="str">
        <f t="shared" ref="L178:L181" si="76">L177</f>
        <v>G</v>
      </c>
      <c r="M178" s="9" t="str">
        <f t="shared" si="62"/>
        <v>Input!G108</v>
      </c>
      <c r="N178" s="9">
        <f>_xlfn.XLOOKUP(F178,'Raw Data'!$I$4:$I$5000,'Raw Data'!$E$4:$E$5000,100,0)</f>
        <v>100</v>
      </c>
      <c r="O178" s="9" t="str">
        <f>IF(N178=0,_xlfn.XLOOKUP(F178,'Raw Data'!$I$4:$I$5000,'Raw Data'!$H$4:$H$5000,"",0),"")</f>
        <v/>
      </c>
      <c r="P178" s="9" t="str" cm="1">
        <f t="array" aca="1" ref="P178" ca="1">IF(INDIRECT(M178) = "","",INDIRECT(M178))</f>
        <v/>
      </c>
      <c r="Q178" s="359" t="s">
        <v>4381</v>
      </c>
    </row>
    <row r="179" spans="1:17" x14ac:dyDescent="0.35">
      <c r="A179" t="s">
        <v>1340</v>
      </c>
      <c r="E179" t="str">
        <f>_xlfn.XLOOKUP(F179,'Raw Data'!$I$4:$I$5000,'Raw Data'!$D$4:$D$5000,"*** Mnemonic not found ***",0)</f>
        <v>*** Mnemonic not found ***</v>
      </c>
      <c r="F179" t="str">
        <f t="shared" si="56"/>
        <v>SUCMCGSFAA_5TO10__</v>
      </c>
      <c r="H179" s="9" t="s">
        <v>1137</v>
      </c>
      <c r="K179" s="9">
        <f t="shared" ref="K179:K181" si="77">K178+1</f>
        <v>109</v>
      </c>
      <c r="L179" s="9" t="str">
        <f t="shared" si="76"/>
        <v>G</v>
      </c>
      <c r="M179" s="9" t="str">
        <f t="shared" si="62"/>
        <v>Input!G109</v>
      </c>
      <c r="N179" s="9">
        <f>_xlfn.XLOOKUP(F179,'Raw Data'!$I$4:$I$5000,'Raw Data'!$E$4:$E$5000,100,0)</f>
        <v>100</v>
      </c>
      <c r="O179" s="9" t="str">
        <f>IF(N179=0,_xlfn.XLOOKUP(F179,'Raw Data'!$I$4:$I$5000,'Raw Data'!$H$4:$H$5000,"",0),"")</f>
        <v/>
      </c>
      <c r="P179" s="9" t="str" cm="1">
        <f t="array" aca="1" ref="P179" ca="1">IF(INDIRECT(M179) = "","",INDIRECT(M179))</f>
        <v/>
      </c>
      <c r="Q179" s="359" t="s">
        <v>4381</v>
      </c>
    </row>
    <row r="180" spans="1:17" x14ac:dyDescent="0.35">
      <c r="A180" t="s">
        <v>1341</v>
      </c>
      <c r="E180" t="str">
        <f>_xlfn.XLOOKUP(F180,'Raw Data'!$I$4:$I$5000,'Raw Data'!$D$4:$D$5000,"*** Mnemonic not found ***",0)</f>
        <v>*** Mnemonic not found ***</v>
      </c>
      <c r="F180" t="str">
        <f t="shared" si="56"/>
        <v>SUCMCGSFAA_10TO20__</v>
      </c>
      <c r="H180" s="9" t="s">
        <v>1137</v>
      </c>
      <c r="K180" s="9">
        <f t="shared" si="77"/>
        <v>110</v>
      </c>
      <c r="L180" s="9" t="str">
        <f t="shared" si="76"/>
        <v>G</v>
      </c>
      <c r="M180" s="9" t="str">
        <f t="shared" si="62"/>
        <v>Input!G110</v>
      </c>
      <c r="N180" s="9">
        <f>_xlfn.XLOOKUP(F180,'Raw Data'!$I$4:$I$5000,'Raw Data'!$E$4:$E$5000,100,0)</f>
        <v>100</v>
      </c>
      <c r="O180" s="9" t="str">
        <f>IF(N180=0,_xlfn.XLOOKUP(F180,'Raw Data'!$I$4:$I$5000,'Raw Data'!$H$4:$H$5000,"",0),"")</f>
        <v/>
      </c>
      <c r="P180" s="9" t="str" cm="1">
        <f t="array" aca="1" ref="P180" ca="1">IF(INDIRECT(M180) = "","",INDIRECT(M180))</f>
        <v/>
      </c>
      <c r="Q180" s="359" t="s">
        <v>4381</v>
      </c>
    </row>
    <row r="181" spans="1:17" x14ac:dyDescent="0.35">
      <c r="A181" t="s">
        <v>1342</v>
      </c>
      <c r="E181" t="str">
        <f>_xlfn.XLOOKUP(F181,'Raw Data'!$I$4:$I$5000,'Raw Data'!$D$4:$D$5000,"*** Mnemonic not found ***",0)</f>
        <v>*** Mnemonic not found ***</v>
      </c>
      <c r="F181" t="str">
        <f t="shared" si="56"/>
        <v>SUCMCGSFAA_GRTR20__</v>
      </c>
      <c r="H181" s="9" t="s">
        <v>1137</v>
      </c>
      <c r="K181" s="9">
        <f t="shared" si="77"/>
        <v>111</v>
      </c>
      <c r="L181" s="9" t="str">
        <f t="shared" si="76"/>
        <v>G</v>
      </c>
      <c r="M181" s="9" t="str">
        <f t="shared" si="62"/>
        <v>Input!G111</v>
      </c>
      <c r="N181" s="9">
        <f>_xlfn.XLOOKUP(F181,'Raw Data'!$I$4:$I$5000,'Raw Data'!$E$4:$E$5000,100,0)</f>
        <v>100</v>
      </c>
      <c r="O181" s="9" t="str">
        <f>IF(N181=0,_xlfn.XLOOKUP(F181,'Raw Data'!$I$4:$I$5000,'Raw Data'!$H$4:$H$5000,"",0),"")</f>
        <v/>
      </c>
      <c r="P181" s="9" t="str" cm="1">
        <f t="array" aca="1" ref="P181" ca="1">IF(INDIRECT(M181) = "","",INDIRECT(M181))</f>
        <v/>
      </c>
      <c r="Q181" s="359" t="s">
        <v>4381</v>
      </c>
    </row>
    <row r="182" spans="1:17" x14ac:dyDescent="0.35">
      <c r="A182" t="s">
        <v>1343</v>
      </c>
      <c r="E182" t="str">
        <f>_xlfn.XLOOKUP(F182,'Raw Data'!$I$4:$I$5000,'Raw Data'!$D$4:$D$5000,"*** Mnemonic not found ***",0)</f>
        <v>*** Mnemonic not found ***</v>
      </c>
      <c r="F182" t="str">
        <f t="shared" si="56"/>
        <v>SUCMCGSFA_LESS1__</v>
      </c>
      <c r="H182" s="9" t="s">
        <v>1137</v>
      </c>
      <c r="K182" s="9">
        <f>K177</f>
        <v>107</v>
      </c>
      <c r="L182" s="9" t="s">
        <v>1144</v>
      </c>
      <c r="M182" s="9" t="str">
        <f t="shared" si="62"/>
        <v>Input!H107</v>
      </c>
      <c r="N182" s="9">
        <f>_xlfn.XLOOKUP(F182,'Raw Data'!$I$4:$I$5000,'Raw Data'!$E$4:$E$5000,100,0)</f>
        <v>100</v>
      </c>
      <c r="O182" s="9" t="str">
        <f>IF(N182=0,_xlfn.XLOOKUP(F182,'Raw Data'!$I$4:$I$5000,'Raw Data'!$H$4:$H$5000,"",0),"")</f>
        <v/>
      </c>
      <c r="P182" s="9" t="str" cm="1">
        <f t="array" aca="1" ref="P182" ca="1">IF(INDIRECT(M182) = "","",INDIRECT(M182))</f>
        <v/>
      </c>
      <c r="Q182" s="359" t="s">
        <v>4381</v>
      </c>
    </row>
    <row r="183" spans="1:17" x14ac:dyDescent="0.35">
      <c r="A183" t="s">
        <v>1344</v>
      </c>
      <c r="E183" t="str">
        <f>_xlfn.XLOOKUP(F183,'Raw Data'!$I$4:$I$5000,'Raw Data'!$D$4:$D$5000,"*** Mnemonic not found ***",0)</f>
        <v>*** Mnemonic not found ***</v>
      </c>
      <c r="F183" t="str">
        <f t="shared" si="56"/>
        <v>SUCMCGSFA_1TO5__</v>
      </c>
      <c r="H183" s="9" t="s">
        <v>1137</v>
      </c>
      <c r="K183" s="9">
        <f>K182+1</f>
        <v>108</v>
      </c>
      <c r="L183" s="9" t="str">
        <f t="shared" ref="L183:L186" si="78">L182</f>
        <v>H</v>
      </c>
      <c r="M183" s="9" t="str">
        <f t="shared" si="62"/>
        <v>Input!H108</v>
      </c>
      <c r="N183" s="9">
        <f>_xlfn.XLOOKUP(F183,'Raw Data'!$I$4:$I$5000,'Raw Data'!$E$4:$E$5000,100,0)</f>
        <v>100</v>
      </c>
      <c r="O183" s="9" t="str">
        <f>IF(N183=0,_xlfn.XLOOKUP(F183,'Raw Data'!$I$4:$I$5000,'Raw Data'!$H$4:$H$5000,"",0),"")</f>
        <v/>
      </c>
      <c r="P183" s="9" t="str" cm="1">
        <f t="array" aca="1" ref="P183" ca="1">IF(INDIRECT(M183) = "","",INDIRECT(M183))</f>
        <v/>
      </c>
      <c r="Q183" s="359" t="s">
        <v>4381</v>
      </c>
    </row>
    <row r="184" spans="1:17" x14ac:dyDescent="0.35">
      <c r="A184" t="s">
        <v>1345</v>
      </c>
      <c r="E184" t="str">
        <f>_xlfn.XLOOKUP(F184,'Raw Data'!$I$4:$I$5000,'Raw Data'!$D$4:$D$5000,"*** Mnemonic not found ***",0)</f>
        <v>*** Mnemonic not found ***</v>
      </c>
      <c r="F184" t="str">
        <f t="shared" si="56"/>
        <v>SUCMCGSFA_5TO10__</v>
      </c>
      <c r="H184" s="9" t="s">
        <v>1137</v>
      </c>
      <c r="K184" s="9">
        <f t="shared" ref="K184:K186" si="79">K183+1</f>
        <v>109</v>
      </c>
      <c r="L184" s="9" t="str">
        <f t="shared" si="78"/>
        <v>H</v>
      </c>
      <c r="M184" s="9" t="str">
        <f t="shared" si="62"/>
        <v>Input!H109</v>
      </c>
      <c r="N184" s="9">
        <f>_xlfn.XLOOKUP(F184,'Raw Data'!$I$4:$I$5000,'Raw Data'!$E$4:$E$5000,100,0)</f>
        <v>100</v>
      </c>
      <c r="O184" s="9" t="str">
        <f>IF(N184=0,_xlfn.XLOOKUP(F184,'Raw Data'!$I$4:$I$5000,'Raw Data'!$H$4:$H$5000,"",0),"")</f>
        <v/>
      </c>
      <c r="P184" s="9" t="str" cm="1">
        <f t="array" aca="1" ref="P184" ca="1">IF(INDIRECT(M184) = "","",INDIRECT(M184))</f>
        <v/>
      </c>
      <c r="Q184" s="359" t="s">
        <v>4381</v>
      </c>
    </row>
    <row r="185" spans="1:17" x14ac:dyDescent="0.35">
      <c r="A185" t="s">
        <v>1346</v>
      </c>
      <c r="E185" t="str">
        <f>_xlfn.XLOOKUP(F185,'Raw Data'!$I$4:$I$5000,'Raw Data'!$D$4:$D$5000,"*** Mnemonic not found ***",0)</f>
        <v>*** Mnemonic not found ***</v>
      </c>
      <c r="F185" t="str">
        <f t="shared" si="56"/>
        <v>SUCMCGSFA_10TO20__</v>
      </c>
      <c r="H185" s="9" t="s">
        <v>1137</v>
      </c>
      <c r="K185" s="9">
        <f t="shared" si="79"/>
        <v>110</v>
      </c>
      <c r="L185" s="9" t="str">
        <f t="shared" si="78"/>
        <v>H</v>
      </c>
      <c r="M185" s="9" t="str">
        <f t="shared" si="62"/>
        <v>Input!H110</v>
      </c>
      <c r="N185" s="9">
        <f>_xlfn.XLOOKUP(F185,'Raw Data'!$I$4:$I$5000,'Raw Data'!$E$4:$E$5000,100,0)</f>
        <v>100</v>
      </c>
      <c r="O185" s="9" t="str">
        <f>IF(N185=0,_xlfn.XLOOKUP(F185,'Raw Data'!$I$4:$I$5000,'Raw Data'!$H$4:$H$5000,"",0),"")</f>
        <v/>
      </c>
      <c r="P185" s="9" t="str" cm="1">
        <f t="array" aca="1" ref="P185" ca="1">IF(INDIRECT(M185) = "","",INDIRECT(M185))</f>
        <v/>
      </c>
      <c r="Q185" s="359" t="s">
        <v>4381</v>
      </c>
    </row>
    <row r="186" spans="1:17" x14ac:dyDescent="0.35">
      <c r="A186" t="s">
        <v>1347</v>
      </c>
      <c r="E186" t="str">
        <f>_xlfn.XLOOKUP(F186,'Raw Data'!$I$4:$I$5000,'Raw Data'!$D$4:$D$5000,"*** Mnemonic not found ***",0)</f>
        <v>*** Mnemonic not found ***</v>
      </c>
      <c r="F186" t="str">
        <f t="shared" si="56"/>
        <v>SUCMCGSFA_GRTR20__</v>
      </c>
      <c r="H186" s="9" t="s">
        <v>1137</v>
      </c>
      <c r="K186" s="9">
        <f t="shared" si="79"/>
        <v>111</v>
      </c>
      <c r="L186" s="9" t="str">
        <f t="shared" si="78"/>
        <v>H</v>
      </c>
      <c r="M186" s="9" t="str">
        <f t="shared" si="62"/>
        <v>Input!H111</v>
      </c>
      <c r="N186" s="9">
        <f>_xlfn.XLOOKUP(F186,'Raw Data'!$I$4:$I$5000,'Raw Data'!$E$4:$E$5000,100,0)</f>
        <v>100</v>
      </c>
      <c r="O186" s="9" t="str">
        <f>IF(N186=0,_xlfn.XLOOKUP(F186,'Raw Data'!$I$4:$I$5000,'Raw Data'!$H$4:$H$5000,"",0),"")</f>
        <v/>
      </c>
      <c r="P186" s="9" t="str" cm="1">
        <f t="array" aca="1" ref="P186" ca="1">IF(INDIRECT(M186) = "","",INDIRECT(M186))</f>
        <v/>
      </c>
      <c r="Q186" s="359" t="s">
        <v>4381</v>
      </c>
    </row>
    <row r="187" spans="1:17" x14ac:dyDescent="0.35">
      <c r="A187" t="s">
        <v>1348</v>
      </c>
      <c r="E187" t="str">
        <f>_xlfn.XLOOKUP(F187,'Raw Data'!$I$4:$I$5000,'Raw Data'!$D$4:$D$5000,"*** Mnemonic not found ***",0)</f>
        <v>*** Mnemonic not found ***</v>
      </c>
      <c r="F187" t="str">
        <f t="shared" si="56"/>
        <v>SUCMCGSFBBB_LESS1__</v>
      </c>
      <c r="H187" s="9" t="s">
        <v>1137</v>
      </c>
      <c r="K187" s="9">
        <f>K182</f>
        <v>107</v>
      </c>
      <c r="L187" s="9" t="s">
        <v>1375</v>
      </c>
      <c r="M187" s="9" t="str">
        <f t="shared" si="62"/>
        <v>Input!I107</v>
      </c>
      <c r="N187" s="9">
        <f>_xlfn.XLOOKUP(F187,'Raw Data'!$I$4:$I$5000,'Raw Data'!$E$4:$E$5000,100,0)</f>
        <v>100</v>
      </c>
      <c r="O187" s="9" t="str">
        <f>IF(N187=0,_xlfn.XLOOKUP(F187,'Raw Data'!$I$4:$I$5000,'Raw Data'!$H$4:$H$5000,"",0),"")</f>
        <v/>
      </c>
      <c r="P187" s="9" t="str" cm="1">
        <f t="array" aca="1" ref="P187" ca="1">IF(INDIRECT(M187) = "","",INDIRECT(M187))</f>
        <v/>
      </c>
      <c r="Q187" s="359" t="s">
        <v>4381</v>
      </c>
    </row>
    <row r="188" spans="1:17" x14ac:dyDescent="0.35">
      <c r="A188" t="s">
        <v>1349</v>
      </c>
      <c r="E188" t="str">
        <f>_xlfn.XLOOKUP(F188,'Raw Data'!$I$4:$I$5000,'Raw Data'!$D$4:$D$5000,"*** Mnemonic not found ***",0)</f>
        <v>*** Mnemonic not found ***</v>
      </c>
      <c r="F188" t="str">
        <f t="shared" si="56"/>
        <v>SUCMCGSFBBB_1TO5__</v>
      </c>
      <c r="H188" s="9" t="s">
        <v>1137</v>
      </c>
      <c r="K188" s="9">
        <f>K187+1</f>
        <v>108</v>
      </c>
      <c r="L188" s="9" t="str">
        <f t="shared" ref="L188:L191" si="80">L187</f>
        <v>I</v>
      </c>
      <c r="M188" s="9" t="str">
        <f t="shared" si="62"/>
        <v>Input!I108</v>
      </c>
      <c r="N188" s="9">
        <f>_xlfn.XLOOKUP(F188,'Raw Data'!$I$4:$I$5000,'Raw Data'!$E$4:$E$5000,100,0)</f>
        <v>100</v>
      </c>
      <c r="O188" s="9" t="str">
        <f>IF(N188=0,_xlfn.XLOOKUP(F188,'Raw Data'!$I$4:$I$5000,'Raw Data'!$H$4:$H$5000,"",0),"")</f>
        <v/>
      </c>
      <c r="P188" s="9" t="str" cm="1">
        <f t="array" aca="1" ref="P188" ca="1">IF(INDIRECT(M188) = "","",INDIRECT(M188))</f>
        <v/>
      </c>
      <c r="Q188" s="359" t="s">
        <v>4381</v>
      </c>
    </row>
    <row r="189" spans="1:17" x14ac:dyDescent="0.35">
      <c r="A189" t="s">
        <v>1350</v>
      </c>
      <c r="E189" t="str">
        <f>_xlfn.XLOOKUP(F189,'Raw Data'!$I$4:$I$5000,'Raw Data'!$D$4:$D$5000,"*** Mnemonic not found ***",0)</f>
        <v>*** Mnemonic not found ***</v>
      </c>
      <c r="F189" t="str">
        <f t="shared" si="56"/>
        <v>SUCMCGSFBBB_5TO10__</v>
      </c>
      <c r="H189" s="9" t="s">
        <v>1137</v>
      </c>
      <c r="K189" s="9">
        <f t="shared" ref="K189:K191" si="81">K188+1</f>
        <v>109</v>
      </c>
      <c r="L189" s="9" t="str">
        <f t="shared" si="80"/>
        <v>I</v>
      </c>
      <c r="M189" s="9" t="str">
        <f t="shared" si="62"/>
        <v>Input!I109</v>
      </c>
      <c r="N189" s="9">
        <f>_xlfn.XLOOKUP(F189,'Raw Data'!$I$4:$I$5000,'Raw Data'!$E$4:$E$5000,100,0)</f>
        <v>100</v>
      </c>
      <c r="O189" s="9" t="str">
        <f>IF(N189=0,_xlfn.XLOOKUP(F189,'Raw Data'!$I$4:$I$5000,'Raw Data'!$H$4:$H$5000,"",0),"")</f>
        <v/>
      </c>
      <c r="P189" s="9" t="str" cm="1">
        <f t="array" aca="1" ref="P189" ca="1">IF(INDIRECT(M189) = "","",INDIRECT(M189))</f>
        <v/>
      </c>
      <c r="Q189" s="359" t="s">
        <v>4381</v>
      </c>
    </row>
    <row r="190" spans="1:17" x14ac:dyDescent="0.35">
      <c r="A190" t="s">
        <v>1351</v>
      </c>
      <c r="E190" t="str">
        <f>_xlfn.XLOOKUP(F190,'Raw Data'!$I$4:$I$5000,'Raw Data'!$D$4:$D$5000,"*** Mnemonic not found ***",0)</f>
        <v>*** Mnemonic not found ***</v>
      </c>
      <c r="F190" t="str">
        <f t="shared" si="56"/>
        <v>SUCMCGSFBBB_10TO20__</v>
      </c>
      <c r="H190" s="9" t="s">
        <v>1137</v>
      </c>
      <c r="K190" s="9">
        <f t="shared" si="81"/>
        <v>110</v>
      </c>
      <c r="L190" s="9" t="str">
        <f t="shared" si="80"/>
        <v>I</v>
      </c>
      <c r="M190" s="9" t="str">
        <f t="shared" si="62"/>
        <v>Input!I110</v>
      </c>
      <c r="N190" s="9">
        <f>_xlfn.XLOOKUP(F190,'Raw Data'!$I$4:$I$5000,'Raw Data'!$E$4:$E$5000,100,0)</f>
        <v>100</v>
      </c>
      <c r="O190" s="9" t="str">
        <f>IF(N190=0,_xlfn.XLOOKUP(F190,'Raw Data'!$I$4:$I$5000,'Raw Data'!$H$4:$H$5000,"",0),"")</f>
        <v/>
      </c>
      <c r="P190" s="9" t="str" cm="1">
        <f t="array" aca="1" ref="P190" ca="1">IF(INDIRECT(M190) = "","",INDIRECT(M190))</f>
        <v/>
      </c>
      <c r="Q190" s="359" t="s">
        <v>4381</v>
      </c>
    </row>
    <row r="191" spans="1:17" x14ac:dyDescent="0.35">
      <c r="A191" t="s">
        <v>1352</v>
      </c>
      <c r="E191" t="str">
        <f>_xlfn.XLOOKUP(F191,'Raw Data'!$I$4:$I$5000,'Raw Data'!$D$4:$D$5000,"*** Mnemonic not found ***",0)</f>
        <v>*** Mnemonic not found ***</v>
      </c>
      <c r="F191" t="str">
        <f t="shared" si="56"/>
        <v>SUCMCGSFBBB_GRTR20__</v>
      </c>
      <c r="H191" s="9" t="s">
        <v>1137</v>
      </c>
      <c r="K191" s="9">
        <f t="shared" si="81"/>
        <v>111</v>
      </c>
      <c r="L191" s="9" t="str">
        <f t="shared" si="80"/>
        <v>I</v>
      </c>
      <c r="M191" s="9" t="str">
        <f t="shared" si="62"/>
        <v>Input!I111</v>
      </c>
      <c r="N191" s="9">
        <f>_xlfn.XLOOKUP(F191,'Raw Data'!$I$4:$I$5000,'Raw Data'!$E$4:$E$5000,100,0)</f>
        <v>100</v>
      </c>
      <c r="O191" s="9" t="str">
        <f>IF(N191=0,_xlfn.XLOOKUP(F191,'Raw Data'!$I$4:$I$5000,'Raw Data'!$H$4:$H$5000,"",0),"")</f>
        <v/>
      </c>
      <c r="P191" s="9" t="str" cm="1">
        <f t="array" aca="1" ref="P191" ca="1">IF(INDIRECT(M191) = "","",INDIRECT(M191))</f>
        <v/>
      </c>
      <c r="Q191" s="359" t="s">
        <v>4381</v>
      </c>
    </row>
    <row r="192" spans="1:17" x14ac:dyDescent="0.35">
      <c r="A192" t="s">
        <v>1353</v>
      </c>
      <c r="E192" t="str">
        <f>_xlfn.XLOOKUP(F192,'Raw Data'!$I$4:$I$5000,'Raw Data'!$D$4:$D$5000,"*** Mnemonic not found ***",0)</f>
        <v>*** Mnemonic not found ***</v>
      </c>
      <c r="F192" t="str">
        <f t="shared" si="56"/>
        <v>SUCMCGSFBB_LESS1__</v>
      </c>
      <c r="H192" s="9" t="s">
        <v>1137</v>
      </c>
      <c r="K192" s="9">
        <f>K187</f>
        <v>107</v>
      </c>
      <c r="L192" s="9" t="s">
        <v>1376</v>
      </c>
      <c r="M192" s="9" t="str">
        <f t="shared" si="62"/>
        <v>Input!J107</v>
      </c>
      <c r="N192" s="9">
        <f>_xlfn.XLOOKUP(F192,'Raw Data'!$I$4:$I$5000,'Raw Data'!$E$4:$E$5000,100,0)</f>
        <v>100</v>
      </c>
      <c r="O192" s="9" t="str">
        <f>IF(N192=0,_xlfn.XLOOKUP(F192,'Raw Data'!$I$4:$I$5000,'Raw Data'!$H$4:$H$5000,"",0),"")</f>
        <v/>
      </c>
      <c r="P192" s="9" t="str" cm="1">
        <f t="array" aca="1" ref="P192" ca="1">IF(INDIRECT(M192) = "","",INDIRECT(M192))</f>
        <v/>
      </c>
      <c r="Q192" s="359" t="s">
        <v>4381</v>
      </c>
    </row>
    <row r="193" spans="1:17" x14ac:dyDescent="0.35">
      <c r="A193" t="s">
        <v>1354</v>
      </c>
      <c r="E193" t="str">
        <f>_xlfn.XLOOKUP(F193,'Raw Data'!$I$4:$I$5000,'Raw Data'!$D$4:$D$5000,"*** Mnemonic not found ***",0)</f>
        <v>*** Mnemonic not found ***</v>
      </c>
      <c r="F193" t="str">
        <f t="shared" si="56"/>
        <v>SUCMCGSFBB_1TO5__</v>
      </c>
      <c r="H193" s="9" t="s">
        <v>1137</v>
      </c>
      <c r="K193" s="9">
        <f>K192+1</f>
        <v>108</v>
      </c>
      <c r="L193" s="9" t="str">
        <f t="shared" ref="L193:L196" si="82">L192</f>
        <v>J</v>
      </c>
      <c r="M193" s="9" t="str">
        <f t="shared" si="62"/>
        <v>Input!J108</v>
      </c>
      <c r="N193" s="9">
        <f>_xlfn.XLOOKUP(F193,'Raw Data'!$I$4:$I$5000,'Raw Data'!$E$4:$E$5000,100,0)</f>
        <v>100</v>
      </c>
      <c r="O193" s="9" t="str">
        <f>IF(N193=0,_xlfn.XLOOKUP(F193,'Raw Data'!$I$4:$I$5000,'Raw Data'!$H$4:$H$5000,"",0),"")</f>
        <v/>
      </c>
      <c r="P193" s="9" t="str" cm="1">
        <f t="array" aca="1" ref="P193" ca="1">IF(INDIRECT(M193) = "","",INDIRECT(M193))</f>
        <v/>
      </c>
      <c r="Q193" s="359" t="s">
        <v>4381</v>
      </c>
    </row>
    <row r="194" spans="1:17" x14ac:dyDescent="0.35">
      <c r="A194" t="s">
        <v>1355</v>
      </c>
      <c r="E194" t="str">
        <f>_xlfn.XLOOKUP(F194,'Raw Data'!$I$4:$I$5000,'Raw Data'!$D$4:$D$5000,"*** Mnemonic not found ***",0)</f>
        <v>*** Mnemonic not found ***</v>
      </c>
      <c r="F194" t="str">
        <f t="shared" si="56"/>
        <v>SUCMCGSFBB_5TO10__</v>
      </c>
      <c r="H194" s="9" t="s">
        <v>1137</v>
      </c>
      <c r="K194" s="9">
        <f t="shared" ref="K194:K196" si="83">K193+1</f>
        <v>109</v>
      </c>
      <c r="L194" s="9" t="str">
        <f t="shared" si="82"/>
        <v>J</v>
      </c>
      <c r="M194" s="9" t="str">
        <f t="shared" si="62"/>
        <v>Input!J109</v>
      </c>
      <c r="N194" s="9">
        <f>_xlfn.XLOOKUP(F194,'Raw Data'!$I$4:$I$5000,'Raw Data'!$E$4:$E$5000,100,0)</f>
        <v>100</v>
      </c>
      <c r="O194" s="9" t="str">
        <f>IF(N194=0,_xlfn.XLOOKUP(F194,'Raw Data'!$I$4:$I$5000,'Raw Data'!$H$4:$H$5000,"",0),"")</f>
        <v/>
      </c>
      <c r="P194" s="9" t="str" cm="1">
        <f t="array" aca="1" ref="P194" ca="1">IF(INDIRECT(M194) = "","",INDIRECT(M194))</f>
        <v/>
      </c>
      <c r="Q194" s="359" t="s">
        <v>4381</v>
      </c>
    </row>
    <row r="195" spans="1:17" x14ac:dyDescent="0.35">
      <c r="A195" t="s">
        <v>1356</v>
      </c>
      <c r="E195" t="str">
        <f>_xlfn.XLOOKUP(F195,'Raw Data'!$I$4:$I$5000,'Raw Data'!$D$4:$D$5000,"*** Mnemonic not found ***",0)</f>
        <v>*** Mnemonic not found ***</v>
      </c>
      <c r="F195" t="str">
        <f t="shared" si="56"/>
        <v>SUCMCGSFBB_10TO20__</v>
      </c>
      <c r="H195" s="9" t="s">
        <v>1137</v>
      </c>
      <c r="K195" s="9">
        <f t="shared" si="83"/>
        <v>110</v>
      </c>
      <c r="L195" s="9" t="str">
        <f t="shared" si="82"/>
        <v>J</v>
      </c>
      <c r="M195" s="9" t="str">
        <f t="shared" si="62"/>
        <v>Input!J110</v>
      </c>
      <c r="N195" s="9">
        <f>_xlfn.XLOOKUP(F195,'Raw Data'!$I$4:$I$5000,'Raw Data'!$E$4:$E$5000,100,0)</f>
        <v>100</v>
      </c>
      <c r="O195" s="9" t="str">
        <f>IF(N195=0,_xlfn.XLOOKUP(F195,'Raw Data'!$I$4:$I$5000,'Raw Data'!$H$4:$H$5000,"",0),"")</f>
        <v/>
      </c>
      <c r="P195" s="9" t="str" cm="1">
        <f t="array" aca="1" ref="P195" ca="1">IF(INDIRECT(M195) = "","",INDIRECT(M195))</f>
        <v/>
      </c>
      <c r="Q195" s="359" t="s">
        <v>4381</v>
      </c>
    </row>
    <row r="196" spans="1:17" x14ac:dyDescent="0.35">
      <c r="A196" t="s">
        <v>1357</v>
      </c>
      <c r="E196" t="str">
        <f>_xlfn.XLOOKUP(F196,'Raw Data'!$I$4:$I$5000,'Raw Data'!$D$4:$D$5000,"*** Mnemonic not found ***",0)</f>
        <v>*** Mnemonic not found ***</v>
      </c>
      <c r="F196" t="str">
        <f t="shared" si="56"/>
        <v>SUCMCGSFBB_GRTR20__</v>
      </c>
      <c r="H196" s="9" t="s">
        <v>1137</v>
      </c>
      <c r="K196" s="9">
        <f t="shared" si="83"/>
        <v>111</v>
      </c>
      <c r="L196" s="9" t="str">
        <f t="shared" si="82"/>
        <v>J</v>
      </c>
      <c r="M196" s="9" t="str">
        <f t="shared" si="62"/>
        <v>Input!J111</v>
      </c>
      <c r="N196" s="9">
        <f>_xlfn.XLOOKUP(F196,'Raw Data'!$I$4:$I$5000,'Raw Data'!$E$4:$E$5000,100,0)</f>
        <v>100</v>
      </c>
      <c r="O196" s="9" t="str">
        <f>IF(N196=0,_xlfn.XLOOKUP(F196,'Raw Data'!$I$4:$I$5000,'Raw Data'!$H$4:$H$5000,"",0),"")</f>
        <v/>
      </c>
      <c r="P196" s="9" t="str" cm="1">
        <f t="array" aca="1" ref="P196" ca="1">IF(INDIRECT(M196) = "","",INDIRECT(M196))</f>
        <v/>
      </c>
      <c r="Q196" s="359" t="s">
        <v>4381</v>
      </c>
    </row>
    <row r="197" spans="1:17" x14ac:dyDescent="0.35">
      <c r="A197" t="s">
        <v>1358</v>
      </c>
      <c r="E197" t="str">
        <f>_xlfn.XLOOKUP(F197,'Raw Data'!$I$4:$I$5000,'Raw Data'!$D$4:$D$5000,"*** Mnemonic not found ***",0)</f>
        <v>*** Mnemonic not found ***</v>
      </c>
      <c r="F197" t="str">
        <f t="shared" ref="F197:F260" si="84">CONCATENATE(A197,"_",B197,"_",D197)</f>
        <v>SUCMCGSFB_LESS1__</v>
      </c>
      <c r="H197" s="9" t="s">
        <v>1137</v>
      </c>
      <c r="K197" s="9">
        <f>K192</f>
        <v>107</v>
      </c>
      <c r="L197" s="9" t="s">
        <v>1377</v>
      </c>
      <c r="M197" s="9" t="str">
        <f t="shared" si="62"/>
        <v>Input!K107</v>
      </c>
      <c r="N197" s="9">
        <f>_xlfn.XLOOKUP(F197,'Raw Data'!$I$4:$I$5000,'Raw Data'!$E$4:$E$5000,100,0)</f>
        <v>100</v>
      </c>
      <c r="O197" s="9" t="str">
        <f>IF(N197=0,_xlfn.XLOOKUP(F197,'Raw Data'!$I$4:$I$5000,'Raw Data'!$H$4:$H$5000,"",0),"")</f>
        <v/>
      </c>
      <c r="P197" s="9" t="str" cm="1">
        <f t="array" aca="1" ref="P197" ca="1">IF(INDIRECT(M197) = "","",INDIRECT(M197))</f>
        <v/>
      </c>
      <c r="Q197" s="359" t="s">
        <v>4381</v>
      </c>
    </row>
    <row r="198" spans="1:17" x14ac:dyDescent="0.35">
      <c r="A198" t="s">
        <v>1359</v>
      </c>
      <c r="E198" t="str">
        <f>_xlfn.XLOOKUP(F198,'Raw Data'!$I$4:$I$5000,'Raw Data'!$D$4:$D$5000,"*** Mnemonic not found ***",0)</f>
        <v>*** Mnemonic not found ***</v>
      </c>
      <c r="F198" t="str">
        <f t="shared" si="84"/>
        <v>SUCMCGSFB_1TO5__</v>
      </c>
      <c r="H198" s="9" t="s">
        <v>1137</v>
      </c>
      <c r="K198" s="9">
        <f>K197+1</f>
        <v>108</v>
      </c>
      <c r="L198" s="9" t="str">
        <f t="shared" ref="L198:L201" si="85">L197</f>
        <v>K</v>
      </c>
      <c r="M198" s="9" t="str">
        <f t="shared" si="62"/>
        <v>Input!K108</v>
      </c>
      <c r="N198" s="9">
        <f>_xlfn.XLOOKUP(F198,'Raw Data'!$I$4:$I$5000,'Raw Data'!$E$4:$E$5000,100,0)</f>
        <v>100</v>
      </c>
      <c r="O198" s="9" t="str">
        <f>IF(N198=0,_xlfn.XLOOKUP(F198,'Raw Data'!$I$4:$I$5000,'Raw Data'!$H$4:$H$5000,"",0),"")</f>
        <v/>
      </c>
      <c r="P198" s="9" t="str" cm="1">
        <f t="array" aca="1" ref="P198" ca="1">IF(INDIRECT(M198) = "","",INDIRECT(M198))</f>
        <v/>
      </c>
      <c r="Q198" s="359" t="s">
        <v>4381</v>
      </c>
    </row>
    <row r="199" spans="1:17" x14ac:dyDescent="0.35">
      <c r="A199" t="s">
        <v>1360</v>
      </c>
      <c r="E199" t="str">
        <f>_xlfn.XLOOKUP(F199,'Raw Data'!$I$4:$I$5000,'Raw Data'!$D$4:$D$5000,"*** Mnemonic not found ***",0)</f>
        <v>*** Mnemonic not found ***</v>
      </c>
      <c r="F199" t="str">
        <f t="shared" si="84"/>
        <v>SUCMCGSFB_5TO10__</v>
      </c>
      <c r="H199" s="9" t="s">
        <v>1137</v>
      </c>
      <c r="K199" s="9">
        <f t="shared" ref="K199:K201" si="86">K198+1</f>
        <v>109</v>
      </c>
      <c r="L199" s="9" t="str">
        <f t="shared" si="85"/>
        <v>K</v>
      </c>
      <c r="M199" s="9" t="str">
        <f t="shared" si="62"/>
        <v>Input!K109</v>
      </c>
      <c r="N199" s="9">
        <f>_xlfn.XLOOKUP(F199,'Raw Data'!$I$4:$I$5000,'Raw Data'!$E$4:$E$5000,100,0)</f>
        <v>100</v>
      </c>
      <c r="O199" s="9" t="str">
        <f>IF(N199=0,_xlfn.XLOOKUP(F199,'Raw Data'!$I$4:$I$5000,'Raw Data'!$H$4:$H$5000,"",0),"")</f>
        <v/>
      </c>
      <c r="P199" s="9" t="str" cm="1">
        <f t="array" aca="1" ref="P199" ca="1">IF(INDIRECT(M199) = "","",INDIRECT(M199))</f>
        <v/>
      </c>
      <c r="Q199" s="359" t="s">
        <v>4381</v>
      </c>
    </row>
    <row r="200" spans="1:17" x14ac:dyDescent="0.35">
      <c r="A200" t="s">
        <v>1361</v>
      </c>
      <c r="E200" t="str">
        <f>_xlfn.XLOOKUP(F200,'Raw Data'!$I$4:$I$5000,'Raw Data'!$D$4:$D$5000,"*** Mnemonic not found ***",0)</f>
        <v>*** Mnemonic not found ***</v>
      </c>
      <c r="F200" t="str">
        <f t="shared" si="84"/>
        <v>SUCMCGSFB_10TO20__</v>
      </c>
      <c r="H200" s="9" t="s">
        <v>1137</v>
      </c>
      <c r="K200" s="9">
        <f t="shared" si="86"/>
        <v>110</v>
      </c>
      <c r="L200" s="9" t="str">
        <f t="shared" si="85"/>
        <v>K</v>
      </c>
      <c r="M200" s="9" t="str">
        <f t="shared" si="62"/>
        <v>Input!K110</v>
      </c>
      <c r="N200" s="9">
        <f>_xlfn.XLOOKUP(F200,'Raw Data'!$I$4:$I$5000,'Raw Data'!$E$4:$E$5000,100,0)</f>
        <v>100</v>
      </c>
      <c r="O200" s="9" t="str">
        <f>IF(N200=0,_xlfn.XLOOKUP(F200,'Raw Data'!$I$4:$I$5000,'Raw Data'!$H$4:$H$5000,"",0),"")</f>
        <v/>
      </c>
      <c r="P200" s="9" t="str" cm="1">
        <f t="array" aca="1" ref="P200" ca="1">IF(INDIRECT(M200) = "","",INDIRECT(M200))</f>
        <v/>
      </c>
      <c r="Q200" s="359" t="s">
        <v>4381</v>
      </c>
    </row>
    <row r="201" spans="1:17" x14ac:dyDescent="0.35">
      <c r="A201" t="s">
        <v>1362</v>
      </c>
      <c r="E201" t="str">
        <f>_xlfn.XLOOKUP(F201,'Raw Data'!$I$4:$I$5000,'Raw Data'!$D$4:$D$5000,"*** Mnemonic not found ***",0)</f>
        <v>*** Mnemonic not found ***</v>
      </c>
      <c r="F201" t="str">
        <f t="shared" si="84"/>
        <v>SUCMCGSFB_GRTR20__</v>
      </c>
      <c r="H201" s="9" t="s">
        <v>1137</v>
      </c>
      <c r="K201" s="9">
        <f t="shared" si="86"/>
        <v>111</v>
      </c>
      <c r="L201" s="9" t="str">
        <f t="shared" si="85"/>
        <v>K</v>
      </c>
      <c r="M201" s="9" t="str">
        <f t="shared" si="62"/>
        <v>Input!K111</v>
      </c>
      <c r="N201" s="9">
        <f>_xlfn.XLOOKUP(F201,'Raw Data'!$I$4:$I$5000,'Raw Data'!$E$4:$E$5000,100,0)</f>
        <v>100</v>
      </c>
      <c r="O201" s="9" t="str">
        <f>IF(N201=0,_xlfn.XLOOKUP(F201,'Raw Data'!$I$4:$I$5000,'Raw Data'!$H$4:$H$5000,"",0),"")</f>
        <v/>
      </c>
      <c r="P201" s="9" t="str" cm="1">
        <f t="array" aca="1" ref="P201" ca="1">IF(INDIRECT(M201) = "","",INDIRECT(M201))</f>
        <v/>
      </c>
      <c r="Q201" s="359" t="s">
        <v>4381</v>
      </c>
    </row>
    <row r="202" spans="1:17" x14ac:dyDescent="0.35">
      <c r="A202" t="s">
        <v>1363</v>
      </c>
      <c r="E202" t="str">
        <f>_xlfn.XLOOKUP(F202,'Raw Data'!$I$4:$I$5000,'Raw Data'!$D$4:$D$5000,"*** Mnemonic not found ***",0)</f>
        <v>*** Mnemonic not found ***</v>
      </c>
      <c r="F202" t="str">
        <f t="shared" si="84"/>
        <v>SUCMCGSFCCC_LESS1__</v>
      </c>
      <c r="H202" s="9" t="s">
        <v>1137</v>
      </c>
      <c r="K202" s="9">
        <f>K197</f>
        <v>107</v>
      </c>
      <c r="L202" s="9" t="s">
        <v>1378</v>
      </c>
      <c r="M202" s="9" t="str">
        <f t="shared" si="62"/>
        <v>Input!L107</v>
      </c>
      <c r="N202" s="9">
        <f>_xlfn.XLOOKUP(F202,'Raw Data'!$I$4:$I$5000,'Raw Data'!$E$4:$E$5000,100,0)</f>
        <v>100</v>
      </c>
      <c r="O202" s="9" t="str">
        <f>IF(N202=0,_xlfn.XLOOKUP(F202,'Raw Data'!$I$4:$I$5000,'Raw Data'!$H$4:$H$5000,"",0),"")</f>
        <v/>
      </c>
      <c r="P202" s="9" t="str" cm="1">
        <f t="array" aca="1" ref="P202" ca="1">IF(INDIRECT(M202) = "","",INDIRECT(M202))</f>
        <v/>
      </c>
      <c r="Q202" s="359" t="s">
        <v>4381</v>
      </c>
    </row>
    <row r="203" spans="1:17" x14ac:dyDescent="0.35">
      <c r="A203" t="s">
        <v>1364</v>
      </c>
      <c r="E203" t="str">
        <f>_xlfn.XLOOKUP(F203,'Raw Data'!$I$4:$I$5000,'Raw Data'!$D$4:$D$5000,"*** Mnemonic not found ***",0)</f>
        <v>*** Mnemonic not found ***</v>
      </c>
      <c r="F203" t="str">
        <f t="shared" si="84"/>
        <v>SUCMCGSFCCC_1TO5__</v>
      </c>
      <c r="H203" s="9" t="s">
        <v>1137</v>
      </c>
      <c r="K203" s="9">
        <f>K202+1</f>
        <v>108</v>
      </c>
      <c r="L203" s="9" t="str">
        <f t="shared" ref="L203:L206" si="87">L202</f>
        <v>L</v>
      </c>
      <c r="M203" s="9" t="str">
        <f t="shared" si="62"/>
        <v>Input!L108</v>
      </c>
      <c r="N203" s="9">
        <f>_xlfn.XLOOKUP(F203,'Raw Data'!$I$4:$I$5000,'Raw Data'!$E$4:$E$5000,100,0)</f>
        <v>100</v>
      </c>
      <c r="O203" s="9" t="str">
        <f>IF(N203=0,_xlfn.XLOOKUP(F203,'Raw Data'!$I$4:$I$5000,'Raw Data'!$H$4:$H$5000,"",0),"")</f>
        <v/>
      </c>
      <c r="P203" s="9" t="str" cm="1">
        <f t="array" aca="1" ref="P203" ca="1">IF(INDIRECT(M203) = "","",INDIRECT(M203))</f>
        <v/>
      </c>
      <c r="Q203" s="359" t="s">
        <v>4381</v>
      </c>
    </row>
    <row r="204" spans="1:17" x14ac:dyDescent="0.35">
      <c r="A204" t="s">
        <v>1365</v>
      </c>
      <c r="E204" t="str">
        <f>_xlfn.XLOOKUP(F204,'Raw Data'!$I$4:$I$5000,'Raw Data'!$D$4:$D$5000,"*** Mnemonic not found ***",0)</f>
        <v>*** Mnemonic not found ***</v>
      </c>
      <c r="F204" t="str">
        <f t="shared" si="84"/>
        <v>SUCMCGSFCCC_5TO10__</v>
      </c>
      <c r="H204" s="9" t="s">
        <v>1137</v>
      </c>
      <c r="K204" s="9">
        <f t="shared" ref="K204:K206" si="88">K203+1</f>
        <v>109</v>
      </c>
      <c r="L204" s="9" t="str">
        <f t="shared" si="87"/>
        <v>L</v>
      </c>
      <c r="M204" s="9" t="str">
        <f t="shared" si="62"/>
        <v>Input!L109</v>
      </c>
      <c r="N204" s="9">
        <f>_xlfn.XLOOKUP(F204,'Raw Data'!$I$4:$I$5000,'Raw Data'!$E$4:$E$5000,100,0)</f>
        <v>100</v>
      </c>
      <c r="O204" s="9" t="str">
        <f>IF(N204=0,_xlfn.XLOOKUP(F204,'Raw Data'!$I$4:$I$5000,'Raw Data'!$H$4:$H$5000,"",0),"")</f>
        <v/>
      </c>
      <c r="P204" s="9" t="str" cm="1">
        <f t="array" aca="1" ref="P204" ca="1">IF(INDIRECT(M204) = "","",INDIRECT(M204))</f>
        <v/>
      </c>
      <c r="Q204" s="359" t="s">
        <v>4381</v>
      </c>
    </row>
    <row r="205" spans="1:17" x14ac:dyDescent="0.35">
      <c r="A205" t="s">
        <v>1366</v>
      </c>
      <c r="E205" t="str">
        <f>_xlfn.XLOOKUP(F205,'Raw Data'!$I$4:$I$5000,'Raw Data'!$D$4:$D$5000,"*** Mnemonic not found ***",0)</f>
        <v>*** Mnemonic not found ***</v>
      </c>
      <c r="F205" t="str">
        <f t="shared" si="84"/>
        <v>SUCMCGSFCCC_10TO20__</v>
      </c>
      <c r="H205" s="9" t="s">
        <v>1137</v>
      </c>
      <c r="K205" s="9">
        <f t="shared" si="88"/>
        <v>110</v>
      </c>
      <c r="L205" s="9" t="str">
        <f t="shared" si="87"/>
        <v>L</v>
      </c>
      <c r="M205" s="9" t="str">
        <f t="shared" si="62"/>
        <v>Input!L110</v>
      </c>
      <c r="N205" s="9">
        <f>_xlfn.XLOOKUP(F205,'Raw Data'!$I$4:$I$5000,'Raw Data'!$E$4:$E$5000,100,0)</f>
        <v>100</v>
      </c>
      <c r="O205" s="9" t="str">
        <f>IF(N205=0,_xlfn.XLOOKUP(F205,'Raw Data'!$I$4:$I$5000,'Raw Data'!$H$4:$H$5000,"",0),"")</f>
        <v/>
      </c>
      <c r="P205" s="9" t="str" cm="1">
        <f t="array" aca="1" ref="P205" ca="1">IF(INDIRECT(M205) = "","",INDIRECT(M205))</f>
        <v/>
      </c>
      <c r="Q205" s="359" t="s">
        <v>4381</v>
      </c>
    </row>
    <row r="206" spans="1:17" x14ac:dyDescent="0.35">
      <c r="A206" t="s">
        <v>1367</v>
      </c>
      <c r="E206" t="str">
        <f>_xlfn.XLOOKUP(F206,'Raw Data'!$I$4:$I$5000,'Raw Data'!$D$4:$D$5000,"*** Mnemonic not found ***",0)</f>
        <v>*** Mnemonic not found ***</v>
      </c>
      <c r="F206" t="str">
        <f t="shared" si="84"/>
        <v>SUCMCGSFCCC_GRTR20__</v>
      </c>
      <c r="H206" s="9" t="s">
        <v>1137</v>
      </c>
      <c r="K206" s="9">
        <f t="shared" si="88"/>
        <v>111</v>
      </c>
      <c r="L206" s="9" t="str">
        <f t="shared" si="87"/>
        <v>L</v>
      </c>
      <c r="M206" s="9" t="str">
        <f t="shared" si="62"/>
        <v>Input!L111</v>
      </c>
      <c r="N206" s="9">
        <f>_xlfn.XLOOKUP(F206,'Raw Data'!$I$4:$I$5000,'Raw Data'!$E$4:$E$5000,100,0)</f>
        <v>100</v>
      </c>
      <c r="O206" s="9" t="str">
        <f>IF(N206=0,_xlfn.XLOOKUP(F206,'Raw Data'!$I$4:$I$5000,'Raw Data'!$H$4:$H$5000,"",0),"")</f>
        <v/>
      </c>
      <c r="P206" s="9" t="str" cm="1">
        <f t="array" aca="1" ref="P206" ca="1">IF(INDIRECT(M206) = "","",INDIRECT(M206))</f>
        <v/>
      </c>
      <c r="Q206" s="359" t="s">
        <v>4381</v>
      </c>
    </row>
    <row r="207" spans="1:17" x14ac:dyDescent="0.35">
      <c r="A207" t="s">
        <v>1368</v>
      </c>
      <c r="E207" t="str">
        <f>_xlfn.XLOOKUP(F207,'Raw Data'!$I$4:$I$5000,'Raw Data'!$D$4:$D$5000,"*** Mnemonic not found ***",0)</f>
        <v>*** Mnemonic not found ***</v>
      </c>
      <c r="F207" t="str">
        <f t="shared" si="84"/>
        <v>SUCMCGSFD_LESS1__</v>
      </c>
      <c r="H207" s="9" t="s">
        <v>1137</v>
      </c>
      <c r="K207" s="9">
        <f>K202</f>
        <v>107</v>
      </c>
      <c r="L207" s="9" t="s">
        <v>1374</v>
      </c>
      <c r="M207" s="9" t="str">
        <f t="shared" ref="M207:M270" si="89">CONCATENATE(H207,"!",L207,K207)</f>
        <v>Input!M107</v>
      </c>
      <c r="N207" s="9">
        <f>_xlfn.XLOOKUP(F207,'Raw Data'!$I$4:$I$5000,'Raw Data'!$E$4:$E$5000,100,0)</f>
        <v>100</v>
      </c>
      <c r="O207" s="9" t="str">
        <f>IF(N207=0,_xlfn.XLOOKUP(F207,'Raw Data'!$I$4:$I$5000,'Raw Data'!$H$4:$H$5000,"",0),"")</f>
        <v/>
      </c>
      <c r="P207" s="9" t="str" cm="1">
        <f t="array" aca="1" ref="P207" ca="1">IF(INDIRECT(M207) = "","",INDIRECT(M207))</f>
        <v/>
      </c>
      <c r="Q207" s="359" t="s">
        <v>4381</v>
      </c>
    </row>
    <row r="208" spans="1:17" x14ac:dyDescent="0.35">
      <c r="A208" t="s">
        <v>1369</v>
      </c>
      <c r="E208" t="str">
        <f>_xlfn.XLOOKUP(F208,'Raw Data'!$I$4:$I$5000,'Raw Data'!$D$4:$D$5000,"*** Mnemonic not found ***",0)</f>
        <v>*** Mnemonic not found ***</v>
      </c>
      <c r="F208" t="str">
        <f t="shared" si="84"/>
        <v>SUCMCGSFD_1TO5__</v>
      </c>
      <c r="H208" s="9" t="s">
        <v>1137</v>
      </c>
      <c r="K208" s="9">
        <f>K207+1</f>
        <v>108</v>
      </c>
      <c r="L208" s="9" t="str">
        <f t="shared" ref="L208:L210" si="90">L207</f>
        <v>M</v>
      </c>
      <c r="M208" s="9" t="str">
        <f t="shared" si="89"/>
        <v>Input!M108</v>
      </c>
      <c r="N208" s="9">
        <f>_xlfn.XLOOKUP(F208,'Raw Data'!$I$4:$I$5000,'Raw Data'!$E$4:$E$5000,100,0)</f>
        <v>100</v>
      </c>
      <c r="O208" s="9" t="str">
        <f>IF(N208=0,_xlfn.XLOOKUP(F208,'Raw Data'!$I$4:$I$5000,'Raw Data'!$H$4:$H$5000,"",0),"")</f>
        <v/>
      </c>
      <c r="P208" s="9" t="str" cm="1">
        <f t="array" aca="1" ref="P208" ca="1">IF(INDIRECT(M208) = "","",INDIRECT(M208))</f>
        <v/>
      </c>
      <c r="Q208" s="359" t="s">
        <v>4381</v>
      </c>
    </row>
    <row r="209" spans="1:17" x14ac:dyDescent="0.35">
      <c r="A209" t="s">
        <v>1370</v>
      </c>
      <c r="E209" t="str">
        <f>_xlfn.XLOOKUP(F209,'Raw Data'!$I$4:$I$5000,'Raw Data'!$D$4:$D$5000,"*** Mnemonic not found ***",0)</f>
        <v>*** Mnemonic not found ***</v>
      </c>
      <c r="F209" t="str">
        <f t="shared" si="84"/>
        <v>SUCMCGSFD_5TO10__</v>
      </c>
      <c r="H209" s="9" t="s">
        <v>1137</v>
      </c>
      <c r="K209" s="9">
        <f t="shared" ref="K209:K211" si="91">K208+1</f>
        <v>109</v>
      </c>
      <c r="L209" s="9" t="str">
        <f t="shared" si="90"/>
        <v>M</v>
      </c>
      <c r="M209" s="9" t="str">
        <f t="shared" si="89"/>
        <v>Input!M109</v>
      </c>
      <c r="N209" s="9">
        <f>_xlfn.XLOOKUP(F209,'Raw Data'!$I$4:$I$5000,'Raw Data'!$E$4:$E$5000,100,0)</f>
        <v>100</v>
      </c>
      <c r="O209" s="9" t="str">
        <f>IF(N209=0,_xlfn.XLOOKUP(F209,'Raw Data'!$I$4:$I$5000,'Raw Data'!$H$4:$H$5000,"",0),"")</f>
        <v/>
      </c>
      <c r="P209" s="9" t="str" cm="1">
        <f t="array" aca="1" ref="P209" ca="1">IF(INDIRECT(M209) = "","",INDIRECT(M209))</f>
        <v/>
      </c>
      <c r="Q209" s="359" t="s">
        <v>4381</v>
      </c>
    </row>
    <row r="210" spans="1:17" x14ac:dyDescent="0.35">
      <c r="A210" t="s">
        <v>1371</v>
      </c>
      <c r="E210" t="str">
        <f>_xlfn.XLOOKUP(F210,'Raw Data'!$I$4:$I$5000,'Raw Data'!$D$4:$D$5000,"*** Mnemonic not found ***",0)</f>
        <v>*** Mnemonic not found ***</v>
      </c>
      <c r="F210" t="str">
        <f t="shared" si="84"/>
        <v>SUCMCGSFD_10TO20__</v>
      </c>
      <c r="H210" s="9" t="s">
        <v>1137</v>
      </c>
      <c r="K210" s="9">
        <f t="shared" si="91"/>
        <v>110</v>
      </c>
      <c r="L210" s="9" t="str">
        <f t="shared" si="90"/>
        <v>M</v>
      </c>
      <c r="M210" s="9" t="str">
        <f t="shared" si="89"/>
        <v>Input!M110</v>
      </c>
      <c r="N210" s="9">
        <f>_xlfn.XLOOKUP(F210,'Raw Data'!$I$4:$I$5000,'Raw Data'!$E$4:$E$5000,100,0)</f>
        <v>100</v>
      </c>
      <c r="O210" s="9" t="str">
        <f>IF(N210=0,_xlfn.XLOOKUP(F210,'Raw Data'!$I$4:$I$5000,'Raw Data'!$H$4:$H$5000,"",0),"")</f>
        <v/>
      </c>
      <c r="P210" s="9" t="str" cm="1">
        <f t="array" aca="1" ref="P210" ca="1">IF(INDIRECT(M210) = "","",INDIRECT(M210))</f>
        <v/>
      </c>
      <c r="Q210" s="359" t="s">
        <v>4381</v>
      </c>
    </row>
    <row r="211" spans="1:17" x14ac:dyDescent="0.35">
      <c r="A211" t="s">
        <v>1372</v>
      </c>
      <c r="E211" t="str">
        <f>_xlfn.XLOOKUP(F211,'Raw Data'!$I$4:$I$5000,'Raw Data'!$D$4:$D$5000,"*** Mnemonic not found ***",0)</f>
        <v>*** Mnemonic not found ***</v>
      </c>
      <c r="F211" t="str">
        <f t="shared" si="84"/>
        <v>SUCMCGSFD_GRTR20__</v>
      </c>
      <c r="H211" s="9" t="s">
        <v>1137</v>
      </c>
      <c r="K211" s="9">
        <f t="shared" si="91"/>
        <v>111</v>
      </c>
      <c r="L211" s="9" t="str">
        <f>L210</f>
        <v>M</v>
      </c>
      <c r="M211" s="9" t="str">
        <f t="shared" si="89"/>
        <v>Input!M111</v>
      </c>
      <c r="N211" s="9">
        <f>_xlfn.XLOOKUP(F211,'Raw Data'!$I$4:$I$5000,'Raw Data'!$E$4:$E$5000,100,0)</f>
        <v>100</v>
      </c>
      <c r="O211" s="9" t="str">
        <f>IF(N211=0,_xlfn.XLOOKUP(F211,'Raw Data'!$I$4:$I$5000,'Raw Data'!$H$4:$H$5000,"",0),"")</f>
        <v/>
      </c>
      <c r="P211" s="9" t="str" cm="1">
        <f t="array" aca="1" ref="P211" ca="1">IF(INDIRECT(M211) = "","",INDIRECT(M211))</f>
        <v/>
      </c>
      <c r="Q211" s="359" t="s">
        <v>4381</v>
      </c>
    </row>
    <row r="212" spans="1:17" x14ac:dyDescent="0.35">
      <c r="A212" t="s">
        <v>1373</v>
      </c>
      <c r="E212" t="str">
        <f>_xlfn.XLOOKUP(F212,'Raw Data'!$I$4:$I$5000,'Raw Data'!$D$4:$D$5000,"*** Mnemonic not found ***",0)</f>
        <v>*** Mnemonic not found ***</v>
      </c>
      <c r="F212" t="str">
        <f t="shared" si="84"/>
        <v>SUCMTOTRATEDBNDS__</v>
      </c>
      <c r="H212" s="9" t="s">
        <v>1137</v>
      </c>
      <c r="K212" s="9">
        <f>K211+4</f>
        <v>115</v>
      </c>
      <c r="L212" s="9" t="s">
        <v>1124</v>
      </c>
      <c r="M212" s="9" t="str">
        <f t="shared" si="89"/>
        <v>Input!F115</v>
      </c>
      <c r="N212" s="9">
        <f>_xlfn.XLOOKUP(F212,'Raw Data'!$I$4:$I$5000,'Raw Data'!$E$4:$E$5000,100,0)</f>
        <v>100</v>
      </c>
      <c r="O212" s="9" t="str">
        <f>IF(N212=0,_xlfn.XLOOKUP(F212,'Raw Data'!$I$4:$I$5000,'Raw Data'!$H$4:$H$5000,"",0),"")</f>
        <v/>
      </c>
      <c r="P212" s="9" t="str" cm="1">
        <f t="array" aca="1" ref="P212" ca="1">IF(INDIRECT(M212) = "","",INDIRECT(M212))</f>
        <v/>
      </c>
      <c r="Q212" s="359" t="s">
        <v>4381</v>
      </c>
    </row>
    <row r="213" spans="1:17" x14ac:dyDescent="0.35">
      <c r="A213" t="s">
        <v>2447</v>
      </c>
      <c r="E213" t="str">
        <f>_xlfn.XLOOKUP(F213,'Raw Data'!$I$4:$I$5000,'Raw Data'!$D$4:$D$5000,"*** Mnemonic not found ***",0)</f>
        <v>*** Mnemonic not found ***</v>
      </c>
      <c r="F213" t="str">
        <f t="shared" si="84"/>
        <v>SUCMALT1AAA_LESS1__</v>
      </c>
      <c r="G213" t="s">
        <v>4444</v>
      </c>
      <c r="H213" s="9" t="s">
        <v>1137</v>
      </c>
      <c r="I213" s="289">
        <f>ROW(section_bonds_sp_unrated_step_2_3)</f>
        <v>118</v>
      </c>
      <c r="J213" s="9">
        <v>5</v>
      </c>
      <c r="K213" s="9">
        <f>I213+J213</f>
        <v>123</v>
      </c>
      <c r="L213" s="9" t="s">
        <v>1124</v>
      </c>
      <c r="M213" s="9" t="str">
        <f t="shared" si="89"/>
        <v>Input!F123</v>
      </c>
      <c r="N213" s="9">
        <f>_xlfn.XLOOKUP(F213,'Raw Data'!$I$4:$I$5000,'Raw Data'!$E$4:$E$5000,100,0)</f>
        <v>100</v>
      </c>
      <c r="O213" s="9" t="str">
        <f>IF(N213=0,_xlfn.XLOOKUP(F213,'Raw Data'!$I$4:$I$5000,'Raw Data'!$H$4:$H$5000,"",0),"")</f>
        <v/>
      </c>
      <c r="P213" s="9" t="str" cm="1">
        <f t="array" aca="1" ref="P213" ca="1">IF(INDIRECT(M213) = "","",INDIRECT(M213))</f>
        <v/>
      </c>
      <c r="Q213" s="359" t="s">
        <v>4381</v>
      </c>
    </row>
    <row r="214" spans="1:17" x14ac:dyDescent="0.35">
      <c r="A214" t="s">
        <v>2448</v>
      </c>
      <c r="E214" t="str">
        <f>_xlfn.XLOOKUP(F214,'Raw Data'!$I$4:$I$5000,'Raw Data'!$D$4:$D$5000,"*** Mnemonic not found ***",0)</f>
        <v>*** Mnemonic not found ***</v>
      </c>
      <c r="F214" t="str">
        <f t="shared" si="84"/>
        <v>SUCMALT1AAA_1TO5__</v>
      </c>
      <c r="H214" s="9" t="s">
        <v>1137</v>
      </c>
      <c r="K214" s="9">
        <f>K213+1</f>
        <v>124</v>
      </c>
      <c r="L214" s="9" t="str">
        <f t="shared" ref="L214:L217" si="92">L213</f>
        <v>F</v>
      </c>
      <c r="M214" s="9" t="str">
        <f t="shared" si="89"/>
        <v>Input!F124</v>
      </c>
      <c r="N214" s="9">
        <f>_xlfn.XLOOKUP(F214,'Raw Data'!$I$4:$I$5000,'Raw Data'!$E$4:$E$5000,100,0)</f>
        <v>100</v>
      </c>
      <c r="O214" s="9" t="str">
        <f>IF(N214=0,_xlfn.XLOOKUP(F214,'Raw Data'!$I$4:$I$5000,'Raw Data'!$H$4:$H$5000,"",0),"")</f>
        <v/>
      </c>
      <c r="P214" s="9" t="str" cm="1">
        <f t="array" aca="1" ref="P214" ca="1">IF(INDIRECT(M214) = "","",INDIRECT(M214))</f>
        <v/>
      </c>
      <c r="Q214" s="359" t="s">
        <v>4381</v>
      </c>
    </row>
    <row r="215" spans="1:17" x14ac:dyDescent="0.35">
      <c r="A215" t="s">
        <v>2449</v>
      </c>
      <c r="E215" t="str">
        <f>_xlfn.XLOOKUP(F215,'Raw Data'!$I$4:$I$5000,'Raw Data'!$D$4:$D$5000,"*** Mnemonic not found ***",0)</f>
        <v>*** Mnemonic not found ***</v>
      </c>
      <c r="F215" t="str">
        <f t="shared" si="84"/>
        <v>SUCMALT1AAA_5TO10__</v>
      </c>
      <c r="H215" s="9" t="s">
        <v>1137</v>
      </c>
      <c r="K215" s="9">
        <f t="shared" ref="K215:K217" si="93">K214+1</f>
        <v>125</v>
      </c>
      <c r="L215" s="9" t="str">
        <f t="shared" si="92"/>
        <v>F</v>
      </c>
      <c r="M215" s="9" t="str">
        <f t="shared" si="89"/>
        <v>Input!F125</v>
      </c>
      <c r="N215" s="9">
        <f>_xlfn.XLOOKUP(F215,'Raw Data'!$I$4:$I$5000,'Raw Data'!$E$4:$E$5000,100,0)</f>
        <v>100</v>
      </c>
      <c r="O215" s="9" t="str">
        <f>IF(N215=0,_xlfn.XLOOKUP(F215,'Raw Data'!$I$4:$I$5000,'Raw Data'!$H$4:$H$5000,"",0),"")</f>
        <v/>
      </c>
      <c r="P215" s="9" t="str" cm="1">
        <f t="array" aca="1" ref="P215" ca="1">IF(INDIRECT(M215) = "","",INDIRECT(M215))</f>
        <v/>
      </c>
      <c r="Q215" s="359" t="s">
        <v>4381</v>
      </c>
    </row>
    <row r="216" spans="1:17" x14ac:dyDescent="0.35">
      <c r="A216" t="s">
        <v>2450</v>
      </c>
      <c r="E216" t="str">
        <f>_xlfn.XLOOKUP(F216,'Raw Data'!$I$4:$I$5000,'Raw Data'!$D$4:$D$5000,"*** Mnemonic not found ***",0)</f>
        <v>*** Mnemonic not found ***</v>
      </c>
      <c r="F216" t="str">
        <f t="shared" si="84"/>
        <v>SUCMALT1AAA_10TO20__</v>
      </c>
      <c r="H216" s="9" t="s">
        <v>1137</v>
      </c>
      <c r="K216" s="9">
        <f t="shared" si="93"/>
        <v>126</v>
      </c>
      <c r="L216" s="9" t="str">
        <f t="shared" si="92"/>
        <v>F</v>
      </c>
      <c r="M216" s="9" t="str">
        <f t="shared" si="89"/>
        <v>Input!F126</v>
      </c>
      <c r="N216" s="9">
        <f>_xlfn.XLOOKUP(F216,'Raw Data'!$I$4:$I$5000,'Raw Data'!$E$4:$E$5000,100,0)</f>
        <v>100</v>
      </c>
      <c r="O216" s="9" t="str">
        <f>IF(N216=0,_xlfn.XLOOKUP(F216,'Raw Data'!$I$4:$I$5000,'Raw Data'!$H$4:$H$5000,"",0),"")</f>
        <v/>
      </c>
      <c r="P216" s="9" t="str" cm="1">
        <f t="array" aca="1" ref="P216" ca="1">IF(INDIRECT(M216) = "","",INDIRECT(M216))</f>
        <v/>
      </c>
      <c r="Q216" s="359" t="s">
        <v>4381</v>
      </c>
    </row>
    <row r="217" spans="1:17" x14ac:dyDescent="0.35">
      <c r="A217" t="s">
        <v>2451</v>
      </c>
      <c r="E217" t="str">
        <f>_xlfn.XLOOKUP(F217,'Raw Data'!$I$4:$I$5000,'Raw Data'!$D$4:$D$5000,"*** Mnemonic not found ***",0)</f>
        <v>*** Mnemonic not found ***</v>
      </c>
      <c r="F217" t="str">
        <f t="shared" si="84"/>
        <v>SUCMALT1AAA_GRTR20__</v>
      </c>
      <c r="H217" s="9" t="s">
        <v>1137</v>
      </c>
      <c r="K217" s="9">
        <f t="shared" si="93"/>
        <v>127</v>
      </c>
      <c r="L217" s="9" t="str">
        <f t="shared" si="92"/>
        <v>F</v>
      </c>
      <c r="M217" s="9" t="str">
        <f t="shared" si="89"/>
        <v>Input!F127</v>
      </c>
      <c r="N217" s="9">
        <f>_xlfn.XLOOKUP(F217,'Raw Data'!$I$4:$I$5000,'Raw Data'!$E$4:$E$5000,100,0)</f>
        <v>100</v>
      </c>
      <c r="O217" s="9" t="str">
        <f>IF(N217=0,_xlfn.XLOOKUP(F217,'Raw Data'!$I$4:$I$5000,'Raw Data'!$H$4:$H$5000,"",0),"")</f>
        <v/>
      </c>
      <c r="P217" s="9" t="str" cm="1">
        <f t="array" aca="1" ref="P217" ca="1">IF(INDIRECT(M217) = "","",INDIRECT(M217))</f>
        <v/>
      </c>
      <c r="Q217" s="359" t="s">
        <v>4381</v>
      </c>
    </row>
    <row r="218" spans="1:17" x14ac:dyDescent="0.35">
      <c r="A218" t="s">
        <v>2467</v>
      </c>
      <c r="E218" t="str">
        <f>_xlfn.XLOOKUP(F218,'Raw Data'!$I$4:$I$5000,'Raw Data'!$D$4:$D$5000,"*** Mnemonic not found ***",0)</f>
        <v>*** Mnemonic not found ***</v>
      </c>
      <c r="F218" t="str">
        <f t="shared" si="84"/>
        <v>SUCMALT1AA_LESS1__</v>
      </c>
      <c r="H218" s="9" t="s">
        <v>1137</v>
      </c>
      <c r="K218" s="9">
        <f>K213</f>
        <v>123</v>
      </c>
      <c r="L218" s="9" t="s">
        <v>1145</v>
      </c>
      <c r="M218" s="9" t="str">
        <f t="shared" si="89"/>
        <v>Input!G123</v>
      </c>
      <c r="N218" s="9">
        <f>_xlfn.XLOOKUP(F218,'Raw Data'!$I$4:$I$5000,'Raw Data'!$E$4:$E$5000,100,0)</f>
        <v>100</v>
      </c>
      <c r="O218" s="9" t="str">
        <f>IF(N218=0,_xlfn.XLOOKUP(F218,'Raw Data'!$I$4:$I$5000,'Raw Data'!$H$4:$H$5000,"",0),"")</f>
        <v/>
      </c>
      <c r="P218" s="9" t="str" cm="1">
        <f t="array" aca="1" ref="P218" ca="1">IF(INDIRECT(M218) = "","",INDIRECT(M218))</f>
        <v/>
      </c>
      <c r="Q218" s="359" t="s">
        <v>4381</v>
      </c>
    </row>
    <row r="219" spans="1:17" x14ac:dyDescent="0.35">
      <c r="A219" t="s">
        <v>2468</v>
      </c>
      <c r="E219" t="str">
        <f>_xlfn.XLOOKUP(F219,'Raw Data'!$I$4:$I$5000,'Raw Data'!$D$4:$D$5000,"*** Mnemonic not found ***",0)</f>
        <v>*** Mnemonic not found ***</v>
      </c>
      <c r="F219" t="str">
        <f t="shared" si="84"/>
        <v>SUCMALT1AA_1TO5__</v>
      </c>
      <c r="H219" s="9" t="s">
        <v>1137</v>
      </c>
      <c r="K219" s="9">
        <f>K218+1</f>
        <v>124</v>
      </c>
      <c r="L219" s="9" t="str">
        <f t="shared" ref="L219:L222" si="94">L218</f>
        <v>G</v>
      </c>
      <c r="M219" s="9" t="str">
        <f t="shared" si="89"/>
        <v>Input!G124</v>
      </c>
      <c r="N219" s="9">
        <f>_xlfn.XLOOKUP(F219,'Raw Data'!$I$4:$I$5000,'Raw Data'!$E$4:$E$5000,100,0)</f>
        <v>100</v>
      </c>
      <c r="O219" s="9" t="str">
        <f>IF(N219=0,_xlfn.XLOOKUP(F219,'Raw Data'!$I$4:$I$5000,'Raw Data'!$H$4:$H$5000,"",0),"")</f>
        <v/>
      </c>
      <c r="P219" s="9" t="str" cm="1">
        <f t="array" aca="1" ref="P219" ca="1">IF(INDIRECT(M219) = "","",INDIRECT(M219))</f>
        <v/>
      </c>
      <c r="Q219" s="359" t="s">
        <v>4381</v>
      </c>
    </row>
    <row r="220" spans="1:17" x14ac:dyDescent="0.35">
      <c r="A220" t="s">
        <v>2469</v>
      </c>
      <c r="E220" t="str">
        <f>_xlfn.XLOOKUP(F220,'Raw Data'!$I$4:$I$5000,'Raw Data'!$D$4:$D$5000,"*** Mnemonic not found ***",0)</f>
        <v>*** Mnemonic not found ***</v>
      </c>
      <c r="F220" t="str">
        <f t="shared" si="84"/>
        <v>SUCMALT1AA_5TO10__</v>
      </c>
      <c r="H220" s="9" t="s">
        <v>1137</v>
      </c>
      <c r="K220" s="9">
        <f t="shared" ref="K220:K222" si="95">K219+1</f>
        <v>125</v>
      </c>
      <c r="L220" s="9" t="str">
        <f t="shared" si="94"/>
        <v>G</v>
      </c>
      <c r="M220" s="9" t="str">
        <f t="shared" si="89"/>
        <v>Input!G125</v>
      </c>
      <c r="N220" s="9">
        <f>_xlfn.XLOOKUP(F220,'Raw Data'!$I$4:$I$5000,'Raw Data'!$E$4:$E$5000,100,0)</f>
        <v>100</v>
      </c>
      <c r="O220" s="9" t="str">
        <f>IF(N220=0,_xlfn.XLOOKUP(F220,'Raw Data'!$I$4:$I$5000,'Raw Data'!$H$4:$H$5000,"",0),"")</f>
        <v/>
      </c>
      <c r="P220" s="9" t="str" cm="1">
        <f t="array" aca="1" ref="P220" ca="1">IF(INDIRECT(M220) = "","",INDIRECT(M220))</f>
        <v/>
      </c>
      <c r="Q220" s="359" t="s">
        <v>4381</v>
      </c>
    </row>
    <row r="221" spans="1:17" x14ac:dyDescent="0.35">
      <c r="A221" t="s">
        <v>2470</v>
      </c>
      <c r="E221" t="str">
        <f>_xlfn.XLOOKUP(F221,'Raw Data'!$I$4:$I$5000,'Raw Data'!$D$4:$D$5000,"*** Mnemonic not found ***",0)</f>
        <v>*** Mnemonic not found ***</v>
      </c>
      <c r="F221" t="str">
        <f t="shared" si="84"/>
        <v>SUCMALT1AA_10TO20__</v>
      </c>
      <c r="H221" s="9" t="s">
        <v>1137</v>
      </c>
      <c r="K221" s="9">
        <f t="shared" si="95"/>
        <v>126</v>
      </c>
      <c r="L221" s="9" t="str">
        <f t="shared" si="94"/>
        <v>G</v>
      </c>
      <c r="M221" s="9" t="str">
        <f t="shared" si="89"/>
        <v>Input!G126</v>
      </c>
      <c r="N221" s="9">
        <f>_xlfn.XLOOKUP(F221,'Raw Data'!$I$4:$I$5000,'Raw Data'!$E$4:$E$5000,100,0)</f>
        <v>100</v>
      </c>
      <c r="O221" s="9" t="str">
        <f>IF(N221=0,_xlfn.XLOOKUP(F221,'Raw Data'!$I$4:$I$5000,'Raw Data'!$H$4:$H$5000,"",0),"")</f>
        <v/>
      </c>
      <c r="P221" s="9" t="str" cm="1">
        <f t="array" aca="1" ref="P221" ca="1">IF(INDIRECT(M221) = "","",INDIRECT(M221))</f>
        <v/>
      </c>
      <c r="Q221" s="359" t="s">
        <v>4381</v>
      </c>
    </row>
    <row r="222" spans="1:17" x14ac:dyDescent="0.35">
      <c r="A222" t="s">
        <v>2471</v>
      </c>
      <c r="E222" t="str">
        <f>_xlfn.XLOOKUP(F222,'Raw Data'!$I$4:$I$5000,'Raw Data'!$D$4:$D$5000,"*** Mnemonic not found ***",0)</f>
        <v>*** Mnemonic not found ***</v>
      </c>
      <c r="F222" t="str">
        <f t="shared" si="84"/>
        <v>SUCMALT1AA_GRTR20__</v>
      </c>
      <c r="H222" s="9" t="s">
        <v>1137</v>
      </c>
      <c r="K222" s="9">
        <f t="shared" si="95"/>
        <v>127</v>
      </c>
      <c r="L222" s="9" t="str">
        <f t="shared" si="94"/>
        <v>G</v>
      </c>
      <c r="M222" s="9" t="str">
        <f t="shared" si="89"/>
        <v>Input!G127</v>
      </c>
      <c r="N222" s="9">
        <f>_xlfn.XLOOKUP(F222,'Raw Data'!$I$4:$I$5000,'Raw Data'!$E$4:$E$5000,100,0)</f>
        <v>100</v>
      </c>
      <c r="O222" s="9" t="str">
        <f>IF(N222=0,_xlfn.XLOOKUP(F222,'Raw Data'!$I$4:$I$5000,'Raw Data'!$H$4:$H$5000,"",0),"")</f>
        <v/>
      </c>
      <c r="P222" s="9" t="str" cm="1">
        <f t="array" aca="1" ref="P222" ca="1">IF(INDIRECT(M222) = "","",INDIRECT(M222))</f>
        <v/>
      </c>
      <c r="Q222" s="359" t="s">
        <v>4381</v>
      </c>
    </row>
    <row r="223" spans="1:17" x14ac:dyDescent="0.35">
      <c r="A223" t="s">
        <v>2487</v>
      </c>
      <c r="E223" t="str">
        <f>_xlfn.XLOOKUP(F223,'Raw Data'!$I$4:$I$5000,'Raw Data'!$D$4:$D$5000,"*** Mnemonic not found ***",0)</f>
        <v>*** Mnemonic not found ***</v>
      </c>
      <c r="F223" t="str">
        <f t="shared" si="84"/>
        <v>SUCMALT1A_LESS1__</v>
      </c>
      <c r="H223" s="9" t="s">
        <v>1137</v>
      </c>
      <c r="K223" s="9">
        <f>K218</f>
        <v>123</v>
      </c>
      <c r="L223" s="9" t="s">
        <v>1144</v>
      </c>
      <c r="M223" s="9" t="str">
        <f t="shared" si="89"/>
        <v>Input!H123</v>
      </c>
      <c r="N223" s="9">
        <f>_xlfn.XLOOKUP(F223,'Raw Data'!$I$4:$I$5000,'Raw Data'!$E$4:$E$5000,100,0)</f>
        <v>100</v>
      </c>
      <c r="O223" s="9" t="str">
        <f>IF(N223=0,_xlfn.XLOOKUP(F223,'Raw Data'!$I$4:$I$5000,'Raw Data'!$H$4:$H$5000,"",0),"")</f>
        <v/>
      </c>
      <c r="P223" s="9" t="str" cm="1">
        <f t="array" aca="1" ref="P223" ca="1">IF(INDIRECT(M223) = "","",INDIRECT(M223))</f>
        <v/>
      </c>
      <c r="Q223" s="359" t="s">
        <v>4381</v>
      </c>
    </row>
    <row r="224" spans="1:17" x14ac:dyDescent="0.35">
      <c r="A224" t="s">
        <v>2488</v>
      </c>
      <c r="E224" t="str">
        <f>_xlfn.XLOOKUP(F224,'Raw Data'!$I$4:$I$5000,'Raw Data'!$D$4:$D$5000,"*** Mnemonic not found ***",0)</f>
        <v>*** Mnemonic not found ***</v>
      </c>
      <c r="F224" t="str">
        <f t="shared" si="84"/>
        <v>SUCMALT1A_1TO5__</v>
      </c>
      <c r="H224" s="9" t="s">
        <v>1137</v>
      </c>
      <c r="K224" s="9">
        <f>K223+1</f>
        <v>124</v>
      </c>
      <c r="L224" s="9" t="str">
        <f t="shared" ref="L224:L227" si="96">L223</f>
        <v>H</v>
      </c>
      <c r="M224" s="9" t="str">
        <f t="shared" si="89"/>
        <v>Input!H124</v>
      </c>
      <c r="N224" s="9">
        <f>_xlfn.XLOOKUP(F224,'Raw Data'!$I$4:$I$5000,'Raw Data'!$E$4:$E$5000,100,0)</f>
        <v>100</v>
      </c>
      <c r="O224" s="9" t="str">
        <f>IF(N224=0,_xlfn.XLOOKUP(F224,'Raw Data'!$I$4:$I$5000,'Raw Data'!$H$4:$H$5000,"",0),"")</f>
        <v/>
      </c>
      <c r="P224" s="9" t="str" cm="1">
        <f t="array" aca="1" ref="P224" ca="1">IF(INDIRECT(M224) = "","",INDIRECT(M224))</f>
        <v/>
      </c>
      <c r="Q224" s="359" t="s">
        <v>4381</v>
      </c>
    </row>
    <row r="225" spans="1:17" x14ac:dyDescent="0.35">
      <c r="A225" t="s">
        <v>2489</v>
      </c>
      <c r="E225" t="str">
        <f>_xlfn.XLOOKUP(F225,'Raw Data'!$I$4:$I$5000,'Raw Data'!$D$4:$D$5000,"*** Mnemonic not found ***",0)</f>
        <v>*** Mnemonic not found ***</v>
      </c>
      <c r="F225" t="str">
        <f t="shared" si="84"/>
        <v>SUCMALT1A_5TO10__</v>
      </c>
      <c r="H225" s="9" t="s">
        <v>1137</v>
      </c>
      <c r="K225" s="9">
        <f t="shared" ref="K225:K227" si="97">K224+1</f>
        <v>125</v>
      </c>
      <c r="L225" s="9" t="str">
        <f t="shared" si="96"/>
        <v>H</v>
      </c>
      <c r="M225" s="9" t="str">
        <f t="shared" si="89"/>
        <v>Input!H125</v>
      </c>
      <c r="N225" s="9">
        <f>_xlfn.XLOOKUP(F225,'Raw Data'!$I$4:$I$5000,'Raw Data'!$E$4:$E$5000,100,0)</f>
        <v>100</v>
      </c>
      <c r="O225" s="9" t="str">
        <f>IF(N225=0,_xlfn.XLOOKUP(F225,'Raw Data'!$I$4:$I$5000,'Raw Data'!$H$4:$H$5000,"",0),"")</f>
        <v/>
      </c>
      <c r="P225" s="9" t="str" cm="1">
        <f t="array" aca="1" ref="P225" ca="1">IF(INDIRECT(M225) = "","",INDIRECT(M225))</f>
        <v/>
      </c>
      <c r="Q225" s="359" t="s">
        <v>4381</v>
      </c>
    </row>
    <row r="226" spans="1:17" x14ac:dyDescent="0.35">
      <c r="A226" t="s">
        <v>2490</v>
      </c>
      <c r="E226" t="str">
        <f>_xlfn.XLOOKUP(F226,'Raw Data'!$I$4:$I$5000,'Raw Data'!$D$4:$D$5000,"*** Mnemonic not found ***",0)</f>
        <v>*** Mnemonic not found ***</v>
      </c>
      <c r="F226" t="str">
        <f t="shared" si="84"/>
        <v>SUCMALT1A_10TO20__</v>
      </c>
      <c r="H226" s="9" t="s">
        <v>1137</v>
      </c>
      <c r="K226" s="9">
        <f t="shared" si="97"/>
        <v>126</v>
      </c>
      <c r="L226" s="9" t="str">
        <f t="shared" si="96"/>
        <v>H</v>
      </c>
      <c r="M226" s="9" t="str">
        <f t="shared" si="89"/>
        <v>Input!H126</v>
      </c>
      <c r="N226" s="9">
        <f>_xlfn.XLOOKUP(F226,'Raw Data'!$I$4:$I$5000,'Raw Data'!$E$4:$E$5000,100,0)</f>
        <v>100</v>
      </c>
      <c r="O226" s="9" t="str">
        <f>IF(N226=0,_xlfn.XLOOKUP(F226,'Raw Data'!$I$4:$I$5000,'Raw Data'!$H$4:$H$5000,"",0),"")</f>
        <v/>
      </c>
      <c r="P226" s="9" t="str" cm="1">
        <f t="array" aca="1" ref="P226" ca="1">IF(INDIRECT(M226) = "","",INDIRECT(M226))</f>
        <v/>
      </c>
      <c r="Q226" s="359" t="s">
        <v>4381</v>
      </c>
    </row>
    <row r="227" spans="1:17" x14ac:dyDescent="0.35">
      <c r="A227" t="s">
        <v>2491</v>
      </c>
      <c r="E227" t="str">
        <f>_xlfn.XLOOKUP(F227,'Raw Data'!$I$4:$I$5000,'Raw Data'!$D$4:$D$5000,"*** Mnemonic not found ***",0)</f>
        <v>*** Mnemonic not found ***</v>
      </c>
      <c r="F227" t="str">
        <f t="shared" si="84"/>
        <v>SUCMALT1A_GRTR20__</v>
      </c>
      <c r="H227" s="9" t="s">
        <v>1137</v>
      </c>
      <c r="K227" s="9">
        <f t="shared" si="97"/>
        <v>127</v>
      </c>
      <c r="L227" s="9" t="str">
        <f t="shared" si="96"/>
        <v>H</v>
      </c>
      <c r="M227" s="9" t="str">
        <f t="shared" si="89"/>
        <v>Input!H127</v>
      </c>
      <c r="N227" s="9">
        <f>_xlfn.XLOOKUP(F227,'Raw Data'!$I$4:$I$5000,'Raw Data'!$E$4:$E$5000,100,0)</f>
        <v>100</v>
      </c>
      <c r="O227" s="9" t="str">
        <f>IF(N227=0,_xlfn.XLOOKUP(F227,'Raw Data'!$I$4:$I$5000,'Raw Data'!$H$4:$H$5000,"",0),"")</f>
        <v/>
      </c>
      <c r="P227" s="9" t="str" cm="1">
        <f t="array" aca="1" ref="P227" ca="1">IF(INDIRECT(M227) = "","",INDIRECT(M227))</f>
        <v/>
      </c>
      <c r="Q227" s="359" t="s">
        <v>4381</v>
      </c>
    </row>
    <row r="228" spans="1:17" x14ac:dyDescent="0.35">
      <c r="A228" t="s">
        <v>2507</v>
      </c>
      <c r="E228" t="str">
        <f>_xlfn.XLOOKUP(F228,'Raw Data'!$I$4:$I$5000,'Raw Data'!$D$4:$D$5000,"*** Mnemonic not found ***",0)</f>
        <v>*** Mnemonic not found ***</v>
      </c>
      <c r="F228" t="str">
        <f t="shared" si="84"/>
        <v>SUCMALT1BBB_LESS1__</v>
      </c>
      <c r="H228" s="9" t="s">
        <v>1137</v>
      </c>
      <c r="K228" s="9">
        <f>K223</f>
        <v>123</v>
      </c>
      <c r="L228" s="9" t="s">
        <v>1375</v>
      </c>
      <c r="M228" s="9" t="str">
        <f t="shared" si="89"/>
        <v>Input!I123</v>
      </c>
      <c r="N228" s="9">
        <f>_xlfn.XLOOKUP(F228,'Raw Data'!$I$4:$I$5000,'Raw Data'!$E$4:$E$5000,100,0)</f>
        <v>100</v>
      </c>
      <c r="O228" s="9" t="str">
        <f>IF(N228=0,_xlfn.XLOOKUP(F228,'Raw Data'!$I$4:$I$5000,'Raw Data'!$H$4:$H$5000,"",0),"")</f>
        <v/>
      </c>
      <c r="P228" s="9" t="str" cm="1">
        <f t="array" aca="1" ref="P228" ca="1">IF(INDIRECT(M228) = "","",INDIRECT(M228))</f>
        <v/>
      </c>
      <c r="Q228" s="359" t="s">
        <v>4381</v>
      </c>
    </row>
    <row r="229" spans="1:17" x14ac:dyDescent="0.35">
      <c r="A229" t="s">
        <v>2508</v>
      </c>
      <c r="E229" t="str">
        <f>_xlfn.XLOOKUP(F229,'Raw Data'!$I$4:$I$5000,'Raw Data'!$D$4:$D$5000,"*** Mnemonic not found ***",0)</f>
        <v>*** Mnemonic not found ***</v>
      </c>
      <c r="F229" t="str">
        <f t="shared" si="84"/>
        <v>SUCMALT1BBB_1TO5__</v>
      </c>
      <c r="H229" s="9" t="s">
        <v>1137</v>
      </c>
      <c r="K229" s="9">
        <f>K228+1</f>
        <v>124</v>
      </c>
      <c r="L229" s="9" t="str">
        <f t="shared" ref="L229:L232" si="98">L228</f>
        <v>I</v>
      </c>
      <c r="M229" s="9" t="str">
        <f t="shared" si="89"/>
        <v>Input!I124</v>
      </c>
      <c r="N229" s="9">
        <f>_xlfn.XLOOKUP(F229,'Raw Data'!$I$4:$I$5000,'Raw Data'!$E$4:$E$5000,100,0)</f>
        <v>100</v>
      </c>
      <c r="O229" s="9" t="str">
        <f>IF(N229=0,_xlfn.XLOOKUP(F229,'Raw Data'!$I$4:$I$5000,'Raw Data'!$H$4:$H$5000,"",0),"")</f>
        <v/>
      </c>
      <c r="P229" s="9" t="str" cm="1">
        <f t="array" aca="1" ref="P229" ca="1">IF(INDIRECT(M229) = "","",INDIRECT(M229))</f>
        <v/>
      </c>
      <c r="Q229" s="359" t="s">
        <v>4381</v>
      </c>
    </row>
    <row r="230" spans="1:17" x14ac:dyDescent="0.35">
      <c r="A230" t="s">
        <v>2509</v>
      </c>
      <c r="E230" t="str">
        <f>_xlfn.XLOOKUP(F230,'Raw Data'!$I$4:$I$5000,'Raw Data'!$D$4:$D$5000,"*** Mnemonic not found ***",0)</f>
        <v>*** Mnemonic not found ***</v>
      </c>
      <c r="F230" t="str">
        <f t="shared" si="84"/>
        <v>SUCMALT1BBB_5TO10__</v>
      </c>
      <c r="H230" s="9" t="s">
        <v>1137</v>
      </c>
      <c r="K230" s="9">
        <f t="shared" ref="K230:K232" si="99">K229+1</f>
        <v>125</v>
      </c>
      <c r="L230" s="9" t="str">
        <f t="shared" si="98"/>
        <v>I</v>
      </c>
      <c r="M230" s="9" t="str">
        <f t="shared" si="89"/>
        <v>Input!I125</v>
      </c>
      <c r="N230" s="9">
        <f>_xlfn.XLOOKUP(F230,'Raw Data'!$I$4:$I$5000,'Raw Data'!$E$4:$E$5000,100,0)</f>
        <v>100</v>
      </c>
      <c r="O230" s="9" t="str">
        <f>IF(N230=0,_xlfn.XLOOKUP(F230,'Raw Data'!$I$4:$I$5000,'Raw Data'!$H$4:$H$5000,"",0),"")</f>
        <v/>
      </c>
      <c r="P230" s="9" t="str" cm="1">
        <f t="array" aca="1" ref="P230" ca="1">IF(INDIRECT(M230) = "","",INDIRECT(M230))</f>
        <v/>
      </c>
      <c r="Q230" s="359" t="s">
        <v>4381</v>
      </c>
    </row>
    <row r="231" spans="1:17" x14ac:dyDescent="0.35">
      <c r="A231" t="s">
        <v>2510</v>
      </c>
      <c r="E231" t="str">
        <f>_xlfn.XLOOKUP(F231,'Raw Data'!$I$4:$I$5000,'Raw Data'!$D$4:$D$5000,"*** Mnemonic not found ***",0)</f>
        <v>*** Mnemonic not found ***</v>
      </c>
      <c r="F231" t="str">
        <f t="shared" si="84"/>
        <v>SUCMALT1BBB_10TO20__</v>
      </c>
      <c r="H231" s="9" t="s">
        <v>1137</v>
      </c>
      <c r="K231" s="9">
        <f t="shared" si="99"/>
        <v>126</v>
      </c>
      <c r="L231" s="9" t="str">
        <f t="shared" si="98"/>
        <v>I</v>
      </c>
      <c r="M231" s="9" t="str">
        <f t="shared" si="89"/>
        <v>Input!I126</v>
      </c>
      <c r="N231" s="9">
        <f>_xlfn.XLOOKUP(F231,'Raw Data'!$I$4:$I$5000,'Raw Data'!$E$4:$E$5000,100,0)</f>
        <v>100</v>
      </c>
      <c r="O231" s="9" t="str">
        <f>IF(N231=0,_xlfn.XLOOKUP(F231,'Raw Data'!$I$4:$I$5000,'Raw Data'!$H$4:$H$5000,"",0),"")</f>
        <v/>
      </c>
      <c r="P231" s="9" t="str" cm="1">
        <f t="array" aca="1" ref="P231" ca="1">IF(INDIRECT(M231) = "","",INDIRECT(M231))</f>
        <v/>
      </c>
      <c r="Q231" s="359" t="s">
        <v>4381</v>
      </c>
    </row>
    <row r="232" spans="1:17" x14ac:dyDescent="0.35">
      <c r="A232" t="s">
        <v>2511</v>
      </c>
      <c r="E232" t="str">
        <f>_xlfn.XLOOKUP(F232,'Raw Data'!$I$4:$I$5000,'Raw Data'!$D$4:$D$5000,"*** Mnemonic not found ***",0)</f>
        <v>*** Mnemonic not found ***</v>
      </c>
      <c r="F232" t="str">
        <f t="shared" si="84"/>
        <v>SUCMALT1BBB_GRTR20__</v>
      </c>
      <c r="H232" s="9" t="s">
        <v>1137</v>
      </c>
      <c r="K232" s="9">
        <f t="shared" si="99"/>
        <v>127</v>
      </c>
      <c r="L232" s="9" t="str">
        <f t="shared" si="98"/>
        <v>I</v>
      </c>
      <c r="M232" s="9" t="str">
        <f t="shared" si="89"/>
        <v>Input!I127</v>
      </c>
      <c r="N232" s="9">
        <f>_xlfn.XLOOKUP(F232,'Raw Data'!$I$4:$I$5000,'Raw Data'!$E$4:$E$5000,100,0)</f>
        <v>100</v>
      </c>
      <c r="O232" s="9" t="str">
        <f>IF(N232=0,_xlfn.XLOOKUP(F232,'Raw Data'!$I$4:$I$5000,'Raw Data'!$H$4:$H$5000,"",0),"")</f>
        <v/>
      </c>
      <c r="P232" s="9" t="str" cm="1">
        <f t="array" aca="1" ref="P232" ca="1">IF(INDIRECT(M232) = "","",INDIRECT(M232))</f>
        <v/>
      </c>
      <c r="Q232" s="359" t="s">
        <v>4381</v>
      </c>
    </row>
    <row r="233" spans="1:17" x14ac:dyDescent="0.35">
      <c r="A233" t="s">
        <v>2527</v>
      </c>
      <c r="E233" t="str">
        <f>_xlfn.XLOOKUP(F233,'Raw Data'!$I$4:$I$5000,'Raw Data'!$D$4:$D$5000,"*** Mnemonic not found ***",0)</f>
        <v>*** Mnemonic not found ***</v>
      </c>
      <c r="F233" t="str">
        <f t="shared" si="84"/>
        <v>SUCMALT1BB_LESS1__</v>
      </c>
      <c r="H233" s="9" t="s">
        <v>1137</v>
      </c>
      <c r="K233" s="9">
        <f>K228</f>
        <v>123</v>
      </c>
      <c r="L233" s="9" t="s">
        <v>1376</v>
      </c>
      <c r="M233" s="9" t="str">
        <f t="shared" si="89"/>
        <v>Input!J123</v>
      </c>
      <c r="N233" s="9">
        <f>_xlfn.XLOOKUP(F233,'Raw Data'!$I$4:$I$5000,'Raw Data'!$E$4:$E$5000,100,0)</f>
        <v>100</v>
      </c>
      <c r="O233" s="9" t="str">
        <f>IF(N233=0,_xlfn.XLOOKUP(F233,'Raw Data'!$I$4:$I$5000,'Raw Data'!$H$4:$H$5000,"",0),"")</f>
        <v/>
      </c>
      <c r="P233" s="9" t="str" cm="1">
        <f t="array" aca="1" ref="P233" ca="1">IF(INDIRECT(M233) = "","",INDIRECT(M233))</f>
        <v/>
      </c>
      <c r="Q233" s="359" t="s">
        <v>4381</v>
      </c>
    </row>
    <row r="234" spans="1:17" x14ac:dyDescent="0.35">
      <c r="A234" t="s">
        <v>2528</v>
      </c>
      <c r="E234" t="str">
        <f>_xlfn.XLOOKUP(F234,'Raw Data'!$I$4:$I$5000,'Raw Data'!$D$4:$D$5000,"*** Mnemonic not found ***",0)</f>
        <v>*** Mnemonic not found ***</v>
      </c>
      <c r="F234" t="str">
        <f t="shared" si="84"/>
        <v>SUCMALT1BB_1TO5__</v>
      </c>
      <c r="H234" s="9" t="s">
        <v>1137</v>
      </c>
      <c r="K234" s="9">
        <f>K233+1</f>
        <v>124</v>
      </c>
      <c r="L234" s="9" t="str">
        <f t="shared" ref="L234:L237" si="100">L233</f>
        <v>J</v>
      </c>
      <c r="M234" s="9" t="str">
        <f t="shared" si="89"/>
        <v>Input!J124</v>
      </c>
      <c r="N234" s="9">
        <f>_xlfn.XLOOKUP(F234,'Raw Data'!$I$4:$I$5000,'Raw Data'!$E$4:$E$5000,100,0)</f>
        <v>100</v>
      </c>
      <c r="O234" s="9" t="str">
        <f>IF(N234=0,_xlfn.XLOOKUP(F234,'Raw Data'!$I$4:$I$5000,'Raw Data'!$H$4:$H$5000,"",0),"")</f>
        <v/>
      </c>
      <c r="P234" s="9" t="str" cm="1">
        <f t="array" aca="1" ref="P234" ca="1">IF(INDIRECT(M234) = "","",INDIRECT(M234))</f>
        <v/>
      </c>
      <c r="Q234" s="359" t="s">
        <v>4381</v>
      </c>
    </row>
    <row r="235" spans="1:17" x14ac:dyDescent="0.35">
      <c r="A235" t="s">
        <v>2529</v>
      </c>
      <c r="E235" t="str">
        <f>_xlfn.XLOOKUP(F235,'Raw Data'!$I$4:$I$5000,'Raw Data'!$D$4:$D$5000,"*** Mnemonic not found ***",0)</f>
        <v>*** Mnemonic not found ***</v>
      </c>
      <c r="F235" t="str">
        <f t="shared" si="84"/>
        <v>SUCMALT1BB_5TO10__</v>
      </c>
      <c r="H235" s="9" t="s">
        <v>1137</v>
      </c>
      <c r="K235" s="9">
        <f t="shared" ref="K235:K237" si="101">K234+1</f>
        <v>125</v>
      </c>
      <c r="L235" s="9" t="str">
        <f t="shared" si="100"/>
        <v>J</v>
      </c>
      <c r="M235" s="9" t="str">
        <f t="shared" si="89"/>
        <v>Input!J125</v>
      </c>
      <c r="N235" s="9">
        <f>_xlfn.XLOOKUP(F235,'Raw Data'!$I$4:$I$5000,'Raw Data'!$E$4:$E$5000,100,0)</f>
        <v>100</v>
      </c>
      <c r="O235" s="9" t="str">
        <f>IF(N235=0,_xlfn.XLOOKUP(F235,'Raw Data'!$I$4:$I$5000,'Raw Data'!$H$4:$H$5000,"",0),"")</f>
        <v/>
      </c>
      <c r="P235" s="9" t="str" cm="1">
        <f t="array" aca="1" ref="P235" ca="1">IF(INDIRECT(M235) = "","",INDIRECT(M235))</f>
        <v/>
      </c>
      <c r="Q235" s="359" t="s">
        <v>4381</v>
      </c>
    </row>
    <row r="236" spans="1:17" x14ac:dyDescent="0.35">
      <c r="A236" t="s">
        <v>2530</v>
      </c>
      <c r="E236" t="str">
        <f>_xlfn.XLOOKUP(F236,'Raw Data'!$I$4:$I$5000,'Raw Data'!$D$4:$D$5000,"*** Mnemonic not found ***",0)</f>
        <v>*** Mnemonic not found ***</v>
      </c>
      <c r="F236" t="str">
        <f t="shared" si="84"/>
        <v>SUCMALT1BB_10TO20__</v>
      </c>
      <c r="H236" s="9" t="s">
        <v>1137</v>
      </c>
      <c r="K236" s="9">
        <f t="shared" si="101"/>
        <v>126</v>
      </c>
      <c r="L236" s="9" t="str">
        <f t="shared" si="100"/>
        <v>J</v>
      </c>
      <c r="M236" s="9" t="str">
        <f t="shared" si="89"/>
        <v>Input!J126</v>
      </c>
      <c r="N236" s="9">
        <f>_xlfn.XLOOKUP(F236,'Raw Data'!$I$4:$I$5000,'Raw Data'!$E$4:$E$5000,100,0)</f>
        <v>100</v>
      </c>
      <c r="O236" s="9" t="str">
        <f>IF(N236=0,_xlfn.XLOOKUP(F236,'Raw Data'!$I$4:$I$5000,'Raw Data'!$H$4:$H$5000,"",0),"")</f>
        <v/>
      </c>
      <c r="P236" s="9" t="str" cm="1">
        <f t="array" aca="1" ref="P236" ca="1">IF(INDIRECT(M236) = "","",INDIRECT(M236))</f>
        <v/>
      </c>
      <c r="Q236" s="359" t="s">
        <v>4381</v>
      </c>
    </row>
    <row r="237" spans="1:17" x14ac:dyDescent="0.35">
      <c r="A237" t="s">
        <v>2531</v>
      </c>
      <c r="E237" t="str">
        <f>_xlfn.XLOOKUP(F237,'Raw Data'!$I$4:$I$5000,'Raw Data'!$D$4:$D$5000,"*** Mnemonic not found ***",0)</f>
        <v>*** Mnemonic not found ***</v>
      </c>
      <c r="F237" t="str">
        <f t="shared" si="84"/>
        <v>SUCMALT1BB_GRTR20__</v>
      </c>
      <c r="H237" s="9" t="s">
        <v>1137</v>
      </c>
      <c r="K237" s="9">
        <f t="shared" si="101"/>
        <v>127</v>
      </c>
      <c r="L237" s="9" t="str">
        <f t="shared" si="100"/>
        <v>J</v>
      </c>
      <c r="M237" s="9" t="str">
        <f t="shared" si="89"/>
        <v>Input!J127</v>
      </c>
      <c r="N237" s="9">
        <f>_xlfn.XLOOKUP(F237,'Raw Data'!$I$4:$I$5000,'Raw Data'!$E$4:$E$5000,100,0)</f>
        <v>100</v>
      </c>
      <c r="O237" s="9" t="str">
        <f>IF(N237=0,_xlfn.XLOOKUP(F237,'Raw Data'!$I$4:$I$5000,'Raw Data'!$H$4:$H$5000,"",0),"")</f>
        <v/>
      </c>
      <c r="P237" s="9" t="str" cm="1">
        <f t="array" aca="1" ref="P237" ca="1">IF(INDIRECT(M237) = "","",INDIRECT(M237))</f>
        <v/>
      </c>
      <c r="Q237" s="359" t="s">
        <v>4381</v>
      </c>
    </row>
    <row r="238" spans="1:17" x14ac:dyDescent="0.35">
      <c r="A238" t="s">
        <v>2547</v>
      </c>
      <c r="E238" t="str">
        <f>_xlfn.XLOOKUP(F238,'Raw Data'!$I$4:$I$5000,'Raw Data'!$D$4:$D$5000,"*** Mnemonic not found ***",0)</f>
        <v>*** Mnemonic not found ***</v>
      </c>
      <c r="F238" t="str">
        <f t="shared" si="84"/>
        <v>SUCMALT1B_LESS1__</v>
      </c>
      <c r="H238" s="9" t="s">
        <v>1137</v>
      </c>
      <c r="K238" s="9">
        <f>K233</f>
        <v>123</v>
      </c>
      <c r="L238" s="9" t="s">
        <v>1377</v>
      </c>
      <c r="M238" s="9" t="str">
        <f t="shared" si="89"/>
        <v>Input!K123</v>
      </c>
      <c r="N238" s="9">
        <f>_xlfn.XLOOKUP(F238,'Raw Data'!$I$4:$I$5000,'Raw Data'!$E$4:$E$5000,100,0)</f>
        <v>100</v>
      </c>
      <c r="O238" s="9" t="str">
        <f>IF(N238=0,_xlfn.XLOOKUP(F238,'Raw Data'!$I$4:$I$5000,'Raw Data'!$H$4:$H$5000,"",0),"")</f>
        <v/>
      </c>
      <c r="P238" s="9" t="str" cm="1">
        <f t="array" aca="1" ref="P238" ca="1">IF(INDIRECT(M238) = "","",INDIRECT(M238))</f>
        <v/>
      </c>
      <c r="Q238" s="359" t="s">
        <v>4381</v>
      </c>
    </row>
    <row r="239" spans="1:17" x14ac:dyDescent="0.35">
      <c r="A239" t="s">
        <v>2548</v>
      </c>
      <c r="E239" t="str">
        <f>_xlfn.XLOOKUP(F239,'Raw Data'!$I$4:$I$5000,'Raw Data'!$D$4:$D$5000,"*** Mnemonic not found ***",0)</f>
        <v>*** Mnemonic not found ***</v>
      </c>
      <c r="F239" t="str">
        <f t="shared" si="84"/>
        <v>SUCMALT1B_1TO5__</v>
      </c>
      <c r="H239" s="9" t="s">
        <v>1137</v>
      </c>
      <c r="K239" s="9">
        <f>K238+1</f>
        <v>124</v>
      </c>
      <c r="L239" s="9" t="str">
        <f t="shared" ref="L239:L242" si="102">L238</f>
        <v>K</v>
      </c>
      <c r="M239" s="9" t="str">
        <f t="shared" si="89"/>
        <v>Input!K124</v>
      </c>
      <c r="N239" s="9">
        <f>_xlfn.XLOOKUP(F239,'Raw Data'!$I$4:$I$5000,'Raw Data'!$E$4:$E$5000,100,0)</f>
        <v>100</v>
      </c>
      <c r="O239" s="9" t="str">
        <f>IF(N239=0,_xlfn.XLOOKUP(F239,'Raw Data'!$I$4:$I$5000,'Raw Data'!$H$4:$H$5000,"",0),"")</f>
        <v/>
      </c>
      <c r="P239" s="9" t="str" cm="1">
        <f t="array" aca="1" ref="P239" ca="1">IF(INDIRECT(M239) = "","",INDIRECT(M239))</f>
        <v/>
      </c>
      <c r="Q239" s="359" t="s">
        <v>4381</v>
      </c>
    </row>
    <row r="240" spans="1:17" x14ac:dyDescent="0.35">
      <c r="A240" t="s">
        <v>2549</v>
      </c>
      <c r="E240" t="str">
        <f>_xlfn.XLOOKUP(F240,'Raw Data'!$I$4:$I$5000,'Raw Data'!$D$4:$D$5000,"*** Mnemonic not found ***",0)</f>
        <v>*** Mnemonic not found ***</v>
      </c>
      <c r="F240" t="str">
        <f t="shared" si="84"/>
        <v>SUCMALT1B_5TO10__</v>
      </c>
      <c r="H240" s="9" t="s">
        <v>1137</v>
      </c>
      <c r="K240" s="9">
        <f t="shared" ref="K240:K242" si="103">K239+1</f>
        <v>125</v>
      </c>
      <c r="L240" s="9" t="str">
        <f t="shared" si="102"/>
        <v>K</v>
      </c>
      <c r="M240" s="9" t="str">
        <f t="shared" si="89"/>
        <v>Input!K125</v>
      </c>
      <c r="N240" s="9">
        <f>_xlfn.XLOOKUP(F240,'Raw Data'!$I$4:$I$5000,'Raw Data'!$E$4:$E$5000,100,0)</f>
        <v>100</v>
      </c>
      <c r="O240" s="9" t="str">
        <f>IF(N240=0,_xlfn.XLOOKUP(F240,'Raw Data'!$I$4:$I$5000,'Raw Data'!$H$4:$H$5000,"",0),"")</f>
        <v/>
      </c>
      <c r="P240" s="9" t="str" cm="1">
        <f t="array" aca="1" ref="P240" ca="1">IF(INDIRECT(M240) = "","",INDIRECT(M240))</f>
        <v/>
      </c>
      <c r="Q240" s="359" t="s">
        <v>4381</v>
      </c>
    </row>
    <row r="241" spans="1:17" x14ac:dyDescent="0.35">
      <c r="A241" t="s">
        <v>2550</v>
      </c>
      <c r="E241" t="str">
        <f>_xlfn.XLOOKUP(F241,'Raw Data'!$I$4:$I$5000,'Raw Data'!$D$4:$D$5000,"*** Mnemonic not found ***",0)</f>
        <v>*** Mnemonic not found ***</v>
      </c>
      <c r="F241" t="str">
        <f t="shared" si="84"/>
        <v>SUCMALT1B_10TO20__</v>
      </c>
      <c r="H241" s="9" t="s">
        <v>1137</v>
      </c>
      <c r="K241" s="9">
        <f t="shared" si="103"/>
        <v>126</v>
      </c>
      <c r="L241" s="9" t="str">
        <f t="shared" si="102"/>
        <v>K</v>
      </c>
      <c r="M241" s="9" t="str">
        <f t="shared" si="89"/>
        <v>Input!K126</v>
      </c>
      <c r="N241" s="9">
        <f>_xlfn.XLOOKUP(F241,'Raw Data'!$I$4:$I$5000,'Raw Data'!$E$4:$E$5000,100,0)</f>
        <v>100</v>
      </c>
      <c r="O241" s="9" t="str">
        <f>IF(N241=0,_xlfn.XLOOKUP(F241,'Raw Data'!$I$4:$I$5000,'Raw Data'!$H$4:$H$5000,"",0),"")</f>
        <v/>
      </c>
      <c r="P241" s="9" t="str" cm="1">
        <f t="array" aca="1" ref="P241" ca="1">IF(INDIRECT(M241) = "","",INDIRECT(M241))</f>
        <v/>
      </c>
      <c r="Q241" s="359" t="s">
        <v>4381</v>
      </c>
    </row>
    <row r="242" spans="1:17" x14ac:dyDescent="0.35">
      <c r="A242" t="s">
        <v>2551</v>
      </c>
      <c r="E242" t="str">
        <f>_xlfn.XLOOKUP(F242,'Raw Data'!$I$4:$I$5000,'Raw Data'!$D$4:$D$5000,"*** Mnemonic not found ***",0)</f>
        <v>*** Mnemonic not found ***</v>
      </c>
      <c r="F242" t="str">
        <f t="shared" si="84"/>
        <v>SUCMALT1B_GRTR20__</v>
      </c>
      <c r="H242" s="9" t="s">
        <v>1137</v>
      </c>
      <c r="K242" s="9">
        <f t="shared" si="103"/>
        <v>127</v>
      </c>
      <c r="L242" s="9" t="str">
        <f t="shared" si="102"/>
        <v>K</v>
      </c>
      <c r="M242" s="9" t="str">
        <f t="shared" si="89"/>
        <v>Input!K127</v>
      </c>
      <c r="N242" s="9">
        <f>_xlfn.XLOOKUP(F242,'Raw Data'!$I$4:$I$5000,'Raw Data'!$E$4:$E$5000,100,0)</f>
        <v>100</v>
      </c>
      <c r="O242" s="9" t="str">
        <f>IF(N242=0,_xlfn.XLOOKUP(F242,'Raw Data'!$I$4:$I$5000,'Raw Data'!$H$4:$H$5000,"",0),"")</f>
        <v/>
      </c>
      <c r="P242" s="9" t="str" cm="1">
        <f t="array" aca="1" ref="P242" ca="1">IF(INDIRECT(M242) = "","",INDIRECT(M242))</f>
        <v/>
      </c>
      <c r="Q242" s="359" t="s">
        <v>4381</v>
      </c>
    </row>
    <row r="243" spans="1:17" x14ac:dyDescent="0.35">
      <c r="A243" t="s">
        <v>2567</v>
      </c>
      <c r="E243" t="str">
        <f>_xlfn.XLOOKUP(F243,'Raw Data'!$I$4:$I$5000,'Raw Data'!$D$4:$D$5000,"*** Mnemonic not found ***",0)</f>
        <v>*** Mnemonic not found ***</v>
      </c>
      <c r="F243" t="str">
        <f t="shared" si="84"/>
        <v>SUCMALT1CCC_LESS1__</v>
      </c>
      <c r="H243" s="9" t="s">
        <v>1137</v>
      </c>
      <c r="K243" s="9">
        <f>K238</f>
        <v>123</v>
      </c>
      <c r="L243" s="9" t="s">
        <v>1378</v>
      </c>
      <c r="M243" s="9" t="str">
        <f t="shared" si="89"/>
        <v>Input!L123</v>
      </c>
      <c r="N243" s="9">
        <f>_xlfn.XLOOKUP(F243,'Raw Data'!$I$4:$I$5000,'Raw Data'!$E$4:$E$5000,100,0)</f>
        <v>100</v>
      </c>
      <c r="O243" s="9" t="str">
        <f>IF(N243=0,_xlfn.XLOOKUP(F243,'Raw Data'!$I$4:$I$5000,'Raw Data'!$H$4:$H$5000,"",0),"")</f>
        <v/>
      </c>
      <c r="P243" s="9" t="str" cm="1">
        <f t="array" aca="1" ref="P243" ca="1">IF(INDIRECT(M243) = "","",INDIRECT(M243))</f>
        <v/>
      </c>
      <c r="Q243" s="359" t="s">
        <v>4381</v>
      </c>
    </row>
    <row r="244" spans="1:17" x14ac:dyDescent="0.35">
      <c r="A244" t="s">
        <v>2568</v>
      </c>
      <c r="E244" t="str">
        <f>_xlfn.XLOOKUP(F244,'Raw Data'!$I$4:$I$5000,'Raw Data'!$D$4:$D$5000,"*** Mnemonic not found ***",0)</f>
        <v>*** Mnemonic not found ***</v>
      </c>
      <c r="F244" t="str">
        <f t="shared" si="84"/>
        <v>SUCMALT1CCC_1TO5__</v>
      </c>
      <c r="H244" s="9" t="s">
        <v>1137</v>
      </c>
      <c r="K244" s="9">
        <f>K243+1</f>
        <v>124</v>
      </c>
      <c r="L244" s="9" t="str">
        <f t="shared" ref="L244:L247" si="104">L243</f>
        <v>L</v>
      </c>
      <c r="M244" s="9" t="str">
        <f t="shared" si="89"/>
        <v>Input!L124</v>
      </c>
      <c r="N244" s="9">
        <f>_xlfn.XLOOKUP(F244,'Raw Data'!$I$4:$I$5000,'Raw Data'!$E$4:$E$5000,100,0)</f>
        <v>100</v>
      </c>
      <c r="O244" s="9" t="str">
        <f>IF(N244=0,_xlfn.XLOOKUP(F244,'Raw Data'!$I$4:$I$5000,'Raw Data'!$H$4:$H$5000,"",0),"")</f>
        <v/>
      </c>
      <c r="P244" s="9" t="str" cm="1">
        <f t="array" aca="1" ref="P244" ca="1">IF(INDIRECT(M244) = "","",INDIRECT(M244))</f>
        <v/>
      </c>
      <c r="Q244" s="359" t="s">
        <v>4381</v>
      </c>
    </row>
    <row r="245" spans="1:17" x14ac:dyDescent="0.35">
      <c r="A245" t="s">
        <v>2569</v>
      </c>
      <c r="E245" t="str">
        <f>_xlfn.XLOOKUP(F245,'Raw Data'!$I$4:$I$5000,'Raw Data'!$D$4:$D$5000,"*** Mnemonic not found ***",0)</f>
        <v>*** Mnemonic not found ***</v>
      </c>
      <c r="F245" t="str">
        <f t="shared" si="84"/>
        <v>SUCMALT1CCC_5TO10__</v>
      </c>
      <c r="H245" s="9" t="s">
        <v>1137</v>
      </c>
      <c r="K245" s="9">
        <f t="shared" ref="K245:K247" si="105">K244+1</f>
        <v>125</v>
      </c>
      <c r="L245" s="9" t="str">
        <f t="shared" si="104"/>
        <v>L</v>
      </c>
      <c r="M245" s="9" t="str">
        <f t="shared" si="89"/>
        <v>Input!L125</v>
      </c>
      <c r="N245" s="9">
        <f>_xlfn.XLOOKUP(F245,'Raw Data'!$I$4:$I$5000,'Raw Data'!$E$4:$E$5000,100,0)</f>
        <v>100</v>
      </c>
      <c r="O245" s="9" t="str">
        <f>IF(N245=0,_xlfn.XLOOKUP(F245,'Raw Data'!$I$4:$I$5000,'Raw Data'!$H$4:$H$5000,"",0),"")</f>
        <v/>
      </c>
      <c r="P245" s="9" t="str" cm="1">
        <f t="array" aca="1" ref="P245" ca="1">IF(INDIRECT(M245) = "","",INDIRECT(M245))</f>
        <v/>
      </c>
      <c r="Q245" s="359" t="s">
        <v>4381</v>
      </c>
    </row>
    <row r="246" spans="1:17" x14ac:dyDescent="0.35">
      <c r="A246" t="s">
        <v>2570</v>
      </c>
      <c r="E246" t="str">
        <f>_xlfn.XLOOKUP(F246,'Raw Data'!$I$4:$I$5000,'Raw Data'!$D$4:$D$5000,"*** Mnemonic not found ***",0)</f>
        <v>*** Mnemonic not found ***</v>
      </c>
      <c r="F246" t="str">
        <f t="shared" si="84"/>
        <v>SUCMALT1CCC_10TO20__</v>
      </c>
      <c r="H246" s="9" t="s">
        <v>1137</v>
      </c>
      <c r="K246" s="9">
        <f t="shared" si="105"/>
        <v>126</v>
      </c>
      <c r="L246" s="9" t="str">
        <f t="shared" si="104"/>
        <v>L</v>
      </c>
      <c r="M246" s="9" t="str">
        <f t="shared" si="89"/>
        <v>Input!L126</v>
      </c>
      <c r="N246" s="9">
        <f>_xlfn.XLOOKUP(F246,'Raw Data'!$I$4:$I$5000,'Raw Data'!$E$4:$E$5000,100,0)</f>
        <v>100</v>
      </c>
      <c r="O246" s="9" t="str">
        <f>IF(N246=0,_xlfn.XLOOKUP(F246,'Raw Data'!$I$4:$I$5000,'Raw Data'!$H$4:$H$5000,"",0),"")</f>
        <v/>
      </c>
      <c r="P246" s="9" t="str" cm="1">
        <f t="array" aca="1" ref="P246" ca="1">IF(INDIRECT(M246) = "","",INDIRECT(M246))</f>
        <v/>
      </c>
      <c r="Q246" s="359" t="s">
        <v>4381</v>
      </c>
    </row>
    <row r="247" spans="1:17" x14ac:dyDescent="0.35">
      <c r="A247" t="s">
        <v>2571</v>
      </c>
      <c r="E247" t="str">
        <f>_xlfn.XLOOKUP(F247,'Raw Data'!$I$4:$I$5000,'Raw Data'!$D$4:$D$5000,"*** Mnemonic not found ***",0)</f>
        <v>*** Mnemonic not found ***</v>
      </c>
      <c r="F247" t="str">
        <f t="shared" si="84"/>
        <v>SUCMALT1CCC_GRTR20__</v>
      </c>
      <c r="H247" s="9" t="s">
        <v>1137</v>
      </c>
      <c r="K247" s="9">
        <f t="shared" si="105"/>
        <v>127</v>
      </c>
      <c r="L247" s="9" t="str">
        <f t="shared" si="104"/>
        <v>L</v>
      </c>
      <c r="M247" s="9" t="str">
        <f t="shared" si="89"/>
        <v>Input!L127</v>
      </c>
      <c r="N247" s="9">
        <f>_xlfn.XLOOKUP(F247,'Raw Data'!$I$4:$I$5000,'Raw Data'!$E$4:$E$5000,100,0)</f>
        <v>100</v>
      </c>
      <c r="O247" s="9" t="str">
        <f>IF(N247=0,_xlfn.XLOOKUP(F247,'Raw Data'!$I$4:$I$5000,'Raw Data'!$H$4:$H$5000,"",0),"")</f>
        <v/>
      </c>
      <c r="P247" s="9" t="str" cm="1">
        <f t="array" aca="1" ref="P247" ca="1">IF(INDIRECT(M247) = "","",INDIRECT(M247))</f>
        <v/>
      </c>
      <c r="Q247" s="359" t="s">
        <v>4381</v>
      </c>
    </row>
    <row r="248" spans="1:17" x14ac:dyDescent="0.35">
      <c r="A248" t="s">
        <v>2452</v>
      </c>
      <c r="E248" t="str">
        <f>_xlfn.XLOOKUP(F248,'Raw Data'!$I$4:$I$5000,'Raw Data'!$D$4:$D$5000,"*** Mnemonic not found ***",0)</f>
        <v>*** Mnemonic not found ***</v>
      </c>
      <c r="F248" t="str">
        <f t="shared" si="84"/>
        <v>SUCMALT2AAA_LESS1__</v>
      </c>
      <c r="H248" s="9" t="s">
        <v>1137</v>
      </c>
      <c r="I248" s="289">
        <f>ROW(section_bonds_sp_unrated_step_2_3)</f>
        <v>118</v>
      </c>
      <c r="J248" s="9">
        <f>J213+8</f>
        <v>13</v>
      </c>
      <c r="K248" s="9">
        <f>I248+J248</f>
        <v>131</v>
      </c>
      <c r="L248" s="9" t="s">
        <v>1124</v>
      </c>
      <c r="M248" s="9" t="str">
        <f t="shared" si="89"/>
        <v>Input!F131</v>
      </c>
      <c r="N248" s="9">
        <f>_xlfn.XLOOKUP(F248,'Raw Data'!$I$4:$I$5000,'Raw Data'!$E$4:$E$5000,100,0)</f>
        <v>100</v>
      </c>
      <c r="O248" s="9" t="str">
        <f>IF(N248=0,_xlfn.XLOOKUP(F248,'Raw Data'!$I$4:$I$5000,'Raw Data'!$H$4:$H$5000,"",0),"")</f>
        <v/>
      </c>
      <c r="P248" s="9" t="str" cm="1">
        <f t="array" aca="1" ref="P248" ca="1">IF(INDIRECT(M248) = "","",INDIRECT(M248))</f>
        <v/>
      </c>
      <c r="Q248" s="359" t="s">
        <v>4381</v>
      </c>
    </row>
    <row r="249" spans="1:17" x14ac:dyDescent="0.35">
      <c r="A249" t="s">
        <v>2453</v>
      </c>
      <c r="E249" t="str">
        <f>_xlfn.XLOOKUP(F249,'Raw Data'!$I$4:$I$5000,'Raw Data'!$D$4:$D$5000,"*** Mnemonic not found ***",0)</f>
        <v>*** Mnemonic not found ***</v>
      </c>
      <c r="F249" t="str">
        <f t="shared" si="84"/>
        <v>SUCMALT2AAA_1TO5__</v>
      </c>
      <c r="H249" s="9" t="s">
        <v>1137</v>
      </c>
      <c r="K249" s="9">
        <f>K248+1</f>
        <v>132</v>
      </c>
      <c r="L249" s="9" t="str">
        <f t="shared" ref="L249:L252" si="106">L248</f>
        <v>F</v>
      </c>
      <c r="M249" s="9" t="str">
        <f t="shared" si="89"/>
        <v>Input!F132</v>
      </c>
      <c r="N249" s="9">
        <f>_xlfn.XLOOKUP(F249,'Raw Data'!$I$4:$I$5000,'Raw Data'!$E$4:$E$5000,100,0)</f>
        <v>100</v>
      </c>
      <c r="O249" s="9" t="str">
        <f>IF(N249=0,_xlfn.XLOOKUP(F249,'Raw Data'!$I$4:$I$5000,'Raw Data'!$H$4:$H$5000,"",0),"")</f>
        <v/>
      </c>
      <c r="P249" s="9" t="str" cm="1">
        <f t="array" aca="1" ref="P249" ca="1">IF(INDIRECT(M249) = "","",INDIRECT(M249))</f>
        <v/>
      </c>
      <c r="Q249" s="359" t="s">
        <v>4381</v>
      </c>
    </row>
    <row r="250" spans="1:17" x14ac:dyDescent="0.35">
      <c r="A250" t="s">
        <v>2454</v>
      </c>
      <c r="E250" t="str">
        <f>_xlfn.XLOOKUP(F250,'Raw Data'!$I$4:$I$5000,'Raw Data'!$D$4:$D$5000,"*** Mnemonic not found ***",0)</f>
        <v>*** Mnemonic not found ***</v>
      </c>
      <c r="F250" t="str">
        <f t="shared" si="84"/>
        <v>SUCMALT2AAA_5TO10__</v>
      </c>
      <c r="H250" s="9" t="s">
        <v>1137</v>
      </c>
      <c r="K250" s="9">
        <f t="shared" ref="K250:K252" si="107">K249+1</f>
        <v>133</v>
      </c>
      <c r="L250" s="9" t="str">
        <f t="shared" si="106"/>
        <v>F</v>
      </c>
      <c r="M250" s="9" t="str">
        <f t="shared" si="89"/>
        <v>Input!F133</v>
      </c>
      <c r="N250" s="9">
        <f>_xlfn.XLOOKUP(F250,'Raw Data'!$I$4:$I$5000,'Raw Data'!$E$4:$E$5000,100,0)</f>
        <v>100</v>
      </c>
      <c r="O250" s="9" t="str">
        <f>IF(N250=0,_xlfn.XLOOKUP(F250,'Raw Data'!$I$4:$I$5000,'Raw Data'!$H$4:$H$5000,"",0),"")</f>
        <v/>
      </c>
      <c r="P250" s="9" t="str" cm="1">
        <f t="array" aca="1" ref="P250" ca="1">IF(INDIRECT(M250) = "","",INDIRECT(M250))</f>
        <v/>
      </c>
      <c r="Q250" s="359" t="s">
        <v>4381</v>
      </c>
    </row>
    <row r="251" spans="1:17" x14ac:dyDescent="0.35">
      <c r="A251" t="s">
        <v>2455</v>
      </c>
      <c r="E251" t="str">
        <f>_xlfn.XLOOKUP(F251,'Raw Data'!$I$4:$I$5000,'Raw Data'!$D$4:$D$5000,"*** Mnemonic not found ***",0)</f>
        <v>*** Mnemonic not found ***</v>
      </c>
      <c r="F251" t="str">
        <f t="shared" si="84"/>
        <v>SUCMALT2AAA_10TO20__</v>
      </c>
      <c r="H251" s="9" t="s">
        <v>1137</v>
      </c>
      <c r="K251" s="9">
        <f t="shared" si="107"/>
        <v>134</v>
      </c>
      <c r="L251" s="9" t="str">
        <f t="shared" si="106"/>
        <v>F</v>
      </c>
      <c r="M251" s="9" t="str">
        <f t="shared" si="89"/>
        <v>Input!F134</v>
      </c>
      <c r="N251" s="9">
        <f>_xlfn.XLOOKUP(F251,'Raw Data'!$I$4:$I$5000,'Raw Data'!$E$4:$E$5000,100,0)</f>
        <v>100</v>
      </c>
      <c r="O251" s="9" t="str">
        <f>IF(N251=0,_xlfn.XLOOKUP(F251,'Raw Data'!$I$4:$I$5000,'Raw Data'!$H$4:$H$5000,"",0),"")</f>
        <v/>
      </c>
      <c r="P251" s="9" t="str" cm="1">
        <f t="array" aca="1" ref="P251" ca="1">IF(INDIRECT(M251) = "","",INDIRECT(M251))</f>
        <v/>
      </c>
      <c r="Q251" s="359" t="s">
        <v>4381</v>
      </c>
    </row>
    <row r="252" spans="1:17" x14ac:dyDescent="0.35">
      <c r="A252" t="s">
        <v>2456</v>
      </c>
      <c r="E252" t="str">
        <f>_xlfn.XLOOKUP(F252,'Raw Data'!$I$4:$I$5000,'Raw Data'!$D$4:$D$5000,"*** Mnemonic not found ***",0)</f>
        <v>*** Mnemonic not found ***</v>
      </c>
      <c r="F252" t="str">
        <f t="shared" si="84"/>
        <v>SUCMALT2AAA_GRTR20__</v>
      </c>
      <c r="H252" s="9" t="s">
        <v>1137</v>
      </c>
      <c r="K252" s="9">
        <f t="shared" si="107"/>
        <v>135</v>
      </c>
      <c r="L252" s="9" t="str">
        <f t="shared" si="106"/>
        <v>F</v>
      </c>
      <c r="M252" s="9" t="str">
        <f t="shared" si="89"/>
        <v>Input!F135</v>
      </c>
      <c r="N252" s="9">
        <f>_xlfn.XLOOKUP(F252,'Raw Data'!$I$4:$I$5000,'Raw Data'!$E$4:$E$5000,100,0)</f>
        <v>100</v>
      </c>
      <c r="O252" s="9" t="str">
        <f>IF(N252=0,_xlfn.XLOOKUP(F252,'Raw Data'!$I$4:$I$5000,'Raw Data'!$H$4:$H$5000,"",0),"")</f>
        <v/>
      </c>
      <c r="P252" s="9" t="str" cm="1">
        <f t="array" aca="1" ref="P252" ca="1">IF(INDIRECT(M252) = "","",INDIRECT(M252))</f>
        <v/>
      </c>
      <c r="Q252" s="359" t="s">
        <v>4381</v>
      </c>
    </row>
    <row r="253" spans="1:17" x14ac:dyDescent="0.35">
      <c r="A253" t="s">
        <v>2472</v>
      </c>
      <c r="E253" t="str">
        <f>_xlfn.XLOOKUP(F253,'Raw Data'!$I$4:$I$5000,'Raw Data'!$D$4:$D$5000,"*** Mnemonic not found ***",0)</f>
        <v>*** Mnemonic not found ***</v>
      </c>
      <c r="F253" t="str">
        <f t="shared" si="84"/>
        <v>SUCMALT2AA_LESS1__</v>
      </c>
      <c r="H253" s="9" t="s">
        <v>1137</v>
      </c>
      <c r="K253" s="9">
        <f>K248</f>
        <v>131</v>
      </c>
      <c r="L253" s="9" t="s">
        <v>1145</v>
      </c>
      <c r="M253" s="9" t="str">
        <f t="shared" si="89"/>
        <v>Input!G131</v>
      </c>
      <c r="N253" s="9">
        <f>_xlfn.XLOOKUP(F253,'Raw Data'!$I$4:$I$5000,'Raw Data'!$E$4:$E$5000,100,0)</f>
        <v>100</v>
      </c>
      <c r="O253" s="9" t="str">
        <f>IF(N253=0,_xlfn.XLOOKUP(F253,'Raw Data'!$I$4:$I$5000,'Raw Data'!$H$4:$H$5000,"",0),"")</f>
        <v/>
      </c>
      <c r="P253" s="9" t="str" cm="1">
        <f t="array" aca="1" ref="P253" ca="1">IF(INDIRECT(M253) = "","",INDIRECT(M253))</f>
        <v/>
      </c>
      <c r="Q253" s="359" t="s">
        <v>4381</v>
      </c>
    </row>
    <row r="254" spans="1:17" x14ac:dyDescent="0.35">
      <c r="A254" t="s">
        <v>2473</v>
      </c>
      <c r="E254" t="str">
        <f>_xlfn.XLOOKUP(F254,'Raw Data'!$I$4:$I$5000,'Raw Data'!$D$4:$D$5000,"*** Mnemonic not found ***",0)</f>
        <v>*** Mnemonic not found ***</v>
      </c>
      <c r="F254" t="str">
        <f t="shared" si="84"/>
        <v>SUCMALT2AA_1TO5__</v>
      </c>
      <c r="H254" s="9" t="s">
        <v>1137</v>
      </c>
      <c r="K254" s="9">
        <f>K253+1</f>
        <v>132</v>
      </c>
      <c r="L254" s="9" t="str">
        <f t="shared" ref="L254:L257" si="108">L253</f>
        <v>G</v>
      </c>
      <c r="M254" s="9" t="str">
        <f t="shared" si="89"/>
        <v>Input!G132</v>
      </c>
      <c r="N254" s="9">
        <f>_xlfn.XLOOKUP(F254,'Raw Data'!$I$4:$I$5000,'Raw Data'!$E$4:$E$5000,100,0)</f>
        <v>100</v>
      </c>
      <c r="O254" s="9" t="str">
        <f>IF(N254=0,_xlfn.XLOOKUP(F254,'Raw Data'!$I$4:$I$5000,'Raw Data'!$H$4:$H$5000,"",0),"")</f>
        <v/>
      </c>
      <c r="P254" s="9" t="str" cm="1">
        <f t="array" aca="1" ref="P254" ca="1">IF(INDIRECT(M254) = "","",INDIRECT(M254))</f>
        <v/>
      </c>
      <c r="Q254" s="359" t="s">
        <v>4381</v>
      </c>
    </row>
    <row r="255" spans="1:17" x14ac:dyDescent="0.35">
      <c r="A255" t="s">
        <v>2474</v>
      </c>
      <c r="E255" t="str">
        <f>_xlfn.XLOOKUP(F255,'Raw Data'!$I$4:$I$5000,'Raw Data'!$D$4:$D$5000,"*** Mnemonic not found ***",0)</f>
        <v>*** Mnemonic not found ***</v>
      </c>
      <c r="F255" t="str">
        <f t="shared" si="84"/>
        <v>SUCMALT2AA_5TO10__</v>
      </c>
      <c r="H255" s="9" t="s">
        <v>1137</v>
      </c>
      <c r="K255" s="9">
        <f t="shared" ref="K255:K257" si="109">K254+1</f>
        <v>133</v>
      </c>
      <c r="L255" s="9" t="str">
        <f t="shared" si="108"/>
        <v>G</v>
      </c>
      <c r="M255" s="9" t="str">
        <f t="shared" si="89"/>
        <v>Input!G133</v>
      </c>
      <c r="N255" s="9">
        <f>_xlfn.XLOOKUP(F255,'Raw Data'!$I$4:$I$5000,'Raw Data'!$E$4:$E$5000,100,0)</f>
        <v>100</v>
      </c>
      <c r="O255" s="9" t="str">
        <f>IF(N255=0,_xlfn.XLOOKUP(F255,'Raw Data'!$I$4:$I$5000,'Raw Data'!$H$4:$H$5000,"",0),"")</f>
        <v/>
      </c>
      <c r="P255" s="9" t="str" cm="1">
        <f t="array" aca="1" ref="P255" ca="1">IF(INDIRECT(M255) = "","",INDIRECT(M255))</f>
        <v/>
      </c>
      <c r="Q255" s="359" t="s">
        <v>4381</v>
      </c>
    </row>
    <row r="256" spans="1:17" x14ac:dyDescent="0.35">
      <c r="A256" t="s">
        <v>2475</v>
      </c>
      <c r="E256" t="str">
        <f>_xlfn.XLOOKUP(F256,'Raw Data'!$I$4:$I$5000,'Raw Data'!$D$4:$D$5000,"*** Mnemonic not found ***",0)</f>
        <v>*** Mnemonic not found ***</v>
      </c>
      <c r="F256" t="str">
        <f t="shared" si="84"/>
        <v>SUCMALT2AA_10TO20__</v>
      </c>
      <c r="H256" s="9" t="s">
        <v>1137</v>
      </c>
      <c r="K256" s="9">
        <f t="shared" si="109"/>
        <v>134</v>
      </c>
      <c r="L256" s="9" t="str">
        <f t="shared" si="108"/>
        <v>G</v>
      </c>
      <c r="M256" s="9" t="str">
        <f t="shared" si="89"/>
        <v>Input!G134</v>
      </c>
      <c r="N256" s="9">
        <f>_xlfn.XLOOKUP(F256,'Raw Data'!$I$4:$I$5000,'Raw Data'!$E$4:$E$5000,100,0)</f>
        <v>100</v>
      </c>
      <c r="O256" s="9" t="str">
        <f>IF(N256=0,_xlfn.XLOOKUP(F256,'Raw Data'!$I$4:$I$5000,'Raw Data'!$H$4:$H$5000,"",0),"")</f>
        <v/>
      </c>
      <c r="P256" s="9" t="str" cm="1">
        <f t="array" aca="1" ref="P256" ca="1">IF(INDIRECT(M256) = "","",INDIRECT(M256))</f>
        <v/>
      </c>
      <c r="Q256" s="359" t="s">
        <v>4381</v>
      </c>
    </row>
    <row r="257" spans="1:17" x14ac:dyDescent="0.35">
      <c r="A257" t="s">
        <v>2476</v>
      </c>
      <c r="E257" t="str">
        <f>_xlfn.XLOOKUP(F257,'Raw Data'!$I$4:$I$5000,'Raw Data'!$D$4:$D$5000,"*** Mnemonic not found ***",0)</f>
        <v>*** Mnemonic not found ***</v>
      </c>
      <c r="F257" t="str">
        <f t="shared" si="84"/>
        <v>SUCMALT2AA_GRTR20__</v>
      </c>
      <c r="H257" s="9" t="s">
        <v>1137</v>
      </c>
      <c r="K257" s="9">
        <f t="shared" si="109"/>
        <v>135</v>
      </c>
      <c r="L257" s="9" t="str">
        <f t="shared" si="108"/>
        <v>G</v>
      </c>
      <c r="M257" s="9" t="str">
        <f t="shared" si="89"/>
        <v>Input!G135</v>
      </c>
      <c r="N257" s="9">
        <f>_xlfn.XLOOKUP(F257,'Raw Data'!$I$4:$I$5000,'Raw Data'!$E$4:$E$5000,100,0)</f>
        <v>100</v>
      </c>
      <c r="O257" s="9" t="str">
        <f>IF(N257=0,_xlfn.XLOOKUP(F257,'Raw Data'!$I$4:$I$5000,'Raw Data'!$H$4:$H$5000,"",0),"")</f>
        <v/>
      </c>
      <c r="P257" s="9" t="str" cm="1">
        <f t="array" aca="1" ref="P257" ca="1">IF(INDIRECT(M257) = "","",INDIRECT(M257))</f>
        <v/>
      </c>
      <c r="Q257" s="359" t="s">
        <v>4381</v>
      </c>
    </row>
    <row r="258" spans="1:17" x14ac:dyDescent="0.35">
      <c r="A258" t="s">
        <v>2492</v>
      </c>
      <c r="E258" t="str">
        <f>_xlfn.XLOOKUP(F258,'Raw Data'!$I$4:$I$5000,'Raw Data'!$D$4:$D$5000,"*** Mnemonic not found ***",0)</f>
        <v>*** Mnemonic not found ***</v>
      </c>
      <c r="F258" t="str">
        <f t="shared" si="84"/>
        <v>SUCMALT2A_LESS1__</v>
      </c>
      <c r="H258" s="9" t="s">
        <v>1137</v>
      </c>
      <c r="K258" s="9">
        <f>K253</f>
        <v>131</v>
      </c>
      <c r="L258" s="9" t="s">
        <v>1144</v>
      </c>
      <c r="M258" s="9" t="str">
        <f t="shared" si="89"/>
        <v>Input!H131</v>
      </c>
      <c r="N258" s="9">
        <f>_xlfn.XLOOKUP(F258,'Raw Data'!$I$4:$I$5000,'Raw Data'!$E$4:$E$5000,100,0)</f>
        <v>100</v>
      </c>
      <c r="O258" s="9" t="str">
        <f>IF(N258=0,_xlfn.XLOOKUP(F258,'Raw Data'!$I$4:$I$5000,'Raw Data'!$H$4:$H$5000,"",0),"")</f>
        <v/>
      </c>
      <c r="P258" s="9" t="str" cm="1">
        <f t="array" aca="1" ref="P258" ca="1">IF(INDIRECT(M258) = "","",INDIRECT(M258))</f>
        <v/>
      </c>
      <c r="Q258" s="359" t="s">
        <v>4381</v>
      </c>
    </row>
    <row r="259" spans="1:17" x14ac:dyDescent="0.35">
      <c r="A259" t="s">
        <v>2493</v>
      </c>
      <c r="E259" t="str">
        <f>_xlfn.XLOOKUP(F259,'Raw Data'!$I$4:$I$5000,'Raw Data'!$D$4:$D$5000,"*** Mnemonic not found ***",0)</f>
        <v>*** Mnemonic not found ***</v>
      </c>
      <c r="F259" t="str">
        <f t="shared" si="84"/>
        <v>SUCMALT2A_1TO5__</v>
      </c>
      <c r="H259" s="9" t="s">
        <v>1137</v>
      </c>
      <c r="K259" s="9">
        <f>K258+1</f>
        <v>132</v>
      </c>
      <c r="L259" s="9" t="str">
        <f t="shared" ref="L259:L262" si="110">L258</f>
        <v>H</v>
      </c>
      <c r="M259" s="9" t="str">
        <f t="shared" si="89"/>
        <v>Input!H132</v>
      </c>
      <c r="N259" s="9">
        <f>_xlfn.XLOOKUP(F259,'Raw Data'!$I$4:$I$5000,'Raw Data'!$E$4:$E$5000,100,0)</f>
        <v>100</v>
      </c>
      <c r="O259" s="9" t="str">
        <f>IF(N259=0,_xlfn.XLOOKUP(F259,'Raw Data'!$I$4:$I$5000,'Raw Data'!$H$4:$H$5000,"",0),"")</f>
        <v/>
      </c>
      <c r="P259" s="9" t="str" cm="1">
        <f t="array" aca="1" ref="P259" ca="1">IF(INDIRECT(M259) = "","",INDIRECT(M259))</f>
        <v/>
      </c>
      <c r="Q259" s="359" t="s">
        <v>4381</v>
      </c>
    </row>
    <row r="260" spans="1:17" x14ac:dyDescent="0.35">
      <c r="A260" t="s">
        <v>2494</v>
      </c>
      <c r="E260" t="str">
        <f>_xlfn.XLOOKUP(F260,'Raw Data'!$I$4:$I$5000,'Raw Data'!$D$4:$D$5000,"*** Mnemonic not found ***",0)</f>
        <v>*** Mnemonic not found ***</v>
      </c>
      <c r="F260" t="str">
        <f t="shared" si="84"/>
        <v>SUCMALT2A_5TO10__</v>
      </c>
      <c r="H260" s="9" t="s">
        <v>1137</v>
      </c>
      <c r="K260" s="9">
        <f t="shared" ref="K260:K262" si="111">K259+1</f>
        <v>133</v>
      </c>
      <c r="L260" s="9" t="str">
        <f t="shared" si="110"/>
        <v>H</v>
      </c>
      <c r="M260" s="9" t="str">
        <f t="shared" si="89"/>
        <v>Input!H133</v>
      </c>
      <c r="N260" s="9">
        <f>_xlfn.XLOOKUP(F260,'Raw Data'!$I$4:$I$5000,'Raw Data'!$E$4:$E$5000,100,0)</f>
        <v>100</v>
      </c>
      <c r="O260" s="9" t="str">
        <f>IF(N260=0,_xlfn.XLOOKUP(F260,'Raw Data'!$I$4:$I$5000,'Raw Data'!$H$4:$H$5000,"",0),"")</f>
        <v/>
      </c>
      <c r="P260" s="9" t="str" cm="1">
        <f t="array" aca="1" ref="P260" ca="1">IF(INDIRECT(M260) = "","",INDIRECT(M260))</f>
        <v/>
      </c>
      <c r="Q260" s="359" t="s">
        <v>4381</v>
      </c>
    </row>
    <row r="261" spans="1:17" x14ac:dyDescent="0.35">
      <c r="A261" t="s">
        <v>2495</v>
      </c>
      <c r="E261" t="str">
        <f>_xlfn.XLOOKUP(F261,'Raw Data'!$I$4:$I$5000,'Raw Data'!$D$4:$D$5000,"*** Mnemonic not found ***",0)</f>
        <v>*** Mnemonic not found ***</v>
      </c>
      <c r="F261" t="str">
        <f t="shared" ref="F261:F324" si="112">CONCATENATE(A261,"_",B261,"_",D261)</f>
        <v>SUCMALT2A_10TO20__</v>
      </c>
      <c r="H261" s="9" t="s">
        <v>1137</v>
      </c>
      <c r="K261" s="9">
        <f t="shared" si="111"/>
        <v>134</v>
      </c>
      <c r="L261" s="9" t="str">
        <f t="shared" si="110"/>
        <v>H</v>
      </c>
      <c r="M261" s="9" t="str">
        <f t="shared" si="89"/>
        <v>Input!H134</v>
      </c>
      <c r="N261" s="9">
        <f>_xlfn.XLOOKUP(F261,'Raw Data'!$I$4:$I$5000,'Raw Data'!$E$4:$E$5000,100,0)</f>
        <v>100</v>
      </c>
      <c r="O261" s="9" t="str">
        <f>IF(N261=0,_xlfn.XLOOKUP(F261,'Raw Data'!$I$4:$I$5000,'Raw Data'!$H$4:$H$5000,"",0),"")</f>
        <v/>
      </c>
      <c r="P261" s="9" t="str" cm="1">
        <f t="array" aca="1" ref="P261" ca="1">IF(INDIRECT(M261) = "","",INDIRECT(M261))</f>
        <v/>
      </c>
      <c r="Q261" s="359" t="s">
        <v>4381</v>
      </c>
    </row>
    <row r="262" spans="1:17" x14ac:dyDescent="0.35">
      <c r="A262" t="s">
        <v>2496</v>
      </c>
      <c r="E262" t="str">
        <f>_xlfn.XLOOKUP(F262,'Raw Data'!$I$4:$I$5000,'Raw Data'!$D$4:$D$5000,"*** Mnemonic not found ***",0)</f>
        <v>*** Mnemonic not found ***</v>
      </c>
      <c r="F262" t="str">
        <f t="shared" si="112"/>
        <v>SUCMALT2A_GRTR20__</v>
      </c>
      <c r="H262" s="9" t="s">
        <v>1137</v>
      </c>
      <c r="K262" s="9">
        <f t="shared" si="111"/>
        <v>135</v>
      </c>
      <c r="L262" s="9" t="str">
        <f t="shared" si="110"/>
        <v>H</v>
      </c>
      <c r="M262" s="9" t="str">
        <f t="shared" si="89"/>
        <v>Input!H135</v>
      </c>
      <c r="N262" s="9">
        <f>_xlfn.XLOOKUP(F262,'Raw Data'!$I$4:$I$5000,'Raw Data'!$E$4:$E$5000,100,0)</f>
        <v>100</v>
      </c>
      <c r="O262" s="9" t="str">
        <f>IF(N262=0,_xlfn.XLOOKUP(F262,'Raw Data'!$I$4:$I$5000,'Raw Data'!$H$4:$H$5000,"",0),"")</f>
        <v/>
      </c>
      <c r="P262" s="9" t="str" cm="1">
        <f t="array" aca="1" ref="P262" ca="1">IF(INDIRECT(M262) = "","",INDIRECT(M262))</f>
        <v/>
      </c>
      <c r="Q262" s="359" t="s">
        <v>4381</v>
      </c>
    </row>
    <row r="263" spans="1:17" x14ac:dyDescent="0.35">
      <c r="A263" t="s">
        <v>2512</v>
      </c>
      <c r="E263" t="str">
        <f>_xlfn.XLOOKUP(F263,'Raw Data'!$I$4:$I$5000,'Raw Data'!$D$4:$D$5000,"*** Mnemonic not found ***",0)</f>
        <v>*** Mnemonic not found ***</v>
      </c>
      <c r="F263" t="str">
        <f t="shared" si="112"/>
        <v>SUCMALT2BBB_LESS1__</v>
      </c>
      <c r="H263" s="9" t="s">
        <v>1137</v>
      </c>
      <c r="K263" s="9">
        <f>K258</f>
        <v>131</v>
      </c>
      <c r="L263" s="9" t="s">
        <v>1375</v>
      </c>
      <c r="M263" s="9" t="str">
        <f t="shared" si="89"/>
        <v>Input!I131</v>
      </c>
      <c r="N263" s="9">
        <f>_xlfn.XLOOKUP(F263,'Raw Data'!$I$4:$I$5000,'Raw Data'!$E$4:$E$5000,100,0)</f>
        <v>100</v>
      </c>
      <c r="O263" s="9" t="str">
        <f>IF(N263=0,_xlfn.XLOOKUP(F263,'Raw Data'!$I$4:$I$5000,'Raw Data'!$H$4:$H$5000,"",0),"")</f>
        <v/>
      </c>
      <c r="P263" s="9" t="str" cm="1">
        <f t="array" aca="1" ref="P263" ca="1">IF(INDIRECT(M263) = "","",INDIRECT(M263))</f>
        <v/>
      </c>
      <c r="Q263" s="359" t="s">
        <v>4381</v>
      </c>
    </row>
    <row r="264" spans="1:17" x14ac:dyDescent="0.35">
      <c r="A264" t="s">
        <v>2513</v>
      </c>
      <c r="E264" t="str">
        <f>_xlfn.XLOOKUP(F264,'Raw Data'!$I$4:$I$5000,'Raw Data'!$D$4:$D$5000,"*** Mnemonic not found ***",0)</f>
        <v>*** Mnemonic not found ***</v>
      </c>
      <c r="F264" t="str">
        <f t="shared" si="112"/>
        <v>SUCMALT2BBB_1TO5__</v>
      </c>
      <c r="H264" s="9" t="s">
        <v>1137</v>
      </c>
      <c r="K264" s="9">
        <f>K263+1</f>
        <v>132</v>
      </c>
      <c r="L264" s="9" t="str">
        <f t="shared" ref="L264:L267" si="113">L263</f>
        <v>I</v>
      </c>
      <c r="M264" s="9" t="str">
        <f t="shared" si="89"/>
        <v>Input!I132</v>
      </c>
      <c r="N264" s="9">
        <f>_xlfn.XLOOKUP(F264,'Raw Data'!$I$4:$I$5000,'Raw Data'!$E$4:$E$5000,100,0)</f>
        <v>100</v>
      </c>
      <c r="O264" s="9" t="str">
        <f>IF(N264=0,_xlfn.XLOOKUP(F264,'Raw Data'!$I$4:$I$5000,'Raw Data'!$H$4:$H$5000,"",0),"")</f>
        <v/>
      </c>
      <c r="P264" s="9" t="str" cm="1">
        <f t="array" aca="1" ref="P264" ca="1">IF(INDIRECT(M264) = "","",INDIRECT(M264))</f>
        <v/>
      </c>
      <c r="Q264" s="359" t="s">
        <v>4381</v>
      </c>
    </row>
    <row r="265" spans="1:17" x14ac:dyDescent="0.35">
      <c r="A265" t="s">
        <v>2514</v>
      </c>
      <c r="E265" t="str">
        <f>_xlfn.XLOOKUP(F265,'Raw Data'!$I$4:$I$5000,'Raw Data'!$D$4:$D$5000,"*** Mnemonic not found ***",0)</f>
        <v>*** Mnemonic not found ***</v>
      </c>
      <c r="F265" t="str">
        <f t="shared" si="112"/>
        <v>SUCMALT2BBB_5TO10__</v>
      </c>
      <c r="H265" s="9" t="s">
        <v>1137</v>
      </c>
      <c r="K265" s="9">
        <f t="shared" ref="K265:K267" si="114">K264+1</f>
        <v>133</v>
      </c>
      <c r="L265" s="9" t="str">
        <f t="shared" si="113"/>
        <v>I</v>
      </c>
      <c r="M265" s="9" t="str">
        <f t="shared" si="89"/>
        <v>Input!I133</v>
      </c>
      <c r="N265" s="9">
        <f>_xlfn.XLOOKUP(F265,'Raw Data'!$I$4:$I$5000,'Raw Data'!$E$4:$E$5000,100,0)</f>
        <v>100</v>
      </c>
      <c r="O265" s="9" t="str">
        <f>IF(N265=0,_xlfn.XLOOKUP(F265,'Raw Data'!$I$4:$I$5000,'Raw Data'!$H$4:$H$5000,"",0),"")</f>
        <v/>
      </c>
      <c r="P265" s="9" t="str" cm="1">
        <f t="array" aca="1" ref="P265" ca="1">IF(INDIRECT(M265) = "","",INDIRECT(M265))</f>
        <v/>
      </c>
      <c r="Q265" s="359" t="s">
        <v>4381</v>
      </c>
    </row>
    <row r="266" spans="1:17" x14ac:dyDescent="0.35">
      <c r="A266" t="s">
        <v>2515</v>
      </c>
      <c r="E266" t="str">
        <f>_xlfn.XLOOKUP(F266,'Raw Data'!$I$4:$I$5000,'Raw Data'!$D$4:$D$5000,"*** Mnemonic not found ***",0)</f>
        <v>*** Mnemonic not found ***</v>
      </c>
      <c r="F266" t="str">
        <f t="shared" si="112"/>
        <v>SUCMALT2BBB_10TO20__</v>
      </c>
      <c r="H266" s="9" t="s">
        <v>1137</v>
      </c>
      <c r="K266" s="9">
        <f t="shared" si="114"/>
        <v>134</v>
      </c>
      <c r="L266" s="9" t="str">
        <f t="shared" si="113"/>
        <v>I</v>
      </c>
      <c r="M266" s="9" t="str">
        <f t="shared" si="89"/>
        <v>Input!I134</v>
      </c>
      <c r="N266" s="9">
        <f>_xlfn.XLOOKUP(F266,'Raw Data'!$I$4:$I$5000,'Raw Data'!$E$4:$E$5000,100,0)</f>
        <v>100</v>
      </c>
      <c r="O266" s="9" t="str">
        <f>IF(N266=0,_xlfn.XLOOKUP(F266,'Raw Data'!$I$4:$I$5000,'Raw Data'!$H$4:$H$5000,"",0),"")</f>
        <v/>
      </c>
      <c r="P266" s="9" t="str" cm="1">
        <f t="array" aca="1" ref="P266" ca="1">IF(INDIRECT(M266) = "","",INDIRECT(M266))</f>
        <v/>
      </c>
      <c r="Q266" s="359" t="s">
        <v>4381</v>
      </c>
    </row>
    <row r="267" spans="1:17" x14ac:dyDescent="0.35">
      <c r="A267" t="s">
        <v>2516</v>
      </c>
      <c r="E267" t="str">
        <f>_xlfn.XLOOKUP(F267,'Raw Data'!$I$4:$I$5000,'Raw Data'!$D$4:$D$5000,"*** Mnemonic not found ***",0)</f>
        <v>*** Mnemonic not found ***</v>
      </c>
      <c r="F267" t="str">
        <f t="shared" si="112"/>
        <v>SUCMALT2BBB_GRTR20__</v>
      </c>
      <c r="H267" s="9" t="s">
        <v>1137</v>
      </c>
      <c r="K267" s="9">
        <f t="shared" si="114"/>
        <v>135</v>
      </c>
      <c r="L267" s="9" t="str">
        <f t="shared" si="113"/>
        <v>I</v>
      </c>
      <c r="M267" s="9" t="str">
        <f t="shared" si="89"/>
        <v>Input!I135</v>
      </c>
      <c r="N267" s="9">
        <f>_xlfn.XLOOKUP(F267,'Raw Data'!$I$4:$I$5000,'Raw Data'!$E$4:$E$5000,100,0)</f>
        <v>100</v>
      </c>
      <c r="O267" s="9" t="str">
        <f>IF(N267=0,_xlfn.XLOOKUP(F267,'Raw Data'!$I$4:$I$5000,'Raw Data'!$H$4:$H$5000,"",0),"")</f>
        <v/>
      </c>
      <c r="P267" s="9" t="str" cm="1">
        <f t="array" aca="1" ref="P267" ca="1">IF(INDIRECT(M267) = "","",INDIRECT(M267))</f>
        <v/>
      </c>
      <c r="Q267" s="359" t="s">
        <v>4381</v>
      </c>
    </row>
    <row r="268" spans="1:17" x14ac:dyDescent="0.35">
      <c r="A268" t="s">
        <v>2532</v>
      </c>
      <c r="E268" t="str">
        <f>_xlfn.XLOOKUP(F268,'Raw Data'!$I$4:$I$5000,'Raw Data'!$D$4:$D$5000,"*** Mnemonic not found ***",0)</f>
        <v>*** Mnemonic not found ***</v>
      </c>
      <c r="F268" t="str">
        <f t="shared" si="112"/>
        <v>SUCMALT2BB_LESS1__</v>
      </c>
      <c r="H268" s="9" t="s">
        <v>1137</v>
      </c>
      <c r="K268" s="9">
        <f>K263</f>
        <v>131</v>
      </c>
      <c r="L268" s="9" t="s">
        <v>1376</v>
      </c>
      <c r="M268" s="9" t="str">
        <f t="shared" si="89"/>
        <v>Input!J131</v>
      </c>
      <c r="N268" s="9">
        <f>_xlfn.XLOOKUP(F268,'Raw Data'!$I$4:$I$5000,'Raw Data'!$E$4:$E$5000,100,0)</f>
        <v>100</v>
      </c>
      <c r="O268" s="9" t="str">
        <f>IF(N268=0,_xlfn.XLOOKUP(F268,'Raw Data'!$I$4:$I$5000,'Raw Data'!$H$4:$H$5000,"",0),"")</f>
        <v/>
      </c>
      <c r="P268" s="9" t="str" cm="1">
        <f t="array" aca="1" ref="P268" ca="1">IF(INDIRECT(M268) = "","",INDIRECT(M268))</f>
        <v/>
      </c>
      <c r="Q268" s="359" t="s">
        <v>4381</v>
      </c>
    </row>
    <row r="269" spans="1:17" x14ac:dyDescent="0.35">
      <c r="A269" t="s">
        <v>2533</v>
      </c>
      <c r="E269" t="str">
        <f>_xlfn.XLOOKUP(F269,'Raw Data'!$I$4:$I$5000,'Raw Data'!$D$4:$D$5000,"*** Mnemonic not found ***",0)</f>
        <v>*** Mnemonic not found ***</v>
      </c>
      <c r="F269" t="str">
        <f t="shared" si="112"/>
        <v>SUCMALT2BB_1TO5__</v>
      </c>
      <c r="H269" s="9" t="s">
        <v>1137</v>
      </c>
      <c r="K269" s="9">
        <f>K268+1</f>
        <v>132</v>
      </c>
      <c r="L269" s="9" t="str">
        <f t="shared" ref="L269:L272" si="115">L268</f>
        <v>J</v>
      </c>
      <c r="M269" s="9" t="str">
        <f t="shared" si="89"/>
        <v>Input!J132</v>
      </c>
      <c r="N269" s="9">
        <f>_xlfn.XLOOKUP(F269,'Raw Data'!$I$4:$I$5000,'Raw Data'!$E$4:$E$5000,100,0)</f>
        <v>100</v>
      </c>
      <c r="O269" s="9" t="str">
        <f>IF(N269=0,_xlfn.XLOOKUP(F269,'Raw Data'!$I$4:$I$5000,'Raw Data'!$H$4:$H$5000,"",0),"")</f>
        <v/>
      </c>
      <c r="P269" s="9" t="str" cm="1">
        <f t="array" aca="1" ref="P269" ca="1">IF(INDIRECT(M269) = "","",INDIRECT(M269))</f>
        <v/>
      </c>
      <c r="Q269" s="359" t="s">
        <v>4381</v>
      </c>
    </row>
    <row r="270" spans="1:17" x14ac:dyDescent="0.35">
      <c r="A270" t="s">
        <v>2534</v>
      </c>
      <c r="E270" t="str">
        <f>_xlfn.XLOOKUP(F270,'Raw Data'!$I$4:$I$5000,'Raw Data'!$D$4:$D$5000,"*** Mnemonic not found ***",0)</f>
        <v>*** Mnemonic not found ***</v>
      </c>
      <c r="F270" t="str">
        <f t="shared" si="112"/>
        <v>SUCMALT2BB_5TO10__</v>
      </c>
      <c r="H270" s="9" t="s">
        <v>1137</v>
      </c>
      <c r="K270" s="9">
        <f t="shared" ref="K270:K272" si="116">K269+1</f>
        <v>133</v>
      </c>
      <c r="L270" s="9" t="str">
        <f t="shared" si="115"/>
        <v>J</v>
      </c>
      <c r="M270" s="9" t="str">
        <f t="shared" si="89"/>
        <v>Input!J133</v>
      </c>
      <c r="N270" s="9">
        <f>_xlfn.XLOOKUP(F270,'Raw Data'!$I$4:$I$5000,'Raw Data'!$E$4:$E$5000,100,0)</f>
        <v>100</v>
      </c>
      <c r="O270" s="9" t="str">
        <f>IF(N270=0,_xlfn.XLOOKUP(F270,'Raw Data'!$I$4:$I$5000,'Raw Data'!$H$4:$H$5000,"",0),"")</f>
        <v/>
      </c>
      <c r="P270" s="9" t="str" cm="1">
        <f t="array" aca="1" ref="P270" ca="1">IF(INDIRECT(M270) = "","",INDIRECT(M270))</f>
        <v/>
      </c>
      <c r="Q270" s="359" t="s">
        <v>4381</v>
      </c>
    </row>
    <row r="271" spans="1:17" x14ac:dyDescent="0.35">
      <c r="A271" t="s">
        <v>2535</v>
      </c>
      <c r="E271" t="str">
        <f>_xlfn.XLOOKUP(F271,'Raw Data'!$I$4:$I$5000,'Raw Data'!$D$4:$D$5000,"*** Mnemonic not found ***",0)</f>
        <v>*** Mnemonic not found ***</v>
      </c>
      <c r="F271" t="str">
        <f t="shared" si="112"/>
        <v>SUCMALT2BB_10TO20__</v>
      </c>
      <c r="H271" s="9" t="s">
        <v>1137</v>
      </c>
      <c r="K271" s="9">
        <f t="shared" si="116"/>
        <v>134</v>
      </c>
      <c r="L271" s="9" t="str">
        <f t="shared" si="115"/>
        <v>J</v>
      </c>
      <c r="M271" s="9" t="str">
        <f t="shared" ref="M271:M334" si="117">CONCATENATE(H271,"!",L271,K271)</f>
        <v>Input!J134</v>
      </c>
      <c r="N271" s="9">
        <f>_xlfn.XLOOKUP(F271,'Raw Data'!$I$4:$I$5000,'Raw Data'!$E$4:$E$5000,100,0)</f>
        <v>100</v>
      </c>
      <c r="O271" s="9" t="str">
        <f>IF(N271=0,_xlfn.XLOOKUP(F271,'Raw Data'!$I$4:$I$5000,'Raw Data'!$H$4:$H$5000,"",0),"")</f>
        <v/>
      </c>
      <c r="P271" s="9" t="str" cm="1">
        <f t="array" aca="1" ref="P271" ca="1">IF(INDIRECT(M271) = "","",INDIRECT(M271))</f>
        <v/>
      </c>
      <c r="Q271" s="359" t="s">
        <v>4381</v>
      </c>
    </row>
    <row r="272" spans="1:17" x14ac:dyDescent="0.35">
      <c r="A272" t="s">
        <v>2536</v>
      </c>
      <c r="E272" t="str">
        <f>_xlfn.XLOOKUP(F272,'Raw Data'!$I$4:$I$5000,'Raw Data'!$D$4:$D$5000,"*** Mnemonic not found ***",0)</f>
        <v>*** Mnemonic not found ***</v>
      </c>
      <c r="F272" t="str">
        <f t="shared" si="112"/>
        <v>SUCMALT2BB_GRTR20__</v>
      </c>
      <c r="H272" s="9" t="s">
        <v>1137</v>
      </c>
      <c r="K272" s="9">
        <f t="shared" si="116"/>
        <v>135</v>
      </c>
      <c r="L272" s="9" t="str">
        <f t="shared" si="115"/>
        <v>J</v>
      </c>
      <c r="M272" s="9" t="str">
        <f t="shared" si="117"/>
        <v>Input!J135</v>
      </c>
      <c r="N272" s="9">
        <f>_xlfn.XLOOKUP(F272,'Raw Data'!$I$4:$I$5000,'Raw Data'!$E$4:$E$5000,100,0)</f>
        <v>100</v>
      </c>
      <c r="O272" s="9" t="str">
        <f>IF(N272=0,_xlfn.XLOOKUP(F272,'Raw Data'!$I$4:$I$5000,'Raw Data'!$H$4:$H$5000,"",0),"")</f>
        <v/>
      </c>
      <c r="P272" s="9" t="str" cm="1">
        <f t="array" aca="1" ref="P272" ca="1">IF(INDIRECT(M272) = "","",INDIRECT(M272))</f>
        <v/>
      </c>
      <c r="Q272" s="359" t="s">
        <v>4381</v>
      </c>
    </row>
    <row r="273" spans="1:17" x14ac:dyDescent="0.35">
      <c r="A273" t="s">
        <v>2552</v>
      </c>
      <c r="E273" t="str">
        <f>_xlfn.XLOOKUP(F273,'Raw Data'!$I$4:$I$5000,'Raw Data'!$D$4:$D$5000,"*** Mnemonic not found ***",0)</f>
        <v>*** Mnemonic not found ***</v>
      </c>
      <c r="F273" t="str">
        <f t="shared" si="112"/>
        <v>SUCMALT2B_LESS1__</v>
      </c>
      <c r="H273" s="9" t="s">
        <v>1137</v>
      </c>
      <c r="K273" s="9">
        <f>K268</f>
        <v>131</v>
      </c>
      <c r="L273" s="9" t="s">
        <v>1377</v>
      </c>
      <c r="M273" s="9" t="str">
        <f t="shared" si="117"/>
        <v>Input!K131</v>
      </c>
      <c r="N273" s="9">
        <f>_xlfn.XLOOKUP(F273,'Raw Data'!$I$4:$I$5000,'Raw Data'!$E$4:$E$5000,100,0)</f>
        <v>100</v>
      </c>
      <c r="O273" s="9" t="str">
        <f>IF(N273=0,_xlfn.XLOOKUP(F273,'Raw Data'!$I$4:$I$5000,'Raw Data'!$H$4:$H$5000,"",0),"")</f>
        <v/>
      </c>
      <c r="P273" s="9" t="str" cm="1">
        <f t="array" aca="1" ref="P273" ca="1">IF(INDIRECT(M273) = "","",INDIRECT(M273))</f>
        <v/>
      </c>
      <c r="Q273" s="359" t="s">
        <v>4381</v>
      </c>
    </row>
    <row r="274" spans="1:17" x14ac:dyDescent="0.35">
      <c r="A274" t="s">
        <v>2553</v>
      </c>
      <c r="E274" t="str">
        <f>_xlfn.XLOOKUP(F274,'Raw Data'!$I$4:$I$5000,'Raw Data'!$D$4:$D$5000,"*** Mnemonic not found ***",0)</f>
        <v>*** Mnemonic not found ***</v>
      </c>
      <c r="F274" t="str">
        <f t="shared" si="112"/>
        <v>SUCMALT2B_1TO5__</v>
      </c>
      <c r="H274" s="9" t="s">
        <v>1137</v>
      </c>
      <c r="K274" s="9">
        <f>K273+1</f>
        <v>132</v>
      </c>
      <c r="L274" s="9" t="str">
        <f t="shared" ref="L274:L277" si="118">L273</f>
        <v>K</v>
      </c>
      <c r="M274" s="9" t="str">
        <f t="shared" si="117"/>
        <v>Input!K132</v>
      </c>
      <c r="N274" s="9">
        <f>_xlfn.XLOOKUP(F274,'Raw Data'!$I$4:$I$5000,'Raw Data'!$E$4:$E$5000,100,0)</f>
        <v>100</v>
      </c>
      <c r="O274" s="9" t="str">
        <f>IF(N274=0,_xlfn.XLOOKUP(F274,'Raw Data'!$I$4:$I$5000,'Raw Data'!$H$4:$H$5000,"",0),"")</f>
        <v/>
      </c>
      <c r="P274" s="9" t="str" cm="1">
        <f t="array" aca="1" ref="P274" ca="1">IF(INDIRECT(M274) = "","",INDIRECT(M274))</f>
        <v/>
      </c>
      <c r="Q274" s="359" t="s">
        <v>4381</v>
      </c>
    </row>
    <row r="275" spans="1:17" x14ac:dyDescent="0.35">
      <c r="A275" t="s">
        <v>2554</v>
      </c>
      <c r="E275" t="str">
        <f>_xlfn.XLOOKUP(F275,'Raw Data'!$I$4:$I$5000,'Raw Data'!$D$4:$D$5000,"*** Mnemonic not found ***",0)</f>
        <v>*** Mnemonic not found ***</v>
      </c>
      <c r="F275" t="str">
        <f t="shared" si="112"/>
        <v>SUCMALT2B_5TO10__</v>
      </c>
      <c r="H275" s="9" t="s">
        <v>1137</v>
      </c>
      <c r="K275" s="9">
        <f t="shared" ref="K275:K277" si="119">K274+1</f>
        <v>133</v>
      </c>
      <c r="L275" s="9" t="str">
        <f t="shared" si="118"/>
        <v>K</v>
      </c>
      <c r="M275" s="9" t="str">
        <f t="shared" si="117"/>
        <v>Input!K133</v>
      </c>
      <c r="N275" s="9">
        <f>_xlfn.XLOOKUP(F275,'Raw Data'!$I$4:$I$5000,'Raw Data'!$E$4:$E$5000,100,0)</f>
        <v>100</v>
      </c>
      <c r="O275" s="9" t="str">
        <f>IF(N275=0,_xlfn.XLOOKUP(F275,'Raw Data'!$I$4:$I$5000,'Raw Data'!$H$4:$H$5000,"",0),"")</f>
        <v/>
      </c>
      <c r="P275" s="9" t="str" cm="1">
        <f t="array" aca="1" ref="P275" ca="1">IF(INDIRECT(M275) = "","",INDIRECT(M275))</f>
        <v/>
      </c>
      <c r="Q275" s="359" t="s">
        <v>4381</v>
      </c>
    </row>
    <row r="276" spans="1:17" x14ac:dyDescent="0.35">
      <c r="A276" t="s">
        <v>2555</v>
      </c>
      <c r="E276" t="str">
        <f>_xlfn.XLOOKUP(F276,'Raw Data'!$I$4:$I$5000,'Raw Data'!$D$4:$D$5000,"*** Mnemonic not found ***",0)</f>
        <v>*** Mnemonic not found ***</v>
      </c>
      <c r="F276" t="str">
        <f t="shared" si="112"/>
        <v>SUCMALT2B_10TO20__</v>
      </c>
      <c r="H276" s="9" t="s">
        <v>1137</v>
      </c>
      <c r="K276" s="9">
        <f t="shared" si="119"/>
        <v>134</v>
      </c>
      <c r="L276" s="9" t="str">
        <f t="shared" si="118"/>
        <v>K</v>
      </c>
      <c r="M276" s="9" t="str">
        <f t="shared" si="117"/>
        <v>Input!K134</v>
      </c>
      <c r="N276" s="9">
        <f>_xlfn.XLOOKUP(F276,'Raw Data'!$I$4:$I$5000,'Raw Data'!$E$4:$E$5000,100,0)</f>
        <v>100</v>
      </c>
      <c r="O276" s="9" t="str">
        <f>IF(N276=0,_xlfn.XLOOKUP(F276,'Raw Data'!$I$4:$I$5000,'Raw Data'!$H$4:$H$5000,"",0),"")</f>
        <v/>
      </c>
      <c r="P276" s="9" t="str" cm="1">
        <f t="array" aca="1" ref="P276" ca="1">IF(INDIRECT(M276) = "","",INDIRECT(M276))</f>
        <v/>
      </c>
      <c r="Q276" s="359" t="s">
        <v>4381</v>
      </c>
    </row>
    <row r="277" spans="1:17" x14ac:dyDescent="0.35">
      <c r="A277" t="s">
        <v>2556</v>
      </c>
      <c r="E277" t="str">
        <f>_xlfn.XLOOKUP(F277,'Raw Data'!$I$4:$I$5000,'Raw Data'!$D$4:$D$5000,"*** Mnemonic not found ***",0)</f>
        <v>*** Mnemonic not found ***</v>
      </c>
      <c r="F277" t="str">
        <f t="shared" si="112"/>
        <v>SUCMALT2B_GRTR20__</v>
      </c>
      <c r="H277" s="9" t="s">
        <v>1137</v>
      </c>
      <c r="K277" s="9">
        <f t="shared" si="119"/>
        <v>135</v>
      </c>
      <c r="L277" s="9" t="str">
        <f t="shared" si="118"/>
        <v>K</v>
      </c>
      <c r="M277" s="9" t="str">
        <f t="shared" si="117"/>
        <v>Input!K135</v>
      </c>
      <c r="N277" s="9">
        <f>_xlfn.XLOOKUP(F277,'Raw Data'!$I$4:$I$5000,'Raw Data'!$E$4:$E$5000,100,0)</f>
        <v>100</v>
      </c>
      <c r="O277" s="9" t="str">
        <f>IF(N277=0,_xlfn.XLOOKUP(F277,'Raw Data'!$I$4:$I$5000,'Raw Data'!$H$4:$H$5000,"",0),"")</f>
        <v/>
      </c>
      <c r="P277" s="9" t="str" cm="1">
        <f t="array" aca="1" ref="P277" ca="1">IF(INDIRECT(M277) = "","",INDIRECT(M277))</f>
        <v/>
      </c>
      <c r="Q277" s="359" t="s">
        <v>4381</v>
      </c>
    </row>
    <row r="278" spans="1:17" x14ac:dyDescent="0.35">
      <c r="A278" t="s">
        <v>2572</v>
      </c>
      <c r="E278" t="str">
        <f>_xlfn.XLOOKUP(F278,'Raw Data'!$I$4:$I$5000,'Raw Data'!$D$4:$D$5000,"*** Mnemonic not found ***",0)</f>
        <v>*** Mnemonic not found ***</v>
      </c>
      <c r="F278" t="str">
        <f t="shared" si="112"/>
        <v>SUCMALT2CCC_LESS1__</v>
      </c>
      <c r="H278" s="9" t="s">
        <v>1137</v>
      </c>
      <c r="K278" s="9">
        <f>K273</f>
        <v>131</v>
      </c>
      <c r="L278" s="9" t="s">
        <v>1378</v>
      </c>
      <c r="M278" s="9" t="str">
        <f t="shared" si="117"/>
        <v>Input!L131</v>
      </c>
      <c r="N278" s="9">
        <f>_xlfn.XLOOKUP(F278,'Raw Data'!$I$4:$I$5000,'Raw Data'!$E$4:$E$5000,100,0)</f>
        <v>100</v>
      </c>
      <c r="O278" s="9" t="str">
        <f>IF(N278=0,_xlfn.XLOOKUP(F278,'Raw Data'!$I$4:$I$5000,'Raw Data'!$H$4:$H$5000,"",0),"")</f>
        <v/>
      </c>
      <c r="P278" s="9" t="str" cm="1">
        <f t="array" aca="1" ref="P278" ca="1">IF(INDIRECT(M278) = "","",INDIRECT(M278))</f>
        <v/>
      </c>
      <c r="Q278" s="359" t="s">
        <v>4381</v>
      </c>
    </row>
    <row r="279" spans="1:17" x14ac:dyDescent="0.35">
      <c r="A279" t="s">
        <v>2573</v>
      </c>
      <c r="E279" t="str">
        <f>_xlfn.XLOOKUP(F279,'Raw Data'!$I$4:$I$5000,'Raw Data'!$D$4:$D$5000,"*** Mnemonic not found ***",0)</f>
        <v>*** Mnemonic not found ***</v>
      </c>
      <c r="F279" t="str">
        <f t="shared" si="112"/>
        <v>SUCMALT2CCC_1TO5__</v>
      </c>
      <c r="H279" s="9" t="s">
        <v>1137</v>
      </c>
      <c r="K279" s="9">
        <f>K278+1</f>
        <v>132</v>
      </c>
      <c r="L279" s="9" t="str">
        <f t="shared" ref="L279:L282" si="120">L278</f>
        <v>L</v>
      </c>
      <c r="M279" s="9" t="str">
        <f t="shared" si="117"/>
        <v>Input!L132</v>
      </c>
      <c r="N279" s="9">
        <f>_xlfn.XLOOKUP(F279,'Raw Data'!$I$4:$I$5000,'Raw Data'!$E$4:$E$5000,100,0)</f>
        <v>100</v>
      </c>
      <c r="O279" s="9" t="str">
        <f>IF(N279=0,_xlfn.XLOOKUP(F279,'Raw Data'!$I$4:$I$5000,'Raw Data'!$H$4:$H$5000,"",0),"")</f>
        <v/>
      </c>
      <c r="P279" s="9" t="str" cm="1">
        <f t="array" aca="1" ref="P279" ca="1">IF(INDIRECT(M279) = "","",INDIRECT(M279))</f>
        <v/>
      </c>
      <c r="Q279" s="359" t="s">
        <v>4381</v>
      </c>
    </row>
    <row r="280" spans="1:17" x14ac:dyDescent="0.35">
      <c r="A280" t="s">
        <v>2574</v>
      </c>
      <c r="E280" t="str">
        <f>_xlfn.XLOOKUP(F280,'Raw Data'!$I$4:$I$5000,'Raw Data'!$D$4:$D$5000,"*** Mnemonic not found ***",0)</f>
        <v>*** Mnemonic not found ***</v>
      </c>
      <c r="F280" t="str">
        <f t="shared" si="112"/>
        <v>SUCMALT2CCC_5TO10__</v>
      </c>
      <c r="H280" s="9" t="s">
        <v>1137</v>
      </c>
      <c r="K280" s="9">
        <f t="shared" ref="K280:K282" si="121">K279+1</f>
        <v>133</v>
      </c>
      <c r="L280" s="9" t="str">
        <f t="shared" si="120"/>
        <v>L</v>
      </c>
      <c r="M280" s="9" t="str">
        <f t="shared" si="117"/>
        <v>Input!L133</v>
      </c>
      <c r="N280" s="9">
        <f>_xlfn.XLOOKUP(F280,'Raw Data'!$I$4:$I$5000,'Raw Data'!$E$4:$E$5000,100,0)</f>
        <v>100</v>
      </c>
      <c r="O280" s="9" t="str">
        <f>IF(N280=0,_xlfn.XLOOKUP(F280,'Raw Data'!$I$4:$I$5000,'Raw Data'!$H$4:$H$5000,"",0),"")</f>
        <v/>
      </c>
      <c r="P280" s="9" t="str" cm="1">
        <f t="array" aca="1" ref="P280" ca="1">IF(INDIRECT(M280) = "","",INDIRECT(M280))</f>
        <v/>
      </c>
      <c r="Q280" s="359" t="s">
        <v>4381</v>
      </c>
    </row>
    <row r="281" spans="1:17" x14ac:dyDescent="0.35">
      <c r="A281" t="s">
        <v>2575</v>
      </c>
      <c r="E281" t="str">
        <f>_xlfn.XLOOKUP(F281,'Raw Data'!$I$4:$I$5000,'Raw Data'!$D$4:$D$5000,"*** Mnemonic not found ***",0)</f>
        <v>*** Mnemonic not found ***</v>
      </c>
      <c r="F281" t="str">
        <f t="shared" si="112"/>
        <v>SUCMALT2CCC_10TO20__</v>
      </c>
      <c r="H281" s="9" t="s">
        <v>1137</v>
      </c>
      <c r="K281" s="9">
        <f t="shared" si="121"/>
        <v>134</v>
      </c>
      <c r="L281" s="9" t="str">
        <f t="shared" si="120"/>
        <v>L</v>
      </c>
      <c r="M281" s="9" t="str">
        <f t="shared" si="117"/>
        <v>Input!L134</v>
      </c>
      <c r="N281" s="9">
        <f>_xlfn.XLOOKUP(F281,'Raw Data'!$I$4:$I$5000,'Raw Data'!$E$4:$E$5000,100,0)</f>
        <v>100</v>
      </c>
      <c r="O281" s="9" t="str">
        <f>IF(N281=0,_xlfn.XLOOKUP(F281,'Raw Data'!$I$4:$I$5000,'Raw Data'!$H$4:$H$5000,"",0),"")</f>
        <v/>
      </c>
      <c r="P281" s="9" t="str" cm="1">
        <f t="array" aca="1" ref="P281" ca="1">IF(INDIRECT(M281) = "","",INDIRECT(M281))</f>
        <v/>
      </c>
      <c r="Q281" s="359" t="s">
        <v>4381</v>
      </c>
    </row>
    <row r="282" spans="1:17" x14ac:dyDescent="0.35">
      <c r="A282" t="s">
        <v>2576</v>
      </c>
      <c r="E282" t="str">
        <f>_xlfn.XLOOKUP(F282,'Raw Data'!$I$4:$I$5000,'Raw Data'!$D$4:$D$5000,"*** Mnemonic not found ***",0)</f>
        <v>*** Mnemonic not found ***</v>
      </c>
      <c r="F282" t="str">
        <f t="shared" si="112"/>
        <v>SUCMALT2CCC_GRTR20__</v>
      </c>
      <c r="H282" s="9" t="s">
        <v>1137</v>
      </c>
      <c r="K282" s="9">
        <f t="shared" si="121"/>
        <v>135</v>
      </c>
      <c r="L282" s="9" t="str">
        <f t="shared" si="120"/>
        <v>L</v>
      </c>
      <c r="M282" s="9" t="str">
        <f t="shared" si="117"/>
        <v>Input!L135</v>
      </c>
      <c r="N282" s="9">
        <f>_xlfn.XLOOKUP(F282,'Raw Data'!$I$4:$I$5000,'Raw Data'!$E$4:$E$5000,100,0)</f>
        <v>100</v>
      </c>
      <c r="O282" s="9" t="str">
        <f>IF(N282=0,_xlfn.XLOOKUP(F282,'Raw Data'!$I$4:$I$5000,'Raw Data'!$H$4:$H$5000,"",0),"")</f>
        <v/>
      </c>
      <c r="P282" s="9" t="str" cm="1">
        <f t="array" aca="1" ref="P282" ca="1">IF(INDIRECT(M282) = "","",INDIRECT(M282))</f>
        <v/>
      </c>
      <c r="Q282" s="359" t="s">
        <v>4381</v>
      </c>
    </row>
    <row r="283" spans="1:17" x14ac:dyDescent="0.35">
      <c r="A283" t="s">
        <v>2457</v>
      </c>
      <c r="E283" t="str">
        <f>_xlfn.XLOOKUP(F283,'Raw Data'!$I$4:$I$5000,'Raw Data'!$D$4:$D$5000,"*** Mnemonic not found ***",0)</f>
        <v>*** Mnemonic not found ***</v>
      </c>
      <c r="F283" t="str">
        <f t="shared" si="112"/>
        <v>SUCMALT3AAA_LESS1__</v>
      </c>
      <c r="H283" s="9" t="s">
        <v>1137</v>
      </c>
      <c r="I283" s="289">
        <f>ROW(section_bonds_sp_unrated_step_2_3)</f>
        <v>118</v>
      </c>
      <c r="J283" s="9">
        <f>J248+8</f>
        <v>21</v>
      </c>
      <c r="K283" s="9">
        <f>I283+J283</f>
        <v>139</v>
      </c>
      <c r="L283" s="9" t="s">
        <v>1124</v>
      </c>
      <c r="M283" s="9" t="str">
        <f t="shared" si="117"/>
        <v>Input!F139</v>
      </c>
      <c r="N283" s="9">
        <f>_xlfn.XLOOKUP(F283,'Raw Data'!$I$4:$I$5000,'Raw Data'!$E$4:$E$5000,100,0)</f>
        <v>100</v>
      </c>
      <c r="O283" s="9" t="str">
        <f>IF(N283=0,_xlfn.XLOOKUP(F283,'Raw Data'!$I$4:$I$5000,'Raw Data'!$H$4:$H$5000,"",0),"")</f>
        <v/>
      </c>
      <c r="P283" s="9" t="str" cm="1">
        <f t="array" aca="1" ref="P283" ca="1">IF(INDIRECT(M283) = "","",INDIRECT(M283))</f>
        <v/>
      </c>
      <c r="Q283" s="359" t="s">
        <v>4381</v>
      </c>
    </row>
    <row r="284" spans="1:17" x14ac:dyDescent="0.35">
      <c r="A284" t="s">
        <v>2458</v>
      </c>
      <c r="E284" t="str">
        <f>_xlfn.XLOOKUP(F284,'Raw Data'!$I$4:$I$5000,'Raw Data'!$D$4:$D$5000,"*** Mnemonic not found ***",0)</f>
        <v>*** Mnemonic not found ***</v>
      </c>
      <c r="F284" t="str">
        <f t="shared" si="112"/>
        <v>SUCMALT3AAA_1TO5__</v>
      </c>
      <c r="H284" s="9" t="s">
        <v>1137</v>
      </c>
      <c r="K284" s="9">
        <f>K283+1</f>
        <v>140</v>
      </c>
      <c r="L284" s="9" t="str">
        <f t="shared" ref="L284:L287" si="122">L283</f>
        <v>F</v>
      </c>
      <c r="M284" s="9" t="str">
        <f t="shared" si="117"/>
        <v>Input!F140</v>
      </c>
      <c r="N284" s="9">
        <f>_xlfn.XLOOKUP(F284,'Raw Data'!$I$4:$I$5000,'Raw Data'!$E$4:$E$5000,100,0)</f>
        <v>100</v>
      </c>
      <c r="O284" s="9" t="str">
        <f>IF(N284=0,_xlfn.XLOOKUP(F284,'Raw Data'!$I$4:$I$5000,'Raw Data'!$H$4:$H$5000,"",0),"")</f>
        <v/>
      </c>
      <c r="P284" s="9" t="str" cm="1">
        <f t="array" aca="1" ref="P284" ca="1">IF(INDIRECT(M284) = "","",INDIRECT(M284))</f>
        <v/>
      </c>
      <c r="Q284" s="359" t="s">
        <v>4381</v>
      </c>
    </row>
    <row r="285" spans="1:17" x14ac:dyDescent="0.35">
      <c r="A285" t="s">
        <v>2459</v>
      </c>
      <c r="E285" t="str">
        <f>_xlfn.XLOOKUP(F285,'Raw Data'!$I$4:$I$5000,'Raw Data'!$D$4:$D$5000,"*** Mnemonic not found ***",0)</f>
        <v>*** Mnemonic not found ***</v>
      </c>
      <c r="F285" t="str">
        <f t="shared" si="112"/>
        <v>SUCMALT3AAA_5TO10__</v>
      </c>
      <c r="H285" s="9" t="s">
        <v>1137</v>
      </c>
      <c r="K285" s="9">
        <f t="shared" ref="K285:K287" si="123">K284+1</f>
        <v>141</v>
      </c>
      <c r="L285" s="9" t="str">
        <f t="shared" si="122"/>
        <v>F</v>
      </c>
      <c r="M285" s="9" t="str">
        <f t="shared" si="117"/>
        <v>Input!F141</v>
      </c>
      <c r="N285" s="9">
        <f>_xlfn.XLOOKUP(F285,'Raw Data'!$I$4:$I$5000,'Raw Data'!$E$4:$E$5000,100,0)</f>
        <v>100</v>
      </c>
      <c r="O285" s="9" t="str">
        <f>IF(N285=0,_xlfn.XLOOKUP(F285,'Raw Data'!$I$4:$I$5000,'Raw Data'!$H$4:$H$5000,"",0),"")</f>
        <v/>
      </c>
      <c r="P285" s="9" t="str" cm="1">
        <f t="array" aca="1" ref="P285" ca="1">IF(INDIRECT(M285) = "","",INDIRECT(M285))</f>
        <v/>
      </c>
      <c r="Q285" s="359" t="s">
        <v>4381</v>
      </c>
    </row>
    <row r="286" spans="1:17" x14ac:dyDescent="0.35">
      <c r="A286" t="s">
        <v>2460</v>
      </c>
      <c r="E286" t="str">
        <f>_xlfn.XLOOKUP(F286,'Raw Data'!$I$4:$I$5000,'Raw Data'!$D$4:$D$5000,"*** Mnemonic not found ***",0)</f>
        <v>*** Mnemonic not found ***</v>
      </c>
      <c r="F286" t="str">
        <f t="shared" si="112"/>
        <v>SUCMALT3AAA_10TO20__</v>
      </c>
      <c r="H286" s="9" t="s">
        <v>1137</v>
      </c>
      <c r="K286" s="9">
        <f t="shared" si="123"/>
        <v>142</v>
      </c>
      <c r="L286" s="9" t="str">
        <f t="shared" si="122"/>
        <v>F</v>
      </c>
      <c r="M286" s="9" t="str">
        <f t="shared" si="117"/>
        <v>Input!F142</v>
      </c>
      <c r="N286" s="9">
        <f>_xlfn.XLOOKUP(F286,'Raw Data'!$I$4:$I$5000,'Raw Data'!$E$4:$E$5000,100,0)</f>
        <v>100</v>
      </c>
      <c r="O286" s="9" t="str">
        <f>IF(N286=0,_xlfn.XLOOKUP(F286,'Raw Data'!$I$4:$I$5000,'Raw Data'!$H$4:$H$5000,"",0),"")</f>
        <v/>
      </c>
      <c r="P286" s="9" t="str" cm="1">
        <f t="array" aca="1" ref="P286" ca="1">IF(INDIRECT(M286) = "","",INDIRECT(M286))</f>
        <v/>
      </c>
      <c r="Q286" s="359" t="s">
        <v>4381</v>
      </c>
    </row>
    <row r="287" spans="1:17" x14ac:dyDescent="0.35">
      <c r="A287" t="s">
        <v>2461</v>
      </c>
      <c r="E287" t="str">
        <f>_xlfn.XLOOKUP(F287,'Raw Data'!$I$4:$I$5000,'Raw Data'!$D$4:$D$5000,"*** Mnemonic not found ***",0)</f>
        <v>*** Mnemonic not found ***</v>
      </c>
      <c r="F287" t="str">
        <f t="shared" si="112"/>
        <v>SUCMALT3AAA_GRTR20__</v>
      </c>
      <c r="H287" s="9" t="s">
        <v>1137</v>
      </c>
      <c r="K287" s="9">
        <f t="shared" si="123"/>
        <v>143</v>
      </c>
      <c r="L287" s="9" t="str">
        <f t="shared" si="122"/>
        <v>F</v>
      </c>
      <c r="M287" s="9" t="str">
        <f t="shared" si="117"/>
        <v>Input!F143</v>
      </c>
      <c r="N287" s="9">
        <f>_xlfn.XLOOKUP(F287,'Raw Data'!$I$4:$I$5000,'Raw Data'!$E$4:$E$5000,100,0)</f>
        <v>100</v>
      </c>
      <c r="O287" s="9" t="str">
        <f>IF(N287=0,_xlfn.XLOOKUP(F287,'Raw Data'!$I$4:$I$5000,'Raw Data'!$H$4:$H$5000,"",0),"")</f>
        <v/>
      </c>
      <c r="P287" s="9" t="str" cm="1">
        <f t="array" aca="1" ref="P287" ca="1">IF(INDIRECT(M287) = "","",INDIRECT(M287))</f>
        <v/>
      </c>
      <c r="Q287" s="359" t="s">
        <v>4381</v>
      </c>
    </row>
    <row r="288" spans="1:17" x14ac:dyDescent="0.35">
      <c r="A288" t="s">
        <v>2477</v>
      </c>
      <c r="E288" t="str">
        <f>_xlfn.XLOOKUP(F288,'Raw Data'!$I$4:$I$5000,'Raw Data'!$D$4:$D$5000,"*** Mnemonic not found ***",0)</f>
        <v>*** Mnemonic not found ***</v>
      </c>
      <c r="F288" t="str">
        <f t="shared" si="112"/>
        <v>SUCMALT3AA_LESS1__</v>
      </c>
      <c r="H288" s="9" t="s">
        <v>1137</v>
      </c>
      <c r="K288" s="9">
        <f>K283</f>
        <v>139</v>
      </c>
      <c r="L288" s="9" t="s">
        <v>1145</v>
      </c>
      <c r="M288" s="9" t="str">
        <f t="shared" si="117"/>
        <v>Input!G139</v>
      </c>
      <c r="N288" s="9">
        <f>_xlfn.XLOOKUP(F288,'Raw Data'!$I$4:$I$5000,'Raw Data'!$E$4:$E$5000,100,0)</f>
        <v>100</v>
      </c>
      <c r="O288" s="9" t="str">
        <f>IF(N288=0,_xlfn.XLOOKUP(F288,'Raw Data'!$I$4:$I$5000,'Raw Data'!$H$4:$H$5000,"",0),"")</f>
        <v/>
      </c>
      <c r="P288" s="9" t="str" cm="1">
        <f t="array" aca="1" ref="P288" ca="1">IF(INDIRECT(M288) = "","",INDIRECT(M288))</f>
        <v/>
      </c>
      <c r="Q288" s="359" t="s">
        <v>4381</v>
      </c>
    </row>
    <row r="289" spans="1:17" x14ac:dyDescent="0.35">
      <c r="A289" t="s">
        <v>2478</v>
      </c>
      <c r="E289" t="str">
        <f>_xlfn.XLOOKUP(F289,'Raw Data'!$I$4:$I$5000,'Raw Data'!$D$4:$D$5000,"*** Mnemonic not found ***",0)</f>
        <v>*** Mnemonic not found ***</v>
      </c>
      <c r="F289" t="str">
        <f t="shared" si="112"/>
        <v>SUCMALT3AA_1TO5__</v>
      </c>
      <c r="H289" s="9" t="s">
        <v>1137</v>
      </c>
      <c r="K289" s="9">
        <f>K288+1</f>
        <v>140</v>
      </c>
      <c r="L289" s="9" t="str">
        <f t="shared" ref="L289:L292" si="124">L288</f>
        <v>G</v>
      </c>
      <c r="M289" s="9" t="str">
        <f t="shared" si="117"/>
        <v>Input!G140</v>
      </c>
      <c r="N289" s="9">
        <f>_xlfn.XLOOKUP(F289,'Raw Data'!$I$4:$I$5000,'Raw Data'!$E$4:$E$5000,100,0)</f>
        <v>100</v>
      </c>
      <c r="O289" s="9" t="str">
        <f>IF(N289=0,_xlfn.XLOOKUP(F289,'Raw Data'!$I$4:$I$5000,'Raw Data'!$H$4:$H$5000,"",0),"")</f>
        <v/>
      </c>
      <c r="P289" s="9" t="str" cm="1">
        <f t="array" aca="1" ref="P289" ca="1">IF(INDIRECT(M289) = "","",INDIRECT(M289))</f>
        <v/>
      </c>
      <c r="Q289" s="359" t="s">
        <v>4381</v>
      </c>
    </row>
    <row r="290" spans="1:17" x14ac:dyDescent="0.35">
      <c r="A290" t="s">
        <v>2479</v>
      </c>
      <c r="E290" t="str">
        <f>_xlfn.XLOOKUP(F290,'Raw Data'!$I$4:$I$5000,'Raw Data'!$D$4:$D$5000,"*** Mnemonic not found ***",0)</f>
        <v>*** Mnemonic not found ***</v>
      </c>
      <c r="F290" t="str">
        <f t="shared" si="112"/>
        <v>SUCMALT3AA_5TO10__</v>
      </c>
      <c r="H290" s="9" t="s">
        <v>1137</v>
      </c>
      <c r="K290" s="9">
        <f t="shared" ref="K290:K292" si="125">K289+1</f>
        <v>141</v>
      </c>
      <c r="L290" s="9" t="str">
        <f t="shared" si="124"/>
        <v>G</v>
      </c>
      <c r="M290" s="9" t="str">
        <f t="shared" si="117"/>
        <v>Input!G141</v>
      </c>
      <c r="N290" s="9">
        <f>_xlfn.XLOOKUP(F290,'Raw Data'!$I$4:$I$5000,'Raw Data'!$E$4:$E$5000,100,0)</f>
        <v>100</v>
      </c>
      <c r="O290" s="9" t="str">
        <f>IF(N290=0,_xlfn.XLOOKUP(F290,'Raw Data'!$I$4:$I$5000,'Raw Data'!$H$4:$H$5000,"",0),"")</f>
        <v/>
      </c>
      <c r="P290" s="9" t="str" cm="1">
        <f t="array" aca="1" ref="P290" ca="1">IF(INDIRECT(M290) = "","",INDIRECT(M290))</f>
        <v/>
      </c>
      <c r="Q290" s="359" t="s">
        <v>4381</v>
      </c>
    </row>
    <row r="291" spans="1:17" x14ac:dyDescent="0.35">
      <c r="A291" t="s">
        <v>2480</v>
      </c>
      <c r="E291" t="str">
        <f>_xlfn.XLOOKUP(F291,'Raw Data'!$I$4:$I$5000,'Raw Data'!$D$4:$D$5000,"*** Mnemonic not found ***",0)</f>
        <v>*** Mnemonic not found ***</v>
      </c>
      <c r="F291" t="str">
        <f t="shared" si="112"/>
        <v>SUCMALT3AA_10TO20__</v>
      </c>
      <c r="H291" s="9" t="s">
        <v>1137</v>
      </c>
      <c r="K291" s="9">
        <f t="shared" si="125"/>
        <v>142</v>
      </c>
      <c r="L291" s="9" t="str">
        <f t="shared" si="124"/>
        <v>G</v>
      </c>
      <c r="M291" s="9" t="str">
        <f t="shared" si="117"/>
        <v>Input!G142</v>
      </c>
      <c r="N291" s="9">
        <f>_xlfn.XLOOKUP(F291,'Raw Data'!$I$4:$I$5000,'Raw Data'!$E$4:$E$5000,100,0)</f>
        <v>100</v>
      </c>
      <c r="O291" s="9" t="str">
        <f>IF(N291=0,_xlfn.XLOOKUP(F291,'Raw Data'!$I$4:$I$5000,'Raw Data'!$H$4:$H$5000,"",0),"")</f>
        <v/>
      </c>
      <c r="P291" s="9" t="str" cm="1">
        <f t="array" aca="1" ref="P291" ca="1">IF(INDIRECT(M291) = "","",INDIRECT(M291))</f>
        <v/>
      </c>
      <c r="Q291" s="359" t="s">
        <v>4381</v>
      </c>
    </row>
    <row r="292" spans="1:17" x14ac:dyDescent="0.35">
      <c r="A292" t="s">
        <v>2481</v>
      </c>
      <c r="E292" t="str">
        <f>_xlfn.XLOOKUP(F292,'Raw Data'!$I$4:$I$5000,'Raw Data'!$D$4:$D$5000,"*** Mnemonic not found ***",0)</f>
        <v>*** Mnemonic not found ***</v>
      </c>
      <c r="F292" t="str">
        <f t="shared" si="112"/>
        <v>SUCMALT3AA_GRTR20__</v>
      </c>
      <c r="H292" s="9" t="s">
        <v>1137</v>
      </c>
      <c r="K292" s="9">
        <f t="shared" si="125"/>
        <v>143</v>
      </c>
      <c r="L292" s="9" t="str">
        <f t="shared" si="124"/>
        <v>G</v>
      </c>
      <c r="M292" s="9" t="str">
        <f t="shared" si="117"/>
        <v>Input!G143</v>
      </c>
      <c r="N292" s="9">
        <f>_xlfn.XLOOKUP(F292,'Raw Data'!$I$4:$I$5000,'Raw Data'!$E$4:$E$5000,100,0)</f>
        <v>100</v>
      </c>
      <c r="O292" s="9" t="str">
        <f>IF(N292=0,_xlfn.XLOOKUP(F292,'Raw Data'!$I$4:$I$5000,'Raw Data'!$H$4:$H$5000,"",0),"")</f>
        <v/>
      </c>
      <c r="P292" s="9" t="str" cm="1">
        <f t="array" aca="1" ref="P292" ca="1">IF(INDIRECT(M292) = "","",INDIRECT(M292))</f>
        <v/>
      </c>
      <c r="Q292" s="359" t="s">
        <v>4381</v>
      </c>
    </row>
    <row r="293" spans="1:17" x14ac:dyDescent="0.35">
      <c r="A293" t="s">
        <v>2497</v>
      </c>
      <c r="E293" t="str">
        <f>_xlfn.XLOOKUP(F293,'Raw Data'!$I$4:$I$5000,'Raw Data'!$D$4:$D$5000,"*** Mnemonic not found ***",0)</f>
        <v>*** Mnemonic not found ***</v>
      </c>
      <c r="F293" t="str">
        <f t="shared" si="112"/>
        <v>SUCMALT3A_LESS1__</v>
      </c>
      <c r="H293" s="9" t="s">
        <v>1137</v>
      </c>
      <c r="K293" s="9">
        <f>K288</f>
        <v>139</v>
      </c>
      <c r="L293" s="9" t="s">
        <v>1144</v>
      </c>
      <c r="M293" s="9" t="str">
        <f t="shared" si="117"/>
        <v>Input!H139</v>
      </c>
      <c r="N293" s="9">
        <f>_xlfn.XLOOKUP(F293,'Raw Data'!$I$4:$I$5000,'Raw Data'!$E$4:$E$5000,100,0)</f>
        <v>100</v>
      </c>
      <c r="O293" s="9" t="str">
        <f>IF(N293=0,_xlfn.XLOOKUP(F293,'Raw Data'!$I$4:$I$5000,'Raw Data'!$H$4:$H$5000,"",0),"")</f>
        <v/>
      </c>
      <c r="P293" s="9" t="str" cm="1">
        <f t="array" aca="1" ref="P293" ca="1">IF(INDIRECT(M293) = "","",INDIRECT(M293))</f>
        <v/>
      </c>
      <c r="Q293" s="359" t="s">
        <v>4381</v>
      </c>
    </row>
    <row r="294" spans="1:17" x14ac:dyDescent="0.35">
      <c r="A294" t="s">
        <v>2498</v>
      </c>
      <c r="E294" t="str">
        <f>_xlfn.XLOOKUP(F294,'Raw Data'!$I$4:$I$5000,'Raw Data'!$D$4:$D$5000,"*** Mnemonic not found ***",0)</f>
        <v>*** Mnemonic not found ***</v>
      </c>
      <c r="F294" t="str">
        <f t="shared" si="112"/>
        <v>SUCMALT3A_1TO5__</v>
      </c>
      <c r="H294" s="9" t="s">
        <v>1137</v>
      </c>
      <c r="K294" s="9">
        <f>K293+1</f>
        <v>140</v>
      </c>
      <c r="L294" s="9" t="str">
        <f t="shared" ref="L294:L297" si="126">L293</f>
        <v>H</v>
      </c>
      <c r="M294" s="9" t="str">
        <f t="shared" si="117"/>
        <v>Input!H140</v>
      </c>
      <c r="N294" s="9">
        <f>_xlfn.XLOOKUP(F294,'Raw Data'!$I$4:$I$5000,'Raw Data'!$E$4:$E$5000,100,0)</f>
        <v>100</v>
      </c>
      <c r="O294" s="9" t="str">
        <f>IF(N294=0,_xlfn.XLOOKUP(F294,'Raw Data'!$I$4:$I$5000,'Raw Data'!$H$4:$H$5000,"",0),"")</f>
        <v/>
      </c>
      <c r="P294" s="9" t="str" cm="1">
        <f t="array" aca="1" ref="P294" ca="1">IF(INDIRECT(M294) = "","",INDIRECT(M294))</f>
        <v/>
      </c>
      <c r="Q294" s="359" t="s">
        <v>4381</v>
      </c>
    </row>
    <row r="295" spans="1:17" x14ac:dyDescent="0.35">
      <c r="A295" t="s">
        <v>2499</v>
      </c>
      <c r="E295" t="str">
        <f>_xlfn.XLOOKUP(F295,'Raw Data'!$I$4:$I$5000,'Raw Data'!$D$4:$D$5000,"*** Mnemonic not found ***",0)</f>
        <v>*** Mnemonic not found ***</v>
      </c>
      <c r="F295" t="str">
        <f t="shared" si="112"/>
        <v>SUCMALT3A_5TO10__</v>
      </c>
      <c r="H295" s="9" t="s">
        <v>1137</v>
      </c>
      <c r="K295" s="9">
        <f t="shared" ref="K295:K297" si="127">K294+1</f>
        <v>141</v>
      </c>
      <c r="L295" s="9" t="str">
        <f t="shared" si="126"/>
        <v>H</v>
      </c>
      <c r="M295" s="9" t="str">
        <f t="shared" si="117"/>
        <v>Input!H141</v>
      </c>
      <c r="N295" s="9">
        <f>_xlfn.XLOOKUP(F295,'Raw Data'!$I$4:$I$5000,'Raw Data'!$E$4:$E$5000,100,0)</f>
        <v>100</v>
      </c>
      <c r="O295" s="9" t="str">
        <f>IF(N295=0,_xlfn.XLOOKUP(F295,'Raw Data'!$I$4:$I$5000,'Raw Data'!$H$4:$H$5000,"",0),"")</f>
        <v/>
      </c>
      <c r="P295" s="9" t="str" cm="1">
        <f t="array" aca="1" ref="P295" ca="1">IF(INDIRECT(M295) = "","",INDIRECT(M295))</f>
        <v/>
      </c>
      <c r="Q295" s="359" t="s">
        <v>4381</v>
      </c>
    </row>
    <row r="296" spans="1:17" x14ac:dyDescent="0.35">
      <c r="A296" t="s">
        <v>2500</v>
      </c>
      <c r="E296" t="str">
        <f>_xlfn.XLOOKUP(F296,'Raw Data'!$I$4:$I$5000,'Raw Data'!$D$4:$D$5000,"*** Mnemonic not found ***",0)</f>
        <v>*** Mnemonic not found ***</v>
      </c>
      <c r="F296" t="str">
        <f t="shared" si="112"/>
        <v>SUCMALT3A_10TO20__</v>
      </c>
      <c r="H296" s="9" t="s">
        <v>1137</v>
      </c>
      <c r="K296" s="9">
        <f t="shared" si="127"/>
        <v>142</v>
      </c>
      <c r="L296" s="9" t="str">
        <f t="shared" si="126"/>
        <v>H</v>
      </c>
      <c r="M296" s="9" t="str">
        <f t="shared" si="117"/>
        <v>Input!H142</v>
      </c>
      <c r="N296" s="9">
        <f>_xlfn.XLOOKUP(F296,'Raw Data'!$I$4:$I$5000,'Raw Data'!$E$4:$E$5000,100,0)</f>
        <v>100</v>
      </c>
      <c r="O296" s="9" t="str">
        <f>IF(N296=0,_xlfn.XLOOKUP(F296,'Raw Data'!$I$4:$I$5000,'Raw Data'!$H$4:$H$5000,"",0),"")</f>
        <v/>
      </c>
      <c r="P296" s="9" t="str" cm="1">
        <f t="array" aca="1" ref="P296" ca="1">IF(INDIRECT(M296) = "","",INDIRECT(M296))</f>
        <v/>
      </c>
      <c r="Q296" s="359" t="s">
        <v>4381</v>
      </c>
    </row>
    <row r="297" spans="1:17" x14ac:dyDescent="0.35">
      <c r="A297" t="s">
        <v>2501</v>
      </c>
      <c r="E297" t="str">
        <f>_xlfn.XLOOKUP(F297,'Raw Data'!$I$4:$I$5000,'Raw Data'!$D$4:$D$5000,"*** Mnemonic not found ***",0)</f>
        <v>*** Mnemonic not found ***</v>
      </c>
      <c r="F297" t="str">
        <f t="shared" si="112"/>
        <v>SUCMALT3A_GRTR20__</v>
      </c>
      <c r="H297" s="9" t="s">
        <v>1137</v>
      </c>
      <c r="K297" s="9">
        <f t="shared" si="127"/>
        <v>143</v>
      </c>
      <c r="L297" s="9" t="str">
        <f t="shared" si="126"/>
        <v>H</v>
      </c>
      <c r="M297" s="9" t="str">
        <f t="shared" si="117"/>
        <v>Input!H143</v>
      </c>
      <c r="N297" s="9">
        <f>_xlfn.XLOOKUP(F297,'Raw Data'!$I$4:$I$5000,'Raw Data'!$E$4:$E$5000,100,0)</f>
        <v>100</v>
      </c>
      <c r="O297" s="9" t="str">
        <f>IF(N297=0,_xlfn.XLOOKUP(F297,'Raw Data'!$I$4:$I$5000,'Raw Data'!$H$4:$H$5000,"",0),"")</f>
        <v/>
      </c>
      <c r="P297" s="9" t="str" cm="1">
        <f t="array" aca="1" ref="P297" ca="1">IF(INDIRECT(M297) = "","",INDIRECT(M297))</f>
        <v/>
      </c>
      <c r="Q297" s="359" t="s">
        <v>4381</v>
      </c>
    </row>
    <row r="298" spans="1:17" x14ac:dyDescent="0.35">
      <c r="A298" t="s">
        <v>2517</v>
      </c>
      <c r="E298" t="str">
        <f>_xlfn.XLOOKUP(F298,'Raw Data'!$I$4:$I$5000,'Raw Data'!$D$4:$D$5000,"*** Mnemonic not found ***",0)</f>
        <v>*** Mnemonic not found ***</v>
      </c>
      <c r="F298" t="str">
        <f t="shared" si="112"/>
        <v>SUCMALT3BBB_LESS1__</v>
      </c>
      <c r="H298" s="9" t="s">
        <v>1137</v>
      </c>
      <c r="K298" s="9">
        <f>K293</f>
        <v>139</v>
      </c>
      <c r="L298" s="9" t="s">
        <v>1375</v>
      </c>
      <c r="M298" s="9" t="str">
        <f t="shared" si="117"/>
        <v>Input!I139</v>
      </c>
      <c r="N298" s="9">
        <f>_xlfn.XLOOKUP(F298,'Raw Data'!$I$4:$I$5000,'Raw Data'!$E$4:$E$5000,100,0)</f>
        <v>100</v>
      </c>
      <c r="O298" s="9" t="str">
        <f>IF(N298=0,_xlfn.XLOOKUP(F298,'Raw Data'!$I$4:$I$5000,'Raw Data'!$H$4:$H$5000,"",0),"")</f>
        <v/>
      </c>
      <c r="P298" s="9" t="str" cm="1">
        <f t="array" aca="1" ref="P298" ca="1">IF(INDIRECT(M298) = "","",INDIRECT(M298))</f>
        <v/>
      </c>
      <c r="Q298" s="359" t="s">
        <v>4381</v>
      </c>
    </row>
    <row r="299" spans="1:17" x14ac:dyDescent="0.35">
      <c r="A299" t="s">
        <v>2518</v>
      </c>
      <c r="E299" t="str">
        <f>_xlfn.XLOOKUP(F299,'Raw Data'!$I$4:$I$5000,'Raw Data'!$D$4:$D$5000,"*** Mnemonic not found ***",0)</f>
        <v>*** Mnemonic not found ***</v>
      </c>
      <c r="F299" t="str">
        <f t="shared" si="112"/>
        <v>SUCMALT3BBB_1TO5__</v>
      </c>
      <c r="H299" s="9" t="s">
        <v>1137</v>
      </c>
      <c r="K299" s="9">
        <f>K298+1</f>
        <v>140</v>
      </c>
      <c r="L299" s="9" t="str">
        <f t="shared" ref="L299:L302" si="128">L298</f>
        <v>I</v>
      </c>
      <c r="M299" s="9" t="str">
        <f t="shared" si="117"/>
        <v>Input!I140</v>
      </c>
      <c r="N299" s="9">
        <f>_xlfn.XLOOKUP(F299,'Raw Data'!$I$4:$I$5000,'Raw Data'!$E$4:$E$5000,100,0)</f>
        <v>100</v>
      </c>
      <c r="O299" s="9" t="str">
        <f>IF(N299=0,_xlfn.XLOOKUP(F299,'Raw Data'!$I$4:$I$5000,'Raw Data'!$H$4:$H$5000,"",0),"")</f>
        <v/>
      </c>
      <c r="P299" s="9" t="str" cm="1">
        <f t="array" aca="1" ref="P299" ca="1">IF(INDIRECT(M299) = "","",INDIRECT(M299))</f>
        <v/>
      </c>
      <c r="Q299" s="359" t="s">
        <v>4381</v>
      </c>
    </row>
    <row r="300" spans="1:17" x14ac:dyDescent="0.35">
      <c r="A300" t="s">
        <v>2519</v>
      </c>
      <c r="E300" t="str">
        <f>_xlfn.XLOOKUP(F300,'Raw Data'!$I$4:$I$5000,'Raw Data'!$D$4:$D$5000,"*** Mnemonic not found ***",0)</f>
        <v>*** Mnemonic not found ***</v>
      </c>
      <c r="F300" t="str">
        <f t="shared" si="112"/>
        <v>SUCMALT3BBB_5TO10__</v>
      </c>
      <c r="H300" s="9" t="s">
        <v>1137</v>
      </c>
      <c r="K300" s="9">
        <f t="shared" ref="K300:K302" si="129">K299+1</f>
        <v>141</v>
      </c>
      <c r="L300" s="9" t="str">
        <f t="shared" si="128"/>
        <v>I</v>
      </c>
      <c r="M300" s="9" t="str">
        <f t="shared" si="117"/>
        <v>Input!I141</v>
      </c>
      <c r="N300" s="9">
        <f>_xlfn.XLOOKUP(F300,'Raw Data'!$I$4:$I$5000,'Raw Data'!$E$4:$E$5000,100,0)</f>
        <v>100</v>
      </c>
      <c r="O300" s="9" t="str">
        <f>IF(N300=0,_xlfn.XLOOKUP(F300,'Raw Data'!$I$4:$I$5000,'Raw Data'!$H$4:$H$5000,"",0),"")</f>
        <v/>
      </c>
      <c r="P300" s="9" t="str" cm="1">
        <f t="array" aca="1" ref="P300" ca="1">IF(INDIRECT(M300) = "","",INDIRECT(M300))</f>
        <v/>
      </c>
      <c r="Q300" s="359" t="s">
        <v>4381</v>
      </c>
    </row>
    <row r="301" spans="1:17" x14ac:dyDescent="0.35">
      <c r="A301" t="s">
        <v>2520</v>
      </c>
      <c r="E301" t="str">
        <f>_xlfn.XLOOKUP(F301,'Raw Data'!$I$4:$I$5000,'Raw Data'!$D$4:$D$5000,"*** Mnemonic not found ***",0)</f>
        <v>*** Mnemonic not found ***</v>
      </c>
      <c r="F301" t="str">
        <f t="shared" si="112"/>
        <v>SUCMALT3BBB_10TO20__</v>
      </c>
      <c r="H301" s="9" t="s">
        <v>1137</v>
      </c>
      <c r="K301" s="9">
        <f t="shared" si="129"/>
        <v>142</v>
      </c>
      <c r="L301" s="9" t="str">
        <f t="shared" si="128"/>
        <v>I</v>
      </c>
      <c r="M301" s="9" t="str">
        <f t="shared" si="117"/>
        <v>Input!I142</v>
      </c>
      <c r="N301" s="9">
        <f>_xlfn.XLOOKUP(F301,'Raw Data'!$I$4:$I$5000,'Raw Data'!$E$4:$E$5000,100,0)</f>
        <v>100</v>
      </c>
      <c r="O301" s="9" t="str">
        <f>IF(N301=0,_xlfn.XLOOKUP(F301,'Raw Data'!$I$4:$I$5000,'Raw Data'!$H$4:$H$5000,"",0),"")</f>
        <v/>
      </c>
      <c r="P301" s="9" t="str" cm="1">
        <f t="array" aca="1" ref="P301" ca="1">IF(INDIRECT(M301) = "","",INDIRECT(M301))</f>
        <v/>
      </c>
      <c r="Q301" s="359" t="s">
        <v>4381</v>
      </c>
    </row>
    <row r="302" spans="1:17" x14ac:dyDescent="0.35">
      <c r="A302" t="s">
        <v>2521</v>
      </c>
      <c r="E302" t="str">
        <f>_xlfn.XLOOKUP(F302,'Raw Data'!$I$4:$I$5000,'Raw Data'!$D$4:$D$5000,"*** Mnemonic not found ***",0)</f>
        <v>*** Mnemonic not found ***</v>
      </c>
      <c r="F302" t="str">
        <f t="shared" si="112"/>
        <v>SUCMALT3BBB_GRTR20__</v>
      </c>
      <c r="H302" s="9" t="s">
        <v>1137</v>
      </c>
      <c r="K302" s="9">
        <f t="shared" si="129"/>
        <v>143</v>
      </c>
      <c r="L302" s="9" t="str">
        <f t="shared" si="128"/>
        <v>I</v>
      </c>
      <c r="M302" s="9" t="str">
        <f t="shared" si="117"/>
        <v>Input!I143</v>
      </c>
      <c r="N302" s="9">
        <f>_xlfn.XLOOKUP(F302,'Raw Data'!$I$4:$I$5000,'Raw Data'!$E$4:$E$5000,100,0)</f>
        <v>100</v>
      </c>
      <c r="O302" s="9" t="str">
        <f>IF(N302=0,_xlfn.XLOOKUP(F302,'Raw Data'!$I$4:$I$5000,'Raw Data'!$H$4:$H$5000,"",0),"")</f>
        <v/>
      </c>
      <c r="P302" s="9" t="str" cm="1">
        <f t="array" aca="1" ref="P302" ca="1">IF(INDIRECT(M302) = "","",INDIRECT(M302))</f>
        <v/>
      </c>
      <c r="Q302" s="359" t="s">
        <v>4381</v>
      </c>
    </row>
    <row r="303" spans="1:17" x14ac:dyDescent="0.35">
      <c r="A303" t="s">
        <v>2537</v>
      </c>
      <c r="E303" t="str">
        <f>_xlfn.XLOOKUP(F303,'Raw Data'!$I$4:$I$5000,'Raw Data'!$D$4:$D$5000,"*** Mnemonic not found ***",0)</f>
        <v>*** Mnemonic not found ***</v>
      </c>
      <c r="F303" t="str">
        <f t="shared" si="112"/>
        <v>SUCMALT3BB_LESS1__</v>
      </c>
      <c r="H303" s="9" t="s">
        <v>1137</v>
      </c>
      <c r="K303" s="9">
        <f>K298</f>
        <v>139</v>
      </c>
      <c r="L303" s="9" t="s">
        <v>1376</v>
      </c>
      <c r="M303" s="9" t="str">
        <f t="shared" si="117"/>
        <v>Input!J139</v>
      </c>
      <c r="N303" s="9">
        <f>_xlfn.XLOOKUP(F303,'Raw Data'!$I$4:$I$5000,'Raw Data'!$E$4:$E$5000,100,0)</f>
        <v>100</v>
      </c>
      <c r="O303" s="9" t="str">
        <f>IF(N303=0,_xlfn.XLOOKUP(F303,'Raw Data'!$I$4:$I$5000,'Raw Data'!$H$4:$H$5000,"",0),"")</f>
        <v/>
      </c>
      <c r="P303" s="9" t="str" cm="1">
        <f t="array" aca="1" ref="P303" ca="1">IF(INDIRECT(M303) = "","",INDIRECT(M303))</f>
        <v/>
      </c>
      <c r="Q303" s="359" t="s">
        <v>4381</v>
      </c>
    </row>
    <row r="304" spans="1:17" x14ac:dyDescent="0.35">
      <c r="A304" t="s">
        <v>2538</v>
      </c>
      <c r="E304" t="str">
        <f>_xlfn.XLOOKUP(F304,'Raw Data'!$I$4:$I$5000,'Raw Data'!$D$4:$D$5000,"*** Mnemonic not found ***",0)</f>
        <v>*** Mnemonic not found ***</v>
      </c>
      <c r="F304" t="str">
        <f t="shared" si="112"/>
        <v>SUCMALT3BB_1TO5__</v>
      </c>
      <c r="H304" s="9" t="s">
        <v>1137</v>
      </c>
      <c r="K304" s="9">
        <f>K303+1</f>
        <v>140</v>
      </c>
      <c r="L304" s="9" t="str">
        <f t="shared" ref="L304:L307" si="130">L303</f>
        <v>J</v>
      </c>
      <c r="M304" s="9" t="str">
        <f t="shared" si="117"/>
        <v>Input!J140</v>
      </c>
      <c r="N304" s="9">
        <f>_xlfn.XLOOKUP(F304,'Raw Data'!$I$4:$I$5000,'Raw Data'!$E$4:$E$5000,100,0)</f>
        <v>100</v>
      </c>
      <c r="O304" s="9" t="str">
        <f>IF(N304=0,_xlfn.XLOOKUP(F304,'Raw Data'!$I$4:$I$5000,'Raw Data'!$H$4:$H$5000,"",0),"")</f>
        <v/>
      </c>
      <c r="P304" s="9" t="str" cm="1">
        <f t="array" aca="1" ref="P304" ca="1">IF(INDIRECT(M304) = "","",INDIRECT(M304))</f>
        <v/>
      </c>
      <c r="Q304" s="359" t="s">
        <v>4381</v>
      </c>
    </row>
    <row r="305" spans="1:17" x14ac:dyDescent="0.35">
      <c r="A305" t="s">
        <v>2539</v>
      </c>
      <c r="E305" t="str">
        <f>_xlfn.XLOOKUP(F305,'Raw Data'!$I$4:$I$5000,'Raw Data'!$D$4:$D$5000,"*** Mnemonic not found ***",0)</f>
        <v>*** Mnemonic not found ***</v>
      </c>
      <c r="F305" t="str">
        <f t="shared" si="112"/>
        <v>SUCMALT3BB_5TO10__</v>
      </c>
      <c r="H305" s="9" t="s">
        <v>1137</v>
      </c>
      <c r="K305" s="9">
        <f t="shared" ref="K305:K307" si="131">K304+1</f>
        <v>141</v>
      </c>
      <c r="L305" s="9" t="str">
        <f t="shared" si="130"/>
        <v>J</v>
      </c>
      <c r="M305" s="9" t="str">
        <f t="shared" si="117"/>
        <v>Input!J141</v>
      </c>
      <c r="N305" s="9">
        <f>_xlfn.XLOOKUP(F305,'Raw Data'!$I$4:$I$5000,'Raw Data'!$E$4:$E$5000,100,0)</f>
        <v>100</v>
      </c>
      <c r="O305" s="9" t="str">
        <f>IF(N305=0,_xlfn.XLOOKUP(F305,'Raw Data'!$I$4:$I$5000,'Raw Data'!$H$4:$H$5000,"",0),"")</f>
        <v/>
      </c>
      <c r="P305" s="9" t="str" cm="1">
        <f t="array" aca="1" ref="P305" ca="1">IF(INDIRECT(M305) = "","",INDIRECT(M305))</f>
        <v/>
      </c>
      <c r="Q305" s="359" t="s">
        <v>4381</v>
      </c>
    </row>
    <row r="306" spans="1:17" x14ac:dyDescent="0.35">
      <c r="A306" t="s">
        <v>2540</v>
      </c>
      <c r="E306" t="str">
        <f>_xlfn.XLOOKUP(F306,'Raw Data'!$I$4:$I$5000,'Raw Data'!$D$4:$D$5000,"*** Mnemonic not found ***",0)</f>
        <v>*** Mnemonic not found ***</v>
      </c>
      <c r="F306" t="str">
        <f t="shared" si="112"/>
        <v>SUCMALT3BB_10TO20__</v>
      </c>
      <c r="H306" s="9" t="s">
        <v>1137</v>
      </c>
      <c r="K306" s="9">
        <f t="shared" si="131"/>
        <v>142</v>
      </c>
      <c r="L306" s="9" t="str">
        <f t="shared" si="130"/>
        <v>J</v>
      </c>
      <c r="M306" s="9" t="str">
        <f t="shared" si="117"/>
        <v>Input!J142</v>
      </c>
      <c r="N306" s="9">
        <f>_xlfn.XLOOKUP(F306,'Raw Data'!$I$4:$I$5000,'Raw Data'!$E$4:$E$5000,100,0)</f>
        <v>100</v>
      </c>
      <c r="O306" s="9" t="str">
        <f>IF(N306=0,_xlfn.XLOOKUP(F306,'Raw Data'!$I$4:$I$5000,'Raw Data'!$H$4:$H$5000,"",0),"")</f>
        <v/>
      </c>
      <c r="P306" s="9" t="str" cm="1">
        <f t="array" aca="1" ref="P306" ca="1">IF(INDIRECT(M306) = "","",INDIRECT(M306))</f>
        <v/>
      </c>
      <c r="Q306" s="359" t="s">
        <v>4381</v>
      </c>
    </row>
    <row r="307" spans="1:17" x14ac:dyDescent="0.35">
      <c r="A307" t="s">
        <v>2541</v>
      </c>
      <c r="E307" t="str">
        <f>_xlfn.XLOOKUP(F307,'Raw Data'!$I$4:$I$5000,'Raw Data'!$D$4:$D$5000,"*** Mnemonic not found ***",0)</f>
        <v>*** Mnemonic not found ***</v>
      </c>
      <c r="F307" t="str">
        <f t="shared" si="112"/>
        <v>SUCMALT3BB_GRTR20__</v>
      </c>
      <c r="H307" s="9" t="s">
        <v>1137</v>
      </c>
      <c r="K307" s="9">
        <f t="shared" si="131"/>
        <v>143</v>
      </c>
      <c r="L307" s="9" t="str">
        <f t="shared" si="130"/>
        <v>J</v>
      </c>
      <c r="M307" s="9" t="str">
        <f t="shared" si="117"/>
        <v>Input!J143</v>
      </c>
      <c r="N307" s="9">
        <f>_xlfn.XLOOKUP(F307,'Raw Data'!$I$4:$I$5000,'Raw Data'!$E$4:$E$5000,100,0)</f>
        <v>100</v>
      </c>
      <c r="O307" s="9" t="str">
        <f>IF(N307=0,_xlfn.XLOOKUP(F307,'Raw Data'!$I$4:$I$5000,'Raw Data'!$H$4:$H$5000,"",0),"")</f>
        <v/>
      </c>
      <c r="P307" s="9" t="str" cm="1">
        <f t="array" aca="1" ref="P307" ca="1">IF(INDIRECT(M307) = "","",INDIRECT(M307))</f>
        <v/>
      </c>
      <c r="Q307" s="359" t="s">
        <v>4381</v>
      </c>
    </row>
    <row r="308" spans="1:17" x14ac:dyDescent="0.35">
      <c r="A308" t="s">
        <v>2557</v>
      </c>
      <c r="E308" t="str">
        <f>_xlfn.XLOOKUP(F308,'Raw Data'!$I$4:$I$5000,'Raw Data'!$D$4:$D$5000,"*** Mnemonic not found ***",0)</f>
        <v>*** Mnemonic not found ***</v>
      </c>
      <c r="F308" t="str">
        <f t="shared" si="112"/>
        <v>SUCMALT3B_LESS1__</v>
      </c>
      <c r="H308" s="9" t="s">
        <v>1137</v>
      </c>
      <c r="K308" s="9">
        <f>K303</f>
        <v>139</v>
      </c>
      <c r="L308" s="9" t="s">
        <v>1377</v>
      </c>
      <c r="M308" s="9" t="str">
        <f t="shared" si="117"/>
        <v>Input!K139</v>
      </c>
      <c r="N308" s="9">
        <f>_xlfn.XLOOKUP(F308,'Raw Data'!$I$4:$I$5000,'Raw Data'!$E$4:$E$5000,100,0)</f>
        <v>100</v>
      </c>
      <c r="O308" s="9" t="str">
        <f>IF(N308=0,_xlfn.XLOOKUP(F308,'Raw Data'!$I$4:$I$5000,'Raw Data'!$H$4:$H$5000,"",0),"")</f>
        <v/>
      </c>
      <c r="P308" s="9" t="str" cm="1">
        <f t="array" aca="1" ref="P308" ca="1">IF(INDIRECT(M308) = "","",INDIRECT(M308))</f>
        <v/>
      </c>
      <c r="Q308" s="359" t="s">
        <v>4381</v>
      </c>
    </row>
    <row r="309" spans="1:17" x14ac:dyDescent="0.35">
      <c r="A309" t="s">
        <v>2558</v>
      </c>
      <c r="E309" t="str">
        <f>_xlfn.XLOOKUP(F309,'Raw Data'!$I$4:$I$5000,'Raw Data'!$D$4:$D$5000,"*** Mnemonic not found ***",0)</f>
        <v>*** Mnemonic not found ***</v>
      </c>
      <c r="F309" t="str">
        <f t="shared" si="112"/>
        <v>SUCMALT3B_1TO5__</v>
      </c>
      <c r="H309" s="9" t="s">
        <v>1137</v>
      </c>
      <c r="K309" s="9">
        <f>K308+1</f>
        <v>140</v>
      </c>
      <c r="L309" s="9" t="str">
        <f t="shared" ref="L309:L312" si="132">L308</f>
        <v>K</v>
      </c>
      <c r="M309" s="9" t="str">
        <f t="shared" si="117"/>
        <v>Input!K140</v>
      </c>
      <c r="N309" s="9">
        <f>_xlfn.XLOOKUP(F309,'Raw Data'!$I$4:$I$5000,'Raw Data'!$E$4:$E$5000,100,0)</f>
        <v>100</v>
      </c>
      <c r="O309" s="9" t="str">
        <f>IF(N309=0,_xlfn.XLOOKUP(F309,'Raw Data'!$I$4:$I$5000,'Raw Data'!$H$4:$H$5000,"",0),"")</f>
        <v/>
      </c>
      <c r="P309" s="9" t="str" cm="1">
        <f t="array" aca="1" ref="P309" ca="1">IF(INDIRECT(M309) = "","",INDIRECT(M309))</f>
        <v/>
      </c>
      <c r="Q309" s="359" t="s">
        <v>4381</v>
      </c>
    </row>
    <row r="310" spans="1:17" x14ac:dyDescent="0.35">
      <c r="A310" t="s">
        <v>2559</v>
      </c>
      <c r="E310" t="str">
        <f>_xlfn.XLOOKUP(F310,'Raw Data'!$I$4:$I$5000,'Raw Data'!$D$4:$D$5000,"*** Mnemonic not found ***",0)</f>
        <v>*** Mnemonic not found ***</v>
      </c>
      <c r="F310" t="str">
        <f t="shared" si="112"/>
        <v>SUCMALT3B_5TO10__</v>
      </c>
      <c r="H310" s="9" t="s">
        <v>1137</v>
      </c>
      <c r="K310" s="9">
        <f t="shared" ref="K310:K312" si="133">K309+1</f>
        <v>141</v>
      </c>
      <c r="L310" s="9" t="str">
        <f t="shared" si="132"/>
        <v>K</v>
      </c>
      <c r="M310" s="9" t="str">
        <f t="shared" si="117"/>
        <v>Input!K141</v>
      </c>
      <c r="N310" s="9">
        <f>_xlfn.XLOOKUP(F310,'Raw Data'!$I$4:$I$5000,'Raw Data'!$E$4:$E$5000,100,0)</f>
        <v>100</v>
      </c>
      <c r="O310" s="9" t="str">
        <f>IF(N310=0,_xlfn.XLOOKUP(F310,'Raw Data'!$I$4:$I$5000,'Raw Data'!$H$4:$H$5000,"",0),"")</f>
        <v/>
      </c>
      <c r="P310" s="9" t="str" cm="1">
        <f t="array" aca="1" ref="P310" ca="1">IF(INDIRECT(M310) = "","",INDIRECT(M310))</f>
        <v/>
      </c>
      <c r="Q310" s="359" t="s">
        <v>4381</v>
      </c>
    </row>
    <row r="311" spans="1:17" x14ac:dyDescent="0.35">
      <c r="A311" t="s">
        <v>2560</v>
      </c>
      <c r="E311" t="str">
        <f>_xlfn.XLOOKUP(F311,'Raw Data'!$I$4:$I$5000,'Raw Data'!$D$4:$D$5000,"*** Mnemonic not found ***",0)</f>
        <v>*** Mnemonic not found ***</v>
      </c>
      <c r="F311" t="str">
        <f t="shared" si="112"/>
        <v>SUCMALT3B_10TO20__</v>
      </c>
      <c r="H311" s="9" t="s">
        <v>1137</v>
      </c>
      <c r="K311" s="9">
        <f t="shared" si="133"/>
        <v>142</v>
      </c>
      <c r="L311" s="9" t="str">
        <f t="shared" si="132"/>
        <v>K</v>
      </c>
      <c r="M311" s="9" t="str">
        <f t="shared" si="117"/>
        <v>Input!K142</v>
      </c>
      <c r="N311" s="9">
        <f>_xlfn.XLOOKUP(F311,'Raw Data'!$I$4:$I$5000,'Raw Data'!$E$4:$E$5000,100,0)</f>
        <v>100</v>
      </c>
      <c r="O311" s="9" t="str">
        <f>IF(N311=0,_xlfn.XLOOKUP(F311,'Raw Data'!$I$4:$I$5000,'Raw Data'!$H$4:$H$5000,"",0),"")</f>
        <v/>
      </c>
      <c r="P311" s="9" t="str" cm="1">
        <f t="array" aca="1" ref="P311" ca="1">IF(INDIRECT(M311) = "","",INDIRECT(M311))</f>
        <v/>
      </c>
      <c r="Q311" s="359" t="s">
        <v>4381</v>
      </c>
    </row>
    <row r="312" spans="1:17" x14ac:dyDescent="0.35">
      <c r="A312" t="s">
        <v>2561</v>
      </c>
      <c r="E312" t="str">
        <f>_xlfn.XLOOKUP(F312,'Raw Data'!$I$4:$I$5000,'Raw Data'!$D$4:$D$5000,"*** Mnemonic not found ***",0)</f>
        <v>*** Mnemonic not found ***</v>
      </c>
      <c r="F312" t="str">
        <f t="shared" si="112"/>
        <v>SUCMALT3B_GRTR20__</v>
      </c>
      <c r="H312" s="9" t="s">
        <v>1137</v>
      </c>
      <c r="K312" s="9">
        <f t="shared" si="133"/>
        <v>143</v>
      </c>
      <c r="L312" s="9" t="str">
        <f t="shared" si="132"/>
        <v>K</v>
      </c>
      <c r="M312" s="9" t="str">
        <f t="shared" si="117"/>
        <v>Input!K143</v>
      </c>
      <c r="N312" s="9">
        <f>_xlfn.XLOOKUP(F312,'Raw Data'!$I$4:$I$5000,'Raw Data'!$E$4:$E$5000,100,0)</f>
        <v>100</v>
      </c>
      <c r="O312" s="9" t="str">
        <f>IF(N312=0,_xlfn.XLOOKUP(F312,'Raw Data'!$I$4:$I$5000,'Raw Data'!$H$4:$H$5000,"",0),"")</f>
        <v/>
      </c>
      <c r="P312" s="9" t="str" cm="1">
        <f t="array" aca="1" ref="P312" ca="1">IF(INDIRECT(M312) = "","",INDIRECT(M312))</f>
        <v/>
      </c>
      <c r="Q312" s="359" t="s">
        <v>4381</v>
      </c>
    </row>
    <row r="313" spans="1:17" x14ac:dyDescent="0.35">
      <c r="A313" t="s">
        <v>2577</v>
      </c>
      <c r="E313" t="str">
        <f>_xlfn.XLOOKUP(F313,'Raw Data'!$I$4:$I$5000,'Raw Data'!$D$4:$D$5000,"*** Mnemonic not found ***",0)</f>
        <v>*** Mnemonic not found ***</v>
      </c>
      <c r="F313" t="str">
        <f t="shared" si="112"/>
        <v>SUCMALT3CCC_LESS1__</v>
      </c>
      <c r="H313" s="9" t="s">
        <v>1137</v>
      </c>
      <c r="K313" s="9">
        <f>K308</f>
        <v>139</v>
      </c>
      <c r="L313" s="9" t="s">
        <v>1378</v>
      </c>
      <c r="M313" s="9" t="str">
        <f t="shared" si="117"/>
        <v>Input!L139</v>
      </c>
      <c r="N313" s="9">
        <f>_xlfn.XLOOKUP(F313,'Raw Data'!$I$4:$I$5000,'Raw Data'!$E$4:$E$5000,100,0)</f>
        <v>100</v>
      </c>
      <c r="O313" s="9" t="str">
        <f>IF(N313=0,_xlfn.XLOOKUP(F313,'Raw Data'!$I$4:$I$5000,'Raw Data'!$H$4:$H$5000,"",0),"")</f>
        <v/>
      </c>
      <c r="P313" s="9" t="str" cm="1">
        <f t="array" aca="1" ref="P313" ca="1">IF(INDIRECT(M313) = "","",INDIRECT(M313))</f>
        <v/>
      </c>
      <c r="Q313" s="359" t="s">
        <v>4381</v>
      </c>
    </row>
    <row r="314" spans="1:17" x14ac:dyDescent="0.35">
      <c r="A314" t="s">
        <v>2578</v>
      </c>
      <c r="E314" t="str">
        <f>_xlfn.XLOOKUP(F314,'Raw Data'!$I$4:$I$5000,'Raw Data'!$D$4:$D$5000,"*** Mnemonic not found ***",0)</f>
        <v>*** Mnemonic not found ***</v>
      </c>
      <c r="F314" t="str">
        <f t="shared" si="112"/>
        <v>SUCMALT3CCC_1TO5__</v>
      </c>
      <c r="H314" s="9" t="s">
        <v>1137</v>
      </c>
      <c r="K314" s="9">
        <f>K313+1</f>
        <v>140</v>
      </c>
      <c r="L314" s="9" t="str">
        <f t="shared" ref="L314:L317" si="134">L313</f>
        <v>L</v>
      </c>
      <c r="M314" s="9" t="str">
        <f t="shared" si="117"/>
        <v>Input!L140</v>
      </c>
      <c r="N314" s="9">
        <f>_xlfn.XLOOKUP(F314,'Raw Data'!$I$4:$I$5000,'Raw Data'!$E$4:$E$5000,100,0)</f>
        <v>100</v>
      </c>
      <c r="O314" s="9" t="str">
        <f>IF(N314=0,_xlfn.XLOOKUP(F314,'Raw Data'!$I$4:$I$5000,'Raw Data'!$H$4:$H$5000,"",0),"")</f>
        <v/>
      </c>
      <c r="P314" s="9" t="str" cm="1">
        <f t="array" aca="1" ref="P314" ca="1">IF(INDIRECT(M314) = "","",INDIRECT(M314))</f>
        <v/>
      </c>
      <c r="Q314" s="359" t="s">
        <v>4381</v>
      </c>
    </row>
    <row r="315" spans="1:17" x14ac:dyDescent="0.35">
      <c r="A315" t="s">
        <v>2579</v>
      </c>
      <c r="E315" t="str">
        <f>_xlfn.XLOOKUP(F315,'Raw Data'!$I$4:$I$5000,'Raw Data'!$D$4:$D$5000,"*** Mnemonic not found ***",0)</f>
        <v>*** Mnemonic not found ***</v>
      </c>
      <c r="F315" t="str">
        <f t="shared" si="112"/>
        <v>SUCMALT3CCC_5TO10__</v>
      </c>
      <c r="H315" s="9" t="s">
        <v>1137</v>
      </c>
      <c r="K315" s="9">
        <f t="shared" ref="K315:K317" si="135">K314+1</f>
        <v>141</v>
      </c>
      <c r="L315" s="9" t="str">
        <f t="shared" si="134"/>
        <v>L</v>
      </c>
      <c r="M315" s="9" t="str">
        <f t="shared" si="117"/>
        <v>Input!L141</v>
      </c>
      <c r="N315" s="9">
        <f>_xlfn.XLOOKUP(F315,'Raw Data'!$I$4:$I$5000,'Raw Data'!$E$4:$E$5000,100,0)</f>
        <v>100</v>
      </c>
      <c r="O315" s="9" t="str">
        <f>IF(N315=0,_xlfn.XLOOKUP(F315,'Raw Data'!$I$4:$I$5000,'Raw Data'!$H$4:$H$5000,"",0),"")</f>
        <v/>
      </c>
      <c r="P315" s="9" t="str" cm="1">
        <f t="array" aca="1" ref="P315" ca="1">IF(INDIRECT(M315) = "","",INDIRECT(M315))</f>
        <v/>
      </c>
      <c r="Q315" s="359" t="s">
        <v>4381</v>
      </c>
    </row>
    <row r="316" spans="1:17" x14ac:dyDescent="0.35">
      <c r="A316" t="s">
        <v>2580</v>
      </c>
      <c r="E316" t="str">
        <f>_xlfn.XLOOKUP(F316,'Raw Data'!$I$4:$I$5000,'Raw Data'!$D$4:$D$5000,"*** Mnemonic not found ***",0)</f>
        <v>*** Mnemonic not found ***</v>
      </c>
      <c r="F316" t="str">
        <f t="shared" si="112"/>
        <v>SUCMALT3CCC_10TO20__</v>
      </c>
      <c r="H316" s="9" t="s">
        <v>1137</v>
      </c>
      <c r="K316" s="9">
        <f t="shared" si="135"/>
        <v>142</v>
      </c>
      <c r="L316" s="9" t="str">
        <f t="shared" si="134"/>
        <v>L</v>
      </c>
      <c r="M316" s="9" t="str">
        <f t="shared" si="117"/>
        <v>Input!L142</v>
      </c>
      <c r="N316" s="9">
        <f>_xlfn.XLOOKUP(F316,'Raw Data'!$I$4:$I$5000,'Raw Data'!$E$4:$E$5000,100,0)</f>
        <v>100</v>
      </c>
      <c r="O316" s="9" t="str">
        <f>IF(N316=0,_xlfn.XLOOKUP(F316,'Raw Data'!$I$4:$I$5000,'Raw Data'!$H$4:$H$5000,"",0),"")</f>
        <v/>
      </c>
      <c r="P316" s="9" t="str" cm="1">
        <f t="array" aca="1" ref="P316" ca="1">IF(INDIRECT(M316) = "","",INDIRECT(M316))</f>
        <v/>
      </c>
      <c r="Q316" s="359" t="s">
        <v>4381</v>
      </c>
    </row>
    <row r="317" spans="1:17" x14ac:dyDescent="0.35">
      <c r="A317" t="s">
        <v>2581</v>
      </c>
      <c r="E317" t="str">
        <f>_xlfn.XLOOKUP(F317,'Raw Data'!$I$4:$I$5000,'Raw Data'!$D$4:$D$5000,"*** Mnemonic not found ***",0)</f>
        <v>*** Mnemonic not found ***</v>
      </c>
      <c r="F317" t="str">
        <f t="shared" si="112"/>
        <v>SUCMALT3CCC_GRTR20__</v>
      </c>
      <c r="H317" s="9" t="s">
        <v>1137</v>
      </c>
      <c r="K317" s="9">
        <f t="shared" si="135"/>
        <v>143</v>
      </c>
      <c r="L317" s="9" t="str">
        <f t="shared" si="134"/>
        <v>L</v>
      </c>
      <c r="M317" s="9" t="str">
        <f t="shared" si="117"/>
        <v>Input!L143</v>
      </c>
      <c r="N317" s="9">
        <f>_xlfn.XLOOKUP(F317,'Raw Data'!$I$4:$I$5000,'Raw Data'!$E$4:$E$5000,100,0)</f>
        <v>100</v>
      </c>
      <c r="O317" s="9" t="str">
        <f>IF(N317=0,_xlfn.XLOOKUP(F317,'Raw Data'!$I$4:$I$5000,'Raw Data'!$H$4:$H$5000,"",0),"")</f>
        <v/>
      </c>
      <c r="P317" s="9" t="str" cm="1">
        <f t="array" aca="1" ref="P317" ca="1">IF(INDIRECT(M317) = "","",INDIRECT(M317))</f>
        <v/>
      </c>
      <c r="Q317" s="359" t="s">
        <v>4381</v>
      </c>
    </row>
    <row r="318" spans="1:17" x14ac:dyDescent="0.35">
      <c r="A318" t="s">
        <v>2462</v>
      </c>
      <c r="E318" t="str">
        <f>_xlfn.XLOOKUP(F318,'Raw Data'!$I$4:$I$5000,'Raw Data'!$D$4:$D$5000,"*** Mnemonic not found ***",0)</f>
        <v>*** Mnemonic not found ***</v>
      </c>
      <c r="F318" t="str">
        <f t="shared" si="112"/>
        <v>SUCMALT4AAA_LESS1__</v>
      </c>
      <c r="H318" s="9" t="s">
        <v>1137</v>
      </c>
      <c r="I318" s="289">
        <f>ROW(section_bonds_sp_unrated_step_2_3)</f>
        <v>118</v>
      </c>
      <c r="J318" s="9">
        <f>J283+8</f>
        <v>29</v>
      </c>
      <c r="K318" s="9">
        <f>I318+J318</f>
        <v>147</v>
      </c>
      <c r="L318" s="9" t="s">
        <v>1124</v>
      </c>
      <c r="M318" s="9" t="str">
        <f t="shared" si="117"/>
        <v>Input!F147</v>
      </c>
      <c r="N318" s="9">
        <f>_xlfn.XLOOKUP(F318,'Raw Data'!$I$4:$I$5000,'Raw Data'!$E$4:$E$5000,100,0)</f>
        <v>100</v>
      </c>
      <c r="O318" s="9" t="str">
        <f>IF(N318=0,_xlfn.XLOOKUP(F318,'Raw Data'!$I$4:$I$5000,'Raw Data'!$H$4:$H$5000,"",0),"")</f>
        <v/>
      </c>
      <c r="P318" s="9" t="str" cm="1">
        <f t="array" aca="1" ref="P318" ca="1">IF(INDIRECT(M318) = "","",INDIRECT(M318))</f>
        <v/>
      </c>
      <c r="Q318" s="359" t="s">
        <v>4381</v>
      </c>
    </row>
    <row r="319" spans="1:17" x14ac:dyDescent="0.35">
      <c r="A319" t="s">
        <v>2463</v>
      </c>
      <c r="E319" t="str">
        <f>_xlfn.XLOOKUP(F319,'Raw Data'!$I$4:$I$5000,'Raw Data'!$D$4:$D$5000,"*** Mnemonic not found ***",0)</f>
        <v>*** Mnemonic not found ***</v>
      </c>
      <c r="F319" t="str">
        <f t="shared" si="112"/>
        <v>SUCMALT4AAA_1TO5__</v>
      </c>
      <c r="H319" s="9" t="s">
        <v>1137</v>
      </c>
      <c r="K319" s="9">
        <f>K318+1</f>
        <v>148</v>
      </c>
      <c r="L319" s="9" t="str">
        <f t="shared" ref="L319:L322" si="136">L318</f>
        <v>F</v>
      </c>
      <c r="M319" s="9" t="str">
        <f t="shared" si="117"/>
        <v>Input!F148</v>
      </c>
      <c r="N319" s="9">
        <f>_xlfn.XLOOKUP(F319,'Raw Data'!$I$4:$I$5000,'Raw Data'!$E$4:$E$5000,100,0)</f>
        <v>100</v>
      </c>
      <c r="O319" s="9" t="str">
        <f>IF(N319=0,_xlfn.XLOOKUP(F319,'Raw Data'!$I$4:$I$5000,'Raw Data'!$H$4:$H$5000,"",0),"")</f>
        <v/>
      </c>
      <c r="P319" s="9" t="str" cm="1">
        <f t="array" aca="1" ref="P319" ca="1">IF(INDIRECT(M319) = "","",INDIRECT(M319))</f>
        <v/>
      </c>
      <c r="Q319" s="359" t="s">
        <v>4381</v>
      </c>
    </row>
    <row r="320" spans="1:17" x14ac:dyDescent="0.35">
      <c r="A320" t="s">
        <v>2464</v>
      </c>
      <c r="E320" t="str">
        <f>_xlfn.XLOOKUP(F320,'Raw Data'!$I$4:$I$5000,'Raw Data'!$D$4:$D$5000,"*** Mnemonic not found ***",0)</f>
        <v>*** Mnemonic not found ***</v>
      </c>
      <c r="F320" t="str">
        <f t="shared" si="112"/>
        <v>SUCMALT4AAA_5TO10__</v>
      </c>
      <c r="H320" s="9" t="s">
        <v>1137</v>
      </c>
      <c r="K320" s="9">
        <f t="shared" ref="K320:K322" si="137">K319+1</f>
        <v>149</v>
      </c>
      <c r="L320" s="9" t="str">
        <f t="shared" si="136"/>
        <v>F</v>
      </c>
      <c r="M320" s="9" t="str">
        <f t="shared" si="117"/>
        <v>Input!F149</v>
      </c>
      <c r="N320" s="9">
        <f>_xlfn.XLOOKUP(F320,'Raw Data'!$I$4:$I$5000,'Raw Data'!$E$4:$E$5000,100,0)</f>
        <v>100</v>
      </c>
      <c r="O320" s="9" t="str">
        <f>IF(N320=0,_xlfn.XLOOKUP(F320,'Raw Data'!$I$4:$I$5000,'Raw Data'!$H$4:$H$5000,"",0),"")</f>
        <v/>
      </c>
      <c r="P320" s="9" t="str" cm="1">
        <f t="array" aca="1" ref="P320" ca="1">IF(INDIRECT(M320) = "","",INDIRECT(M320))</f>
        <v/>
      </c>
      <c r="Q320" s="359" t="s">
        <v>4381</v>
      </c>
    </row>
    <row r="321" spans="1:17" x14ac:dyDescent="0.35">
      <c r="A321" t="s">
        <v>2465</v>
      </c>
      <c r="E321" t="str">
        <f>_xlfn.XLOOKUP(F321,'Raw Data'!$I$4:$I$5000,'Raw Data'!$D$4:$D$5000,"*** Mnemonic not found ***",0)</f>
        <v>*** Mnemonic not found ***</v>
      </c>
      <c r="F321" t="str">
        <f t="shared" si="112"/>
        <v>SUCMALT4AAA_10TO20__</v>
      </c>
      <c r="H321" s="9" t="s">
        <v>1137</v>
      </c>
      <c r="K321" s="9">
        <f t="shared" si="137"/>
        <v>150</v>
      </c>
      <c r="L321" s="9" t="str">
        <f t="shared" si="136"/>
        <v>F</v>
      </c>
      <c r="M321" s="9" t="str">
        <f t="shared" si="117"/>
        <v>Input!F150</v>
      </c>
      <c r="N321" s="9">
        <f>_xlfn.XLOOKUP(F321,'Raw Data'!$I$4:$I$5000,'Raw Data'!$E$4:$E$5000,100,0)</f>
        <v>100</v>
      </c>
      <c r="O321" s="9" t="str">
        <f>IF(N321=0,_xlfn.XLOOKUP(F321,'Raw Data'!$I$4:$I$5000,'Raw Data'!$H$4:$H$5000,"",0),"")</f>
        <v/>
      </c>
      <c r="P321" s="9" t="str" cm="1">
        <f t="array" aca="1" ref="P321" ca="1">IF(INDIRECT(M321) = "","",INDIRECT(M321))</f>
        <v/>
      </c>
      <c r="Q321" s="359" t="s">
        <v>4381</v>
      </c>
    </row>
    <row r="322" spans="1:17" x14ac:dyDescent="0.35">
      <c r="A322" t="s">
        <v>2466</v>
      </c>
      <c r="E322" t="str">
        <f>_xlfn.XLOOKUP(F322,'Raw Data'!$I$4:$I$5000,'Raw Data'!$D$4:$D$5000,"*** Mnemonic not found ***",0)</f>
        <v>*** Mnemonic not found ***</v>
      </c>
      <c r="F322" t="str">
        <f t="shared" si="112"/>
        <v>SUCMALT4AAA_GRTR20__</v>
      </c>
      <c r="H322" s="9" t="s">
        <v>1137</v>
      </c>
      <c r="K322" s="9">
        <f t="shared" si="137"/>
        <v>151</v>
      </c>
      <c r="L322" s="9" t="str">
        <f t="shared" si="136"/>
        <v>F</v>
      </c>
      <c r="M322" s="9" t="str">
        <f t="shared" si="117"/>
        <v>Input!F151</v>
      </c>
      <c r="N322" s="9">
        <f>_xlfn.XLOOKUP(F322,'Raw Data'!$I$4:$I$5000,'Raw Data'!$E$4:$E$5000,100,0)</f>
        <v>100</v>
      </c>
      <c r="O322" s="9" t="str">
        <f>IF(N322=0,_xlfn.XLOOKUP(F322,'Raw Data'!$I$4:$I$5000,'Raw Data'!$H$4:$H$5000,"",0),"")</f>
        <v/>
      </c>
      <c r="P322" s="9" t="str" cm="1">
        <f t="array" aca="1" ref="P322" ca="1">IF(INDIRECT(M322) = "","",INDIRECT(M322))</f>
        <v/>
      </c>
      <c r="Q322" s="359" t="s">
        <v>4381</v>
      </c>
    </row>
    <row r="323" spans="1:17" x14ac:dyDescent="0.35">
      <c r="A323" t="s">
        <v>2482</v>
      </c>
      <c r="E323" t="str">
        <f>_xlfn.XLOOKUP(F323,'Raw Data'!$I$4:$I$5000,'Raw Data'!$D$4:$D$5000,"*** Mnemonic not found ***",0)</f>
        <v>*** Mnemonic not found ***</v>
      </c>
      <c r="F323" t="str">
        <f t="shared" si="112"/>
        <v>SUCMALT4AA_LESS1__</v>
      </c>
      <c r="H323" s="9" t="s">
        <v>1137</v>
      </c>
      <c r="K323" s="9">
        <f>K318</f>
        <v>147</v>
      </c>
      <c r="L323" s="9" t="s">
        <v>1145</v>
      </c>
      <c r="M323" s="9" t="str">
        <f t="shared" si="117"/>
        <v>Input!G147</v>
      </c>
      <c r="N323" s="9">
        <f>_xlfn.XLOOKUP(F323,'Raw Data'!$I$4:$I$5000,'Raw Data'!$E$4:$E$5000,100,0)</f>
        <v>100</v>
      </c>
      <c r="O323" s="9" t="str">
        <f>IF(N323=0,_xlfn.XLOOKUP(F323,'Raw Data'!$I$4:$I$5000,'Raw Data'!$H$4:$H$5000,"",0),"")</f>
        <v/>
      </c>
      <c r="P323" s="9" t="str" cm="1">
        <f t="array" aca="1" ref="P323" ca="1">IF(INDIRECT(M323) = "","",INDIRECT(M323))</f>
        <v/>
      </c>
      <c r="Q323" s="359" t="s">
        <v>4381</v>
      </c>
    </row>
    <row r="324" spans="1:17" x14ac:dyDescent="0.35">
      <c r="A324" t="s">
        <v>2483</v>
      </c>
      <c r="E324" t="str">
        <f>_xlfn.XLOOKUP(F324,'Raw Data'!$I$4:$I$5000,'Raw Data'!$D$4:$D$5000,"*** Mnemonic not found ***",0)</f>
        <v>*** Mnemonic not found ***</v>
      </c>
      <c r="F324" t="str">
        <f t="shared" si="112"/>
        <v>SUCMALT4AA_1TO5__</v>
      </c>
      <c r="H324" s="9" t="s">
        <v>1137</v>
      </c>
      <c r="K324" s="9">
        <f>K323+1</f>
        <v>148</v>
      </c>
      <c r="L324" s="9" t="str">
        <f t="shared" ref="L324:L327" si="138">L323</f>
        <v>G</v>
      </c>
      <c r="M324" s="9" t="str">
        <f t="shared" si="117"/>
        <v>Input!G148</v>
      </c>
      <c r="N324" s="9">
        <f>_xlfn.XLOOKUP(F324,'Raw Data'!$I$4:$I$5000,'Raw Data'!$E$4:$E$5000,100,0)</f>
        <v>100</v>
      </c>
      <c r="O324" s="9" t="str">
        <f>IF(N324=0,_xlfn.XLOOKUP(F324,'Raw Data'!$I$4:$I$5000,'Raw Data'!$H$4:$H$5000,"",0),"")</f>
        <v/>
      </c>
      <c r="P324" s="9" t="str" cm="1">
        <f t="array" aca="1" ref="P324" ca="1">IF(INDIRECT(M324) = "","",INDIRECT(M324))</f>
        <v/>
      </c>
      <c r="Q324" s="359" t="s">
        <v>4381</v>
      </c>
    </row>
    <row r="325" spans="1:17" x14ac:dyDescent="0.35">
      <c r="A325" t="s">
        <v>2484</v>
      </c>
      <c r="E325" t="str">
        <f>_xlfn.XLOOKUP(F325,'Raw Data'!$I$4:$I$5000,'Raw Data'!$D$4:$D$5000,"*** Mnemonic not found ***",0)</f>
        <v>*** Mnemonic not found ***</v>
      </c>
      <c r="F325" t="str">
        <f t="shared" ref="F325:F388" si="139">CONCATENATE(A325,"_",B325,"_",D325)</f>
        <v>SUCMALT4AA_5TO10__</v>
      </c>
      <c r="H325" s="9" t="s">
        <v>1137</v>
      </c>
      <c r="K325" s="9">
        <f t="shared" ref="K325:K327" si="140">K324+1</f>
        <v>149</v>
      </c>
      <c r="L325" s="9" t="str">
        <f t="shared" si="138"/>
        <v>G</v>
      </c>
      <c r="M325" s="9" t="str">
        <f t="shared" si="117"/>
        <v>Input!G149</v>
      </c>
      <c r="N325" s="9">
        <f>_xlfn.XLOOKUP(F325,'Raw Data'!$I$4:$I$5000,'Raw Data'!$E$4:$E$5000,100,0)</f>
        <v>100</v>
      </c>
      <c r="O325" s="9" t="str">
        <f>IF(N325=0,_xlfn.XLOOKUP(F325,'Raw Data'!$I$4:$I$5000,'Raw Data'!$H$4:$H$5000,"",0),"")</f>
        <v/>
      </c>
      <c r="P325" s="9" t="str" cm="1">
        <f t="array" aca="1" ref="P325" ca="1">IF(INDIRECT(M325) = "","",INDIRECT(M325))</f>
        <v/>
      </c>
      <c r="Q325" s="359" t="s">
        <v>4381</v>
      </c>
    </row>
    <row r="326" spans="1:17" x14ac:dyDescent="0.35">
      <c r="A326" t="s">
        <v>2485</v>
      </c>
      <c r="E326" t="str">
        <f>_xlfn.XLOOKUP(F326,'Raw Data'!$I$4:$I$5000,'Raw Data'!$D$4:$D$5000,"*** Mnemonic not found ***",0)</f>
        <v>*** Mnemonic not found ***</v>
      </c>
      <c r="F326" t="str">
        <f t="shared" si="139"/>
        <v>SUCMALT4AA_10TO20__</v>
      </c>
      <c r="H326" s="9" t="s">
        <v>1137</v>
      </c>
      <c r="K326" s="9">
        <f t="shared" si="140"/>
        <v>150</v>
      </c>
      <c r="L326" s="9" t="str">
        <f t="shared" si="138"/>
        <v>G</v>
      </c>
      <c r="M326" s="9" t="str">
        <f t="shared" si="117"/>
        <v>Input!G150</v>
      </c>
      <c r="N326" s="9">
        <f>_xlfn.XLOOKUP(F326,'Raw Data'!$I$4:$I$5000,'Raw Data'!$E$4:$E$5000,100,0)</f>
        <v>100</v>
      </c>
      <c r="O326" s="9" t="str">
        <f>IF(N326=0,_xlfn.XLOOKUP(F326,'Raw Data'!$I$4:$I$5000,'Raw Data'!$H$4:$H$5000,"",0),"")</f>
        <v/>
      </c>
      <c r="P326" s="9" t="str" cm="1">
        <f t="array" aca="1" ref="P326" ca="1">IF(INDIRECT(M326) = "","",INDIRECT(M326))</f>
        <v/>
      </c>
      <c r="Q326" s="359" t="s">
        <v>4381</v>
      </c>
    </row>
    <row r="327" spans="1:17" x14ac:dyDescent="0.35">
      <c r="A327" t="s">
        <v>2486</v>
      </c>
      <c r="E327" t="str">
        <f>_xlfn.XLOOKUP(F327,'Raw Data'!$I$4:$I$5000,'Raw Data'!$D$4:$D$5000,"*** Mnemonic not found ***",0)</f>
        <v>*** Mnemonic not found ***</v>
      </c>
      <c r="F327" t="str">
        <f t="shared" si="139"/>
        <v>SUCMALT4AA_GRTR20__</v>
      </c>
      <c r="H327" s="9" t="s">
        <v>1137</v>
      </c>
      <c r="K327" s="9">
        <f t="shared" si="140"/>
        <v>151</v>
      </c>
      <c r="L327" s="9" t="str">
        <f t="shared" si="138"/>
        <v>G</v>
      </c>
      <c r="M327" s="9" t="str">
        <f t="shared" si="117"/>
        <v>Input!G151</v>
      </c>
      <c r="N327" s="9">
        <f>_xlfn.XLOOKUP(F327,'Raw Data'!$I$4:$I$5000,'Raw Data'!$E$4:$E$5000,100,0)</f>
        <v>100</v>
      </c>
      <c r="O327" s="9" t="str">
        <f>IF(N327=0,_xlfn.XLOOKUP(F327,'Raw Data'!$I$4:$I$5000,'Raw Data'!$H$4:$H$5000,"",0),"")</f>
        <v/>
      </c>
      <c r="P327" s="9" t="str" cm="1">
        <f t="array" aca="1" ref="P327" ca="1">IF(INDIRECT(M327) = "","",INDIRECT(M327))</f>
        <v/>
      </c>
      <c r="Q327" s="359" t="s">
        <v>4381</v>
      </c>
    </row>
    <row r="328" spans="1:17" x14ac:dyDescent="0.35">
      <c r="A328" t="s">
        <v>2502</v>
      </c>
      <c r="E328" t="str">
        <f>_xlfn.XLOOKUP(F328,'Raw Data'!$I$4:$I$5000,'Raw Data'!$D$4:$D$5000,"*** Mnemonic not found ***",0)</f>
        <v>*** Mnemonic not found ***</v>
      </c>
      <c r="F328" t="str">
        <f t="shared" si="139"/>
        <v>SUCMALT4A_LESS1__</v>
      </c>
      <c r="H328" s="9" t="s">
        <v>1137</v>
      </c>
      <c r="K328" s="9">
        <f>K323</f>
        <v>147</v>
      </c>
      <c r="L328" s="9" t="s">
        <v>1144</v>
      </c>
      <c r="M328" s="9" t="str">
        <f t="shared" si="117"/>
        <v>Input!H147</v>
      </c>
      <c r="N328" s="9">
        <f>_xlfn.XLOOKUP(F328,'Raw Data'!$I$4:$I$5000,'Raw Data'!$E$4:$E$5000,100,0)</f>
        <v>100</v>
      </c>
      <c r="O328" s="9" t="str">
        <f>IF(N328=0,_xlfn.XLOOKUP(F328,'Raw Data'!$I$4:$I$5000,'Raw Data'!$H$4:$H$5000,"",0),"")</f>
        <v/>
      </c>
      <c r="P328" s="9" t="str" cm="1">
        <f t="array" aca="1" ref="P328" ca="1">IF(INDIRECT(M328) = "","",INDIRECT(M328))</f>
        <v/>
      </c>
      <c r="Q328" s="359" t="s">
        <v>4381</v>
      </c>
    </row>
    <row r="329" spans="1:17" x14ac:dyDescent="0.35">
      <c r="A329" t="s">
        <v>2503</v>
      </c>
      <c r="E329" t="str">
        <f>_xlfn.XLOOKUP(F329,'Raw Data'!$I$4:$I$5000,'Raw Data'!$D$4:$D$5000,"*** Mnemonic not found ***",0)</f>
        <v>*** Mnemonic not found ***</v>
      </c>
      <c r="F329" t="str">
        <f t="shared" si="139"/>
        <v>SUCMALT4A_1TO5__</v>
      </c>
      <c r="H329" s="9" t="s">
        <v>1137</v>
      </c>
      <c r="K329" s="9">
        <f>K328+1</f>
        <v>148</v>
      </c>
      <c r="L329" s="9" t="str">
        <f t="shared" ref="L329:L332" si="141">L328</f>
        <v>H</v>
      </c>
      <c r="M329" s="9" t="str">
        <f t="shared" si="117"/>
        <v>Input!H148</v>
      </c>
      <c r="N329" s="9">
        <f>_xlfn.XLOOKUP(F329,'Raw Data'!$I$4:$I$5000,'Raw Data'!$E$4:$E$5000,100,0)</f>
        <v>100</v>
      </c>
      <c r="O329" s="9" t="str">
        <f>IF(N329=0,_xlfn.XLOOKUP(F329,'Raw Data'!$I$4:$I$5000,'Raw Data'!$H$4:$H$5000,"",0),"")</f>
        <v/>
      </c>
      <c r="P329" s="9" t="str" cm="1">
        <f t="array" aca="1" ref="P329" ca="1">IF(INDIRECT(M329) = "","",INDIRECT(M329))</f>
        <v/>
      </c>
      <c r="Q329" s="359" t="s">
        <v>4381</v>
      </c>
    </row>
    <row r="330" spans="1:17" x14ac:dyDescent="0.35">
      <c r="A330" t="s">
        <v>2504</v>
      </c>
      <c r="E330" t="str">
        <f>_xlfn.XLOOKUP(F330,'Raw Data'!$I$4:$I$5000,'Raw Data'!$D$4:$D$5000,"*** Mnemonic not found ***",0)</f>
        <v>*** Mnemonic not found ***</v>
      </c>
      <c r="F330" t="str">
        <f t="shared" si="139"/>
        <v>SUCMALT4A_5TO10__</v>
      </c>
      <c r="H330" s="9" t="s">
        <v>1137</v>
      </c>
      <c r="K330" s="9">
        <f t="shared" ref="K330:K332" si="142">K329+1</f>
        <v>149</v>
      </c>
      <c r="L330" s="9" t="str">
        <f t="shared" si="141"/>
        <v>H</v>
      </c>
      <c r="M330" s="9" t="str">
        <f t="shared" si="117"/>
        <v>Input!H149</v>
      </c>
      <c r="N330" s="9">
        <f>_xlfn.XLOOKUP(F330,'Raw Data'!$I$4:$I$5000,'Raw Data'!$E$4:$E$5000,100,0)</f>
        <v>100</v>
      </c>
      <c r="O330" s="9" t="str">
        <f>IF(N330=0,_xlfn.XLOOKUP(F330,'Raw Data'!$I$4:$I$5000,'Raw Data'!$H$4:$H$5000,"",0),"")</f>
        <v/>
      </c>
      <c r="P330" s="9" t="str" cm="1">
        <f t="array" aca="1" ref="P330" ca="1">IF(INDIRECT(M330) = "","",INDIRECT(M330))</f>
        <v/>
      </c>
      <c r="Q330" s="359" t="s">
        <v>4381</v>
      </c>
    </row>
    <row r="331" spans="1:17" x14ac:dyDescent="0.35">
      <c r="A331" t="s">
        <v>2505</v>
      </c>
      <c r="E331" t="str">
        <f>_xlfn.XLOOKUP(F331,'Raw Data'!$I$4:$I$5000,'Raw Data'!$D$4:$D$5000,"*** Mnemonic not found ***",0)</f>
        <v>*** Mnemonic not found ***</v>
      </c>
      <c r="F331" t="str">
        <f t="shared" si="139"/>
        <v>SUCMALT4A_10TO20__</v>
      </c>
      <c r="H331" s="9" t="s">
        <v>1137</v>
      </c>
      <c r="K331" s="9">
        <f t="shared" si="142"/>
        <v>150</v>
      </c>
      <c r="L331" s="9" t="str">
        <f t="shared" si="141"/>
        <v>H</v>
      </c>
      <c r="M331" s="9" t="str">
        <f t="shared" si="117"/>
        <v>Input!H150</v>
      </c>
      <c r="N331" s="9">
        <f>_xlfn.XLOOKUP(F331,'Raw Data'!$I$4:$I$5000,'Raw Data'!$E$4:$E$5000,100,0)</f>
        <v>100</v>
      </c>
      <c r="O331" s="9" t="str">
        <f>IF(N331=0,_xlfn.XLOOKUP(F331,'Raw Data'!$I$4:$I$5000,'Raw Data'!$H$4:$H$5000,"",0),"")</f>
        <v/>
      </c>
      <c r="P331" s="9" t="str" cm="1">
        <f t="array" aca="1" ref="P331" ca="1">IF(INDIRECT(M331) = "","",INDIRECT(M331))</f>
        <v/>
      </c>
      <c r="Q331" s="359" t="s">
        <v>4381</v>
      </c>
    </row>
    <row r="332" spans="1:17" x14ac:dyDescent="0.35">
      <c r="A332" t="s">
        <v>2506</v>
      </c>
      <c r="E332" t="str">
        <f>_xlfn.XLOOKUP(F332,'Raw Data'!$I$4:$I$5000,'Raw Data'!$D$4:$D$5000,"*** Mnemonic not found ***",0)</f>
        <v>*** Mnemonic not found ***</v>
      </c>
      <c r="F332" t="str">
        <f t="shared" si="139"/>
        <v>SUCMALT4A_GRTR20__</v>
      </c>
      <c r="H332" s="9" t="s">
        <v>1137</v>
      </c>
      <c r="K332" s="9">
        <f t="shared" si="142"/>
        <v>151</v>
      </c>
      <c r="L332" s="9" t="str">
        <f t="shared" si="141"/>
        <v>H</v>
      </c>
      <c r="M332" s="9" t="str">
        <f t="shared" si="117"/>
        <v>Input!H151</v>
      </c>
      <c r="N332" s="9">
        <f>_xlfn.XLOOKUP(F332,'Raw Data'!$I$4:$I$5000,'Raw Data'!$E$4:$E$5000,100,0)</f>
        <v>100</v>
      </c>
      <c r="O332" s="9" t="str">
        <f>IF(N332=0,_xlfn.XLOOKUP(F332,'Raw Data'!$I$4:$I$5000,'Raw Data'!$H$4:$H$5000,"",0),"")</f>
        <v/>
      </c>
      <c r="P332" s="9" t="str" cm="1">
        <f t="array" aca="1" ref="P332" ca="1">IF(INDIRECT(M332) = "","",INDIRECT(M332))</f>
        <v/>
      </c>
      <c r="Q332" s="359" t="s">
        <v>4381</v>
      </c>
    </row>
    <row r="333" spans="1:17" x14ac:dyDescent="0.35">
      <c r="A333" t="s">
        <v>2522</v>
      </c>
      <c r="E333" t="str">
        <f>_xlfn.XLOOKUP(F333,'Raw Data'!$I$4:$I$5000,'Raw Data'!$D$4:$D$5000,"*** Mnemonic not found ***",0)</f>
        <v>*** Mnemonic not found ***</v>
      </c>
      <c r="F333" t="str">
        <f t="shared" si="139"/>
        <v>SUCMALT4BBB_LESS1__</v>
      </c>
      <c r="H333" s="9" t="s">
        <v>1137</v>
      </c>
      <c r="K333" s="9">
        <f>K328</f>
        <v>147</v>
      </c>
      <c r="L333" s="9" t="s">
        <v>1375</v>
      </c>
      <c r="M333" s="9" t="str">
        <f t="shared" si="117"/>
        <v>Input!I147</v>
      </c>
      <c r="N333" s="9">
        <f>_xlfn.XLOOKUP(F333,'Raw Data'!$I$4:$I$5000,'Raw Data'!$E$4:$E$5000,100,0)</f>
        <v>100</v>
      </c>
      <c r="O333" s="9" t="str">
        <f>IF(N333=0,_xlfn.XLOOKUP(F333,'Raw Data'!$I$4:$I$5000,'Raw Data'!$H$4:$H$5000,"",0),"")</f>
        <v/>
      </c>
      <c r="P333" s="9" t="str" cm="1">
        <f t="array" aca="1" ref="P333" ca="1">IF(INDIRECT(M333) = "","",INDIRECT(M333))</f>
        <v/>
      </c>
      <c r="Q333" s="359" t="s">
        <v>4381</v>
      </c>
    </row>
    <row r="334" spans="1:17" x14ac:dyDescent="0.35">
      <c r="A334" t="s">
        <v>2523</v>
      </c>
      <c r="E334" t="str">
        <f>_xlfn.XLOOKUP(F334,'Raw Data'!$I$4:$I$5000,'Raw Data'!$D$4:$D$5000,"*** Mnemonic not found ***",0)</f>
        <v>*** Mnemonic not found ***</v>
      </c>
      <c r="F334" t="str">
        <f t="shared" si="139"/>
        <v>SUCMALT4BBB_1TO5__</v>
      </c>
      <c r="H334" s="9" t="s">
        <v>1137</v>
      </c>
      <c r="K334" s="9">
        <f>K333+1</f>
        <v>148</v>
      </c>
      <c r="L334" s="9" t="str">
        <f t="shared" ref="L334:L337" si="143">L333</f>
        <v>I</v>
      </c>
      <c r="M334" s="9" t="str">
        <f t="shared" si="117"/>
        <v>Input!I148</v>
      </c>
      <c r="N334" s="9">
        <f>_xlfn.XLOOKUP(F334,'Raw Data'!$I$4:$I$5000,'Raw Data'!$E$4:$E$5000,100,0)</f>
        <v>100</v>
      </c>
      <c r="O334" s="9" t="str">
        <f>IF(N334=0,_xlfn.XLOOKUP(F334,'Raw Data'!$I$4:$I$5000,'Raw Data'!$H$4:$H$5000,"",0),"")</f>
        <v/>
      </c>
      <c r="P334" s="9" t="str" cm="1">
        <f t="array" aca="1" ref="P334" ca="1">IF(INDIRECT(M334) = "","",INDIRECT(M334))</f>
        <v/>
      </c>
      <c r="Q334" s="359" t="s">
        <v>4381</v>
      </c>
    </row>
    <row r="335" spans="1:17" x14ac:dyDescent="0.35">
      <c r="A335" t="s">
        <v>2524</v>
      </c>
      <c r="E335" t="str">
        <f>_xlfn.XLOOKUP(F335,'Raw Data'!$I$4:$I$5000,'Raw Data'!$D$4:$D$5000,"*** Mnemonic not found ***",0)</f>
        <v>*** Mnemonic not found ***</v>
      </c>
      <c r="F335" t="str">
        <f t="shared" si="139"/>
        <v>SUCMALT4BBB_5TO10__</v>
      </c>
      <c r="H335" s="9" t="s">
        <v>1137</v>
      </c>
      <c r="K335" s="9">
        <f t="shared" ref="K335:K337" si="144">K334+1</f>
        <v>149</v>
      </c>
      <c r="L335" s="9" t="str">
        <f t="shared" si="143"/>
        <v>I</v>
      </c>
      <c r="M335" s="9" t="str">
        <f t="shared" ref="M335:M398" si="145">CONCATENATE(H335,"!",L335,K335)</f>
        <v>Input!I149</v>
      </c>
      <c r="N335" s="9">
        <f>_xlfn.XLOOKUP(F335,'Raw Data'!$I$4:$I$5000,'Raw Data'!$E$4:$E$5000,100,0)</f>
        <v>100</v>
      </c>
      <c r="O335" s="9" t="str">
        <f>IF(N335=0,_xlfn.XLOOKUP(F335,'Raw Data'!$I$4:$I$5000,'Raw Data'!$H$4:$H$5000,"",0),"")</f>
        <v/>
      </c>
      <c r="P335" s="9" t="str" cm="1">
        <f t="array" aca="1" ref="P335" ca="1">IF(INDIRECT(M335) = "","",INDIRECT(M335))</f>
        <v/>
      </c>
      <c r="Q335" s="359" t="s">
        <v>4381</v>
      </c>
    </row>
    <row r="336" spans="1:17" x14ac:dyDescent="0.35">
      <c r="A336" t="s">
        <v>2525</v>
      </c>
      <c r="E336" t="str">
        <f>_xlfn.XLOOKUP(F336,'Raw Data'!$I$4:$I$5000,'Raw Data'!$D$4:$D$5000,"*** Mnemonic not found ***",0)</f>
        <v>*** Mnemonic not found ***</v>
      </c>
      <c r="F336" t="str">
        <f t="shared" si="139"/>
        <v>SUCMALT4BBB_10TO20__</v>
      </c>
      <c r="H336" s="9" t="s">
        <v>1137</v>
      </c>
      <c r="K336" s="9">
        <f t="shared" si="144"/>
        <v>150</v>
      </c>
      <c r="L336" s="9" t="str">
        <f t="shared" si="143"/>
        <v>I</v>
      </c>
      <c r="M336" s="9" t="str">
        <f t="shared" si="145"/>
        <v>Input!I150</v>
      </c>
      <c r="N336" s="9">
        <f>_xlfn.XLOOKUP(F336,'Raw Data'!$I$4:$I$5000,'Raw Data'!$E$4:$E$5000,100,0)</f>
        <v>100</v>
      </c>
      <c r="O336" s="9" t="str">
        <f>IF(N336=0,_xlfn.XLOOKUP(F336,'Raw Data'!$I$4:$I$5000,'Raw Data'!$H$4:$H$5000,"",0),"")</f>
        <v/>
      </c>
      <c r="P336" s="9" t="str" cm="1">
        <f t="array" aca="1" ref="P336" ca="1">IF(INDIRECT(M336) = "","",INDIRECT(M336))</f>
        <v/>
      </c>
      <c r="Q336" s="359" t="s">
        <v>4381</v>
      </c>
    </row>
    <row r="337" spans="1:17" x14ac:dyDescent="0.35">
      <c r="A337" t="s">
        <v>2526</v>
      </c>
      <c r="E337" t="str">
        <f>_xlfn.XLOOKUP(F337,'Raw Data'!$I$4:$I$5000,'Raw Data'!$D$4:$D$5000,"*** Mnemonic not found ***",0)</f>
        <v>*** Mnemonic not found ***</v>
      </c>
      <c r="F337" t="str">
        <f t="shared" si="139"/>
        <v>SUCMALT4BBB_GRTR20__</v>
      </c>
      <c r="H337" s="9" t="s">
        <v>1137</v>
      </c>
      <c r="K337" s="9">
        <f t="shared" si="144"/>
        <v>151</v>
      </c>
      <c r="L337" s="9" t="str">
        <f t="shared" si="143"/>
        <v>I</v>
      </c>
      <c r="M337" s="9" t="str">
        <f t="shared" si="145"/>
        <v>Input!I151</v>
      </c>
      <c r="N337" s="9">
        <f>_xlfn.XLOOKUP(F337,'Raw Data'!$I$4:$I$5000,'Raw Data'!$E$4:$E$5000,100,0)</f>
        <v>100</v>
      </c>
      <c r="O337" s="9" t="str">
        <f>IF(N337=0,_xlfn.XLOOKUP(F337,'Raw Data'!$I$4:$I$5000,'Raw Data'!$H$4:$H$5000,"",0),"")</f>
        <v/>
      </c>
      <c r="P337" s="9" t="str" cm="1">
        <f t="array" aca="1" ref="P337" ca="1">IF(INDIRECT(M337) = "","",INDIRECT(M337))</f>
        <v/>
      </c>
      <c r="Q337" s="359" t="s">
        <v>4381</v>
      </c>
    </row>
    <row r="338" spans="1:17" x14ac:dyDescent="0.35">
      <c r="A338" t="s">
        <v>2542</v>
      </c>
      <c r="E338" t="str">
        <f>_xlfn.XLOOKUP(F338,'Raw Data'!$I$4:$I$5000,'Raw Data'!$D$4:$D$5000,"*** Mnemonic not found ***",0)</f>
        <v>*** Mnemonic not found ***</v>
      </c>
      <c r="F338" t="str">
        <f t="shared" si="139"/>
        <v>SUCMALT4BB_LESS1__</v>
      </c>
      <c r="H338" s="9" t="s">
        <v>1137</v>
      </c>
      <c r="K338" s="9">
        <f>K333</f>
        <v>147</v>
      </c>
      <c r="L338" s="9" t="s">
        <v>1376</v>
      </c>
      <c r="M338" s="9" t="str">
        <f t="shared" si="145"/>
        <v>Input!J147</v>
      </c>
      <c r="N338" s="9">
        <f>_xlfn.XLOOKUP(F338,'Raw Data'!$I$4:$I$5000,'Raw Data'!$E$4:$E$5000,100,0)</f>
        <v>100</v>
      </c>
      <c r="O338" s="9" t="str">
        <f>IF(N338=0,_xlfn.XLOOKUP(F338,'Raw Data'!$I$4:$I$5000,'Raw Data'!$H$4:$H$5000,"",0),"")</f>
        <v/>
      </c>
      <c r="P338" s="9" t="str" cm="1">
        <f t="array" aca="1" ref="P338" ca="1">IF(INDIRECT(M338) = "","",INDIRECT(M338))</f>
        <v/>
      </c>
      <c r="Q338" s="359" t="s">
        <v>4381</v>
      </c>
    </row>
    <row r="339" spans="1:17" x14ac:dyDescent="0.35">
      <c r="A339" t="s">
        <v>2543</v>
      </c>
      <c r="E339" t="str">
        <f>_xlfn.XLOOKUP(F339,'Raw Data'!$I$4:$I$5000,'Raw Data'!$D$4:$D$5000,"*** Mnemonic not found ***",0)</f>
        <v>*** Mnemonic not found ***</v>
      </c>
      <c r="F339" t="str">
        <f t="shared" si="139"/>
        <v>SUCMALT4BB_1TO5__</v>
      </c>
      <c r="H339" s="9" t="s">
        <v>1137</v>
      </c>
      <c r="K339" s="9">
        <f>K338+1</f>
        <v>148</v>
      </c>
      <c r="L339" s="9" t="str">
        <f t="shared" ref="L339:L342" si="146">L338</f>
        <v>J</v>
      </c>
      <c r="M339" s="9" t="str">
        <f t="shared" si="145"/>
        <v>Input!J148</v>
      </c>
      <c r="N339" s="9">
        <f>_xlfn.XLOOKUP(F339,'Raw Data'!$I$4:$I$5000,'Raw Data'!$E$4:$E$5000,100,0)</f>
        <v>100</v>
      </c>
      <c r="O339" s="9" t="str">
        <f>IF(N339=0,_xlfn.XLOOKUP(F339,'Raw Data'!$I$4:$I$5000,'Raw Data'!$H$4:$H$5000,"",0),"")</f>
        <v/>
      </c>
      <c r="P339" s="9" t="str" cm="1">
        <f t="array" aca="1" ref="P339" ca="1">IF(INDIRECT(M339) = "","",INDIRECT(M339))</f>
        <v/>
      </c>
      <c r="Q339" s="359" t="s">
        <v>4381</v>
      </c>
    </row>
    <row r="340" spans="1:17" x14ac:dyDescent="0.35">
      <c r="A340" t="s">
        <v>2544</v>
      </c>
      <c r="E340" t="str">
        <f>_xlfn.XLOOKUP(F340,'Raw Data'!$I$4:$I$5000,'Raw Data'!$D$4:$D$5000,"*** Mnemonic not found ***",0)</f>
        <v>*** Mnemonic not found ***</v>
      </c>
      <c r="F340" t="str">
        <f t="shared" si="139"/>
        <v>SUCMALT4BB_5TO10__</v>
      </c>
      <c r="H340" s="9" t="s">
        <v>1137</v>
      </c>
      <c r="K340" s="9">
        <f t="shared" ref="K340:K342" si="147">K339+1</f>
        <v>149</v>
      </c>
      <c r="L340" s="9" t="str">
        <f t="shared" si="146"/>
        <v>J</v>
      </c>
      <c r="M340" s="9" t="str">
        <f t="shared" si="145"/>
        <v>Input!J149</v>
      </c>
      <c r="N340" s="9">
        <f>_xlfn.XLOOKUP(F340,'Raw Data'!$I$4:$I$5000,'Raw Data'!$E$4:$E$5000,100,0)</f>
        <v>100</v>
      </c>
      <c r="O340" s="9" t="str">
        <f>IF(N340=0,_xlfn.XLOOKUP(F340,'Raw Data'!$I$4:$I$5000,'Raw Data'!$H$4:$H$5000,"",0),"")</f>
        <v/>
      </c>
      <c r="P340" s="9" t="str" cm="1">
        <f t="array" aca="1" ref="P340" ca="1">IF(INDIRECT(M340) = "","",INDIRECT(M340))</f>
        <v/>
      </c>
      <c r="Q340" s="359" t="s">
        <v>4381</v>
      </c>
    </row>
    <row r="341" spans="1:17" x14ac:dyDescent="0.35">
      <c r="A341" t="s">
        <v>2545</v>
      </c>
      <c r="E341" t="str">
        <f>_xlfn.XLOOKUP(F341,'Raw Data'!$I$4:$I$5000,'Raw Data'!$D$4:$D$5000,"*** Mnemonic not found ***",0)</f>
        <v>*** Mnemonic not found ***</v>
      </c>
      <c r="F341" t="str">
        <f t="shared" si="139"/>
        <v>SUCMALT4BB_10TO20__</v>
      </c>
      <c r="H341" s="9" t="s">
        <v>1137</v>
      </c>
      <c r="K341" s="9">
        <f t="shared" si="147"/>
        <v>150</v>
      </c>
      <c r="L341" s="9" t="str">
        <f t="shared" si="146"/>
        <v>J</v>
      </c>
      <c r="M341" s="9" t="str">
        <f t="shared" si="145"/>
        <v>Input!J150</v>
      </c>
      <c r="N341" s="9">
        <f>_xlfn.XLOOKUP(F341,'Raw Data'!$I$4:$I$5000,'Raw Data'!$E$4:$E$5000,100,0)</f>
        <v>100</v>
      </c>
      <c r="O341" s="9" t="str">
        <f>IF(N341=0,_xlfn.XLOOKUP(F341,'Raw Data'!$I$4:$I$5000,'Raw Data'!$H$4:$H$5000,"",0),"")</f>
        <v/>
      </c>
      <c r="P341" s="9" t="str" cm="1">
        <f t="array" aca="1" ref="P341" ca="1">IF(INDIRECT(M341) = "","",INDIRECT(M341))</f>
        <v/>
      </c>
      <c r="Q341" s="359" t="s">
        <v>4381</v>
      </c>
    </row>
    <row r="342" spans="1:17" x14ac:dyDescent="0.35">
      <c r="A342" t="s">
        <v>2546</v>
      </c>
      <c r="E342" t="str">
        <f>_xlfn.XLOOKUP(F342,'Raw Data'!$I$4:$I$5000,'Raw Data'!$D$4:$D$5000,"*** Mnemonic not found ***",0)</f>
        <v>*** Mnemonic not found ***</v>
      </c>
      <c r="F342" t="str">
        <f t="shared" si="139"/>
        <v>SUCMALT4BB_GRTR20__</v>
      </c>
      <c r="H342" s="9" t="s">
        <v>1137</v>
      </c>
      <c r="K342" s="9">
        <f t="shared" si="147"/>
        <v>151</v>
      </c>
      <c r="L342" s="9" t="str">
        <f t="shared" si="146"/>
        <v>J</v>
      </c>
      <c r="M342" s="9" t="str">
        <f t="shared" si="145"/>
        <v>Input!J151</v>
      </c>
      <c r="N342" s="9">
        <f>_xlfn.XLOOKUP(F342,'Raw Data'!$I$4:$I$5000,'Raw Data'!$E$4:$E$5000,100,0)</f>
        <v>100</v>
      </c>
      <c r="O342" s="9" t="str">
        <f>IF(N342=0,_xlfn.XLOOKUP(F342,'Raw Data'!$I$4:$I$5000,'Raw Data'!$H$4:$H$5000,"",0),"")</f>
        <v/>
      </c>
      <c r="P342" s="9" t="str" cm="1">
        <f t="array" aca="1" ref="P342" ca="1">IF(INDIRECT(M342) = "","",INDIRECT(M342))</f>
        <v/>
      </c>
      <c r="Q342" s="359" t="s">
        <v>4381</v>
      </c>
    </row>
    <row r="343" spans="1:17" x14ac:dyDescent="0.35">
      <c r="A343" t="s">
        <v>2562</v>
      </c>
      <c r="E343" t="str">
        <f>_xlfn.XLOOKUP(F343,'Raw Data'!$I$4:$I$5000,'Raw Data'!$D$4:$D$5000,"*** Mnemonic not found ***",0)</f>
        <v>*** Mnemonic not found ***</v>
      </c>
      <c r="F343" t="str">
        <f t="shared" si="139"/>
        <v>SUCMALT4B_LESS1__</v>
      </c>
      <c r="H343" s="9" t="s">
        <v>1137</v>
      </c>
      <c r="K343" s="9">
        <f>K338</f>
        <v>147</v>
      </c>
      <c r="L343" s="9" t="s">
        <v>1377</v>
      </c>
      <c r="M343" s="9" t="str">
        <f t="shared" si="145"/>
        <v>Input!K147</v>
      </c>
      <c r="N343" s="9">
        <f>_xlfn.XLOOKUP(F343,'Raw Data'!$I$4:$I$5000,'Raw Data'!$E$4:$E$5000,100,0)</f>
        <v>100</v>
      </c>
      <c r="O343" s="9" t="str">
        <f>IF(N343=0,_xlfn.XLOOKUP(F343,'Raw Data'!$I$4:$I$5000,'Raw Data'!$H$4:$H$5000,"",0),"")</f>
        <v/>
      </c>
      <c r="P343" s="9" t="str" cm="1">
        <f t="array" aca="1" ref="P343" ca="1">IF(INDIRECT(M343) = "","",INDIRECT(M343))</f>
        <v/>
      </c>
      <c r="Q343" s="359" t="s">
        <v>4381</v>
      </c>
    </row>
    <row r="344" spans="1:17" x14ac:dyDescent="0.35">
      <c r="A344" t="s">
        <v>2563</v>
      </c>
      <c r="E344" t="str">
        <f>_xlfn.XLOOKUP(F344,'Raw Data'!$I$4:$I$5000,'Raw Data'!$D$4:$D$5000,"*** Mnemonic not found ***",0)</f>
        <v>*** Mnemonic not found ***</v>
      </c>
      <c r="F344" t="str">
        <f t="shared" si="139"/>
        <v>SUCMALT4B_1TO5__</v>
      </c>
      <c r="H344" s="9" t="s">
        <v>1137</v>
      </c>
      <c r="K344" s="9">
        <f>K343+1</f>
        <v>148</v>
      </c>
      <c r="L344" s="9" t="str">
        <f t="shared" ref="L344:L347" si="148">L343</f>
        <v>K</v>
      </c>
      <c r="M344" s="9" t="str">
        <f t="shared" si="145"/>
        <v>Input!K148</v>
      </c>
      <c r="N344" s="9">
        <f>_xlfn.XLOOKUP(F344,'Raw Data'!$I$4:$I$5000,'Raw Data'!$E$4:$E$5000,100,0)</f>
        <v>100</v>
      </c>
      <c r="O344" s="9" t="str">
        <f>IF(N344=0,_xlfn.XLOOKUP(F344,'Raw Data'!$I$4:$I$5000,'Raw Data'!$H$4:$H$5000,"",0),"")</f>
        <v/>
      </c>
      <c r="P344" s="9" t="str" cm="1">
        <f t="array" aca="1" ref="P344" ca="1">IF(INDIRECT(M344) = "","",INDIRECT(M344))</f>
        <v/>
      </c>
      <c r="Q344" s="359" t="s">
        <v>4381</v>
      </c>
    </row>
    <row r="345" spans="1:17" x14ac:dyDescent="0.35">
      <c r="A345" t="s">
        <v>2564</v>
      </c>
      <c r="E345" t="str">
        <f>_xlfn.XLOOKUP(F345,'Raw Data'!$I$4:$I$5000,'Raw Data'!$D$4:$D$5000,"*** Mnemonic not found ***",0)</f>
        <v>*** Mnemonic not found ***</v>
      </c>
      <c r="F345" t="str">
        <f t="shared" si="139"/>
        <v>SUCMALT4B_5TO10__</v>
      </c>
      <c r="H345" s="9" t="s">
        <v>1137</v>
      </c>
      <c r="K345" s="9">
        <f t="shared" ref="K345:K347" si="149">K344+1</f>
        <v>149</v>
      </c>
      <c r="L345" s="9" t="str">
        <f t="shared" si="148"/>
        <v>K</v>
      </c>
      <c r="M345" s="9" t="str">
        <f t="shared" si="145"/>
        <v>Input!K149</v>
      </c>
      <c r="N345" s="9">
        <f>_xlfn.XLOOKUP(F345,'Raw Data'!$I$4:$I$5000,'Raw Data'!$E$4:$E$5000,100,0)</f>
        <v>100</v>
      </c>
      <c r="O345" s="9" t="str">
        <f>IF(N345=0,_xlfn.XLOOKUP(F345,'Raw Data'!$I$4:$I$5000,'Raw Data'!$H$4:$H$5000,"",0),"")</f>
        <v/>
      </c>
      <c r="P345" s="9" t="str" cm="1">
        <f t="array" aca="1" ref="P345" ca="1">IF(INDIRECT(M345) = "","",INDIRECT(M345))</f>
        <v/>
      </c>
      <c r="Q345" s="359" t="s">
        <v>4381</v>
      </c>
    </row>
    <row r="346" spans="1:17" x14ac:dyDescent="0.35">
      <c r="A346" t="s">
        <v>2565</v>
      </c>
      <c r="E346" t="str">
        <f>_xlfn.XLOOKUP(F346,'Raw Data'!$I$4:$I$5000,'Raw Data'!$D$4:$D$5000,"*** Mnemonic not found ***",0)</f>
        <v>*** Mnemonic not found ***</v>
      </c>
      <c r="F346" t="str">
        <f t="shared" si="139"/>
        <v>SUCMALT4B_10TO20__</v>
      </c>
      <c r="H346" s="9" t="s">
        <v>1137</v>
      </c>
      <c r="K346" s="9">
        <f t="shared" si="149"/>
        <v>150</v>
      </c>
      <c r="L346" s="9" t="str">
        <f t="shared" si="148"/>
        <v>K</v>
      </c>
      <c r="M346" s="9" t="str">
        <f t="shared" si="145"/>
        <v>Input!K150</v>
      </c>
      <c r="N346" s="9">
        <f>_xlfn.XLOOKUP(F346,'Raw Data'!$I$4:$I$5000,'Raw Data'!$E$4:$E$5000,100,0)</f>
        <v>100</v>
      </c>
      <c r="O346" s="9" t="str">
        <f>IF(N346=0,_xlfn.XLOOKUP(F346,'Raw Data'!$I$4:$I$5000,'Raw Data'!$H$4:$H$5000,"",0),"")</f>
        <v/>
      </c>
      <c r="P346" s="9" t="str" cm="1">
        <f t="array" aca="1" ref="P346" ca="1">IF(INDIRECT(M346) = "","",INDIRECT(M346))</f>
        <v/>
      </c>
      <c r="Q346" s="359" t="s">
        <v>4381</v>
      </c>
    </row>
    <row r="347" spans="1:17" x14ac:dyDescent="0.35">
      <c r="A347" t="s">
        <v>2566</v>
      </c>
      <c r="E347" t="str">
        <f>_xlfn.XLOOKUP(F347,'Raw Data'!$I$4:$I$5000,'Raw Data'!$D$4:$D$5000,"*** Mnemonic not found ***",0)</f>
        <v>*** Mnemonic not found ***</v>
      </c>
      <c r="F347" t="str">
        <f t="shared" si="139"/>
        <v>SUCMALT4B_GRTR20__</v>
      </c>
      <c r="H347" s="9" t="s">
        <v>1137</v>
      </c>
      <c r="K347" s="9">
        <f t="shared" si="149"/>
        <v>151</v>
      </c>
      <c r="L347" s="9" t="str">
        <f t="shared" si="148"/>
        <v>K</v>
      </c>
      <c r="M347" s="9" t="str">
        <f t="shared" si="145"/>
        <v>Input!K151</v>
      </c>
      <c r="N347" s="9">
        <f>_xlfn.XLOOKUP(F347,'Raw Data'!$I$4:$I$5000,'Raw Data'!$E$4:$E$5000,100,0)</f>
        <v>100</v>
      </c>
      <c r="O347" s="9" t="str">
        <f>IF(N347=0,_xlfn.XLOOKUP(F347,'Raw Data'!$I$4:$I$5000,'Raw Data'!$H$4:$H$5000,"",0),"")</f>
        <v/>
      </c>
      <c r="P347" s="9" t="str" cm="1">
        <f t="array" aca="1" ref="P347" ca="1">IF(INDIRECT(M347) = "","",INDIRECT(M347))</f>
        <v/>
      </c>
      <c r="Q347" s="359" t="s">
        <v>4381</v>
      </c>
    </row>
    <row r="348" spans="1:17" x14ac:dyDescent="0.35">
      <c r="A348" t="s">
        <v>2582</v>
      </c>
      <c r="E348" t="str">
        <f>_xlfn.XLOOKUP(F348,'Raw Data'!$I$4:$I$5000,'Raw Data'!$D$4:$D$5000,"*** Mnemonic not found ***",0)</f>
        <v>*** Mnemonic not found ***</v>
      </c>
      <c r="F348" t="str">
        <f t="shared" si="139"/>
        <v>SUCMALT4CCC_LESS1__</v>
      </c>
      <c r="H348" s="9" t="s">
        <v>1137</v>
      </c>
      <c r="K348" s="9">
        <f>K343</f>
        <v>147</v>
      </c>
      <c r="L348" s="9" t="s">
        <v>1378</v>
      </c>
      <c r="M348" s="9" t="str">
        <f t="shared" si="145"/>
        <v>Input!L147</v>
      </c>
      <c r="N348" s="9">
        <f>_xlfn.XLOOKUP(F348,'Raw Data'!$I$4:$I$5000,'Raw Data'!$E$4:$E$5000,100,0)</f>
        <v>100</v>
      </c>
      <c r="O348" s="9" t="str">
        <f>IF(N348=0,_xlfn.XLOOKUP(F348,'Raw Data'!$I$4:$I$5000,'Raw Data'!$H$4:$H$5000,"",0),"")</f>
        <v/>
      </c>
      <c r="P348" s="9" t="str" cm="1">
        <f t="array" aca="1" ref="P348" ca="1">IF(INDIRECT(M348) = "","",INDIRECT(M348))</f>
        <v/>
      </c>
      <c r="Q348" s="359" t="s">
        <v>4381</v>
      </c>
    </row>
    <row r="349" spans="1:17" x14ac:dyDescent="0.35">
      <c r="A349" t="s">
        <v>2583</v>
      </c>
      <c r="E349" t="str">
        <f>_xlfn.XLOOKUP(F349,'Raw Data'!$I$4:$I$5000,'Raw Data'!$D$4:$D$5000,"*** Mnemonic not found ***",0)</f>
        <v>*** Mnemonic not found ***</v>
      </c>
      <c r="F349" t="str">
        <f t="shared" si="139"/>
        <v>SUCMALT4CCC_1TO5__</v>
      </c>
      <c r="H349" s="9" t="s">
        <v>1137</v>
      </c>
      <c r="K349" s="9">
        <f>K348+1</f>
        <v>148</v>
      </c>
      <c r="L349" s="9" t="str">
        <f t="shared" ref="L349:L352" si="150">L348</f>
        <v>L</v>
      </c>
      <c r="M349" s="9" t="str">
        <f t="shared" si="145"/>
        <v>Input!L148</v>
      </c>
      <c r="N349" s="9">
        <f>_xlfn.XLOOKUP(F349,'Raw Data'!$I$4:$I$5000,'Raw Data'!$E$4:$E$5000,100,0)</f>
        <v>100</v>
      </c>
      <c r="O349" s="9" t="str">
        <f>IF(N349=0,_xlfn.XLOOKUP(F349,'Raw Data'!$I$4:$I$5000,'Raw Data'!$H$4:$H$5000,"",0),"")</f>
        <v/>
      </c>
      <c r="P349" s="9" t="str" cm="1">
        <f t="array" aca="1" ref="P349" ca="1">IF(INDIRECT(M349) = "","",INDIRECT(M349))</f>
        <v/>
      </c>
      <c r="Q349" s="359" t="s">
        <v>4381</v>
      </c>
    </row>
    <row r="350" spans="1:17" x14ac:dyDescent="0.35">
      <c r="A350" t="s">
        <v>2584</v>
      </c>
      <c r="E350" t="str">
        <f>_xlfn.XLOOKUP(F350,'Raw Data'!$I$4:$I$5000,'Raw Data'!$D$4:$D$5000,"*** Mnemonic not found ***",0)</f>
        <v>*** Mnemonic not found ***</v>
      </c>
      <c r="F350" t="str">
        <f t="shared" si="139"/>
        <v>SUCMALT4CCC_5TO10__</v>
      </c>
      <c r="H350" s="9" t="s">
        <v>1137</v>
      </c>
      <c r="K350" s="9">
        <f t="shared" ref="K350:K352" si="151">K349+1</f>
        <v>149</v>
      </c>
      <c r="L350" s="9" t="str">
        <f t="shared" si="150"/>
        <v>L</v>
      </c>
      <c r="M350" s="9" t="str">
        <f t="shared" si="145"/>
        <v>Input!L149</v>
      </c>
      <c r="N350" s="9">
        <f>_xlfn.XLOOKUP(F350,'Raw Data'!$I$4:$I$5000,'Raw Data'!$E$4:$E$5000,100,0)</f>
        <v>100</v>
      </c>
      <c r="O350" s="9" t="str">
        <f>IF(N350=0,_xlfn.XLOOKUP(F350,'Raw Data'!$I$4:$I$5000,'Raw Data'!$H$4:$H$5000,"",0),"")</f>
        <v/>
      </c>
      <c r="P350" s="9" t="str" cm="1">
        <f t="array" aca="1" ref="P350" ca="1">IF(INDIRECT(M350) = "","",INDIRECT(M350))</f>
        <v/>
      </c>
      <c r="Q350" s="359" t="s">
        <v>4381</v>
      </c>
    </row>
    <row r="351" spans="1:17" x14ac:dyDescent="0.35">
      <c r="A351" t="s">
        <v>2585</v>
      </c>
      <c r="E351" t="str">
        <f>_xlfn.XLOOKUP(F351,'Raw Data'!$I$4:$I$5000,'Raw Data'!$D$4:$D$5000,"*** Mnemonic not found ***",0)</f>
        <v>*** Mnemonic not found ***</v>
      </c>
      <c r="F351" t="str">
        <f t="shared" si="139"/>
        <v>SUCMALT4CCC_10TO20__</v>
      </c>
      <c r="H351" s="9" t="s">
        <v>1137</v>
      </c>
      <c r="K351" s="9">
        <f t="shared" si="151"/>
        <v>150</v>
      </c>
      <c r="L351" s="9" t="str">
        <f t="shared" si="150"/>
        <v>L</v>
      </c>
      <c r="M351" s="9" t="str">
        <f t="shared" si="145"/>
        <v>Input!L150</v>
      </c>
      <c r="N351" s="9">
        <f>_xlfn.XLOOKUP(F351,'Raw Data'!$I$4:$I$5000,'Raw Data'!$E$4:$E$5000,100,0)</f>
        <v>100</v>
      </c>
      <c r="O351" s="9" t="str">
        <f>IF(N351=0,_xlfn.XLOOKUP(F351,'Raw Data'!$I$4:$I$5000,'Raw Data'!$H$4:$H$5000,"",0),"")</f>
        <v/>
      </c>
      <c r="P351" s="9" t="str" cm="1">
        <f t="array" aca="1" ref="P351" ca="1">IF(INDIRECT(M351) = "","",INDIRECT(M351))</f>
        <v/>
      </c>
      <c r="Q351" s="359" t="s">
        <v>4381</v>
      </c>
    </row>
    <row r="352" spans="1:17" x14ac:dyDescent="0.35">
      <c r="A352" t="s">
        <v>2586</v>
      </c>
      <c r="E352" t="str">
        <f>_xlfn.XLOOKUP(F352,'Raw Data'!$I$4:$I$5000,'Raw Data'!$D$4:$D$5000,"*** Mnemonic not found ***",0)</f>
        <v>*** Mnemonic not found ***</v>
      </c>
      <c r="F352" t="str">
        <f t="shared" si="139"/>
        <v>SUCMALT4CCC_GRTR20__</v>
      </c>
      <c r="H352" s="9" t="s">
        <v>1137</v>
      </c>
      <c r="K352" s="9">
        <f t="shared" si="151"/>
        <v>151</v>
      </c>
      <c r="L352" s="9" t="str">
        <f t="shared" si="150"/>
        <v>L</v>
      </c>
      <c r="M352" s="9" t="str">
        <f t="shared" si="145"/>
        <v>Input!L151</v>
      </c>
      <c r="N352" s="9">
        <f>_xlfn.XLOOKUP(F352,'Raw Data'!$I$4:$I$5000,'Raw Data'!$E$4:$E$5000,100,0)</f>
        <v>100</v>
      </c>
      <c r="O352" s="9" t="str">
        <f>IF(N352=0,_xlfn.XLOOKUP(F352,'Raw Data'!$I$4:$I$5000,'Raw Data'!$H$4:$H$5000,"",0),"")</f>
        <v/>
      </c>
      <c r="P352" s="9" t="str" cm="1">
        <f t="array" aca="1" ref="P352" ca="1">IF(INDIRECT(M352) = "","",INDIRECT(M352))</f>
        <v/>
      </c>
      <c r="Q352" s="359" t="s">
        <v>4381</v>
      </c>
    </row>
    <row r="353" spans="1:17" x14ac:dyDescent="0.35">
      <c r="A353" t="s">
        <v>2587</v>
      </c>
      <c r="E353" t="str">
        <f>_xlfn.XLOOKUP(F353,'Raw Data'!$I$4:$I$5000,'Raw Data'!$D$4:$D$5000,"*** Mnemonic not found ***",0)</f>
        <v>*** Mnemonic not found ***</v>
      </c>
      <c r="F353" t="str">
        <f t="shared" si="139"/>
        <v>SUCMOTH1AAA_LESS1__</v>
      </c>
      <c r="H353" s="9" t="s">
        <v>1137</v>
      </c>
      <c r="I353" s="289">
        <f>ROW(section_bonds_sp_unrated_step_2_3)</f>
        <v>118</v>
      </c>
      <c r="J353" s="9">
        <f>J318+9</f>
        <v>38</v>
      </c>
      <c r="K353" s="9">
        <f>I353+J353</f>
        <v>156</v>
      </c>
      <c r="L353" s="9" t="s">
        <v>1124</v>
      </c>
      <c r="M353" s="9" t="str">
        <f t="shared" si="145"/>
        <v>Input!F156</v>
      </c>
      <c r="N353" s="9">
        <f>_xlfn.XLOOKUP(F353,'Raw Data'!$I$4:$I$5000,'Raw Data'!$E$4:$E$5000,100,0)</f>
        <v>100</v>
      </c>
      <c r="O353" s="9" t="str">
        <f>IF(N353=0,_xlfn.XLOOKUP(F353,'Raw Data'!$I$4:$I$5000,'Raw Data'!$H$4:$H$5000,"",0),"")</f>
        <v/>
      </c>
      <c r="P353" s="9" t="str" cm="1">
        <f t="array" aca="1" ref="P353" ca="1">IF(INDIRECT(M353) = "","",INDIRECT(M353))</f>
        <v/>
      </c>
      <c r="Q353" s="359" t="s">
        <v>4381</v>
      </c>
    </row>
    <row r="354" spans="1:17" x14ac:dyDescent="0.35">
      <c r="A354" t="s">
        <v>2588</v>
      </c>
      <c r="E354" t="str">
        <f>_xlfn.XLOOKUP(F354,'Raw Data'!$I$4:$I$5000,'Raw Data'!$D$4:$D$5000,"*** Mnemonic not found ***",0)</f>
        <v>*** Mnemonic not found ***</v>
      </c>
      <c r="F354" t="str">
        <f t="shared" si="139"/>
        <v>SUCMOTH1AAA_1TO5__</v>
      </c>
      <c r="H354" s="9" t="s">
        <v>1137</v>
      </c>
      <c r="K354" s="9">
        <f>K353+1</f>
        <v>157</v>
      </c>
      <c r="L354" s="9" t="str">
        <f t="shared" ref="L354:L357" si="152">L353</f>
        <v>F</v>
      </c>
      <c r="M354" s="9" t="str">
        <f t="shared" si="145"/>
        <v>Input!F157</v>
      </c>
      <c r="N354" s="9">
        <f>_xlfn.XLOOKUP(F354,'Raw Data'!$I$4:$I$5000,'Raw Data'!$E$4:$E$5000,100,0)</f>
        <v>100</v>
      </c>
      <c r="O354" s="9" t="str">
        <f>IF(N354=0,_xlfn.XLOOKUP(F354,'Raw Data'!$I$4:$I$5000,'Raw Data'!$H$4:$H$5000,"",0),"")</f>
        <v/>
      </c>
      <c r="P354" s="9" t="str" cm="1">
        <f t="array" aca="1" ref="P354" ca="1">IF(INDIRECT(M354) = "","",INDIRECT(M354))</f>
        <v/>
      </c>
      <c r="Q354" s="359" t="s">
        <v>4381</v>
      </c>
    </row>
    <row r="355" spans="1:17" x14ac:dyDescent="0.35">
      <c r="A355" t="s">
        <v>2589</v>
      </c>
      <c r="E355" t="str">
        <f>_xlfn.XLOOKUP(F355,'Raw Data'!$I$4:$I$5000,'Raw Data'!$D$4:$D$5000,"*** Mnemonic not found ***",0)</f>
        <v>*** Mnemonic not found ***</v>
      </c>
      <c r="F355" t="str">
        <f t="shared" si="139"/>
        <v>SUCMOTH1AAA_5TO10__</v>
      </c>
      <c r="H355" s="9" t="s">
        <v>1137</v>
      </c>
      <c r="K355" s="9">
        <f t="shared" ref="K355:K357" si="153">K354+1</f>
        <v>158</v>
      </c>
      <c r="L355" s="9" t="str">
        <f t="shared" si="152"/>
        <v>F</v>
      </c>
      <c r="M355" s="9" t="str">
        <f t="shared" si="145"/>
        <v>Input!F158</v>
      </c>
      <c r="N355" s="9">
        <f>_xlfn.XLOOKUP(F355,'Raw Data'!$I$4:$I$5000,'Raw Data'!$E$4:$E$5000,100,0)</f>
        <v>100</v>
      </c>
      <c r="O355" s="9" t="str">
        <f>IF(N355=0,_xlfn.XLOOKUP(F355,'Raw Data'!$I$4:$I$5000,'Raw Data'!$H$4:$H$5000,"",0),"")</f>
        <v/>
      </c>
      <c r="P355" s="9" t="str" cm="1">
        <f t="array" aca="1" ref="P355" ca="1">IF(INDIRECT(M355) = "","",INDIRECT(M355))</f>
        <v/>
      </c>
      <c r="Q355" s="359" t="s">
        <v>4381</v>
      </c>
    </row>
    <row r="356" spans="1:17" x14ac:dyDescent="0.35">
      <c r="A356" t="s">
        <v>2590</v>
      </c>
      <c r="E356" t="str">
        <f>_xlfn.XLOOKUP(F356,'Raw Data'!$I$4:$I$5000,'Raw Data'!$D$4:$D$5000,"*** Mnemonic not found ***",0)</f>
        <v>*** Mnemonic not found ***</v>
      </c>
      <c r="F356" t="str">
        <f t="shared" si="139"/>
        <v>SUCMOTH1AAA_10TO20__</v>
      </c>
      <c r="H356" s="9" t="s">
        <v>1137</v>
      </c>
      <c r="K356" s="9">
        <f t="shared" si="153"/>
        <v>159</v>
      </c>
      <c r="L356" s="9" t="str">
        <f t="shared" si="152"/>
        <v>F</v>
      </c>
      <c r="M356" s="9" t="str">
        <f t="shared" si="145"/>
        <v>Input!F159</v>
      </c>
      <c r="N356" s="9">
        <f>_xlfn.XLOOKUP(F356,'Raw Data'!$I$4:$I$5000,'Raw Data'!$E$4:$E$5000,100,0)</f>
        <v>100</v>
      </c>
      <c r="O356" s="9" t="str">
        <f>IF(N356=0,_xlfn.XLOOKUP(F356,'Raw Data'!$I$4:$I$5000,'Raw Data'!$H$4:$H$5000,"",0),"")</f>
        <v/>
      </c>
      <c r="P356" s="9" t="str" cm="1">
        <f t="array" aca="1" ref="P356" ca="1">IF(INDIRECT(M356) = "","",INDIRECT(M356))</f>
        <v/>
      </c>
      <c r="Q356" s="359" t="s">
        <v>4381</v>
      </c>
    </row>
    <row r="357" spans="1:17" x14ac:dyDescent="0.35">
      <c r="A357" t="s">
        <v>2591</v>
      </c>
      <c r="E357" t="str">
        <f>_xlfn.XLOOKUP(F357,'Raw Data'!$I$4:$I$5000,'Raw Data'!$D$4:$D$5000,"*** Mnemonic not found ***",0)</f>
        <v>*** Mnemonic not found ***</v>
      </c>
      <c r="F357" t="str">
        <f t="shared" si="139"/>
        <v>SUCMOTH1AAA_GRTR20__</v>
      </c>
      <c r="H357" s="9" t="s">
        <v>1137</v>
      </c>
      <c r="K357" s="9">
        <f t="shared" si="153"/>
        <v>160</v>
      </c>
      <c r="L357" s="9" t="str">
        <f t="shared" si="152"/>
        <v>F</v>
      </c>
      <c r="M357" s="9" t="str">
        <f t="shared" si="145"/>
        <v>Input!F160</v>
      </c>
      <c r="N357" s="9">
        <f>_xlfn.XLOOKUP(F357,'Raw Data'!$I$4:$I$5000,'Raw Data'!$E$4:$E$5000,100,0)</f>
        <v>100</v>
      </c>
      <c r="O357" s="9" t="str">
        <f>IF(N357=0,_xlfn.XLOOKUP(F357,'Raw Data'!$I$4:$I$5000,'Raw Data'!$H$4:$H$5000,"",0),"")</f>
        <v/>
      </c>
      <c r="P357" s="9" t="str" cm="1">
        <f t="array" aca="1" ref="P357" ca="1">IF(INDIRECT(M357) = "","",INDIRECT(M357))</f>
        <v/>
      </c>
      <c r="Q357" s="359" t="s">
        <v>4381</v>
      </c>
    </row>
    <row r="358" spans="1:17" x14ac:dyDescent="0.35">
      <c r="A358" t="s">
        <v>2607</v>
      </c>
      <c r="E358" t="str">
        <f>_xlfn.XLOOKUP(F358,'Raw Data'!$I$4:$I$5000,'Raw Data'!$D$4:$D$5000,"*** Mnemonic not found ***",0)</f>
        <v>*** Mnemonic not found ***</v>
      </c>
      <c r="F358" t="str">
        <f t="shared" si="139"/>
        <v>SUCMOTH1AA_LESS1__</v>
      </c>
      <c r="H358" s="9" t="s">
        <v>1137</v>
      </c>
      <c r="K358" s="9">
        <f>K353</f>
        <v>156</v>
      </c>
      <c r="L358" s="9" t="s">
        <v>1145</v>
      </c>
      <c r="M358" s="9" t="str">
        <f t="shared" si="145"/>
        <v>Input!G156</v>
      </c>
      <c r="N358" s="9">
        <f>_xlfn.XLOOKUP(F358,'Raw Data'!$I$4:$I$5000,'Raw Data'!$E$4:$E$5000,100,0)</f>
        <v>100</v>
      </c>
      <c r="O358" s="9" t="str">
        <f>IF(N358=0,_xlfn.XLOOKUP(F358,'Raw Data'!$I$4:$I$5000,'Raw Data'!$H$4:$H$5000,"",0),"")</f>
        <v/>
      </c>
      <c r="P358" s="9" t="str" cm="1">
        <f t="array" aca="1" ref="P358" ca="1">IF(INDIRECT(M358) = "","",INDIRECT(M358))</f>
        <v/>
      </c>
      <c r="Q358" s="359" t="s">
        <v>4381</v>
      </c>
    </row>
    <row r="359" spans="1:17" x14ac:dyDescent="0.35">
      <c r="A359" t="s">
        <v>2608</v>
      </c>
      <c r="E359" t="str">
        <f>_xlfn.XLOOKUP(F359,'Raw Data'!$I$4:$I$5000,'Raw Data'!$D$4:$D$5000,"*** Mnemonic not found ***",0)</f>
        <v>*** Mnemonic not found ***</v>
      </c>
      <c r="F359" t="str">
        <f t="shared" si="139"/>
        <v>SUCMOTH1AA_1TO5__</v>
      </c>
      <c r="H359" s="9" t="s">
        <v>1137</v>
      </c>
      <c r="K359" s="9">
        <f>K358+1</f>
        <v>157</v>
      </c>
      <c r="L359" s="9" t="str">
        <f t="shared" ref="L359:L362" si="154">L358</f>
        <v>G</v>
      </c>
      <c r="M359" s="9" t="str">
        <f t="shared" si="145"/>
        <v>Input!G157</v>
      </c>
      <c r="N359" s="9">
        <f>_xlfn.XLOOKUP(F359,'Raw Data'!$I$4:$I$5000,'Raw Data'!$E$4:$E$5000,100,0)</f>
        <v>100</v>
      </c>
      <c r="O359" s="9" t="str">
        <f>IF(N359=0,_xlfn.XLOOKUP(F359,'Raw Data'!$I$4:$I$5000,'Raw Data'!$H$4:$H$5000,"",0),"")</f>
        <v/>
      </c>
      <c r="P359" s="9" t="str" cm="1">
        <f t="array" aca="1" ref="P359" ca="1">IF(INDIRECT(M359) = "","",INDIRECT(M359))</f>
        <v/>
      </c>
      <c r="Q359" s="359" t="s">
        <v>4381</v>
      </c>
    </row>
    <row r="360" spans="1:17" x14ac:dyDescent="0.35">
      <c r="A360" t="s">
        <v>2609</v>
      </c>
      <c r="E360" t="str">
        <f>_xlfn.XLOOKUP(F360,'Raw Data'!$I$4:$I$5000,'Raw Data'!$D$4:$D$5000,"*** Mnemonic not found ***",0)</f>
        <v>*** Mnemonic not found ***</v>
      </c>
      <c r="F360" t="str">
        <f t="shared" si="139"/>
        <v>SUCMOTH1AA_5TO10__</v>
      </c>
      <c r="H360" s="9" t="s">
        <v>1137</v>
      </c>
      <c r="K360" s="9">
        <f t="shared" ref="K360:K362" si="155">K359+1</f>
        <v>158</v>
      </c>
      <c r="L360" s="9" t="str">
        <f t="shared" si="154"/>
        <v>G</v>
      </c>
      <c r="M360" s="9" t="str">
        <f t="shared" si="145"/>
        <v>Input!G158</v>
      </c>
      <c r="N360" s="9">
        <f>_xlfn.XLOOKUP(F360,'Raw Data'!$I$4:$I$5000,'Raw Data'!$E$4:$E$5000,100,0)</f>
        <v>100</v>
      </c>
      <c r="O360" s="9" t="str">
        <f>IF(N360=0,_xlfn.XLOOKUP(F360,'Raw Data'!$I$4:$I$5000,'Raw Data'!$H$4:$H$5000,"",0),"")</f>
        <v/>
      </c>
      <c r="P360" s="9" t="str" cm="1">
        <f t="array" aca="1" ref="P360" ca="1">IF(INDIRECT(M360) = "","",INDIRECT(M360))</f>
        <v/>
      </c>
      <c r="Q360" s="359" t="s">
        <v>4381</v>
      </c>
    </row>
    <row r="361" spans="1:17" x14ac:dyDescent="0.35">
      <c r="A361" t="s">
        <v>2610</v>
      </c>
      <c r="E361" t="str">
        <f>_xlfn.XLOOKUP(F361,'Raw Data'!$I$4:$I$5000,'Raw Data'!$D$4:$D$5000,"*** Mnemonic not found ***",0)</f>
        <v>*** Mnemonic not found ***</v>
      </c>
      <c r="F361" t="str">
        <f t="shared" si="139"/>
        <v>SUCMOTH1AA_10TO20__</v>
      </c>
      <c r="H361" s="9" t="s">
        <v>1137</v>
      </c>
      <c r="K361" s="9">
        <f t="shared" si="155"/>
        <v>159</v>
      </c>
      <c r="L361" s="9" t="str">
        <f t="shared" si="154"/>
        <v>G</v>
      </c>
      <c r="M361" s="9" t="str">
        <f t="shared" si="145"/>
        <v>Input!G159</v>
      </c>
      <c r="N361" s="9">
        <f>_xlfn.XLOOKUP(F361,'Raw Data'!$I$4:$I$5000,'Raw Data'!$E$4:$E$5000,100,0)</f>
        <v>100</v>
      </c>
      <c r="O361" s="9" t="str">
        <f>IF(N361=0,_xlfn.XLOOKUP(F361,'Raw Data'!$I$4:$I$5000,'Raw Data'!$H$4:$H$5000,"",0),"")</f>
        <v/>
      </c>
      <c r="P361" s="9" t="str" cm="1">
        <f t="array" aca="1" ref="P361" ca="1">IF(INDIRECT(M361) = "","",INDIRECT(M361))</f>
        <v/>
      </c>
      <c r="Q361" s="359" t="s">
        <v>4381</v>
      </c>
    </row>
    <row r="362" spans="1:17" x14ac:dyDescent="0.35">
      <c r="A362" t="s">
        <v>2611</v>
      </c>
      <c r="E362" t="str">
        <f>_xlfn.XLOOKUP(F362,'Raw Data'!$I$4:$I$5000,'Raw Data'!$D$4:$D$5000,"*** Mnemonic not found ***",0)</f>
        <v>*** Mnemonic not found ***</v>
      </c>
      <c r="F362" t="str">
        <f t="shared" si="139"/>
        <v>SUCMOTH1AA_GRTR20__</v>
      </c>
      <c r="H362" s="9" t="s">
        <v>1137</v>
      </c>
      <c r="K362" s="9">
        <f t="shared" si="155"/>
        <v>160</v>
      </c>
      <c r="L362" s="9" t="str">
        <f t="shared" si="154"/>
        <v>G</v>
      </c>
      <c r="M362" s="9" t="str">
        <f t="shared" si="145"/>
        <v>Input!G160</v>
      </c>
      <c r="N362" s="9">
        <f>_xlfn.XLOOKUP(F362,'Raw Data'!$I$4:$I$5000,'Raw Data'!$E$4:$E$5000,100,0)</f>
        <v>100</v>
      </c>
      <c r="O362" s="9" t="str">
        <f>IF(N362=0,_xlfn.XLOOKUP(F362,'Raw Data'!$I$4:$I$5000,'Raw Data'!$H$4:$H$5000,"",0),"")</f>
        <v/>
      </c>
      <c r="P362" s="9" t="str" cm="1">
        <f t="array" aca="1" ref="P362" ca="1">IF(INDIRECT(M362) = "","",INDIRECT(M362))</f>
        <v/>
      </c>
      <c r="Q362" s="359" t="s">
        <v>4381</v>
      </c>
    </row>
    <row r="363" spans="1:17" x14ac:dyDescent="0.35">
      <c r="A363" t="s">
        <v>2627</v>
      </c>
      <c r="E363" t="str">
        <f>_xlfn.XLOOKUP(F363,'Raw Data'!$I$4:$I$5000,'Raw Data'!$D$4:$D$5000,"*** Mnemonic not found ***",0)</f>
        <v>*** Mnemonic not found ***</v>
      </c>
      <c r="F363" t="str">
        <f t="shared" si="139"/>
        <v>SUCMOTH1A_LESS1__</v>
      </c>
      <c r="H363" s="9" t="s">
        <v>1137</v>
      </c>
      <c r="K363" s="9">
        <f>K358</f>
        <v>156</v>
      </c>
      <c r="L363" s="9" t="s">
        <v>1144</v>
      </c>
      <c r="M363" s="9" t="str">
        <f t="shared" si="145"/>
        <v>Input!H156</v>
      </c>
      <c r="N363" s="9">
        <f>_xlfn.XLOOKUP(F363,'Raw Data'!$I$4:$I$5000,'Raw Data'!$E$4:$E$5000,100,0)</f>
        <v>100</v>
      </c>
      <c r="O363" s="9" t="str">
        <f>IF(N363=0,_xlfn.XLOOKUP(F363,'Raw Data'!$I$4:$I$5000,'Raw Data'!$H$4:$H$5000,"",0),"")</f>
        <v/>
      </c>
      <c r="P363" s="9" t="str" cm="1">
        <f t="array" aca="1" ref="P363" ca="1">IF(INDIRECT(M363) = "","",INDIRECT(M363))</f>
        <v/>
      </c>
      <c r="Q363" s="359" t="s">
        <v>4381</v>
      </c>
    </row>
    <row r="364" spans="1:17" x14ac:dyDescent="0.35">
      <c r="A364" t="s">
        <v>2628</v>
      </c>
      <c r="E364" t="str">
        <f>_xlfn.XLOOKUP(F364,'Raw Data'!$I$4:$I$5000,'Raw Data'!$D$4:$D$5000,"*** Mnemonic not found ***",0)</f>
        <v>*** Mnemonic not found ***</v>
      </c>
      <c r="F364" t="str">
        <f t="shared" si="139"/>
        <v>SUCMOTH1A_1TO5__</v>
      </c>
      <c r="H364" s="9" t="s">
        <v>1137</v>
      </c>
      <c r="K364" s="9">
        <f>K363+1</f>
        <v>157</v>
      </c>
      <c r="L364" s="9" t="str">
        <f t="shared" ref="L364:L367" si="156">L363</f>
        <v>H</v>
      </c>
      <c r="M364" s="9" t="str">
        <f t="shared" si="145"/>
        <v>Input!H157</v>
      </c>
      <c r="N364" s="9">
        <f>_xlfn.XLOOKUP(F364,'Raw Data'!$I$4:$I$5000,'Raw Data'!$E$4:$E$5000,100,0)</f>
        <v>100</v>
      </c>
      <c r="O364" s="9" t="str">
        <f>IF(N364=0,_xlfn.XLOOKUP(F364,'Raw Data'!$I$4:$I$5000,'Raw Data'!$H$4:$H$5000,"",0),"")</f>
        <v/>
      </c>
      <c r="P364" s="9" t="str" cm="1">
        <f t="array" aca="1" ref="P364" ca="1">IF(INDIRECT(M364) = "","",INDIRECT(M364))</f>
        <v/>
      </c>
      <c r="Q364" s="359" t="s">
        <v>4381</v>
      </c>
    </row>
    <row r="365" spans="1:17" x14ac:dyDescent="0.35">
      <c r="A365" t="s">
        <v>2629</v>
      </c>
      <c r="E365" t="str">
        <f>_xlfn.XLOOKUP(F365,'Raw Data'!$I$4:$I$5000,'Raw Data'!$D$4:$D$5000,"*** Mnemonic not found ***",0)</f>
        <v>*** Mnemonic not found ***</v>
      </c>
      <c r="F365" t="str">
        <f t="shared" si="139"/>
        <v>SUCMOTH1A_5TO10__</v>
      </c>
      <c r="H365" s="9" t="s">
        <v>1137</v>
      </c>
      <c r="K365" s="9">
        <f t="shared" ref="K365:K367" si="157">K364+1</f>
        <v>158</v>
      </c>
      <c r="L365" s="9" t="str">
        <f t="shared" si="156"/>
        <v>H</v>
      </c>
      <c r="M365" s="9" t="str">
        <f t="shared" si="145"/>
        <v>Input!H158</v>
      </c>
      <c r="N365" s="9">
        <f>_xlfn.XLOOKUP(F365,'Raw Data'!$I$4:$I$5000,'Raw Data'!$E$4:$E$5000,100,0)</f>
        <v>100</v>
      </c>
      <c r="O365" s="9" t="str">
        <f>IF(N365=0,_xlfn.XLOOKUP(F365,'Raw Data'!$I$4:$I$5000,'Raw Data'!$H$4:$H$5000,"",0),"")</f>
        <v/>
      </c>
      <c r="P365" s="9" t="str" cm="1">
        <f t="array" aca="1" ref="P365" ca="1">IF(INDIRECT(M365) = "","",INDIRECT(M365))</f>
        <v/>
      </c>
      <c r="Q365" s="359" t="s">
        <v>4381</v>
      </c>
    </row>
    <row r="366" spans="1:17" x14ac:dyDescent="0.35">
      <c r="A366" t="s">
        <v>2630</v>
      </c>
      <c r="E366" t="str">
        <f>_xlfn.XLOOKUP(F366,'Raw Data'!$I$4:$I$5000,'Raw Data'!$D$4:$D$5000,"*** Mnemonic not found ***",0)</f>
        <v>*** Mnemonic not found ***</v>
      </c>
      <c r="F366" t="str">
        <f t="shared" si="139"/>
        <v>SUCMOTH1A_10TO20__</v>
      </c>
      <c r="H366" s="9" t="s">
        <v>1137</v>
      </c>
      <c r="K366" s="9">
        <f t="shared" si="157"/>
        <v>159</v>
      </c>
      <c r="L366" s="9" t="str">
        <f t="shared" si="156"/>
        <v>H</v>
      </c>
      <c r="M366" s="9" t="str">
        <f t="shared" si="145"/>
        <v>Input!H159</v>
      </c>
      <c r="N366" s="9">
        <f>_xlfn.XLOOKUP(F366,'Raw Data'!$I$4:$I$5000,'Raw Data'!$E$4:$E$5000,100,0)</f>
        <v>100</v>
      </c>
      <c r="O366" s="9" t="str">
        <f>IF(N366=0,_xlfn.XLOOKUP(F366,'Raw Data'!$I$4:$I$5000,'Raw Data'!$H$4:$H$5000,"",0),"")</f>
        <v/>
      </c>
      <c r="P366" s="9" t="str" cm="1">
        <f t="array" aca="1" ref="P366" ca="1">IF(INDIRECT(M366) = "","",INDIRECT(M366))</f>
        <v/>
      </c>
      <c r="Q366" s="359" t="s">
        <v>4381</v>
      </c>
    </row>
    <row r="367" spans="1:17" x14ac:dyDescent="0.35">
      <c r="A367" t="s">
        <v>2631</v>
      </c>
      <c r="E367" t="str">
        <f>_xlfn.XLOOKUP(F367,'Raw Data'!$I$4:$I$5000,'Raw Data'!$D$4:$D$5000,"*** Mnemonic not found ***",0)</f>
        <v>*** Mnemonic not found ***</v>
      </c>
      <c r="F367" t="str">
        <f t="shared" si="139"/>
        <v>SUCMOTH1A_GRTR20__</v>
      </c>
      <c r="H367" s="9" t="s">
        <v>1137</v>
      </c>
      <c r="K367" s="9">
        <f t="shared" si="157"/>
        <v>160</v>
      </c>
      <c r="L367" s="9" t="str">
        <f t="shared" si="156"/>
        <v>H</v>
      </c>
      <c r="M367" s="9" t="str">
        <f t="shared" si="145"/>
        <v>Input!H160</v>
      </c>
      <c r="N367" s="9">
        <f>_xlfn.XLOOKUP(F367,'Raw Data'!$I$4:$I$5000,'Raw Data'!$E$4:$E$5000,100,0)</f>
        <v>100</v>
      </c>
      <c r="O367" s="9" t="str">
        <f>IF(N367=0,_xlfn.XLOOKUP(F367,'Raw Data'!$I$4:$I$5000,'Raw Data'!$H$4:$H$5000,"",0),"")</f>
        <v/>
      </c>
      <c r="P367" s="9" t="str" cm="1">
        <f t="array" aca="1" ref="P367" ca="1">IF(INDIRECT(M367) = "","",INDIRECT(M367))</f>
        <v/>
      </c>
      <c r="Q367" s="359" t="s">
        <v>4381</v>
      </c>
    </row>
    <row r="368" spans="1:17" x14ac:dyDescent="0.35">
      <c r="A368" t="s">
        <v>2647</v>
      </c>
      <c r="E368" t="str">
        <f>_xlfn.XLOOKUP(F368,'Raw Data'!$I$4:$I$5000,'Raw Data'!$D$4:$D$5000,"*** Mnemonic not found ***",0)</f>
        <v>*** Mnemonic not found ***</v>
      </c>
      <c r="F368" t="str">
        <f t="shared" si="139"/>
        <v>SUCMOTH1BBB_LESS1__</v>
      </c>
      <c r="H368" s="9" t="s">
        <v>1137</v>
      </c>
      <c r="K368" s="9">
        <f>K363</f>
        <v>156</v>
      </c>
      <c r="L368" s="9" t="s">
        <v>1375</v>
      </c>
      <c r="M368" s="9" t="str">
        <f t="shared" si="145"/>
        <v>Input!I156</v>
      </c>
      <c r="N368" s="9">
        <f>_xlfn.XLOOKUP(F368,'Raw Data'!$I$4:$I$5000,'Raw Data'!$E$4:$E$5000,100,0)</f>
        <v>100</v>
      </c>
      <c r="O368" s="9" t="str">
        <f>IF(N368=0,_xlfn.XLOOKUP(F368,'Raw Data'!$I$4:$I$5000,'Raw Data'!$H$4:$H$5000,"",0),"")</f>
        <v/>
      </c>
      <c r="P368" s="9" t="str" cm="1">
        <f t="array" aca="1" ref="P368" ca="1">IF(INDIRECT(M368) = "","",INDIRECT(M368))</f>
        <v/>
      </c>
      <c r="Q368" s="359" t="s">
        <v>4381</v>
      </c>
    </row>
    <row r="369" spans="1:17" x14ac:dyDescent="0.35">
      <c r="A369" t="s">
        <v>2648</v>
      </c>
      <c r="E369" t="str">
        <f>_xlfn.XLOOKUP(F369,'Raw Data'!$I$4:$I$5000,'Raw Data'!$D$4:$D$5000,"*** Mnemonic not found ***",0)</f>
        <v>*** Mnemonic not found ***</v>
      </c>
      <c r="F369" t="str">
        <f t="shared" si="139"/>
        <v>SUCMOTH1BBB_1TO5__</v>
      </c>
      <c r="H369" s="9" t="s">
        <v>1137</v>
      </c>
      <c r="K369" s="9">
        <f>K368+1</f>
        <v>157</v>
      </c>
      <c r="L369" s="9" t="str">
        <f t="shared" ref="L369:L372" si="158">L368</f>
        <v>I</v>
      </c>
      <c r="M369" s="9" t="str">
        <f t="shared" si="145"/>
        <v>Input!I157</v>
      </c>
      <c r="N369" s="9">
        <f>_xlfn.XLOOKUP(F369,'Raw Data'!$I$4:$I$5000,'Raw Data'!$E$4:$E$5000,100,0)</f>
        <v>100</v>
      </c>
      <c r="O369" s="9" t="str">
        <f>IF(N369=0,_xlfn.XLOOKUP(F369,'Raw Data'!$I$4:$I$5000,'Raw Data'!$H$4:$H$5000,"",0),"")</f>
        <v/>
      </c>
      <c r="P369" s="9" t="str" cm="1">
        <f t="array" aca="1" ref="P369" ca="1">IF(INDIRECT(M369) = "","",INDIRECT(M369))</f>
        <v/>
      </c>
      <c r="Q369" s="359" t="s">
        <v>4381</v>
      </c>
    </row>
    <row r="370" spans="1:17" x14ac:dyDescent="0.35">
      <c r="A370" t="s">
        <v>2649</v>
      </c>
      <c r="E370" t="str">
        <f>_xlfn.XLOOKUP(F370,'Raw Data'!$I$4:$I$5000,'Raw Data'!$D$4:$D$5000,"*** Mnemonic not found ***",0)</f>
        <v>*** Mnemonic not found ***</v>
      </c>
      <c r="F370" t="str">
        <f t="shared" si="139"/>
        <v>SUCMOTH1BBB_5TO10__</v>
      </c>
      <c r="H370" s="9" t="s">
        <v>1137</v>
      </c>
      <c r="K370" s="9">
        <f t="shared" ref="K370:K372" si="159">K369+1</f>
        <v>158</v>
      </c>
      <c r="L370" s="9" t="str">
        <f t="shared" si="158"/>
        <v>I</v>
      </c>
      <c r="M370" s="9" t="str">
        <f t="shared" si="145"/>
        <v>Input!I158</v>
      </c>
      <c r="N370" s="9">
        <f>_xlfn.XLOOKUP(F370,'Raw Data'!$I$4:$I$5000,'Raw Data'!$E$4:$E$5000,100,0)</f>
        <v>100</v>
      </c>
      <c r="O370" s="9" t="str">
        <f>IF(N370=0,_xlfn.XLOOKUP(F370,'Raw Data'!$I$4:$I$5000,'Raw Data'!$H$4:$H$5000,"",0),"")</f>
        <v/>
      </c>
      <c r="P370" s="9" t="str" cm="1">
        <f t="array" aca="1" ref="P370" ca="1">IF(INDIRECT(M370) = "","",INDIRECT(M370))</f>
        <v/>
      </c>
      <c r="Q370" s="359" t="s">
        <v>4381</v>
      </c>
    </row>
    <row r="371" spans="1:17" x14ac:dyDescent="0.35">
      <c r="A371" t="s">
        <v>2650</v>
      </c>
      <c r="E371" t="str">
        <f>_xlfn.XLOOKUP(F371,'Raw Data'!$I$4:$I$5000,'Raw Data'!$D$4:$D$5000,"*** Mnemonic not found ***",0)</f>
        <v>*** Mnemonic not found ***</v>
      </c>
      <c r="F371" t="str">
        <f t="shared" si="139"/>
        <v>SUCMOTH1BBB_10TO20__</v>
      </c>
      <c r="H371" s="9" t="s">
        <v>1137</v>
      </c>
      <c r="K371" s="9">
        <f t="shared" si="159"/>
        <v>159</v>
      </c>
      <c r="L371" s="9" t="str">
        <f t="shared" si="158"/>
        <v>I</v>
      </c>
      <c r="M371" s="9" t="str">
        <f t="shared" si="145"/>
        <v>Input!I159</v>
      </c>
      <c r="N371" s="9">
        <f>_xlfn.XLOOKUP(F371,'Raw Data'!$I$4:$I$5000,'Raw Data'!$E$4:$E$5000,100,0)</f>
        <v>100</v>
      </c>
      <c r="O371" s="9" t="str">
        <f>IF(N371=0,_xlfn.XLOOKUP(F371,'Raw Data'!$I$4:$I$5000,'Raw Data'!$H$4:$H$5000,"",0),"")</f>
        <v/>
      </c>
      <c r="P371" s="9" t="str" cm="1">
        <f t="array" aca="1" ref="P371" ca="1">IF(INDIRECT(M371) = "","",INDIRECT(M371))</f>
        <v/>
      </c>
      <c r="Q371" s="359" t="s">
        <v>4381</v>
      </c>
    </row>
    <row r="372" spans="1:17" x14ac:dyDescent="0.35">
      <c r="A372" t="s">
        <v>2651</v>
      </c>
      <c r="E372" t="str">
        <f>_xlfn.XLOOKUP(F372,'Raw Data'!$I$4:$I$5000,'Raw Data'!$D$4:$D$5000,"*** Mnemonic not found ***",0)</f>
        <v>*** Mnemonic not found ***</v>
      </c>
      <c r="F372" t="str">
        <f t="shared" si="139"/>
        <v>SUCMOTH1BBB_GRTR20__</v>
      </c>
      <c r="H372" s="9" t="s">
        <v>1137</v>
      </c>
      <c r="K372" s="9">
        <f t="shared" si="159"/>
        <v>160</v>
      </c>
      <c r="L372" s="9" t="str">
        <f t="shared" si="158"/>
        <v>I</v>
      </c>
      <c r="M372" s="9" t="str">
        <f t="shared" si="145"/>
        <v>Input!I160</v>
      </c>
      <c r="N372" s="9">
        <f>_xlfn.XLOOKUP(F372,'Raw Data'!$I$4:$I$5000,'Raw Data'!$E$4:$E$5000,100,0)</f>
        <v>100</v>
      </c>
      <c r="O372" s="9" t="str">
        <f>IF(N372=0,_xlfn.XLOOKUP(F372,'Raw Data'!$I$4:$I$5000,'Raw Data'!$H$4:$H$5000,"",0),"")</f>
        <v/>
      </c>
      <c r="P372" s="9" t="str" cm="1">
        <f t="array" aca="1" ref="P372" ca="1">IF(INDIRECT(M372) = "","",INDIRECT(M372))</f>
        <v/>
      </c>
      <c r="Q372" s="359" t="s">
        <v>4381</v>
      </c>
    </row>
    <row r="373" spans="1:17" x14ac:dyDescent="0.35">
      <c r="A373" t="s">
        <v>2667</v>
      </c>
      <c r="E373" t="str">
        <f>_xlfn.XLOOKUP(F373,'Raw Data'!$I$4:$I$5000,'Raw Data'!$D$4:$D$5000,"*** Mnemonic not found ***",0)</f>
        <v>*** Mnemonic not found ***</v>
      </c>
      <c r="F373" t="str">
        <f t="shared" si="139"/>
        <v>SUCMOTH1BB_LESS1__</v>
      </c>
      <c r="H373" s="9" t="s">
        <v>1137</v>
      </c>
      <c r="K373" s="9">
        <f>K368</f>
        <v>156</v>
      </c>
      <c r="L373" s="9" t="s">
        <v>1376</v>
      </c>
      <c r="M373" s="9" t="str">
        <f t="shared" si="145"/>
        <v>Input!J156</v>
      </c>
      <c r="N373" s="9">
        <f>_xlfn.XLOOKUP(F373,'Raw Data'!$I$4:$I$5000,'Raw Data'!$E$4:$E$5000,100,0)</f>
        <v>100</v>
      </c>
      <c r="O373" s="9" t="str">
        <f>IF(N373=0,_xlfn.XLOOKUP(F373,'Raw Data'!$I$4:$I$5000,'Raw Data'!$H$4:$H$5000,"",0),"")</f>
        <v/>
      </c>
      <c r="P373" s="9" t="str" cm="1">
        <f t="array" aca="1" ref="P373" ca="1">IF(INDIRECT(M373) = "","",INDIRECT(M373))</f>
        <v/>
      </c>
      <c r="Q373" s="359" t="s">
        <v>4381</v>
      </c>
    </row>
    <row r="374" spans="1:17" x14ac:dyDescent="0.35">
      <c r="A374" t="s">
        <v>2668</v>
      </c>
      <c r="E374" t="str">
        <f>_xlfn.XLOOKUP(F374,'Raw Data'!$I$4:$I$5000,'Raw Data'!$D$4:$D$5000,"*** Mnemonic not found ***",0)</f>
        <v>*** Mnemonic not found ***</v>
      </c>
      <c r="F374" t="str">
        <f t="shared" si="139"/>
        <v>SUCMOTH1BB_1TO5__</v>
      </c>
      <c r="H374" s="9" t="s">
        <v>1137</v>
      </c>
      <c r="K374" s="9">
        <f>K373+1</f>
        <v>157</v>
      </c>
      <c r="L374" s="9" t="str">
        <f t="shared" ref="L374:L377" si="160">L373</f>
        <v>J</v>
      </c>
      <c r="M374" s="9" t="str">
        <f t="shared" si="145"/>
        <v>Input!J157</v>
      </c>
      <c r="N374" s="9">
        <f>_xlfn.XLOOKUP(F374,'Raw Data'!$I$4:$I$5000,'Raw Data'!$E$4:$E$5000,100,0)</f>
        <v>100</v>
      </c>
      <c r="O374" s="9" t="str">
        <f>IF(N374=0,_xlfn.XLOOKUP(F374,'Raw Data'!$I$4:$I$5000,'Raw Data'!$H$4:$H$5000,"",0),"")</f>
        <v/>
      </c>
      <c r="P374" s="9" t="str" cm="1">
        <f t="array" aca="1" ref="P374" ca="1">IF(INDIRECT(M374) = "","",INDIRECT(M374))</f>
        <v/>
      </c>
      <c r="Q374" s="359" t="s">
        <v>4381</v>
      </c>
    </row>
    <row r="375" spans="1:17" x14ac:dyDescent="0.35">
      <c r="A375" t="s">
        <v>2669</v>
      </c>
      <c r="E375" t="str">
        <f>_xlfn.XLOOKUP(F375,'Raw Data'!$I$4:$I$5000,'Raw Data'!$D$4:$D$5000,"*** Mnemonic not found ***",0)</f>
        <v>*** Mnemonic not found ***</v>
      </c>
      <c r="F375" t="str">
        <f t="shared" si="139"/>
        <v>SUCMOTH1BB_5TO10__</v>
      </c>
      <c r="H375" s="9" t="s">
        <v>1137</v>
      </c>
      <c r="K375" s="9">
        <f t="shared" ref="K375:K377" si="161">K374+1</f>
        <v>158</v>
      </c>
      <c r="L375" s="9" t="str">
        <f t="shared" si="160"/>
        <v>J</v>
      </c>
      <c r="M375" s="9" t="str">
        <f t="shared" si="145"/>
        <v>Input!J158</v>
      </c>
      <c r="N375" s="9">
        <f>_xlfn.XLOOKUP(F375,'Raw Data'!$I$4:$I$5000,'Raw Data'!$E$4:$E$5000,100,0)</f>
        <v>100</v>
      </c>
      <c r="O375" s="9" t="str">
        <f>IF(N375=0,_xlfn.XLOOKUP(F375,'Raw Data'!$I$4:$I$5000,'Raw Data'!$H$4:$H$5000,"",0),"")</f>
        <v/>
      </c>
      <c r="P375" s="9" t="str" cm="1">
        <f t="array" aca="1" ref="P375" ca="1">IF(INDIRECT(M375) = "","",INDIRECT(M375))</f>
        <v/>
      </c>
      <c r="Q375" s="359" t="s">
        <v>4381</v>
      </c>
    </row>
    <row r="376" spans="1:17" x14ac:dyDescent="0.35">
      <c r="A376" t="s">
        <v>2670</v>
      </c>
      <c r="E376" t="str">
        <f>_xlfn.XLOOKUP(F376,'Raw Data'!$I$4:$I$5000,'Raw Data'!$D$4:$D$5000,"*** Mnemonic not found ***",0)</f>
        <v>*** Mnemonic not found ***</v>
      </c>
      <c r="F376" t="str">
        <f t="shared" si="139"/>
        <v>SUCMOTH1BB_10TO20__</v>
      </c>
      <c r="H376" s="9" t="s">
        <v>1137</v>
      </c>
      <c r="K376" s="9">
        <f t="shared" si="161"/>
        <v>159</v>
      </c>
      <c r="L376" s="9" t="str">
        <f t="shared" si="160"/>
        <v>J</v>
      </c>
      <c r="M376" s="9" t="str">
        <f t="shared" si="145"/>
        <v>Input!J159</v>
      </c>
      <c r="N376" s="9">
        <f>_xlfn.XLOOKUP(F376,'Raw Data'!$I$4:$I$5000,'Raw Data'!$E$4:$E$5000,100,0)</f>
        <v>100</v>
      </c>
      <c r="O376" s="9" t="str">
        <f>IF(N376=0,_xlfn.XLOOKUP(F376,'Raw Data'!$I$4:$I$5000,'Raw Data'!$H$4:$H$5000,"",0),"")</f>
        <v/>
      </c>
      <c r="P376" s="9" t="str" cm="1">
        <f t="array" aca="1" ref="P376" ca="1">IF(INDIRECT(M376) = "","",INDIRECT(M376))</f>
        <v/>
      </c>
      <c r="Q376" s="359" t="s">
        <v>4381</v>
      </c>
    </row>
    <row r="377" spans="1:17" x14ac:dyDescent="0.35">
      <c r="A377" t="s">
        <v>2671</v>
      </c>
      <c r="E377" t="str">
        <f>_xlfn.XLOOKUP(F377,'Raw Data'!$I$4:$I$5000,'Raw Data'!$D$4:$D$5000,"*** Mnemonic not found ***",0)</f>
        <v>*** Mnemonic not found ***</v>
      </c>
      <c r="F377" t="str">
        <f t="shared" si="139"/>
        <v>SUCMOTH1BB_GRTR20__</v>
      </c>
      <c r="H377" s="9" t="s">
        <v>1137</v>
      </c>
      <c r="K377" s="9">
        <f t="shared" si="161"/>
        <v>160</v>
      </c>
      <c r="L377" s="9" t="str">
        <f t="shared" si="160"/>
        <v>J</v>
      </c>
      <c r="M377" s="9" t="str">
        <f t="shared" si="145"/>
        <v>Input!J160</v>
      </c>
      <c r="N377" s="9">
        <f>_xlfn.XLOOKUP(F377,'Raw Data'!$I$4:$I$5000,'Raw Data'!$E$4:$E$5000,100,0)</f>
        <v>100</v>
      </c>
      <c r="O377" s="9" t="str">
        <f>IF(N377=0,_xlfn.XLOOKUP(F377,'Raw Data'!$I$4:$I$5000,'Raw Data'!$H$4:$H$5000,"",0),"")</f>
        <v/>
      </c>
      <c r="P377" s="9" t="str" cm="1">
        <f t="array" aca="1" ref="P377" ca="1">IF(INDIRECT(M377) = "","",INDIRECT(M377))</f>
        <v/>
      </c>
      <c r="Q377" s="359" t="s">
        <v>4381</v>
      </c>
    </row>
    <row r="378" spans="1:17" x14ac:dyDescent="0.35">
      <c r="A378" t="s">
        <v>2687</v>
      </c>
      <c r="E378" t="str">
        <f>_xlfn.XLOOKUP(F378,'Raw Data'!$I$4:$I$5000,'Raw Data'!$D$4:$D$5000,"*** Mnemonic not found ***",0)</f>
        <v>*** Mnemonic not found ***</v>
      </c>
      <c r="F378" t="str">
        <f t="shared" si="139"/>
        <v>SUCMOTH1B_LESS1__</v>
      </c>
      <c r="H378" s="9" t="s">
        <v>1137</v>
      </c>
      <c r="K378" s="9">
        <f>K373</f>
        <v>156</v>
      </c>
      <c r="L378" s="9" t="s">
        <v>1377</v>
      </c>
      <c r="M378" s="9" t="str">
        <f t="shared" si="145"/>
        <v>Input!K156</v>
      </c>
      <c r="N378" s="9">
        <f>_xlfn.XLOOKUP(F378,'Raw Data'!$I$4:$I$5000,'Raw Data'!$E$4:$E$5000,100,0)</f>
        <v>100</v>
      </c>
      <c r="O378" s="9" t="str">
        <f>IF(N378=0,_xlfn.XLOOKUP(F378,'Raw Data'!$I$4:$I$5000,'Raw Data'!$H$4:$H$5000,"",0),"")</f>
        <v/>
      </c>
      <c r="P378" s="9" t="str" cm="1">
        <f t="array" aca="1" ref="P378" ca="1">IF(INDIRECT(M378) = "","",INDIRECT(M378))</f>
        <v/>
      </c>
      <c r="Q378" s="359" t="s">
        <v>4381</v>
      </c>
    </row>
    <row r="379" spans="1:17" x14ac:dyDescent="0.35">
      <c r="A379" t="s">
        <v>2688</v>
      </c>
      <c r="E379" t="str">
        <f>_xlfn.XLOOKUP(F379,'Raw Data'!$I$4:$I$5000,'Raw Data'!$D$4:$D$5000,"*** Mnemonic not found ***",0)</f>
        <v>*** Mnemonic not found ***</v>
      </c>
      <c r="F379" t="str">
        <f t="shared" si="139"/>
        <v>SUCMOTH1B_1TO5__</v>
      </c>
      <c r="H379" s="9" t="s">
        <v>1137</v>
      </c>
      <c r="K379" s="9">
        <f>K378+1</f>
        <v>157</v>
      </c>
      <c r="L379" s="9" t="str">
        <f t="shared" ref="L379:L382" si="162">L378</f>
        <v>K</v>
      </c>
      <c r="M379" s="9" t="str">
        <f t="shared" si="145"/>
        <v>Input!K157</v>
      </c>
      <c r="N379" s="9">
        <f>_xlfn.XLOOKUP(F379,'Raw Data'!$I$4:$I$5000,'Raw Data'!$E$4:$E$5000,100,0)</f>
        <v>100</v>
      </c>
      <c r="O379" s="9" t="str">
        <f>IF(N379=0,_xlfn.XLOOKUP(F379,'Raw Data'!$I$4:$I$5000,'Raw Data'!$H$4:$H$5000,"",0),"")</f>
        <v/>
      </c>
      <c r="P379" s="9" t="str" cm="1">
        <f t="array" aca="1" ref="P379" ca="1">IF(INDIRECT(M379) = "","",INDIRECT(M379))</f>
        <v/>
      </c>
      <c r="Q379" s="359" t="s">
        <v>4381</v>
      </c>
    </row>
    <row r="380" spans="1:17" x14ac:dyDescent="0.35">
      <c r="A380" t="s">
        <v>2689</v>
      </c>
      <c r="E380" t="str">
        <f>_xlfn.XLOOKUP(F380,'Raw Data'!$I$4:$I$5000,'Raw Data'!$D$4:$D$5000,"*** Mnemonic not found ***",0)</f>
        <v>*** Mnemonic not found ***</v>
      </c>
      <c r="F380" t="str">
        <f t="shared" si="139"/>
        <v>SUCMOTH1B_5TO10__</v>
      </c>
      <c r="H380" s="9" t="s">
        <v>1137</v>
      </c>
      <c r="K380" s="9">
        <f t="shared" ref="K380:K382" si="163">K379+1</f>
        <v>158</v>
      </c>
      <c r="L380" s="9" t="str">
        <f t="shared" si="162"/>
        <v>K</v>
      </c>
      <c r="M380" s="9" t="str">
        <f t="shared" si="145"/>
        <v>Input!K158</v>
      </c>
      <c r="N380" s="9">
        <f>_xlfn.XLOOKUP(F380,'Raw Data'!$I$4:$I$5000,'Raw Data'!$E$4:$E$5000,100,0)</f>
        <v>100</v>
      </c>
      <c r="O380" s="9" t="str">
        <f>IF(N380=0,_xlfn.XLOOKUP(F380,'Raw Data'!$I$4:$I$5000,'Raw Data'!$H$4:$H$5000,"",0),"")</f>
        <v/>
      </c>
      <c r="P380" s="9" t="str" cm="1">
        <f t="array" aca="1" ref="P380" ca="1">IF(INDIRECT(M380) = "","",INDIRECT(M380))</f>
        <v/>
      </c>
      <c r="Q380" s="359" t="s">
        <v>4381</v>
      </c>
    </row>
    <row r="381" spans="1:17" x14ac:dyDescent="0.35">
      <c r="A381" t="s">
        <v>2690</v>
      </c>
      <c r="E381" t="str">
        <f>_xlfn.XLOOKUP(F381,'Raw Data'!$I$4:$I$5000,'Raw Data'!$D$4:$D$5000,"*** Mnemonic not found ***",0)</f>
        <v>*** Mnemonic not found ***</v>
      </c>
      <c r="F381" t="str">
        <f t="shared" si="139"/>
        <v>SUCMOTH1B_10TO20__</v>
      </c>
      <c r="H381" s="9" t="s">
        <v>1137</v>
      </c>
      <c r="K381" s="9">
        <f t="shared" si="163"/>
        <v>159</v>
      </c>
      <c r="L381" s="9" t="str">
        <f t="shared" si="162"/>
        <v>K</v>
      </c>
      <c r="M381" s="9" t="str">
        <f t="shared" si="145"/>
        <v>Input!K159</v>
      </c>
      <c r="N381" s="9">
        <f>_xlfn.XLOOKUP(F381,'Raw Data'!$I$4:$I$5000,'Raw Data'!$E$4:$E$5000,100,0)</f>
        <v>100</v>
      </c>
      <c r="O381" s="9" t="str">
        <f>IF(N381=0,_xlfn.XLOOKUP(F381,'Raw Data'!$I$4:$I$5000,'Raw Data'!$H$4:$H$5000,"",0),"")</f>
        <v/>
      </c>
      <c r="P381" s="9" t="str" cm="1">
        <f t="array" aca="1" ref="P381" ca="1">IF(INDIRECT(M381) = "","",INDIRECT(M381))</f>
        <v/>
      </c>
      <c r="Q381" s="359" t="s">
        <v>4381</v>
      </c>
    </row>
    <row r="382" spans="1:17" x14ac:dyDescent="0.35">
      <c r="A382" t="s">
        <v>2691</v>
      </c>
      <c r="E382" t="str">
        <f>_xlfn.XLOOKUP(F382,'Raw Data'!$I$4:$I$5000,'Raw Data'!$D$4:$D$5000,"*** Mnemonic not found ***",0)</f>
        <v>*** Mnemonic not found ***</v>
      </c>
      <c r="F382" t="str">
        <f t="shared" si="139"/>
        <v>SUCMOTH1B_GRTR20__</v>
      </c>
      <c r="H382" s="9" t="s">
        <v>1137</v>
      </c>
      <c r="K382" s="9">
        <f t="shared" si="163"/>
        <v>160</v>
      </c>
      <c r="L382" s="9" t="str">
        <f t="shared" si="162"/>
        <v>K</v>
      </c>
      <c r="M382" s="9" t="str">
        <f t="shared" si="145"/>
        <v>Input!K160</v>
      </c>
      <c r="N382" s="9">
        <f>_xlfn.XLOOKUP(F382,'Raw Data'!$I$4:$I$5000,'Raw Data'!$E$4:$E$5000,100,0)</f>
        <v>100</v>
      </c>
      <c r="O382" s="9" t="str">
        <f>IF(N382=0,_xlfn.XLOOKUP(F382,'Raw Data'!$I$4:$I$5000,'Raw Data'!$H$4:$H$5000,"",0),"")</f>
        <v/>
      </c>
      <c r="P382" s="9" t="str" cm="1">
        <f t="array" aca="1" ref="P382" ca="1">IF(INDIRECT(M382) = "","",INDIRECT(M382))</f>
        <v/>
      </c>
      <c r="Q382" s="359" t="s">
        <v>4381</v>
      </c>
    </row>
    <row r="383" spans="1:17" x14ac:dyDescent="0.35">
      <c r="A383" t="s">
        <v>2707</v>
      </c>
      <c r="E383" t="str">
        <f>_xlfn.XLOOKUP(F383,'Raw Data'!$I$4:$I$5000,'Raw Data'!$D$4:$D$5000,"*** Mnemonic not found ***",0)</f>
        <v>*** Mnemonic not found ***</v>
      </c>
      <c r="F383" t="str">
        <f t="shared" si="139"/>
        <v>SUCMOTH1CCC_LESS1__</v>
      </c>
      <c r="H383" s="9" t="s">
        <v>1137</v>
      </c>
      <c r="K383" s="9">
        <f>K378</f>
        <v>156</v>
      </c>
      <c r="L383" s="9" t="s">
        <v>1378</v>
      </c>
      <c r="M383" s="9" t="str">
        <f t="shared" si="145"/>
        <v>Input!L156</v>
      </c>
      <c r="N383" s="9">
        <f>_xlfn.XLOOKUP(F383,'Raw Data'!$I$4:$I$5000,'Raw Data'!$E$4:$E$5000,100,0)</f>
        <v>100</v>
      </c>
      <c r="O383" s="9" t="str">
        <f>IF(N383=0,_xlfn.XLOOKUP(F383,'Raw Data'!$I$4:$I$5000,'Raw Data'!$H$4:$H$5000,"",0),"")</f>
        <v/>
      </c>
      <c r="P383" s="9" t="str" cm="1">
        <f t="array" aca="1" ref="P383" ca="1">IF(INDIRECT(M383) = "","",INDIRECT(M383))</f>
        <v/>
      </c>
      <c r="Q383" s="359" t="s">
        <v>4381</v>
      </c>
    </row>
    <row r="384" spans="1:17" x14ac:dyDescent="0.35">
      <c r="A384" t="s">
        <v>2708</v>
      </c>
      <c r="E384" t="str">
        <f>_xlfn.XLOOKUP(F384,'Raw Data'!$I$4:$I$5000,'Raw Data'!$D$4:$D$5000,"*** Mnemonic not found ***",0)</f>
        <v>*** Mnemonic not found ***</v>
      </c>
      <c r="F384" t="str">
        <f t="shared" si="139"/>
        <v>SUCMOTH1CCC_1TO5__</v>
      </c>
      <c r="H384" s="9" t="s">
        <v>1137</v>
      </c>
      <c r="K384" s="9">
        <f>K383+1</f>
        <v>157</v>
      </c>
      <c r="L384" s="9" t="str">
        <f t="shared" ref="L384:L387" si="164">L383</f>
        <v>L</v>
      </c>
      <c r="M384" s="9" t="str">
        <f t="shared" si="145"/>
        <v>Input!L157</v>
      </c>
      <c r="N384" s="9">
        <f>_xlfn.XLOOKUP(F384,'Raw Data'!$I$4:$I$5000,'Raw Data'!$E$4:$E$5000,100,0)</f>
        <v>100</v>
      </c>
      <c r="O384" s="9" t="str">
        <f>IF(N384=0,_xlfn.XLOOKUP(F384,'Raw Data'!$I$4:$I$5000,'Raw Data'!$H$4:$H$5000,"",0),"")</f>
        <v/>
      </c>
      <c r="P384" s="9" t="str" cm="1">
        <f t="array" aca="1" ref="P384" ca="1">IF(INDIRECT(M384) = "","",INDIRECT(M384))</f>
        <v/>
      </c>
      <c r="Q384" s="359" t="s">
        <v>4381</v>
      </c>
    </row>
    <row r="385" spans="1:17" x14ac:dyDescent="0.35">
      <c r="A385" t="s">
        <v>2709</v>
      </c>
      <c r="E385" t="str">
        <f>_xlfn.XLOOKUP(F385,'Raw Data'!$I$4:$I$5000,'Raw Data'!$D$4:$D$5000,"*** Mnemonic not found ***",0)</f>
        <v>*** Mnemonic not found ***</v>
      </c>
      <c r="F385" t="str">
        <f t="shared" si="139"/>
        <v>SUCMOTH1CCC_5TO10__</v>
      </c>
      <c r="H385" s="9" t="s">
        <v>1137</v>
      </c>
      <c r="K385" s="9">
        <f t="shared" ref="K385:K387" si="165">K384+1</f>
        <v>158</v>
      </c>
      <c r="L385" s="9" t="str">
        <f t="shared" si="164"/>
        <v>L</v>
      </c>
      <c r="M385" s="9" t="str">
        <f t="shared" si="145"/>
        <v>Input!L158</v>
      </c>
      <c r="N385" s="9">
        <f>_xlfn.XLOOKUP(F385,'Raw Data'!$I$4:$I$5000,'Raw Data'!$E$4:$E$5000,100,0)</f>
        <v>100</v>
      </c>
      <c r="O385" s="9" t="str">
        <f>IF(N385=0,_xlfn.XLOOKUP(F385,'Raw Data'!$I$4:$I$5000,'Raw Data'!$H$4:$H$5000,"",0),"")</f>
        <v/>
      </c>
      <c r="P385" s="9" t="str" cm="1">
        <f t="array" aca="1" ref="P385" ca="1">IF(INDIRECT(M385) = "","",INDIRECT(M385))</f>
        <v/>
      </c>
      <c r="Q385" s="359" t="s">
        <v>4381</v>
      </c>
    </row>
    <row r="386" spans="1:17" x14ac:dyDescent="0.35">
      <c r="A386" t="s">
        <v>2710</v>
      </c>
      <c r="E386" t="str">
        <f>_xlfn.XLOOKUP(F386,'Raw Data'!$I$4:$I$5000,'Raw Data'!$D$4:$D$5000,"*** Mnemonic not found ***",0)</f>
        <v>*** Mnemonic not found ***</v>
      </c>
      <c r="F386" t="str">
        <f t="shared" si="139"/>
        <v>SUCMOTH1CCC_10TO20__</v>
      </c>
      <c r="H386" s="9" t="s">
        <v>1137</v>
      </c>
      <c r="K386" s="9">
        <f t="shared" si="165"/>
        <v>159</v>
      </c>
      <c r="L386" s="9" t="str">
        <f t="shared" si="164"/>
        <v>L</v>
      </c>
      <c r="M386" s="9" t="str">
        <f t="shared" si="145"/>
        <v>Input!L159</v>
      </c>
      <c r="N386" s="9">
        <f>_xlfn.XLOOKUP(F386,'Raw Data'!$I$4:$I$5000,'Raw Data'!$E$4:$E$5000,100,0)</f>
        <v>100</v>
      </c>
      <c r="O386" s="9" t="str">
        <f>IF(N386=0,_xlfn.XLOOKUP(F386,'Raw Data'!$I$4:$I$5000,'Raw Data'!$H$4:$H$5000,"",0),"")</f>
        <v/>
      </c>
      <c r="P386" s="9" t="str" cm="1">
        <f t="array" aca="1" ref="P386" ca="1">IF(INDIRECT(M386) = "","",INDIRECT(M386))</f>
        <v/>
      </c>
      <c r="Q386" s="359" t="s">
        <v>4381</v>
      </c>
    </row>
    <row r="387" spans="1:17" x14ac:dyDescent="0.35">
      <c r="A387" t="s">
        <v>2711</v>
      </c>
      <c r="E387" t="str">
        <f>_xlfn.XLOOKUP(F387,'Raw Data'!$I$4:$I$5000,'Raw Data'!$D$4:$D$5000,"*** Mnemonic not found ***",0)</f>
        <v>*** Mnemonic not found ***</v>
      </c>
      <c r="F387" t="str">
        <f t="shared" si="139"/>
        <v>SUCMOTH1CCC_GRTR20__</v>
      </c>
      <c r="H387" s="9" t="s">
        <v>1137</v>
      </c>
      <c r="K387" s="9">
        <f t="shared" si="165"/>
        <v>160</v>
      </c>
      <c r="L387" s="9" t="str">
        <f t="shared" si="164"/>
        <v>L</v>
      </c>
      <c r="M387" s="9" t="str">
        <f t="shared" si="145"/>
        <v>Input!L160</v>
      </c>
      <c r="N387" s="9">
        <f>_xlfn.XLOOKUP(F387,'Raw Data'!$I$4:$I$5000,'Raw Data'!$E$4:$E$5000,100,0)</f>
        <v>100</v>
      </c>
      <c r="O387" s="9" t="str">
        <f>IF(N387=0,_xlfn.XLOOKUP(F387,'Raw Data'!$I$4:$I$5000,'Raw Data'!$H$4:$H$5000,"",0),"")</f>
        <v/>
      </c>
      <c r="P387" s="9" t="str" cm="1">
        <f t="array" aca="1" ref="P387" ca="1">IF(INDIRECT(M387) = "","",INDIRECT(M387))</f>
        <v/>
      </c>
      <c r="Q387" s="359" t="s">
        <v>4381</v>
      </c>
    </row>
    <row r="388" spans="1:17" x14ac:dyDescent="0.35">
      <c r="A388" t="s">
        <v>2592</v>
      </c>
      <c r="E388" t="str">
        <f>_xlfn.XLOOKUP(F388,'Raw Data'!$I$4:$I$5000,'Raw Data'!$D$4:$D$5000,"*** Mnemonic not found ***",0)</f>
        <v>*** Mnemonic not found ***</v>
      </c>
      <c r="F388" t="str">
        <f t="shared" si="139"/>
        <v>SUCMOTH2AAA_LESS1__</v>
      </c>
      <c r="H388" s="9" t="s">
        <v>1137</v>
      </c>
      <c r="I388" s="289">
        <f>ROW(section_bonds_sp_unrated_step_2_3)</f>
        <v>118</v>
      </c>
      <c r="J388" s="9">
        <f>J353+8</f>
        <v>46</v>
      </c>
      <c r="K388" s="9">
        <f>I388+J388</f>
        <v>164</v>
      </c>
      <c r="L388" s="9" t="s">
        <v>1124</v>
      </c>
      <c r="M388" s="9" t="str">
        <f t="shared" si="145"/>
        <v>Input!F164</v>
      </c>
      <c r="N388" s="9">
        <f>_xlfn.XLOOKUP(F388,'Raw Data'!$I$4:$I$5000,'Raw Data'!$E$4:$E$5000,100,0)</f>
        <v>100</v>
      </c>
      <c r="O388" s="9" t="str">
        <f>IF(N388=0,_xlfn.XLOOKUP(F388,'Raw Data'!$I$4:$I$5000,'Raw Data'!$H$4:$H$5000,"",0),"")</f>
        <v/>
      </c>
      <c r="P388" s="9" t="str" cm="1">
        <f t="array" aca="1" ref="P388" ca="1">IF(INDIRECT(M388) = "","",INDIRECT(M388))</f>
        <v/>
      </c>
      <c r="Q388" s="359" t="s">
        <v>4381</v>
      </c>
    </row>
    <row r="389" spans="1:17" x14ac:dyDescent="0.35">
      <c r="A389" t="s">
        <v>2593</v>
      </c>
      <c r="E389" t="str">
        <f>_xlfn.XLOOKUP(F389,'Raw Data'!$I$4:$I$5000,'Raw Data'!$D$4:$D$5000,"*** Mnemonic not found ***",0)</f>
        <v>*** Mnemonic not found ***</v>
      </c>
      <c r="F389" t="str">
        <f t="shared" ref="F389:F452" si="166">CONCATENATE(A389,"_",B389,"_",D389)</f>
        <v>SUCMOTH2AAA_1TO5__</v>
      </c>
      <c r="H389" s="9" t="s">
        <v>1137</v>
      </c>
      <c r="K389" s="9">
        <f>K388+1</f>
        <v>165</v>
      </c>
      <c r="L389" s="9" t="str">
        <f t="shared" ref="L389:L392" si="167">L388</f>
        <v>F</v>
      </c>
      <c r="M389" s="9" t="str">
        <f t="shared" si="145"/>
        <v>Input!F165</v>
      </c>
      <c r="N389" s="9">
        <f>_xlfn.XLOOKUP(F389,'Raw Data'!$I$4:$I$5000,'Raw Data'!$E$4:$E$5000,100,0)</f>
        <v>100</v>
      </c>
      <c r="O389" s="9" t="str">
        <f>IF(N389=0,_xlfn.XLOOKUP(F389,'Raw Data'!$I$4:$I$5000,'Raw Data'!$H$4:$H$5000,"",0),"")</f>
        <v/>
      </c>
      <c r="P389" s="9" t="str" cm="1">
        <f t="array" aca="1" ref="P389" ca="1">IF(INDIRECT(M389) = "","",INDIRECT(M389))</f>
        <v/>
      </c>
      <c r="Q389" s="359" t="s">
        <v>4381</v>
      </c>
    </row>
    <row r="390" spans="1:17" x14ac:dyDescent="0.35">
      <c r="A390" t="s">
        <v>2594</v>
      </c>
      <c r="E390" t="str">
        <f>_xlfn.XLOOKUP(F390,'Raw Data'!$I$4:$I$5000,'Raw Data'!$D$4:$D$5000,"*** Mnemonic not found ***",0)</f>
        <v>*** Mnemonic not found ***</v>
      </c>
      <c r="F390" t="str">
        <f t="shared" si="166"/>
        <v>SUCMOTH2AAA_5TO10__</v>
      </c>
      <c r="H390" s="9" t="s">
        <v>1137</v>
      </c>
      <c r="K390" s="9">
        <f t="shared" ref="K390:K392" si="168">K389+1</f>
        <v>166</v>
      </c>
      <c r="L390" s="9" t="str">
        <f t="shared" si="167"/>
        <v>F</v>
      </c>
      <c r="M390" s="9" t="str">
        <f t="shared" si="145"/>
        <v>Input!F166</v>
      </c>
      <c r="N390" s="9">
        <f>_xlfn.XLOOKUP(F390,'Raw Data'!$I$4:$I$5000,'Raw Data'!$E$4:$E$5000,100,0)</f>
        <v>100</v>
      </c>
      <c r="O390" s="9" t="str">
        <f>IF(N390=0,_xlfn.XLOOKUP(F390,'Raw Data'!$I$4:$I$5000,'Raw Data'!$H$4:$H$5000,"",0),"")</f>
        <v/>
      </c>
      <c r="P390" s="9" t="str" cm="1">
        <f t="array" aca="1" ref="P390" ca="1">IF(INDIRECT(M390) = "","",INDIRECT(M390))</f>
        <v/>
      </c>
      <c r="Q390" s="359" t="s">
        <v>4381</v>
      </c>
    </row>
    <row r="391" spans="1:17" x14ac:dyDescent="0.35">
      <c r="A391" t="s">
        <v>2595</v>
      </c>
      <c r="E391" t="str">
        <f>_xlfn.XLOOKUP(F391,'Raw Data'!$I$4:$I$5000,'Raw Data'!$D$4:$D$5000,"*** Mnemonic not found ***",0)</f>
        <v>*** Mnemonic not found ***</v>
      </c>
      <c r="F391" t="str">
        <f t="shared" si="166"/>
        <v>SUCMOTH2AAA_10TO20__</v>
      </c>
      <c r="H391" s="9" t="s">
        <v>1137</v>
      </c>
      <c r="K391" s="9">
        <f t="shared" si="168"/>
        <v>167</v>
      </c>
      <c r="L391" s="9" t="str">
        <f t="shared" si="167"/>
        <v>F</v>
      </c>
      <c r="M391" s="9" t="str">
        <f t="shared" si="145"/>
        <v>Input!F167</v>
      </c>
      <c r="N391" s="9">
        <f>_xlfn.XLOOKUP(F391,'Raw Data'!$I$4:$I$5000,'Raw Data'!$E$4:$E$5000,100,0)</f>
        <v>100</v>
      </c>
      <c r="O391" s="9" t="str">
        <f>IF(N391=0,_xlfn.XLOOKUP(F391,'Raw Data'!$I$4:$I$5000,'Raw Data'!$H$4:$H$5000,"",0),"")</f>
        <v/>
      </c>
      <c r="P391" s="9" t="str" cm="1">
        <f t="array" aca="1" ref="P391" ca="1">IF(INDIRECT(M391) = "","",INDIRECT(M391))</f>
        <v/>
      </c>
      <c r="Q391" s="359" t="s">
        <v>4381</v>
      </c>
    </row>
    <row r="392" spans="1:17" x14ac:dyDescent="0.35">
      <c r="A392" t="s">
        <v>2596</v>
      </c>
      <c r="E392" t="str">
        <f>_xlfn.XLOOKUP(F392,'Raw Data'!$I$4:$I$5000,'Raw Data'!$D$4:$D$5000,"*** Mnemonic not found ***",0)</f>
        <v>*** Mnemonic not found ***</v>
      </c>
      <c r="F392" t="str">
        <f t="shared" si="166"/>
        <v>SUCMOTH2AAA_GRTR20__</v>
      </c>
      <c r="H392" s="9" t="s">
        <v>1137</v>
      </c>
      <c r="K392" s="9">
        <f t="shared" si="168"/>
        <v>168</v>
      </c>
      <c r="L392" s="9" t="str">
        <f t="shared" si="167"/>
        <v>F</v>
      </c>
      <c r="M392" s="9" t="str">
        <f t="shared" si="145"/>
        <v>Input!F168</v>
      </c>
      <c r="N392" s="9">
        <f>_xlfn.XLOOKUP(F392,'Raw Data'!$I$4:$I$5000,'Raw Data'!$E$4:$E$5000,100,0)</f>
        <v>100</v>
      </c>
      <c r="O392" s="9" t="str">
        <f>IF(N392=0,_xlfn.XLOOKUP(F392,'Raw Data'!$I$4:$I$5000,'Raw Data'!$H$4:$H$5000,"",0),"")</f>
        <v/>
      </c>
      <c r="P392" s="9" t="str" cm="1">
        <f t="array" aca="1" ref="P392" ca="1">IF(INDIRECT(M392) = "","",INDIRECT(M392))</f>
        <v/>
      </c>
      <c r="Q392" s="359" t="s">
        <v>4381</v>
      </c>
    </row>
    <row r="393" spans="1:17" x14ac:dyDescent="0.35">
      <c r="A393" t="s">
        <v>2612</v>
      </c>
      <c r="E393" t="str">
        <f>_xlfn.XLOOKUP(F393,'Raw Data'!$I$4:$I$5000,'Raw Data'!$D$4:$D$5000,"*** Mnemonic not found ***",0)</f>
        <v>*** Mnemonic not found ***</v>
      </c>
      <c r="F393" t="str">
        <f t="shared" si="166"/>
        <v>SUCMOTH2AA_LESS1__</v>
      </c>
      <c r="H393" s="9" t="s">
        <v>1137</v>
      </c>
      <c r="K393" s="9">
        <f>K388</f>
        <v>164</v>
      </c>
      <c r="L393" s="9" t="s">
        <v>1145</v>
      </c>
      <c r="M393" s="9" t="str">
        <f t="shared" si="145"/>
        <v>Input!G164</v>
      </c>
      <c r="N393" s="9">
        <f>_xlfn.XLOOKUP(F393,'Raw Data'!$I$4:$I$5000,'Raw Data'!$E$4:$E$5000,100,0)</f>
        <v>100</v>
      </c>
      <c r="O393" s="9" t="str">
        <f>IF(N393=0,_xlfn.XLOOKUP(F393,'Raw Data'!$I$4:$I$5000,'Raw Data'!$H$4:$H$5000,"",0),"")</f>
        <v/>
      </c>
      <c r="P393" s="9" t="str" cm="1">
        <f t="array" aca="1" ref="P393" ca="1">IF(INDIRECT(M393) = "","",INDIRECT(M393))</f>
        <v/>
      </c>
      <c r="Q393" s="359" t="s">
        <v>4381</v>
      </c>
    </row>
    <row r="394" spans="1:17" x14ac:dyDescent="0.35">
      <c r="A394" t="s">
        <v>2613</v>
      </c>
      <c r="E394" t="str">
        <f>_xlfn.XLOOKUP(F394,'Raw Data'!$I$4:$I$5000,'Raw Data'!$D$4:$D$5000,"*** Mnemonic not found ***",0)</f>
        <v>*** Mnemonic not found ***</v>
      </c>
      <c r="F394" t="str">
        <f t="shared" si="166"/>
        <v>SUCMOTH2AA_1TO5__</v>
      </c>
      <c r="H394" s="9" t="s">
        <v>1137</v>
      </c>
      <c r="K394" s="9">
        <f>K393+1</f>
        <v>165</v>
      </c>
      <c r="L394" s="9" t="str">
        <f t="shared" ref="L394:L397" si="169">L393</f>
        <v>G</v>
      </c>
      <c r="M394" s="9" t="str">
        <f t="shared" si="145"/>
        <v>Input!G165</v>
      </c>
      <c r="N394" s="9">
        <f>_xlfn.XLOOKUP(F394,'Raw Data'!$I$4:$I$5000,'Raw Data'!$E$4:$E$5000,100,0)</f>
        <v>100</v>
      </c>
      <c r="O394" s="9" t="str">
        <f>IF(N394=0,_xlfn.XLOOKUP(F394,'Raw Data'!$I$4:$I$5000,'Raw Data'!$H$4:$H$5000,"",0),"")</f>
        <v/>
      </c>
      <c r="P394" s="9" t="str" cm="1">
        <f t="array" aca="1" ref="P394" ca="1">IF(INDIRECT(M394) = "","",INDIRECT(M394))</f>
        <v/>
      </c>
      <c r="Q394" s="359" t="s">
        <v>4381</v>
      </c>
    </row>
    <row r="395" spans="1:17" x14ac:dyDescent="0.35">
      <c r="A395" t="s">
        <v>2614</v>
      </c>
      <c r="E395" t="str">
        <f>_xlfn.XLOOKUP(F395,'Raw Data'!$I$4:$I$5000,'Raw Data'!$D$4:$D$5000,"*** Mnemonic not found ***",0)</f>
        <v>*** Mnemonic not found ***</v>
      </c>
      <c r="F395" t="str">
        <f t="shared" si="166"/>
        <v>SUCMOTH2AA_5TO10__</v>
      </c>
      <c r="H395" s="9" t="s">
        <v>1137</v>
      </c>
      <c r="K395" s="9">
        <f t="shared" ref="K395:K397" si="170">K394+1</f>
        <v>166</v>
      </c>
      <c r="L395" s="9" t="str">
        <f t="shared" si="169"/>
        <v>G</v>
      </c>
      <c r="M395" s="9" t="str">
        <f t="shared" si="145"/>
        <v>Input!G166</v>
      </c>
      <c r="N395" s="9">
        <f>_xlfn.XLOOKUP(F395,'Raw Data'!$I$4:$I$5000,'Raw Data'!$E$4:$E$5000,100,0)</f>
        <v>100</v>
      </c>
      <c r="O395" s="9" t="str">
        <f>IF(N395=0,_xlfn.XLOOKUP(F395,'Raw Data'!$I$4:$I$5000,'Raw Data'!$H$4:$H$5000,"",0),"")</f>
        <v/>
      </c>
      <c r="P395" s="9" t="str" cm="1">
        <f t="array" aca="1" ref="P395" ca="1">IF(INDIRECT(M395) = "","",INDIRECT(M395))</f>
        <v/>
      </c>
      <c r="Q395" s="359" t="s">
        <v>4381</v>
      </c>
    </row>
    <row r="396" spans="1:17" x14ac:dyDescent="0.35">
      <c r="A396" t="s">
        <v>2615</v>
      </c>
      <c r="E396" t="str">
        <f>_xlfn.XLOOKUP(F396,'Raw Data'!$I$4:$I$5000,'Raw Data'!$D$4:$D$5000,"*** Mnemonic not found ***",0)</f>
        <v>*** Mnemonic not found ***</v>
      </c>
      <c r="F396" t="str">
        <f t="shared" si="166"/>
        <v>SUCMOTH2AA_10TO20__</v>
      </c>
      <c r="H396" s="9" t="s">
        <v>1137</v>
      </c>
      <c r="K396" s="9">
        <f t="shared" si="170"/>
        <v>167</v>
      </c>
      <c r="L396" s="9" t="str">
        <f t="shared" si="169"/>
        <v>G</v>
      </c>
      <c r="M396" s="9" t="str">
        <f t="shared" si="145"/>
        <v>Input!G167</v>
      </c>
      <c r="N396" s="9">
        <f>_xlfn.XLOOKUP(F396,'Raw Data'!$I$4:$I$5000,'Raw Data'!$E$4:$E$5000,100,0)</f>
        <v>100</v>
      </c>
      <c r="O396" s="9" t="str">
        <f>IF(N396=0,_xlfn.XLOOKUP(F396,'Raw Data'!$I$4:$I$5000,'Raw Data'!$H$4:$H$5000,"",0),"")</f>
        <v/>
      </c>
      <c r="P396" s="9" t="str" cm="1">
        <f t="array" aca="1" ref="P396" ca="1">IF(INDIRECT(M396) = "","",INDIRECT(M396))</f>
        <v/>
      </c>
      <c r="Q396" s="359" t="s">
        <v>4381</v>
      </c>
    </row>
    <row r="397" spans="1:17" x14ac:dyDescent="0.35">
      <c r="A397" t="s">
        <v>2616</v>
      </c>
      <c r="E397" t="str">
        <f>_xlfn.XLOOKUP(F397,'Raw Data'!$I$4:$I$5000,'Raw Data'!$D$4:$D$5000,"*** Mnemonic not found ***",0)</f>
        <v>*** Mnemonic not found ***</v>
      </c>
      <c r="F397" t="str">
        <f t="shared" si="166"/>
        <v>SUCMOTH2AA_GRTR20__</v>
      </c>
      <c r="H397" s="9" t="s">
        <v>1137</v>
      </c>
      <c r="K397" s="9">
        <f t="shared" si="170"/>
        <v>168</v>
      </c>
      <c r="L397" s="9" t="str">
        <f t="shared" si="169"/>
        <v>G</v>
      </c>
      <c r="M397" s="9" t="str">
        <f t="shared" si="145"/>
        <v>Input!G168</v>
      </c>
      <c r="N397" s="9">
        <f>_xlfn.XLOOKUP(F397,'Raw Data'!$I$4:$I$5000,'Raw Data'!$E$4:$E$5000,100,0)</f>
        <v>100</v>
      </c>
      <c r="O397" s="9" t="str">
        <f>IF(N397=0,_xlfn.XLOOKUP(F397,'Raw Data'!$I$4:$I$5000,'Raw Data'!$H$4:$H$5000,"",0),"")</f>
        <v/>
      </c>
      <c r="P397" s="9" t="str" cm="1">
        <f t="array" aca="1" ref="P397" ca="1">IF(INDIRECT(M397) = "","",INDIRECT(M397))</f>
        <v/>
      </c>
      <c r="Q397" s="359" t="s">
        <v>4381</v>
      </c>
    </row>
    <row r="398" spans="1:17" x14ac:dyDescent="0.35">
      <c r="A398" t="s">
        <v>2632</v>
      </c>
      <c r="E398" t="str">
        <f>_xlfn.XLOOKUP(F398,'Raw Data'!$I$4:$I$5000,'Raw Data'!$D$4:$D$5000,"*** Mnemonic not found ***",0)</f>
        <v>*** Mnemonic not found ***</v>
      </c>
      <c r="F398" t="str">
        <f t="shared" si="166"/>
        <v>SUCMOTH2A_LESS1__</v>
      </c>
      <c r="H398" s="9" t="s">
        <v>1137</v>
      </c>
      <c r="K398" s="9">
        <f>K393</f>
        <v>164</v>
      </c>
      <c r="L398" s="9" t="s">
        <v>1144</v>
      </c>
      <c r="M398" s="9" t="str">
        <f t="shared" si="145"/>
        <v>Input!H164</v>
      </c>
      <c r="N398" s="9">
        <f>_xlfn.XLOOKUP(F398,'Raw Data'!$I$4:$I$5000,'Raw Data'!$E$4:$E$5000,100,0)</f>
        <v>100</v>
      </c>
      <c r="O398" s="9" t="str">
        <f>IF(N398=0,_xlfn.XLOOKUP(F398,'Raw Data'!$I$4:$I$5000,'Raw Data'!$H$4:$H$5000,"",0),"")</f>
        <v/>
      </c>
      <c r="P398" s="9" t="str" cm="1">
        <f t="array" aca="1" ref="P398" ca="1">IF(INDIRECT(M398) = "","",INDIRECT(M398))</f>
        <v/>
      </c>
      <c r="Q398" s="359" t="s">
        <v>4381</v>
      </c>
    </row>
    <row r="399" spans="1:17" x14ac:dyDescent="0.35">
      <c r="A399" t="s">
        <v>2633</v>
      </c>
      <c r="E399" t="str">
        <f>_xlfn.XLOOKUP(F399,'Raw Data'!$I$4:$I$5000,'Raw Data'!$D$4:$D$5000,"*** Mnemonic not found ***",0)</f>
        <v>*** Mnemonic not found ***</v>
      </c>
      <c r="F399" t="str">
        <f t="shared" si="166"/>
        <v>SUCMOTH2A_1TO5__</v>
      </c>
      <c r="H399" s="9" t="s">
        <v>1137</v>
      </c>
      <c r="K399" s="9">
        <f>K398+1</f>
        <v>165</v>
      </c>
      <c r="L399" s="9" t="str">
        <f t="shared" ref="L399:L402" si="171">L398</f>
        <v>H</v>
      </c>
      <c r="M399" s="9" t="str">
        <f t="shared" ref="M399:M462" si="172">CONCATENATE(H399,"!",L399,K399)</f>
        <v>Input!H165</v>
      </c>
      <c r="N399" s="9">
        <f>_xlfn.XLOOKUP(F399,'Raw Data'!$I$4:$I$5000,'Raw Data'!$E$4:$E$5000,100,0)</f>
        <v>100</v>
      </c>
      <c r="O399" s="9" t="str">
        <f>IF(N399=0,_xlfn.XLOOKUP(F399,'Raw Data'!$I$4:$I$5000,'Raw Data'!$H$4:$H$5000,"",0),"")</f>
        <v/>
      </c>
      <c r="P399" s="9" t="str" cm="1">
        <f t="array" aca="1" ref="P399" ca="1">IF(INDIRECT(M399) = "","",INDIRECT(M399))</f>
        <v/>
      </c>
      <c r="Q399" s="359" t="s">
        <v>4381</v>
      </c>
    </row>
    <row r="400" spans="1:17" x14ac:dyDescent="0.35">
      <c r="A400" t="s">
        <v>2634</v>
      </c>
      <c r="E400" t="str">
        <f>_xlfn.XLOOKUP(F400,'Raw Data'!$I$4:$I$5000,'Raw Data'!$D$4:$D$5000,"*** Mnemonic not found ***",0)</f>
        <v>*** Mnemonic not found ***</v>
      </c>
      <c r="F400" t="str">
        <f t="shared" si="166"/>
        <v>SUCMOTH2A_5TO10__</v>
      </c>
      <c r="H400" s="9" t="s">
        <v>1137</v>
      </c>
      <c r="K400" s="9">
        <f t="shared" ref="K400:K402" si="173">K399+1</f>
        <v>166</v>
      </c>
      <c r="L400" s="9" t="str">
        <f t="shared" si="171"/>
        <v>H</v>
      </c>
      <c r="M400" s="9" t="str">
        <f t="shared" si="172"/>
        <v>Input!H166</v>
      </c>
      <c r="N400" s="9">
        <f>_xlfn.XLOOKUP(F400,'Raw Data'!$I$4:$I$5000,'Raw Data'!$E$4:$E$5000,100,0)</f>
        <v>100</v>
      </c>
      <c r="O400" s="9" t="str">
        <f>IF(N400=0,_xlfn.XLOOKUP(F400,'Raw Data'!$I$4:$I$5000,'Raw Data'!$H$4:$H$5000,"",0),"")</f>
        <v/>
      </c>
      <c r="P400" s="9" t="str" cm="1">
        <f t="array" aca="1" ref="P400" ca="1">IF(INDIRECT(M400) = "","",INDIRECT(M400))</f>
        <v/>
      </c>
      <c r="Q400" s="359" t="s">
        <v>4381</v>
      </c>
    </row>
    <row r="401" spans="1:17" x14ac:dyDescent="0.35">
      <c r="A401" t="s">
        <v>2635</v>
      </c>
      <c r="E401" t="str">
        <f>_xlfn.XLOOKUP(F401,'Raw Data'!$I$4:$I$5000,'Raw Data'!$D$4:$D$5000,"*** Mnemonic not found ***",0)</f>
        <v>*** Mnemonic not found ***</v>
      </c>
      <c r="F401" t="str">
        <f t="shared" si="166"/>
        <v>SUCMOTH2A_10TO20__</v>
      </c>
      <c r="H401" s="9" t="s">
        <v>1137</v>
      </c>
      <c r="K401" s="9">
        <f t="shared" si="173"/>
        <v>167</v>
      </c>
      <c r="L401" s="9" t="str">
        <f t="shared" si="171"/>
        <v>H</v>
      </c>
      <c r="M401" s="9" t="str">
        <f t="shared" si="172"/>
        <v>Input!H167</v>
      </c>
      <c r="N401" s="9">
        <f>_xlfn.XLOOKUP(F401,'Raw Data'!$I$4:$I$5000,'Raw Data'!$E$4:$E$5000,100,0)</f>
        <v>100</v>
      </c>
      <c r="O401" s="9" t="str">
        <f>IF(N401=0,_xlfn.XLOOKUP(F401,'Raw Data'!$I$4:$I$5000,'Raw Data'!$H$4:$H$5000,"",0),"")</f>
        <v/>
      </c>
      <c r="P401" s="9" t="str" cm="1">
        <f t="array" aca="1" ref="P401" ca="1">IF(INDIRECT(M401) = "","",INDIRECT(M401))</f>
        <v/>
      </c>
      <c r="Q401" s="359" t="s">
        <v>4381</v>
      </c>
    </row>
    <row r="402" spans="1:17" x14ac:dyDescent="0.35">
      <c r="A402" t="s">
        <v>2636</v>
      </c>
      <c r="E402" t="str">
        <f>_xlfn.XLOOKUP(F402,'Raw Data'!$I$4:$I$5000,'Raw Data'!$D$4:$D$5000,"*** Mnemonic not found ***",0)</f>
        <v>*** Mnemonic not found ***</v>
      </c>
      <c r="F402" t="str">
        <f t="shared" si="166"/>
        <v>SUCMOTH2A_GRTR20__</v>
      </c>
      <c r="H402" s="9" t="s">
        <v>1137</v>
      </c>
      <c r="K402" s="9">
        <f t="shared" si="173"/>
        <v>168</v>
      </c>
      <c r="L402" s="9" t="str">
        <f t="shared" si="171"/>
        <v>H</v>
      </c>
      <c r="M402" s="9" t="str">
        <f t="shared" si="172"/>
        <v>Input!H168</v>
      </c>
      <c r="N402" s="9">
        <f>_xlfn.XLOOKUP(F402,'Raw Data'!$I$4:$I$5000,'Raw Data'!$E$4:$E$5000,100,0)</f>
        <v>100</v>
      </c>
      <c r="O402" s="9" t="str">
        <f>IF(N402=0,_xlfn.XLOOKUP(F402,'Raw Data'!$I$4:$I$5000,'Raw Data'!$H$4:$H$5000,"",0),"")</f>
        <v/>
      </c>
      <c r="P402" s="9" t="str" cm="1">
        <f t="array" aca="1" ref="P402" ca="1">IF(INDIRECT(M402) = "","",INDIRECT(M402))</f>
        <v/>
      </c>
      <c r="Q402" s="359" t="s">
        <v>4381</v>
      </c>
    </row>
    <row r="403" spans="1:17" x14ac:dyDescent="0.35">
      <c r="A403" t="s">
        <v>2652</v>
      </c>
      <c r="E403" t="str">
        <f>_xlfn.XLOOKUP(F403,'Raw Data'!$I$4:$I$5000,'Raw Data'!$D$4:$D$5000,"*** Mnemonic not found ***",0)</f>
        <v>*** Mnemonic not found ***</v>
      </c>
      <c r="F403" t="str">
        <f t="shared" si="166"/>
        <v>SUCMOTH2BBB_LESS1__</v>
      </c>
      <c r="H403" s="9" t="s">
        <v>1137</v>
      </c>
      <c r="K403" s="9">
        <f>K398</f>
        <v>164</v>
      </c>
      <c r="L403" s="9" t="s">
        <v>1375</v>
      </c>
      <c r="M403" s="9" t="str">
        <f t="shared" si="172"/>
        <v>Input!I164</v>
      </c>
      <c r="N403" s="9">
        <f>_xlfn.XLOOKUP(F403,'Raw Data'!$I$4:$I$5000,'Raw Data'!$E$4:$E$5000,100,0)</f>
        <v>100</v>
      </c>
      <c r="O403" s="9" t="str">
        <f>IF(N403=0,_xlfn.XLOOKUP(F403,'Raw Data'!$I$4:$I$5000,'Raw Data'!$H$4:$H$5000,"",0),"")</f>
        <v/>
      </c>
      <c r="P403" s="9" t="str" cm="1">
        <f t="array" aca="1" ref="P403" ca="1">IF(INDIRECT(M403) = "","",INDIRECT(M403))</f>
        <v/>
      </c>
      <c r="Q403" s="359" t="s">
        <v>4381</v>
      </c>
    </row>
    <row r="404" spans="1:17" x14ac:dyDescent="0.35">
      <c r="A404" t="s">
        <v>2653</v>
      </c>
      <c r="E404" t="str">
        <f>_xlfn.XLOOKUP(F404,'Raw Data'!$I$4:$I$5000,'Raw Data'!$D$4:$D$5000,"*** Mnemonic not found ***",0)</f>
        <v>*** Mnemonic not found ***</v>
      </c>
      <c r="F404" t="str">
        <f t="shared" si="166"/>
        <v>SUCMOTH2BBB_1TO5__</v>
      </c>
      <c r="H404" s="9" t="s">
        <v>1137</v>
      </c>
      <c r="K404" s="9">
        <f>K403+1</f>
        <v>165</v>
      </c>
      <c r="L404" s="9" t="str">
        <f t="shared" ref="L404:L407" si="174">L403</f>
        <v>I</v>
      </c>
      <c r="M404" s="9" t="str">
        <f t="shared" si="172"/>
        <v>Input!I165</v>
      </c>
      <c r="N404" s="9">
        <f>_xlfn.XLOOKUP(F404,'Raw Data'!$I$4:$I$5000,'Raw Data'!$E$4:$E$5000,100,0)</f>
        <v>100</v>
      </c>
      <c r="O404" s="9" t="str">
        <f>IF(N404=0,_xlfn.XLOOKUP(F404,'Raw Data'!$I$4:$I$5000,'Raw Data'!$H$4:$H$5000,"",0),"")</f>
        <v/>
      </c>
      <c r="P404" s="9" t="str" cm="1">
        <f t="array" aca="1" ref="P404" ca="1">IF(INDIRECT(M404) = "","",INDIRECT(M404))</f>
        <v/>
      </c>
      <c r="Q404" s="359" t="s">
        <v>4381</v>
      </c>
    </row>
    <row r="405" spans="1:17" x14ac:dyDescent="0.35">
      <c r="A405" t="s">
        <v>2654</v>
      </c>
      <c r="E405" t="str">
        <f>_xlfn.XLOOKUP(F405,'Raw Data'!$I$4:$I$5000,'Raw Data'!$D$4:$D$5000,"*** Mnemonic not found ***",0)</f>
        <v>*** Mnemonic not found ***</v>
      </c>
      <c r="F405" t="str">
        <f t="shared" si="166"/>
        <v>SUCMOTH2BBB_5TO10__</v>
      </c>
      <c r="H405" s="9" t="s">
        <v>1137</v>
      </c>
      <c r="K405" s="9">
        <f t="shared" ref="K405:K407" si="175">K404+1</f>
        <v>166</v>
      </c>
      <c r="L405" s="9" t="str">
        <f t="shared" si="174"/>
        <v>I</v>
      </c>
      <c r="M405" s="9" t="str">
        <f t="shared" si="172"/>
        <v>Input!I166</v>
      </c>
      <c r="N405" s="9">
        <f>_xlfn.XLOOKUP(F405,'Raw Data'!$I$4:$I$5000,'Raw Data'!$E$4:$E$5000,100,0)</f>
        <v>100</v>
      </c>
      <c r="O405" s="9" t="str">
        <f>IF(N405=0,_xlfn.XLOOKUP(F405,'Raw Data'!$I$4:$I$5000,'Raw Data'!$H$4:$H$5000,"",0),"")</f>
        <v/>
      </c>
      <c r="P405" s="9" t="str" cm="1">
        <f t="array" aca="1" ref="P405" ca="1">IF(INDIRECT(M405) = "","",INDIRECT(M405))</f>
        <v/>
      </c>
      <c r="Q405" s="359" t="s">
        <v>4381</v>
      </c>
    </row>
    <row r="406" spans="1:17" x14ac:dyDescent="0.35">
      <c r="A406" t="s">
        <v>2655</v>
      </c>
      <c r="E406" t="str">
        <f>_xlfn.XLOOKUP(F406,'Raw Data'!$I$4:$I$5000,'Raw Data'!$D$4:$D$5000,"*** Mnemonic not found ***",0)</f>
        <v>*** Mnemonic not found ***</v>
      </c>
      <c r="F406" t="str">
        <f t="shared" si="166"/>
        <v>SUCMOTH2BBB_10TO20__</v>
      </c>
      <c r="H406" s="9" t="s">
        <v>1137</v>
      </c>
      <c r="K406" s="9">
        <f t="shared" si="175"/>
        <v>167</v>
      </c>
      <c r="L406" s="9" t="str">
        <f t="shared" si="174"/>
        <v>I</v>
      </c>
      <c r="M406" s="9" t="str">
        <f t="shared" si="172"/>
        <v>Input!I167</v>
      </c>
      <c r="N406" s="9">
        <f>_xlfn.XLOOKUP(F406,'Raw Data'!$I$4:$I$5000,'Raw Data'!$E$4:$E$5000,100,0)</f>
        <v>100</v>
      </c>
      <c r="O406" s="9" t="str">
        <f>IF(N406=0,_xlfn.XLOOKUP(F406,'Raw Data'!$I$4:$I$5000,'Raw Data'!$H$4:$H$5000,"",0),"")</f>
        <v/>
      </c>
      <c r="P406" s="9" t="str" cm="1">
        <f t="array" aca="1" ref="P406" ca="1">IF(INDIRECT(M406) = "","",INDIRECT(M406))</f>
        <v/>
      </c>
      <c r="Q406" s="359" t="s">
        <v>4381</v>
      </c>
    </row>
    <row r="407" spans="1:17" x14ac:dyDescent="0.35">
      <c r="A407" t="s">
        <v>2656</v>
      </c>
      <c r="E407" t="str">
        <f>_xlfn.XLOOKUP(F407,'Raw Data'!$I$4:$I$5000,'Raw Data'!$D$4:$D$5000,"*** Mnemonic not found ***",0)</f>
        <v>*** Mnemonic not found ***</v>
      </c>
      <c r="F407" t="str">
        <f t="shared" si="166"/>
        <v>SUCMOTH2BBB_GRTR20__</v>
      </c>
      <c r="H407" s="9" t="s">
        <v>1137</v>
      </c>
      <c r="K407" s="9">
        <f t="shared" si="175"/>
        <v>168</v>
      </c>
      <c r="L407" s="9" t="str">
        <f t="shared" si="174"/>
        <v>I</v>
      </c>
      <c r="M407" s="9" t="str">
        <f t="shared" si="172"/>
        <v>Input!I168</v>
      </c>
      <c r="N407" s="9">
        <f>_xlfn.XLOOKUP(F407,'Raw Data'!$I$4:$I$5000,'Raw Data'!$E$4:$E$5000,100,0)</f>
        <v>100</v>
      </c>
      <c r="O407" s="9" t="str">
        <f>IF(N407=0,_xlfn.XLOOKUP(F407,'Raw Data'!$I$4:$I$5000,'Raw Data'!$H$4:$H$5000,"",0),"")</f>
        <v/>
      </c>
      <c r="P407" s="9" t="str" cm="1">
        <f t="array" aca="1" ref="P407" ca="1">IF(INDIRECT(M407) = "","",INDIRECT(M407))</f>
        <v/>
      </c>
      <c r="Q407" s="359" t="s">
        <v>4381</v>
      </c>
    </row>
    <row r="408" spans="1:17" x14ac:dyDescent="0.35">
      <c r="A408" t="s">
        <v>2672</v>
      </c>
      <c r="E408" t="str">
        <f>_xlfn.XLOOKUP(F408,'Raw Data'!$I$4:$I$5000,'Raw Data'!$D$4:$D$5000,"*** Mnemonic not found ***",0)</f>
        <v>*** Mnemonic not found ***</v>
      </c>
      <c r="F408" t="str">
        <f t="shared" si="166"/>
        <v>SUCMOTH2BB_LESS1__</v>
      </c>
      <c r="H408" s="9" t="s">
        <v>1137</v>
      </c>
      <c r="K408" s="9">
        <f>K403</f>
        <v>164</v>
      </c>
      <c r="L408" s="9" t="s">
        <v>1376</v>
      </c>
      <c r="M408" s="9" t="str">
        <f t="shared" si="172"/>
        <v>Input!J164</v>
      </c>
      <c r="N408" s="9">
        <f>_xlfn.XLOOKUP(F408,'Raw Data'!$I$4:$I$5000,'Raw Data'!$E$4:$E$5000,100,0)</f>
        <v>100</v>
      </c>
      <c r="O408" s="9" t="str">
        <f>IF(N408=0,_xlfn.XLOOKUP(F408,'Raw Data'!$I$4:$I$5000,'Raw Data'!$H$4:$H$5000,"",0),"")</f>
        <v/>
      </c>
      <c r="P408" s="9" t="str" cm="1">
        <f t="array" aca="1" ref="P408" ca="1">IF(INDIRECT(M408) = "","",INDIRECT(M408))</f>
        <v/>
      </c>
      <c r="Q408" s="359" t="s">
        <v>4381</v>
      </c>
    </row>
    <row r="409" spans="1:17" x14ac:dyDescent="0.35">
      <c r="A409" t="s">
        <v>2673</v>
      </c>
      <c r="E409" t="str">
        <f>_xlfn.XLOOKUP(F409,'Raw Data'!$I$4:$I$5000,'Raw Data'!$D$4:$D$5000,"*** Mnemonic not found ***",0)</f>
        <v>*** Mnemonic not found ***</v>
      </c>
      <c r="F409" t="str">
        <f t="shared" si="166"/>
        <v>SUCMOTH2BB_1TO5__</v>
      </c>
      <c r="H409" s="9" t="s">
        <v>1137</v>
      </c>
      <c r="K409" s="9">
        <f>K408+1</f>
        <v>165</v>
      </c>
      <c r="L409" s="9" t="str">
        <f t="shared" ref="L409:L412" si="176">L408</f>
        <v>J</v>
      </c>
      <c r="M409" s="9" t="str">
        <f t="shared" si="172"/>
        <v>Input!J165</v>
      </c>
      <c r="N409" s="9">
        <f>_xlfn.XLOOKUP(F409,'Raw Data'!$I$4:$I$5000,'Raw Data'!$E$4:$E$5000,100,0)</f>
        <v>100</v>
      </c>
      <c r="O409" s="9" t="str">
        <f>IF(N409=0,_xlfn.XLOOKUP(F409,'Raw Data'!$I$4:$I$5000,'Raw Data'!$H$4:$H$5000,"",0),"")</f>
        <v/>
      </c>
      <c r="P409" s="9" t="str" cm="1">
        <f t="array" aca="1" ref="P409" ca="1">IF(INDIRECT(M409) = "","",INDIRECT(M409))</f>
        <v/>
      </c>
      <c r="Q409" s="359" t="s">
        <v>4381</v>
      </c>
    </row>
    <row r="410" spans="1:17" x14ac:dyDescent="0.35">
      <c r="A410" t="s">
        <v>2674</v>
      </c>
      <c r="E410" t="str">
        <f>_xlfn.XLOOKUP(F410,'Raw Data'!$I$4:$I$5000,'Raw Data'!$D$4:$D$5000,"*** Mnemonic not found ***",0)</f>
        <v>*** Mnemonic not found ***</v>
      </c>
      <c r="F410" t="str">
        <f t="shared" si="166"/>
        <v>SUCMOTH2BB_5TO10__</v>
      </c>
      <c r="H410" s="9" t="s">
        <v>1137</v>
      </c>
      <c r="K410" s="9">
        <f t="shared" ref="K410:K412" si="177">K409+1</f>
        <v>166</v>
      </c>
      <c r="L410" s="9" t="str">
        <f t="shared" si="176"/>
        <v>J</v>
      </c>
      <c r="M410" s="9" t="str">
        <f t="shared" si="172"/>
        <v>Input!J166</v>
      </c>
      <c r="N410" s="9">
        <f>_xlfn.XLOOKUP(F410,'Raw Data'!$I$4:$I$5000,'Raw Data'!$E$4:$E$5000,100,0)</f>
        <v>100</v>
      </c>
      <c r="O410" s="9" t="str">
        <f>IF(N410=0,_xlfn.XLOOKUP(F410,'Raw Data'!$I$4:$I$5000,'Raw Data'!$H$4:$H$5000,"",0),"")</f>
        <v/>
      </c>
      <c r="P410" s="9" t="str" cm="1">
        <f t="array" aca="1" ref="P410" ca="1">IF(INDIRECT(M410) = "","",INDIRECT(M410))</f>
        <v/>
      </c>
      <c r="Q410" s="359" t="s">
        <v>4381</v>
      </c>
    </row>
    <row r="411" spans="1:17" x14ac:dyDescent="0.35">
      <c r="A411" t="s">
        <v>2675</v>
      </c>
      <c r="E411" t="str">
        <f>_xlfn.XLOOKUP(F411,'Raw Data'!$I$4:$I$5000,'Raw Data'!$D$4:$D$5000,"*** Mnemonic not found ***",0)</f>
        <v>*** Mnemonic not found ***</v>
      </c>
      <c r="F411" t="str">
        <f t="shared" si="166"/>
        <v>SUCMOTH2BB_10TO20__</v>
      </c>
      <c r="H411" s="9" t="s">
        <v>1137</v>
      </c>
      <c r="K411" s="9">
        <f t="shared" si="177"/>
        <v>167</v>
      </c>
      <c r="L411" s="9" t="str">
        <f t="shared" si="176"/>
        <v>J</v>
      </c>
      <c r="M411" s="9" t="str">
        <f t="shared" si="172"/>
        <v>Input!J167</v>
      </c>
      <c r="N411" s="9">
        <f>_xlfn.XLOOKUP(F411,'Raw Data'!$I$4:$I$5000,'Raw Data'!$E$4:$E$5000,100,0)</f>
        <v>100</v>
      </c>
      <c r="O411" s="9" t="str">
        <f>IF(N411=0,_xlfn.XLOOKUP(F411,'Raw Data'!$I$4:$I$5000,'Raw Data'!$H$4:$H$5000,"",0),"")</f>
        <v/>
      </c>
      <c r="P411" s="9" t="str" cm="1">
        <f t="array" aca="1" ref="P411" ca="1">IF(INDIRECT(M411) = "","",INDIRECT(M411))</f>
        <v/>
      </c>
      <c r="Q411" s="359" t="s">
        <v>4381</v>
      </c>
    </row>
    <row r="412" spans="1:17" x14ac:dyDescent="0.35">
      <c r="A412" t="s">
        <v>2676</v>
      </c>
      <c r="E412" t="str">
        <f>_xlfn.XLOOKUP(F412,'Raw Data'!$I$4:$I$5000,'Raw Data'!$D$4:$D$5000,"*** Mnemonic not found ***",0)</f>
        <v>*** Mnemonic not found ***</v>
      </c>
      <c r="F412" t="str">
        <f t="shared" si="166"/>
        <v>SUCMOTH2BB_GRTR20__</v>
      </c>
      <c r="H412" s="9" t="s">
        <v>1137</v>
      </c>
      <c r="K412" s="9">
        <f t="shared" si="177"/>
        <v>168</v>
      </c>
      <c r="L412" s="9" t="str">
        <f t="shared" si="176"/>
        <v>J</v>
      </c>
      <c r="M412" s="9" t="str">
        <f t="shared" si="172"/>
        <v>Input!J168</v>
      </c>
      <c r="N412" s="9">
        <f>_xlfn.XLOOKUP(F412,'Raw Data'!$I$4:$I$5000,'Raw Data'!$E$4:$E$5000,100,0)</f>
        <v>100</v>
      </c>
      <c r="O412" s="9" t="str">
        <f>IF(N412=0,_xlfn.XLOOKUP(F412,'Raw Data'!$I$4:$I$5000,'Raw Data'!$H$4:$H$5000,"",0),"")</f>
        <v/>
      </c>
      <c r="P412" s="9" t="str" cm="1">
        <f t="array" aca="1" ref="P412" ca="1">IF(INDIRECT(M412) = "","",INDIRECT(M412))</f>
        <v/>
      </c>
      <c r="Q412" s="359" t="s">
        <v>4381</v>
      </c>
    </row>
    <row r="413" spans="1:17" x14ac:dyDescent="0.35">
      <c r="A413" t="s">
        <v>2692</v>
      </c>
      <c r="E413" t="str">
        <f>_xlfn.XLOOKUP(F413,'Raw Data'!$I$4:$I$5000,'Raw Data'!$D$4:$D$5000,"*** Mnemonic not found ***",0)</f>
        <v>*** Mnemonic not found ***</v>
      </c>
      <c r="F413" t="str">
        <f t="shared" si="166"/>
        <v>SUCMOTH2B_LESS1__</v>
      </c>
      <c r="H413" s="9" t="s">
        <v>1137</v>
      </c>
      <c r="K413" s="9">
        <f>K408</f>
        <v>164</v>
      </c>
      <c r="L413" s="9" t="s">
        <v>1377</v>
      </c>
      <c r="M413" s="9" t="str">
        <f t="shared" si="172"/>
        <v>Input!K164</v>
      </c>
      <c r="N413" s="9">
        <f>_xlfn.XLOOKUP(F413,'Raw Data'!$I$4:$I$5000,'Raw Data'!$E$4:$E$5000,100,0)</f>
        <v>100</v>
      </c>
      <c r="O413" s="9" t="str">
        <f>IF(N413=0,_xlfn.XLOOKUP(F413,'Raw Data'!$I$4:$I$5000,'Raw Data'!$H$4:$H$5000,"",0),"")</f>
        <v/>
      </c>
      <c r="P413" s="9" t="str" cm="1">
        <f t="array" aca="1" ref="P413" ca="1">IF(INDIRECT(M413) = "","",INDIRECT(M413))</f>
        <v/>
      </c>
      <c r="Q413" s="359" t="s">
        <v>4381</v>
      </c>
    </row>
    <row r="414" spans="1:17" x14ac:dyDescent="0.35">
      <c r="A414" t="s">
        <v>2693</v>
      </c>
      <c r="E414" t="str">
        <f>_xlfn.XLOOKUP(F414,'Raw Data'!$I$4:$I$5000,'Raw Data'!$D$4:$D$5000,"*** Mnemonic not found ***",0)</f>
        <v>*** Mnemonic not found ***</v>
      </c>
      <c r="F414" t="str">
        <f t="shared" si="166"/>
        <v>SUCMOTH2B_1TO5__</v>
      </c>
      <c r="H414" s="9" t="s">
        <v>1137</v>
      </c>
      <c r="K414" s="9">
        <f>K413+1</f>
        <v>165</v>
      </c>
      <c r="L414" s="9" t="str">
        <f t="shared" ref="L414:L417" si="178">L413</f>
        <v>K</v>
      </c>
      <c r="M414" s="9" t="str">
        <f t="shared" si="172"/>
        <v>Input!K165</v>
      </c>
      <c r="N414" s="9">
        <f>_xlfn.XLOOKUP(F414,'Raw Data'!$I$4:$I$5000,'Raw Data'!$E$4:$E$5000,100,0)</f>
        <v>100</v>
      </c>
      <c r="O414" s="9" t="str">
        <f>IF(N414=0,_xlfn.XLOOKUP(F414,'Raw Data'!$I$4:$I$5000,'Raw Data'!$H$4:$H$5000,"",0),"")</f>
        <v/>
      </c>
      <c r="P414" s="9" t="str" cm="1">
        <f t="array" aca="1" ref="P414" ca="1">IF(INDIRECT(M414) = "","",INDIRECT(M414))</f>
        <v/>
      </c>
      <c r="Q414" s="359" t="s">
        <v>4381</v>
      </c>
    </row>
    <row r="415" spans="1:17" x14ac:dyDescent="0.35">
      <c r="A415" t="s">
        <v>2694</v>
      </c>
      <c r="E415" t="str">
        <f>_xlfn.XLOOKUP(F415,'Raw Data'!$I$4:$I$5000,'Raw Data'!$D$4:$D$5000,"*** Mnemonic not found ***",0)</f>
        <v>*** Mnemonic not found ***</v>
      </c>
      <c r="F415" t="str">
        <f t="shared" si="166"/>
        <v>SUCMOTH2B_5TO10__</v>
      </c>
      <c r="H415" s="9" t="s">
        <v>1137</v>
      </c>
      <c r="K415" s="9">
        <f t="shared" ref="K415:K417" si="179">K414+1</f>
        <v>166</v>
      </c>
      <c r="L415" s="9" t="str">
        <f t="shared" si="178"/>
        <v>K</v>
      </c>
      <c r="M415" s="9" t="str">
        <f t="shared" si="172"/>
        <v>Input!K166</v>
      </c>
      <c r="N415" s="9">
        <f>_xlfn.XLOOKUP(F415,'Raw Data'!$I$4:$I$5000,'Raw Data'!$E$4:$E$5000,100,0)</f>
        <v>100</v>
      </c>
      <c r="O415" s="9" t="str">
        <f>IF(N415=0,_xlfn.XLOOKUP(F415,'Raw Data'!$I$4:$I$5000,'Raw Data'!$H$4:$H$5000,"",0),"")</f>
        <v/>
      </c>
      <c r="P415" s="9" t="str" cm="1">
        <f t="array" aca="1" ref="P415" ca="1">IF(INDIRECT(M415) = "","",INDIRECT(M415))</f>
        <v/>
      </c>
      <c r="Q415" s="359" t="s">
        <v>4381</v>
      </c>
    </row>
    <row r="416" spans="1:17" x14ac:dyDescent="0.35">
      <c r="A416" t="s">
        <v>2695</v>
      </c>
      <c r="E416" t="str">
        <f>_xlfn.XLOOKUP(F416,'Raw Data'!$I$4:$I$5000,'Raw Data'!$D$4:$D$5000,"*** Mnemonic not found ***",0)</f>
        <v>*** Mnemonic not found ***</v>
      </c>
      <c r="F416" t="str">
        <f t="shared" si="166"/>
        <v>SUCMOTH2B_10TO20__</v>
      </c>
      <c r="H416" s="9" t="s">
        <v>1137</v>
      </c>
      <c r="K416" s="9">
        <f t="shared" si="179"/>
        <v>167</v>
      </c>
      <c r="L416" s="9" t="str">
        <f t="shared" si="178"/>
        <v>K</v>
      </c>
      <c r="M416" s="9" t="str">
        <f t="shared" si="172"/>
        <v>Input!K167</v>
      </c>
      <c r="N416" s="9">
        <f>_xlfn.XLOOKUP(F416,'Raw Data'!$I$4:$I$5000,'Raw Data'!$E$4:$E$5000,100,0)</f>
        <v>100</v>
      </c>
      <c r="O416" s="9" t="str">
        <f>IF(N416=0,_xlfn.XLOOKUP(F416,'Raw Data'!$I$4:$I$5000,'Raw Data'!$H$4:$H$5000,"",0),"")</f>
        <v/>
      </c>
      <c r="P416" s="9" t="str" cm="1">
        <f t="array" aca="1" ref="P416" ca="1">IF(INDIRECT(M416) = "","",INDIRECT(M416))</f>
        <v/>
      </c>
      <c r="Q416" s="359" t="s">
        <v>4381</v>
      </c>
    </row>
    <row r="417" spans="1:17" x14ac:dyDescent="0.35">
      <c r="A417" t="s">
        <v>2696</v>
      </c>
      <c r="E417" t="str">
        <f>_xlfn.XLOOKUP(F417,'Raw Data'!$I$4:$I$5000,'Raw Data'!$D$4:$D$5000,"*** Mnemonic not found ***",0)</f>
        <v>*** Mnemonic not found ***</v>
      </c>
      <c r="F417" t="str">
        <f t="shared" si="166"/>
        <v>SUCMOTH2B_GRTR20__</v>
      </c>
      <c r="H417" s="9" t="s">
        <v>1137</v>
      </c>
      <c r="K417" s="9">
        <f t="shared" si="179"/>
        <v>168</v>
      </c>
      <c r="L417" s="9" t="str">
        <f t="shared" si="178"/>
        <v>K</v>
      </c>
      <c r="M417" s="9" t="str">
        <f t="shared" si="172"/>
        <v>Input!K168</v>
      </c>
      <c r="N417" s="9">
        <f>_xlfn.XLOOKUP(F417,'Raw Data'!$I$4:$I$5000,'Raw Data'!$E$4:$E$5000,100,0)</f>
        <v>100</v>
      </c>
      <c r="O417" s="9" t="str">
        <f>IF(N417=0,_xlfn.XLOOKUP(F417,'Raw Data'!$I$4:$I$5000,'Raw Data'!$H$4:$H$5000,"",0),"")</f>
        <v/>
      </c>
      <c r="P417" s="9" t="str" cm="1">
        <f t="array" aca="1" ref="P417" ca="1">IF(INDIRECT(M417) = "","",INDIRECT(M417))</f>
        <v/>
      </c>
      <c r="Q417" s="359" t="s">
        <v>4381</v>
      </c>
    </row>
    <row r="418" spans="1:17" x14ac:dyDescent="0.35">
      <c r="A418" t="s">
        <v>2712</v>
      </c>
      <c r="E418" t="str">
        <f>_xlfn.XLOOKUP(F418,'Raw Data'!$I$4:$I$5000,'Raw Data'!$D$4:$D$5000,"*** Mnemonic not found ***",0)</f>
        <v>*** Mnemonic not found ***</v>
      </c>
      <c r="F418" t="str">
        <f t="shared" si="166"/>
        <v>SUCMOTH2CCC_LESS1__</v>
      </c>
      <c r="H418" s="9" t="s">
        <v>1137</v>
      </c>
      <c r="K418" s="9">
        <f>K413</f>
        <v>164</v>
      </c>
      <c r="L418" s="9" t="s">
        <v>1378</v>
      </c>
      <c r="M418" s="9" t="str">
        <f t="shared" si="172"/>
        <v>Input!L164</v>
      </c>
      <c r="N418" s="9">
        <f>_xlfn.XLOOKUP(F418,'Raw Data'!$I$4:$I$5000,'Raw Data'!$E$4:$E$5000,100,0)</f>
        <v>100</v>
      </c>
      <c r="O418" s="9" t="str">
        <f>IF(N418=0,_xlfn.XLOOKUP(F418,'Raw Data'!$I$4:$I$5000,'Raw Data'!$H$4:$H$5000,"",0),"")</f>
        <v/>
      </c>
      <c r="P418" s="9" t="str" cm="1">
        <f t="array" aca="1" ref="P418" ca="1">IF(INDIRECT(M418) = "","",INDIRECT(M418))</f>
        <v/>
      </c>
      <c r="Q418" s="359" t="s">
        <v>4381</v>
      </c>
    </row>
    <row r="419" spans="1:17" x14ac:dyDescent="0.35">
      <c r="A419" t="s">
        <v>2713</v>
      </c>
      <c r="E419" t="str">
        <f>_xlfn.XLOOKUP(F419,'Raw Data'!$I$4:$I$5000,'Raw Data'!$D$4:$D$5000,"*** Mnemonic not found ***",0)</f>
        <v>*** Mnemonic not found ***</v>
      </c>
      <c r="F419" t="str">
        <f t="shared" si="166"/>
        <v>SUCMOTH2CCC_1TO5__</v>
      </c>
      <c r="H419" s="9" t="s">
        <v>1137</v>
      </c>
      <c r="K419" s="9">
        <f>K418+1</f>
        <v>165</v>
      </c>
      <c r="L419" s="9" t="str">
        <f t="shared" ref="L419:L422" si="180">L418</f>
        <v>L</v>
      </c>
      <c r="M419" s="9" t="str">
        <f t="shared" si="172"/>
        <v>Input!L165</v>
      </c>
      <c r="N419" s="9">
        <f>_xlfn.XLOOKUP(F419,'Raw Data'!$I$4:$I$5000,'Raw Data'!$E$4:$E$5000,100,0)</f>
        <v>100</v>
      </c>
      <c r="O419" s="9" t="str">
        <f>IF(N419=0,_xlfn.XLOOKUP(F419,'Raw Data'!$I$4:$I$5000,'Raw Data'!$H$4:$H$5000,"",0),"")</f>
        <v/>
      </c>
      <c r="P419" s="9" t="str" cm="1">
        <f t="array" aca="1" ref="P419" ca="1">IF(INDIRECT(M419) = "","",INDIRECT(M419))</f>
        <v/>
      </c>
      <c r="Q419" s="359" t="s">
        <v>4381</v>
      </c>
    </row>
    <row r="420" spans="1:17" x14ac:dyDescent="0.35">
      <c r="A420" t="s">
        <v>2714</v>
      </c>
      <c r="E420" t="str">
        <f>_xlfn.XLOOKUP(F420,'Raw Data'!$I$4:$I$5000,'Raw Data'!$D$4:$D$5000,"*** Mnemonic not found ***",0)</f>
        <v>*** Mnemonic not found ***</v>
      </c>
      <c r="F420" t="str">
        <f t="shared" si="166"/>
        <v>SUCMOTH2CCC_5TO10__</v>
      </c>
      <c r="H420" s="9" t="s">
        <v>1137</v>
      </c>
      <c r="K420" s="9">
        <f t="shared" ref="K420:K422" si="181">K419+1</f>
        <v>166</v>
      </c>
      <c r="L420" s="9" t="str">
        <f t="shared" si="180"/>
        <v>L</v>
      </c>
      <c r="M420" s="9" t="str">
        <f t="shared" si="172"/>
        <v>Input!L166</v>
      </c>
      <c r="N420" s="9">
        <f>_xlfn.XLOOKUP(F420,'Raw Data'!$I$4:$I$5000,'Raw Data'!$E$4:$E$5000,100,0)</f>
        <v>100</v>
      </c>
      <c r="O420" s="9" t="str">
        <f>IF(N420=0,_xlfn.XLOOKUP(F420,'Raw Data'!$I$4:$I$5000,'Raw Data'!$H$4:$H$5000,"",0),"")</f>
        <v/>
      </c>
      <c r="P420" s="9" t="str" cm="1">
        <f t="array" aca="1" ref="P420" ca="1">IF(INDIRECT(M420) = "","",INDIRECT(M420))</f>
        <v/>
      </c>
      <c r="Q420" s="359" t="s">
        <v>4381</v>
      </c>
    </row>
    <row r="421" spans="1:17" x14ac:dyDescent="0.35">
      <c r="A421" t="s">
        <v>2715</v>
      </c>
      <c r="E421" t="str">
        <f>_xlfn.XLOOKUP(F421,'Raw Data'!$I$4:$I$5000,'Raw Data'!$D$4:$D$5000,"*** Mnemonic not found ***",0)</f>
        <v>*** Mnemonic not found ***</v>
      </c>
      <c r="F421" t="str">
        <f t="shared" si="166"/>
        <v>SUCMOTH2CCC_10TO20__</v>
      </c>
      <c r="H421" s="9" t="s">
        <v>1137</v>
      </c>
      <c r="K421" s="9">
        <f t="shared" si="181"/>
        <v>167</v>
      </c>
      <c r="L421" s="9" t="str">
        <f t="shared" si="180"/>
        <v>L</v>
      </c>
      <c r="M421" s="9" t="str">
        <f t="shared" si="172"/>
        <v>Input!L167</v>
      </c>
      <c r="N421" s="9">
        <f>_xlfn.XLOOKUP(F421,'Raw Data'!$I$4:$I$5000,'Raw Data'!$E$4:$E$5000,100,0)</f>
        <v>100</v>
      </c>
      <c r="O421" s="9" t="str">
        <f>IF(N421=0,_xlfn.XLOOKUP(F421,'Raw Data'!$I$4:$I$5000,'Raw Data'!$H$4:$H$5000,"",0),"")</f>
        <v/>
      </c>
      <c r="P421" s="9" t="str" cm="1">
        <f t="array" aca="1" ref="P421" ca="1">IF(INDIRECT(M421) = "","",INDIRECT(M421))</f>
        <v/>
      </c>
      <c r="Q421" s="359" t="s">
        <v>4381</v>
      </c>
    </row>
    <row r="422" spans="1:17" x14ac:dyDescent="0.35">
      <c r="A422" t="s">
        <v>2716</v>
      </c>
      <c r="E422" t="str">
        <f>_xlfn.XLOOKUP(F422,'Raw Data'!$I$4:$I$5000,'Raw Data'!$D$4:$D$5000,"*** Mnemonic not found ***",0)</f>
        <v>*** Mnemonic not found ***</v>
      </c>
      <c r="F422" t="str">
        <f t="shared" si="166"/>
        <v>SUCMOTH2CCC_GRTR20__</v>
      </c>
      <c r="H422" s="9" t="s">
        <v>1137</v>
      </c>
      <c r="K422" s="9">
        <f t="shared" si="181"/>
        <v>168</v>
      </c>
      <c r="L422" s="9" t="str">
        <f t="shared" si="180"/>
        <v>L</v>
      </c>
      <c r="M422" s="9" t="str">
        <f t="shared" si="172"/>
        <v>Input!L168</v>
      </c>
      <c r="N422" s="9">
        <f>_xlfn.XLOOKUP(F422,'Raw Data'!$I$4:$I$5000,'Raw Data'!$E$4:$E$5000,100,0)</f>
        <v>100</v>
      </c>
      <c r="O422" s="9" t="str">
        <f>IF(N422=0,_xlfn.XLOOKUP(F422,'Raw Data'!$I$4:$I$5000,'Raw Data'!$H$4:$H$5000,"",0),"")</f>
        <v/>
      </c>
      <c r="P422" s="9" t="str" cm="1">
        <f t="array" aca="1" ref="P422" ca="1">IF(INDIRECT(M422) = "","",INDIRECT(M422))</f>
        <v/>
      </c>
      <c r="Q422" s="359" t="s">
        <v>4381</v>
      </c>
    </row>
    <row r="423" spans="1:17" x14ac:dyDescent="0.35">
      <c r="A423" t="s">
        <v>2597</v>
      </c>
      <c r="E423" t="str">
        <f>_xlfn.XLOOKUP(F423,'Raw Data'!$I$4:$I$5000,'Raw Data'!$D$4:$D$5000,"*** Mnemonic not found ***",0)</f>
        <v>*** Mnemonic not found ***</v>
      </c>
      <c r="F423" t="str">
        <f t="shared" si="166"/>
        <v>SUCMOTH3AAA_LESS1__</v>
      </c>
      <c r="H423" s="9" t="s">
        <v>1137</v>
      </c>
      <c r="I423" s="289">
        <f>ROW(section_bonds_sp_unrated_step_2_3)</f>
        <v>118</v>
      </c>
      <c r="J423" s="9">
        <f>J388+8</f>
        <v>54</v>
      </c>
      <c r="K423" s="9">
        <f>I423+J423</f>
        <v>172</v>
      </c>
      <c r="L423" s="9" t="s">
        <v>1124</v>
      </c>
      <c r="M423" s="9" t="str">
        <f t="shared" si="172"/>
        <v>Input!F172</v>
      </c>
      <c r="N423" s="9">
        <f>_xlfn.XLOOKUP(F423,'Raw Data'!$I$4:$I$5000,'Raw Data'!$E$4:$E$5000,100,0)</f>
        <v>100</v>
      </c>
      <c r="O423" s="9" t="str">
        <f>IF(N423=0,_xlfn.XLOOKUP(F423,'Raw Data'!$I$4:$I$5000,'Raw Data'!$H$4:$H$5000,"",0),"")</f>
        <v/>
      </c>
      <c r="P423" s="9" t="str" cm="1">
        <f t="array" aca="1" ref="P423" ca="1">IF(INDIRECT(M423) = "","",INDIRECT(M423))</f>
        <v/>
      </c>
      <c r="Q423" s="359" t="s">
        <v>4381</v>
      </c>
    </row>
    <row r="424" spans="1:17" x14ac:dyDescent="0.35">
      <c r="A424" t="s">
        <v>2598</v>
      </c>
      <c r="E424" t="str">
        <f>_xlfn.XLOOKUP(F424,'Raw Data'!$I$4:$I$5000,'Raw Data'!$D$4:$D$5000,"*** Mnemonic not found ***",0)</f>
        <v>*** Mnemonic not found ***</v>
      </c>
      <c r="F424" t="str">
        <f t="shared" si="166"/>
        <v>SUCMOTH3AAA_1TO5__</v>
      </c>
      <c r="H424" s="9" t="s">
        <v>1137</v>
      </c>
      <c r="K424" s="9">
        <f>K423+1</f>
        <v>173</v>
      </c>
      <c r="L424" s="9" t="str">
        <f t="shared" ref="L424:L427" si="182">L423</f>
        <v>F</v>
      </c>
      <c r="M424" s="9" t="str">
        <f t="shared" si="172"/>
        <v>Input!F173</v>
      </c>
      <c r="N424" s="9">
        <f>_xlfn.XLOOKUP(F424,'Raw Data'!$I$4:$I$5000,'Raw Data'!$E$4:$E$5000,100,0)</f>
        <v>100</v>
      </c>
      <c r="O424" s="9" t="str">
        <f>IF(N424=0,_xlfn.XLOOKUP(F424,'Raw Data'!$I$4:$I$5000,'Raw Data'!$H$4:$H$5000,"",0),"")</f>
        <v/>
      </c>
      <c r="P424" s="9" t="str" cm="1">
        <f t="array" aca="1" ref="P424" ca="1">IF(INDIRECT(M424) = "","",INDIRECT(M424))</f>
        <v/>
      </c>
      <c r="Q424" s="359" t="s">
        <v>4381</v>
      </c>
    </row>
    <row r="425" spans="1:17" x14ac:dyDescent="0.35">
      <c r="A425" t="s">
        <v>2599</v>
      </c>
      <c r="E425" t="str">
        <f>_xlfn.XLOOKUP(F425,'Raw Data'!$I$4:$I$5000,'Raw Data'!$D$4:$D$5000,"*** Mnemonic not found ***",0)</f>
        <v>*** Mnemonic not found ***</v>
      </c>
      <c r="F425" t="str">
        <f t="shared" si="166"/>
        <v>SUCMOTH3AAA_5TO10__</v>
      </c>
      <c r="H425" s="9" t="s">
        <v>1137</v>
      </c>
      <c r="K425" s="9">
        <f t="shared" ref="K425:K427" si="183">K424+1</f>
        <v>174</v>
      </c>
      <c r="L425" s="9" t="str">
        <f t="shared" si="182"/>
        <v>F</v>
      </c>
      <c r="M425" s="9" t="str">
        <f t="shared" si="172"/>
        <v>Input!F174</v>
      </c>
      <c r="N425" s="9">
        <f>_xlfn.XLOOKUP(F425,'Raw Data'!$I$4:$I$5000,'Raw Data'!$E$4:$E$5000,100,0)</f>
        <v>100</v>
      </c>
      <c r="O425" s="9" t="str">
        <f>IF(N425=0,_xlfn.XLOOKUP(F425,'Raw Data'!$I$4:$I$5000,'Raw Data'!$H$4:$H$5000,"",0),"")</f>
        <v/>
      </c>
      <c r="P425" s="9" t="str" cm="1">
        <f t="array" aca="1" ref="P425" ca="1">IF(INDIRECT(M425) = "","",INDIRECT(M425))</f>
        <v/>
      </c>
      <c r="Q425" s="359" t="s">
        <v>4381</v>
      </c>
    </row>
    <row r="426" spans="1:17" x14ac:dyDescent="0.35">
      <c r="A426" t="s">
        <v>2600</v>
      </c>
      <c r="E426" t="str">
        <f>_xlfn.XLOOKUP(F426,'Raw Data'!$I$4:$I$5000,'Raw Data'!$D$4:$D$5000,"*** Mnemonic not found ***",0)</f>
        <v>*** Mnemonic not found ***</v>
      </c>
      <c r="F426" t="str">
        <f t="shared" si="166"/>
        <v>SUCMOTH3AAA_10TO20__</v>
      </c>
      <c r="H426" s="9" t="s">
        <v>1137</v>
      </c>
      <c r="K426" s="9">
        <f t="shared" si="183"/>
        <v>175</v>
      </c>
      <c r="L426" s="9" t="str">
        <f t="shared" si="182"/>
        <v>F</v>
      </c>
      <c r="M426" s="9" t="str">
        <f t="shared" si="172"/>
        <v>Input!F175</v>
      </c>
      <c r="N426" s="9">
        <f>_xlfn.XLOOKUP(F426,'Raw Data'!$I$4:$I$5000,'Raw Data'!$E$4:$E$5000,100,0)</f>
        <v>100</v>
      </c>
      <c r="O426" s="9" t="str">
        <f>IF(N426=0,_xlfn.XLOOKUP(F426,'Raw Data'!$I$4:$I$5000,'Raw Data'!$H$4:$H$5000,"",0),"")</f>
        <v/>
      </c>
      <c r="P426" s="9" t="str" cm="1">
        <f t="array" aca="1" ref="P426" ca="1">IF(INDIRECT(M426) = "","",INDIRECT(M426))</f>
        <v/>
      </c>
      <c r="Q426" s="359" t="s">
        <v>4381</v>
      </c>
    </row>
    <row r="427" spans="1:17" x14ac:dyDescent="0.35">
      <c r="A427" t="s">
        <v>2601</v>
      </c>
      <c r="E427" t="str">
        <f>_xlfn.XLOOKUP(F427,'Raw Data'!$I$4:$I$5000,'Raw Data'!$D$4:$D$5000,"*** Mnemonic not found ***",0)</f>
        <v>*** Mnemonic not found ***</v>
      </c>
      <c r="F427" t="str">
        <f t="shared" si="166"/>
        <v>SUCMOTH3AAA_GRTR20__</v>
      </c>
      <c r="H427" s="9" t="s">
        <v>1137</v>
      </c>
      <c r="K427" s="9">
        <f t="shared" si="183"/>
        <v>176</v>
      </c>
      <c r="L427" s="9" t="str">
        <f t="shared" si="182"/>
        <v>F</v>
      </c>
      <c r="M427" s="9" t="str">
        <f t="shared" si="172"/>
        <v>Input!F176</v>
      </c>
      <c r="N427" s="9">
        <f>_xlfn.XLOOKUP(F427,'Raw Data'!$I$4:$I$5000,'Raw Data'!$E$4:$E$5000,100,0)</f>
        <v>100</v>
      </c>
      <c r="O427" s="9" t="str">
        <f>IF(N427=0,_xlfn.XLOOKUP(F427,'Raw Data'!$I$4:$I$5000,'Raw Data'!$H$4:$H$5000,"",0),"")</f>
        <v/>
      </c>
      <c r="P427" s="9" t="str" cm="1">
        <f t="array" aca="1" ref="P427" ca="1">IF(INDIRECT(M427) = "","",INDIRECT(M427))</f>
        <v/>
      </c>
      <c r="Q427" s="359" t="s">
        <v>4381</v>
      </c>
    </row>
    <row r="428" spans="1:17" x14ac:dyDescent="0.35">
      <c r="A428" t="s">
        <v>2617</v>
      </c>
      <c r="E428" t="str">
        <f>_xlfn.XLOOKUP(F428,'Raw Data'!$I$4:$I$5000,'Raw Data'!$D$4:$D$5000,"*** Mnemonic not found ***",0)</f>
        <v>*** Mnemonic not found ***</v>
      </c>
      <c r="F428" t="str">
        <f t="shared" si="166"/>
        <v>SUCMOTH3AA_LESS1__</v>
      </c>
      <c r="H428" s="9" t="s">
        <v>1137</v>
      </c>
      <c r="K428" s="9">
        <f>K423</f>
        <v>172</v>
      </c>
      <c r="L428" s="9" t="s">
        <v>1145</v>
      </c>
      <c r="M428" s="9" t="str">
        <f t="shared" si="172"/>
        <v>Input!G172</v>
      </c>
      <c r="N428" s="9">
        <f>_xlfn.XLOOKUP(F428,'Raw Data'!$I$4:$I$5000,'Raw Data'!$E$4:$E$5000,100,0)</f>
        <v>100</v>
      </c>
      <c r="O428" s="9" t="str">
        <f>IF(N428=0,_xlfn.XLOOKUP(F428,'Raw Data'!$I$4:$I$5000,'Raw Data'!$H$4:$H$5000,"",0),"")</f>
        <v/>
      </c>
      <c r="P428" s="9" t="str" cm="1">
        <f t="array" aca="1" ref="P428" ca="1">IF(INDIRECT(M428) = "","",INDIRECT(M428))</f>
        <v/>
      </c>
      <c r="Q428" s="359" t="s">
        <v>4381</v>
      </c>
    </row>
    <row r="429" spans="1:17" x14ac:dyDescent="0.35">
      <c r="A429" t="s">
        <v>2618</v>
      </c>
      <c r="E429" t="str">
        <f>_xlfn.XLOOKUP(F429,'Raw Data'!$I$4:$I$5000,'Raw Data'!$D$4:$D$5000,"*** Mnemonic not found ***",0)</f>
        <v>*** Mnemonic not found ***</v>
      </c>
      <c r="F429" t="str">
        <f t="shared" si="166"/>
        <v>SUCMOTH3AA_1TO5__</v>
      </c>
      <c r="H429" s="9" t="s">
        <v>1137</v>
      </c>
      <c r="K429" s="9">
        <f>K428+1</f>
        <v>173</v>
      </c>
      <c r="L429" s="9" t="str">
        <f t="shared" ref="L429:L432" si="184">L428</f>
        <v>G</v>
      </c>
      <c r="M429" s="9" t="str">
        <f t="shared" si="172"/>
        <v>Input!G173</v>
      </c>
      <c r="N429" s="9">
        <f>_xlfn.XLOOKUP(F429,'Raw Data'!$I$4:$I$5000,'Raw Data'!$E$4:$E$5000,100,0)</f>
        <v>100</v>
      </c>
      <c r="O429" s="9" t="str">
        <f>IF(N429=0,_xlfn.XLOOKUP(F429,'Raw Data'!$I$4:$I$5000,'Raw Data'!$H$4:$H$5000,"",0),"")</f>
        <v/>
      </c>
      <c r="P429" s="9" t="str" cm="1">
        <f t="array" aca="1" ref="P429" ca="1">IF(INDIRECT(M429) = "","",INDIRECT(M429))</f>
        <v/>
      </c>
      <c r="Q429" s="359" t="s">
        <v>4381</v>
      </c>
    </row>
    <row r="430" spans="1:17" x14ac:dyDescent="0.35">
      <c r="A430" t="s">
        <v>2619</v>
      </c>
      <c r="E430" t="str">
        <f>_xlfn.XLOOKUP(F430,'Raw Data'!$I$4:$I$5000,'Raw Data'!$D$4:$D$5000,"*** Mnemonic not found ***",0)</f>
        <v>*** Mnemonic not found ***</v>
      </c>
      <c r="F430" t="str">
        <f t="shared" si="166"/>
        <v>SUCMOTH3AA_5TO10__</v>
      </c>
      <c r="H430" s="9" t="s">
        <v>1137</v>
      </c>
      <c r="K430" s="9">
        <f t="shared" ref="K430:K432" si="185">K429+1</f>
        <v>174</v>
      </c>
      <c r="L430" s="9" t="str">
        <f t="shared" si="184"/>
        <v>G</v>
      </c>
      <c r="M430" s="9" t="str">
        <f t="shared" si="172"/>
        <v>Input!G174</v>
      </c>
      <c r="N430" s="9">
        <f>_xlfn.XLOOKUP(F430,'Raw Data'!$I$4:$I$5000,'Raw Data'!$E$4:$E$5000,100,0)</f>
        <v>100</v>
      </c>
      <c r="O430" s="9" t="str">
        <f>IF(N430=0,_xlfn.XLOOKUP(F430,'Raw Data'!$I$4:$I$5000,'Raw Data'!$H$4:$H$5000,"",0),"")</f>
        <v/>
      </c>
      <c r="P430" s="9" t="str" cm="1">
        <f t="array" aca="1" ref="P430" ca="1">IF(INDIRECT(M430) = "","",INDIRECT(M430))</f>
        <v/>
      </c>
      <c r="Q430" s="359" t="s">
        <v>4381</v>
      </c>
    </row>
    <row r="431" spans="1:17" x14ac:dyDescent="0.35">
      <c r="A431" t="s">
        <v>2620</v>
      </c>
      <c r="E431" t="str">
        <f>_xlfn.XLOOKUP(F431,'Raw Data'!$I$4:$I$5000,'Raw Data'!$D$4:$D$5000,"*** Mnemonic not found ***",0)</f>
        <v>*** Mnemonic not found ***</v>
      </c>
      <c r="F431" t="str">
        <f t="shared" si="166"/>
        <v>SUCMOTH3AA_10TO20__</v>
      </c>
      <c r="H431" s="9" t="s">
        <v>1137</v>
      </c>
      <c r="K431" s="9">
        <f t="shared" si="185"/>
        <v>175</v>
      </c>
      <c r="L431" s="9" t="str">
        <f t="shared" si="184"/>
        <v>G</v>
      </c>
      <c r="M431" s="9" t="str">
        <f t="shared" si="172"/>
        <v>Input!G175</v>
      </c>
      <c r="N431" s="9">
        <f>_xlfn.XLOOKUP(F431,'Raw Data'!$I$4:$I$5000,'Raw Data'!$E$4:$E$5000,100,0)</f>
        <v>100</v>
      </c>
      <c r="O431" s="9" t="str">
        <f>IF(N431=0,_xlfn.XLOOKUP(F431,'Raw Data'!$I$4:$I$5000,'Raw Data'!$H$4:$H$5000,"",0),"")</f>
        <v/>
      </c>
      <c r="P431" s="9" t="str" cm="1">
        <f t="array" aca="1" ref="P431" ca="1">IF(INDIRECT(M431) = "","",INDIRECT(M431))</f>
        <v/>
      </c>
      <c r="Q431" s="359" t="s">
        <v>4381</v>
      </c>
    </row>
    <row r="432" spans="1:17" x14ac:dyDescent="0.35">
      <c r="A432" t="s">
        <v>2621</v>
      </c>
      <c r="E432" t="str">
        <f>_xlfn.XLOOKUP(F432,'Raw Data'!$I$4:$I$5000,'Raw Data'!$D$4:$D$5000,"*** Mnemonic not found ***",0)</f>
        <v>*** Mnemonic not found ***</v>
      </c>
      <c r="F432" t="str">
        <f t="shared" si="166"/>
        <v>SUCMOTH3AA_GRTR20__</v>
      </c>
      <c r="H432" s="9" t="s">
        <v>1137</v>
      </c>
      <c r="K432" s="9">
        <f t="shared" si="185"/>
        <v>176</v>
      </c>
      <c r="L432" s="9" t="str">
        <f t="shared" si="184"/>
        <v>G</v>
      </c>
      <c r="M432" s="9" t="str">
        <f t="shared" si="172"/>
        <v>Input!G176</v>
      </c>
      <c r="N432" s="9">
        <f>_xlfn.XLOOKUP(F432,'Raw Data'!$I$4:$I$5000,'Raw Data'!$E$4:$E$5000,100,0)</f>
        <v>100</v>
      </c>
      <c r="O432" s="9" t="str">
        <f>IF(N432=0,_xlfn.XLOOKUP(F432,'Raw Data'!$I$4:$I$5000,'Raw Data'!$H$4:$H$5000,"",0),"")</f>
        <v/>
      </c>
      <c r="P432" s="9" t="str" cm="1">
        <f t="array" aca="1" ref="P432" ca="1">IF(INDIRECT(M432) = "","",INDIRECT(M432))</f>
        <v/>
      </c>
      <c r="Q432" s="359" t="s">
        <v>4381</v>
      </c>
    </row>
    <row r="433" spans="1:17" x14ac:dyDescent="0.35">
      <c r="A433" t="s">
        <v>2637</v>
      </c>
      <c r="E433" t="str">
        <f>_xlfn.XLOOKUP(F433,'Raw Data'!$I$4:$I$5000,'Raw Data'!$D$4:$D$5000,"*** Mnemonic not found ***",0)</f>
        <v>*** Mnemonic not found ***</v>
      </c>
      <c r="F433" t="str">
        <f t="shared" si="166"/>
        <v>SUCMOTH3A_LESS1__</v>
      </c>
      <c r="H433" s="9" t="s">
        <v>1137</v>
      </c>
      <c r="K433" s="9">
        <f>K428</f>
        <v>172</v>
      </c>
      <c r="L433" s="9" t="s">
        <v>1144</v>
      </c>
      <c r="M433" s="9" t="str">
        <f t="shared" si="172"/>
        <v>Input!H172</v>
      </c>
      <c r="N433" s="9">
        <f>_xlfn.XLOOKUP(F433,'Raw Data'!$I$4:$I$5000,'Raw Data'!$E$4:$E$5000,100,0)</f>
        <v>100</v>
      </c>
      <c r="O433" s="9" t="str">
        <f>IF(N433=0,_xlfn.XLOOKUP(F433,'Raw Data'!$I$4:$I$5000,'Raw Data'!$H$4:$H$5000,"",0),"")</f>
        <v/>
      </c>
      <c r="P433" s="9" t="str" cm="1">
        <f t="array" aca="1" ref="P433" ca="1">IF(INDIRECT(M433) = "","",INDIRECT(M433))</f>
        <v/>
      </c>
      <c r="Q433" s="359" t="s">
        <v>4381</v>
      </c>
    </row>
    <row r="434" spans="1:17" x14ac:dyDescent="0.35">
      <c r="A434" t="s">
        <v>2638</v>
      </c>
      <c r="E434" t="str">
        <f>_xlfn.XLOOKUP(F434,'Raw Data'!$I$4:$I$5000,'Raw Data'!$D$4:$D$5000,"*** Mnemonic not found ***",0)</f>
        <v>*** Mnemonic not found ***</v>
      </c>
      <c r="F434" t="str">
        <f t="shared" si="166"/>
        <v>SUCMOTH3A_1TO5__</v>
      </c>
      <c r="H434" s="9" t="s">
        <v>1137</v>
      </c>
      <c r="K434" s="9">
        <f>K433+1</f>
        <v>173</v>
      </c>
      <c r="L434" s="9" t="str">
        <f t="shared" ref="L434:L437" si="186">L433</f>
        <v>H</v>
      </c>
      <c r="M434" s="9" t="str">
        <f t="shared" si="172"/>
        <v>Input!H173</v>
      </c>
      <c r="N434" s="9">
        <f>_xlfn.XLOOKUP(F434,'Raw Data'!$I$4:$I$5000,'Raw Data'!$E$4:$E$5000,100,0)</f>
        <v>100</v>
      </c>
      <c r="O434" s="9" t="str">
        <f>IF(N434=0,_xlfn.XLOOKUP(F434,'Raw Data'!$I$4:$I$5000,'Raw Data'!$H$4:$H$5000,"",0),"")</f>
        <v/>
      </c>
      <c r="P434" s="9" t="str" cm="1">
        <f t="array" aca="1" ref="P434" ca="1">IF(INDIRECT(M434) = "","",INDIRECT(M434))</f>
        <v/>
      </c>
      <c r="Q434" s="359" t="s">
        <v>4381</v>
      </c>
    </row>
    <row r="435" spans="1:17" x14ac:dyDescent="0.35">
      <c r="A435" t="s">
        <v>2639</v>
      </c>
      <c r="E435" t="str">
        <f>_xlfn.XLOOKUP(F435,'Raw Data'!$I$4:$I$5000,'Raw Data'!$D$4:$D$5000,"*** Mnemonic not found ***",0)</f>
        <v>*** Mnemonic not found ***</v>
      </c>
      <c r="F435" t="str">
        <f t="shared" si="166"/>
        <v>SUCMOTH3A_5TO10__</v>
      </c>
      <c r="H435" s="9" t="s">
        <v>1137</v>
      </c>
      <c r="K435" s="9">
        <f t="shared" ref="K435:K437" si="187">K434+1</f>
        <v>174</v>
      </c>
      <c r="L435" s="9" t="str">
        <f t="shared" si="186"/>
        <v>H</v>
      </c>
      <c r="M435" s="9" t="str">
        <f t="shared" si="172"/>
        <v>Input!H174</v>
      </c>
      <c r="N435" s="9">
        <f>_xlfn.XLOOKUP(F435,'Raw Data'!$I$4:$I$5000,'Raw Data'!$E$4:$E$5000,100,0)</f>
        <v>100</v>
      </c>
      <c r="O435" s="9" t="str">
        <f>IF(N435=0,_xlfn.XLOOKUP(F435,'Raw Data'!$I$4:$I$5000,'Raw Data'!$H$4:$H$5000,"",0),"")</f>
        <v/>
      </c>
      <c r="P435" s="9" t="str" cm="1">
        <f t="array" aca="1" ref="P435" ca="1">IF(INDIRECT(M435) = "","",INDIRECT(M435))</f>
        <v/>
      </c>
      <c r="Q435" s="359" t="s">
        <v>4381</v>
      </c>
    </row>
    <row r="436" spans="1:17" x14ac:dyDescent="0.35">
      <c r="A436" t="s">
        <v>2640</v>
      </c>
      <c r="E436" t="str">
        <f>_xlfn.XLOOKUP(F436,'Raw Data'!$I$4:$I$5000,'Raw Data'!$D$4:$D$5000,"*** Mnemonic not found ***",0)</f>
        <v>*** Mnemonic not found ***</v>
      </c>
      <c r="F436" t="str">
        <f t="shared" si="166"/>
        <v>SUCMOTH3A_10TO20__</v>
      </c>
      <c r="H436" s="9" t="s">
        <v>1137</v>
      </c>
      <c r="K436" s="9">
        <f t="shared" si="187"/>
        <v>175</v>
      </c>
      <c r="L436" s="9" t="str">
        <f t="shared" si="186"/>
        <v>H</v>
      </c>
      <c r="M436" s="9" t="str">
        <f t="shared" si="172"/>
        <v>Input!H175</v>
      </c>
      <c r="N436" s="9">
        <f>_xlfn.XLOOKUP(F436,'Raw Data'!$I$4:$I$5000,'Raw Data'!$E$4:$E$5000,100,0)</f>
        <v>100</v>
      </c>
      <c r="O436" s="9" t="str">
        <f>IF(N436=0,_xlfn.XLOOKUP(F436,'Raw Data'!$I$4:$I$5000,'Raw Data'!$H$4:$H$5000,"",0),"")</f>
        <v/>
      </c>
      <c r="P436" s="9" t="str" cm="1">
        <f t="array" aca="1" ref="P436" ca="1">IF(INDIRECT(M436) = "","",INDIRECT(M436))</f>
        <v/>
      </c>
      <c r="Q436" s="359" t="s">
        <v>4381</v>
      </c>
    </row>
    <row r="437" spans="1:17" x14ac:dyDescent="0.35">
      <c r="A437" t="s">
        <v>2641</v>
      </c>
      <c r="E437" t="str">
        <f>_xlfn.XLOOKUP(F437,'Raw Data'!$I$4:$I$5000,'Raw Data'!$D$4:$D$5000,"*** Mnemonic not found ***",0)</f>
        <v>*** Mnemonic not found ***</v>
      </c>
      <c r="F437" t="str">
        <f t="shared" si="166"/>
        <v>SUCMOTH3A_GRTR20__</v>
      </c>
      <c r="H437" s="9" t="s">
        <v>1137</v>
      </c>
      <c r="K437" s="9">
        <f t="shared" si="187"/>
        <v>176</v>
      </c>
      <c r="L437" s="9" t="str">
        <f t="shared" si="186"/>
        <v>H</v>
      </c>
      <c r="M437" s="9" t="str">
        <f t="shared" si="172"/>
        <v>Input!H176</v>
      </c>
      <c r="N437" s="9">
        <f>_xlfn.XLOOKUP(F437,'Raw Data'!$I$4:$I$5000,'Raw Data'!$E$4:$E$5000,100,0)</f>
        <v>100</v>
      </c>
      <c r="O437" s="9" t="str">
        <f>IF(N437=0,_xlfn.XLOOKUP(F437,'Raw Data'!$I$4:$I$5000,'Raw Data'!$H$4:$H$5000,"",0),"")</f>
        <v/>
      </c>
      <c r="P437" s="9" t="str" cm="1">
        <f t="array" aca="1" ref="P437" ca="1">IF(INDIRECT(M437) = "","",INDIRECT(M437))</f>
        <v/>
      </c>
      <c r="Q437" s="359" t="s">
        <v>4381</v>
      </c>
    </row>
    <row r="438" spans="1:17" x14ac:dyDescent="0.35">
      <c r="A438" t="s">
        <v>2657</v>
      </c>
      <c r="E438" t="str">
        <f>_xlfn.XLOOKUP(F438,'Raw Data'!$I$4:$I$5000,'Raw Data'!$D$4:$D$5000,"*** Mnemonic not found ***",0)</f>
        <v>*** Mnemonic not found ***</v>
      </c>
      <c r="F438" t="str">
        <f t="shared" si="166"/>
        <v>SUCMOTH3BBB_LESS1__</v>
      </c>
      <c r="H438" s="9" t="s">
        <v>1137</v>
      </c>
      <c r="K438" s="9">
        <f>K433</f>
        <v>172</v>
      </c>
      <c r="L438" s="9" t="s">
        <v>1375</v>
      </c>
      <c r="M438" s="9" t="str">
        <f t="shared" si="172"/>
        <v>Input!I172</v>
      </c>
      <c r="N438" s="9">
        <f>_xlfn.XLOOKUP(F438,'Raw Data'!$I$4:$I$5000,'Raw Data'!$E$4:$E$5000,100,0)</f>
        <v>100</v>
      </c>
      <c r="O438" s="9" t="str">
        <f>IF(N438=0,_xlfn.XLOOKUP(F438,'Raw Data'!$I$4:$I$5000,'Raw Data'!$H$4:$H$5000,"",0),"")</f>
        <v/>
      </c>
      <c r="P438" s="9" t="str" cm="1">
        <f t="array" aca="1" ref="P438" ca="1">IF(INDIRECT(M438) = "","",INDIRECT(M438))</f>
        <v/>
      </c>
      <c r="Q438" s="359" t="s">
        <v>4381</v>
      </c>
    </row>
    <row r="439" spans="1:17" x14ac:dyDescent="0.35">
      <c r="A439" t="s">
        <v>2658</v>
      </c>
      <c r="E439" t="str">
        <f>_xlfn.XLOOKUP(F439,'Raw Data'!$I$4:$I$5000,'Raw Data'!$D$4:$D$5000,"*** Mnemonic not found ***",0)</f>
        <v>*** Mnemonic not found ***</v>
      </c>
      <c r="F439" t="str">
        <f t="shared" si="166"/>
        <v>SUCMOTH3BBB_1TO5__</v>
      </c>
      <c r="H439" s="9" t="s">
        <v>1137</v>
      </c>
      <c r="K439" s="9">
        <f>K438+1</f>
        <v>173</v>
      </c>
      <c r="L439" s="9" t="str">
        <f t="shared" ref="L439:L442" si="188">L438</f>
        <v>I</v>
      </c>
      <c r="M439" s="9" t="str">
        <f t="shared" si="172"/>
        <v>Input!I173</v>
      </c>
      <c r="N439" s="9">
        <f>_xlfn.XLOOKUP(F439,'Raw Data'!$I$4:$I$5000,'Raw Data'!$E$4:$E$5000,100,0)</f>
        <v>100</v>
      </c>
      <c r="O439" s="9" t="str">
        <f>IF(N439=0,_xlfn.XLOOKUP(F439,'Raw Data'!$I$4:$I$5000,'Raw Data'!$H$4:$H$5000,"",0),"")</f>
        <v/>
      </c>
      <c r="P439" s="9" t="str" cm="1">
        <f t="array" aca="1" ref="P439" ca="1">IF(INDIRECT(M439) = "","",INDIRECT(M439))</f>
        <v/>
      </c>
      <c r="Q439" s="359" t="s">
        <v>4381</v>
      </c>
    </row>
    <row r="440" spans="1:17" x14ac:dyDescent="0.35">
      <c r="A440" t="s">
        <v>2659</v>
      </c>
      <c r="E440" t="str">
        <f>_xlfn.XLOOKUP(F440,'Raw Data'!$I$4:$I$5000,'Raw Data'!$D$4:$D$5000,"*** Mnemonic not found ***",0)</f>
        <v>*** Mnemonic not found ***</v>
      </c>
      <c r="F440" t="str">
        <f t="shared" si="166"/>
        <v>SUCMOTH3BBB_5TO10__</v>
      </c>
      <c r="H440" s="9" t="s">
        <v>1137</v>
      </c>
      <c r="K440" s="9">
        <f t="shared" ref="K440:K442" si="189">K439+1</f>
        <v>174</v>
      </c>
      <c r="L440" s="9" t="str">
        <f t="shared" si="188"/>
        <v>I</v>
      </c>
      <c r="M440" s="9" t="str">
        <f t="shared" si="172"/>
        <v>Input!I174</v>
      </c>
      <c r="N440" s="9">
        <f>_xlfn.XLOOKUP(F440,'Raw Data'!$I$4:$I$5000,'Raw Data'!$E$4:$E$5000,100,0)</f>
        <v>100</v>
      </c>
      <c r="O440" s="9" t="str">
        <f>IF(N440=0,_xlfn.XLOOKUP(F440,'Raw Data'!$I$4:$I$5000,'Raw Data'!$H$4:$H$5000,"",0),"")</f>
        <v/>
      </c>
      <c r="P440" s="9" t="str" cm="1">
        <f t="array" aca="1" ref="P440" ca="1">IF(INDIRECT(M440) = "","",INDIRECT(M440))</f>
        <v/>
      </c>
      <c r="Q440" s="359" t="s">
        <v>4381</v>
      </c>
    </row>
    <row r="441" spans="1:17" x14ac:dyDescent="0.35">
      <c r="A441" t="s">
        <v>2660</v>
      </c>
      <c r="E441" t="str">
        <f>_xlfn.XLOOKUP(F441,'Raw Data'!$I$4:$I$5000,'Raw Data'!$D$4:$D$5000,"*** Mnemonic not found ***",0)</f>
        <v>*** Mnemonic not found ***</v>
      </c>
      <c r="F441" t="str">
        <f t="shared" si="166"/>
        <v>SUCMOTH3BBB_10TO20__</v>
      </c>
      <c r="H441" s="9" t="s">
        <v>1137</v>
      </c>
      <c r="K441" s="9">
        <f t="shared" si="189"/>
        <v>175</v>
      </c>
      <c r="L441" s="9" t="str">
        <f t="shared" si="188"/>
        <v>I</v>
      </c>
      <c r="M441" s="9" t="str">
        <f t="shared" si="172"/>
        <v>Input!I175</v>
      </c>
      <c r="N441" s="9">
        <f>_xlfn.XLOOKUP(F441,'Raw Data'!$I$4:$I$5000,'Raw Data'!$E$4:$E$5000,100,0)</f>
        <v>100</v>
      </c>
      <c r="O441" s="9" t="str">
        <f>IF(N441=0,_xlfn.XLOOKUP(F441,'Raw Data'!$I$4:$I$5000,'Raw Data'!$H$4:$H$5000,"",0),"")</f>
        <v/>
      </c>
      <c r="P441" s="9" t="str" cm="1">
        <f t="array" aca="1" ref="P441" ca="1">IF(INDIRECT(M441) = "","",INDIRECT(M441))</f>
        <v/>
      </c>
      <c r="Q441" s="359" t="s">
        <v>4381</v>
      </c>
    </row>
    <row r="442" spans="1:17" x14ac:dyDescent="0.35">
      <c r="A442" t="s">
        <v>2661</v>
      </c>
      <c r="E442" t="str">
        <f>_xlfn.XLOOKUP(F442,'Raw Data'!$I$4:$I$5000,'Raw Data'!$D$4:$D$5000,"*** Mnemonic not found ***",0)</f>
        <v>*** Mnemonic not found ***</v>
      </c>
      <c r="F442" t="str">
        <f t="shared" si="166"/>
        <v>SUCMOTH3BBB_GRTR20__</v>
      </c>
      <c r="H442" s="9" t="s">
        <v>1137</v>
      </c>
      <c r="K442" s="9">
        <f t="shared" si="189"/>
        <v>176</v>
      </c>
      <c r="L442" s="9" t="str">
        <f t="shared" si="188"/>
        <v>I</v>
      </c>
      <c r="M442" s="9" t="str">
        <f t="shared" si="172"/>
        <v>Input!I176</v>
      </c>
      <c r="N442" s="9">
        <f>_xlfn.XLOOKUP(F442,'Raw Data'!$I$4:$I$5000,'Raw Data'!$E$4:$E$5000,100,0)</f>
        <v>100</v>
      </c>
      <c r="O442" s="9" t="str">
        <f>IF(N442=0,_xlfn.XLOOKUP(F442,'Raw Data'!$I$4:$I$5000,'Raw Data'!$H$4:$H$5000,"",0),"")</f>
        <v/>
      </c>
      <c r="P442" s="9" t="str" cm="1">
        <f t="array" aca="1" ref="P442" ca="1">IF(INDIRECT(M442) = "","",INDIRECT(M442))</f>
        <v/>
      </c>
      <c r="Q442" s="359" t="s">
        <v>4381</v>
      </c>
    </row>
    <row r="443" spans="1:17" x14ac:dyDescent="0.35">
      <c r="A443" t="s">
        <v>2677</v>
      </c>
      <c r="E443" t="str">
        <f>_xlfn.XLOOKUP(F443,'Raw Data'!$I$4:$I$5000,'Raw Data'!$D$4:$D$5000,"*** Mnemonic not found ***",0)</f>
        <v>*** Mnemonic not found ***</v>
      </c>
      <c r="F443" t="str">
        <f t="shared" si="166"/>
        <v>SUCMOTH3BB_LESS1__</v>
      </c>
      <c r="H443" s="9" t="s">
        <v>1137</v>
      </c>
      <c r="K443" s="9">
        <f>K438</f>
        <v>172</v>
      </c>
      <c r="L443" s="9" t="s">
        <v>1376</v>
      </c>
      <c r="M443" s="9" t="str">
        <f t="shared" si="172"/>
        <v>Input!J172</v>
      </c>
      <c r="N443" s="9">
        <f>_xlfn.XLOOKUP(F443,'Raw Data'!$I$4:$I$5000,'Raw Data'!$E$4:$E$5000,100,0)</f>
        <v>100</v>
      </c>
      <c r="O443" s="9" t="str">
        <f>IF(N443=0,_xlfn.XLOOKUP(F443,'Raw Data'!$I$4:$I$5000,'Raw Data'!$H$4:$H$5000,"",0),"")</f>
        <v/>
      </c>
      <c r="P443" s="9" t="str" cm="1">
        <f t="array" aca="1" ref="P443" ca="1">IF(INDIRECT(M443) = "","",INDIRECT(M443))</f>
        <v/>
      </c>
      <c r="Q443" s="359" t="s">
        <v>4381</v>
      </c>
    </row>
    <row r="444" spans="1:17" x14ac:dyDescent="0.35">
      <c r="A444" t="s">
        <v>2678</v>
      </c>
      <c r="E444" t="str">
        <f>_xlfn.XLOOKUP(F444,'Raw Data'!$I$4:$I$5000,'Raw Data'!$D$4:$D$5000,"*** Mnemonic not found ***",0)</f>
        <v>*** Mnemonic not found ***</v>
      </c>
      <c r="F444" t="str">
        <f t="shared" si="166"/>
        <v>SUCMOTH3BB_1TO5__</v>
      </c>
      <c r="H444" s="9" t="s">
        <v>1137</v>
      </c>
      <c r="K444" s="9">
        <f>K443+1</f>
        <v>173</v>
      </c>
      <c r="L444" s="9" t="str">
        <f t="shared" ref="L444:L447" si="190">L443</f>
        <v>J</v>
      </c>
      <c r="M444" s="9" t="str">
        <f t="shared" si="172"/>
        <v>Input!J173</v>
      </c>
      <c r="N444" s="9">
        <f>_xlfn.XLOOKUP(F444,'Raw Data'!$I$4:$I$5000,'Raw Data'!$E$4:$E$5000,100,0)</f>
        <v>100</v>
      </c>
      <c r="O444" s="9" t="str">
        <f>IF(N444=0,_xlfn.XLOOKUP(F444,'Raw Data'!$I$4:$I$5000,'Raw Data'!$H$4:$H$5000,"",0),"")</f>
        <v/>
      </c>
      <c r="P444" s="9" t="str" cm="1">
        <f t="array" aca="1" ref="P444" ca="1">IF(INDIRECT(M444) = "","",INDIRECT(M444))</f>
        <v/>
      </c>
      <c r="Q444" s="359" t="s">
        <v>4381</v>
      </c>
    </row>
    <row r="445" spans="1:17" x14ac:dyDescent="0.35">
      <c r="A445" t="s">
        <v>2679</v>
      </c>
      <c r="E445" t="str">
        <f>_xlfn.XLOOKUP(F445,'Raw Data'!$I$4:$I$5000,'Raw Data'!$D$4:$D$5000,"*** Mnemonic not found ***",0)</f>
        <v>*** Mnemonic not found ***</v>
      </c>
      <c r="F445" t="str">
        <f t="shared" si="166"/>
        <v>SUCMOTH3BB_5TO10__</v>
      </c>
      <c r="H445" s="9" t="s">
        <v>1137</v>
      </c>
      <c r="K445" s="9">
        <f t="shared" ref="K445:K447" si="191">K444+1</f>
        <v>174</v>
      </c>
      <c r="L445" s="9" t="str">
        <f t="shared" si="190"/>
        <v>J</v>
      </c>
      <c r="M445" s="9" t="str">
        <f t="shared" si="172"/>
        <v>Input!J174</v>
      </c>
      <c r="N445" s="9">
        <f>_xlfn.XLOOKUP(F445,'Raw Data'!$I$4:$I$5000,'Raw Data'!$E$4:$E$5000,100,0)</f>
        <v>100</v>
      </c>
      <c r="O445" s="9" t="str">
        <f>IF(N445=0,_xlfn.XLOOKUP(F445,'Raw Data'!$I$4:$I$5000,'Raw Data'!$H$4:$H$5000,"",0),"")</f>
        <v/>
      </c>
      <c r="P445" s="9" t="str" cm="1">
        <f t="array" aca="1" ref="P445" ca="1">IF(INDIRECT(M445) = "","",INDIRECT(M445))</f>
        <v/>
      </c>
      <c r="Q445" s="359" t="s">
        <v>4381</v>
      </c>
    </row>
    <row r="446" spans="1:17" x14ac:dyDescent="0.35">
      <c r="A446" t="s">
        <v>2680</v>
      </c>
      <c r="E446" t="str">
        <f>_xlfn.XLOOKUP(F446,'Raw Data'!$I$4:$I$5000,'Raw Data'!$D$4:$D$5000,"*** Mnemonic not found ***",0)</f>
        <v>*** Mnemonic not found ***</v>
      </c>
      <c r="F446" t="str">
        <f t="shared" si="166"/>
        <v>SUCMOTH3BB_10TO20__</v>
      </c>
      <c r="H446" s="9" t="s">
        <v>1137</v>
      </c>
      <c r="K446" s="9">
        <f t="shared" si="191"/>
        <v>175</v>
      </c>
      <c r="L446" s="9" t="str">
        <f t="shared" si="190"/>
        <v>J</v>
      </c>
      <c r="M446" s="9" t="str">
        <f t="shared" si="172"/>
        <v>Input!J175</v>
      </c>
      <c r="N446" s="9">
        <f>_xlfn.XLOOKUP(F446,'Raw Data'!$I$4:$I$5000,'Raw Data'!$E$4:$E$5000,100,0)</f>
        <v>100</v>
      </c>
      <c r="O446" s="9" t="str">
        <f>IF(N446=0,_xlfn.XLOOKUP(F446,'Raw Data'!$I$4:$I$5000,'Raw Data'!$H$4:$H$5000,"",0),"")</f>
        <v/>
      </c>
      <c r="P446" s="9" t="str" cm="1">
        <f t="array" aca="1" ref="P446" ca="1">IF(INDIRECT(M446) = "","",INDIRECT(M446))</f>
        <v/>
      </c>
      <c r="Q446" s="359" t="s">
        <v>4381</v>
      </c>
    </row>
    <row r="447" spans="1:17" x14ac:dyDescent="0.35">
      <c r="A447" t="s">
        <v>2681</v>
      </c>
      <c r="E447" t="str">
        <f>_xlfn.XLOOKUP(F447,'Raw Data'!$I$4:$I$5000,'Raw Data'!$D$4:$D$5000,"*** Mnemonic not found ***",0)</f>
        <v>*** Mnemonic not found ***</v>
      </c>
      <c r="F447" t="str">
        <f t="shared" si="166"/>
        <v>SUCMOTH3BB_GRTR20__</v>
      </c>
      <c r="H447" s="9" t="s">
        <v>1137</v>
      </c>
      <c r="K447" s="9">
        <f t="shared" si="191"/>
        <v>176</v>
      </c>
      <c r="L447" s="9" t="str">
        <f t="shared" si="190"/>
        <v>J</v>
      </c>
      <c r="M447" s="9" t="str">
        <f t="shared" si="172"/>
        <v>Input!J176</v>
      </c>
      <c r="N447" s="9">
        <f>_xlfn.XLOOKUP(F447,'Raw Data'!$I$4:$I$5000,'Raw Data'!$E$4:$E$5000,100,0)</f>
        <v>100</v>
      </c>
      <c r="O447" s="9" t="str">
        <f>IF(N447=0,_xlfn.XLOOKUP(F447,'Raw Data'!$I$4:$I$5000,'Raw Data'!$H$4:$H$5000,"",0),"")</f>
        <v/>
      </c>
      <c r="P447" s="9" t="str" cm="1">
        <f t="array" aca="1" ref="P447" ca="1">IF(INDIRECT(M447) = "","",INDIRECT(M447))</f>
        <v/>
      </c>
      <c r="Q447" s="359" t="s">
        <v>4381</v>
      </c>
    </row>
    <row r="448" spans="1:17" x14ac:dyDescent="0.35">
      <c r="A448" t="s">
        <v>2697</v>
      </c>
      <c r="E448" t="str">
        <f>_xlfn.XLOOKUP(F448,'Raw Data'!$I$4:$I$5000,'Raw Data'!$D$4:$D$5000,"*** Mnemonic not found ***",0)</f>
        <v>*** Mnemonic not found ***</v>
      </c>
      <c r="F448" t="str">
        <f t="shared" si="166"/>
        <v>SUCMOTH3B_LESS1__</v>
      </c>
      <c r="H448" s="9" t="s">
        <v>1137</v>
      </c>
      <c r="K448" s="9">
        <f>K443</f>
        <v>172</v>
      </c>
      <c r="L448" s="9" t="s">
        <v>1377</v>
      </c>
      <c r="M448" s="9" t="str">
        <f t="shared" si="172"/>
        <v>Input!K172</v>
      </c>
      <c r="N448" s="9">
        <f>_xlfn.XLOOKUP(F448,'Raw Data'!$I$4:$I$5000,'Raw Data'!$E$4:$E$5000,100,0)</f>
        <v>100</v>
      </c>
      <c r="O448" s="9" t="str">
        <f>IF(N448=0,_xlfn.XLOOKUP(F448,'Raw Data'!$I$4:$I$5000,'Raw Data'!$H$4:$H$5000,"",0),"")</f>
        <v/>
      </c>
      <c r="P448" s="9" t="str" cm="1">
        <f t="array" aca="1" ref="P448" ca="1">IF(INDIRECT(M448) = "","",INDIRECT(M448))</f>
        <v/>
      </c>
      <c r="Q448" s="359" t="s">
        <v>4381</v>
      </c>
    </row>
    <row r="449" spans="1:17" x14ac:dyDescent="0.35">
      <c r="A449" t="s">
        <v>2698</v>
      </c>
      <c r="E449" t="str">
        <f>_xlfn.XLOOKUP(F449,'Raw Data'!$I$4:$I$5000,'Raw Data'!$D$4:$D$5000,"*** Mnemonic not found ***",0)</f>
        <v>*** Mnemonic not found ***</v>
      </c>
      <c r="F449" t="str">
        <f t="shared" si="166"/>
        <v>SUCMOTH3B_1TO5__</v>
      </c>
      <c r="H449" s="9" t="s">
        <v>1137</v>
      </c>
      <c r="K449" s="9">
        <f>K448+1</f>
        <v>173</v>
      </c>
      <c r="L449" s="9" t="str">
        <f t="shared" ref="L449:L452" si="192">L448</f>
        <v>K</v>
      </c>
      <c r="M449" s="9" t="str">
        <f t="shared" si="172"/>
        <v>Input!K173</v>
      </c>
      <c r="N449" s="9">
        <f>_xlfn.XLOOKUP(F449,'Raw Data'!$I$4:$I$5000,'Raw Data'!$E$4:$E$5000,100,0)</f>
        <v>100</v>
      </c>
      <c r="O449" s="9" t="str">
        <f>IF(N449=0,_xlfn.XLOOKUP(F449,'Raw Data'!$I$4:$I$5000,'Raw Data'!$H$4:$H$5000,"",0),"")</f>
        <v/>
      </c>
      <c r="P449" s="9" t="str" cm="1">
        <f t="array" aca="1" ref="P449" ca="1">IF(INDIRECT(M449) = "","",INDIRECT(M449))</f>
        <v/>
      </c>
      <c r="Q449" s="359" t="s">
        <v>4381</v>
      </c>
    </row>
    <row r="450" spans="1:17" x14ac:dyDescent="0.35">
      <c r="A450" t="s">
        <v>2699</v>
      </c>
      <c r="E450" t="str">
        <f>_xlfn.XLOOKUP(F450,'Raw Data'!$I$4:$I$5000,'Raw Data'!$D$4:$D$5000,"*** Mnemonic not found ***",0)</f>
        <v>*** Mnemonic not found ***</v>
      </c>
      <c r="F450" t="str">
        <f t="shared" si="166"/>
        <v>SUCMOTH3B_5TO10__</v>
      </c>
      <c r="H450" s="9" t="s">
        <v>1137</v>
      </c>
      <c r="K450" s="9">
        <f t="shared" ref="K450:K452" si="193">K449+1</f>
        <v>174</v>
      </c>
      <c r="L450" s="9" t="str">
        <f t="shared" si="192"/>
        <v>K</v>
      </c>
      <c r="M450" s="9" t="str">
        <f t="shared" si="172"/>
        <v>Input!K174</v>
      </c>
      <c r="N450" s="9">
        <f>_xlfn.XLOOKUP(F450,'Raw Data'!$I$4:$I$5000,'Raw Data'!$E$4:$E$5000,100,0)</f>
        <v>100</v>
      </c>
      <c r="O450" s="9" t="str">
        <f>IF(N450=0,_xlfn.XLOOKUP(F450,'Raw Data'!$I$4:$I$5000,'Raw Data'!$H$4:$H$5000,"",0),"")</f>
        <v/>
      </c>
      <c r="P450" s="9" t="str" cm="1">
        <f t="array" aca="1" ref="P450" ca="1">IF(INDIRECT(M450) = "","",INDIRECT(M450))</f>
        <v/>
      </c>
      <c r="Q450" s="359" t="s">
        <v>4381</v>
      </c>
    </row>
    <row r="451" spans="1:17" x14ac:dyDescent="0.35">
      <c r="A451" t="s">
        <v>2700</v>
      </c>
      <c r="E451" t="str">
        <f>_xlfn.XLOOKUP(F451,'Raw Data'!$I$4:$I$5000,'Raw Data'!$D$4:$D$5000,"*** Mnemonic not found ***",0)</f>
        <v>*** Mnemonic not found ***</v>
      </c>
      <c r="F451" t="str">
        <f t="shared" si="166"/>
        <v>SUCMOTH3B_10TO20__</v>
      </c>
      <c r="H451" s="9" t="s">
        <v>1137</v>
      </c>
      <c r="K451" s="9">
        <f t="shared" si="193"/>
        <v>175</v>
      </c>
      <c r="L451" s="9" t="str">
        <f t="shared" si="192"/>
        <v>K</v>
      </c>
      <c r="M451" s="9" t="str">
        <f t="shared" si="172"/>
        <v>Input!K175</v>
      </c>
      <c r="N451" s="9">
        <f>_xlfn.XLOOKUP(F451,'Raw Data'!$I$4:$I$5000,'Raw Data'!$E$4:$E$5000,100,0)</f>
        <v>100</v>
      </c>
      <c r="O451" s="9" t="str">
        <f>IF(N451=0,_xlfn.XLOOKUP(F451,'Raw Data'!$I$4:$I$5000,'Raw Data'!$H$4:$H$5000,"",0),"")</f>
        <v/>
      </c>
      <c r="P451" s="9" t="str" cm="1">
        <f t="array" aca="1" ref="P451" ca="1">IF(INDIRECT(M451) = "","",INDIRECT(M451))</f>
        <v/>
      </c>
      <c r="Q451" s="359" t="s">
        <v>4381</v>
      </c>
    </row>
    <row r="452" spans="1:17" x14ac:dyDescent="0.35">
      <c r="A452" t="s">
        <v>2701</v>
      </c>
      <c r="E452" t="str">
        <f>_xlfn.XLOOKUP(F452,'Raw Data'!$I$4:$I$5000,'Raw Data'!$D$4:$D$5000,"*** Mnemonic not found ***",0)</f>
        <v>*** Mnemonic not found ***</v>
      </c>
      <c r="F452" t="str">
        <f t="shared" si="166"/>
        <v>SUCMOTH3B_GRTR20__</v>
      </c>
      <c r="H452" s="9" t="s">
        <v>1137</v>
      </c>
      <c r="K452" s="9">
        <f t="shared" si="193"/>
        <v>176</v>
      </c>
      <c r="L452" s="9" t="str">
        <f t="shared" si="192"/>
        <v>K</v>
      </c>
      <c r="M452" s="9" t="str">
        <f t="shared" si="172"/>
        <v>Input!K176</v>
      </c>
      <c r="N452" s="9">
        <f>_xlfn.XLOOKUP(F452,'Raw Data'!$I$4:$I$5000,'Raw Data'!$E$4:$E$5000,100,0)</f>
        <v>100</v>
      </c>
      <c r="O452" s="9" t="str">
        <f>IF(N452=0,_xlfn.XLOOKUP(F452,'Raw Data'!$I$4:$I$5000,'Raw Data'!$H$4:$H$5000,"",0),"")</f>
        <v/>
      </c>
      <c r="P452" s="9" t="str" cm="1">
        <f t="array" aca="1" ref="P452" ca="1">IF(INDIRECT(M452) = "","",INDIRECT(M452))</f>
        <v/>
      </c>
      <c r="Q452" s="359" t="s">
        <v>4381</v>
      </c>
    </row>
    <row r="453" spans="1:17" x14ac:dyDescent="0.35">
      <c r="A453" t="s">
        <v>2717</v>
      </c>
      <c r="E453" t="str">
        <f>_xlfn.XLOOKUP(F453,'Raw Data'!$I$4:$I$5000,'Raw Data'!$D$4:$D$5000,"*** Mnemonic not found ***",0)</f>
        <v>*** Mnemonic not found ***</v>
      </c>
      <c r="F453" t="str">
        <f t="shared" ref="F453:F516" si="194">CONCATENATE(A453,"_",B453,"_",D453)</f>
        <v>SUCMOTH3CCC_LESS1__</v>
      </c>
      <c r="H453" s="9" t="s">
        <v>1137</v>
      </c>
      <c r="K453" s="9">
        <f>K448</f>
        <v>172</v>
      </c>
      <c r="L453" s="9" t="s">
        <v>1378</v>
      </c>
      <c r="M453" s="9" t="str">
        <f t="shared" si="172"/>
        <v>Input!L172</v>
      </c>
      <c r="N453" s="9">
        <f>_xlfn.XLOOKUP(F453,'Raw Data'!$I$4:$I$5000,'Raw Data'!$E$4:$E$5000,100,0)</f>
        <v>100</v>
      </c>
      <c r="O453" s="9" t="str">
        <f>IF(N453=0,_xlfn.XLOOKUP(F453,'Raw Data'!$I$4:$I$5000,'Raw Data'!$H$4:$H$5000,"",0),"")</f>
        <v/>
      </c>
      <c r="P453" s="9" t="str" cm="1">
        <f t="array" aca="1" ref="P453" ca="1">IF(INDIRECT(M453) = "","",INDIRECT(M453))</f>
        <v/>
      </c>
      <c r="Q453" s="359" t="s">
        <v>4381</v>
      </c>
    </row>
    <row r="454" spans="1:17" x14ac:dyDescent="0.35">
      <c r="A454" t="s">
        <v>2718</v>
      </c>
      <c r="E454" t="str">
        <f>_xlfn.XLOOKUP(F454,'Raw Data'!$I$4:$I$5000,'Raw Data'!$D$4:$D$5000,"*** Mnemonic not found ***",0)</f>
        <v>*** Mnemonic not found ***</v>
      </c>
      <c r="F454" t="str">
        <f t="shared" si="194"/>
        <v>SUCMOTH3CCC_1TO5__</v>
      </c>
      <c r="H454" s="9" t="s">
        <v>1137</v>
      </c>
      <c r="K454" s="9">
        <f>K453+1</f>
        <v>173</v>
      </c>
      <c r="L454" s="9" t="str">
        <f t="shared" ref="L454:L457" si="195">L453</f>
        <v>L</v>
      </c>
      <c r="M454" s="9" t="str">
        <f t="shared" si="172"/>
        <v>Input!L173</v>
      </c>
      <c r="N454" s="9">
        <f>_xlfn.XLOOKUP(F454,'Raw Data'!$I$4:$I$5000,'Raw Data'!$E$4:$E$5000,100,0)</f>
        <v>100</v>
      </c>
      <c r="O454" s="9" t="str">
        <f>IF(N454=0,_xlfn.XLOOKUP(F454,'Raw Data'!$I$4:$I$5000,'Raw Data'!$H$4:$H$5000,"",0),"")</f>
        <v/>
      </c>
      <c r="P454" s="9" t="str" cm="1">
        <f t="array" aca="1" ref="P454" ca="1">IF(INDIRECT(M454) = "","",INDIRECT(M454))</f>
        <v/>
      </c>
      <c r="Q454" s="359" t="s">
        <v>4381</v>
      </c>
    </row>
    <row r="455" spans="1:17" x14ac:dyDescent="0.35">
      <c r="A455" t="s">
        <v>2719</v>
      </c>
      <c r="E455" t="str">
        <f>_xlfn.XLOOKUP(F455,'Raw Data'!$I$4:$I$5000,'Raw Data'!$D$4:$D$5000,"*** Mnemonic not found ***",0)</f>
        <v>*** Mnemonic not found ***</v>
      </c>
      <c r="F455" t="str">
        <f t="shared" si="194"/>
        <v>SUCMOTH3CCC_5TO10__</v>
      </c>
      <c r="H455" s="9" t="s">
        <v>1137</v>
      </c>
      <c r="K455" s="9">
        <f t="shared" ref="K455:K457" si="196">K454+1</f>
        <v>174</v>
      </c>
      <c r="L455" s="9" t="str">
        <f t="shared" si="195"/>
        <v>L</v>
      </c>
      <c r="M455" s="9" t="str">
        <f t="shared" si="172"/>
        <v>Input!L174</v>
      </c>
      <c r="N455" s="9">
        <f>_xlfn.XLOOKUP(F455,'Raw Data'!$I$4:$I$5000,'Raw Data'!$E$4:$E$5000,100,0)</f>
        <v>100</v>
      </c>
      <c r="O455" s="9" t="str">
        <f>IF(N455=0,_xlfn.XLOOKUP(F455,'Raw Data'!$I$4:$I$5000,'Raw Data'!$H$4:$H$5000,"",0),"")</f>
        <v/>
      </c>
      <c r="P455" s="9" t="str" cm="1">
        <f t="array" aca="1" ref="P455" ca="1">IF(INDIRECT(M455) = "","",INDIRECT(M455))</f>
        <v/>
      </c>
      <c r="Q455" s="359" t="s">
        <v>4381</v>
      </c>
    </row>
    <row r="456" spans="1:17" x14ac:dyDescent="0.35">
      <c r="A456" t="s">
        <v>2720</v>
      </c>
      <c r="E456" t="str">
        <f>_xlfn.XLOOKUP(F456,'Raw Data'!$I$4:$I$5000,'Raw Data'!$D$4:$D$5000,"*** Mnemonic not found ***",0)</f>
        <v>*** Mnemonic not found ***</v>
      </c>
      <c r="F456" t="str">
        <f t="shared" si="194"/>
        <v>SUCMOTH3CCC_10TO20__</v>
      </c>
      <c r="H456" s="9" t="s">
        <v>1137</v>
      </c>
      <c r="K456" s="9">
        <f t="shared" si="196"/>
        <v>175</v>
      </c>
      <c r="L456" s="9" t="str">
        <f t="shared" si="195"/>
        <v>L</v>
      </c>
      <c r="M456" s="9" t="str">
        <f t="shared" si="172"/>
        <v>Input!L175</v>
      </c>
      <c r="N456" s="9">
        <f>_xlfn.XLOOKUP(F456,'Raw Data'!$I$4:$I$5000,'Raw Data'!$E$4:$E$5000,100,0)</f>
        <v>100</v>
      </c>
      <c r="O456" s="9" t="str">
        <f>IF(N456=0,_xlfn.XLOOKUP(F456,'Raw Data'!$I$4:$I$5000,'Raw Data'!$H$4:$H$5000,"",0),"")</f>
        <v/>
      </c>
      <c r="P456" s="9" t="str" cm="1">
        <f t="array" aca="1" ref="P456" ca="1">IF(INDIRECT(M456) = "","",INDIRECT(M456))</f>
        <v/>
      </c>
      <c r="Q456" s="359" t="s">
        <v>4381</v>
      </c>
    </row>
    <row r="457" spans="1:17" x14ac:dyDescent="0.35">
      <c r="A457" t="s">
        <v>2721</v>
      </c>
      <c r="E457" t="str">
        <f>_xlfn.XLOOKUP(F457,'Raw Data'!$I$4:$I$5000,'Raw Data'!$D$4:$D$5000,"*** Mnemonic not found ***",0)</f>
        <v>*** Mnemonic not found ***</v>
      </c>
      <c r="F457" t="str">
        <f t="shared" si="194"/>
        <v>SUCMOTH3CCC_GRTR20__</v>
      </c>
      <c r="H457" s="9" t="s">
        <v>1137</v>
      </c>
      <c r="K457" s="9">
        <f t="shared" si="196"/>
        <v>176</v>
      </c>
      <c r="L457" s="9" t="str">
        <f t="shared" si="195"/>
        <v>L</v>
      </c>
      <c r="M457" s="9" t="str">
        <f t="shared" si="172"/>
        <v>Input!L176</v>
      </c>
      <c r="N457" s="9">
        <f>_xlfn.XLOOKUP(F457,'Raw Data'!$I$4:$I$5000,'Raw Data'!$E$4:$E$5000,100,0)</f>
        <v>100</v>
      </c>
      <c r="O457" s="9" t="str">
        <f>IF(N457=0,_xlfn.XLOOKUP(F457,'Raw Data'!$I$4:$I$5000,'Raw Data'!$H$4:$H$5000,"",0),"")</f>
        <v/>
      </c>
      <c r="P457" s="9" t="str" cm="1">
        <f t="array" aca="1" ref="P457" ca="1">IF(INDIRECT(M457) = "","",INDIRECT(M457))</f>
        <v/>
      </c>
      <c r="Q457" s="359" t="s">
        <v>4381</v>
      </c>
    </row>
    <row r="458" spans="1:17" x14ac:dyDescent="0.35">
      <c r="A458" t="s">
        <v>2602</v>
      </c>
      <c r="E458" t="str">
        <f>_xlfn.XLOOKUP(F458,'Raw Data'!$I$4:$I$5000,'Raw Data'!$D$4:$D$5000,"*** Mnemonic not found ***",0)</f>
        <v>*** Mnemonic not found ***</v>
      </c>
      <c r="F458" t="str">
        <f t="shared" si="194"/>
        <v>SUCMOTH4AAA_LESS1__</v>
      </c>
      <c r="H458" s="9" t="s">
        <v>1137</v>
      </c>
      <c r="I458" s="289">
        <f>ROW(section_bonds_sp_unrated_step_2_3)</f>
        <v>118</v>
      </c>
      <c r="J458" s="9">
        <f>J423+8</f>
        <v>62</v>
      </c>
      <c r="K458" s="9">
        <f>I458+J458</f>
        <v>180</v>
      </c>
      <c r="L458" s="9" t="s">
        <v>1124</v>
      </c>
      <c r="M458" s="9" t="str">
        <f t="shared" si="172"/>
        <v>Input!F180</v>
      </c>
      <c r="N458" s="9">
        <f>_xlfn.XLOOKUP(F458,'Raw Data'!$I$4:$I$5000,'Raw Data'!$E$4:$E$5000,100,0)</f>
        <v>100</v>
      </c>
      <c r="O458" s="9" t="str">
        <f>IF(N458=0,_xlfn.XLOOKUP(F458,'Raw Data'!$I$4:$I$5000,'Raw Data'!$H$4:$H$5000,"",0),"")</f>
        <v/>
      </c>
      <c r="P458" s="9" t="str" cm="1">
        <f t="array" aca="1" ref="P458" ca="1">IF(INDIRECT(M458) = "","",INDIRECT(M458))</f>
        <v/>
      </c>
      <c r="Q458" s="359" t="s">
        <v>4381</v>
      </c>
    </row>
    <row r="459" spans="1:17" x14ac:dyDescent="0.35">
      <c r="A459" t="s">
        <v>2603</v>
      </c>
      <c r="E459" t="str">
        <f>_xlfn.XLOOKUP(F459,'Raw Data'!$I$4:$I$5000,'Raw Data'!$D$4:$D$5000,"*** Mnemonic not found ***",0)</f>
        <v>*** Mnemonic not found ***</v>
      </c>
      <c r="F459" t="str">
        <f t="shared" si="194"/>
        <v>SUCMOTH4AAA_1TO5__</v>
      </c>
      <c r="H459" s="9" t="s">
        <v>1137</v>
      </c>
      <c r="K459" s="9">
        <f>K458+1</f>
        <v>181</v>
      </c>
      <c r="L459" s="9" t="str">
        <f t="shared" ref="L459:L462" si="197">L458</f>
        <v>F</v>
      </c>
      <c r="M459" s="9" t="str">
        <f t="shared" si="172"/>
        <v>Input!F181</v>
      </c>
      <c r="N459" s="9">
        <f>_xlfn.XLOOKUP(F459,'Raw Data'!$I$4:$I$5000,'Raw Data'!$E$4:$E$5000,100,0)</f>
        <v>100</v>
      </c>
      <c r="O459" s="9" t="str">
        <f>IF(N459=0,_xlfn.XLOOKUP(F459,'Raw Data'!$I$4:$I$5000,'Raw Data'!$H$4:$H$5000,"",0),"")</f>
        <v/>
      </c>
      <c r="P459" s="9" t="str" cm="1">
        <f t="array" aca="1" ref="P459" ca="1">IF(INDIRECT(M459) = "","",INDIRECT(M459))</f>
        <v/>
      </c>
      <c r="Q459" s="359" t="s">
        <v>4381</v>
      </c>
    </row>
    <row r="460" spans="1:17" x14ac:dyDescent="0.35">
      <c r="A460" t="s">
        <v>2604</v>
      </c>
      <c r="E460" t="str">
        <f>_xlfn.XLOOKUP(F460,'Raw Data'!$I$4:$I$5000,'Raw Data'!$D$4:$D$5000,"*** Mnemonic not found ***",0)</f>
        <v>*** Mnemonic not found ***</v>
      </c>
      <c r="F460" t="str">
        <f t="shared" si="194"/>
        <v>SUCMOTH4AAA_5TO10__</v>
      </c>
      <c r="H460" s="9" t="s">
        <v>1137</v>
      </c>
      <c r="K460" s="9">
        <f t="shared" ref="K460:K462" si="198">K459+1</f>
        <v>182</v>
      </c>
      <c r="L460" s="9" t="str">
        <f t="shared" si="197"/>
        <v>F</v>
      </c>
      <c r="M460" s="9" t="str">
        <f t="shared" si="172"/>
        <v>Input!F182</v>
      </c>
      <c r="N460" s="9">
        <f>_xlfn.XLOOKUP(F460,'Raw Data'!$I$4:$I$5000,'Raw Data'!$E$4:$E$5000,100,0)</f>
        <v>100</v>
      </c>
      <c r="O460" s="9" t="str">
        <f>IF(N460=0,_xlfn.XLOOKUP(F460,'Raw Data'!$I$4:$I$5000,'Raw Data'!$H$4:$H$5000,"",0),"")</f>
        <v/>
      </c>
      <c r="P460" s="9" t="str" cm="1">
        <f t="array" aca="1" ref="P460" ca="1">IF(INDIRECT(M460) = "","",INDIRECT(M460))</f>
        <v/>
      </c>
      <c r="Q460" s="359" t="s">
        <v>4381</v>
      </c>
    </row>
    <row r="461" spans="1:17" x14ac:dyDescent="0.35">
      <c r="A461" t="s">
        <v>2605</v>
      </c>
      <c r="E461" t="str">
        <f>_xlfn.XLOOKUP(F461,'Raw Data'!$I$4:$I$5000,'Raw Data'!$D$4:$D$5000,"*** Mnemonic not found ***",0)</f>
        <v>*** Mnemonic not found ***</v>
      </c>
      <c r="F461" t="str">
        <f t="shared" si="194"/>
        <v>SUCMOTH4AAA_10TO20__</v>
      </c>
      <c r="H461" s="9" t="s">
        <v>1137</v>
      </c>
      <c r="K461" s="9">
        <f t="shared" si="198"/>
        <v>183</v>
      </c>
      <c r="L461" s="9" t="str">
        <f t="shared" si="197"/>
        <v>F</v>
      </c>
      <c r="M461" s="9" t="str">
        <f t="shared" si="172"/>
        <v>Input!F183</v>
      </c>
      <c r="N461" s="9">
        <f>_xlfn.XLOOKUP(F461,'Raw Data'!$I$4:$I$5000,'Raw Data'!$E$4:$E$5000,100,0)</f>
        <v>100</v>
      </c>
      <c r="O461" s="9" t="str">
        <f>IF(N461=0,_xlfn.XLOOKUP(F461,'Raw Data'!$I$4:$I$5000,'Raw Data'!$H$4:$H$5000,"",0),"")</f>
        <v/>
      </c>
      <c r="P461" s="9" t="str" cm="1">
        <f t="array" aca="1" ref="P461" ca="1">IF(INDIRECT(M461) = "","",INDIRECT(M461))</f>
        <v/>
      </c>
      <c r="Q461" s="359" t="s">
        <v>4381</v>
      </c>
    </row>
    <row r="462" spans="1:17" x14ac:dyDescent="0.35">
      <c r="A462" t="s">
        <v>2606</v>
      </c>
      <c r="E462" t="str">
        <f>_xlfn.XLOOKUP(F462,'Raw Data'!$I$4:$I$5000,'Raw Data'!$D$4:$D$5000,"*** Mnemonic not found ***",0)</f>
        <v>*** Mnemonic not found ***</v>
      </c>
      <c r="F462" t="str">
        <f t="shared" si="194"/>
        <v>SUCMOTH4AAA_GRTR20__</v>
      </c>
      <c r="H462" s="9" t="s">
        <v>1137</v>
      </c>
      <c r="K462" s="9">
        <f t="shared" si="198"/>
        <v>184</v>
      </c>
      <c r="L462" s="9" t="str">
        <f t="shared" si="197"/>
        <v>F</v>
      </c>
      <c r="M462" s="9" t="str">
        <f t="shared" si="172"/>
        <v>Input!F184</v>
      </c>
      <c r="N462" s="9">
        <f>_xlfn.XLOOKUP(F462,'Raw Data'!$I$4:$I$5000,'Raw Data'!$E$4:$E$5000,100,0)</f>
        <v>100</v>
      </c>
      <c r="O462" s="9" t="str">
        <f>IF(N462=0,_xlfn.XLOOKUP(F462,'Raw Data'!$I$4:$I$5000,'Raw Data'!$H$4:$H$5000,"",0),"")</f>
        <v/>
      </c>
      <c r="P462" s="9" t="str" cm="1">
        <f t="array" aca="1" ref="P462" ca="1">IF(INDIRECT(M462) = "","",INDIRECT(M462))</f>
        <v/>
      </c>
      <c r="Q462" s="359" t="s">
        <v>4381</v>
      </c>
    </row>
    <row r="463" spans="1:17" x14ac:dyDescent="0.35">
      <c r="A463" t="s">
        <v>2622</v>
      </c>
      <c r="E463" t="str">
        <f>_xlfn.XLOOKUP(F463,'Raw Data'!$I$4:$I$5000,'Raw Data'!$D$4:$D$5000,"*** Mnemonic not found ***",0)</f>
        <v>*** Mnemonic not found ***</v>
      </c>
      <c r="F463" t="str">
        <f t="shared" si="194"/>
        <v>SUCMOTH4AA_LESS1__</v>
      </c>
      <c r="H463" s="9" t="s">
        <v>1137</v>
      </c>
      <c r="K463" s="9">
        <f>K458</f>
        <v>180</v>
      </c>
      <c r="L463" s="9" t="s">
        <v>1145</v>
      </c>
      <c r="M463" s="9" t="str">
        <f t="shared" ref="M463:M526" si="199">CONCATENATE(H463,"!",L463,K463)</f>
        <v>Input!G180</v>
      </c>
      <c r="N463" s="9">
        <f>_xlfn.XLOOKUP(F463,'Raw Data'!$I$4:$I$5000,'Raw Data'!$E$4:$E$5000,100,0)</f>
        <v>100</v>
      </c>
      <c r="O463" s="9" t="str">
        <f>IF(N463=0,_xlfn.XLOOKUP(F463,'Raw Data'!$I$4:$I$5000,'Raw Data'!$H$4:$H$5000,"",0),"")</f>
        <v/>
      </c>
      <c r="P463" s="9" t="str" cm="1">
        <f t="array" aca="1" ref="P463" ca="1">IF(INDIRECT(M463) = "","",INDIRECT(M463))</f>
        <v/>
      </c>
      <c r="Q463" s="359" t="s">
        <v>4381</v>
      </c>
    </row>
    <row r="464" spans="1:17" x14ac:dyDescent="0.35">
      <c r="A464" t="s">
        <v>2623</v>
      </c>
      <c r="E464" t="str">
        <f>_xlfn.XLOOKUP(F464,'Raw Data'!$I$4:$I$5000,'Raw Data'!$D$4:$D$5000,"*** Mnemonic not found ***",0)</f>
        <v>*** Mnemonic not found ***</v>
      </c>
      <c r="F464" t="str">
        <f t="shared" si="194"/>
        <v>SUCMOTH4AA_1TO5__</v>
      </c>
      <c r="H464" s="9" t="s">
        <v>1137</v>
      </c>
      <c r="K464" s="9">
        <f>K463+1</f>
        <v>181</v>
      </c>
      <c r="L464" s="9" t="str">
        <f t="shared" ref="L464:L467" si="200">L463</f>
        <v>G</v>
      </c>
      <c r="M464" s="9" t="str">
        <f t="shared" si="199"/>
        <v>Input!G181</v>
      </c>
      <c r="N464" s="9">
        <f>_xlfn.XLOOKUP(F464,'Raw Data'!$I$4:$I$5000,'Raw Data'!$E$4:$E$5000,100,0)</f>
        <v>100</v>
      </c>
      <c r="O464" s="9" t="str">
        <f>IF(N464=0,_xlfn.XLOOKUP(F464,'Raw Data'!$I$4:$I$5000,'Raw Data'!$H$4:$H$5000,"",0),"")</f>
        <v/>
      </c>
      <c r="P464" s="9" t="str" cm="1">
        <f t="array" aca="1" ref="P464" ca="1">IF(INDIRECT(M464) = "","",INDIRECT(M464))</f>
        <v/>
      </c>
      <c r="Q464" s="359" t="s">
        <v>4381</v>
      </c>
    </row>
    <row r="465" spans="1:17" x14ac:dyDescent="0.35">
      <c r="A465" t="s">
        <v>2624</v>
      </c>
      <c r="E465" t="str">
        <f>_xlfn.XLOOKUP(F465,'Raw Data'!$I$4:$I$5000,'Raw Data'!$D$4:$D$5000,"*** Mnemonic not found ***",0)</f>
        <v>*** Mnemonic not found ***</v>
      </c>
      <c r="F465" t="str">
        <f t="shared" si="194"/>
        <v>SUCMOTH4AA_5TO10__</v>
      </c>
      <c r="H465" s="9" t="s">
        <v>1137</v>
      </c>
      <c r="K465" s="9">
        <f t="shared" ref="K465:K467" si="201">K464+1</f>
        <v>182</v>
      </c>
      <c r="L465" s="9" t="str">
        <f t="shared" si="200"/>
        <v>G</v>
      </c>
      <c r="M465" s="9" t="str">
        <f t="shared" si="199"/>
        <v>Input!G182</v>
      </c>
      <c r="N465" s="9">
        <f>_xlfn.XLOOKUP(F465,'Raw Data'!$I$4:$I$5000,'Raw Data'!$E$4:$E$5000,100,0)</f>
        <v>100</v>
      </c>
      <c r="O465" s="9" t="str">
        <f>IF(N465=0,_xlfn.XLOOKUP(F465,'Raw Data'!$I$4:$I$5000,'Raw Data'!$H$4:$H$5000,"",0),"")</f>
        <v/>
      </c>
      <c r="P465" s="9" t="str" cm="1">
        <f t="array" aca="1" ref="P465" ca="1">IF(INDIRECT(M465) = "","",INDIRECT(M465))</f>
        <v/>
      </c>
      <c r="Q465" s="359" t="s">
        <v>4381</v>
      </c>
    </row>
    <row r="466" spans="1:17" x14ac:dyDescent="0.35">
      <c r="A466" t="s">
        <v>2625</v>
      </c>
      <c r="E466" t="str">
        <f>_xlfn.XLOOKUP(F466,'Raw Data'!$I$4:$I$5000,'Raw Data'!$D$4:$D$5000,"*** Mnemonic not found ***",0)</f>
        <v>*** Mnemonic not found ***</v>
      </c>
      <c r="F466" t="str">
        <f t="shared" si="194"/>
        <v>SUCMOTH4AA_10TO20__</v>
      </c>
      <c r="H466" s="9" t="s">
        <v>1137</v>
      </c>
      <c r="K466" s="9">
        <f t="shared" si="201"/>
        <v>183</v>
      </c>
      <c r="L466" s="9" t="str">
        <f t="shared" si="200"/>
        <v>G</v>
      </c>
      <c r="M466" s="9" t="str">
        <f t="shared" si="199"/>
        <v>Input!G183</v>
      </c>
      <c r="N466" s="9">
        <f>_xlfn.XLOOKUP(F466,'Raw Data'!$I$4:$I$5000,'Raw Data'!$E$4:$E$5000,100,0)</f>
        <v>100</v>
      </c>
      <c r="O466" s="9" t="str">
        <f>IF(N466=0,_xlfn.XLOOKUP(F466,'Raw Data'!$I$4:$I$5000,'Raw Data'!$H$4:$H$5000,"",0),"")</f>
        <v/>
      </c>
      <c r="P466" s="9" t="str" cm="1">
        <f t="array" aca="1" ref="P466" ca="1">IF(INDIRECT(M466) = "","",INDIRECT(M466))</f>
        <v/>
      </c>
      <c r="Q466" s="359" t="s">
        <v>4381</v>
      </c>
    </row>
    <row r="467" spans="1:17" x14ac:dyDescent="0.35">
      <c r="A467" t="s">
        <v>2626</v>
      </c>
      <c r="E467" t="str">
        <f>_xlfn.XLOOKUP(F467,'Raw Data'!$I$4:$I$5000,'Raw Data'!$D$4:$D$5000,"*** Mnemonic not found ***",0)</f>
        <v>*** Mnemonic not found ***</v>
      </c>
      <c r="F467" t="str">
        <f t="shared" si="194"/>
        <v>SUCMOTH4AA_GRTR20__</v>
      </c>
      <c r="H467" s="9" t="s">
        <v>1137</v>
      </c>
      <c r="K467" s="9">
        <f t="shared" si="201"/>
        <v>184</v>
      </c>
      <c r="L467" s="9" t="str">
        <f t="shared" si="200"/>
        <v>G</v>
      </c>
      <c r="M467" s="9" t="str">
        <f t="shared" si="199"/>
        <v>Input!G184</v>
      </c>
      <c r="N467" s="9">
        <f>_xlfn.XLOOKUP(F467,'Raw Data'!$I$4:$I$5000,'Raw Data'!$E$4:$E$5000,100,0)</f>
        <v>100</v>
      </c>
      <c r="O467" s="9" t="str">
        <f>IF(N467=0,_xlfn.XLOOKUP(F467,'Raw Data'!$I$4:$I$5000,'Raw Data'!$H$4:$H$5000,"",0),"")</f>
        <v/>
      </c>
      <c r="P467" s="9" t="str" cm="1">
        <f t="array" aca="1" ref="P467" ca="1">IF(INDIRECT(M467) = "","",INDIRECT(M467))</f>
        <v/>
      </c>
      <c r="Q467" s="359" t="s">
        <v>4381</v>
      </c>
    </row>
    <row r="468" spans="1:17" x14ac:dyDescent="0.35">
      <c r="A468" t="s">
        <v>2642</v>
      </c>
      <c r="E468" t="str">
        <f>_xlfn.XLOOKUP(F468,'Raw Data'!$I$4:$I$5000,'Raw Data'!$D$4:$D$5000,"*** Mnemonic not found ***",0)</f>
        <v>*** Mnemonic not found ***</v>
      </c>
      <c r="F468" t="str">
        <f t="shared" si="194"/>
        <v>SUCMOTH4A_LESS1__</v>
      </c>
      <c r="H468" s="9" t="s">
        <v>1137</v>
      </c>
      <c r="K468" s="9">
        <f>K463</f>
        <v>180</v>
      </c>
      <c r="L468" s="9" t="s">
        <v>1144</v>
      </c>
      <c r="M468" s="9" t="str">
        <f t="shared" si="199"/>
        <v>Input!H180</v>
      </c>
      <c r="N468" s="9">
        <f>_xlfn.XLOOKUP(F468,'Raw Data'!$I$4:$I$5000,'Raw Data'!$E$4:$E$5000,100,0)</f>
        <v>100</v>
      </c>
      <c r="O468" s="9" t="str">
        <f>IF(N468=0,_xlfn.XLOOKUP(F468,'Raw Data'!$I$4:$I$5000,'Raw Data'!$H$4:$H$5000,"",0),"")</f>
        <v/>
      </c>
      <c r="P468" s="9" t="str" cm="1">
        <f t="array" aca="1" ref="P468" ca="1">IF(INDIRECT(M468) = "","",INDIRECT(M468))</f>
        <v/>
      </c>
      <c r="Q468" s="359" t="s">
        <v>4381</v>
      </c>
    </row>
    <row r="469" spans="1:17" x14ac:dyDescent="0.35">
      <c r="A469" t="s">
        <v>2643</v>
      </c>
      <c r="E469" t="str">
        <f>_xlfn.XLOOKUP(F469,'Raw Data'!$I$4:$I$5000,'Raw Data'!$D$4:$D$5000,"*** Mnemonic not found ***",0)</f>
        <v>*** Mnemonic not found ***</v>
      </c>
      <c r="F469" t="str">
        <f t="shared" si="194"/>
        <v>SUCMOTH4A_1TO5__</v>
      </c>
      <c r="H469" s="9" t="s">
        <v>1137</v>
      </c>
      <c r="K469" s="9">
        <f>K468+1</f>
        <v>181</v>
      </c>
      <c r="L469" s="9" t="str">
        <f t="shared" ref="L469:L472" si="202">L468</f>
        <v>H</v>
      </c>
      <c r="M469" s="9" t="str">
        <f t="shared" si="199"/>
        <v>Input!H181</v>
      </c>
      <c r="N469" s="9">
        <f>_xlfn.XLOOKUP(F469,'Raw Data'!$I$4:$I$5000,'Raw Data'!$E$4:$E$5000,100,0)</f>
        <v>100</v>
      </c>
      <c r="O469" s="9" t="str">
        <f>IF(N469=0,_xlfn.XLOOKUP(F469,'Raw Data'!$I$4:$I$5000,'Raw Data'!$H$4:$H$5000,"",0),"")</f>
        <v/>
      </c>
      <c r="P469" s="9" t="str" cm="1">
        <f t="array" aca="1" ref="P469" ca="1">IF(INDIRECT(M469) = "","",INDIRECT(M469))</f>
        <v/>
      </c>
      <c r="Q469" s="359" t="s">
        <v>4381</v>
      </c>
    </row>
    <row r="470" spans="1:17" x14ac:dyDescent="0.35">
      <c r="A470" t="s">
        <v>2644</v>
      </c>
      <c r="E470" t="str">
        <f>_xlfn.XLOOKUP(F470,'Raw Data'!$I$4:$I$5000,'Raw Data'!$D$4:$D$5000,"*** Mnemonic not found ***",0)</f>
        <v>*** Mnemonic not found ***</v>
      </c>
      <c r="F470" t="str">
        <f t="shared" si="194"/>
        <v>SUCMOTH4A_5TO10__</v>
      </c>
      <c r="H470" s="9" t="s">
        <v>1137</v>
      </c>
      <c r="K470" s="9">
        <f t="shared" ref="K470:K472" si="203">K469+1</f>
        <v>182</v>
      </c>
      <c r="L470" s="9" t="str">
        <f t="shared" si="202"/>
        <v>H</v>
      </c>
      <c r="M470" s="9" t="str">
        <f t="shared" si="199"/>
        <v>Input!H182</v>
      </c>
      <c r="N470" s="9">
        <f>_xlfn.XLOOKUP(F470,'Raw Data'!$I$4:$I$5000,'Raw Data'!$E$4:$E$5000,100,0)</f>
        <v>100</v>
      </c>
      <c r="O470" s="9" t="str">
        <f>IF(N470=0,_xlfn.XLOOKUP(F470,'Raw Data'!$I$4:$I$5000,'Raw Data'!$H$4:$H$5000,"",0),"")</f>
        <v/>
      </c>
      <c r="P470" s="9" t="str" cm="1">
        <f t="array" aca="1" ref="P470" ca="1">IF(INDIRECT(M470) = "","",INDIRECT(M470))</f>
        <v/>
      </c>
      <c r="Q470" s="359" t="s">
        <v>4381</v>
      </c>
    </row>
    <row r="471" spans="1:17" x14ac:dyDescent="0.35">
      <c r="A471" t="s">
        <v>2645</v>
      </c>
      <c r="E471" t="str">
        <f>_xlfn.XLOOKUP(F471,'Raw Data'!$I$4:$I$5000,'Raw Data'!$D$4:$D$5000,"*** Mnemonic not found ***",0)</f>
        <v>*** Mnemonic not found ***</v>
      </c>
      <c r="F471" t="str">
        <f t="shared" si="194"/>
        <v>SUCMOTH4A_10TO20__</v>
      </c>
      <c r="H471" s="9" t="s">
        <v>1137</v>
      </c>
      <c r="K471" s="9">
        <f t="shared" si="203"/>
        <v>183</v>
      </c>
      <c r="L471" s="9" t="str">
        <f t="shared" si="202"/>
        <v>H</v>
      </c>
      <c r="M471" s="9" t="str">
        <f t="shared" si="199"/>
        <v>Input!H183</v>
      </c>
      <c r="N471" s="9">
        <f>_xlfn.XLOOKUP(F471,'Raw Data'!$I$4:$I$5000,'Raw Data'!$E$4:$E$5000,100,0)</f>
        <v>100</v>
      </c>
      <c r="O471" s="9" t="str">
        <f>IF(N471=0,_xlfn.XLOOKUP(F471,'Raw Data'!$I$4:$I$5000,'Raw Data'!$H$4:$H$5000,"",0),"")</f>
        <v/>
      </c>
      <c r="P471" s="9" t="str" cm="1">
        <f t="array" aca="1" ref="P471" ca="1">IF(INDIRECT(M471) = "","",INDIRECT(M471))</f>
        <v/>
      </c>
      <c r="Q471" s="359" t="s">
        <v>4381</v>
      </c>
    </row>
    <row r="472" spans="1:17" x14ac:dyDescent="0.35">
      <c r="A472" t="s">
        <v>2646</v>
      </c>
      <c r="E472" t="str">
        <f>_xlfn.XLOOKUP(F472,'Raw Data'!$I$4:$I$5000,'Raw Data'!$D$4:$D$5000,"*** Mnemonic not found ***",0)</f>
        <v>*** Mnemonic not found ***</v>
      </c>
      <c r="F472" t="str">
        <f t="shared" si="194"/>
        <v>SUCMOTH4A_GRTR20__</v>
      </c>
      <c r="H472" s="9" t="s">
        <v>1137</v>
      </c>
      <c r="K472" s="9">
        <f t="shared" si="203"/>
        <v>184</v>
      </c>
      <c r="L472" s="9" t="str">
        <f t="shared" si="202"/>
        <v>H</v>
      </c>
      <c r="M472" s="9" t="str">
        <f t="shared" si="199"/>
        <v>Input!H184</v>
      </c>
      <c r="N472" s="9">
        <f>_xlfn.XLOOKUP(F472,'Raw Data'!$I$4:$I$5000,'Raw Data'!$E$4:$E$5000,100,0)</f>
        <v>100</v>
      </c>
      <c r="O472" s="9" t="str">
        <f>IF(N472=0,_xlfn.XLOOKUP(F472,'Raw Data'!$I$4:$I$5000,'Raw Data'!$H$4:$H$5000,"",0),"")</f>
        <v/>
      </c>
      <c r="P472" s="9" t="str" cm="1">
        <f t="array" aca="1" ref="P472" ca="1">IF(INDIRECT(M472) = "","",INDIRECT(M472))</f>
        <v/>
      </c>
      <c r="Q472" s="359" t="s">
        <v>4381</v>
      </c>
    </row>
    <row r="473" spans="1:17" x14ac:dyDescent="0.35">
      <c r="A473" t="s">
        <v>2662</v>
      </c>
      <c r="E473" t="str">
        <f>_xlfn.XLOOKUP(F473,'Raw Data'!$I$4:$I$5000,'Raw Data'!$D$4:$D$5000,"*** Mnemonic not found ***",0)</f>
        <v>*** Mnemonic not found ***</v>
      </c>
      <c r="F473" t="str">
        <f t="shared" si="194"/>
        <v>SUCMOTH4BBB_LESS1__</v>
      </c>
      <c r="H473" s="9" t="s">
        <v>1137</v>
      </c>
      <c r="K473" s="9">
        <f>K468</f>
        <v>180</v>
      </c>
      <c r="L473" s="9" t="s">
        <v>1375</v>
      </c>
      <c r="M473" s="9" t="str">
        <f t="shared" si="199"/>
        <v>Input!I180</v>
      </c>
      <c r="N473" s="9">
        <f>_xlfn.XLOOKUP(F473,'Raw Data'!$I$4:$I$5000,'Raw Data'!$E$4:$E$5000,100,0)</f>
        <v>100</v>
      </c>
      <c r="O473" s="9" t="str">
        <f>IF(N473=0,_xlfn.XLOOKUP(F473,'Raw Data'!$I$4:$I$5000,'Raw Data'!$H$4:$H$5000,"",0),"")</f>
        <v/>
      </c>
      <c r="P473" s="9" t="str" cm="1">
        <f t="array" aca="1" ref="P473" ca="1">IF(INDIRECT(M473) = "","",INDIRECT(M473))</f>
        <v/>
      </c>
      <c r="Q473" s="359" t="s">
        <v>4381</v>
      </c>
    </row>
    <row r="474" spans="1:17" x14ac:dyDescent="0.35">
      <c r="A474" t="s">
        <v>2663</v>
      </c>
      <c r="E474" t="str">
        <f>_xlfn.XLOOKUP(F474,'Raw Data'!$I$4:$I$5000,'Raw Data'!$D$4:$D$5000,"*** Mnemonic not found ***",0)</f>
        <v>*** Mnemonic not found ***</v>
      </c>
      <c r="F474" t="str">
        <f t="shared" si="194"/>
        <v>SUCMOTH4BBB_1TO5__</v>
      </c>
      <c r="H474" s="9" t="s">
        <v>1137</v>
      </c>
      <c r="K474" s="9">
        <f>K473+1</f>
        <v>181</v>
      </c>
      <c r="L474" s="9" t="str">
        <f t="shared" ref="L474:L477" si="204">L473</f>
        <v>I</v>
      </c>
      <c r="M474" s="9" t="str">
        <f t="shared" si="199"/>
        <v>Input!I181</v>
      </c>
      <c r="N474" s="9">
        <f>_xlfn.XLOOKUP(F474,'Raw Data'!$I$4:$I$5000,'Raw Data'!$E$4:$E$5000,100,0)</f>
        <v>100</v>
      </c>
      <c r="O474" s="9" t="str">
        <f>IF(N474=0,_xlfn.XLOOKUP(F474,'Raw Data'!$I$4:$I$5000,'Raw Data'!$H$4:$H$5000,"",0),"")</f>
        <v/>
      </c>
      <c r="P474" s="9" t="str" cm="1">
        <f t="array" aca="1" ref="P474" ca="1">IF(INDIRECT(M474) = "","",INDIRECT(M474))</f>
        <v/>
      </c>
      <c r="Q474" s="359" t="s">
        <v>4381</v>
      </c>
    </row>
    <row r="475" spans="1:17" x14ac:dyDescent="0.35">
      <c r="A475" t="s">
        <v>2664</v>
      </c>
      <c r="E475" t="str">
        <f>_xlfn.XLOOKUP(F475,'Raw Data'!$I$4:$I$5000,'Raw Data'!$D$4:$D$5000,"*** Mnemonic not found ***",0)</f>
        <v>*** Mnemonic not found ***</v>
      </c>
      <c r="F475" t="str">
        <f t="shared" si="194"/>
        <v>SUCMOTH4BBB_5TO10__</v>
      </c>
      <c r="H475" s="9" t="s">
        <v>1137</v>
      </c>
      <c r="K475" s="9">
        <f t="shared" ref="K475:K477" si="205">K474+1</f>
        <v>182</v>
      </c>
      <c r="L475" s="9" t="str">
        <f t="shared" si="204"/>
        <v>I</v>
      </c>
      <c r="M475" s="9" t="str">
        <f t="shared" si="199"/>
        <v>Input!I182</v>
      </c>
      <c r="N475" s="9">
        <f>_xlfn.XLOOKUP(F475,'Raw Data'!$I$4:$I$5000,'Raw Data'!$E$4:$E$5000,100,0)</f>
        <v>100</v>
      </c>
      <c r="O475" s="9" t="str">
        <f>IF(N475=0,_xlfn.XLOOKUP(F475,'Raw Data'!$I$4:$I$5000,'Raw Data'!$H$4:$H$5000,"",0),"")</f>
        <v/>
      </c>
      <c r="P475" s="9" t="str" cm="1">
        <f t="array" aca="1" ref="P475" ca="1">IF(INDIRECT(M475) = "","",INDIRECT(M475))</f>
        <v/>
      </c>
      <c r="Q475" s="359" t="s">
        <v>4381</v>
      </c>
    </row>
    <row r="476" spans="1:17" x14ac:dyDescent="0.35">
      <c r="A476" t="s">
        <v>2665</v>
      </c>
      <c r="E476" t="str">
        <f>_xlfn.XLOOKUP(F476,'Raw Data'!$I$4:$I$5000,'Raw Data'!$D$4:$D$5000,"*** Mnemonic not found ***",0)</f>
        <v>*** Mnemonic not found ***</v>
      </c>
      <c r="F476" t="str">
        <f t="shared" si="194"/>
        <v>SUCMOTH4BBB_10TO20__</v>
      </c>
      <c r="H476" s="9" t="s">
        <v>1137</v>
      </c>
      <c r="K476" s="9">
        <f t="shared" si="205"/>
        <v>183</v>
      </c>
      <c r="L476" s="9" t="str">
        <f t="shared" si="204"/>
        <v>I</v>
      </c>
      <c r="M476" s="9" t="str">
        <f t="shared" si="199"/>
        <v>Input!I183</v>
      </c>
      <c r="N476" s="9">
        <f>_xlfn.XLOOKUP(F476,'Raw Data'!$I$4:$I$5000,'Raw Data'!$E$4:$E$5000,100,0)</f>
        <v>100</v>
      </c>
      <c r="O476" s="9" t="str">
        <f>IF(N476=0,_xlfn.XLOOKUP(F476,'Raw Data'!$I$4:$I$5000,'Raw Data'!$H$4:$H$5000,"",0),"")</f>
        <v/>
      </c>
      <c r="P476" s="9" t="str" cm="1">
        <f t="array" aca="1" ref="P476" ca="1">IF(INDIRECT(M476) = "","",INDIRECT(M476))</f>
        <v/>
      </c>
      <c r="Q476" s="359" t="s">
        <v>4381</v>
      </c>
    </row>
    <row r="477" spans="1:17" x14ac:dyDescent="0.35">
      <c r="A477" t="s">
        <v>2666</v>
      </c>
      <c r="E477" t="str">
        <f>_xlfn.XLOOKUP(F477,'Raw Data'!$I$4:$I$5000,'Raw Data'!$D$4:$D$5000,"*** Mnemonic not found ***",0)</f>
        <v>*** Mnemonic not found ***</v>
      </c>
      <c r="F477" t="str">
        <f t="shared" si="194"/>
        <v>SUCMOTH4BBB_GRTR20__</v>
      </c>
      <c r="H477" s="9" t="s">
        <v>1137</v>
      </c>
      <c r="K477" s="9">
        <f t="shared" si="205"/>
        <v>184</v>
      </c>
      <c r="L477" s="9" t="str">
        <f t="shared" si="204"/>
        <v>I</v>
      </c>
      <c r="M477" s="9" t="str">
        <f t="shared" si="199"/>
        <v>Input!I184</v>
      </c>
      <c r="N477" s="9">
        <f>_xlfn.XLOOKUP(F477,'Raw Data'!$I$4:$I$5000,'Raw Data'!$E$4:$E$5000,100,0)</f>
        <v>100</v>
      </c>
      <c r="O477" s="9" t="str">
        <f>IF(N477=0,_xlfn.XLOOKUP(F477,'Raw Data'!$I$4:$I$5000,'Raw Data'!$H$4:$H$5000,"",0),"")</f>
        <v/>
      </c>
      <c r="P477" s="9" t="str" cm="1">
        <f t="array" aca="1" ref="P477" ca="1">IF(INDIRECT(M477) = "","",INDIRECT(M477))</f>
        <v/>
      </c>
      <c r="Q477" s="359" t="s">
        <v>4381</v>
      </c>
    </row>
    <row r="478" spans="1:17" x14ac:dyDescent="0.35">
      <c r="A478" t="s">
        <v>2682</v>
      </c>
      <c r="E478" t="str">
        <f>_xlfn.XLOOKUP(F478,'Raw Data'!$I$4:$I$5000,'Raw Data'!$D$4:$D$5000,"*** Mnemonic not found ***",0)</f>
        <v>*** Mnemonic not found ***</v>
      </c>
      <c r="F478" t="str">
        <f t="shared" si="194"/>
        <v>SUCMOTH4BB_LESS1__</v>
      </c>
      <c r="H478" s="9" t="s">
        <v>1137</v>
      </c>
      <c r="K478" s="9">
        <f>K473</f>
        <v>180</v>
      </c>
      <c r="L478" s="9" t="s">
        <v>1376</v>
      </c>
      <c r="M478" s="9" t="str">
        <f t="shared" si="199"/>
        <v>Input!J180</v>
      </c>
      <c r="N478" s="9">
        <f>_xlfn.XLOOKUP(F478,'Raw Data'!$I$4:$I$5000,'Raw Data'!$E$4:$E$5000,100,0)</f>
        <v>100</v>
      </c>
      <c r="O478" s="9" t="str">
        <f>IF(N478=0,_xlfn.XLOOKUP(F478,'Raw Data'!$I$4:$I$5000,'Raw Data'!$H$4:$H$5000,"",0),"")</f>
        <v/>
      </c>
      <c r="P478" s="9" t="str" cm="1">
        <f t="array" aca="1" ref="P478" ca="1">IF(INDIRECT(M478) = "","",INDIRECT(M478))</f>
        <v/>
      </c>
      <c r="Q478" s="359" t="s">
        <v>4381</v>
      </c>
    </row>
    <row r="479" spans="1:17" x14ac:dyDescent="0.35">
      <c r="A479" t="s">
        <v>2683</v>
      </c>
      <c r="E479" t="str">
        <f>_xlfn.XLOOKUP(F479,'Raw Data'!$I$4:$I$5000,'Raw Data'!$D$4:$D$5000,"*** Mnemonic not found ***",0)</f>
        <v>*** Mnemonic not found ***</v>
      </c>
      <c r="F479" t="str">
        <f t="shared" si="194"/>
        <v>SUCMOTH4BB_1TO5__</v>
      </c>
      <c r="H479" s="9" t="s">
        <v>1137</v>
      </c>
      <c r="K479" s="9">
        <f>K478+1</f>
        <v>181</v>
      </c>
      <c r="L479" s="9" t="str">
        <f t="shared" ref="L479:L482" si="206">L478</f>
        <v>J</v>
      </c>
      <c r="M479" s="9" t="str">
        <f t="shared" si="199"/>
        <v>Input!J181</v>
      </c>
      <c r="N479" s="9">
        <f>_xlfn.XLOOKUP(F479,'Raw Data'!$I$4:$I$5000,'Raw Data'!$E$4:$E$5000,100,0)</f>
        <v>100</v>
      </c>
      <c r="O479" s="9" t="str">
        <f>IF(N479=0,_xlfn.XLOOKUP(F479,'Raw Data'!$I$4:$I$5000,'Raw Data'!$H$4:$H$5000,"",0),"")</f>
        <v/>
      </c>
      <c r="P479" s="9" t="str" cm="1">
        <f t="array" aca="1" ref="P479" ca="1">IF(INDIRECT(M479) = "","",INDIRECT(M479))</f>
        <v/>
      </c>
      <c r="Q479" s="359" t="s">
        <v>4381</v>
      </c>
    </row>
    <row r="480" spans="1:17" x14ac:dyDescent="0.35">
      <c r="A480" t="s">
        <v>2684</v>
      </c>
      <c r="E480" t="str">
        <f>_xlfn.XLOOKUP(F480,'Raw Data'!$I$4:$I$5000,'Raw Data'!$D$4:$D$5000,"*** Mnemonic not found ***",0)</f>
        <v>*** Mnemonic not found ***</v>
      </c>
      <c r="F480" t="str">
        <f t="shared" si="194"/>
        <v>SUCMOTH4BB_5TO10__</v>
      </c>
      <c r="H480" s="9" t="s">
        <v>1137</v>
      </c>
      <c r="K480" s="9">
        <f t="shared" ref="K480:K482" si="207">K479+1</f>
        <v>182</v>
      </c>
      <c r="L480" s="9" t="str">
        <f t="shared" si="206"/>
        <v>J</v>
      </c>
      <c r="M480" s="9" t="str">
        <f t="shared" si="199"/>
        <v>Input!J182</v>
      </c>
      <c r="N480" s="9">
        <f>_xlfn.XLOOKUP(F480,'Raw Data'!$I$4:$I$5000,'Raw Data'!$E$4:$E$5000,100,0)</f>
        <v>100</v>
      </c>
      <c r="O480" s="9" t="str">
        <f>IF(N480=0,_xlfn.XLOOKUP(F480,'Raw Data'!$I$4:$I$5000,'Raw Data'!$H$4:$H$5000,"",0),"")</f>
        <v/>
      </c>
      <c r="P480" s="9" t="str" cm="1">
        <f t="array" aca="1" ref="P480" ca="1">IF(INDIRECT(M480) = "","",INDIRECT(M480))</f>
        <v/>
      </c>
      <c r="Q480" s="359" t="s">
        <v>4381</v>
      </c>
    </row>
    <row r="481" spans="1:17" x14ac:dyDescent="0.35">
      <c r="A481" t="s">
        <v>2685</v>
      </c>
      <c r="E481" t="str">
        <f>_xlfn.XLOOKUP(F481,'Raw Data'!$I$4:$I$5000,'Raw Data'!$D$4:$D$5000,"*** Mnemonic not found ***",0)</f>
        <v>*** Mnemonic not found ***</v>
      </c>
      <c r="F481" t="str">
        <f t="shared" si="194"/>
        <v>SUCMOTH4BB_10TO20__</v>
      </c>
      <c r="H481" s="9" t="s">
        <v>1137</v>
      </c>
      <c r="K481" s="9">
        <f t="shared" si="207"/>
        <v>183</v>
      </c>
      <c r="L481" s="9" t="str">
        <f t="shared" si="206"/>
        <v>J</v>
      </c>
      <c r="M481" s="9" t="str">
        <f t="shared" si="199"/>
        <v>Input!J183</v>
      </c>
      <c r="N481" s="9">
        <f>_xlfn.XLOOKUP(F481,'Raw Data'!$I$4:$I$5000,'Raw Data'!$E$4:$E$5000,100,0)</f>
        <v>100</v>
      </c>
      <c r="O481" s="9" t="str">
        <f>IF(N481=0,_xlfn.XLOOKUP(F481,'Raw Data'!$I$4:$I$5000,'Raw Data'!$H$4:$H$5000,"",0),"")</f>
        <v/>
      </c>
      <c r="P481" s="9" t="str" cm="1">
        <f t="array" aca="1" ref="P481" ca="1">IF(INDIRECT(M481) = "","",INDIRECT(M481))</f>
        <v/>
      </c>
      <c r="Q481" s="359" t="s">
        <v>4381</v>
      </c>
    </row>
    <row r="482" spans="1:17" x14ac:dyDescent="0.35">
      <c r="A482" t="s">
        <v>2686</v>
      </c>
      <c r="E482" t="str">
        <f>_xlfn.XLOOKUP(F482,'Raw Data'!$I$4:$I$5000,'Raw Data'!$D$4:$D$5000,"*** Mnemonic not found ***",0)</f>
        <v>*** Mnemonic not found ***</v>
      </c>
      <c r="F482" t="str">
        <f t="shared" si="194"/>
        <v>SUCMOTH4BB_GRTR20__</v>
      </c>
      <c r="H482" s="9" t="s">
        <v>1137</v>
      </c>
      <c r="K482" s="9">
        <f t="shared" si="207"/>
        <v>184</v>
      </c>
      <c r="L482" s="9" t="str">
        <f t="shared" si="206"/>
        <v>J</v>
      </c>
      <c r="M482" s="9" t="str">
        <f t="shared" si="199"/>
        <v>Input!J184</v>
      </c>
      <c r="N482" s="9">
        <f>_xlfn.XLOOKUP(F482,'Raw Data'!$I$4:$I$5000,'Raw Data'!$E$4:$E$5000,100,0)</f>
        <v>100</v>
      </c>
      <c r="O482" s="9" t="str">
        <f>IF(N482=0,_xlfn.XLOOKUP(F482,'Raw Data'!$I$4:$I$5000,'Raw Data'!$H$4:$H$5000,"",0),"")</f>
        <v/>
      </c>
      <c r="P482" s="9" t="str" cm="1">
        <f t="array" aca="1" ref="P482" ca="1">IF(INDIRECT(M482) = "","",INDIRECT(M482))</f>
        <v/>
      </c>
      <c r="Q482" s="359" t="s">
        <v>4381</v>
      </c>
    </row>
    <row r="483" spans="1:17" x14ac:dyDescent="0.35">
      <c r="A483" t="s">
        <v>2702</v>
      </c>
      <c r="E483" t="str">
        <f>_xlfn.XLOOKUP(F483,'Raw Data'!$I$4:$I$5000,'Raw Data'!$D$4:$D$5000,"*** Mnemonic not found ***",0)</f>
        <v>*** Mnemonic not found ***</v>
      </c>
      <c r="F483" t="str">
        <f t="shared" si="194"/>
        <v>SUCMOTH4B_LESS1__</v>
      </c>
      <c r="H483" s="9" t="s">
        <v>1137</v>
      </c>
      <c r="K483" s="9">
        <f>K478</f>
        <v>180</v>
      </c>
      <c r="L483" s="9" t="s">
        <v>1377</v>
      </c>
      <c r="M483" s="9" t="str">
        <f t="shared" si="199"/>
        <v>Input!K180</v>
      </c>
      <c r="N483" s="9">
        <f>_xlfn.XLOOKUP(F483,'Raw Data'!$I$4:$I$5000,'Raw Data'!$E$4:$E$5000,100,0)</f>
        <v>100</v>
      </c>
      <c r="O483" s="9" t="str">
        <f>IF(N483=0,_xlfn.XLOOKUP(F483,'Raw Data'!$I$4:$I$5000,'Raw Data'!$H$4:$H$5000,"",0),"")</f>
        <v/>
      </c>
      <c r="P483" s="9" t="str" cm="1">
        <f t="array" aca="1" ref="P483" ca="1">IF(INDIRECT(M483) = "","",INDIRECT(M483))</f>
        <v/>
      </c>
      <c r="Q483" s="359" t="s">
        <v>4381</v>
      </c>
    </row>
    <row r="484" spans="1:17" x14ac:dyDescent="0.35">
      <c r="A484" t="s">
        <v>2703</v>
      </c>
      <c r="E484" t="str">
        <f>_xlfn.XLOOKUP(F484,'Raw Data'!$I$4:$I$5000,'Raw Data'!$D$4:$D$5000,"*** Mnemonic not found ***",0)</f>
        <v>*** Mnemonic not found ***</v>
      </c>
      <c r="F484" t="str">
        <f t="shared" si="194"/>
        <v>SUCMOTH4B_1TO5__</v>
      </c>
      <c r="H484" s="9" t="s">
        <v>1137</v>
      </c>
      <c r="K484" s="9">
        <f>K483+1</f>
        <v>181</v>
      </c>
      <c r="L484" s="9" t="str">
        <f t="shared" ref="L484:L487" si="208">L483</f>
        <v>K</v>
      </c>
      <c r="M484" s="9" t="str">
        <f t="shared" si="199"/>
        <v>Input!K181</v>
      </c>
      <c r="N484" s="9">
        <f>_xlfn.XLOOKUP(F484,'Raw Data'!$I$4:$I$5000,'Raw Data'!$E$4:$E$5000,100,0)</f>
        <v>100</v>
      </c>
      <c r="O484" s="9" t="str">
        <f>IF(N484=0,_xlfn.XLOOKUP(F484,'Raw Data'!$I$4:$I$5000,'Raw Data'!$H$4:$H$5000,"",0),"")</f>
        <v/>
      </c>
      <c r="P484" s="9" t="str" cm="1">
        <f t="array" aca="1" ref="P484" ca="1">IF(INDIRECT(M484) = "","",INDIRECT(M484))</f>
        <v/>
      </c>
      <c r="Q484" s="359" t="s">
        <v>4381</v>
      </c>
    </row>
    <row r="485" spans="1:17" x14ac:dyDescent="0.35">
      <c r="A485" t="s">
        <v>2704</v>
      </c>
      <c r="E485" t="str">
        <f>_xlfn.XLOOKUP(F485,'Raw Data'!$I$4:$I$5000,'Raw Data'!$D$4:$D$5000,"*** Mnemonic not found ***",0)</f>
        <v>*** Mnemonic not found ***</v>
      </c>
      <c r="F485" t="str">
        <f t="shared" si="194"/>
        <v>SUCMOTH4B_5TO10__</v>
      </c>
      <c r="H485" s="9" t="s">
        <v>1137</v>
      </c>
      <c r="K485" s="9">
        <f t="shared" ref="K485:K487" si="209">K484+1</f>
        <v>182</v>
      </c>
      <c r="L485" s="9" t="str">
        <f t="shared" si="208"/>
        <v>K</v>
      </c>
      <c r="M485" s="9" t="str">
        <f t="shared" si="199"/>
        <v>Input!K182</v>
      </c>
      <c r="N485" s="9">
        <f>_xlfn.XLOOKUP(F485,'Raw Data'!$I$4:$I$5000,'Raw Data'!$E$4:$E$5000,100,0)</f>
        <v>100</v>
      </c>
      <c r="O485" s="9" t="str">
        <f>IF(N485=0,_xlfn.XLOOKUP(F485,'Raw Data'!$I$4:$I$5000,'Raw Data'!$H$4:$H$5000,"",0),"")</f>
        <v/>
      </c>
      <c r="P485" s="9" t="str" cm="1">
        <f t="array" aca="1" ref="P485" ca="1">IF(INDIRECT(M485) = "","",INDIRECT(M485))</f>
        <v/>
      </c>
      <c r="Q485" s="359" t="s">
        <v>4381</v>
      </c>
    </row>
    <row r="486" spans="1:17" x14ac:dyDescent="0.35">
      <c r="A486" t="s">
        <v>2705</v>
      </c>
      <c r="E486" t="str">
        <f>_xlfn.XLOOKUP(F486,'Raw Data'!$I$4:$I$5000,'Raw Data'!$D$4:$D$5000,"*** Mnemonic not found ***",0)</f>
        <v>*** Mnemonic not found ***</v>
      </c>
      <c r="F486" t="str">
        <f t="shared" si="194"/>
        <v>SUCMOTH4B_10TO20__</v>
      </c>
      <c r="H486" s="9" t="s">
        <v>1137</v>
      </c>
      <c r="K486" s="9">
        <f t="shared" si="209"/>
        <v>183</v>
      </c>
      <c r="L486" s="9" t="str">
        <f t="shared" si="208"/>
        <v>K</v>
      </c>
      <c r="M486" s="9" t="str">
        <f t="shared" si="199"/>
        <v>Input!K183</v>
      </c>
      <c r="N486" s="9">
        <f>_xlfn.XLOOKUP(F486,'Raw Data'!$I$4:$I$5000,'Raw Data'!$E$4:$E$5000,100,0)</f>
        <v>100</v>
      </c>
      <c r="O486" s="9" t="str">
        <f>IF(N486=0,_xlfn.XLOOKUP(F486,'Raw Data'!$I$4:$I$5000,'Raw Data'!$H$4:$H$5000,"",0),"")</f>
        <v/>
      </c>
      <c r="P486" s="9" t="str" cm="1">
        <f t="array" aca="1" ref="P486" ca="1">IF(INDIRECT(M486) = "","",INDIRECT(M486))</f>
        <v/>
      </c>
      <c r="Q486" s="359" t="s">
        <v>4381</v>
      </c>
    </row>
    <row r="487" spans="1:17" x14ac:dyDescent="0.35">
      <c r="A487" t="s">
        <v>2706</v>
      </c>
      <c r="E487" t="str">
        <f>_xlfn.XLOOKUP(F487,'Raw Data'!$I$4:$I$5000,'Raw Data'!$D$4:$D$5000,"*** Mnemonic not found ***",0)</f>
        <v>*** Mnemonic not found ***</v>
      </c>
      <c r="F487" t="str">
        <f t="shared" si="194"/>
        <v>SUCMOTH4B_GRTR20__</v>
      </c>
      <c r="H487" s="9" t="s">
        <v>1137</v>
      </c>
      <c r="K487" s="9">
        <f t="shared" si="209"/>
        <v>184</v>
      </c>
      <c r="L487" s="9" t="str">
        <f t="shared" si="208"/>
        <v>K</v>
      </c>
      <c r="M487" s="9" t="str">
        <f t="shared" si="199"/>
        <v>Input!K184</v>
      </c>
      <c r="N487" s="9">
        <f>_xlfn.XLOOKUP(F487,'Raw Data'!$I$4:$I$5000,'Raw Data'!$E$4:$E$5000,100,0)</f>
        <v>100</v>
      </c>
      <c r="O487" s="9" t="str">
        <f>IF(N487=0,_xlfn.XLOOKUP(F487,'Raw Data'!$I$4:$I$5000,'Raw Data'!$H$4:$H$5000,"",0),"")</f>
        <v/>
      </c>
      <c r="P487" s="9" t="str" cm="1">
        <f t="array" aca="1" ref="P487" ca="1">IF(INDIRECT(M487) = "","",INDIRECT(M487))</f>
        <v/>
      </c>
      <c r="Q487" s="359" t="s">
        <v>4381</v>
      </c>
    </row>
    <row r="488" spans="1:17" x14ac:dyDescent="0.35">
      <c r="A488" t="s">
        <v>2722</v>
      </c>
      <c r="E488" t="str">
        <f>_xlfn.XLOOKUP(F488,'Raw Data'!$I$4:$I$5000,'Raw Data'!$D$4:$D$5000,"*** Mnemonic not found ***",0)</f>
        <v>*** Mnemonic not found ***</v>
      </c>
      <c r="F488" t="str">
        <f t="shared" si="194"/>
        <v>SUCMOTH4CCC_LESS1__</v>
      </c>
      <c r="H488" s="9" t="s">
        <v>1137</v>
      </c>
      <c r="K488" s="9">
        <f>K483</f>
        <v>180</v>
      </c>
      <c r="L488" s="9" t="s">
        <v>1378</v>
      </c>
      <c r="M488" s="9" t="str">
        <f t="shared" si="199"/>
        <v>Input!L180</v>
      </c>
      <c r="N488" s="9">
        <f>_xlfn.XLOOKUP(F488,'Raw Data'!$I$4:$I$5000,'Raw Data'!$E$4:$E$5000,100,0)</f>
        <v>100</v>
      </c>
      <c r="O488" s="9" t="str">
        <f>IF(N488=0,_xlfn.XLOOKUP(F488,'Raw Data'!$I$4:$I$5000,'Raw Data'!$H$4:$H$5000,"",0),"")</f>
        <v/>
      </c>
      <c r="P488" s="9" t="str" cm="1">
        <f t="array" aca="1" ref="P488" ca="1">IF(INDIRECT(M488) = "","",INDIRECT(M488))</f>
        <v/>
      </c>
      <c r="Q488" s="359" t="s">
        <v>4381</v>
      </c>
    </row>
    <row r="489" spans="1:17" x14ac:dyDescent="0.35">
      <c r="A489" t="s">
        <v>2723</v>
      </c>
      <c r="E489" t="str">
        <f>_xlfn.XLOOKUP(F489,'Raw Data'!$I$4:$I$5000,'Raw Data'!$D$4:$D$5000,"*** Mnemonic not found ***",0)</f>
        <v>*** Mnemonic not found ***</v>
      </c>
      <c r="F489" t="str">
        <f t="shared" si="194"/>
        <v>SUCMOTH4CCC_1TO5__</v>
      </c>
      <c r="H489" s="9" t="s">
        <v>1137</v>
      </c>
      <c r="K489" s="9">
        <f>K488+1</f>
        <v>181</v>
      </c>
      <c r="L489" s="9" t="str">
        <f t="shared" ref="L489:L492" si="210">L488</f>
        <v>L</v>
      </c>
      <c r="M489" s="9" t="str">
        <f t="shared" si="199"/>
        <v>Input!L181</v>
      </c>
      <c r="N489" s="9">
        <f>_xlfn.XLOOKUP(F489,'Raw Data'!$I$4:$I$5000,'Raw Data'!$E$4:$E$5000,100,0)</f>
        <v>100</v>
      </c>
      <c r="O489" s="9" t="str">
        <f>IF(N489=0,_xlfn.XLOOKUP(F489,'Raw Data'!$I$4:$I$5000,'Raw Data'!$H$4:$H$5000,"",0),"")</f>
        <v/>
      </c>
      <c r="P489" s="9" t="str" cm="1">
        <f t="array" aca="1" ref="P489" ca="1">IF(INDIRECT(M489) = "","",INDIRECT(M489))</f>
        <v/>
      </c>
      <c r="Q489" s="359" t="s">
        <v>4381</v>
      </c>
    </row>
    <row r="490" spans="1:17" x14ac:dyDescent="0.35">
      <c r="A490" t="s">
        <v>2724</v>
      </c>
      <c r="E490" t="str">
        <f>_xlfn.XLOOKUP(F490,'Raw Data'!$I$4:$I$5000,'Raw Data'!$D$4:$D$5000,"*** Mnemonic not found ***",0)</f>
        <v>*** Mnemonic not found ***</v>
      </c>
      <c r="F490" t="str">
        <f t="shared" si="194"/>
        <v>SUCMOTH4CCC_5TO10__</v>
      </c>
      <c r="H490" s="9" t="s">
        <v>1137</v>
      </c>
      <c r="K490" s="9">
        <f t="shared" ref="K490:K492" si="211">K489+1</f>
        <v>182</v>
      </c>
      <c r="L490" s="9" t="str">
        <f t="shared" si="210"/>
        <v>L</v>
      </c>
      <c r="M490" s="9" t="str">
        <f t="shared" si="199"/>
        <v>Input!L182</v>
      </c>
      <c r="N490" s="9">
        <f>_xlfn.XLOOKUP(F490,'Raw Data'!$I$4:$I$5000,'Raw Data'!$E$4:$E$5000,100,0)</f>
        <v>100</v>
      </c>
      <c r="O490" s="9" t="str">
        <f>IF(N490=0,_xlfn.XLOOKUP(F490,'Raw Data'!$I$4:$I$5000,'Raw Data'!$H$4:$H$5000,"",0),"")</f>
        <v/>
      </c>
      <c r="P490" s="9" t="str" cm="1">
        <f t="array" aca="1" ref="P490" ca="1">IF(INDIRECT(M490) = "","",INDIRECT(M490))</f>
        <v/>
      </c>
      <c r="Q490" s="359" t="s">
        <v>4381</v>
      </c>
    </row>
    <row r="491" spans="1:17" x14ac:dyDescent="0.35">
      <c r="A491" t="s">
        <v>2725</v>
      </c>
      <c r="E491" t="str">
        <f>_xlfn.XLOOKUP(F491,'Raw Data'!$I$4:$I$5000,'Raw Data'!$D$4:$D$5000,"*** Mnemonic not found ***",0)</f>
        <v>*** Mnemonic not found ***</v>
      </c>
      <c r="F491" t="str">
        <f t="shared" si="194"/>
        <v>SUCMOTH4CCC_10TO20__</v>
      </c>
      <c r="H491" s="9" t="s">
        <v>1137</v>
      </c>
      <c r="K491" s="9">
        <f t="shared" si="211"/>
        <v>183</v>
      </c>
      <c r="L491" s="9" t="str">
        <f t="shared" si="210"/>
        <v>L</v>
      </c>
      <c r="M491" s="9" t="str">
        <f t="shared" si="199"/>
        <v>Input!L183</v>
      </c>
      <c r="N491" s="9">
        <f>_xlfn.XLOOKUP(F491,'Raw Data'!$I$4:$I$5000,'Raw Data'!$E$4:$E$5000,100,0)</f>
        <v>100</v>
      </c>
      <c r="O491" s="9" t="str">
        <f>IF(N491=0,_xlfn.XLOOKUP(F491,'Raw Data'!$I$4:$I$5000,'Raw Data'!$H$4:$H$5000,"",0),"")</f>
        <v/>
      </c>
      <c r="P491" s="9" t="str" cm="1">
        <f t="array" aca="1" ref="P491" ca="1">IF(INDIRECT(M491) = "","",INDIRECT(M491))</f>
        <v/>
      </c>
      <c r="Q491" s="359" t="s">
        <v>4381</v>
      </c>
    </row>
    <row r="492" spans="1:17" x14ac:dyDescent="0.35">
      <c r="A492" t="s">
        <v>2726</v>
      </c>
      <c r="E492" t="str">
        <f>_xlfn.XLOOKUP(F492,'Raw Data'!$I$4:$I$5000,'Raw Data'!$D$4:$D$5000,"*** Mnemonic not found ***",0)</f>
        <v>*** Mnemonic not found ***</v>
      </c>
      <c r="F492" t="str">
        <f t="shared" si="194"/>
        <v>SUCMOTH4CCC_GRTR20__</v>
      </c>
      <c r="H492" s="9" t="s">
        <v>1137</v>
      </c>
      <c r="K492" s="9">
        <f t="shared" si="211"/>
        <v>184</v>
      </c>
      <c r="L492" s="9" t="str">
        <f t="shared" si="210"/>
        <v>L</v>
      </c>
      <c r="M492" s="9" t="str">
        <f t="shared" si="199"/>
        <v>Input!L184</v>
      </c>
      <c r="N492" s="9">
        <f>_xlfn.XLOOKUP(F492,'Raw Data'!$I$4:$I$5000,'Raw Data'!$E$4:$E$5000,100,0)</f>
        <v>100</v>
      </c>
      <c r="O492" s="9" t="str">
        <f>IF(N492=0,_xlfn.XLOOKUP(F492,'Raw Data'!$I$4:$I$5000,'Raw Data'!$H$4:$H$5000,"",0),"")</f>
        <v/>
      </c>
      <c r="P492" s="9" t="str" cm="1">
        <f t="array" aca="1" ref="P492" ca="1">IF(INDIRECT(M492) = "","",INDIRECT(M492))</f>
        <v/>
      </c>
      <c r="Q492" s="359" t="s">
        <v>4381</v>
      </c>
    </row>
    <row r="493" spans="1:17" x14ac:dyDescent="0.35">
      <c r="A493" t="s">
        <v>1478</v>
      </c>
      <c r="E493" t="str">
        <f>_xlfn.XLOOKUP(F493,'Raw Data'!$I$4:$I$5000,'Raw Data'!$D$4:$D$5000,"*** Mnemonic not found ***",0)</f>
        <v>*** Mnemonic not found ***</v>
      </c>
      <c r="F493" t="str">
        <f t="shared" si="194"/>
        <v>SUCMRUR1NFCERG1_LESS1__</v>
      </c>
      <c r="G493" t="s">
        <v>4445</v>
      </c>
      <c r="H493" s="9" t="s">
        <v>1137</v>
      </c>
      <c r="I493" s="289">
        <f>ROW(section_bonds_sp_unrated_step_4)</f>
        <v>187</v>
      </c>
      <c r="J493" s="9">
        <v>5</v>
      </c>
      <c r="K493" s="9">
        <f>I493+J493</f>
        <v>192</v>
      </c>
      <c r="L493" s="9" t="s">
        <v>1121</v>
      </c>
      <c r="M493" s="9" t="str">
        <f t="shared" si="199"/>
        <v>Input!C192</v>
      </c>
      <c r="N493" s="9">
        <f>_xlfn.XLOOKUP(F493,'Raw Data'!$I$4:$I$5000,'Raw Data'!$E$4:$E$5000,100,0)</f>
        <v>100</v>
      </c>
      <c r="O493" s="9" t="str">
        <f>IF(N493=0,_xlfn.XLOOKUP(F493,'Raw Data'!$I$4:$I$5000,'Raw Data'!$H$4:$H$5000,"",0),"")</f>
        <v/>
      </c>
      <c r="P493" s="9" t="str" cm="1">
        <f t="array" aca="1" ref="P493" ca="1">IF(INDIRECT(M493) = "","",INDIRECT(M493))</f>
        <v/>
      </c>
      <c r="Q493" s="359" t="s">
        <v>4381</v>
      </c>
    </row>
    <row r="494" spans="1:17" x14ac:dyDescent="0.35">
      <c r="A494" t="s">
        <v>1479</v>
      </c>
      <c r="E494" t="str">
        <f>_xlfn.XLOOKUP(F494,'Raw Data'!$I$4:$I$5000,'Raw Data'!$D$4:$D$5000,"*** Mnemonic not found ***",0)</f>
        <v>*** Mnemonic not found ***</v>
      </c>
      <c r="F494" t="str">
        <f t="shared" si="194"/>
        <v>SUCMRUR1NFCERG2_LESS1__</v>
      </c>
      <c r="H494" s="9" t="s">
        <v>1137</v>
      </c>
      <c r="K494" s="9">
        <f>K493</f>
        <v>192</v>
      </c>
      <c r="L494" s="9" t="s">
        <v>1123</v>
      </c>
      <c r="M494" s="9" t="str">
        <f t="shared" si="199"/>
        <v>Input!D192</v>
      </c>
      <c r="N494" s="9">
        <f>_xlfn.XLOOKUP(F494,'Raw Data'!$I$4:$I$5000,'Raw Data'!$E$4:$E$5000,100,0)</f>
        <v>100</v>
      </c>
      <c r="O494" s="9" t="str">
        <f>IF(N494=0,_xlfn.XLOOKUP(F494,'Raw Data'!$I$4:$I$5000,'Raw Data'!$H$4:$H$5000,"",0),"")</f>
        <v/>
      </c>
      <c r="P494" s="9" t="str" cm="1">
        <f t="array" aca="1" ref="P494" ca="1">IF(INDIRECT(M494) = "","",INDIRECT(M494))</f>
        <v/>
      </c>
      <c r="Q494" s="359" t="s">
        <v>4381</v>
      </c>
    </row>
    <row r="495" spans="1:17" x14ac:dyDescent="0.35">
      <c r="A495" t="s">
        <v>1480</v>
      </c>
      <c r="E495" t="str">
        <f>_xlfn.XLOOKUP(F495,'Raw Data'!$I$4:$I$5000,'Raw Data'!$D$4:$D$5000,"*** Mnemonic not found ***",0)</f>
        <v>*** Mnemonic not found ***</v>
      </c>
      <c r="F495" t="str">
        <f t="shared" si="194"/>
        <v>SUCMRUR1NFCERG3_LESS1__</v>
      </c>
      <c r="H495" s="9" t="s">
        <v>1137</v>
      </c>
      <c r="K495" s="9">
        <f t="shared" ref="K495:K503" si="212">K494</f>
        <v>192</v>
      </c>
      <c r="L495" s="9" t="s">
        <v>1122</v>
      </c>
      <c r="M495" s="9" t="str">
        <f t="shared" si="199"/>
        <v>Input!E192</v>
      </c>
      <c r="N495" s="9">
        <f>_xlfn.XLOOKUP(F495,'Raw Data'!$I$4:$I$5000,'Raw Data'!$E$4:$E$5000,100,0)</f>
        <v>100</v>
      </c>
      <c r="O495" s="9" t="str">
        <f>IF(N495=0,_xlfn.XLOOKUP(F495,'Raw Data'!$I$4:$I$5000,'Raw Data'!$H$4:$H$5000,"",0),"")</f>
        <v/>
      </c>
      <c r="P495" s="9" t="str" cm="1">
        <f t="array" aca="1" ref="P495" ca="1">IF(INDIRECT(M495) = "","",INDIRECT(M495))</f>
        <v/>
      </c>
      <c r="Q495" s="359" t="s">
        <v>4381</v>
      </c>
    </row>
    <row r="496" spans="1:17" x14ac:dyDescent="0.35">
      <c r="A496" t="s">
        <v>1481</v>
      </c>
      <c r="E496" t="str">
        <f>_xlfn.XLOOKUP(F496,'Raw Data'!$I$4:$I$5000,'Raw Data'!$D$4:$D$5000,"*** Mnemonic not found ***",0)</f>
        <v>*** Mnemonic not found ***</v>
      </c>
      <c r="F496" t="str">
        <f t="shared" si="194"/>
        <v>SUCMRUR1NFCERG4_LESS1__</v>
      </c>
      <c r="H496" s="9" t="s">
        <v>1137</v>
      </c>
      <c r="K496" s="9">
        <f t="shared" si="212"/>
        <v>192</v>
      </c>
      <c r="L496" s="9" t="s">
        <v>1124</v>
      </c>
      <c r="M496" s="9" t="str">
        <f t="shared" si="199"/>
        <v>Input!F192</v>
      </c>
      <c r="N496" s="9">
        <f>_xlfn.XLOOKUP(F496,'Raw Data'!$I$4:$I$5000,'Raw Data'!$E$4:$E$5000,100,0)</f>
        <v>100</v>
      </c>
      <c r="O496" s="9" t="str">
        <f>IF(N496=0,_xlfn.XLOOKUP(F496,'Raw Data'!$I$4:$I$5000,'Raw Data'!$H$4:$H$5000,"",0),"")</f>
        <v/>
      </c>
      <c r="P496" s="9" t="str" cm="1">
        <f t="array" aca="1" ref="P496" ca="1">IF(INDIRECT(M496) = "","",INDIRECT(M496))</f>
        <v/>
      </c>
      <c r="Q496" s="359" t="s">
        <v>4381</v>
      </c>
    </row>
    <row r="497" spans="1:17" x14ac:dyDescent="0.35">
      <c r="A497" t="s">
        <v>1482</v>
      </c>
      <c r="E497" t="str">
        <f>_xlfn.XLOOKUP(F497,'Raw Data'!$I$4:$I$5000,'Raw Data'!$D$4:$D$5000,"*** Mnemonic not found ***",0)</f>
        <v>*** Mnemonic not found ***</v>
      </c>
      <c r="F497" t="str">
        <f t="shared" si="194"/>
        <v>SUCMRUR1NFCERG5_LESS1__</v>
      </c>
      <c r="H497" s="9" t="s">
        <v>1137</v>
      </c>
      <c r="K497" s="9">
        <f t="shared" si="212"/>
        <v>192</v>
      </c>
      <c r="L497" s="9" t="s">
        <v>1145</v>
      </c>
      <c r="M497" s="9" t="str">
        <f t="shared" si="199"/>
        <v>Input!G192</v>
      </c>
      <c r="N497" s="9">
        <f>_xlfn.XLOOKUP(F497,'Raw Data'!$I$4:$I$5000,'Raw Data'!$E$4:$E$5000,100,0)</f>
        <v>100</v>
      </c>
      <c r="O497" s="9" t="str">
        <f>IF(N497=0,_xlfn.XLOOKUP(F497,'Raw Data'!$I$4:$I$5000,'Raw Data'!$H$4:$H$5000,"",0),"")</f>
        <v/>
      </c>
      <c r="P497" s="9" t="str" cm="1">
        <f t="array" aca="1" ref="P497" ca="1">IF(INDIRECT(M497) = "","",INDIRECT(M497))</f>
        <v/>
      </c>
      <c r="Q497" s="359" t="s">
        <v>4381</v>
      </c>
    </row>
    <row r="498" spans="1:17" x14ac:dyDescent="0.35">
      <c r="A498" t="s">
        <v>1483</v>
      </c>
      <c r="E498" t="str">
        <f>_xlfn.XLOOKUP(F498,'Raw Data'!$I$4:$I$5000,'Raw Data'!$D$4:$D$5000,"*** Mnemonic not found ***",0)</f>
        <v>*** Mnemonic not found ***</v>
      </c>
      <c r="F498" t="str">
        <f t="shared" si="194"/>
        <v>SUCMRUR1NFCERG6_LESS1__</v>
      </c>
      <c r="H498" s="9" t="s">
        <v>1137</v>
      </c>
      <c r="K498" s="9">
        <f t="shared" si="212"/>
        <v>192</v>
      </c>
      <c r="L498" s="9" t="s">
        <v>1144</v>
      </c>
      <c r="M498" s="9" t="str">
        <f t="shared" si="199"/>
        <v>Input!H192</v>
      </c>
      <c r="N498" s="9">
        <f>_xlfn.XLOOKUP(F498,'Raw Data'!$I$4:$I$5000,'Raw Data'!$E$4:$E$5000,100,0)</f>
        <v>100</v>
      </c>
      <c r="O498" s="9" t="str">
        <f>IF(N498=0,_xlfn.XLOOKUP(F498,'Raw Data'!$I$4:$I$5000,'Raw Data'!$H$4:$H$5000,"",0),"")</f>
        <v/>
      </c>
      <c r="P498" s="9" t="str" cm="1">
        <f t="array" aca="1" ref="P498" ca="1">IF(INDIRECT(M498) = "","",INDIRECT(M498))</f>
        <v/>
      </c>
      <c r="Q498" s="359" t="s">
        <v>4381</v>
      </c>
    </row>
    <row r="499" spans="1:17" x14ac:dyDescent="0.35">
      <c r="A499" t="s">
        <v>1484</v>
      </c>
      <c r="E499" t="str">
        <f>_xlfn.XLOOKUP(F499,'Raw Data'!$I$4:$I$5000,'Raw Data'!$D$4:$D$5000,"*** Mnemonic not found ***",0)</f>
        <v>*** Mnemonic not found ***</v>
      </c>
      <c r="F499" t="str">
        <f t="shared" si="194"/>
        <v>SUCMRUR1NFCERG7_LESS1__</v>
      </c>
      <c r="H499" s="9" t="s">
        <v>1137</v>
      </c>
      <c r="K499" s="9">
        <f t="shared" si="212"/>
        <v>192</v>
      </c>
      <c r="L499" s="9" t="s">
        <v>1375</v>
      </c>
      <c r="M499" s="9" t="str">
        <f t="shared" si="199"/>
        <v>Input!I192</v>
      </c>
      <c r="N499" s="9">
        <f>_xlfn.XLOOKUP(F499,'Raw Data'!$I$4:$I$5000,'Raw Data'!$E$4:$E$5000,100,0)</f>
        <v>100</v>
      </c>
      <c r="O499" s="9" t="str">
        <f>IF(N499=0,_xlfn.XLOOKUP(F499,'Raw Data'!$I$4:$I$5000,'Raw Data'!$H$4:$H$5000,"",0),"")</f>
        <v/>
      </c>
      <c r="P499" s="9" t="str" cm="1">
        <f t="array" aca="1" ref="P499" ca="1">IF(INDIRECT(M499) = "","",INDIRECT(M499))</f>
        <v/>
      </c>
      <c r="Q499" s="359" t="s">
        <v>4381</v>
      </c>
    </row>
    <row r="500" spans="1:17" x14ac:dyDescent="0.35">
      <c r="A500" t="s">
        <v>1485</v>
      </c>
      <c r="E500" t="str">
        <f>_xlfn.XLOOKUP(F500,'Raw Data'!$I$4:$I$5000,'Raw Data'!$D$4:$D$5000,"*** Mnemonic not found ***",0)</f>
        <v>*** Mnemonic not found ***</v>
      </c>
      <c r="F500" t="str">
        <f t="shared" si="194"/>
        <v>SUCMRUR1NFCERG8_LESS1__</v>
      </c>
      <c r="H500" s="9" t="s">
        <v>1137</v>
      </c>
      <c r="K500" s="9">
        <f t="shared" si="212"/>
        <v>192</v>
      </c>
      <c r="L500" s="9" t="s">
        <v>1376</v>
      </c>
      <c r="M500" s="9" t="str">
        <f t="shared" si="199"/>
        <v>Input!J192</v>
      </c>
      <c r="N500" s="9">
        <f>_xlfn.XLOOKUP(F500,'Raw Data'!$I$4:$I$5000,'Raw Data'!$E$4:$E$5000,100,0)</f>
        <v>100</v>
      </c>
      <c r="O500" s="9" t="str">
        <f>IF(N500=0,_xlfn.XLOOKUP(F500,'Raw Data'!$I$4:$I$5000,'Raw Data'!$H$4:$H$5000,"",0),"")</f>
        <v/>
      </c>
      <c r="P500" s="9" t="str" cm="1">
        <f t="array" aca="1" ref="P500" ca="1">IF(INDIRECT(M500) = "","",INDIRECT(M500))</f>
        <v/>
      </c>
      <c r="Q500" s="359" t="s">
        <v>4381</v>
      </c>
    </row>
    <row r="501" spans="1:17" x14ac:dyDescent="0.35">
      <c r="A501" t="s">
        <v>1486</v>
      </c>
      <c r="E501" t="str">
        <f>_xlfn.XLOOKUP(F501,'Raw Data'!$I$4:$I$5000,'Raw Data'!$D$4:$D$5000,"*** Mnemonic not found ***",0)</f>
        <v>*** Mnemonic not found ***</v>
      </c>
      <c r="F501" t="str">
        <f t="shared" si="194"/>
        <v>SUCMRUR1NFCERG9_LESS1__</v>
      </c>
      <c r="H501" s="9" t="s">
        <v>1137</v>
      </c>
      <c r="K501" s="9">
        <f t="shared" si="212"/>
        <v>192</v>
      </c>
      <c r="L501" s="9" t="s">
        <v>1377</v>
      </c>
      <c r="M501" s="9" t="str">
        <f t="shared" si="199"/>
        <v>Input!K192</v>
      </c>
      <c r="N501" s="9">
        <f>_xlfn.XLOOKUP(F501,'Raw Data'!$I$4:$I$5000,'Raw Data'!$E$4:$E$5000,100,0)</f>
        <v>100</v>
      </c>
      <c r="O501" s="9" t="str">
        <f>IF(N501=0,_xlfn.XLOOKUP(F501,'Raw Data'!$I$4:$I$5000,'Raw Data'!$H$4:$H$5000,"",0),"")</f>
        <v/>
      </c>
      <c r="P501" s="9" t="str" cm="1">
        <f t="array" aca="1" ref="P501" ca="1">IF(INDIRECT(M501) = "","",INDIRECT(M501))</f>
        <v/>
      </c>
      <c r="Q501" s="359" t="s">
        <v>4381</v>
      </c>
    </row>
    <row r="502" spans="1:17" x14ac:dyDescent="0.35">
      <c r="A502" t="s">
        <v>1487</v>
      </c>
      <c r="E502" t="str">
        <f>_xlfn.XLOOKUP(F502,'Raw Data'!$I$4:$I$5000,'Raw Data'!$D$4:$D$5000,"*** Mnemonic not found ***",0)</f>
        <v>*** Mnemonic not found ***</v>
      </c>
      <c r="F502" t="str">
        <f t="shared" si="194"/>
        <v>SUCMRUR1NFCERG10_LESS1__</v>
      </c>
      <c r="H502" s="9" t="s">
        <v>1137</v>
      </c>
      <c r="K502" s="9">
        <f t="shared" si="212"/>
        <v>192</v>
      </c>
      <c r="L502" s="9" t="s">
        <v>1378</v>
      </c>
      <c r="M502" s="9" t="str">
        <f t="shared" si="199"/>
        <v>Input!L192</v>
      </c>
      <c r="N502" s="9">
        <f>_xlfn.XLOOKUP(F502,'Raw Data'!$I$4:$I$5000,'Raw Data'!$E$4:$E$5000,100,0)</f>
        <v>100</v>
      </c>
      <c r="O502" s="9" t="str">
        <f>IF(N502=0,_xlfn.XLOOKUP(F502,'Raw Data'!$I$4:$I$5000,'Raw Data'!$H$4:$H$5000,"",0),"")</f>
        <v/>
      </c>
      <c r="P502" s="9" t="str" cm="1">
        <f t="array" aca="1" ref="P502" ca="1">IF(INDIRECT(M502) = "","",INDIRECT(M502))</f>
        <v/>
      </c>
      <c r="Q502" s="359" t="s">
        <v>4381</v>
      </c>
    </row>
    <row r="503" spans="1:17" x14ac:dyDescent="0.35">
      <c r="A503" t="s">
        <v>1488</v>
      </c>
      <c r="E503" t="str">
        <f>_xlfn.XLOOKUP(F503,'Raw Data'!$I$4:$I$5000,'Raw Data'!$D$4:$D$5000,"*** Mnemonic not found ***",0)</f>
        <v>*** Mnemonic not found ***</v>
      </c>
      <c r="F503" t="str">
        <f t="shared" si="194"/>
        <v>SUCMRUR1NFCERGNA_LESS1__</v>
      </c>
      <c r="H503" s="9" t="s">
        <v>1137</v>
      </c>
      <c r="K503" s="9">
        <f t="shared" si="212"/>
        <v>192</v>
      </c>
      <c r="L503" s="9" t="s">
        <v>1374</v>
      </c>
      <c r="M503" s="9" t="str">
        <f t="shared" si="199"/>
        <v>Input!M192</v>
      </c>
      <c r="N503" s="9">
        <f>_xlfn.XLOOKUP(F503,'Raw Data'!$I$4:$I$5000,'Raw Data'!$E$4:$E$5000,100,0)</f>
        <v>100</v>
      </c>
      <c r="O503" s="9" t="str">
        <f>IF(N503=0,_xlfn.XLOOKUP(F503,'Raw Data'!$I$4:$I$5000,'Raw Data'!$H$4:$H$5000,"",0),"")</f>
        <v/>
      </c>
      <c r="P503" s="9" t="str" cm="1">
        <f t="array" aca="1" ref="P503" ca="1">IF(INDIRECT(M503) = "","",INDIRECT(M503))</f>
        <v/>
      </c>
      <c r="Q503" s="359" t="s">
        <v>4381</v>
      </c>
    </row>
    <row r="504" spans="1:17" x14ac:dyDescent="0.35">
      <c r="A504" t="s">
        <v>1489</v>
      </c>
      <c r="E504" t="str">
        <f>_xlfn.XLOOKUP(F504,'Raw Data'!$I$4:$I$5000,'Raw Data'!$D$4:$D$5000,"*** Mnemonic not found ***",0)</f>
        <v>*** Mnemonic not found ***</v>
      </c>
      <c r="F504" t="str">
        <f t="shared" si="194"/>
        <v>SUCMRUR1NFCERG1_1TO5__</v>
      </c>
      <c r="H504" s="9" t="s">
        <v>1137</v>
      </c>
      <c r="K504" s="9">
        <f>K493+1</f>
        <v>193</v>
      </c>
      <c r="L504" s="9" t="str">
        <f>L493</f>
        <v>C</v>
      </c>
      <c r="M504" s="9" t="str">
        <f t="shared" si="199"/>
        <v>Input!C193</v>
      </c>
      <c r="N504" s="9">
        <f>_xlfn.XLOOKUP(F504,'Raw Data'!$I$4:$I$5000,'Raw Data'!$E$4:$E$5000,100,0)</f>
        <v>100</v>
      </c>
      <c r="O504" s="9" t="str">
        <f>IF(N504=0,_xlfn.XLOOKUP(F504,'Raw Data'!$I$4:$I$5000,'Raw Data'!$H$4:$H$5000,"",0),"")</f>
        <v/>
      </c>
      <c r="P504" s="9" t="str" cm="1">
        <f t="array" aca="1" ref="P504" ca="1">IF(INDIRECT(M504) = "","",INDIRECT(M504))</f>
        <v/>
      </c>
      <c r="Q504" s="359" t="s">
        <v>4381</v>
      </c>
    </row>
    <row r="505" spans="1:17" x14ac:dyDescent="0.35">
      <c r="A505" t="s">
        <v>1493</v>
      </c>
      <c r="E505" t="str">
        <f>_xlfn.XLOOKUP(F505,'Raw Data'!$I$4:$I$5000,'Raw Data'!$D$4:$D$5000,"*** Mnemonic not found ***",0)</f>
        <v>*** Mnemonic not found ***</v>
      </c>
      <c r="F505" t="str">
        <f t="shared" si="194"/>
        <v>SUCMRUR1NFCERG2_1TO5__</v>
      </c>
      <c r="H505" s="9" t="s">
        <v>1137</v>
      </c>
      <c r="K505" s="9">
        <f t="shared" ref="K505:K547" si="213">K494+1</f>
        <v>193</v>
      </c>
      <c r="L505" s="9" t="str">
        <f t="shared" ref="L505:L547" si="214">L494</f>
        <v>D</v>
      </c>
      <c r="M505" s="9" t="str">
        <f t="shared" si="199"/>
        <v>Input!D193</v>
      </c>
      <c r="N505" s="9">
        <f>_xlfn.XLOOKUP(F505,'Raw Data'!$I$4:$I$5000,'Raw Data'!$E$4:$E$5000,100,0)</f>
        <v>100</v>
      </c>
      <c r="O505" s="9" t="str">
        <f>IF(N505=0,_xlfn.XLOOKUP(F505,'Raw Data'!$I$4:$I$5000,'Raw Data'!$H$4:$H$5000,"",0),"")</f>
        <v/>
      </c>
      <c r="P505" s="9" t="str" cm="1">
        <f t="array" aca="1" ref="P505" ca="1">IF(INDIRECT(M505) = "","",INDIRECT(M505))</f>
        <v/>
      </c>
      <c r="Q505" s="359" t="s">
        <v>4381</v>
      </c>
    </row>
    <row r="506" spans="1:17" x14ac:dyDescent="0.35">
      <c r="A506" t="s">
        <v>1497</v>
      </c>
      <c r="E506" t="str">
        <f>_xlfn.XLOOKUP(F506,'Raw Data'!$I$4:$I$5000,'Raw Data'!$D$4:$D$5000,"*** Mnemonic not found ***",0)</f>
        <v>*** Mnemonic not found ***</v>
      </c>
      <c r="F506" t="str">
        <f t="shared" si="194"/>
        <v>SUCMRUR1NFCERG3_1TO5__</v>
      </c>
      <c r="H506" s="9" t="s">
        <v>1137</v>
      </c>
      <c r="K506" s="9">
        <f t="shared" si="213"/>
        <v>193</v>
      </c>
      <c r="L506" s="9" t="str">
        <f t="shared" si="214"/>
        <v>E</v>
      </c>
      <c r="M506" s="9" t="str">
        <f t="shared" si="199"/>
        <v>Input!E193</v>
      </c>
      <c r="N506" s="9">
        <f>_xlfn.XLOOKUP(F506,'Raw Data'!$I$4:$I$5000,'Raw Data'!$E$4:$E$5000,100,0)</f>
        <v>100</v>
      </c>
      <c r="O506" s="9" t="str">
        <f>IF(N506=0,_xlfn.XLOOKUP(F506,'Raw Data'!$I$4:$I$5000,'Raw Data'!$H$4:$H$5000,"",0),"")</f>
        <v/>
      </c>
      <c r="P506" s="9" t="str" cm="1">
        <f t="array" aca="1" ref="P506" ca="1">IF(INDIRECT(M506) = "","",INDIRECT(M506))</f>
        <v/>
      </c>
      <c r="Q506" s="359" t="s">
        <v>4381</v>
      </c>
    </row>
    <row r="507" spans="1:17" x14ac:dyDescent="0.35">
      <c r="A507" t="s">
        <v>1501</v>
      </c>
      <c r="E507" t="str">
        <f>_xlfn.XLOOKUP(F507,'Raw Data'!$I$4:$I$5000,'Raw Data'!$D$4:$D$5000,"*** Mnemonic not found ***",0)</f>
        <v>*** Mnemonic not found ***</v>
      </c>
      <c r="F507" t="str">
        <f t="shared" si="194"/>
        <v>SUCMRUR1NFCERG4_1TO5__</v>
      </c>
      <c r="H507" s="9" t="s">
        <v>1137</v>
      </c>
      <c r="K507" s="9">
        <f t="shared" si="213"/>
        <v>193</v>
      </c>
      <c r="L507" s="9" t="str">
        <f t="shared" si="214"/>
        <v>F</v>
      </c>
      <c r="M507" s="9" t="str">
        <f t="shared" si="199"/>
        <v>Input!F193</v>
      </c>
      <c r="N507" s="9">
        <f>_xlfn.XLOOKUP(F507,'Raw Data'!$I$4:$I$5000,'Raw Data'!$E$4:$E$5000,100,0)</f>
        <v>100</v>
      </c>
      <c r="O507" s="9" t="str">
        <f>IF(N507=0,_xlfn.XLOOKUP(F507,'Raw Data'!$I$4:$I$5000,'Raw Data'!$H$4:$H$5000,"",0),"")</f>
        <v/>
      </c>
      <c r="P507" s="9" t="str" cm="1">
        <f t="array" aca="1" ref="P507" ca="1">IF(INDIRECT(M507) = "","",INDIRECT(M507))</f>
        <v/>
      </c>
      <c r="Q507" s="359" t="s">
        <v>4381</v>
      </c>
    </row>
    <row r="508" spans="1:17" x14ac:dyDescent="0.35">
      <c r="A508" t="s">
        <v>1505</v>
      </c>
      <c r="E508" t="str">
        <f>_xlfn.XLOOKUP(F508,'Raw Data'!$I$4:$I$5000,'Raw Data'!$D$4:$D$5000,"*** Mnemonic not found ***",0)</f>
        <v>*** Mnemonic not found ***</v>
      </c>
      <c r="F508" t="str">
        <f t="shared" si="194"/>
        <v>SUCMRUR1NFCERG5_1TO5__</v>
      </c>
      <c r="H508" s="9" t="s">
        <v>1137</v>
      </c>
      <c r="K508" s="9">
        <f t="shared" si="213"/>
        <v>193</v>
      </c>
      <c r="L508" s="9" t="str">
        <f t="shared" si="214"/>
        <v>G</v>
      </c>
      <c r="M508" s="9" t="str">
        <f t="shared" si="199"/>
        <v>Input!G193</v>
      </c>
      <c r="N508" s="9">
        <f>_xlfn.XLOOKUP(F508,'Raw Data'!$I$4:$I$5000,'Raw Data'!$E$4:$E$5000,100,0)</f>
        <v>100</v>
      </c>
      <c r="O508" s="9" t="str">
        <f>IF(N508=0,_xlfn.XLOOKUP(F508,'Raw Data'!$I$4:$I$5000,'Raw Data'!$H$4:$H$5000,"",0),"")</f>
        <v/>
      </c>
      <c r="P508" s="9" t="str" cm="1">
        <f t="array" aca="1" ref="P508" ca="1">IF(INDIRECT(M508) = "","",INDIRECT(M508))</f>
        <v/>
      </c>
      <c r="Q508" s="359" t="s">
        <v>4381</v>
      </c>
    </row>
    <row r="509" spans="1:17" x14ac:dyDescent="0.35">
      <c r="A509" t="s">
        <v>1509</v>
      </c>
      <c r="E509" t="str">
        <f>_xlfn.XLOOKUP(F509,'Raw Data'!$I$4:$I$5000,'Raw Data'!$D$4:$D$5000,"*** Mnemonic not found ***",0)</f>
        <v>*** Mnemonic not found ***</v>
      </c>
      <c r="F509" t="str">
        <f t="shared" si="194"/>
        <v>SUCMRUR1NFCERG6_1TO5__</v>
      </c>
      <c r="H509" s="9" t="s">
        <v>1137</v>
      </c>
      <c r="K509" s="9">
        <f t="shared" si="213"/>
        <v>193</v>
      </c>
      <c r="L509" s="9" t="str">
        <f t="shared" si="214"/>
        <v>H</v>
      </c>
      <c r="M509" s="9" t="str">
        <f t="shared" si="199"/>
        <v>Input!H193</v>
      </c>
      <c r="N509" s="9">
        <f>_xlfn.XLOOKUP(F509,'Raw Data'!$I$4:$I$5000,'Raw Data'!$E$4:$E$5000,100,0)</f>
        <v>100</v>
      </c>
      <c r="O509" s="9" t="str">
        <f>IF(N509=0,_xlfn.XLOOKUP(F509,'Raw Data'!$I$4:$I$5000,'Raw Data'!$H$4:$H$5000,"",0),"")</f>
        <v/>
      </c>
      <c r="P509" s="9" t="str" cm="1">
        <f t="array" aca="1" ref="P509" ca="1">IF(INDIRECT(M509) = "","",INDIRECT(M509))</f>
        <v/>
      </c>
      <c r="Q509" s="359" t="s">
        <v>4381</v>
      </c>
    </row>
    <row r="510" spans="1:17" x14ac:dyDescent="0.35">
      <c r="A510" t="s">
        <v>1513</v>
      </c>
      <c r="E510" t="str">
        <f>_xlfn.XLOOKUP(F510,'Raw Data'!$I$4:$I$5000,'Raw Data'!$D$4:$D$5000,"*** Mnemonic not found ***",0)</f>
        <v>*** Mnemonic not found ***</v>
      </c>
      <c r="F510" t="str">
        <f t="shared" si="194"/>
        <v>SUCMRUR1NFCERG7_1TO5__</v>
      </c>
      <c r="H510" s="9" t="s">
        <v>1137</v>
      </c>
      <c r="K510" s="9">
        <f t="shared" si="213"/>
        <v>193</v>
      </c>
      <c r="L510" s="9" t="str">
        <f t="shared" si="214"/>
        <v>I</v>
      </c>
      <c r="M510" s="9" t="str">
        <f t="shared" si="199"/>
        <v>Input!I193</v>
      </c>
      <c r="N510" s="9">
        <f>_xlfn.XLOOKUP(F510,'Raw Data'!$I$4:$I$5000,'Raw Data'!$E$4:$E$5000,100,0)</f>
        <v>100</v>
      </c>
      <c r="O510" s="9" t="str">
        <f>IF(N510=0,_xlfn.XLOOKUP(F510,'Raw Data'!$I$4:$I$5000,'Raw Data'!$H$4:$H$5000,"",0),"")</f>
        <v/>
      </c>
      <c r="P510" s="9" t="str" cm="1">
        <f t="array" aca="1" ref="P510" ca="1">IF(INDIRECT(M510) = "","",INDIRECT(M510))</f>
        <v/>
      </c>
      <c r="Q510" s="359" t="s">
        <v>4381</v>
      </c>
    </row>
    <row r="511" spans="1:17" x14ac:dyDescent="0.35">
      <c r="A511" t="s">
        <v>1517</v>
      </c>
      <c r="E511" t="str">
        <f>_xlfn.XLOOKUP(F511,'Raw Data'!$I$4:$I$5000,'Raw Data'!$D$4:$D$5000,"*** Mnemonic not found ***",0)</f>
        <v>*** Mnemonic not found ***</v>
      </c>
      <c r="F511" t="str">
        <f t="shared" si="194"/>
        <v>SUCMRUR1NFCERG8_1TO5__</v>
      </c>
      <c r="H511" s="9" t="s">
        <v>1137</v>
      </c>
      <c r="K511" s="9">
        <f t="shared" si="213"/>
        <v>193</v>
      </c>
      <c r="L511" s="9" t="str">
        <f t="shared" si="214"/>
        <v>J</v>
      </c>
      <c r="M511" s="9" t="str">
        <f t="shared" si="199"/>
        <v>Input!J193</v>
      </c>
      <c r="N511" s="9">
        <f>_xlfn.XLOOKUP(F511,'Raw Data'!$I$4:$I$5000,'Raw Data'!$E$4:$E$5000,100,0)</f>
        <v>100</v>
      </c>
      <c r="O511" s="9" t="str">
        <f>IF(N511=0,_xlfn.XLOOKUP(F511,'Raw Data'!$I$4:$I$5000,'Raw Data'!$H$4:$H$5000,"",0),"")</f>
        <v/>
      </c>
      <c r="P511" s="9" t="str" cm="1">
        <f t="array" aca="1" ref="P511" ca="1">IF(INDIRECT(M511) = "","",INDIRECT(M511))</f>
        <v/>
      </c>
      <c r="Q511" s="359" t="s">
        <v>4381</v>
      </c>
    </row>
    <row r="512" spans="1:17" x14ac:dyDescent="0.35">
      <c r="A512" t="s">
        <v>1521</v>
      </c>
      <c r="E512" t="str">
        <f>_xlfn.XLOOKUP(F512,'Raw Data'!$I$4:$I$5000,'Raw Data'!$D$4:$D$5000,"*** Mnemonic not found ***",0)</f>
        <v>*** Mnemonic not found ***</v>
      </c>
      <c r="F512" t="str">
        <f t="shared" si="194"/>
        <v>SUCMRUR1NFCERG9_1TO5__</v>
      </c>
      <c r="H512" s="9" t="s">
        <v>1137</v>
      </c>
      <c r="K512" s="9">
        <f t="shared" si="213"/>
        <v>193</v>
      </c>
      <c r="L512" s="9" t="str">
        <f t="shared" si="214"/>
        <v>K</v>
      </c>
      <c r="M512" s="9" t="str">
        <f t="shared" si="199"/>
        <v>Input!K193</v>
      </c>
      <c r="N512" s="9">
        <f>_xlfn.XLOOKUP(F512,'Raw Data'!$I$4:$I$5000,'Raw Data'!$E$4:$E$5000,100,0)</f>
        <v>100</v>
      </c>
      <c r="O512" s="9" t="str">
        <f>IF(N512=0,_xlfn.XLOOKUP(F512,'Raw Data'!$I$4:$I$5000,'Raw Data'!$H$4:$H$5000,"",0),"")</f>
        <v/>
      </c>
      <c r="P512" s="9" t="str" cm="1">
        <f t="array" aca="1" ref="P512" ca="1">IF(INDIRECT(M512) = "","",INDIRECT(M512))</f>
        <v/>
      </c>
      <c r="Q512" s="359" t="s">
        <v>4381</v>
      </c>
    </row>
    <row r="513" spans="1:17" x14ac:dyDescent="0.35">
      <c r="A513" t="s">
        <v>1525</v>
      </c>
      <c r="E513" t="str">
        <f>_xlfn.XLOOKUP(F513,'Raw Data'!$I$4:$I$5000,'Raw Data'!$D$4:$D$5000,"*** Mnemonic not found ***",0)</f>
        <v>*** Mnemonic not found ***</v>
      </c>
      <c r="F513" t="str">
        <f t="shared" si="194"/>
        <v>SUCMRUR1NFCERG10_1TO5__</v>
      </c>
      <c r="H513" s="9" t="s">
        <v>1137</v>
      </c>
      <c r="K513" s="9">
        <f t="shared" si="213"/>
        <v>193</v>
      </c>
      <c r="L513" s="9" t="str">
        <f t="shared" si="214"/>
        <v>L</v>
      </c>
      <c r="M513" s="9" t="str">
        <f t="shared" si="199"/>
        <v>Input!L193</v>
      </c>
      <c r="N513" s="9">
        <f>_xlfn.XLOOKUP(F513,'Raw Data'!$I$4:$I$5000,'Raw Data'!$E$4:$E$5000,100,0)</f>
        <v>100</v>
      </c>
      <c r="O513" s="9" t="str">
        <f>IF(N513=0,_xlfn.XLOOKUP(F513,'Raw Data'!$I$4:$I$5000,'Raw Data'!$H$4:$H$5000,"",0),"")</f>
        <v/>
      </c>
      <c r="P513" s="9" t="str" cm="1">
        <f t="array" aca="1" ref="P513" ca="1">IF(INDIRECT(M513) = "","",INDIRECT(M513))</f>
        <v/>
      </c>
      <c r="Q513" s="359" t="s">
        <v>4381</v>
      </c>
    </row>
    <row r="514" spans="1:17" x14ac:dyDescent="0.35">
      <c r="A514" t="s">
        <v>1529</v>
      </c>
      <c r="E514" t="str">
        <f>_xlfn.XLOOKUP(F514,'Raw Data'!$I$4:$I$5000,'Raw Data'!$D$4:$D$5000,"*** Mnemonic not found ***",0)</f>
        <v>*** Mnemonic not found ***</v>
      </c>
      <c r="F514" t="str">
        <f t="shared" si="194"/>
        <v>SUCMRUR1NFCERGNA_1TO5__</v>
      </c>
      <c r="H514" s="9" t="s">
        <v>1137</v>
      </c>
      <c r="K514" s="9">
        <f t="shared" si="213"/>
        <v>193</v>
      </c>
      <c r="L514" s="9" t="str">
        <f t="shared" si="214"/>
        <v>M</v>
      </c>
      <c r="M514" s="9" t="str">
        <f t="shared" si="199"/>
        <v>Input!M193</v>
      </c>
      <c r="N514" s="9">
        <f>_xlfn.XLOOKUP(F514,'Raw Data'!$I$4:$I$5000,'Raw Data'!$E$4:$E$5000,100,0)</f>
        <v>100</v>
      </c>
      <c r="O514" s="9" t="str">
        <f>IF(N514=0,_xlfn.XLOOKUP(F514,'Raw Data'!$I$4:$I$5000,'Raw Data'!$H$4:$H$5000,"",0),"")</f>
        <v/>
      </c>
      <c r="P514" s="9" t="str" cm="1">
        <f t="array" aca="1" ref="P514" ca="1">IF(INDIRECT(M514) = "","",INDIRECT(M514))</f>
        <v/>
      </c>
      <c r="Q514" s="359" t="s">
        <v>4381</v>
      </c>
    </row>
    <row r="515" spans="1:17" x14ac:dyDescent="0.35">
      <c r="A515" t="s">
        <v>1490</v>
      </c>
      <c r="E515" t="str">
        <f>_xlfn.XLOOKUP(F515,'Raw Data'!$I$4:$I$5000,'Raw Data'!$D$4:$D$5000,"*** Mnemonic not found ***",0)</f>
        <v>*** Mnemonic not found ***</v>
      </c>
      <c r="F515" t="str">
        <f t="shared" si="194"/>
        <v>SUCMRUR1NFCERG1_5TO10__</v>
      </c>
      <c r="H515" s="9" t="s">
        <v>1137</v>
      </c>
      <c r="K515" s="9">
        <f t="shared" si="213"/>
        <v>194</v>
      </c>
      <c r="L515" s="9" t="str">
        <f t="shared" si="214"/>
        <v>C</v>
      </c>
      <c r="M515" s="9" t="str">
        <f t="shared" si="199"/>
        <v>Input!C194</v>
      </c>
      <c r="N515" s="9">
        <f>_xlfn.XLOOKUP(F515,'Raw Data'!$I$4:$I$5000,'Raw Data'!$E$4:$E$5000,100,0)</f>
        <v>100</v>
      </c>
      <c r="O515" s="9" t="str">
        <f>IF(N515=0,_xlfn.XLOOKUP(F515,'Raw Data'!$I$4:$I$5000,'Raw Data'!$H$4:$H$5000,"",0),"")</f>
        <v/>
      </c>
      <c r="P515" s="9" t="str" cm="1">
        <f t="array" aca="1" ref="P515" ca="1">IF(INDIRECT(M515) = "","",INDIRECT(M515))</f>
        <v/>
      </c>
      <c r="Q515" s="359" t="s">
        <v>4381</v>
      </c>
    </row>
    <row r="516" spans="1:17" x14ac:dyDescent="0.35">
      <c r="A516" t="s">
        <v>1494</v>
      </c>
      <c r="E516" t="str">
        <f>_xlfn.XLOOKUP(F516,'Raw Data'!$I$4:$I$5000,'Raw Data'!$D$4:$D$5000,"*** Mnemonic not found ***",0)</f>
        <v>*** Mnemonic not found ***</v>
      </c>
      <c r="F516" t="str">
        <f t="shared" si="194"/>
        <v>SUCMRUR1NFCERG2_5TO10__</v>
      </c>
      <c r="H516" s="9" t="s">
        <v>1137</v>
      </c>
      <c r="K516" s="9">
        <f t="shared" si="213"/>
        <v>194</v>
      </c>
      <c r="L516" s="9" t="str">
        <f t="shared" si="214"/>
        <v>D</v>
      </c>
      <c r="M516" s="9" t="str">
        <f t="shared" si="199"/>
        <v>Input!D194</v>
      </c>
      <c r="N516" s="9">
        <f>_xlfn.XLOOKUP(F516,'Raw Data'!$I$4:$I$5000,'Raw Data'!$E$4:$E$5000,100,0)</f>
        <v>100</v>
      </c>
      <c r="O516" s="9" t="str">
        <f>IF(N516=0,_xlfn.XLOOKUP(F516,'Raw Data'!$I$4:$I$5000,'Raw Data'!$H$4:$H$5000,"",0),"")</f>
        <v/>
      </c>
      <c r="P516" s="9" t="str" cm="1">
        <f t="array" aca="1" ref="P516" ca="1">IF(INDIRECT(M516) = "","",INDIRECT(M516))</f>
        <v/>
      </c>
      <c r="Q516" s="359" t="s">
        <v>4381</v>
      </c>
    </row>
    <row r="517" spans="1:17" x14ac:dyDescent="0.35">
      <c r="A517" t="s">
        <v>1498</v>
      </c>
      <c r="E517" t="str">
        <f>_xlfn.XLOOKUP(F517,'Raw Data'!$I$4:$I$5000,'Raw Data'!$D$4:$D$5000,"*** Mnemonic not found ***",0)</f>
        <v>*** Mnemonic not found ***</v>
      </c>
      <c r="F517" t="str">
        <f t="shared" ref="F517:F580" si="215">CONCATENATE(A517,"_",B517,"_",D517)</f>
        <v>SUCMRUR1NFCERG3_5TO10__</v>
      </c>
      <c r="H517" s="9" t="s">
        <v>1137</v>
      </c>
      <c r="K517" s="9">
        <f t="shared" si="213"/>
        <v>194</v>
      </c>
      <c r="L517" s="9" t="str">
        <f t="shared" si="214"/>
        <v>E</v>
      </c>
      <c r="M517" s="9" t="str">
        <f t="shared" si="199"/>
        <v>Input!E194</v>
      </c>
      <c r="N517" s="9">
        <f>_xlfn.XLOOKUP(F517,'Raw Data'!$I$4:$I$5000,'Raw Data'!$E$4:$E$5000,100,0)</f>
        <v>100</v>
      </c>
      <c r="O517" s="9" t="str">
        <f>IF(N517=0,_xlfn.XLOOKUP(F517,'Raw Data'!$I$4:$I$5000,'Raw Data'!$H$4:$H$5000,"",0),"")</f>
        <v/>
      </c>
      <c r="P517" s="9" t="str" cm="1">
        <f t="array" aca="1" ref="P517" ca="1">IF(INDIRECT(M517) = "","",INDIRECT(M517))</f>
        <v/>
      </c>
      <c r="Q517" s="359" t="s">
        <v>4381</v>
      </c>
    </row>
    <row r="518" spans="1:17" x14ac:dyDescent="0.35">
      <c r="A518" t="s">
        <v>1502</v>
      </c>
      <c r="E518" t="str">
        <f>_xlfn.XLOOKUP(F518,'Raw Data'!$I$4:$I$5000,'Raw Data'!$D$4:$D$5000,"*** Mnemonic not found ***",0)</f>
        <v>*** Mnemonic not found ***</v>
      </c>
      <c r="F518" t="str">
        <f t="shared" si="215"/>
        <v>SUCMRUR1NFCERG4_5TO10__</v>
      </c>
      <c r="H518" s="9" t="s">
        <v>1137</v>
      </c>
      <c r="K518" s="9">
        <f t="shared" si="213"/>
        <v>194</v>
      </c>
      <c r="L518" s="9" t="str">
        <f t="shared" si="214"/>
        <v>F</v>
      </c>
      <c r="M518" s="9" t="str">
        <f t="shared" si="199"/>
        <v>Input!F194</v>
      </c>
      <c r="N518" s="9">
        <f>_xlfn.XLOOKUP(F518,'Raw Data'!$I$4:$I$5000,'Raw Data'!$E$4:$E$5000,100,0)</f>
        <v>100</v>
      </c>
      <c r="O518" s="9" t="str">
        <f>IF(N518=0,_xlfn.XLOOKUP(F518,'Raw Data'!$I$4:$I$5000,'Raw Data'!$H$4:$H$5000,"",0),"")</f>
        <v/>
      </c>
      <c r="P518" s="9" t="str" cm="1">
        <f t="array" aca="1" ref="P518" ca="1">IF(INDIRECT(M518) = "","",INDIRECT(M518))</f>
        <v/>
      </c>
      <c r="Q518" s="359" t="s">
        <v>4381</v>
      </c>
    </row>
    <row r="519" spans="1:17" x14ac:dyDescent="0.35">
      <c r="A519" t="s">
        <v>1506</v>
      </c>
      <c r="E519" t="str">
        <f>_xlfn.XLOOKUP(F519,'Raw Data'!$I$4:$I$5000,'Raw Data'!$D$4:$D$5000,"*** Mnemonic not found ***",0)</f>
        <v>*** Mnemonic not found ***</v>
      </c>
      <c r="F519" t="str">
        <f t="shared" si="215"/>
        <v>SUCMRUR1NFCERG5_5TO10__</v>
      </c>
      <c r="H519" s="9" t="s">
        <v>1137</v>
      </c>
      <c r="K519" s="9">
        <f t="shared" si="213"/>
        <v>194</v>
      </c>
      <c r="L519" s="9" t="str">
        <f t="shared" si="214"/>
        <v>G</v>
      </c>
      <c r="M519" s="9" t="str">
        <f t="shared" si="199"/>
        <v>Input!G194</v>
      </c>
      <c r="N519" s="9">
        <f>_xlfn.XLOOKUP(F519,'Raw Data'!$I$4:$I$5000,'Raw Data'!$E$4:$E$5000,100,0)</f>
        <v>100</v>
      </c>
      <c r="O519" s="9" t="str">
        <f>IF(N519=0,_xlfn.XLOOKUP(F519,'Raw Data'!$I$4:$I$5000,'Raw Data'!$H$4:$H$5000,"",0),"")</f>
        <v/>
      </c>
      <c r="P519" s="9" t="str" cm="1">
        <f t="array" aca="1" ref="P519" ca="1">IF(INDIRECT(M519) = "","",INDIRECT(M519))</f>
        <v/>
      </c>
      <c r="Q519" s="359" t="s">
        <v>4381</v>
      </c>
    </row>
    <row r="520" spans="1:17" x14ac:dyDescent="0.35">
      <c r="A520" t="s">
        <v>1510</v>
      </c>
      <c r="E520" t="str">
        <f>_xlfn.XLOOKUP(F520,'Raw Data'!$I$4:$I$5000,'Raw Data'!$D$4:$D$5000,"*** Mnemonic not found ***",0)</f>
        <v>*** Mnemonic not found ***</v>
      </c>
      <c r="F520" t="str">
        <f t="shared" si="215"/>
        <v>SUCMRUR1NFCERG6_5TO10__</v>
      </c>
      <c r="H520" s="9" t="s">
        <v>1137</v>
      </c>
      <c r="K520" s="9">
        <f t="shared" si="213"/>
        <v>194</v>
      </c>
      <c r="L520" s="9" t="str">
        <f t="shared" si="214"/>
        <v>H</v>
      </c>
      <c r="M520" s="9" t="str">
        <f t="shared" si="199"/>
        <v>Input!H194</v>
      </c>
      <c r="N520" s="9">
        <f>_xlfn.XLOOKUP(F520,'Raw Data'!$I$4:$I$5000,'Raw Data'!$E$4:$E$5000,100,0)</f>
        <v>100</v>
      </c>
      <c r="O520" s="9" t="str">
        <f>IF(N520=0,_xlfn.XLOOKUP(F520,'Raw Data'!$I$4:$I$5000,'Raw Data'!$H$4:$H$5000,"",0),"")</f>
        <v/>
      </c>
      <c r="P520" s="9" t="str" cm="1">
        <f t="array" aca="1" ref="P520" ca="1">IF(INDIRECT(M520) = "","",INDIRECT(M520))</f>
        <v/>
      </c>
      <c r="Q520" s="359" t="s">
        <v>4381</v>
      </c>
    </row>
    <row r="521" spans="1:17" x14ac:dyDescent="0.35">
      <c r="A521" t="s">
        <v>1514</v>
      </c>
      <c r="E521" t="str">
        <f>_xlfn.XLOOKUP(F521,'Raw Data'!$I$4:$I$5000,'Raw Data'!$D$4:$D$5000,"*** Mnemonic not found ***",0)</f>
        <v>*** Mnemonic not found ***</v>
      </c>
      <c r="F521" t="str">
        <f t="shared" si="215"/>
        <v>SUCMRUR1NFCERG7_5TO10__</v>
      </c>
      <c r="H521" s="9" t="s">
        <v>1137</v>
      </c>
      <c r="K521" s="9">
        <f t="shared" si="213"/>
        <v>194</v>
      </c>
      <c r="L521" s="9" t="str">
        <f t="shared" si="214"/>
        <v>I</v>
      </c>
      <c r="M521" s="9" t="str">
        <f t="shared" si="199"/>
        <v>Input!I194</v>
      </c>
      <c r="N521" s="9">
        <f>_xlfn.XLOOKUP(F521,'Raw Data'!$I$4:$I$5000,'Raw Data'!$E$4:$E$5000,100,0)</f>
        <v>100</v>
      </c>
      <c r="O521" s="9" t="str">
        <f>IF(N521=0,_xlfn.XLOOKUP(F521,'Raw Data'!$I$4:$I$5000,'Raw Data'!$H$4:$H$5000,"",0),"")</f>
        <v/>
      </c>
      <c r="P521" s="9" t="str" cm="1">
        <f t="array" aca="1" ref="P521" ca="1">IF(INDIRECT(M521) = "","",INDIRECT(M521))</f>
        <v/>
      </c>
      <c r="Q521" s="359" t="s">
        <v>4381</v>
      </c>
    </row>
    <row r="522" spans="1:17" x14ac:dyDescent="0.35">
      <c r="A522" t="s">
        <v>1518</v>
      </c>
      <c r="E522" t="str">
        <f>_xlfn.XLOOKUP(F522,'Raw Data'!$I$4:$I$5000,'Raw Data'!$D$4:$D$5000,"*** Mnemonic not found ***",0)</f>
        <v>*** Mnemonic not found ***</v>
      </c>
      <c r="F522" t="str">
        <f t="shared" si="215"/>
        <v>SUCMRUR1NFCERG8_5TO10__</v>
      </c>
      <c r="H522" s="9" t="s">
        <v>1137</v>
      </c>
      <c r="K522" s="9">
        <f t="shared" si="213"/>
        <v>194</v>
      </c>
      <c r="L522" s="9" t="str">
        <f t="shared" si="214"/>
        <v>J</v>
      </c>
      <c r="M522" s="9" t="str">
        <f t="shared" si="199"/>
        <v>Input!J194</v>
      </c>
      <c r="N522" s="9">
        <f>_xlfn.XLOOKUP(F522,'Raw Data'!$I$4:$I$5000,'Raw Data'!$E$4:$E$5000,100,0)</f>
        <v>100</v>
      </c>
      <c r="O522" s="9" t="str">
        <f>IF(N522=0,_xlfn.XLOOKUP(F522,'Raw Data'!$I$4:$I$5000,'Raw Data'!$H$4:$H$5000,"",0),"")</f>
        <v/>
      </c>
      <c r="P522" s="9" t="str" cm="1">
        <f t="array" aca="1" ref="P522" ca="1">IF(INDIRECT(M522) = "","",INDIRECT(M522))</f>
        <v/>
      </c>
      <c r="Q522" s="359" t="s">
        <v>4381</v>
      </c>
    </row>
    <row r="523" spans="1:17" x14ac:dyDescent="0.35">
      <c r="A523" t="s">
        <v>1522</v>
      </c>
      <c r="E523" t="str">
        <f>_xlfn.XLOOKUP(F523,'Raw Data'!$I$4:$I$5000,'Raw Data'!$D$4:$D$5000,"*** Mnemonic not found ***",0)</f>
        <v>*** Mnemonic not found ***</v>
      </c>
      <c r="F523" t="str">
        <f t="shared" si="215"/>
        <v>SUCMRUR1NFCERG9_5TO10__</v>
      </c>
      <c r="H523" s="9" t="s">
        <v>1137</v>
      </c>
      <c r="K523" s="9">
        <f t="shared" si="213"/>
        <v>194</v>
      </c>
      <c r="L523" s="9" t="str">
        <f t="shared" si="214"/>
        <v>K</v>
      </c>
      <c r="M523" s="9" t="str">
        <f t="shared" si="199"/>
        <v>Input!K194</v>
      </c>
      <c r="N523" s="9">
        <f>_xlfn.XLOOKUP(F523,'Raw Data'!$I$4:$I$5000,'Raw Data'!$E$4:$E$5000,100,0)</f>
        <v>100</v>
      </c>
      <c r="O523" s="9" t="str">
        <f>IF(N523=0,_xlfn.XLOOKUP(F523,'Raw Data'!$I$4:$I$5000,'Raw Data'!$H$4:$H$5000,"",0),"")</f>
        <v/>
      </c>
      <c r="P523" s="9" t="str" cm="1">
        <f t="array" aca="1" ref="P523" ca="1">IF(INDIRECT(M523) = "","",INDIRECT(M523))</f>
        <v/>
      </c>
      <c r="Q523" s="359" t="s">
        <v>4381</v>
      </c>
    </row>
    <row r="524" spans="1:17" x14ac:dyDescent="0.35">
      <c r="A524" t="s">
        <v>1526</v>
      </c>
      <c r="E524" t="str">
        <f>_xlfn.XLOOKUP(F524,'Raw Data'!$I$4:$I$5000,'Raw Data'!$D$4:$D$5000,"*** Mnemonic not found ***",0)</f>
        <v>*** Mnemonic not found ***</v>
      </c>
      <c r="F524" t="str">
        <f t="shared" si="215"/>
        <v>SUCMRUR1NFCERG10_5TO10__</v>
      </c>
      <c r="H524" s="9" t="s">
        <v>1137</v>
      </c>
      <c r="K524" s="9">
        <f t="shared" si="213"/>
        <v>194</v>
      </c>
      <c r="L524" s="9" t="str">
        <f t="shared" si="214"/>
        <v>L</v>
      </c>
      <c r="M524" s="9" t="str">
        <f t="shared" si="199"/>
        <v>Input!L194</v>
      </c>
      <c r="N524" s="9">
        <f>_xlfn.XLOOKUP(F524,'Raw Data'!$I$4:$I$5000,'Raw Data'!$E$4:$E$5000,100,0)</f>
        <v>100</v>
      </c>
      <c r="O524" s="9" t="str">
        <f>IF(N524=0,_xlfn.XLOOKUP(F524,'Raw Data'!$I$4:$I$5000,'Raw Data'!$H$4:$H$5000,"",0),"")</f>
        <v/>
      </c>
      <c r="P524" s="9" t="str" cm="1">
        <f t="array" aca="1" ref="P524" ca="1">IF(INDIRECT(M524) = "","",INDIRECT(M524))</f>
        <v/>
      </c>
      <c r="Q524" s="359" t="s">
        <v>4381</v>
      </c>
    </row>
    <row r="525" spans="1:17" x14ac:dyDescent="0.35">
      <c r="A525" t="s">
        <v>1530</v>
      </c>
      <c r="E525" t="str">
        <f>_xlfn.XLOOKUP(F525,'Raw Data'!$I$4:$I$5000,'Raw Data'!$D$4:$D$5000,"*** Mnemonic not found ***",0)</f>
        <v>*** Mnemonic not found ***</v>
      </c>
      <c r="F525" t="str">
        <f t="shared" si="215"/>
        <v>SUCMRUR1NFCERGNA_5TO10__</v>
      </c>
      <c r="H525" s="9" t="s">
        <v>1137</v>
      </c>
      <c r="K525" s="9">
        <f t="shared" si="213"/>
        <v>194</v>
      </c>
      <c r="L525" s="9" t="str">
        <f t="shared" si="214"/>
        <v>M</v>
      </c>
      <c r="M525" s="9" t="str">
        <f t="shared" si="199"/>
        <v>Input!M194</v>
      </c>
      <c r="N525" s="9">
        <f>_xlfn.XLOOKUP(F525,'Raw Data'!$I$4:$I$5000,'Raw Data'!$E$4:$E$5000,100,0)</f>
        <v>100</v>
      </c>
      <c r="O525" s="9" t="str">
        <f>IF(N525=0,_xlfn.XLOOKUP(F525,'Raw Data'!$I$4:$I$5000,'Raw Data'!$H$4:$H$5000,"",0),"")</f>
        <v/>
      </c>
      <c r="P525" s="9" t="str" cm="1">
        <f t="array" aca="1" ref="P525" ca="1">IF(INDIRECT(M525) = "","",INDIRECT(M525))</f>
        <v/>
      </c>
      <c r="Q525" s="359" t="s">
        <v>4381</v>
      </c>
    </row>
    <row r="526" spans="1:17" x14ac:dyDescent="0.35">
      <c r="A526" t="s">
        <v>1491</v>
      </c>
      <c r="E526" t="str">
        <f>_xlfn.XLOOKUP(F526,'Raw Data'!$I$4:$I$5000,'Raw Data'!$D$4:$D$5000,"*** Mnemonic not found ***",0)</f>
        <v>*** Mnemonic not found ***</v>
      </c>
      <c r="F526" t="str">
        <f t="shared" si="215"/>
        <v>SUCMRUR1NFCERG1_10TO20__</v>
      </c>
      <c r="H526" s="9" t="s">
        <v>1137</v>
      </c>
      <c r="K526" s="9">
        <f t="shared" si="213"/>
        <v>195</v>
      </c>
      <c r="L526" s="9" t="str">
        <f t="shared" si="214"/>
        <v>C</v>
      </c>
      <c r="M526" s="9" t="str">
        <f t="shared" si="199"/>
        <v>Input!C195</v>
      </c>
      <c r="N526" s="9">
        <f>_xlfn.XLOOKUP(F526,'Raw Data'!$I$4:$I$5000,'Raw Data'!$E$4:$E$5000,100,0)</f>
        <v>100</v>
      </c>
      <c r="O526" s="9" t="str">
        <f>IF(N526=0,_xlfn.XLOOKUP(F526,'Raw Data'!$I$4:$I$5000,'Raw Data'!$H$4:$H$5000,"",0),"")</f>
        <v/>
      </c>
      <c r="P526" s="9" t="str" cm="1">
        <f t="array" aca="1" ref="P526" ca="1">IF(INDIRECT(M526) = "","",INDIRECT(M526))</f>
        <v/>
      </c>
      <c r="Q526" s="359" t="s">
        <v>4381</v>
      </c>
    </row>
    <row r="527" spans="1:17" x14ac:dyDescent="0.35">
      <c r="A527" t="s">
        <v>1495</v>
      </c>
      <c r="E527" t="str">
        <f>_xlfn.XLOOKUP(F527,'Raw Data'!$I$4:$I$5000,'Raw Data'!$D$4:$D$5000,"*** Mnemonic not found ***",0)</f>
        <v>*** Mnemonic not found ***</v>
      </c>
      <c r="F527" t="str">
        <f t="shared" si="215"/>
        <v>SUCMRUR1NFCERG2_10TO20__</v>
      </c>
      <c r="H527" s="9" t="s">
        <v>1137</v>
      </c>
      <c r="K527" s="9">
        <f t="shared" si="213"/>
        <v>195</v>
      </c>
      <c r="L527" s="9" t="str">
        <f t="shared" si="214"/>
        <v>D</v>
      </c>
      <c r="M527" s="9" t="str">
        <f t="shared" ref="M527:M590" si="216">CONCATENATE(H527,"!",L527,K527)</f>
        <v>Input!D195</v>
      </c>
      <c r="N527" s="9">
        <f>_xlfn.XLOOKUP(F527,'Raw Data'!$I$4:$I$5000,'Raw Data'!$E$4:$E$5000,100,0)</f>
        <v>100</v>
      </c>
      <c r="O527" s="9" t="str">
        <f>IF(N527=0,_xlfn.XLOOKUP(F527,'Raw Data'!$I$4:$I$5000,'Raw Data'!$H$4:$H$5000,"",0),"")</f>
        <v/>
      </c>
      <c r="P527" s="9" t="str" cm="1">
        <f t="array" aca="1" ref="P527" ca="1">IF(INDIRECT(M527) = "","",INDIRECT(M527))</f>
        <v/>
      </c>
      <c r="Q527" s="359" t="s">
        <v>4381</v>
      </c>
    </row>
    <row r="528" spans="1:17" x14ac:dyDescent="0.35">
      <c r="A528" t="s">
        <v>1499</v>
      </c>
      <c r="E528" t="str">
        <f>_xlfn.XLOOKUP(F528,'Raw Data'!$I$4:$I$5000,'Raw Data'!$D$4:$D$5000,"*** Mnemonic not found ***",0)</f>
        <v>*** Mnemonic not found ***</v>
      </c>
      <c r="F528" t="str">
        <f t="shared" si="215"/>
        <v>SUCMRUR1NFCERG3_10TO20__</v>
      </c>
      <c r="H528" s="9" t="s">
        <v>1137</v>
      </c>
      <c r="K528" s="9">
        <f t="shared" si="213"/>
        <v>195</v>
      </c>
      <c r="L528" s="9" t="str">
        <f t="shared" si="214"/>
        <v>E</v>
      </c>
      <c r="M528" s="9" t="str">
        <f t="shared" si="216"/>
        <v>Input!E195</v>
      </c>
      <c r="N528" s="9">
        <f>_xlfn.XLOOKUP(F528,'Raw Data'!$I$4:$I$5000,'Raw Data'!$E$4:$E$5000,100,0)</f>
        <v>100</v>
      </c>
      <c r="O528" s="9" t="str">
        <f>IF(N528=0,_xlfn.XLOOKUP(F528,'Raw Data'!$I$4:$I$5000,'Raw Data'!$H$4:$H$5000,"",0),"")</f>
        <v/>
      </c>
      <c r="P528" s="9" t="str" cm="1">
        <f t="array" aca="1" ref="P528" ca="1">IF(INDIRECT(M528) = "","",INDIRECT(M528))</f>
        <v/>
      </c>
      <c r="Q528" s="359" t="s">
        <v>4381</v>
      </c>
    </row>
    <row r="529" spans="1:17" x14ac:dyDescent="0.35">
      <c r="A529" t="s">
        <v>1503</v>
      </c>
      <c r="E529" t="str">
        <f>_xlfn.XLOOKUP(F529,'Raw Data'!$I$4:$I$5000,'Raw Data'!$D$4:$D$5000,"*** Mnemonic not found ***",0)</f>
        <v>*** Mnemonic not found ***</v>
      </c>
      <c r="F529" t="str">
        <f t="shared" si="215"/>
        <v>SUCMRUR1NFCERG4_10TO20__</v>
      </c>
      <c r="H529" s="9" t="s">
        <v>1137</v>
      </c>
      <c r="K529" s="9">
        <f t="shared" si="213"/>
        <v>195</v>
      </c>
      <c r="L529" s="9" t="str">
        <f t="shared" si="214"/>
        <v>F</v>
      </c>
      <c r="M529" s="9" t="str">
        <f t="shared" si="216"/>
        <v>Input!F195</v>
      </c>
      <c r="N529" s="9">
        <f>_xlfn.XLOOKUP(F529,'Raw Data'!$I$4:$I$5000,'Raw Data'!$E$4:$E$5000,100,0)</f>
        <v>100</v>
      </c>
      <c r="O529" s="9" t="str">
        <f>IF(N529=0,_xlfn.XLOOKUP(F529,'Raw Data'!$I$4:$I$5000,'Raw Data'!$H$4:$H$5000,"",0),"")</f>
        <v/>
      </c>
      <c r="P529" s="9" t="str" cm="1">
        <f t="array" aca="1" ref="P529" ca="1">IF(INDIRECT(M529) = "","",INDIRECT(M529))</f>
        <v/>
      </c>
      <c r="Q529" s="359" t="s">
        <v>4381</v>
      </c>
    </row>
    <row r="530" spans="1:17" x14ac:dyDescent="0.35">
      <c r="A530" t="s">
        <v>1507</v>
      </c>
      <c r="E530" t="str">
        <f>_xlfn.XLOOKUP(F530,'Raw Data'!$I$4:$I$5000,'Raw Data'!$D$4:$D$5000,"*** Mnemonic not found ***",0)</f>
        <v>*** Mnemonic not found ***</v>
      </c>
      <c r="F530" t="str">
        <f t="shared" si="215"/>
        <v>SUCMRUR1NFCERG5_10TO20__</v>
      </c>
      <c r="H530" s="9" t="s">
        <v>1137</v>
      </c>
      <c r="K530" s="9">
        <f t="shared" si="213"/>
        <v>195</v>
      </c>
      <c r="L530" s="9" t="str">
        <f t="shared" si="214"/>
        <v>G</v>
      </c>
      <c r="M530" s="9" t="str">
        <f t="shared" si="216"/>
        <v>Input!G195</v>
      </c>
      <c r="N530" s="9">
        <f>_xlfn.XLOOKUP(F530,'Raw Data'!$I$4:$I$5000,'Raw Data'!$E$4:$E$5000,100,0)</f>
        <v>100</v>
      </c>
      <c r="O530" s="9" t="str">
        <f>IF(N530=0,_xlfn.XLOOKUP(F530,'Raw Data'!$I$4:$I$5000,'Raw Data'!$H$4:$H$5000,"",0),"")</f>
        <v/>
      </c>
      <c r="P530" s="9" t="str" cm="1">
        <f t="array" aca="1" ref="P530" ca="1">IF(INDIRECT(M530) = "","",INDIRECT(M530))</f>
        <v/>
      </c>
      <c r="Q530" s="359" t="s">
        <v>4381</v>
      </c>
    </row>
    <row r="531" spans="1:17" x14ac:dyDescent="0.35">
      <c r="A531" t="s">
        <v>1511</v>
      </c>
      <c r="E531" t="str">
        <f>_xlfn.XLOOKUP(F531,'Raw Data'!$I$4:$I$5000,'Raw Data'!$D$4:$D$5000,"*** Mnemonic not found ***",0)</f>
        <v>*** Mnemonic not found ***</v>
      </c>
      <c r="F531" t="str">
        <f t="shared" si="215"/>
        <v>SUCMRUR1NFCERG6_10TO20__</v>
      </c>
      <c r="H531" s="9" t="s">
        <v>1137</v>
      </c>
      <c r="K531" s="9">
        <f t="shared" si="213"/>
        <v>195</v>
      </c>
      <c r="L531" s="9" t="str">
        <f t="shared" si="214"/>
        <v>H</v>
      </c>
      <c r="M531" s="9" t="str">
        <f t="shared" si="216"/>
        <v>Input!H195</v>
      </c>
      <c r="N531" s="9">
        <f>_xlfn.XLOOKUP(F531,'Raw Data'!$I$4:$I$5000,'Raw Data'!$E$4:$E$5000,100,0)</f>
        <v>100</v>
      </c>
      <c r="O531" s="9" t="str">
        <f>IF(N531=0,_xlfn.XLOOKUP(F531,'Raw Data'!$I$4:$I$5000,'Raw Data'!$H$4:$H$5000,"",0),"")</f>
        <v/>
      </c>
      <c r="P531" s="9" t="str" cm="1">
        <f t="array" aca="1" ref="P531" ca="1">IF(INDIRECT(M531) = "","",INDIRECT(M531))</f>
        <v/>
      </c>
      <c r="Q531" s="359" t="s">
        <v>4381</v>
      </c>
    </row>
    <row r="532" spans="1:17" x14ac:dyDescent="0.35">
      <c r="A532" t="s">
        <v>1515</v>
      </c>
      <c r="E532" t="str">
        <f>_xlfn.XLOOKUP(F532,'Raw Data'!$I$4:$I$5000,'Raw Data'!$D$4:$D$5000,"*** Mnemonic not found ***",0)</f>
        <v>*** Mnemonic not found ***</v>
      </c>
      <c r="F532" t="str">
        <f t="shared" si="215"/>
        <v>SUCMRUR1NFCERG7_10TO20__</v>
      </c>
      <c r="H532" s="9" t="s">
        <v>1137</v>
      </c>
      <c r="K532" s="9">
        <f t="shared" si="213"/>
        <v>195</v>
      </c>
      <c r="L532" s="9" t="str">
        <f t="shared" si="214"/>
        <v>I</v>
      </c>
      <c r="M532" s="9" t="str">
        <f t="shared" si="216"/>
        <v>Input!I195</v>
      </c>
      <c r="N532" s="9">
        <f>_xlfn.XLOOKUP(F532,'Raw Data'!$I$4:$I$5000,'Raw Data'!$E$4:$E$5000,100,0)</f>
        <v>100</v>
      </c>
      <c r="O532" s="9" t="str">
        <f>IF(N532=0,_xlfn.XLOOKUP(F532,'Raw Data'!$I$4:$I$5000,'Raw Data'!$H$4:$H$5000,"",0),"")</f>
        <v/>
      </c>
      <c r="P532" s="9" t="str" cm="1">
        <f t="array" aca="1" ref="P532" ca="1">IF(INDIRECT(M532) = "","",INDIRECT(M532))</f>
        <v/>
      </c>
      <c r="Q532" s="359" t="s">
        <v>4381</v>
      </c>
    </row>
    <row r="533" spans="1:17" x14ac:dyDescent="0.35">
      <c r="A533" t="s">
        <v>1519</v>
      </c>
      <c r="E533" t="str">
        <f>_xlfn.XLOOKUP(F533,'Raw Data'!$I$4:$I$5000,'Raw Data'!$D$4:$D$5000,"*** Mnemonic not found ***",0)</f>
        <v>*** Mnemonic not found ***</v>
      </c>
      <c r="F533" t="str">
        <f t="shared" si="215"/>
        <v>SUCMRUR1NFCERG8_10TO20__</v>
      </c>
      <c r="H533" s="9" t="s">
        <v>1137</v>
      </c>
      <c r="K533" s="9">
        <f t="shared" si="213"/>
        <v>195</v>
      </c>
      <c r="L533" s="9" t="str">
        <f t="shared" si="214"/>
        <v>J</v>
      </c>
      <c r="M533" s="9" t="str">
        <f t="shared" si="216"/>
        <v>Input!J195</v>
      </c>
      <c r="N533" s="9">
        <f>_xlfn.XLOOKUP(F533,'Raw Data'!$I$4:$I$5000,'Raw Data'!$E$4:$E$5000,100,0)</f>
        <v>100</v>
      </c>
      <c r="O533" s="9" t="str">
        <f>IF(N533=0,_xlfn.XLOOKUP(F533,'Raw Data'!$I$4:$I$5000,'Raw Data'!$H$4:$H$5000,"",0),"")</f>
        <v/>
      </c>
      <c r="P533" s="9" t="str" cm="1">
        <f t="array" aca="1" ref="P533" ca="1">IF(INDIRECT(M533) = "","",INDIRECT(M533))</f>
        <v/>
      </c>
      <c r="Q533" s="359" t="s">
        <v>4381</v>
      </c>
    </row>
    <row r="534" spans="1:17" x14ac:dyDescent="0.35">
      <c r="A534" t="s">
        <v>1523</v>
      </c>
      <c r="E534" t="str">
        <f>_xlfn.XLOOKUP(F534,'Raw Data'!$I$4:$I$5000,'Raw Data'!$D$4:$D$5000,"*** Mnemonic not found ***",0)</f>
        <v>*** Mnemonic not found ***</v>
      </c>
      <c r="F534" t="str">
        <f t="shared" si="215"/>
        <v>SUCMRUR1NFCERG9_10TO20__</v>
      </c>
      <c r="H534" s="9" t="s">
        <v>1137</v>
      </c>
      <c r="K534" s="9">
        <f t="shared" si="213"/>
        <v>195</v>
      </c>
      <c r="L534" s="9" t="str">
        <f t="shared" si="214"/>
        <v>K</v>
      </c>
      <c r="M534" s="9" t="str">
        <f t="shared" si="216"/>
        <v>Input!K195</v>
      </c>
      <c r="N534" s="9">
        <f>_xlfn.XLOOKUP(F534,'Raw Data'!$I$4:$I$5000,'Raw Data'!$E$4:$E$5000,100,0)</f>
        <v>100</v>
      </c>
      <c r="O534" s="9" t="str">
        <f>IF(N534=0,_xlfn.XLOOKUP(F534,'Raw Data'!$I$4:$I$5000,'Raw Data'!$H$4:$H$5000,"",0),"")</f>
        <v/>
      </c>
      <c r="P534" s="9" t="str" cm="1">
        <f t="array" aca="1" ref="P534" ca="1">IF(INDIRECT(M534) = "","",INDIRECT(M534))</f>
        <v/>
      </c>
      <c r="Q534" s="359" t="s">
        <v>4381</v>
      </c>
    </row>
    <row r="535" spans="1:17" x14ac:dyDescent="0.35">
      <c r="A535" t="s">
        <v>1527</v>
      </c>
      <c r="E535" t="str">
        <f>_xlfn.XLOOKUP(F535,'Raw Data'!$I$4:$I$5000,'Raw Data'!$D$4:$D$5000,"*** Mnemonic not found ***",0)</f>
        <v>*** Mnemonic not found ***</v>
      </c>
      <c r="F535" t="str">
        <f t="shared" si="215"/>
        <v>SUCMRUR1NFCERG10_10TO20__</v>
      </c>
      <c r="H535" s="9" t="s">
        <v>1137</v>
      </c>
      <c r="K535" s="9">
        <f t="shared" si="213"/>
        <v>195</v>
      </c>
      <c r="L535" s="9" t="str">
        <f t="shared" si="214"/>
        <v>L</v>
      </c>
      <c r="M535" s="9" t="str">
        <f t="shared" si="216"/>
        <v>Input!L195</v>
      </c>
      <c r="N535" s="9">
        <f>_xlfn.XLOOKUP(F535,'Raw Data'!$I$4:$I$5000,'Raw Data'!$E$4:$E$5000,100,0)</f>
        <v>100</v>
      </c>
      <c r="O535" s="9" t="str">
        <f>IF(N535=0,_xlfn.XLOOKUP(F535,'Raw Data'!$I$4:$I$5000,'Raw Data'!$H$4:$H$5000,"",0),"")</f>
        <v/>
      </c>
      <c r="P535" s="9" t="str" cm="1">
        <f t="array" aca="1" ref="P535" ca="1">IF(INDIRECT(M535) = "","",INDIRECT(M535))</f>
        <v/>
      </c>
      <c r="Q535" s="359" t="s">
        <v>4381</v>
      </c>
    </row>
    <row r="536" spans="1:17" x14ac:dyDescent="0.35">
      <c r="A536" t="s">
        <v>1531</v>
      </c>
      <c r="E536" t="str">
        <f>_xlfn.XLOOKUP(F536,'Raw Data'!$I$4:$I$5000,'Raw Data'!$D$4:$D$5000,"*** Mnemonic not found ***",0)</f>
        <v>*** Mnemonic not found ***</v>
      </c>
      <c r="F536" t="str">
        <f t="shared" si="215"/>
        <v>SUCMRUR1NFCERGNA_10TO20__</v>
      </c>
      <c r="H536" s="9" t="s">
        <v>1137</v>
      </c>
      <c r="K536" s="9">
        <f t="shared" si="213"/>
        <v>195</v>
      </c>
      <c r="L536" s="9" t="str">
        <f t="shared" si="214"/>
        <v>M</v>
      </c>
      <c r="M536" s="9" t="str">
        <f t="shared" si="216"/>
        <v>Input!M195</v>
      </c>
      <c r="N536" s="9">
        <f>_xlfn.XLOOKUP(F536,'Raw Data'!$I$4:$I$5000,'Raw Data'!$E$4:$E$5000,100,0)</f>
        <v>100</v>
      </c>
      <c r="O536" s="9" t="str">
        <f>IF(N536=0,_xlfn.XLOOKUP(F536,'Raw Data'!$I$4:$I$5000,'Raw Data'!$H$4:$H$5000,"",0),"")</f>
        <v/>
      </c>
      <c r="P536" s="9" t="str" cm="1">
        <f t="array" aca="1" ref="P536" ca="1">IF(INDIRECT(M536) = "","",INDIRECT(M536))</f>
        <v/>
      </c>
      <c r="Q536" s="359" t="s">
        <v>4381</v>
      </c>
    </row>
    <row r="537" spans="1:17" x14ac:dyDescent="0.35">
      <c r="A537" t="s">
        <v>1492</v>
      </c>
      <c r="E537" t="str">
        <f>_xlfn.XLOOKUP(F537,'Raw Data'!$I$4:$I$5000,'Raw Data'!$D$4:$D$5000,"*** Mnemonic not found ***",0)</f>
        <v>*** Mnemonic not found ***</v>
      </c>
      <c r="F537" t="str">
        <f t="shared" si="215"/>
        <v>SUCMRUR1NFCERG1_GRTR20__</v>
      </c>
      <c r="H537" s="9" t="s">
        <v>1137</v>
      </c>
      <c r="K537" s="9">
        <f t="shared" si="213"/>
        <v>196</v>
      </c>
      <c r="L537" s="9" t="str">
        <f t="shared" si="214"/>
        <v>C</v>
      </c>
      <c r="M537" s="9" t="str">
        <f t="shared" si="216"/>
        <v>Input!C196</v>
      </c>
      <c r="N537" s="9">
        <f>_xlfn.XLOOKUP(F537,'Raw Data'!$I$4:$I$5000,'Raw Data'!$E$4:$E$5000,100,0)</f>
        <v>100</v>
      </c>
      <c r="O537" s="9" t="str">
        <f>IF(N537=0,_xlfn.XLOOKUP(F537,'Raw Data'!$I$4:$I$5000,'Raw Data'!$H$4:$H$5000,"",0),"")</f>
        <v/>
      </c>
      <c r="P537" s="9" t="str" cm="1">
        <f t="array" aca="1" ref="P537" ca="1">IF(INDIRECT(M537) = "","",INDIRECT(M537))</f>
        <v/>
      </c>
      <c r="Q537" s="359" t="s">
        <v>4381</v>
      </c>
    </row>
    <row r="538" spans="1:17" x14ac:dyDescent="0.35">
      <c r="A538" t="s">
        <v>1496</v>
      </c>
      <c r="E538" t="str">
        <f>_xlfn.XLOOKUP(F538,'Raw Data'!$I$4:$I$5000,'Raw Data'!$D$4:$D$5000,"*** Mnemonic not found ***",0)</f>
        <v>*** Mnemonic not found ***</v>
      </c>
      <c r="F538" t="str">
        <f t="shared" si="215"/>
        <v>SUCMRUR1NFCERG2_GRTR20__</v>
      </c>
      <c r="H538" s="9" t="s">
        <v>1137</v>
      </c>
      <c r="K538" s="9">
        <f t="shared" si="213"/>
        <v>196</v>
      </c>
      <c r="L538" s="9" t="str">
        <f t="shared" si="214"/>
        <v>D</v>
      </c>
      <c r="M538" s="9" t="str">
        <f t="shared" si="216"/>
        <v>Input!D196</v>
      </c>
      <c r="N538" s="9">
        <f>_xlfn.XLOOKUP(F538,'Raw Data'!$I$4:$I$5000,'Raw Data'!$E$4:$E$5000,100,0)</f>
        <v>100</v>
      </c>
      <c r="O538" s="9" t="str">
        <f>IF(N538=0,_xlfn.XLOOKUP(F538,'Raw Data'!$I$4:$I$5000,'Raw Data'!$H$4:$H$5000,"",0),"")</f>
        <v/>
      </c>
      <c r="P538" s="9" t="str" cm="1">
        <f t="array" aca="1" ref="P538" ca="1">IF(INDIRECT(M538) = "","",INDIRECT(M538))</f>
        <v/>
      </c>
      <c r="Q538" s="359" t="s">
        <v>4381</v>
      </c>
    </row>
    <row r="539" spans="1:17" x14ac:dyDescent="0.35">
      <c r="A539" t="s">
        <v>1500</v>
      </c>
      <c r="E539" t="str">
        <f>_xlfn.XLOOKUP(F539,'Raw Data'!$I$4:$I$5000,'Raw Data'!$D$4:$D$5000,"*** Mnemonic not found ***",0)</f>
        <v>*** Mnemonic not found ***</v>
      </c>
      <c r="F539" t="str">
        <f t="shared" si="215"/>
        <v>SUCMRUR1NFCERG3_GRTR20__</v>
      </c>
      <c r="H539" s="9" t="s">
        <v>1137</v>
      </c>
      <c r="K539" s="9">
        <f t="shared" si="213"/>
        <v>196</v>
      </c>
      <c r="L539" s="9" t="str">
        <f t="shared" si="214"/>
        <v>E</v>
      </c>
      <c r="M539" s="9" t="str">
        <f t="shared" si="216"/>
        <v>Input!E196</v>
      </c>
      <c r="N539" s="9">
        <f>_xlfn.XLOOKUP(F539,'Raw Data'!$I$4:$I$5000,'Raw Data'!$E$4:$E$5000,100,0)</f>
        <v>100</v>
      </c>
      <c r="O539" s="9" t="str">
        <f>IF(N539=0,_xlfn.XLOOKUP(F539,'Raw Data'!$I$4:$I$5000,'Raw Data'!$H$4:$H$5000,"",0),"")</f>
        <v/>
      </c>
      <c r="P539" s="9" t="str" cm="1">
        <f t="array" aca="1" ref="P539" ca="1">IF(INDIRECT(M539) = "","",INDIRECT(M539))</f>
        <v/>
      </c>
      <c r="Q539" s="359" t="s">
        <v>4381</v>
      </c>
    </row>
    <row r="540" spans="1:17" x14ac:dyDescent="0.35">
      <c r="A540" t="s">
        <v>1504</v>
      </c>
      <c r="E540" t="str">
        <f>_xlfn.XLOOKUP(F540,'Raw Data'!$I$4:$I$5000,'Raw Data'!$D$4:$D$5000,"*** Mnemonic not found ***",0)</f>
        <v>*** Mnemonic not found ***</v>
      </c>
      <c r="F540" t="str">
        <f t="shared" si="215"/>
        <v>SUCMRUR1NFCERG4_GRTR20__</v>
      </c>
      <c r="H540" s="9" t="s">
        <v>1137</v>
      </c>
      <c r="K540" s="9">
        <f t="shared" si="213"/>
        <v>196</v>
      </c>
      <c r="L540" s="9" t="str">
        <f t="shared" si="214"/>
        <v>F</v>
      </c>
      <c r="M540" s="9" t="str">
        <f t="shared" si="216"/>
        <v>Input!F196</v>
      </c>
      <c r="N540" s="9">
        <f>_xlfn.XLOOKUP(F540,'Raw Data'!$I$4:$I$5000,'Raw Data'!$E$4:$E$5000,100,0)</f>
        <v>100</v>
      </c>
      <c r="O540" s="9" t="str">
        <f>IF(N540=0,_xlfn.XLOOKUP(F540,'Raw Data'!$I$4:$I$5000,'Raw Data'!$H$4:$H$5000,"",0),"")</f>
        <v/>
      </c>
      <c r="P540" s="9" t="str" cm="1">
        <f t="array" aca="1" ref="P540" ca="1">IF(INDIRECT(M540) = "","",INDIRECT(M540))</f>
        <v/>
      </c>
      <c r="Q540" s="359" t="s">
        <v>4381</v>
      </c>
    </row>
    <row r="541" spans="1:17" x14ac:dyDescent="0.35">
      <c r="A541" t="s">
        <v>1508</v>
      </c>
      <c r="E541" t="str">
        <f>_xlfn.XLOOKUP(F541,'Raw Data'!$I$4:$I$5000,'Raw Data'!$D$4:$D$5000,"*** Mnemonic not found ***",0)</f>
        <v>*** Mnemonic not found ***</v>
      </c>
      <c r="F541" t="str">
        <f t="shared" si="215"/>
        <v>SUCMRUR1NFCERG5_GRTR20__</v>
      </c>
      <c r="H541" s="9" t="s">
        <v>1137</v>
      </c>
      <c r="K541" s="9">
        <f t="shared" si="213"/>
        <v>196</v>
      </c>
      <c r="L541" s="9" t="str">
        <f t="shared" si="214"/>
        <v>G</v>
      </c>
      <c r="M541" s="9" t="str">
        <f t="shared" si="216"/>
        <v>Input!G196</v>
      </c>
      <c r="N541" s="9">
        <f>_xlfn.XLOOKUP(F541,'Raw Data'!$I$4:$I$5000,'Raw Data'!$E$4:$E$5000,100,0)</f>
        <v>100</v>
      </c>
      <c r="O541" s="9" t="str">
        <f>IF(N541=0,_xlfn.XLOOKUP(F541,'Raw Data'!$I$4:$I$5000,'Raw Data'!$H$4:$H$5000,"",0),"")</f>
        <v/>
      </c>
      <c r="P541" s="9" t="str" cm="1">
        <f t="array" aca="1" ref="P541" ca="1">IF(INDIRECT(M541) = "","",INDIRECT(M541))</f>
        <v/>
      </c>
      <c r="Q541" s="359" t="s">
        <v>4381</v>
      </c>
    </row>
    <row r="542" spans="1:17" x14ac:dyDescent="0.35">
      <c r="A542" t="s">
        <v>1512</v>
      </c>
      <c r="E542" t="str">
        <f>_xlfn.XLOOKUP(F542,'Raw Data'!$I$4:$I$5000,'Raw Data'!$D$4:$D$5000,"*** Mnemonic not found ***",0)</f>
        <v>*** Mnemonic not found ***</v>
      </c>
      <c r="F542" t="str">
        <f t="shared" si="215"/>
        <v>SUCMRUR1NFCERG6_GRTR20__</v>
      </c>
      <c r="H542" s="9" t="s">
        <v>1137</v>
      </c>
      <c r="K542" s="9">
        <f t="shared" si="213"/>
        <v>196</v>
      </c>
      <c r="L542" s="9" t="str">
        <f t="shared" si="214"/>
        <v>H</v>
      </c>
      <c r="M542" s="9" t="str">
        <f t="shared" si="216"/>
        <v>Input!H196</v>
      </c>
      <c r="N542" s="9">
        <f>_xlfn.XLOOKUP(F542,'Raw Data'!$I$4:$I$5000,'Raw Data'!$E$4:$E$5000,100,0)</f>
        <v>100</v>
      </c>
      <c r="O542" s="9" t="str">
        <f>IF(N542=0,_xlfn.XLOOKUP(F542,'Raw Data'!$I$4:$I$5000,'Raw Data'!$H$4:$H$5000,"",0),"")</f>
        <v/>
      </c>
      <c r="P542" s="9" t="str" cm="1">
        <f t="array" aca="1" ref="P542" ca="1">IF(INDIRECT(M542) = "","",INDIRECT(M542))</f>
        <v/>
      </c>
      <c r="Q542" s="359" t="s">
        <v>4381</v>
      </c>
    </row>
    <row r="543" spans="1:17" x14ac:dyDescent="0.35">
      <c r="A543" t="s">
        <v>1516</v>
      </c>
      <c r="E543" t="str">
        <f>_xlfn.XLOOKUP(F543,'Raw Data'!$I$4:$I$5000,'Raw Data'!$D$4:$D$5000,"*** Mnemonic not found ***",0)</f>
        <v>*** Mnemonic not found ***</v>
      </c>
      <c r="F543" t="str">
        <f t="shared" si="215"/>
        <v>SUCMRUR1NFCERG7_GRTR20__</v>
      </c>
      <c r="H543" s="9" t="s">
        <v>1137</v>
      </c>
      <c r="K543" s="9">
        <f t="shared" si="213"/>
        <v>196</v>
      </c>
      <c r="L543" s="9" t="str">
        <f t="shared" si="214"/>
        <v>I</v>
      </c>
      <c r="M543" s="9" t="str">
        <f t="shared" si="216"/>
        <v>Input!I196</v>
      </c>
      <c r="N543" s="9">
        <f>_xlfn.XLOOKUP(F543,'Raw Data'!$I$4:$I$5000,'Raw Data'!$E$4:$E$5000,100,0)</f>
        <v>100</v>
      </c>
      <c r="O543" s="9" t="str">
        <f>IF(N543=0,_xlfn.XLOOKUP(F543,'Raw Data'!$I$4:$I$5000,'Raw Data'!$H$4:$H$5000,"",0),"")</f>
        <v/>
      </c>
      <c r="P543" s="9" t="str" cm="1">
        <f t="array" aca="1" ref="P543" ca="1">IF(INDIRECT(M543) = "","",INDIRECT(M543))</f>
        <v/>
      </c>
      <c r="Q543" s="359" t="s">
        <v>4381</v>
      </c>
    </row>
    <row r="544" spans="1:17" x14ac:dyDescent="0.35">
      <c r="A544" t="s">
        <v>1520</v>
      </c>
      <c r="E544" t="str">
        <f>_xlfn.XLOOKUP(F544,'Raw Data'!$I$4:$I$5000,'Raw Data'!$D$4:$D$5000,"*** Mnemonic not found ***",0)</f>
        <v>*** Mnemonic not found ***</v>
      </c>
      <c r="F544" t="str">
        <f t="shared" si="215"/>
        <v>SUCMRUR1NFCERG8_GRTR20__</v>
      </c>
      <c r="H544" s="9" t="s">
        <v>1137</v>
      </c>
      <c r="K544" s="9">
        <f t="shared" si="213"/>
        <v>196</v>
      </c>
      <c r="L544" s="9" t="str">
        <f t="shared" si="214"/>
        <v>J</v>
      </c>
      <c r="M544" s="9" t="str">
        <f t="shared" si="216"/>
        <v>Input!J196</v>
      </c>
      <c r="N544" s="9">
        <f>_xlfn.XLOOKUP(F544,'Raw Data'!$I$4:$I$5000,'Raw Data'!$E$4:$E$5000,100,0)</f>
        <v>100</v>
      </c>
      <c r="O544" s="9" t="str">
        <f>IF(N544=0,_xlfn.XLOOKUP(F544,'Raw Data'!$I$4:$I$5000,'Raw Data'!$H$4:$H$5000,"",0),"")</f>
        <v/>
      </c>
      <c r="P544" s="9" t="str" cm="1">
        <f t="array" aca="1" ref="P544" ca="1">IF(INDIRECT(M544) = "","",INDIRECT(M544))</f>
        <v/>
      </c>
      <c r="Q544" s="359" t="s">
        <v>4381</v>
      </c>
    </row>
    <row r="545" spans="1:17" x14ac:dyDescent="0.35">
      <c r="A545" t="s">
        <v>1524</v>
      </c>
      <c r="E545" t="str">
        <f>_xlfn.XLOOKUP(F545,'Raw Data'!$I$4:$I$5000,'Raw Data'!$D$4:$D$5000,"*** Mnemonic not found ***",0)</f>
        <v>*** Mnemonic not found ***</v>
      </c>
      <c r="F545" t="str">
        <f t="shared" si="215"/>
        <v>SUCMRUR1NFCERG9_GRTR20__</v>
      </c>
      <c r="H545" s="9" t="s">
        <v>1137</v>
      </c>
      <c r="K545" s="9">
        <f t="shared" si="213"/>
        <v>196</v>
      </c>
      <c r="L545" s="9" t="str">
        <f t="shared" si="214"/>
        <v>K</v>
      </c>
      <c r="M545" s="9" t="str">
        <f t="shared" si="216"/>
        <v>Input!K196</v>
      </c>
      <c r="N545" s="9">
        <f>_xlfn.XLOOKUP(F545,'Raw Data'!$I$4:$I$5000,'Raw Data'!$E$4:$E$5000,100,0)</f>
        <v>100</v>
      </c>
      <c r="O545" s="9" t="str">
        <f>IF(N545=0,_xlfn.XLOOKUP(F545,'Raw Data'!$I$4:$I$5000,'Raw Data'!$H$4:$H$5000,"",0),"")</f>
        <v/>
      </c>
      <c r="P545" s="9" t="str" cm="1">
        <f t="array" aca="1" ref="P545" ca="1">IF(INDIRECT(M545) = "","",INDIRECT(M545))</f>
        <v/>
      </c>
      <c r="Q545" s="359" t="s">
        <v>4381</v>
      </c>
    </row>
    <row r="546" spans="1:17" x14ac:dyDescent="0.35">
      <c r="A546" t="s">
        <v>1528</v>
      </c>
      <c r="E546" t="str">
        <f>_xlfn.XLOOKUP(F546,'Raw Data'!$I$4:$I$5000,'Raw Data'!$D$4:$D$5000,"*** Mnemonic not found ***",0)</f>
        <v>*** Mnemonic not found ***</v>
      </c>
      <c r="F546" t="str">
        <f t="shared" si="215"/>
        <v>SUCMRUR1NFCERG10_GRTR20__</v>
      </c>
      <c r="H546" s="9" t="s">
        <v>1137</v>
      </c>
      <c r="K546" s="9">
        <f t="shared" si="213"/>
        <v>196</v>
      </c>
      <c r="L546" s="9" t="str">
        <f t="shared" si="214"/>
        <v>L</v>
      </c>
      <c r="M546" s="9" t="str">
        <f t="shared" si="216"/>
        <v>Input!L196</v>
      </c>
      <c r="N546" s="9">
        <f>_xlfn.XLOOKUP(F546,'Raw Data'!$I$4:$I$5000,'Raw Data'!$E$4:$E$5000,100,0)</f>
        <v>100</v>
      </c>
      <c r="O546" s="9" t="str">
        <f>IF(N546=0,_xlfn.XLOOKUP(F546,'Raw Data'!$I$4:$I$5000,'Raw Data'!$H$4:$H$5000,"",0),"")</f>
        <v/>
      </c>
      <c r="P546" s="9" t="str" cm="1">
        <f t="array" aca="1" ref="P546" ca="1">IF(INDIRECT(M546) = "","",INDIRECT(M546))</f>
        <v/>
      </c>
      <c r="Q546" s="359" t="s">
        <v>4381</v>
      </c>
    </row>
    <row r="547" spans="1:17" x14ac:dyDescent="0.35">
      <c r="A547" t="s">
        <v>1532</v>
      </c>
      <c r="E547" t="str">
        <f>_xlfn.XLOOKUP(F547,'Raw Data'!$I$4:$I$5000,'Raw Data'!$D$4:$D$5000,"*** Mnemonic not found ***",0)</f>
        <v>*** Mnemonic not found ***</v>
      </c>
      <c r="F547" t="str">
        <f t="shared" si="215"/>
        <v>SUCMRUR1NFCERGNA_GRTR20__</v>
      </c>
      <c r="H547" s="9" t="s">
        <v>1137</v>
      </c>
      <c r="K547" s="9">
        <f t="shared" si="213"/>
        <v>196</v>
      </c>
      <c r="L547" s="9" t="str">
        <f t="shared" si="214"/>
        <v>M</v>
      </c>
      <c r="M547" s="9" t="str">
        <f t="shared" si="216"/>
        <v>Input!M196</v>
      </c>
      <c r="N547" s="9">
        <f>_xlfn.XLOOKUP(F547,'Raw Data'!$I$4:$I$5000,'Raw Data'!$E$4:$E$5000,100,0)</f>
        <v>100</v>
      </c>
      <c r="O547" s="9" t="str">
        <f>IF(N547=0,_xlfn.XLOOKUP(F547,'Raw Data'!$I$4:$I$5000,'Raw Data'!$H$4:$H$5000,"",0),"")</f>
        <v/>
      </c>
      <c r="P547" s="9" t="str" cm="1">
        <f t="array" aca="1" ref="P547" ca="1">IF(INDIRECT(M547) = "","",INDIRECT(M547))</f>
        <v/>
      </c>
      <c r="Q547" s="359" t="s">
        <v>4381</v>
      </c>
    </row>
    <row r="548" spans="1:17" x14ac:dyDescent="0.35">
      <c r="A548" t="s">
        <v>1533</v>
      </c>
      <c r="E548" t="str">
        <f>_xlfn.XLOOKUP(F548,'Raw Data'!$I$4:$I$5000,'Raw Data'!$D$4:$D$5000,"*** Mnemonic not found ***",0)</f>
        <v>*** Mnemonic not found ***</v>
      </c>
      <c r="F548" t="str">
        <f t="shared" si="215"/>
        <v>SUCMRUR2NFCERG1_LESS1__</v>
      </c>
      <c r="H548" s="9" t="s">
        <v>1137</v>
      </c>
      <c r="I548" s="289">
        <f>ROW(section_bonds_sp_unrated_step_4)</f>
        <v>187</v>
      </c>
      <c r="J548" s="9">
        <f>J493+10</f>
        <v>15</v>
      </c>
      <c r="K548" s="9">
        <f>I548+J548</f>
        <v>202</v>
      </c>
      <c r="L548" s="9" t="str">
        <f>L537</f>
        <v>C</v>
      </c>
      <c r="M548" s="9" t="str">
        <f t="shared" si="216"/>
        <v>Input!C202</v>
      </c>
      <c r="N548" s="9">
        <f>_xlfn.XLOOKUP(F548,'Raw Data'!$I$4:$I$5000,'Raw Data'!$E$4:$E$5000,100,0)</f>
        <v>100</v>
      </c>
      <c r="O548" s="9" t="str">
        <f>IF(N548=0,_xlfn.XLOOKUP(F548,'Raw Data'!$I$4:$I$5000,'Raw Data'!$H$4:$H$5000,"",0),"")</f>
        <v/>
      </c>
      <c r="P548" s="9" t="str" cm="1">
        <f t="array" aca="1" ref="P548" ca="1">IF(INDIRECT(M548) = "","",INDIRECT(M548))</f>
        <v/>
      </c>
      <c r="Q548" s="359" t="s">
        <v>4381</v>
      </c>
    </row>
    <row r="549" spans="1:17" x14ac:dyDescent="0.35">
      <c r="A549" t="s">
        <v>1538</v>
      </c>
      <c r="E549" t="str">
        <f>_xlfn.XLOOKUP(F549,'Raw Data'!$I$4:$I$5000,'Raw Data'!$D$4:$D$5000,"*** Mnemonic not found ***",0)</f>
        <v>*** Mnemonic not found ***</v>
      </c>
      <c r="F549" t="str">
        <f t="shared" si="215"/>
        <v>SUCMRUR2NFCERG2_LESS1__</v>
      </c>
      <c r="H549" s="9" t="s">
        <v>1137</v>
      </c>
      <c r="K549" s="9">
        <f>K548</f>
        <v>202</v>
      </c>
      <c r="L549" s="9" t="str">
        <f t="shared" ref="L549:L558" si="217">L538</f>
        <v>D</v>
      </c>
      <c r="M549" s="9" t="str">
        <f t="shared" si="216"/>
        <v>Input!D202</v>
      </c>
      <c r="N549" s="9">
        <f>_xlfn.XLOOKUP(F549,'Raw Data'!$I$4:$I$5000,'Raw Data'!$E$4:$E$5000,100,0)</f>
        <v>100</v>
      </c>
      <c r="O549" s="9" t="str">
        <f>IF(N549=0,_xlfn.XLOOKUP(F549,'Raw Data'!$I$4:$I$5000,'Raw Data'!$H$4:$H$5000,"",0),"")</f>
        <v/>
      </c>
      <c r="P549" s="9" t="str" cm="1">
        <f t="array" aca="1" ref="P549" ca="1">IF(INDIRECT(M549) = "","",INDIRECT(M549))</f>
        <v/>
      </c>
      <c r="Q549" s="359" t="s">
        <v>4381</v>
      </c>
    </row>
    <row r="550" spans="1:17" x14ac:dyDescent="0.35">
      <c r="A550" t="s">
        <v>1543</v>
      </c>
      <c r="E550" t="str">
        <f>_xlfn.XLOOKUP(F550,'Raw Data'!$I$4:$I$5000,'Raw Data'!$D$4:$D$5000,"*** Mnemonic not found ***",0)</f>
        <v>*** Mnemonic not found ***</v>
      </c>
      <c r="F550" t="str">
        <f t="shared" si="215"/>
        <v>SUCMRUR2NFCERG3_LESS1__</v>
      </c>
      <c r="H550" s="9" t="s">
        <v>1137</v>
      </c>
      <c r="K550" s="9">
        <f t="shared" ref="K550:K558" si="218">K549</f>
        <v>202</v>
      </c>
      <c r="L550" s="9" t="str">
        <f t="shared" si="217"/>
        <v>E</v>
      </c>
      <c r="M550" s="9" t="str">
        <f t="shared" si="216"/>
        <v>Input!E202</v>
      </c>
      <c r="N550" s="9">
        <f>_xlfn.XLOOKUP(F550,'Raw Data'!$I$4:$I$5000,'Raw Data'!$E$4:$E$5000,100,0)</f>
        <v>100</v>
      </c>
      <c r="O550" s="9" t="str">
        <f>IF(N550=0,_xlfn.XLOOKUP(F550,'Raw Data'!$I$4:$I$5000,'Raw Data'!$H$4:$H$5000,"",0),"")</f>
        <v/>
      </c>
      <c r="P550" s="9" t="str" cm="1">
        <f t="array" aca="1" ref="P550" ca="1">IF(INDIRECT(M550) = "","",INDIRECT(M550))</f>
        <v/>
      </c>
      <c r="Q550" s="359" t="s">
        <v>4381</v>
      </c>
    </row>
    <row r="551" spans="1:17" x14ac:dyDescent="0.35">
      <c r="A551" t="s">
        <v>1548</v>
      </c>
      <c r="E551" t="str">
        <f>_xlfn.XLOOKUP(F551,'Raw Data'!$I$4:$I$5000,'Raw Data'!$D$4:$D$5000,"*** Mnemonic not found ***",0)</f>
        <v>*** Mnemonic not found ***</v>
      </c>
      <c r="F551" t="str">
        <f t="shared" si="215"/>
        <v>SUCMRUR2NFCERG4_LESS1__</v>
      </c>
      <c r="H551" s="9" t="s">
        <v>1137</v>
      </c>
      <c r="K551" s="9">
        <f t="shared" si="218"/>
        <v>202</v>
      </c>
      <c r="L551" s="9" t="str">
        <f t="shared" si="217"/>
        <v>F</v>
      </c>
      <c r="M551" s="9" t="str">
        <f t="shared" si="216"/>
        <v>Input!F202</v>
      </c>
      <c r="N551" s="9">
        <f>_xlfn.XLOOKUP(F551,'Raw Data'!$I$4:$I$5000,'Raw Data'!$E$4:$E$5000,100,0)</f>
        <v>100</v>
      </c>
      <c r="O551" s="9" t="str">
        <f>IF(N551=0,_xlfn.XLOOKUP(F551,'Raw Data'!$I$4:$I$5000,'Raw Data'!$H$4:$H$5000,"",0),"")</f>
        <v/>
      </c>
      <c r="P551" s="9" t="str" cm="1">
        <f t="array" aca="1" ref="P551" ca="1">IF(INDIRECT(M551) = "","",INDIRECT(M551))</f>
        <v/>
      </c>
      <c r="Q551" s="359" t="s">
        <v>4381</v>
      </c>
    </row>
    <row r="552" spans="1:17" x14ac:dyDescent="0.35">
      <c r="A552" t="s">
        <v>1553</v>
      </c>
      <c r="E552" t="str">
        <f>_xlfn.XLOOKUP(F552,'Raw Data'!$I$4:$I$5000,'Raw Data'!$D$4:$D$5000,"*** Mnemonic not found ***",0)</f>
        <v>*** Mnemonic not found ***</v>
      </c>
      <c r="F552" t="str">
        <f t="shared" si="215"/>
        <v>SUCMRUR2NFCERG5_LESS1__</v>
      </c>
      <c r="H552" s="9" t="s">
        <v>1137</v>
      </c>
      <c r="K552" s="9">
        <f t="shared" si="218"/>
        <v>202</v>
      </c>
      <c r="L552" s="9" t="str">
        <f t="shared" si="217"/>
        <v>G</v>
      </c>
      <c r="M552" s="9" t="str">
        <f t="shared" si="216"/>
        <v>Input!G202</v>
      </c>
      <c r="N552" s="9">
        <f>_xlfn.XLOOKUP(F552,'Raw Data'!$I$4:$I$5000,'Raw Data'!$E$4:$E$5000,100,0)</f>
        <v>100</v>
      </c>
      <c r="O552" s="9" t="str">
        <f>IF(N552=0,_xlfn.XLOOKUP(F552,'Raw Data'!$I$4:$I$5000,'Raw Data'!$H$4:$H$5000,"",0),"")</f>
        <v/>
      </c>
      <c r="P552" s="9" t="str" cm="1">
        <f t="array" aca="1" ref="P552" ca="1">IF(INDIRECT(M552) = "","",INDIRECT(M552))</f>
        <v/>
      </c>
      <c r="Q552" s="359" t="s">
        <v>4381</v>
      </c>
    </row>
    <row r="553" spans="1:17" x14ac:dyDescent="0.35">
      <c r="A553" t="s">
        <v>1558</v>
      </c>
      <c r="E553" t="str">
        <f>_xlfn.XLOOKUP(F553,'Raw Data'!$I$4:$I$5000,'Raw Data'!$D$4:$D$5000,"*** Mnemonic not found ***",0)</f>
        <v>*** Mnemonic not found ***</v>
      </c>
      <c r="F553" t="str">
        <f t="shared" si="215"/>
        <v>SUCMRUR2NFCERG6_LESS1__</v>
      </c>
      <c r="H553" s="9" t="s">
        <v>1137</v>
      </c>
      <c r="K553" s="9">
        <f t="shared" si="218"/>
        <v>202</v>
      </c>
      <c r="L553" s="9" t="str">
        <f t="shared" si="217"/>
        <v>H</v>
      </c>
      <c r="M553" s="9" t="str">
        <f t="shared" si="216"/>
        <v>Input!H202</v>
      </c>
      <c r="N553" s="9">
        <f>_xlfn.XLOOKUP(F553,'Raw Data'!$I$4:$I$5000,'Raw Data'!$E$4:$E$5000,100,0)</f>
        <v>100</v>
      </c>
      <c r="O553" s="9" t="str">
        <f>IF(N553=0,_xlfn.XLOOKUP(F553,'Raw Data'!$I$4:$I$5000,'Raw Data'!$H$4:$H$5000,"",0),"")</f>
        <v/>
      </c>
      <c r="P553" s="9" t="str" cm="1">
        <f t="array" aca="1" ref="P553" ca="1">IF(INDIRECT(M553) = "","",INDIRECT(M553))</f>
        <v/>
      </c>
      <c r="Q553" s="359" t="s">
        <v>4381</v>
      </c>
    </row>
    <row r="554" spans="1:17" x14ac:dyDescent="0.35">
      <c r="A554" t="s">
        <v>1563</v>
      </c>
      <c r="E554" t="str">
        <f>_xlfn.XLOOKUP(F554,'Raw Data'!$I$4:$I$5000,'Raw Data'!$D$4:$D$5000,"*** Mnemonic not found ***",0)</f>
        <v>*** Mnemonic not found ***</v>
      </c>
      <c r="F554" t="str">
        <f t="shared" si="215"/>
        <v>SUCMRUR2NFCERG7_LESS1__</v>
      </c>
      <c r="H554" s="9" t="s">
        <v>1137</v>
      </c>
      <c r="K554" s="9">
        <f t="shared" si="218"/>
        <v>202</v>
      </c>
      <c r="L554" s="9" t="str">
        <f t="shared" si="217"/>
        <v>I</v>
      </c>
      <c r="M554" s="9" t="str">
        <f t="shared" si="216"/>
        <v>Input!I202</v>
      </c>
      <c r="N554" s="9">
        <f>_xlfn.XLOOKUP(F554,'Raw Data'!$I$4:$I$5000,'Raw Data'!$E$4:$E$5000,100,0)</f>
        <v>100</v>
      </c>
      <c r="O554" s="9" t="str">
        <f>IF(N554=0,_xlfn.XLOOKUP(F554,'Raw Data'!$I$4:$I$5000,'Raw Data'!$H$4:$H$5000,"",0),"")</f>
        <v/>
      </c>
      <c r="P554" s="9" t="str" cm="1">
        <f t="array" aca="1" ref="P554" ca="1">IF(INDIRECT(M554) = "","",INDIRECT(M554))</f>
        <v/>
      </c>
      <c r="Q554" s="359" t="s">
        <v>4381</v>
      </c>
    </row>
    <row r="555" spans="1:17" x14ac:dyDescent="0.35">
      <c r="A555" t="s">
        <v>1568</v>
      </c>
      <c r="E555" t="str">
        <f>_xlfn.XLOOKUP(F555,'Raw Data'!$I$4:$I$5000,'Raw Data'!$D$4:$D$5000,"*** Mnemonic not found ***",0)</f>
        <v>*** Mnemonic not found ***</v>
      </c>
      <c r="F555" t="str">
        <f t="shared" si="215"/>
        <v>SUCMRUR2NFCERG8_LESS1__</v>
      </c>
      <c r="H555" s="9" t="s">
        <v>1137</v>
      </c>
      <c r="K555" s="9">
        <f t="shared" si="218"/>
        <v>202</v>
      </c>
      <c r="L555" s="9" t="str">
        <f t="shared" si="217"/>
        <v>J</v>
      </c>
      <c r="M555" s="9" t="str">
        <f t="shared" si="216"/>
        <v>Input!J202</v>
      </c>
      <c r="N555" s="9">
        <f>_xlfn.XLOOKUP(F555,'Raw Data'!$I$4:$I$5000,'Raw Data'!$E$4:$E$5000,100,0)</f>
        <v>100</v>
      </c>
      <c r="O555" s="9" t="str">
        <f>IF(N555=0,_xlfn.XLOOKUP(F555,'Raw Data'!$I$4:$I$5000,'Raw Data'!$H$4:$H$5000,"",0),"")</f>
        <v/>
      </c>
      <c r="P555" s="9" t="str" cm="1">
        <f t="array" aca="1" ref="P555" ca="1">IF(INDIRECT(M555) = "","",INDIRECT(M555))</f>
        <v/>
      </c>
      <c r="Q555" s="359" t="s">
        <v>4381</v>
      </c>
    </row>
    <row r="556" spans="1:17" x14ac:dyDescent="0.35">
      <c r="A556" t="s">
        <v>1573</v>
      </c>
      <c r="E556" t="str">
        <f>_xlfn.XLOOKUP(F556,'Raw Data'!$I$4:$I$5000,'Raw Data'!$D$4:$D$5000,"*** Mnemonic not found ***",0)</f>
        <v>*** Mnemonic not found ***</v>
      </c>
      <c r="F556" t="str">
        <f t="shared" si="215"/>
        <v>SUCMRUR2NFCERG9_LESS1__</v>
      </c>
      <c r="H556" s="9" t="s">
        <v>1137</v>
      </c>
      <c r="K556" s="9">
        <f t="shared" si="218"/>
        <v>202</v>
      </c>
      <c r="L556" s="9" t="str">
        <f t="shared" si="217"/>
        <v>K</v>
      </c>
      <c r="M556" s="9" t="str">
        <f t="shared" si="216"/>
        <v>Input!K202</v>
      </c>
      <c r="N556" s="9">
        <f>_xlfn.XLOOKUP(F556,'Raw Data'!$I$4:$I$5000,'Raw Data'!$E$4:$E$5000,100,0)</f>
        <v>100</v>
      </c>
      <c r="O556" s="9" t="str">
        <f>IF(N556=0,_xlfn.XLOOKUP(F556,'Raw Data'!$I$4:$I$5000,'Raw Data'!$H$4:$H$5000,"",0),"")</f>
        <v/>
      </c>
      <c r="P556" s="9" t="str" cm="1">
        <f t="array" aca="1" ref="P556" ca="1">IF(INDIRECT(M556) = "","",INDIRECT(M556))</f>
        <v/>
      </c>
      <c r="Q556" s="359" t="s">
        <v>4381</v>
      </c>
    </row>
    <row r="557" spans="1:17" x14ac:dyDescent="0.35">
      <c r="A557" t="s">
        <v>1578</v>
      </c>
      <c r="E557" t="str">
        <f>_xlfn.XLOOKUP(F557,'Raw Data'!$I$4:$I$5000,'Raw Data'!$D$4:$D$5000,"*** Mnemonic not found ***",0)</f>
        <v>*** Mnemonic not found ***</v>
      </c>
      <c r="F557" t="str">
        <f t="shared" si="215"/>
        <v>SUCMRUR2NFCERG10_LESS1__</v>
      </c>
      <c r="H557" s="9" t="s">
        <v>1137</v>
      </c>
      <c r="K557" s="9">
        <f t="shared" si="218"/>
        <v>202</v>
      </c>
      <c r="L557" s="9" t="str">
        <f t="shared" si="217"/>
        <v>L</v>
      </c>
      <c r="M557" s="9" t="str">
        <f t="shared" si="216"/>
        <v>Input!L202</v>
      </c>
      <c r="N557" s="9">
        <f>_xlfn.XLOOKUP(F557,'Raw Data'!$I$4:$I$5000,'Raw Data'!$E$4:$E$5000,100,0)</f>
        <v>100</v>
      </c>
      <c r="O557" s="9" t="str">
        <f>IF(N557=0,_xlfn.XLOOKUP(F557,'Raw Data'!$I$4:$I$5000,'Raw Data'!$H$4:$H$5000,"",0),"")</f>
        <v/>
      </c>
      <c r="P557" s="9" t="str" cm="1">
        <f t="array" aca="1" ref="P557" ca="1">IF(INDIRECT(M557) = "","",INDIRECT(M557))</f>
        <v/>
      </c>
      <c r="Q557" s="359" t="s">
        <v>4381</v>
      </c>
    </row>
    <row r="558" spans="1:17" x14ac:dyDescent="0.35">
      <c r="A558" t="s">
        <v>1583</v>
      </c>
      <c r="E558" t="str">
        <f>_xlfn.XLOOKUP(F558,'Raw Data'!$I$4:$I$5000,'Raw Data'!$D$4:$D$5000,"*** Mnemonic not found ***",0)</f>
        <v>*** Mnemonic not found ***</v>
      </c>
      <c r="F558" t="str">
        <f t="shared" si="215"/>
        <v>SUCMRUR2NFCERGNA_LESS1__</v>
      </c>
      <c r="H558" s="9" t="s">
        <v>1137</v>
      </c>
      <c r="K558" s="9">
        <f t="shared" si="218"/>
        <v>202</v>
      </c>
      <c r="L558" s="9" t="str">
        <f t="shared" si="217"/>
        <v>M</v>
      </c>
      <c r="M558" s="9" t="str">
        <f t="shared" si="216"/>
        <v>Input!M202</v>
      </c>
      <c r="N558" s="9">
        <f>_xlfn.XLOOKUP(F558,'Raw Data'!$I$4:$I$5000,'Raw Data'!$E$4:$E$5000,100,0)</f>
        <v>100</v>
      </c>
      <c r="O558" s="9" t="str">
        <f>IF(N558=0,_xlfn.XLOOKUP(F558,'Raw Data'!$I$4:$I$5000,'Raw Data'!$H$4:$H$5000,"",0),"")</f>
        <v/>
      </c>
      <c r="P558" s="9" t="str" cm="1">
        <f t="array" aca="1" ref="P558" ca="1">IF(INDIRECT(M558) = "","",INDIRECT(M558))</f>
        <v/>
      </c>
      <c r="Q558" s="359" t="s">
        <v>4381</v>
      </c>
    </row>
    <row r="559" spans="1:17" x14ac:dyDescent="0.35">
      <c r="A559" t="s">
        <v>1534</v>
      </c>
      <c r="E559" t="str">
        <f>_xlfn.XLOOKUP(F559,'Raw Data'!$I$4:$I$5000,'Raw Data'!$D$4:$D$5000,"*** Mnemonic not found ***",0)</f>
        <v>*** Mnemonic not found ***</v>
      </c>
      <c r="F559" t="str">
        <f t="shared" si="215"/>
        <v>SUCMRUR2NFCERG1_1TO5__</v>
      </c>
      <c r="H559" s="9" t="s">
        <v>1137</v>
      </c>
      <c r="K559" s="9">
        <f>K548+1</f>
        <v>203</v>
      </c>
      <c r="L559" s="9" t="str">
        <f>L548</f>
        <v>C</v>
      </c>
      <c r="M559" s="9" t="str">
        <f t="shared" si="216"/>
        <v>Input!C203</v>
      </c>
      <c r="N559" s="9">
        <f>_xlfn.XLOOKUP(F559,'Raw Data'!$I$4:$I$5000,'Raw Data'!$E$4:$E$5000,100,0)</f>
        <v>100</v>
      </c>
      <c r="O559" s="9" t="str">
        <f>IF(N559=0,_xlfn.XLOOKUP(F559,'Raw Data'!$I$4:$I$5000,'Raw Data'!$H$4:$H$5000,"",0),"")</f>
        <v/>
      </c>
      <c r="P559" s="9" t="str" cm="1">
        <f t="array" aca="1" ref="P559" ca="1">IF(INDIRECT(M559) = "","",INDIRECT(M559))</f>
        <v/>
      </c>
      <c r="Q559" s="359" t="s">
        <v>4381</v>
      </c>
    </row>
    <row r="560" spans="1:17" x14ac:dyDescent="0.35">
      <c r="A560" t="s">
        <v>1539</v>
      </c>
      <c r="E560" t="str">
        <f>_xlfn.XLOOKUP(F560,'Raw Data'!$I$4:$I$5000,'Raw Data'!$D$4:$D$5000,"*** Mnemonic not found ***",0)</f>
        <v>*** Mnemonic not found ***</v>
      </c>
      <c r="F560" t="str">
        <f t="shared" si="215"/>
        <v>SUCMRUR2NFCERG2_1TO5__</v>
      </c>
      <c r="H560" s="9" t="s">
        <v>1137</v>
      </c>
      <c r="K560" s="9">
        <f t="shared" ref="K560:K602" si="219">K549+1</f>
        <v>203</v>
      </c>
      <c r="L560" s="9" t="str">
        <f t="shared" ref="L560:L602" si="220">L549</f>
        <v>D</v>
      </c>
      <c r="M560" s="9" t="str">
        <f t="shared" si="216"/>
        <v>Input!D203</v>
      </c>
      <c r="N560" s="9">
        <f>_xlfn.XLOOKUP(F560,'Raw Data'!$I$4:$I$5000,'Raw Data'!$E$4:$E$5000,100,0)</f>
        <v>100</v>
      </c>
      <c r="O560" s="9" t="str">
        <f>IF(N560=0,_xlfn.XLOOKUP(F560,'Raw Data'!$I$4:$I$5000,'Raw Data'!$H$4:$H$5000,"",0),"")</f>
        <v/>
      </c>
      <c r="P560" s="9" t="str" cm="1">
        <f t="array" aca="1" ref="P560" ca="1">IF(INDIRECT(M560) = "","",INDIRECT(M560))</f>
        <v/>
      </c>
      <c r="Q560" s="359" t="s">
        <v>4381</v>
      </c>
    </row>
    <row r="561" spans="1:17" x14ac:dyDescent="0.35">
      <c r="A561" t="s">
        <v>1544</v>
      </c>
      <c r="E561" t="str">
        <f>_xlfn.XLOOKUP(F561,'Raw Data'!$I$4:$I$5000,'Raw Data'!$D$4:$D$5000,"*** Mnemonic not found ***",0)</f>
        <v>*** Mnemonic not found ***</v>
      </c>
      <c r="F561" t="str">
        <f t="shared" si="215"/>
        <v>SUCMRUR2NFCERG3_1TO5__</v>
      </c>
      <c r="H561" s="9" t="s">
        <v>1137</v>
      </c>
      <c r="K561" s="9">
        <f t="shared" si="219"/>
        <v>203</v>
      </c>
      <c r="L561" s="9" t="str">
        <f t="shared" si="220"/>
        <v>E</v>
      </c>
      <c r="M561" s="9" t="str">
        <f t="shared" si="216"/>
        <v>Input!E203</v>
      </c>
      <c r="N561" s="9">
        <f>_xlfn.XLOOKUP(F561,'Raw Data'!$I$4:$I$5000,'Raw Data'!$E$4:$E$5000,100,0)</f>
        <v>100</v>
      </c>
      <c r="O561" s="9" t="str">
        <f>IF(N561=0,_xlfn.XLOOKUP(F561,'Raw Data'!$I$4:$I$5000,'Raw Data'!$H$4:$H$5000,"",0),"")</f>
        <v/>
      </c>
      <c r="P561" s="9" t="str" cm="1">
        <f t="array" aca="1" ref="P561" ca="1">IF(INDIRECT(M561) = "","",INDIRECT(M561))</f>
        <v/>
      </c>
      <c r="Q561" s="359" t="s">
        <v>4381</v>
      </c>
    </row>
    <row r="562" spans="1:17" x14ac:dyDescent="0.35">
      <c r="A562" t="s">
        <v>1549</v>
      </c>
      <c r="E562" t="str">
        <f>_xlfn.XLOOKUP(F562,'Raw Data'!$I$4:$I$5000,'Raw Data'!$D$4:$D$5000,"*** Mnemonic not found ***",0)</f>
        <v>*** Mnemonic not found ***</v>
      </c>
      <c r="F562" t="str">
        <f t="shared" si="215"/>
        <v>SUCMRUR2NFCERG4_1TO5__</v>
      </c>
      <c r="H562" s="9" t="s">
        <v>1137</v>
      </c>
      <c r="K562" s="9">
        <f t="shared" si="219"/>
        <v>203</v>
      </c>
      <c r="L562" s="9" t="str">
        <f t="shared" si="220"/>
        <v>F</v>
      </c>
      <c r="M562" s="9" t="str">
        <f t="shared" si="216"/>
        <v>Input!F203</v>
      </c>
      <c r="N562" s="9">
        <f>_xlfn.XLOOKUP(F562,'Raw Data'!$I$4:$I$5000,'Raw Data'!$E$4:$E$5000,100,0)</f>
        <v>100</v>
      </c>
      <c r="O562" s="9" t="str">
        <f>IF(N562=0,_xlfn.XLOOKUP(F562,'Raw Data'!$I$4:$I$5000,'Raw Data'!$H$4:$H$5000,"",0),"")</f>
        <v/>
      </c>
      <c r="P562" s="9" t="str" cm="1">
        <f t="array" aca="1" ref="P562" ca="1">IF(INDIRECT(M562) = "","",INDIRECT(M562))</f>
        <v/>
      </c>
      <c r="Q562" s="359" t="s">
        <v>4381</v>
      </c>
    </row>
    <row r="563" spans="1:17" x14ac:dyDescent="0.35">
      <c r="A563" t="s">
        <v>1554</v>
      </c>
      <c r="E563" t="str">
        <f>_xlfn.XLOOKUP(F563,'Raw Data'!$I$4:$I$5000,'Raw Data'!$D$4:$D$5000,"*** Mnemonic not found ***",0)</f>
        <v>*** Mnemonic not found ***</v>
      </c>
      <c r="F563" t="str">
        <f t="shared" si="215"/>
        <v>SUCMRUR2NFCERG5_1TO5__</v>
      </c>
      <c r="H563" s="9" t="s">
        <v>1137</v>
      </c>
      <c r="K563" s="9">
        <f t="shared" si="219"/>
        <v>203</v>
      </c>
      <c r="L563" s="9" t="str">
        <f t="shared" si="220"/>
        <v>G</v>
      </c>
      <c r="M563" s="9" t="str">
        <f t="shared" si="216"/>
        <v>Input!G203</v>
      </c>
      <c r="N563" s="9">
        <f>_xlfn.XLOOKUP(F563,'Raw Data'!$I$4:$I$5000,'Raw Data'!$E$4:$E$5000,100,0)</f>
        <v>100</v>
      </c>
      <c r="O563" s="9" t="str">
        <f>IF(N563=0,_xlfn.XLOOKUP(F563,'Raw Data'!$I$4:$I$5000,'Raw Data'!$H$4:$H$5000,"",0),"")</f>
        <v/>
      </c>
      <c r="P563" s="9" t="str" cm="1">
        <f t="array" aca="1" ref="P563" ca="1">IF(INDIRECT(M563) = "","",INDIRECT(M563))</f>
        <v/>
      </c>
      <c r="Q563" s="359" t="s">
        <v>4381</v>
      </c>
    </row>
    <row r="564" spans="1:17" x14ac:dyDescent="0.35">
      <c r="A564" t="s">
        <v>1559</v>
      </c>
      <c r="E564" t="str">
        <f>_xlfn.XLOOKUP(F564,'Raw Data'!$I$4:$I$5000,'Raw Data'!$D$4:$D$5000,"*** Mnemonic not found ***",0)</f>
        <v>*** Mnemonic not found ***</v>
      </c>
      <c r="F564" t="str">
        <f t="shared" si="215"/>
        <v>SUCMRUR2NFCERG6_1TO5__</v>
      </c>
      <c r="H564" s="9" t="s">
        <v>1137</v>
      </c>
      <c r="K564" s="9">
        <f t="shared" si="219"/>
        <v>203</v>
      </c>
      <c r="L564" s="9" t="str">
        <f t="shared" si="220"/>
        <v>H</v>
      </c>
      <c r="M564" s="9" t="str">
        <f t="shared" si="216"/>
        <v>Input!H203</v>
      </c>
      <c r="N564" s="9">
        <f>_xlfn.XLOOKUP(F564,'Raw Data'!$I$4:$I$5000,'Raw Data'!$E$4:$E$5000,100,0)</f>
        <v>100</v>
      </c>
      <c r="O564" s="9" t="str">
        <f>IF(N564=0,_xlfn.XLOOKUP(F564,'Raw Data'!$I$4:$I$5000,'Raw Data'!$H$4:$H$5000,"",0),"")</f>
        <v/>
      </c>
      <c r="P564" s="9" t="str" cm="1">
        <f t="array" aca="1" ref="P564" ca="1">IF(INDIRECT(M564) = "","",INDIRECT(M564))</f>
        <v/>
      </c>
      <c r="Q564" s="359" t="s">
        <v>4381</v>
      </c>
    </row>
    <row r="565" spans="1:17" x14ac:dyDescent="0.35">
      <c r="A565" t="s">
        <v>1564</v>
      </c>
      <c r="E565" t="str">
        <f>_xlfn.XLOOKUP(F565,'Raw Data'!$I$4:$I$5000,'Raw Data'!$D$4:$D$5000,"*** Mnemonic not found ***",0)</f>
        <v>*** Mnemonic not found ***</v>
      </c>
      <c r="F565" t="str">
        <f t="shared" si="215"/>
        <v>SUCMRUR2NFCERG7_1TO5__</v>
      </c>
      <c r="H565" s="9" t="s">
        <v>1137</v>
      </c>
      <c r="K565" s="9">
        <f t="shared" si="219"/>
        <v>203</v>
      </c>
      <c r="L565" s="9" t="str">
        <f t="shared" si="220"/>
        <v>I</v>
      </c>
      <c r="M565" s="9" t="str">
        <f t="shared" si="216"/>
        <v>Input!I203</v>
      </c>
      <c r="N565" s="9">
        <f>_xlfn.XLOOKUP(F565,'Raw Data'!$I$4:$I$5000,'Raw Data'!$E$4:$E$5000,100,0)</f>
        <v>100</v>
      </c>
      <c r="O565" s="9" t="str">
        <f>IF(N565=0,_xlfn.XLOOKUP(F565,'Raw Data'!$I$4:$I$5000,'Raw Data'!$H$4:$H$5000,"",0),"")</f>
        <v/>
      </c>
      <c r="P565" s="9" t="str" cm="1">
        <f t="array" aca="1" ref="P565" ca="1">IF(INDIRECT(M565) = "","",INDIRECT(M565))</f>
        <v/>
      </c>
      <c r="Q565" s="359" t="s">
        <v>4381</v>
      </c>
    </row>
    <row r="566" spans="1:17" x14ac:dyDescent="0.35">
      <c r="A566" t="s">
        <v>1569</v>
      </c>
      <c r="E566" t="str">
        <f>_xlfn.XLOOKUP(F566,'Raw Data'!$I$4:$I$5000,'Raw Data'!$D$4:$D$5000,"*** Mnemonic not found ***",0)</f>
        <v>*** Mnemonic not found ***</v>
      </c>
      <c r="F566" t="str">
        <f t="shared" si="215"/>
        <v>SUCMRUR2NFCERG8_1TO5__</v>
      </c>
      <c r="H566" s="9" t="s">
        <v>1137</v>
      </c>
      <c r="K566" s="9">
        <f t="shared" si="219"/>
        <v>203</v>
      </c>
      <c r="L566" s="9" t="str">
        <f t="shared" si="220"/>
        <v>J</v>
      </c>
      <c r="M566" s="9" t="str">
        <f t="shared" si="216"/>
        <v>Input!J203</v>
      </c>
      <c r="N566" s="9">
        <f>_xlfn.XLOOKUP(F566,'Raw Data'!$I$4:$I$5000,'Raw Data'!$E$4:$E$5000,100,0)</f>
        <v>100</v>
      </c>
      <c r="O566" s="9" t="str">
        <f>IF(N566=0,_xlfn.XLOOKUP(F566,'Raw Data'!$I$4:$I$5000,'Raw Data'!$H$4:$H$5000,"",0),"")</f>
        <v/>
      </c>
      <c r="P566" s="9" t="str" cm="1">
        <f t="array" aca="1" ref="P566" ca="1">IF(INDIRECT(M566) = "","",INDIRECT(M566))</f>
        <v/>
      </c>
      <c r="Q566" s="359" t="s">
        <v>4381</v>
      </c>
    </row>
    <row r="567" spans="1:17" x14ac:dyDescent="0.35">
      <c r="A567" t="s">
        <v>1574</v>
      </c>
      <c r="E567" t="str">
        <f>_xlfn.XLOOKUP(F567,'Raw Data'!$I$4:$I$5000,'Raw Data'!$D$4:$D$5000,"*** Mnemonic not found ***",0)</f>
        <v>*** Mnemonic not found ***</v>
      </c>
      <c r="F567" t="str">
        <f t="shared" si="215"/>
        <v>SUCMRUR2NFCERG9_1TO5__</v>
      </c>
      <c r="H567" s="9" t="s">
        <v>1137</v>
      </c>
      <c r="K567" s="9">
        <f t="shared" si="219"/>
        <v>203</v>
      </c>
      <c r="L567" s="9" t="str">
        <f t="shared" si="220"/>
        <v>K</v>
      </c>
      <c r="M567" s="9" t="str">
        <f t="shared" si="216"/>
        <v>Input!K203</v>
      </c>
      <c r="N567" s="9">
        <f>_xlfn.XLOOKUP(F567,'Raw Data'!$I$4:$I$5000,'Raw Data'!$E$4:$E$5000,100,0)</f>
        <v>100</v>
      </c>
      <c r="O567" s="9" t="str">
        <f>IF(N567=0,_xlfn.XLOOKUP(F567,'Raw Data'!$I$4:$I$5000,'Raw Data'!$H$4:$H$5000,"",0),"")</f>
        <v/>
      </c>
      <c r="P567" s="9" t="str" cm="1">
        <f t="array" aca="1" ref="P567" ca="1">IF(INDIRECT(M567) = "","",INDIRECT(M567))</f>
        <v/>
      </c>
      <c r="Q567" s="359" t="s">
        <v>4381</v>
      </c>
    </row>
    <row r="568" spans="1:17" x14ac:dyDescent="0.35">
      <c r="A568" t="s">
        <v>1579</v>
      </c>
      <c r="E568" t="str">
        <f>_xlfn.XLOOKUP(F568,'Raw Data'!$I$4:$I$5000,'Raw Data'!$D$4:$D$5000,"*** Mnemonic not found ***",0)</f>
        <v>*** Mnemonic not found ***</v>
      </c>
      <c r="F568" t="str">
        <f t="shared" si="215"/>
        <v>SUCMRUR2NFCERG10_1TO5__</v>
      </c>
      <c r="H568" s="9" t="s">
        <v>1137</v>
      </c>
      <c r="K568" s="9">
        <f t="shared" si="219"/>
        <v>203</v>
      </c>
      <c r="L568" s="9" t="str">
        <f t="shared" si="220"/>
        <v>L</v>
      </c>
      <c r="M568" s="9" t="str">
        <f t="shared" si="216"/>
        <v>Input!L203</v>
      </c>
      <c r="N568" s="9">
        <f>_xlfn.XLOOKUP(F568,'Raw Data'!$I$4:$I$5000,'Raw Data'!$E$4:$E$5000,100,0)</f>
        <v>100</v>
      </c>
      <c r="O568" s="9" t="str">
        <f>IF(N568=0,_xlfn.XLOOKUP(F568,'Raw Data'!$I$4:$I$5000,'Raw Data'!$H$4:$H$5000,"",0),"")</f>
        <v/>
      </c>
      <c r="P568" s="9" t="str" cm="1">
        <f t="array" aca="1" ref="P568" ca="1">IF(INDIRECT(M568) = "","",INDIRECT(M568))</f>
        <v/>
      </c>
      <c r="Q568" s="359" t="s">
        <v>4381</v>
      </c>
    </row>
    <row r="569" spans="1:17" x14ac:dyDescent="0.35">
      <c r="A569" t="s">
        <v>1584</v>
      </c>
      <c r="E569" t="str">
        <f>_xlfn.XLOOKUP(F569,'Raw Data'!$I$4:$I$5000,'Raw Data'!$D$4:$D$5000,"*** Mnemonic not found ***",0)</f>
        <v>*** Mnemonic not found ***</v>
      </c>
      <c r="F569" t="str">
        <f t="shared" si="215"/>
        <v>SUCMRUR2NFCERGNA_1TO5__</v>
      </c>
      <c r="H569" s="9" t="s">
        <v>1137</v>
      </c>
      <c r="K569" s="9">
        <f t="shared" si="219"/>
        <v>203</v>
      </c>
      <c r="L569" s="9" t="str">
        <f t="shared" si="220"/>
        <v>M</v>
      </c>
      <c r="M569" s="9" t="str">
        <f t="shared" si="216"/>
        <v>Input!M203</v>
      </c>
      <c r="N569" s="9">
        <f>_xlfn.XLOOKUP(F569,'Raw Data'!$I$4:$I$5000,'Raw Data'!$E$4:$E$5000,100,0)</f>
        <v>100</v>
      </c>
      <c r="O569" s="9" t="str">
        <f>IF(N569=0,_xlfn.XLOOKUP(F569,'Raw Data'!$I$4:$I$5000,'Raw Data'!$H$4:$H$5000,"",0),"")</f>
        <v/>
      </c>
      <c r="P569" s="9" t="str" cm="1">
        <f t="array" aca="1" ref="P569" ca="1">IF(INDIRECT(M569) = "","",INDIRECT(M569))</f>
        <v/>
      </c>
      <c r="Q569" s="359" t="s">
        <v>4381</v>
      </c>
    </row>
    <row r="570" spans="1:17" x14ac:dyDescent="0.35">
      <c r="A570" t="s">
        <v>1535</v>
      </c>
      <c r="E570" t="str">
        <f>_xlfn.XLOOKUP(F570,'Raw Data'!$I$4:$I$5000,'Raw Data'!$D$4:$D$5000,"*** Mnemonic not found ***",0)</f>
        <v>*** Mnemonic not found ***</v>
      </c>
      <c r="F570" t="str">
        <f t="shared" si="215"/>
        <v>SUCMRUR2NFCERG1_5TO10__</v>
      </c>
      <c r="H570" s="9" t="s">
        <v>1137</v>
      </c>
      <c r="K570" s="9">
        <f t="shared" si="219"/>
        <v>204</v>
      </c>
      <c r="L570" s="9" t="str">
        <f t="shared" si="220"/>
        <v>C</v>
      </c>
      <c r="M570" s="9" t="str">
        <f t="shared" si="216"/>
        <v>Input!C204</v>
      </c>
      <c r="N570" s="9">
        <f>_xlfn.XLOOKUP(F570,'Raw Data'!$I$4:$I$5000,'Raw Data'!$E$4:$E$5000,100,0)</f>
        <v>100</v>
      </c>
      <c r="O570" s="9" t="str">
        <f>IF(N570=0,_xlfn.XLOOKUP(F570,'Raw Data'!$I$4:$I$5000,'Raw Data'!$H$4:$H$5000,"",0),"")</f>
        <v/>
      </c>
      <c r="P570" s="9" t="str" cm="1">
        <f t="array" aca="1" ref="P570" ca="1">IF(INDIRECT(M570) = "","",INDIRECT(M570))</f>
        <v/>
      </c>
      <c r="Q570" s="359" t="s">
        <v>4381</v>
      </c>
    </row>
    <row r="571" spans="1:17" x14ac:dyDescent="0.35">
      <c r="A571" t="s">
        <v>1540</v>
      </c>
      <c r="E571" t="str">
        <f>_xlfn.XLOOKUP(F571,'Raw Data'!$I$4:$I$5000,'Raw Data'!$D$4:$D$5000,"*** Mnemonic not found ***",0)</f>
        <v>*** Mnemonic not found ***</v>
      </c>
      <c r="F571" t="str">
        <f t="shared" si="215"/>
        <v>SUCMRUR2NFCERG2_5TO10__</v>
      </c>
      <c r="H571" s="9" t="s">
        <v>1137</v>
      </c>
      <c r="K571" s="9">
        <f t="shared" si="219"/>
        <v>204</v>
      </c>
      <c r="L571" s="9" t="str">
        <f t="shared" si="220"/>
        <v>D</v>
      </c>
      <c r="M571" s="9" t="str">
        <f t="shared" si="216"/>
        <v>Input!D204</v>
      </c>
      <c r="N571" s="9">
        <f>_xlfn.XLOOKUP(F571,'Raw Data'!$I$4:$I$5000,'Raw Data'!$E$4:$E$5000,100,0)</f>
        <v>100</v>
      </c>
      <c r="O571" s="9" t="str">
        <f>IF(N571=0,_xlfn.XLOOKUP(F571,'Raw Data'!$I$4:$I$5000,'Raw Data'!$H$4:$H$5000,"",0),"")</f>
        <v/>
      </c>
      <c r="P571" s="9" t="str" cm="1">
        <f t="array" aca="1" ref="P571" ca="1">IF(INDIRECT(M571) = "","",INDIRECT(M571))</f>
        <v/>
      </c>
      <c r="Q571" s="359" t="s">
        <v>4381</v>
      </c>
    </row>
    <row r="572" spans="1:17" x14ac:dyDescent="0.35">
      <c r="A572" t="s">
        <v>1545</v>
      </c>
      <c r="E572" t="str">
        <f>_xlfn.XLOOKUP(F572,'Raw Data'!$I$4:$I$5000,'Raw Data'!$D$4:$D$5000,"*** Mnemonic not found ***",0)</f>
        <v>*** Mnemonic not found ***</v>
      </c>
      <c r="F572" t="str">
        <f t="shared" si="215"/>
        <v>SUCMRUR2NFCERG3_5TO10__</v>
      </c>
      <c r="H572" s="9" t="s">
        <v>1137</v>
      </c>
      <c r="K572" s="9">
        <f t="shared" si="219"/>
        <v>204</v>
      </c>
      <c r="L572" s="9" t="str">
        <f t="shared" si="220"/>
        <v>E</v>
      </c>
      <c r="M572" s="9" t="str">
        <f t="shared" si="216"/>
        <v>Input!E204</v>
      </c>
      <c r="N572" s="9">
        <f>_xlfn.XLOOKUP(F572,'Raw Data'!$I$4:$I$5000,'Raw Data'!$E$4:$E$5000,100,0)</f>
        <v>100</v>
      </c>
      <c r="O572" s="9" t="str">
        <f>IF(N572=0,_xlfn.XLOOKUP(F572,'Raw Data'!$I$4:$I$5000,'Raw Data'!$H$4:$H$5000,"",0),"")</f>
        <v/>
      </c>
      <c r="P572" s="9" t="str" cm="1">
        <f t="array" aca="1" ref="P572" ca="1">IF(INDIRECT(M572) = "","",INDIRECT(M572))</f>
        <v/>
      </c>
      <c r="Q572" s="359" t="s">
        <v>4381</v>
      </c>
    </row>
    <row r="573" spans="1:17" x14ac:dyDescent="0.35">
      <c r="A573" t="s">
        <v>1550</v>
      </c>
      <c r="E573" t="str">
        <f>_xlfn.XLOOKUP(F573,'Raw Data'!$I$4:$I$5000,'Raw Data'!$D$4:$D$5000,"*** Mnemonic not found ***",0)</f>
        <v>*** Mnemonic not found ***</v>
      </c>
      <c r="F573" t="str">
        <f t="shared" si="215"/>
        <v>SUCMRUR2NFCERG4_5TO10__</v>
      </c>
      <c r="H573" s="9" t="s">
        <v>1137</v>
      </c>
      <c r="K573" s="9">
        <f t="shared" si="219"/>
        <v>204</v>
      </c>
      <c r="L573" s="9" t="str">
        <f t="shared" si="220"/>
        <v>F</v>
      </c>
      <c r="M573" s="9" t="str">
        <f t="shared" si="216"/>
        <v>Input!F204</v>
      </c>
      <c r="N573" s="9">
        <f>_xlfn.XLOOKUP(F573,'Raw Data'!$I$4:$I$5000,'Raw Data'!$E$4:$E$5000,100,0)</f>
        <v>100</v>
      </c>
      <c r="O573" s="9" t="str">
        <f>IF(N573=0,_xlfn.XLOOKUP(F573,'Raw Data'!$I$4:$I$5000,'Raw Data'!$H$4:$H$5000,"",0),"")</f>
        <v/>
      </c>
      <c r="P573" s="9" t="str" cm="1">
        <f t="array" aca="1" ref="P573" ca="1">IF(INDIRECT(M573) = "","",INDIRECT(M573))</f>
        <v/>
      </c>
      <c r="Q573" s="359" t="s">
        <v>4381</v>
      </c>
    </row>
    <row r="574" spans="1:17" x14ac:dyDescent="0.35">
      <c r="A574" t="s">
        <v>1555</v>
      </c>
      <c r="E574" t="str">
        <f>_xlfn.XLOOKUP(F574,'Raw Data'!$I$4:$I$5000,'Raw Data'!$D$4:$D$5000,"*** Mnemonic not found ***",0)</f>
        <v>*** Mnemonic not found ***</v>
      </c>
      <c r="F574" t="str">
        <f t="shared" si="215"/>
        <v>SUCMRUR2NFCERG5_5TO10__</v>
      </c>
      <c r="H574" s="9" t="s">
        <v>1137</v>
      </c>
      <c r="K574" s="9">
        <f t="shared" si="219"/>
        <v>204</v>
      </c>
      <c r="L574" s="9" t="str">
        <f t="shared" si="220"/>
        <v>G</v>
      </c>
      <c r="M574" s="9" t="str">
        <f t="shared" si="216"/>
        <v>Input!G204</v>
      </c>
      <c r="N574" s="9">
        <f>_xlfn.XLOOKUP(F574,'Raw Data'!$I$4:$I$5000,'Raw Data'!$E$4:$E$5000,100,0)</f>
        <v>100</v>
      </c>
      <c r="O574" s="9" t="str">
        <f>IF(N574=0,_xlfn.XLOOKUP(F574,'Raw Data'!$I$4:$I$5000,'Raw Data'!$H$4:$H$5000,"",0),"")</f>
        <v/>
      </c>
      <c r="P574" s="9" t="str" cm="1">
        <f t="array" aca="1" ref="P574" ca="1">IF(INDIRECT(M574) = "","",INDIRECT(M574))</f>
        <v/>
      </c>
      <c r="Q574" s="359" t="s">
        <v>4381</v>
      </c>
    </row>
    <row r="575" spans="1:17" x14ac:dyDescent="0.35">
      <c r="A575" t="s">
        <v>1560</v>
      </c>
      <c r="E575" t="str">
        <f>_xlfn.XLOOKUP(F575,'Raw Data'!$I$4:$I$5000,'Raw Data'!$D$4:$D$5000,"*** Mnemonic not found ***",0)</f>
        <v>*** Mnemonic not found ***</v>
      </c>
      <c r="F575" t="str">
        <f t="shared" si="215"/>
        <v>SUCMRUR2NFCERG6_5TO10__</v>
      </c>
      <c r="H575" s="9" t="s">
        <v>1137</v>
      </c>
      <c r="K575" s="9">
        <f t="shared" si="219"/>
        <v>204</v>
      </c>
      <c r="L575" s="9" t="str">
        <f t="shared" si="220"/>
        <v>H</v>
      </c>
      <c r="M575" s="9" t="str">
        <f t="shared" si="216"/>
        <v>Input!H204</v>
      </c>
      <c r="N575" s="9">
        <f>_xlfn.XLOOKUP(F575,'Raw Data'!$I$4:$I$5000,'Raw Data'!$E$4:$E$5000,100,0)</f>
        <v>100</v>
      </c>
      <c r="O575" s="9" t="str">
        <f>IF(N575=0,_xlfn.XLOOKUP(F575,'Raw Data'!$I$4:$I$5000,'Raw Data'!$H$4:$H$5000,"",0),"")</f>
        <v/>
      </c>
      <c r="P575" s="9" t="str" cm="1">
        <f t="array" aca="1" ref="P575" ca="1">IF(INDIRECT(M575) = "","",INDIRECT(M575))</f>
        <v/>
      </c>
      <c r="Q575" s="359" t="s">
        <v>4381</v>
      </c>
    </row>
    <row r="576" spans="1:17" x14ac:dyDescent="0.35">
      <c r="A576" t="s">
        <v>1565</v>
      </c>
      <c r="E576" t="str">
        <f>_xlfn.XLOOKUP(F576,'Raw Data'!$I$4:$I$5000,'Raw Data'!$D$4:$D$5000,"*** Mnemonic not found ***",0)</f>
        <v>*** Mnemonic not found ***</v>
      </c>
      <c r="F576" t="str">
        <f t="shared" si="215"/>
        <v>SUCMRUR2NFCERG7_5TO10__</v>
      </c>
      <c r="H576" s="9" t="s">
        <v>1137</v>
      </c>
      <c r="K576" s="9">
        <f t="shared" si="219"/>
        <v>204</v>
      </c>
      <c r="L576" s="9" t="str">
        <f t="shared" si="220"/>
        <v>I</v>
      </c>
      <c r="M576" s="9" t="str">
        <f t="shared" si="216"/>
        <v>Input!I204</v>
      </c>
      <c r="N576" s="9">
        <f>_xlfn.XLOOKUP(F576,'Raw Data'!$I$4:$I$5000,'Raw Data'!$E$4:$E$5000,100,0)</f>
        <v>100</v>
      </c>
      <c r="O576" s="9" t="str">
        <f>IF(N576=0,_xlfn.XLOOKUP(F576,'Raw Data'!$I$4:$I$5000,'Raw Data'!$H$4:$H$5000,"",0),"")</f>
        <v/>
      </c>
      <c r="P576" s="9" t="str" cm="1">
        <f t="array" aca="1" ref="P576" ca="1">IF(INDIRECT(M576) = "","",INDIRECT(M576))</f>
        <v/>
      </c>
      <c r="Q576" s="359" t="s">
        <v>4381</v>
      </c>
    </row>
    <row r="577" spans="1:17" x14ac:dyDescent="0.35">
      <c r="A577" t="s">
        <v>1570</v>
      </c>
      <c r="E577" t="str">
        <f>_xlfn.XLOOKUP(F577,'Raw Data'!$I$4:$I$5000,'Raw Data'!$D$4:$D$5000,"*** Mnemonic not found ***",0)</f>
        <v>*** Mnemonic not found ***</v>
      </c>
      <c r="F577" t="str">
        <f t="shared" si="215"/>
        <v>SUCMRUR2NFCERG8_5TO10__</v>
      </c>
      <c r="H577" s="9" t="s">
        <v>1137</v>
      </c>
      <c r="K577" s="9">
        <f t="shared" si="219"/>
        <v>204</v>
      </c>
      <c r="L577" s="9" t="str">
        <f t="shared" si="220"/>
        <v>J</v>
      </c>
      <c r="M577" s="9" t="str">
        <f t="shared" si="216"/>
        <v>Input!J204</v>
      </c>
      <c r="N577" s="9">
        <f>_xlfn.XLOOKUP(F577,'Raw Data'!$I$4:$I$5000,'Raw Data'!$E$4:$E$5000,100,0)</f>
        <v>100</v>
      </c>
      <c r="O577" s="9" t="str">
        <f>IF(N577=0,_xlfn.XLOOKUP(F577,'Raw Data'!$I$4:$I$5000,'Raw Data'!$H$4:$H$5000,"",0),"")</f>
        <v/>
      </c>
      <c r="P577" s="9" t="str" cm="1">
        <f t="array" aca="1" ref="P577" ca="1">IF(INDIRECT(M577) = "","",INDIRECT(M577))</f>
        <v/>
      </c>
      <c r="Q577" s="359" t="s">
        <v>4381</v>
      </c>
    </row>
    <row r="578" spans="1:17" x14ac:dyDescent="0.35">
      <c r="A578" t="s">
        <v>1575</v>
      </c>
      <c r="E578" t="str">
        <f>_xlfn.XLOOKUP(F578,'Raw Data'!$I$4:$I$5000,'Raw Data'!$D$4:$D$5000,"*** Mnemonic not found ***",0)</f>
        <v>*** Mnemonic not found ***</v>
      </c>
      <c r="F578" t="str">
        <f t="shared" si="215"/>
        <v>SUCMRUR2NFCERG9_5TO10__</v>
      </c>
      <c r="H578" s="9" t="s">
        <v>1137</v>
      </c>
      <c r="K578" s="9">
        <f t="shared" si="219"/>
        <v>204</v>
      </c>
      <c r="L578" s="9" t="str">
        <f t="shared" si="220"/>
        <v>K</v>
      </c>
      <c r="M578" s="9" t="str">
        <f t="shared" si="216"/>
        <v>Input!K204</v>
      </c>
      <c r="N578" s="9">
        <f>_xlfn.XLOOKUP(F578,'Raw Data'!$I$4:$I$5000,'Raw Data'!$E$4:$E$5000,100,0)</f>
        <v>100</v>
      </c>
      <c r="O578" s="9" t="str">
        <f>IF(N578=0,_xlfn.XLOOKUP(F578,'Raw Data'!$I$4:$I$5000,'Raw Data'!$H$4:$H$5000,"",0),"")</f>
        <v/>
      </c>
      <c r="P578" s="9" t="str" cm="1">
        <f t="array" aca="1" ref="P578" ca="1">IF(INDIRECT(M578) = "","",INDIRECT(M578))</f>
        <v/>
      </c>
      <c r="Q578" s="359" t="s">
        <v>4381</v>
      </c>
    </row>
    <row r="579" spans="1:17" x14ac:dyDescent="0.35">
      <c r="A579" t="s">
        <v>1580</v>
      </c>
      <c r="E579" t="str">
        <f>_xlfn.XLOOKUP(F579,'Raw Data'!$I$4:$I$5000,'Raw Data'!$D$4:$D$5000,"*** Mnemonic not found ***",0)</f>
        <v>*** Mnemonic not found ***</v>
      </c>
      <c r="F579" t="str">
        <f t="shared" si="215"/>
        <v>SUCMRUR2NFCERG10_5TO10__</v>
      </c>
      <c r="H579" s="9" t="s">
        <v>1137</v>
      </c>
      <c r="K579" s="9">
        <f t="shared" si="219"/>
        <v>204</v>
      </c>
      <c r="L579" s="9" t="str">
        <f t="shared" si="220"/>
        <v>L</v>
      </c>
      <c r="M579" s="9" t="str">
        <f t="shared" si="216"/>
        <v>Input!L204</v>
      </c>
      <c r="N579" s="9">
        <f>_xlfn.XLOOKUP(F579,'Raw Data'!$I$4:$I$5000,'Raw Data'!$E$4:$E$5000,100,0)</f>
        <v>100</v>
      </c>
      <c r="O579" s="9" t="str">
        <f>IF(N579=0,_xlfn.XLOOKUP(F579,'Raw Data'!$I$4:$I$5000,'Raw Data'!$H$4:$H$5000,"",0),"")</f>
        <v/>
      </c>
      <c r="P579" s="9" t="str" cm="1">
        <f t="array" aca="1" ref="P579" ca="1">IF(INDIRECT(M579) = "","",INDIRECT(M579))</f>
        <v/>
      </c>
      <c r="Q579" s="359" t="s">
        <v>4381</v>
      </c>
    </row>
    <row r="580" spans="1:17" x14ac:dyDescent="0.35">
      <c r="A580" t="s">
        <v>1585</v>
      </c>
      <c r="E580" t="str">
        <f>_xlfn.XLOOKUP(F580,'Raw Data'!$I$4:$I$5000,'Raw Data'!$D$4:$D$5000,"*** Mnemonic not found ***",0)</f>
        <v>*** Mnemonic not found ***</v>
      </c>
      <c r="F580" t="str">
        <f t="shared" si="215"/>
        <v>SUCMRUR2NFCERGNA_5TO10__</v>
      </c>
      <c r="H580" s="9" t="s">
        <v>1137</v>
      </c>
      <c r="K580" s="9">
        <f t="shared" si="219"/>
        <v>204</v>
      </c>
      <c r="L580" s="9" t="str">
        <f t="shared" si="220"/>
        <v>M</v>
      </c>
      <c r="M580" s="9" t="str">
        <f t="shared" si="216"/>
        <v>Input!M204</v>
      </c>
      <c r="N580" s="9">
        <f>_xlfn.XLOOKUP(F580,'Raw Data'!$I$4:$I$5000,'Raw Data'!$E$4:$E$5000,100,0)</f>
        <v>100</v>
      </c>
      <c r="O580" s="9" t="str">
        <f>IF(N580=0,_xlfn.XLOOKUP(F580,'Raw Data'!$I$4:$I$5000,'Raw Data'!$H$4:$H$5000,"",0),"")</f>
        <v/>
      </c>
      <c r="P580" s="9" t="str" cm="1">
        <f t="array" aca="1" ref="P580" ca="1">IF(INDIRECT(M580) = "","",INDIRECT(M580))</f>
        <v/>
      </c>
      <c r="Q580" s="359" t="s">
        <v>4381</v>
      </c>
    </row>
    <row r="581" spans="1:17" x14ac:dyDescent="0.35">
      <c r="A581" t="s">
        <v>1536</v>
      </c>
      <c r="E581" t="str">
        <f>_xlfn.XLOOKUP(F581,'Raw Data'!$I$4:$I$5000,'Raw Data'!$D$4:$D$5000,"*** Mnemonic not found ***",0)</f>
        <v>*** Mnemonic not found ***</v>
      </c>
      <c r="F581" t="str">
        <f t="shared" ref="F581:F644" si="221">CONCATENATE(A581,"_",B581,"_",D581)</f>
        <v>SUCMRUR2NFCERG1_10TO20__</v>
      </c>
      <c r="H581" s="9" t="s">
        <v>1137</v>
      </c>
      <c r="K581" s="9">
        <f t="shared" si="219"/>
        <v>205</v>
      </c>
      <c r="L581" s="9" t="str">
        <f t="shared" si="220"/>
        <v>C</v>
      </c>
      <c r="M581" s="9" t="str">
        <f t="shared" si="216"/>
        <v>Input!C205</v>
      </c>
      <c r="N581" s="9">
        <f>_xlfn.XLOOKUP(F581,'Raw Data'!$I$4:$I$5000,'Raw Data'!$E$4:$E$5000,100,0)</f>
        <v>100</v>
      </c>
      <c r="O581" s="9" t="str">
        <f>IF(N581=0,_xlfn.XLOOKUP(F581,'Raw Data'!$I$4:$I$5000,'Raw Data'!$H$4:$H$5000,"",0),"")</f>
        <v/>
      </c>
      <c r="P581" s="9" t="str" cm="1">
        <f t="array" aca="1" ref="P581" ca="1">IF(INDIRECT(M581) = "","",INDIRECT(M581))</f>
        <v/>
      </c>
      <c r="Q581" s="359" t="s">
        <v>4381</v>
      </c>
    </row>
    <row r="582" spans="1:17" x14ac:dyDescent="0.35">
      <c r="A582" t="s">
        <v>1541</v>
      </c>
      <c r="E582" t="str">
        <f>_xlfn.XLOOKUP(F582,'Raw Data'!$I$4:$I$5000,'Raw Data'!$D$4:$D$5000,"*** Mnemonic not found ***",0)</f>
        <v>*** Mnemonic not found ***</v>
      </c>
      <c r="F582" t="str">
        <f t="shared" si="221"/>
        <v>SUCMRUR2NFCERG2_10TO20__</v>
      </c>
      <c r="H582" s="9" t="s">
        <v>1137</v>
      </c>
      <c r="K582" s="9">
        <f t="shared" si="219"/>
        <v>205</v>
      </c>
      <c r="L582" s="9" t="str">
        <f t="shared" si="220"/>
        <v>D</v>
      </c>
      <c r="M582" s="9" t="str">
        <f t="shared" si="216"/>
        <v>Input!D205</v>
      </c>
      <c r="N582" s="9">
        <f>_xlfn.XLOOKUP(F582,'Raw Data'!$I$4:$I$5000,'Raw Data'!$E$4:$E$5000,100,0)</f>
        <v>100</v>
      </c>
      <c r="O582" s="9" t="str">
        <f>IF(N582=0,_xlfn.XLOOKUP(F582,'Raw Data'!$I$4:$I$5000,'Raw Data'!$H$4:$H$5000,"",0),"")</f>
        <v/>
      </c>
      <c r="P582" s="9" t="str" cm="1">
        <f t="array" aca="1" ref="P582" ca="1">IF(INDIRECT(M582) = "","",INDIRECT(M582))</f>
        <v/>
      </c>
      <c r="Q582" s="359" t="s">
        <v>4381</v>
      </c>
    </row>
    <row r="583" spans="1:17" x14ac:dyDescent="0.35">
      <c r="A583" t="s">
        <v>1546</v>
      </c>
      <c r="E583" t="str">
        <f>_xlfn.XLOOKUP(F583,'Raw Data'!$I$4:$I$5000,'Raw Data'!$D$4:$D$5000,"*** Mnemonic not found ***",0)</f>
        <v>*** Mnemonic not found ***</v>
      </c>
      <c r="F583" t="str">
        <f t="shared" si="221"/>
        <v>SUCMRUR2NFCERG3_10TO20__</v>
      </c>
      <c r="H583" s="9" t="s">
        <v>1137</v>
      </c>
      <c r="K583" s="9">
        <f t="shared" si="219"/>
        <v>205</v>
      </c>
      <c r="L583" s="9" t="str">
        <f t="shared" si="220"/>
        <v>E</v>
      </c>
      <c r="M583" s="9" t="str">
        <f t="shared" si="216"/>
        <v>Input!E205</v>
      </c>
      <c r="N583" s="9">
        <f>_xlfn.XLOOKUP(F583,'Raw Data'!$I$4:$I$5000,'Raw Data'!$E$4:$E$5000,100,0)</f>
        <v>100</v>
      </c>
      <c r="O583" s="9" t="str">
        <f>IF(N583=0,_xlfn.XLOOKUP(F583,'Raw Data'!$I$4:$I$5000,'Raw Data'!$H$4:$H$5000,"",0),"")</f>
        <v/>
      </c>
      <c r="P583" s="9" t="str" cm="1">
        <f t="array" aca="1" ref="P583" ca="1">IF(INDIRECT(M583) = "","",INDIRECT(M583))</f>
        <v/>
      </c>
      <c r="Q583" s="359" t="s">
        <v>4381</v>
      </c>
    </row>
    <row r="584" spans="1:17" x14ac:dyDescent="0.35">
      <c r="A584" t="s">
        <v>1551</v>
      </c>
      <c r="E584" t="str">
        <f>_xlfn.XLOOKUP(F584,'Raw Data'!$I$4:$I$5000,'Raw Data'!$D$4:$D$5000,"*** Mnemonic not found ***",0)</f>
        <v>*** Mnemonic not found ***</v>
      </c>
      <c r="F584" t="str">
        <f t="shared" si="221"/>
        <v>SUCMRUR2NFCERG4_10TO20__</v>
      </c>
      <c r="H584" s="9" t="s">
        <v>1137</v>
      </c>
      <c r="K584" s="9">
        <f t="shared" si="219"/>
        <v>205</v>
      </c>
      <c r="L584" s="9" t="str">
        <f t="shared" si="220"/>
        <v>F</v>
      </c>
      <c r="M584" s="9" t="str">
        <f t="shared" si="216"/>
        <v>Input!F205</v>
      </c>
      <c r="N584" s="9">
        <f>_xlfn.XLOOKUP(F584,'Raw Data'!$I$4:$I$5000,'Raw Data'!$E$4:$E$5000,100,0)</f>
        <v>100</v>
      </c>
      <c r="O584" s="9" t="str">
        <f>IF(N584=0,_xlfn.XLOOKUP(F584,'Raw Data'!$I$4:$I$5000,'Raw Data'!$H$4:$H$5000,"",0),"")</f>
        <v/>
      </c>
      <c r="P584" s="9" t="str" cm="1">
        <f t="array" aca="1" ref="P584" ca="1">IF(INDIRECT(M584) = "","",INDIRECT(M584))</f>
        <v/>
      </c>
      <c r="Q584" s="359" t="s">
        <v>4381</v>
      </c>
    </row>
    <row r="585" spans="1:17" x14ac:dyDescent="0.35">
      <c r="A585" t="s">
        <v>1556</v>
      </c>
      <c r="E585" t="str">
        <f>_xlfn.XLOOKUP(F585,'Raw Data'!$I$4:$I$5000,'Raw Data'!$D$4:$D$5000,"*** Mnemonic not found ***",0)</f>
        <v>*** Mnemonic not found ***</v>
      </c>
      <c r="F585" t="str">
        <f t="shared" si="221"/>
        <v>SUCMRUR2NFCERG5_10TO20__</v>
      </c>
      <c r="H585" s="9" t="s">
        <v>1137</v>
      </c>
      <c r="K585" s="9">
        <f t="shared" si="219"/>
        <v>205</v>
      </c>
      <c r="L585" s="9" t="str">
        <f t="shared" si="220"/>
        <v>G</v>
      </c>
      <c r="M585" s="9" t="str">
        <f t="shared" si="216"/>
        <v>Input!G205</v>
      </c>
      <c r="N585" s="9">
        <f>_xlfn.XLOOKUP(F585,'Raw Data'!$I$4:$I$5000,'Raw Data'!$E$4:$E$5000,100,0)</f>
        <v>100</v>
      </c>
      <c r="O585" s="9" t="str">
        <f>IF(N585=0,_xlfn.XLOOKUP(F585,'Raw Data'!$I$4:$I$5000,'Raw Data'!$H$4:$H$5000,"",0),"")</f>
        <v/>
      </c>
      <c r="P585" s="9" t="str" cm="1">
        <f t="array" aca="1" ref="P585" ca="1">IF(INDIRECT(M585) = "","",INDIRECT(M585))</f>
        <v/>
      </c>
      <c r="Q585" s="359" t="s">
        <v>4381</v>
      </c>
    </row>
    <row r="586" spans="1:17" x14ac:dyDescent="0.35">
      <c r="A586" t="s">
        <v>1561</v>
      </c>
      <c r="E586" t="str">
        <f>_xlfn.XLOOKUP(F586,'Raw Data'!$I$4:$I$5000,'Raw Data'!$D$4:$D$5000,"*** Mnemonic not found ***",0)</f>
        <v>*** Mnemonic not found ***</v>
      </c>
      <c r="F586" t="str">
        <f t="shared" si="221"/>
        <v>SUCMRUR2NFCERG6_10TO20__</v>
      </c>
      <c r="H586" s="9" t="s">
        <v>1137</v>
      </c>
      <c r="K586" s="9">
        <f t="shared" si="219"/>
        <v>205</v>
      </c>
      <c r="L586" s="9" t="str">
        <f t="shared" si="220"/>
        <v>H</v>
      </c>
      <c r="M586" s="9" t="str">
        <f t="shared" si="216"/>
        <v>Input!H205</v>
      </c>
      <c r="N586" s="9">
        <f>_xlfn.XLOOKUP(F586,'Raw Data'!$I$4:$I$5000,'Raw Data'!$E$4:$E$5000,100,0)</f>
        <v>100</v>
      </c>
      <c r="O586" s="9" t="str">
        <f>IF(N586=0,_xlfn.XLOOKUP(F586,'Raw Data'!$I$4:$I$5000,'Raw Data'!$H$4:$H$5000,"",0),"")</f>
        <v/>
      </c>
      <c r="P586" s="9" t="str" cm="1">
        <f t="array" aca="1" ref="P586" ca="1">IF(INDIRECT(M586) = "","",INDIRECT(M586))</f>
        <v/>
      </c>
      <c r="Q586" s="359" t="s">
        <v>4381</v>
      </c>
    </row>
    <row r="587" spans="1:17" x14ac:dyDescent="0.35">
      <c r="A587" t="s">
        <v>1566</v>
      </c>
      <c r="E587" t="str">
        <f>_xlfn.XLOOKUP(F587,'Raw Data'!$I$4:$I$5000,'Raw Data'!$D$4:$D$5000,"*** Mnemonic not found ***",0)</f>
        <v>*** Mnemonic not found ***</v>
      </c>
      <c r="F587" t="str">
        <f t="shared" si="221"/>
        <v>SUCMRUR2NFCERG7_10TO20__</v>
      </c>
      <c r="H587" s="9" t="s">
        <v>1137</v>
      </c>
      <c r="K587" s="9">
        <f t="shared" si="219"/>
        <v>205</v>
      </c>
      <c r="L587" s="9" t="str">
        <f t="shared" si="220"/>
        <v>I</v>
      </c>
      <c r="M587" s="9" t="str">
        <f t="shared" si="216"/>
        <v>Input!I205</v>
      </c>
      <c r="N587" s="9">
        <f>_xlfn.XLOOKUP(F587,'Raw Data'!$I$4:$I$5000,'Raw Data'!$E$4:$E$5000,100,0)</f>
        <v>100</v>
      </c>
      <c r="O587" s="9" t="str">
        <f>IF(N587=0,_xlfn.XLOOKUP(F587,'Raw Data'!$I$4:$I$5000,'Raw Data'!$H$4:$H$5000,"",0),"")</f>
        <v/>
      </c>
      <c r="P587" s="9" t="str" cm="1">
        <f t="array" aca="1" ref="P587" ca="1">IF(INDIRECT(M587) = "","",INDIRECT(M587))</f>
        <v/>
      </c>
      <c r="Q587" s="359" t="s">
        <v>4381</v>
      </c>
    </row>
    <row r="588" spans="1:17" x14ac:dyDescent="0.35">
      <c r="A588" t="s">
        <v>1571</v>
      </c>
      <c r="E588" t="str">
        <f>_xlfn.XLOOKUP(F588,'Raw Data'!$I$4:$I$5000,'Raw Data'!$D$4:$D$5000,"*** Mnemonic not found ***",0)</f>
        <v>*** Mnemonic not found ***</v>
      </c>
      <c r="F588" t="str">
        <f t="shared" si="221"/>
        <v>SUCMRUR2NFCERG8_10TO20__</v>
      </c>
      <c r="H588" s="9" t="s">
        <v>1137</v>
      </c>
      <c r="K588" s="9">
        <f t="shared" si="219"/>
        <v>205</v>
      </c>
      <c r="L588" s="9" t="str">
        <f t="shared" si="220"/>
        <v>J</v>
      </c>
      <c r="M588" s="9" t="str">
        <f t="shared" si="216"/>
        <v>Input!J205</v>
      </c>
      <c r="N588" s="9">
        <f>_xlfn.XLOOKUP(F588,'Raw Data'!$I$4:$I$5000,'Raw Data'!$E$4:$E$5000,100,0)</f>
        <v>100</v>
      </c>
      <c r="O588" s="9" t="str">
        <f>IF(N588=0,_xlfn.XLOOKUP(F588,'Raw Data'!$I$4:$I$5000,'Raw Data'!$H$4:$H$5000,"",0),"")</f>
        <v/>
      </c>
      <c r="P588" s="9" t="str" cm="1">
        <f t="array" aca="1" ref="P588" ca="1">IF(INDIRECT(M588) = "","",INDIRECT(M588))</f>
        <v/>
      </c>
      <c r="Q588" s="359" t="s">
        <v>4381</v>
      </c>
    </row>
    <row r="589" spans="1:17" x14ac:dyDescent="0.35">
      <c r="A589" t="s">
        <v>1576</v>
      </c>
      <c r="E589" t="str">
        <f>_xlfn.XLOOKUP(F589,'Raw Data'!$I$4:$I$5000,'Raw Data'!$D$4:$D$5000,"*** Mnemonic not found ***",0)</f>
        <v>*** Mnemonic not found ***</v>
      </c>
      <c r="F589" t="str">
        <f t="shared" si="221"/>
        <v>SUCMRUR2NFCERG9_10TO20__</v>
      </c>
      <c r="H589" s="9" t="s">
        <v>1137</v>
      </c>
      <c r="K589" s="9">
        <f t="shared" si="219"/>
        <v>205</v>
      </c>
      <c r="L589" s="9" t="str">
        <f t="shared" si="220"/>
        <v>K</v>
      </c>
      <c r="M589" s="9" t="str">
        <f t="shared" si="216"/>
        <v>Input!K205</v>
      </c>
      <c r="N589" s="9">
        <f>_xlfn.XLOOKUP(F589,'Raw Data'!$I$4:$I$5000,'Raw Data'!$E$4:$E$5000,100,0)</f>
        <v>100</v>
      </c>
      <c r="O589" s="9" t="str">
        <f>IF(N589=0,_xlfn.XLOOKUP(F589,'Raw Data'!$I$4:$I$5000,'Raw Data'!$H$4:$H$5000,"",0),"")</f>
        <v/>
      </c>
      <c r="P589" s="9" t="str" cm="1">
        <f t="array" aca="1" ref="P589" ca="1">IF(INDIRECT(M589) = "","",INDIRECT(M589))</f>
        <v/>
      </c>
      <c r="Q589" s="359" t="s">
        <v>4381</v>
      </c>
    </row>
    <row r="590" spans="1:17" x14ac:dyDescent="0.35">
      <c r="A590" t="s">
        <v>1581</v>
      </c>
      <c r="E590" t="str">
        <f>_xlfn.XLOOKUP(F590,'Raw Data'!$I$4:$I$5000,'Raw Data'!$D$4:$D$5000,"*** Mnemonic not found ***",0)</f>
        <v>*** Mnemonic not found ***</v>
      </c>
      <c r="F590" t="str">
        <f t="shared" si="221"/>
        <v>SUCMRUR2NFCERG10_10TO20__</v>
      </c>
      <c r="H590" s="9" t="s">
        <v>1137</v>
      </c>
      <c r="K590" s="9">
        <f t="shared" si="219"/>
        <v>205</v>
      </c>
      <c r="L590" s="9" t="str">
        <f t="shared" si="220"/>
        <v>L</v>
      </c>
      <c r="M590" s="9" t="str">
        <f t="shared" si="216"/>
        <v>Input!L205</v>
      </c>
      <c r="N590" s="9">
        <f>_xlfn.XLOOKUP(F590,'Raw Data'!$I$4:$I$5000,'Raw Data'!$E$4:$E$5000,100,0)</f>
        <v>100</v>
      </c>
      <c r="O590" s="9" t="str">
        <f>IF(N590=0,_xlfn.XLOOKUP(F590,'Raw Data'!$I$4:$I$5000,'Raw Data'!$H$4:$H$5000,"",0),"")</f>
        <v/>
      </c>
      <c r="P590" s="9" t="str" cm="1">
        <f t="array" aca="1" ref="P590" ca="1">IF(INDIRECT(M590) = "","",INDIRECT(M590))</f>
        <v/>
      </c>
      <c r="Q590" s="359" t="s">
        <v>4381</v>
      </c>
    </row>
    <row r="591" spans="1:17" x14ac:dyDescent="0.35">
      <c r="A591" t="s">
        <v>1586</v>
      </c>
      <c r="E591" t="str">
        <f>_xlfn.XLOOKUP(F591,'Raw Data'!$I$4:$I$5000,'Raw Data'!$D$4:$D$5000,"*** Mnemonic not found ***",0)</f>
        <v>*** Mnemonic not found ***</v>
      </c>
      <c r="F591" t="str">
        <f t="shared" si="221"/>
        <v>SUCMRUR2NFCERGNA_10TO20__</v>
      </c>
      <c r="H591" s="9" t="s">
        <v>1137</v>
      </c>
      <c r="K591" s="9">
        <f t="shared" si="219"/>
        <v>205</v>
      </c>
      <c r="L591" s="9" t="str">
        <f t="shared" si="220"/>
        <v>M</v>
      </c>
      <c r="M591" s="9" t="str">
        <f t="shared" ref="M591:M654" si="222">CONCATENATE(H591,"!",L591,K591)</f>
        <v>Input!M205</v>
      </c>
      <c r="N591" s="9">
        <f>_xlfn.XLOOKUP(F591,'Raw Data'!$I$4:$I$5000,'Raw Data'!$E$4:$E$5000,100,0)</f>
        <v>100</v>
      </c>
      <c r="O591" s="9" t="str">
        <f>IF(N591=0,_xlfn.XLOOKUP(F591,'Raw Data'!$I$4:$I$5000,'Raw Data'!$H$4:$H$5000,"",0),"")</f>
        <v/>
      </c>
      <c r="P591" s="9" t="str" cm="1">
        <f t="array" aca="1" ref="P591" ca="1">IF(INDIRECT(M591) = "","",INDIRECT(M591))</f>
        <v/>
      </c>
      <c r="Q591" s="359" t="s">
        <v>4381</v>
      </c>
    </row>
    <row r="592" spans="1:17" x14ac:dyDescent="0.35">
      <c r="A592" t="s">
        <v>1537</v>
      </c>
      <c r="E592" t="str">
        <f>_xlfn.XLOOKUP(F592,'Raw Data'!$I$4:$I$5000,'Raw Data'!$D$4:$D$5000,"*** Mnemonic not found ***",0)</f>
        <v>*** Mnemonic not found ***</v>
      </c>
      <c r="F592" t="str">
        <f t="shared" si="221"/>
        <v>SUCMRUR2NFCERG1_GRTR20__</v>
      </c>
      <c r="H592" s="9" t="s">
        <v>1137</v>
      </c>
      <c r="K592" s="9">
        <f t="shared" si="219"/>
        <v>206</v>
      </c>
      <c r="L592" s="9" t="str">
        <f t="shared" si="220"/>
        <v>C</v>
      </c>
      <c r="M592" s="9" t="str">
        <f t="shared" si="222"/>
        <v>Input!C206</v>
      </c>
      <c r="N592" s="9">
        <f>_xlfn.XLOOKUP(F592,'Raw Data'!$I$4:$I$5000,'Raw Data'!$E$4:$E$5000,100,0)</f>
        <v>100</v>
      </c>
      <c r="O592" s="9" t="str">
        <f>IF(N592=0,_xlfn.XLOOKUP(F592,'Raw Data'!$I$4:$I$5000,'Raw Data'!$H$4:$H$5000,"",0),"")</f>
        <v/>
      </c>
      <c r="P592" s="9" t="str" cm="1">
        <f t="array" aca="1" ref="P592" ca="1">IF(INDIRECT(M592) = "","",INDIRECT(M592))</f>
        <v/>
      </c>
      <c r="Q592" s="359" t="s">
        <v>4381</v>
      </c>
    </row>
    <row r="593" spans="1:17" x14ac:dyDescent="0.35">
      <c r="A593" t="s">
        <v>1542</v>
      </c>
      <c r="E593" t="str">
        <f>_xlfn.XLOOKUP(F593,'Raw Data'!$I$4:$I$5000,'Raw Data'!$D$4:$D$5000,"*** Mnemonic not found ***",0)</f>
        <v>*** Mnemonic not found ***</v>
      </c>
      <c r="F593" t="str">
        <f t="shared" si="221"/>
        <v>SUCMRUR2NFCERG2_GRTR20__</v>
      </c>
      <c r="H593" s="9" t="s">
        <v>1137</v>
      </c>
      <c r="K593" s="9">
        <f t="shared" si="219"/>
        <v>206</v>
      </c>
      <c r="L593" s="9" t="str">
        <f t="shared" si="220"/>
        <v>D</v>
      </c>
      <c r="M593" s="9" t="str">
        <f t="shared" si="222"/>
        <v>Input!D206</v>
      </c>
      <c r="N593" s="9">
        <f>_xlfn.XLOOKUP(F593,'Raw Data'!$I$4:$I$5000,'Raw Data'!$E$4:$E$5000,100,0)</f>
        <v>100</v>
      </c>
      <c r="O593" s="9" t="str">
        <f>IF(N593=0,_xlfn.XLOOKUP(F593,'Raw Data'!$I$4:$I$5000,'Raw Data'!$H$4:$H$5000,"",0),"")</f>
        <v/>
      </c>
      <c r="P593" s="9" t="str" cm="1">
        <f t="array" aca="1" ref="P593" ca="1">IF(INDIRECT(M593) = "","",INDIRECT(M593))</f>
        <v/>
      </c>
      <c r="Q593" s="359" t="s">
        <v>4381</v>
      </c>
    </row>
    <row r="594" spans="1:17" x14ac:dyDescent="0.35">
      <c r="A594" t="s">
        <v>1547</v>
      </c>
      <c r="E594" t="str">
        <f>_xlfn.XLOOKUP(F594,'Raw Data'!$I$4:$I$5000,'Raw Data'!$D$4:$D$5000,"*** Mnemonic not found ***",0)</f>
        <v>*** Mnemonic not found ***</v>
      </c>
      <c r="F594" t="str">
        <f t="shared" si="221"/>
        <v>SUCMRUR2NFCERG3_GRTR20__</v>
      </c>
      <c r="H594" s="9" t="s">
        <v>1137</v>
      </c>
      <c r="K594" s="9">
        <f t="shared" si="219"/>
        <v>206</v>
      </c>
      <c r="L594" s="9" t="str">
        <f t="shared" si="220"/>
        <v>E</v>
      </c>
      <c r="M594" s="9" t="str">
        <f t="shared" si="222"/>
        <v>Input!E206</v>
      </c>
      <c r="N594" s="9">
        <f>_xlfn.XLOOKUP(F594,'Raw Data'!$I$4:$I$5000,'Raw Data'!$E$4:$E$5000,100,0)</f>
        <v>100</v>
      </c>
      <c r="O594" s="9" t="str">
        <f>IF(N594=0,_xlfn.XLOOKUP(F594,'Raw Data'!$I$4:$I$5000,'Raw Data'!$H$4:$H$5000,"",0),"")</f>
        <v/>
      </c>
      <c r="P594" s="9" t="str" cm="1">
        <f t="array" aca="1" ref="P594" ca="1">IF(INDIRECT(M594) = "","",INDIRECT(M594))</f>
        <v/>
      </c>
      <c r="Q594" s="359" t="s">
        <v>4381</v>
      </c>
    </row>
    <row r="595" spans="1:17" x14ac:dyDescent="0.35">
      <c r="A595" t="s">
        <v>1552</v>
      </c>
      <c r="E595" t="str">
        <f>_xlfn.XLOOKUP(F595,'Raw Data'!$I$4:$I$5000,'Raw Data'!$D$4:$D$5000,"*** Mnemonic not found ***",0)</f>
        <v>*** Mnemonic not found ***</v>
      </c>
      <c r="F595" t="str">
        <f t="shared" si="221"/>
        <v>SUCMRUR2NFCERG4_GRTR20__</v>
      </c>
      <c r="H595" s="9" t="s">
        <v>1137</v>
      </c>
      <c r="K595" s="9">
        <f t="shared" si="219"/>
        <v>206</v>
      </c>
      <c r="L595" s="9" t="str">
        <f t="shared" si="220"/>
        <v>F</v>
      </c>
      <c r="M595" s="9" t="str">
        <f t="shared" si="222"/>
        <v>Input!F206</v>
      </c>
      <c r="N595" s="9">
        <f>_xlfn.XLOOKUP(F595,'Raw Data'!$I$4:$I$5000,'Raw Data'!$E$4:$E$5000,100,0)</f>
        <v>100</v>
      </c>
      <c r="O595" s="9" t="str">
        <f>IF(N595=0,_xlfn.XLOOKUP(F595,'Raw Data'!$I$4:$I$5000,'Raw Data'!$H$4:$H$5000,"",0),"")</f>
        <v/>
      </c>
      <c r="P595" s="9" t="str" cm="1">
        <f t="array" aca="1" ref="P595" ca="1">IF(INDIRECT(M595) = "","",INDIRECT(M595))</f>
        <v/>
      </c>
      <c r="Q595" s="359" t="s">
        <v>4381</v>
      </c>
    </row>
    <row r="596" spans="1:17" x14ac:dyDescent="0.35">
      <c r="A596" t="s">
        <v>1557</v>
      </c>
      <c r="E596" t="str">
        <f>_xlfn.XLOOKUP(F596,'Raw Data'!$I$4:$I$5000,'Raw Data'!$D$4:$D$5000,"*** Mnemonic not found ***",0)</f>
        <v>*** Mnemonic not found ***</v>
      </c>
      <c r="F596" t="str">
        <f t="shared" si="221"/>
        <v>SUCMRUR2NFCERG5_GRTR20__</v>
      </c>
      <c r="H596" s="9" t="s">
        <v>1137</v>
      </c>
      <c r="K596" s="9">
        <f t="shared" si="219"/>
        <v>206</v>
      </c>
      <c r="L596" s="9" t="str">
        <f t="shared" si="220"/>
        <v>G</v>
      </c>
      <c r="M596" s="9" t="str">
        <f t="shared" si="222"/>
        <v>Input!G206</v>
      </c>
      <c r="N596" s="9">
        <f>_xlfn.XLOOKUP(F596,'Raw Data'!$I$4:$I$5000,'Raw Data'!$E$4:$E$5000,100,0)</f>
        <v>100</v>
      </c>
      <c r="O596" s="9" t="str">
        <f>IF(N596=0,_xlfn.XLOOKUP(F596,'Raw Data'!$I$4:$I$5000,'Raw Data'!$H$4:$H$5000,"",0),"")</f>
        <v/>
      </c>
      <c r="P596" s="9" t="str" cm="1">
        <f t="array" aca="1" ref="P596" ca="1">IF(INDIRECT(M596) = "","",INDIRECT(M596))</f>
        <v/>
      </c>
      <c r="Q596" s="359" t="s">
        <v>4381</v>
      </c>
    </row>
    <row r="597" spans="1:17" x14ac:dyDescent="0.35">
      <c r="A597" t="s">
        <v>1562</v>
      </c>
      <c r="E597" t="str">
        <f>_xlfn.XLOOKUP(F597,'Raw Data'!$I$4:$I$5000,'Raw Data'!$D$4:$D$5000,"*** Mnemonic not found ***",0)</f>
        <v>*** Mnemonic not found ***</v>
      </c>
      <c r="F597" t="str">
        <f t="shared" si="221"/>
        <v>SUCMRUR2NFCERG6_GRTR20__</v>
      </c>
      <c r="H597" s="9" t="s">
        <v>1137</v>
      </c>
      <c r="K597" s="9">
        <f t="shared" si="219"/>
        <v>206</v>
      </c>
      <c r="L597" s="9" t="str">
        <f t="shared" si="220"/>
        <v>H</v>
      </c>
      <c r="M597" s="9" t="str">
        <f t="shared" si="222"/>
        <v>Input!H206</v>
      </c>
      <c r="N597" s="9">
        <f>_xlfn.XLOOKUP(F597,'Raw Data'!$I$4:$I$5000,'Raw Data'!$E$4:$E$5000,100,0)</f>
        <v>100</v>
      </c>
      <c r="O597" s="9" t="str">
        <f>IF(N597=0,_xlfn.XLOOKUP(F597,'Raw Data'!$I$4:$I$5000,'Raw Data'!$H$4:$H$5000,"",0),"")</f>
        <v/>
      </c>
      <c r="P597" s="9" t="str" cm="1">
        <f t="array" aca="1" ref="P597" ca="1">IF(INDIRECT(M597) = "","",INDIRECT(M597))</f>
        <v/>
      </c>
      <c r="Q597" s="359" t="s">
        <v>4381</v>
      </c>
    </row>
    <row r="598" spans="1:17" x14ac:dyDescent="0.35">
      <c r="A598" t="s">
        <v>1567</v>
      </c>
      <c r="E598" t="str">
        <f>_xlfn.XLOOKUP(F598,'Raw Data'!$I$4:$I$5000,'Raw Data'!$D$4:$D$5000,"*** Mnemonic not found ***",0)</f>
        <v>*** Mnemonic not found ***</v>
      </c>
      <c r="F598" t="str">
        <f t="shared" si="221"/>
        <v>SUCMRUR2NFCERG7_GRTR20__</v>
      </c>
      <c r="H598" s="9" t="s">
        <v>1137</v>
      </c>
      <c r="K598" s="9">
        <f t="shared" si="219"/>
        <v>206</v>
      </c>
      <c r="L598" s="9" t="str">
        <f t="shared" si="220"/>
        <v>I</v>
      </c>
      <c r="M598" s="9" t="str">
        <f t="shared" si="222"/>
        <v>Input!I206</v>
      </c>
      <c r="N598" s="9">
        <f>_xlfn.XLOOKUP(F598,'Raw Data'!$I$4:$I$5000,'Raw Data'!$E$4:$E$5000,100,0)</f>
        <v>100</v>
      </c>
      <c r="O598" s="9" t="str">
        <f>IF(N598=0,_xlfn.XLOOKUP(F598,'Raw Data'!$I$4:$I$5000,'Raw Data'!$H$4:$H$5000,"",0),"")</f>
        <v/>
      </c>
      <c r="P598" s="9" t="str" cm="1">
        <f t="array" aca="1" ref="P598" ca="1">IF(INDIRECT(M598) = "","",INDIRECT(M598))</f>
        <v/>
      </c>
      <c r="Q598" s="359" t="s">
        <v>4381</v>
      </c>
    </row>
    <row r="599" spans="1:17" x14ac:dyDescent="0.35">
      <c r="A599" t="s">
        <v>1572</v>
      </c>
      <c r="E599" t="str">
        <f>_xlfn.XLOOKUP(F599,'Raw Data'!$I$4:$I$5000,'Raw Data'!$D$4:$D$5000,"*** Mnemonic not found ***",0)</f>
        <v>*** Mnemonic not found ***</v>
      </c>
      <c r="F599" t="str">
        <f t="shared" si="221"/>
        <v>SUCMRUR2NFCERG8_GRTR20__</v>
      </c>
      <c r="H599" s="9" t="s">
        <v>1137</v>
      </c>
      <c r="K599" s="9">
        <f t="shared" si="219"/>
        <v>206</v>
      </c>
      <c r="L599" s="9" t="str">
        <f t="shared" si="220"/>
        <v>J</v>
      </c>
      <c r="M599" s="9" t="str">
        <f t="shared" si="222"/>
        <v>Input!J206</v>
      </c>
      <c r="N599" s="9">
        <f>_xlfn.XLOOKUP(F599,'Raw Data'!$I$4:$I$5000,'Raw Data'!$E$4:$E$5000,100,0)</f>
        <v>100</v>
      </c>
      <c r="O599" s="9" t="str">
        <f>IF(N599=0,_xlfn.XLOOKUP(F599,'Raw Data'!$I$4:$I$5000,'Raw Data'!$H$4:$H$5000,"",0),"")</f>
        <v/>
      </c>
      <c r="P599" s="9" t="str" cm="1">
        <f t="array" aca="1" ref="P599" ca="1">IF(INDIRECT(M599) = "","",INDIRECT(M599))</f>
        <v/>
      </c>
      <c r="Q599" s="359" t="s">
        <v>4381</v>
      </c>
    </row>
    <row r="600" spans="1:17" x14ac:dyDescent="0.35">
      <c r="A600" t="s">
        <v>1577</v>
      </c>
      <c r="E600" t="str">
        <f>_xlfn.XLOOKUP(F600,'Raw Data'!$I$4:$I$5000,'Raw Data'!$D$4:$D$5000,"*** Mnemonic not found ***",0)</f>
        <v>*** Mnemonic not found ***</v>
      </c>
      <c r="F600" t="str">
        <f t="shared" si="221"/>
        <v>SUCMRUR2NFCERG9_GRTR20__</v>
      </c>
      <c r="H600" s="9" t="s">
        <v>1137</v>
      </c>
      <c r="K600" s="9">
        <f t="shared" si="219"/>
        <v>206</v>
      </c>
      <c r="L600" s="9" t="str">
        <f t="shared" si="220"/>
        <v>K</v>
      </c>
      <c r="M600" s="9" t="str">
        <f t="shared" si="222"/>
        <v>Input!K206</v>
      </c>
      <c r="N600" s="9">
        <f>_xlfn.XLOOKUP(F600,'Raw Data'!$I$4:$I$5000,'Raw Data'!$E$4:$E$5000,100,0)</f>
        <v>100</v>
      </c>
      <c r="O600" s="9" t="str">
        <f>IF(N600=0,_xlfn.XLOOKUP(F600,'Raw Data'!$I$4:$I$5000,'Raw Data'!$H$4:$H$5000,"",0),"")</f>
        <v/>
      </c>
      <c r="P600" s="9" t="str" cm="1">
        <f t="array" aca="1" ref="P600" ca="1">IF(INDIRECT(M600) = "","",INDIRECT(M600))</f>
        <v/>
      </c>
      <c r="Q600" s="359" t="s">
        <v>4381</v>
      </c>
    </row>
    <row r="601" spans="1:17" x14ac:dyDescent="0.35">
      <c r="A601" t="s">
        <v>1582</v>
      </c>
      <c r="E601" t="str">
        <f>_xlfn.XLOOKUP(F601,'Raw Data'!$I$4:$I$5000,'Raw Data'!$D$4:$D$5000,"*** Mnemonic not found ***",0)</f>
        <v>*** Mnemonic not found ***</v>
      </c>
      <c r="F601" t="str">
        <f t="shared" si="221"/>
        <v>SUCMRUR2NFCERG10_GRTR20__</v>
      </c>
      <c r="H601" s="9" t="s">
        <v>1137</v>
      </c>
      <c r="K601" s="9">
        <f t="shared" si="219"/>
        <v>206</v>
      </c>
      <c r="L601" s="9" t="str">
        <f t="shared" si="220"/>
        <v>L</v>
      </c>
      <c r="M601" s="9" t="str">
        <f t="shared" si="222"/>
        <v>Input!L206</v>
      </c>
      <c r="N601" s="9">
        <f>_xlfn.XLOOKUP(F601,'Raw Data'!$I$4:$I$5000,'Raw Data'!$E$4:$E$5000,100,0)</f>
        <v>100</v>
      </c>
      <c r="O601" s="9" t="str">
        <f>IF(N601=0,_xlfn.XLOOKUP(F601,'Raw Data'!$I$4:$I$5000,'Raw Data'!$H$4:$H$5000,"",0),"")</f>
        <v/>
      </c>
      <c r="P601" s="9" t="str" cm="1">
        <f t="array" aca="1" ref="P601" ca="1">IF(INDIRECT(M601) = "","",INDIRECT(M601))</f>
        <v/>
      </c>
      <c r="Q601" s="359" t="s">
        <v>4381</v>
      </c>
    </row>
    <row r="602" spans="1:17" x14ac:dyDescent="0.35">
      <c r="A602" t="s">
        <v>1587</v>
      </c>
      <c r="E602" t="str">
        <f>_xlfn.XLOOKUP(F602,'Raw Data'!$I$4:$I$5000,'Raw Data'!$D$4:$D$5000,"*** Mnemonic not found ***",0)</f>
        <v>*** Mnemonic not found ***</v>
      </c>
      <c r="F602" t="str">
        <f t="shared" si="221"/>
        <v>SUCMRUR2NFCERGNA_GRTR20__</v>
      </c>
      <c r="H602" s="9" t="s">
        <v>1137</v>
      </c>
      <c r="K602" s="9">
        <f t="shared" si="219"/>
        <v>206</v>
      </c>
      <c r="L602" s="9" t="str">
        <f t="shared" si="220"/>
        <v>M</v>
      </c>
      <c r="M602" s="9" t="str">
        <f t="shared" si="222"/>
        <v>Input!M206</v>
      </c>
      <c r="N602" s="9">
        <f>_xlfn.XLOOKUP(F602,'Raw Data'!$I$4:$I$5000,'Raw Data'!$E$4:$E$5000,100,0)</f>
        <v>100</v>
      </c>
      <c r="O602" s="9" t="str">
        <f>IF(N602=0,_xlfn.XLOOKUP(F602,'Raw Data'!$I$4:$I$5000,'Raw Data'!$H$4:$H$5000,"",0),"")</f>
        <v/>
      </c>
      <c r="P602" s="9" t="str" cm="1">
        <f t="array" aca="1" ref="P602" ca="1">IF(INDIRECT(M602) = "","",INDIRECT(M602))</f>
        <v/>
      </c>
      <c r="Q602" s="359" t="s">
        <v>4381</v>
      </c>
    </row>
    <row r="603" spans="1:17" x14ac:dyDescent="0.35">
      <c r="A603" t="s">
        <v>1588</v>
      </c>
      <c r="E603" t="str">
        <f>_xlfn.XLOOKUP(F603,'Raw Data'!$I$4:$I$5000,'Raw Data'!$D$4:$D$5000,"*** Mnemonic not found ***",0)</f>
        <v>*** Mnemonic not found ***</v>
      </c>
      <c r="F603" t="str">
        <f t="shared" si="221"/>
        <v>SUCMRUR3NFCERG1_LESS1__</v>
      </c>
      <c r="H603" s="9" t="s">
        <v>1137</v>
      </c>
      <c r="I603" s="289">
        <f>ROW(section_bonds_sp_unrated_step_4)</f>
        <v>187</v>
      </c>
      <c r="J603" s="9">
        <f>J548+10</f>
        <v>25</v>
      </c>
      <c r="K603" s="9">
        <f>I603+J603</f>
        <v>212</v>
      </c>
      <c r="L603" s="9" t="str">
        <f>L592</f>
        <v>C</v>
      </c>
      <c r="M603" s="9" t="str">
        <f t="shared" si="222"/>
        <v>Input!C212</v>
      </c>
      <c r="N603" s="9">
        <f>_xlfn.XLOOKUP(F603,'Raw Data'!$I$4:$I$5000,'Raw Data'!$E$4:$E$5000,100,0)</f>
        <v>100</v>
      </c>
      <c r="O603" s="9" t="str">
        <f>IF(N603=0,_xlfn.XLOOKUP(F603,'Raw Data'!$I$4:$I$5000,'Raw Data'!$H$4:$H$5000,"",0),"")</f>
        <v/>
      </c>
      <c r="P603" s="9" t="str" cm="1">
        <f t="array" aca="1" ref="P603" ca="1">IF(INDIRECT(M603) = "","",INDIRECT(M603))</f>
        <v/>
      </c>
      <c r="Q603" s="359" t="s">
        <v>4381</v>
      </c>
    </row>
    <row r="604" spans="1:17" x14ac:dyDescent="0.35">
      <c r="A604" t="s">
        <v>1593</v>
      </c>
      <c r="E604" t="str">
        <f>_xlfn.XLOOKUP(F604,'Raw Data'!$I$4:$I$5000,'Raw Data'!$D$4:$D$5000,"*** Mnemonic not found ***",0)</f>
        <v>*** Mnemonic not found ***</v>
      </c>
      <c r="F604" t="str">
        <f t="shared" si="221"/>
        <v>SUCMRUR3NFCERG2_LESS1__</v>
      </c>
      <c r="H604" s="9" t="s">
        <v>1137</v>
      </c>
      <c r="K604" s="9">
        <f>K603</f>
        <v>212</v>
      </c>
      <c r="L604" s="9" t="str">
        <f t="shared" ref="L604:L613" si="223">L593</f>
        <v>D</v>
      </c>
      <c r="M604" s="9" t="str">
        <f t="shared" si="222"/>
        <v>Input!D212</v>
      </c>
      <c r="N604" s="9">
        <f>_xlfn.XLOOKUP(F604,'Raw Data'!$I$4:$I$5000,'Raw Data'!$E$4:$E$5000,100,0)</f>
        <v>100</v>
      </c>
      <c r="O604" s="9" t="str">
        <f>IF(N604=0,_xlfn.XLOOKUP(F604,'Raw Data'!$I$4:$I$5000,'Raw Data'!$H$4:$H$5000,"",0),"")</f>
        <v/>
      </c>
      <c r="P604" s="9" t="str" cm="1">
        <f t="array" aca="1" ref="P604" ca="1">IF(INDIRECT(M604) = "","",INDIRECT(M604))</f>
        <v/>
      </c>
      <c r="Q604" s="359" t="s">
        <v>4381</v>
      </c>
    </row>
    <row r="605" spans="1:17" x14ac:dyDescent="0.35">
      <c r="A605" t="s">
        <v>1598</v>
      </c>
      <c r="E605" t="str">
        <f>_xlfn.XLOOKUP(F605,'Raw Data'!$I$4:$I$5000,'Raw Data'!$D$4:$D$5000,"*** Mnemonic not found ***",0)</f>
        <v>*** Mnemonic not found ***</v>
      </c>
      <c r="F605" t="str">
        <f t="shared" si="221"/>
        <v>SUCMRUR3NFCERG3_LESS1__</v>
      </c>
      <c r="H605" s="9" t="s">
        <v>1137</v>
      </c>
      <c r="K605" s="9">
        <f t="shared" ref="K605:K613" si="224">K604</f>
        <v>212</v>
      </c>
      <c r="L605" s="9" t="str">
        <f t="shared" si="223"/>
        <v>E</v>
      </c>
      <c r="M605" s="9" t="str">
        <f t="shared" si="222"/>
        <v>Input!E212</v>
      </c>
      <c r="N605" s="9">
        <f>_xlfn.XLOOKUP(F605,'Raw Data'!$I$4:$I$5000,'Raw Data'!$E$4:$E$5000,100,0)</f>
        <v>100</v>
      </c>
      <c r="O605" s="9" t="str">
        <f>IF(N605=0,_xlfn.XLOOKUP(F605,'Raw Data'!$I$4:$I$5000,'Raw Data'!$H$4:$H$5000,"",0),"")</f>
        <v/>
      </c>
      <c r="P605" s="9" t="str" cm="1">
        <f t="array" aca="1" ref="P605" ca="1">IF(INDIRECT(M605) = "","",INDIRECT(M605))</f>
        <v/>
      </c>
      <c r="Q605" s="359" t="s">
        <v>4381</v>
      </c>
    </row>
    <row r="606" spans="1:17" x14ac:dyDescent="0.35">
      <c r="A606" t="s">
        <v>1603</v>
      </c>
      <c r="E606" t="str">
        <f>_xlfn.XLOOKUP(F606,'Raw Data'!$I$4:$I$5000,'Raw Data'!$D$4:$D$5000,"*** Mnemonic not found ***",0)</f>
        <v>*** Mnemonic not found ***</v>
      </c>
      <c r="F606" t="str">
        <f t="shared" si="221"/>
        <v>SUCMRUR3NFCERG4_LESS1__</v>
      </c>
      <c r="H606" s="9" t="s">
        <v>1137</v>
      </c>
      <c r="K606" s="9">
        <f t="shared" si="224"/>
        <v>212</v>
      </c>
      <c r="L606" s="9" t="str">
        <f t="shared" si="223"/>
        <v>F</v>
      </c>
      <c r="M606" s="9" t="str">
        <f t="shared" si="222"/>
        <v>Input!F212</v>
      </c>
      <c r="N606" s="9">
        <f>_xlfn.XLOOKUP(F606,'Raw Data'!$I$4:$I$5000,'Raw Data'!$E$4:$E$5000,100,0)</f>
        <v>100</v>
      </c>
      <c r="O606" s="9" t="str">
        <f>IF(N606=0,_xlfn.XLOOKUP(F606,'Raw Data'!$I$4:$I$5000,'Raw Data'!$H$4:$H$5000,"",0),"")</f>
        <v/>
      </c>
      <c r="P606" s="9" t="str" cm="1">
        <f t="array" aca="1" ref="P606" ca="1">IF(INDIRECT(M606) = "","",INDIRECT(M606))</f>
        <v/>
      </c>
      <c r="Q606" s="359" t="s">
        <v>4381</v>
      </c>
    </row>
    <row r="607" spans="1:17" x14ac:dyDescent="0.35">
      <c r="A607" t="s">
        <v>1608</v>
      </c>
      <c r="E607" t="str">
        <f>_xlfn.XLOOKUP(F607,'Raw Data'!$I$4:$I$5000,'Raw Data'!$D$4:$D$5000,"*** Mnemonic not found ***",0)</f>
        <v>*** Mnemonic not found ***</v>
      </c>
      <c r="F607" t="str">
        <f t="shared" si="221"/>
        <v>SUCMRUR3NFCERG5_LESS1__</v>
      </c>
      <c r="H607" s="9" t="s">
        <v>1137</v>
      </c>
      <c r="K607" s="9">
        <f t="shared" si="224"/>
        <v>212</v>
      </c>
      <c r="L607" s="9" t="str">
        <f t="shared" si="223"/>
        <v>G</v>
      </c>
      <c r="M607" s="9" t="str">
        <f t="shared" si="222"/>
        <v>Input!G212</v>
      </c>
      <c r="N607" s="9">
        <f>_xlfn.XLOOKUP(F607,'Raw Data'!$I$4:$I$5000,'Raw Data'!$E$4:$E$5000,100,0)</f>
        <v>100</v>
      </c>
      <c r="O607" s="9" t="str">
        <f>IF(N607=0,_xlfn.XLOOKUP(F607,'Raw Data'!$I$4:$I$5000,'Raw Data'!$H$4:$H$5000,"",0),"")</f>
        <v/>
      </c>
      <c r="P607" s="9" t="str" cm="1">
        <f t="array" aca="1" ref="P607" ca="1">IF(INDIRECT(M607) = "","",INDIRECT(M607))</f>
        <v/>
      </c>
      <c r="Q607" s="359" t="s">
        <v>4381</v>
      </c>
    </row>
    <row r="608" spans="1:17" x14ac:dyDescent="0.35">
      <c r="A608" t="s">
        <v>1613</v>
      </c>
      <c r="E608" t="str">
        <f>_xlfn.XLOOKUP(F608,'Raw Data'!$I$4:$I$5000,'Raw Data'!$D$4:$D$5000,"*** Mnemonic not found ***",0)</f>
        <v>*** Mnemonic not found ***</v>
      </c>
      <c r="F608" t="str">
        <f t="shared" si="221"/>
        <v>SUCMRUR3NFCERG6_LESS1__</v>
      </c>
      <c r="H608" s="9" t="s">
        <v>1137</v>
      </c>
      <c r="K608" s="9">
        <f t="shared" si="224"/>
        <v>212</v>
      </c>
      <c r="L608" s="9" t="str">
        <f t="shared" si="223"/>
        <v>H</v>
      </c>
      <c r="M608" s="9" t="str">
        <f t="shared" si="222"/>
        <v>Input!H212</v>
      </c>
      <c r="N608" s="9">
        <f>_xlfn.XLOOKUP(F608,'Raw Data'!$I$4:$I$5000,'Raw Data'!$E$4:$E$5000,100,0)</f>
        <v>100</v>
      </c>
      <c r="O608" s="9" t="str">
        <f>IF(N608=0,_xlfn.XLOOKUP(F608,'Raw Data'!$I$4:$I$5000,'Raw Data'!$H$4:$H$5000,"",0),"")</f>
        <v/>
      </c>
      <c r="P608" s="9" t="str" cm="1">
        <f t="array" aca="1" ref="P608" ca="1">IF(INDIRECT(M608) = "","",INDIRECT(M608))</f>
        <v/>
      </c>
      <c r="Q608" s="359" t="s">
        <v>4381</v>
      </c>
    </row>
    <row r="609" spans="1:17" x14ac:dyDescent="0.35">
      <c r="A609" t="s">
        <v>1618</v>
      </c>
      <c r="E609" t="str">
        <f>_xlfn.XLOOKUP(F609,'Raw Data'!$I$4:$I$5000,'Raw Data'!$D$4:$D$5000,"*** Mnemonic not found ***",0)</f>
        <v>*** Mnemonic not found ***</v>
      </c>
      <c r="F609" t="str">
        <f t="shared" si="221"/>
        <v>SUCMRUR3NFCERG7_LESS1__</v>
      </c>
      <c r="H609" s="9" t="s">
        <v>1137</v>
      </c>
      <c r="K609" s="9">
        <f t="shared" si="224"/>
        <v>212</v>
      </c>
      <c r="L609" s="9" t="str">
        <f t="shared" si="223"/>
        <v>I</v>
      </c>
      <c r="M609" s="9" t="str">
        <f t="shared" si="222"/>
        <v>Input!I212</v>
      </c>
      <c r="N609" s="9">
        <f>_xlfn.XLOOKUP(F609,'Raw Data'!$I$4:$I$5000,'Raw Data'!$E$4:$E$5000,100,0)</f>
        <v>100</v>
      </c>
      <c r="O609" s="9" t="str">
        <f>IF(N609=0,_xlfn.XLOOKUP(F609,'Raw Data'!$I$4:$I$5000,'Raw Data'!$H$4:$H$5000,"",0),"")</f>
        <v/>
      </c>
      <c r="P609" s="9" t="str" cm="1">
        <f t="array" aca="1" ref="P609" ca="1">IF(INDIRECT(M609) = "","",INDIRECT(M609))</f>
        <v/>
      </c>
      <c r="Q609" s="359" t="s">
        <v>4381</v>
      </c>
    </row>
    <row r="610" spans="1:17" x14ac:dyDescent="0.35">
      <c r="A610" t="s">
        <v>1623</v>
      </c>
      <c r="E610" t="str">
        <f>_xlfn.XLOOKUP(F610,'Raw Data'!$I$4:$I$5000,'Raw Data'!$D$4:$D$5000,"*** Mnemonic not found ***",0)</f>
        <v>*** Mnemonic not found ***</v>
      </c>
      <c r="F610" t="str">
        <f t="shared" si="221"/>
        <v>SUCMRUR3NFCERG8_LESS1__</v>
      </c>
      <c r="H610" s="9" t="s">
        <v>1137</v>
      </c>
      <c r="K610" s="9">
        <f t="shared" si="224"/>
        <v>212</v>
      </c>
      <c r="L610" s="9" t="str">
        <f t="shared" si="223"/>
        <v>J</v>
      </c>
      <c r="M610" s="9" t="str">
        <f t="shared" si="222"/>
        <v>Input!J212</v>
      </c>
      <c r="N610" s="9">
        <f>_xlfn.XLOOKUP(F610,'Raw Data'!$I$4:$I$5000,'Raw Data'!$E$4:$E$5000,100,0)</f>
        <v>100</v>
      </c>
      <c r="O610" s="9" t="str">
        <f>IF(N610=0,_xlfn.XLOOKUP(F610,'Raw Data'!$I$4:$I$5000,'Raw Data'!$H$4:$H$5000,"",0),"")</f>
        <v/>
      </c>
      <c r="P610" s="9" t="str" cm="1">
        <f t="array" aca="1" ref="P610" ca="1">IF(INDIRECT(M610) = "","",INDIRECT(M610))</f>
        <v/>
      </c>
      <c r="Q610" s="359" t="s">
        <v>4381</v>
      </c>
    </row>
    <row r="611" spans="1:17" x14ac:dyDescent="0.35">
      <c r="A611" t="s">
        <v>1628</v>
      </c>
      <c r="E611" t="str">
        <f>_xlfn.XLOOKUP(F611,'Raw Data'!$I$4:$I$5000,'Raw Data'!$D$4:$D$5000,"*** Mnemonic not found ***",0)</f>
        <v>*** Mnemonic not found ***</v>
      </c>
      <c r="F611" t="str">
        <f t="shared" si="221"/>
        <v>SUCMRUR3NFCERG9_LESS1__</v>
      </c>
      <c r="H611" s="9" t="s">
        <v>1137</v>
      </c>
      <c r="K611" s="9">
        <f t="shared" si="224"/>
        <v>212</v>
      </c>
      <c r="L611" s="9" t="str">
        <f t="shared" si="223"/>
        <v>K</v>
      </c>
      <c r="M611" s="9" t="str">
        <f t="shared" si="222"/>
        <v>Input!K212</v>
      </c>
      <c r="N611" s="9">
        <f>_xlfn.XLOOKUP(F611,'Raw Data'!$I$4:$I$5000,'Raw Data'!$E$4:$E$5000,100,0)</f>
        <v>100</v>
      </c>
      <c r="O611" s="9" t="str">
        <f>IF(N611=0,_xlfn.XLOOKUP(F611,'Raw Data'!$I$4:$I$5000,'Raw Data'!$H$4:$H$5000,"",0),"")</f>
        <v/>
      </c>
      <c r="P611" s="9" t="str" cm="1">
        <f t="array" aca="1" ref="P611" ca="1">IF(INDIRECT(M611) = "","",INDIRECT(M611))</f>
        <v/>
      </c>
      <c r="Q611" s="359" t="s">
        <v>4381</v>
      </c>
    </row>
    <row r="612" spans="1:17" x14ac:dyDescent="0.35">
      <c r="A612" t="s">
        <v>1633</v>
      </c>
      <c r="E612" t="str">
        <f>_xlfn.XLOOKUP(F612,'Raw Data'!$I$4:$I$5000,'Raw Data'!$D$4:$D$5000,"*** Mnemonic not found ***",0)</f>
        <v>*** Mnemonic not found ***</v>
      </c>
      <c r="F612" t="str">
        <f t="shared" si="221"/>
        <v>SUCMRUR3NFCERG10_LESS1__</v>
      </c>
      <c r="H612" s="9" t="s">
        <v>1137</v>
      </c>
      <c r="K612" s="9">
        <f t="shared" si="224"/>
        <v>212</v>
      </c>
      <c r="L612" s="9" t="str">
        <f t="shared" si="223"/>
        <v>L</v>
      </c>
      <c r="M612" s="9" t="str">
        <f t="shared" si="222"/>
        <v>Input!L212</v>
      </c>
      <c r="N612" s="9">
        <f>_xlfn.XLOOKUP(F612,'Raw Data'!$I$4:$I$5000,'Raw Data'!$E$4:$E$5000,100,0)</f>
        <v>100</v>
      </c>
      <c r="O612" s="9" t="str">
        <f>IF(N612=0,_xlfn.XLOOKUP(F612,'Raw Data'!$I$4:$I$5000,'Raw Data'!$H$4:$H$5000,"",0),"")</f>
        <v/>
      </c>
      <c r="P612" s="9" t="str" cm="1">
        <f t="array" aca="1" ref="P612" ca="1">IF(INDIRECT(M612) = "","",INDIRECT(M612))</f>
        <v/>
      </c>
      <c r="Q612" s="359" t="s">
        <v>4381</v>
      </c>
    </row>
    <row r="613" spans="1:17" x14ac:dyDescent="0.35">
      <c r="A613" t="s">
        <v>1638</v>
      </c>
      <c r="E613" t="str">
        <f>_xlfn.XLOOKUP(F613,'Raw Data'!$I$4:$I$5000,'Raw Data'!$D$4:$D$5000,"*** Mnemonic not found ***",0)</f>
        <v>*** Mnemonic not found ***</v>
      </c>
      <c r="F613" t="str">
        <f t="shared" si="221"/>
        <v>SUCMRUR3NFCERGNA_LESS1__</v>
      </c>
      <c r="H613" s="9" t="s">
        <v>1137</v>
      </c>
      <c r="K613" s="9">
        <f t="shared" si="224"/>
        <v>212</v>
      </c>
      <c r="L613" s="9" t="str">
        <f t="shared" si="223"/>
        <v>M</v>
      </c>
      <c r="M613" s="9" t="str">
        <f t="shared" si="222"/>
        <v>Input!M212</v>
      </c>
      <c r="N613" s="9">
        <f>_xlfn.XLOOKUP(F613,'Raw Data'!$I$4:$I$5000,'Raw Data'!$E$4:$E$5000,100,0)</f>
        <v>100</v>
      </c>
      <c r="O613" s="9" t="str">
        <f>IF(N613=0,_xlfn.XLOOKUP(F613,'Raw Data'!$I$4:$I$5000,'Raw Data'!$H$4:$H$5000,"",0),"")</f>
        <v/>
      </c>
      <c r="P613" s="9" t="str" cm="1">
        <f t="array" aca="1" ref="P613" ca="1">IF(INDIRECT(M613) = "","",INDIRECT(M613))</f>
        <v/>
      </c>
      <c r="Q613" s="359" t="s">
        <v>4381</v>
      </c>
    </row>
    <row r="614" spans="1:17" x14ac:dyDescent="0.35">
      <c r="A614" t="s">
        <v>1589</v>
      </c>
      <c r="E614" t="str">
        <f>_xlfn.XLOOKUP(F614,'Raw Data'!$I$4:$I$5000,'Raw Data'!$D$4:$D$5000,"*** Mnemonic not found ***",0)</f>
        <v>*** Mnemonic not found ***</v>
      </c>
      <c r="F614" t="str">
        <f t="shared" si="221"/>
        <v>SUCMRUR3NFCERG1_1TO5__</v>
      </c>
      <c r="H614" s="9" t="s">
        <v>1137</v>
      </c>
      <c r="K614" s="9">
        <f>K603+1</f>
        <v>213</v>
      </c>
      <c r="L614" s="9" t="str">
        <f>L603</f>
        <v>C</v>
      </c>
      <c r="M614" s="9" t="str">
        <f t="shared" si="222"/>
        <v>Input!C213</v>
      </c>
      <c r="N614" s="9">
        <f>_xlfn.XLOOKUP(F614,'Raw Data'!$I$4:$I$5000,'Raw Data'!$E$4:$E$5000,100,0)</f>
        <v>100</v>
      </c>
      <c r="O614" s="9" t="str">
        <f>IF(N614=0,_xlfn.XLOOKUP(F614,'Raw Data'!$I$4:$I$5000,'Raw Data'!$H$4:$H$5000,"",0),"")</f>
        <v/>
      </c>
      <c r="P614" s="9" t="str" cm="1">
        <f t="array" aca="1" ref="P614" ca="1">IF(INDIRECT(M614) = "","",INDIRECT(M614))</f>
        <v/>
      </c>
      <c r="Q614" s="359" t="s">
        <v>4381</v>
      </c>
    </row>
    <row r="615" spans="1:17" x14ac:dyDescent="0.35">
      <c r="A615" t="s">
        <v>1594</v>
      </c>
      <c r="E615" t="str">
        <f>_xlfn.XLOOKUP(F615,'Raw Data'!$I$4:$I$5000,'Raw Data'!$D$4:$D$5000,"*** Mnemonic not found ***",0)</f>
        <v>*** Mnemonic not found ***</v>
      </c>
      <c r="F615" t="str">
        <f t="shared" si="221"/>
        <v>SUCMRUR3NFCERG2_1TO5__</v>
      </c>
      <c r="H615" s="9" t="s">
        <v>1137</v>
      </c>
      <c r="K615" s="9">
        <f t="shared" ref="K615:K657" si="225">K604+1</f>
        <v>213</v>
      </c>
      <c r="L615" s="9" t="str">
        <f t="shared" ref="L615:L657" si="226">L604</f>
        <v>D</v>
      </c>
      <c r="M615" s="9" t="str">
        <f t="shared" si="222"/>
        <v>Input!D213</v>
      </c>
      <c r="N615" s="9">
        <f>_xlfn.XLOOKUP(F615,'Raw Data'!$I$4:$I$5000,'Raw Data'!$E$4:$E$5000,100,0)</f>
        <v>100</v>
      </c>
      <c r="O615" s="9" t="str">
        <f>IF(N615=0,_xlfn.XLOOKUP(F615,'Raw Data'!$I$4:$I$5000,'Raw Data'!$H$4:$H$5000,"",0),"")</f>
        <v/>
      </c>
      <c r="P615" s="9" t="str" cm="1">
        <f t="array" aca="1" ref="P615" ca="1">IF(INDIRECT(M615) = "","",INDIRECT(M615))</f>
        <v/>
      </c>
      <c r="Q615" s="359" t="s">
        <v>4381</v>
      </c>
    </row>
    <row r="616" spans="1:17" x14ac:dyDescent="0.35">
      <c r="A616" t="s">
        <v>1599</v>
      </c>
      <c r="E616" t="str">
        <f>_xlfn.XLOOKUP(F616,'Raw Data'!$I$4:$I$5000,'Raw Data'!$D$4:$D$5000,"*** Mnemonic not found ***",0)</f>
        <v>*** Mnemonic not found ***</v>
      </c>
      <c r="F616" t="str">
        <f t="shared" si="221"/>
        <v>SUCMRUR3NFCERG3_1TO5__</v>
      </c>
      <c r="H616" s="9" t="s">
        <v>1137</v>
      </c>
      <c r="K616" s="9">
        <f t="shared" si="225"/>
        <v>213</v>
      </c>
      <c r="L616" s="9" t="str">
        <f t="shared" si="226"/>
        <v>E</v>
      </c>
      <c r="M616" s="9" t="str">
        <f t="shared" si="222"/>
        <v>Input!E213</v>
      </c>
      <c r="N616" s="9">
        <f>_xlfn.XLOOKUP(F616,'Raw Data'!$I$4:$I$5000,'Raw Data'!$E$4:$E$5000,100,0)</f>
        <v>100</v>
      </c>
      <c r="O616" s="9" t="str">
        <f>IF(N616=0,_xlfn.XLOOKUP(F616,'Raw Data'!$I$4:$I$5000,'Raw Data'!$H$4:$H$5000,"",0),"")</f>
        <v/>
      </c>
      <c r="P616" s="9" t="str" cm="1">
        <f t="array" aca="1" ref="P616" ca="1">IF(INDIRECT(M616) = "","",INDIRECT(M616))</f>
        <v/>
      </c>
      <c r="Q616" s="359" t="s">
        <v>4381</v>
      </c>
    </row>
    <row r="617" spans="1:17" x14ac:dyDescent="0.35">
      <c r="A617" t="s">
        <v>1604</v>
      </c>
      <c r="E617" t="str">
        <f>_xlfn.XLOOKUP(F617,'Raw Data'!$I$4:$I$5000,'Raw Data'!$D$4:$D$5000,"*** Mnemonic not found ***",0)</f>
        <v>*** Mnemonic not found ***</v>
      </c>
      <c r="F617" t="str">
        <f t="shared" si="221"/>
        <v>SUCMRUR3NFCERG4_1TO5__</v>
      </c>
      <c r="H617" s="9" t="s">
        <v>1137</v>
      </c>
      <c r="K617" s="9">
        <f t="shared" si="225"/>
        <v>213</v>
      </c>
      <c r="L617" s="9" t="str">
        <f t="shared" si="226"/>
        <v>F</v>
      </c>
      <c r="M617" s="9" t="str">
        <f t="shared" si="222"/>
        <v>Input!F213</v>
      </c>
      <c r="N617" s="9">
        <f>_xlfn.XLOOKUP(F617,'Raw Data'!$I$4:$I$5000,'Raw Data'!$E$4:$E$5000,100,0)</f>
        <v>100</v>
      </c>
      <c r="O617" s="9" t="str">
        <f>IF(N617=0,_xlfn.XLOOKUP(F617,'Raw Data'!$I$4:$I$5000,'Raw Data'!$H$4:$H$5000,"",0),"")</f>
        <v/>
      </c>
      <c r="P617" s="9" t="str" cm="1">
        <f t="array" aca="1" ref="P617" ca="1">IF(INDIRECT(M617) = "","",INDIRECT(M617))</f>
        <v/>
      </c>
      <c r="Q617" s="359" t="s">
        <v>4381</v>
      </c>
    </row>
    <row r="618" spans="1:17" x14ac:dyDescent="0.35">
      <c r="A618" t="s">
        <v>1609</v>
      </c>
      <c r="E618" t="str">
        <f>_xlfn.XLOOKUP(F618,'Raw Data'!$I$4:$I$5000,'Raw Data'!$D$4:$D$5000,"*** Mnemonic not found ***",0)</f>
        <v>*** Mnemonic not found ***</v>
      </c>
      <c r="F618" t="str">
        <f t="shared" si="221"/>
        <v>SUCMRUR3NFCERG5_1TO5__</v>
      </c>
      <c r="H618" s="9" t="s">
        <v>1137</v>
      </c>
      <c r="K618" s="9">
        <f t="shared" si="225"/>
        <v>213</v>
      </c>
      <c r="L618" s="9" t="str">
        <f t="shared" si="226"/>
        <v>G</v>
      </c>
      <c r="M618" s="9" t="str">
        <f t="shared" si="222"/>
        <v>Input!G213</v>
      </c>
      <c r="N618" s="9">
        <f>_xlfn.XLOOKUP(F618,'Raw Data'!$I$4:$I$5000,'Raw Data'!$E$4:$E$5000,100,0)</f>
        <v>100</v>
      </c>
      <c r="O618" s="9" t="str">
        <f>IF(N618=0,_xlfn.XLOOKUP(F618,'Raw Data'!$I$4:$I$5000,'Raw Data'!$H$4:$H$5000,"",0),"")</f>
        <v/>
      </c>
      <c r="P618" s="9" t="str" cm="1">
        <f t="array" aca="1" ref="P618" ca="1">IF(INDIRECT(M618) = "","",INDIRECT(M618))</f>
        <v/>
      </c>
      <c r="Q618" s="359" t="s">
        <v>4381</v>
      </c>
    </row>
    <row r="619" spans="1:17" x14ac:dyDescent="0.35">
      <c r="A619" t="s">
        <v>1614</v>
      </c>
      <c r="E619" t="str">
        <f>_xlfn.XLOOKUP(F619,'Raw Data'!$I$4:$I$5000,'Raw Data'!$D$4:$D$5000,"*** Mnemonic not found ***",0)</f>
        <v>*** Mnemonic not found ***</v>
      </c>
      <c r="F619" t="str">
        <f t="shared" si="221"/>
        <v>SUCMRUR3NFCERG6_1TO5__</v>
      </c>
      <c r="H619" s="9" t="s">
        <v>1137</v>
      </c>
      <c r="K619" s="9">
        <f t="shared" si="225"/>
        <v>213</v>
      </c>
      <c r="L619" s="9" t="str">
        <f t="shared" si="226"/>
        <v>H</v>
      </c>
      <c r="M619" s="9" t="str">
        <f t="shared" si="222"/>
        <v>Input!H213</v>
      </c>
      <c r="N619" s="9">
        <f>_xlfn.XLOOKUP(F619,'Raw Data'!$I$4:$I$5000,'Raw Data'!$E$4:$E$5000,100,0)</f>
        <v>100</v>
      </c>
      <c r="O619" s="9" t="str">
        <f>IF(N619=0,_xlfn.XLOOKUP(F619,'Raw Data'!$I$4:$I$5000,'Raw Data'!$H$4:$H$5000,"",0),"")</f>
        <v/>
      </c>
      <c r="P619" s="9" t="str" cm="1">
        <f t="array" aca="1" ref="P619" ca="1">IF(INDIRECT(M619) = "","",INDIRECT(M619))</f>
        <v/>
      </c>
      <c r="Q619" s="359" t="s">
        <v>4381</v>
      </c>
    </row>
    <row r="620" spans="1:17" x14ac:dyDescent="0.35">
      <c r="A620" t="s">
        <v>1619</v>
      </c>
      <c r="E620" t="str">
        <f>_xlfn.XLOOKUP(F620,'Raw Data'!$I$4:$I$5000,'Raw Data'!$D$4:$D$5000,"*** Mnemonic not found ***",0)</f>
        <v>*** Mnemonic not found ***</v>
      </c>
      <c r="F620" t="str">
        <f t="shared" si="221"/>
        <v>SUCMRUR3NFCERG7_1TO5__</v>
      </c>
      <c r="H620" s="9" t="s">
        <v>1137</v>
      </c>
      <c r="K620" s="9">
        <f t="shared" si="225"/>
        <v>213</v>
      </c>
      <c r="L620" s="9" t="str">
        <f t="shared" si="226"/>
        <v>I</v>
      </c>
      <c r="M620" s="9" t="str">
        <f t="shared" si="222"/>
        <v>Input!I213</v>
      </c>
      <c r="N620" s="9">
        <f>_xlfn.XLOOKUP(F620,'Raw Data'!$I$4:$I$5000,'Raw Data'!$E$4:$E$5000,100,0)</f>
        <v>100</v>
      </c>
      <c r="O620" s="9" t="str">
        <f>IF(N620=0,_xlfn.XLOOKUP(F620,'Raw Data'!$I$4:$I$5000,'Raw Data'!$H$4:$H$5000,"",0),"")</f>
        <v/>
      </c>
      <c r="P620" s="9" t="str" cm="1">
        <f t="array" aca="1" ref="P620" ca="1">IF(INDIRECT(M620) = "","",INDIRECT(M620))</f>
        <v/>
      </c>
      <c r="Q620" s="359" t="s">
        <v>4381</v>
      </c>
    </row>
    <row r="621" spans="1:17" x14ac:dyDescent="0.35">
      <c r="A621" t="s">
        <v>1624</v>
      </c>
      <c r="E621" t="str">
        <f>_xlfn.XLOOKUP(F621,'Raw Data'!$I$4:$I$5000,'Raw Data'!$D$4:$D$5000,"*** Mnemonic not found ***",0)</f>
        <v>*** Mnemonic not found ***</v>
      </c>
      <c r="F621" t="str">
        <f t="shared" si="221"/>
        <v>SUCMRUR3NFCERG8_1TO5__</v>
      </c>
      <c r="H621" s="9" t="s">
        <v>1137</v>
      </c>
      <c r="K621" s="9">
        <f t="shared" si="225"/>
        <v>213</v>
      </c>
      <c r="L621" s="9" t="str">
        <f t="shared" si="226"/>
        <v>J</v>
      </c>
      <c r="M621" s="9" t="str">
        <f t="shared" si="222"/>
        <v>Input!J213</v>
      </c>
      <c r="N621" s="9">
        <f>_xlfn.XLOOKUP(F621,'Raw Data'!$I$4:$I$5000,'Raw Data'!$E$4:$E$5000,100,0)</f>
        <v>100</v>
      </c>
      <c r="O621" s="9" t="str">
        <f>IF(N621=0,_xlfn.XLOOKUP(F621,'Raw Data'!$I$4:$I$5000,'Raw Data'!$H$4:$H$5000,"",0),"")</f>
        <v/>
      </c>
      <c r="P621" s="9" t="str" cm="1">
        <f t="array" aca="1" ref="P621" ca="1">IF(INDIRECT(M621) = "","",INDIRECT(M621))</f>
        <v/>
      </c>
      <c r="Q621" s="359" t="s">
        <v>4381</v>
      </c>
    </row>
    <row r="622" spans="1:17" x14ac:dyDescent="0.35">
      <c r="A622" t="s">
        <v>1629</v>
      </c>
      <c r="E622" t="str">
        <f>_xlfn.XLOOKUP(F622,'Raw Data'!$I$4:$I$5000,'Raw Data'!$D$4:$D$5000,"*** Mnemonic not found ***",0)</f>
        <v>*** Mnemonic not found ***</v>
      </c>
      <c r="F622" t="str">
        <f t="shared" si="221"/>
        <v>SUCMRUR3NFCERG9_1TO5__</v>
      </c>
      <c r="H622" s="9" t="s">
        <v>1137</v>
      </c>
      <c r="K622" s="9">
        <f t="shared" si="225"/>
        <v>213</v>
      </c>
      <c r="L622" s="9" t="str">
        <f t="shared" si="226"/>
        <v>K</v>
      </c>
      <c r="M622" s="9" t="str">
        <f t="shared" si="222"/>
        <v>Input!K213</v>
      </c>
      <c r="N622" s="9">
        <f>_xlfn.XLOOKUP(F622,'Raw Data'!$I$4:$I$5000,'Raw Data'!$E$4:$E$5000,100,0)</f>
        <v>100</v>
      </c>
      <c r="O622" s="9" t="str">
        <f>IF(N622=0,_xlfn.XLOOKUP(F622,'Raw Data'!$I$4:$I$5000,'Raw Data'!$H$4:$H$5000,"",0),"")</f>
        <v/>
      </c>
      <c r="P622" s="9" t="str" cm="1">
        <f t="array" aca="1" ref="P622" ca="1">IF(INDIRECT(M622) = "","",INDIRECT(M622))</f>
        <v/>
      </c>
      <c r="Q622" s="359" t="s">
        <v>4381</v>
      </c>
    </row>
    <row r="623" spans="1:17" x14ac:dyDescent="0.35">
      <c r="A623" t="s">
        <v>1634</v>
      </c>
      <c r="E623" t="str">
        <f>_xlfn.XLOOKUP(F623,'Raw Data'!$I$4:$I$5000,'Raw Data'!$D$4:$D$5000,"*** Mnemonic not found ***",0)</f>
        <v>*** Mnemonic not found ***</v>
      </c>
      <c r="F623" t="str">
        <f t="shared" si="221"/>
        <v>SUCMRUR3NFCERG10_1TO5__</v>
      </c>
      <c r="H623" s="9" t="s">
        <v>1137</v>
      </c>
      <c r="K623" s="9">
        <f t="shared" si="225"/>
        <v>213</v>
      </c>
      <c r="L623" s="9" t="str">
        <f t="shared" si="226"/>
        <v>L</v>
      </c>
      <c r="M623" s="9" t="str">
        <f t="shared" si="222"/>
        <v>Input!L213</v>
      </c>
      <c r="N623" s="9">
        <f>_xlfn.XLOOKUP(F623,'Raw Data'!$I$4:$I$5000,'Raw Data'!$E$4:$E$5000,100,0)</f>
        <v>100</v>
      </c>
      <c r="O623" s="9" t="str">
        <f>IF(N623=0,_xlfn.XLOOKUP(F623,'Raw Data'!$I$4:$I$5000,'Raw Data'!$H$4:$H$5000,"",0),"")</f>
        <v/>
      </c>
      <c r="P623" s="9" t="str" cm="1">
        <f t="array" aca="1" ref="P623" ca="1">IF(INDIRECT(M623) = "","",INDIRECT(M623))</f>
        <v/>
      </c>
      <c r="Q623" s="359" t="s">
        <v>4381</v>
      </c>
    </row>
    <row r="624" spans="1:17" x14ac:dyDescent="0.35">
      <c r="A624" t="s">
        <v>1639</v>
      </c>
      <c r="E624" t="str">
        <f>_xlfn.XLOOKUP(F624,'Raw Data'!$I$4:$I$5000,'Raw Data'!$D$4:$D$5000,"*** Mnemonic not found ***",0)</f>
        <v>*** Mnemonic not found ***</v>
      </c>
      <c r="F624" t="str">
        <f t="shared" si="221"/>
        <v>SUCMRUR3NFCERGNA_1TO5__</v>
      </c>
      <c r="H624" s="9" t="s">
        <v>1137</v>
      </c>
      <c r="K624" s="9">
        <f t="shared" si="225"/>
        <v>213</v>
      </c>
      <c r="L624" s="9" t="str">
        <f t="shared" si="226"/>
        <v>M</v>
      </c>
      <c r="M624" s="9" t="str">
        <f t="shared" si="222"/>
        <v>Input!M213</v>
      </c>
      <c r="N624" s="9">
        <f>_xlfn.XLOOKUP(F624,'Raw Data'!$I$4:$I$5000,'Raw Data'!$E$4:$E$5000,100,0)</f>
        <v>100</v>
      </c>
      <c r="O624" s="9" t="str">
        <f>IF(N624=0,_xlfn.XLOOKUP(F624,'Raw Data'!$I$4:$I$5000,'Raw Data'!$H$4:$H$5000,"",0),"")</f>
        <v/>
      </c>
      <c r="P624" s="9" t="str" cm="1">
        <f t="array" aca="1" ref="P624" ca="1">IF(INDIRECT(M624) = "","",INDIRECT(M624))</f>
        <v/>
      </c>
      <c r="Q624" s="359" t="s">
        <v>4381</v>
      </c>
    </row>
    <row r="625" spans="1:17" x14ac:dyDescent="0.35">
      <c r="A625" t="s">
        <v>1590</v>
      </c>
      <c r="E625" t="str">
        <f>_xlfn.XLOOKUP(F625,'Raw Data'!$I$4:$I$5000,'Raw Data'!$D$4:$D$5000,"*** Mnemonic not found ***",0)</f>
        <v>*** Mnemonic not found ***</v>
      </c>
      <c r="F625" t="str">
        <f t="shared" si="221"/>
        <v>SUCMRUR3NFCERG1_5TO10__</v>
      </c>
      <c r="H625" s="9" t="s">
        <v>1137</v>
      </c>
      <c r="K625" s="9">
        <f t="shared" si="225"/>
        <v>214</v>
      </c>
      <c r="L625" s="9" t="str">
        <f t="shared" si="226"/>
        <v>C</v>
      </c>
      <c r="M625" s="9" t="str">
        <f t="shared" si="222"/>
        <v>Input!C214</v>
      </c>
      <c r="N625" s="9">
        <f>_xlfn.XLOOKUP(F625,'Raw Data'!$I$4:$I$5000,'Raw Data'!$E$4:$E$5000,100,0)</f>
        <v>100</v>
      </c>
      <c r="O625" s="9" t="str">
        <f>IF(N625=0,_xlfn.XLOOKUP(F625,'Raw Data'!$I$4:$I$5000,'Raw Data'!$H$4:$H$5000,"",0),"")</f>
        <v/>
      </c>
      <c r="P625" s="9" t="str" cm="1">
        <f t="array" aca="1" ref="P625" ca="1">IF(INDIRECT(M625) = "","",INDIRECT(M625))</f>
        <v/>
      </c>
      <c r="Q625" s="359" t="s">
        <v>4381</v>
      </c>
    </row>
    <row r="626" spans="1:17" x14ac:dyDescent="0.35">
      <c r="A626" t="s">
        <v>1595</v>
      </c>
      <c r="E626" t="str">
        <f>_xlfn.XLOOKUP(F626,'Raw Data'!$I$4:$I$5000,'Raw Data'!$D$4:$D$5000,"*** Mnemonic not found ***",0)</f>
        <v>*** Mnemonic not found ***</v>
      </c>
      <c r="F626" t="str">
        <f t="shared" si="221"/>
        <v>SUCMRUR3NFCERG2_5TO10__</v>
      </c>
      <c r="H626" s="9" t="s">
        <v>1137</v>
      </c>
      <c r="K626" s="9">
        <f t="shared" si="225"/>
        <v>214</v>
      </c>
      <c r="L626" s="9" t="str">
        <f t="shared" si="226"/>
        <v>D</v>
      </c>
      <c r="M626" s="9" t="str">
        <f t="shared" si="222"/>
        <v>Input!D214</v>
      </c>
      <c r="N626" s="9">
        <f>_xlfn.XLOOKUP(F626,'Raw Data'!$I$4:$I$5000,'Raw Data'!$E$4:$E$5000,100,0)</f>
        <v>100</v>
      </c>
      <c r="O626" s="9" t="str">
        <f>IF(N626=0,_xlfn.XLOOKUP(F626,'Raw Data'!$I$4:$I$5000,'Raw Data'!$H$4:$H$5000,"",0),"")</f>
        <v/>
      </c>
      <c r="P626" s="9" t="str" cm="1">
        <f t="array" aca="1" ref="P626" ca="1">IF(INDIRECT(M626) = "","",INDIRECT(M626))</f>
        <v/>
      </c>
      <c r="Q626" s="359" t="s">
        <v>4381</v>
      </c>
    </row>
    <row r="627" spans="1:17" x14ac:dyDescent="0.35">
      <c r="A627" t="s">
        <v>1600</v>
      </c>
      <c r="E627" t="str">
        <f>_xlfn.XLOOKUP(F627,'Raw Data'!$I$4:$I$5000,'Raw Data'!$D$4:$D$5000,"*** Mnemonic not found ***",0)</f>
        <v>*** Mnemonic not found ***</v>
      </c>
      <c r="F627" t="str">
        <f t="shared" si="221"/>
        <v>SUCMRUR3NFCERG3_5TO10__</v>
      </c>
      <c r="H627" s="9" t="s">
        <v>1137</v>
      </c>
      <c r="K627" s="9">
        <f t="shared" si="225"/>
        <v>214</v>
      </c>
      <c r="L627" s="9" t="str">
        <f t="shared" si="226"/>
        <v>E</v>
      </c>
      <c r="M627" s="9" t="str">
        <f t="shared" si="222"/>
        <v>Input!E214</v>
      </c>
      <c r="N627" s="9">
        <f>_xlfn.XLOOKUP(F627,'Raw Data'!$I$4:$I$5000,'Raw Data'!$E$4:$E$5000,100,0)</f>
        <v>100</v>
      </c>
      <c r="O627" s="9" t="str">
        <f>IF(N627=0,_xlfn.XLOOKUP(F627,'Raw Data'!$I$4:$I$5000,'Raw Data'!$H$4:$H$5000,"",0),"")</f>
        <v/>
      </c>
      <c r="P627" s="9" t="str" cm="1">
        <f t="array" aca="1" ref="P627" ca="1">IF(INDIRECT(M627) = "","",INDIRECT(M627))</f>
        <v/>
      </c>
      <c r="Q627" s="359" t="s">
        <v>4381</v>
      </c>
    </row>
    <row r="628" spans="1:17" x14ac:dyDescent="0.35">
      <c r="A628" t="s">
        <v>1605</v>
      </c>
      <c r="E628" t="str">
        <f>_xlfn.XLOOKUP(F628,'Raw Data'!$I$4:$I$5000,'Raw Data'!$D$4:$D$5000,"*** Mnemonic not found ***",0)</f>
        <v>*** Mnemonic not found ***</v>
      </c>
      <c r="F628" t="str">
        <f t="shared" si="221"/>
        <v>SUCMRUR3NFCERG4_5TO10__</v>
      </c>
      <c r="H628" s="9" t="s">
        <v>1137</v>
      </c>
      <c r="K628" s="9">
        <f t="shared" si="225"/>
        <v>214</v>
      </c>
      <c r="L628" s="9" t="str">
        <f t="shared" si="226"/>
        <v>F</v>
      </c>
      <c r="M628" s="9" t="str">
        <f t="shared" si="222"/>
        <v>Input!F214</v>
      </c>
      <c r="N628" s="9">
        <f>_xlfn.XLOOKUP(F628,'Raw Data'!$I$4:$I$5000,'Raw Data'!$E$4:$E$5000,100,0)</f>
        <v>100</v>
      </c>
      <c r="O628" s="9" t="str">
        <f>IF(N628=0,_xlfn.XLOOKUP(F628,'Raw Data'!$I$4:$I$5000,'Raw Data'!$H$4:$H$5000,"",0),"")</f>
        <v/>
      </c>
      <c r="P628" s="9" t="str" cm="1">
        <f t="array" aca="1" ref="P628" ca="1">IF(INDIRECT(M628) = "","",INDIRECT(M628))</f>
        <v/>
      </c>
      <c r="Q628" s="359" t="s">
        <v>4381</v>
      </c>
    </row>
    <row r="629" spans="1:17" x14ac:dyDescent="0.35">
      <c r="A629" t="s">
        <v>1610</v>
      </c>
      <c r="E629" t="str">
        <f>_xlfn.XLOOKUP(F629,'Raw Data'!$I$4:$I$5000,'Raw Data'!$D$4:$D$5000,"*** Mnemonic not found ***",0)</f>
        <v>*** Mnemonic not found ***</v>
      </c>
      <c r="F629" t="str">
        <f t="shared" si="221"/>
        <v>SUCMRUR3NFCERG5_5TO10__</v>
      </c>
      <c r="H629" s="9" t="s">
        <v>1137</v>
      </c>
      <c r="K629" s="9">
        <f t="shared" si="225"/>
        <v>214</v>
      </c>
      <c r="L629" s="9" t="str">
        <f t="shared" si="226"/>
        <v>G</v>
      </c>
      <c r="M629" s="9" t="str">
        <f t="shared" si="222"/>
        <v>Input!G214</v>
      </c>
      <c r="N629" s="9">
        <f>_xlfn.XLOOKUP(F629,'Raw Data'!$I$4:$I$5000,'Raw Data'!$E$4:$E$5000,100,0)</f>
        <v>100</v>
      </c>
      <c r="O629" s="9" t="str">
        <f>IF(N629=0,_xlfn.XLOOKUP(F629,'Raw Data'!$I$4:$I$5000,'Raw Data'!$H$4:$H$5000,"",0),"")</f>
        <v/>
      </c>
      <c r="P629" s="9" t="str" cm="1">
        <f t="array" aca="1" ref="P629" ca="1">IF(INDIRECT(M629) = "","",INDIRECT(M629))</f>
        <v/>
      </c>
      <c r="Q629" s="359" t="s">
        <v>4381</v>
      </c>
    </row>
    <row r="630" spans="1:17" x14ac:dyDescent="0.35">
      <c r="A630" t="s">
        <v>1615</v>
      </c>
      <c r="E630" t="str">
        <f>_xlfn.XLOOKUP(F630,'Raw Data'!$I$4:$I$5000,'Raw Data'!$D$4:$D$5000,"*** Mnemonic not found ***",0)</f>
        <v>*** Mnemonic not found ***</v>
      </c>
      <c r="F630" t="str">
        <f t="shared" si="221"/>
        <v>SUCMRUR3NFCERG6_5TO10__</v>
      </c>
      <c r="H630" s="9" t="s">
        <v>1137</v>
      </c>
      <c r="K630" s="9">
        <f t="shared" si="225"/>
        <v>214</v>
      </c>
      <c r="L630" s="9" t="str">
        <f t="shared" si="226"/>
        <v>H</v>
      </c>
      <c r="M630" s="9" t="str">
        <f t="shared" si="222"/>
        <v>Input!H214</v>
      </c>
      <c r="N630" s="9">
        <f>_xlfn.XLOOKUP(F630,'Raw Data'!$I$4:$I$5000,'Raw Data'!$E$4:$E$5000,100,0)</f>
        <v>100</v>
      </c>
      <c r="O630" s="9" t="str">
        <f>IF(N630=0,_xlfn.XLOOKUP(F630,'Raw Data'!$I$4:$I$5000,'Raw Data'!$H$4:$H$5000,"",0),"")</f>
        <v/>
      </c>
      <c r="P630" s="9" t="str" cm="1">
        <f t="array" aca="1" ref="P630" ca="1">IF(INDIRECT(M630) = "","",INDIRECT(M630))</f>
        <v/>
      </c>
      <c r="Q630" s="359" t="s">
        <v>4381</v>
      </c>
    </row>
    <row r="631" spans="1:17" x14ac:dyDescent="0.35">
      <c r="A631" t="s">
        <v>1620</v>
      </c>
      <c r="E631" t="str">
        <f>_xlfn.XLOOKUP(F631,'Raw Data'!$I$4:$I$5000,'Raw Data'!$D$4:$D$5000,"*** Mnemonic not found ***",0)</f>
        <v>*** Mnemonic not found ***</v>
      </c>
      <c r="F631" t="str">
        <f t="shared" si="221"/>
        <v>SUCMRUR3NFCERG7_5TO10__</v>
      </c>
      <c r="H631" s="9" t="s">
        <v>1137</v>
      </c>
      <c r="K631" s="9">
        <f t="shared" si="225"/>
        <v>214</v>
      </c>
      <c r="L631" s="9" t="str">
        <f t="shared" si="226"/>
        <v>I</v>
      </c>
      <c r="M631" s="9" t="str">
        <f t="shared" si="222"/>
        <v>Input!I214</v>
      </c>
      <c r="N631" s="9">
        <f>_xlfn.XLOOKUP(F631,'Raw Data'!$I$4:$I$5000,'Raw Data'!$E$4:$E$5000,100,0)</f>
        <v>100</v>
      </c>
      <c r="O631" s="9" t="str">
        <f>IF(N631=0,_xlfn.XLOOKUP(F631,'Raw Data'!$I$4:$I$5000,'Raw Data'!$H$4:$H$5000,"",0),"")</f>
        <v/>
      </c>
      <c r="P631" s="9" t="str" cm="1">
        <f t="array" aca="1" ref="P631" ca="1">IF(INDIRECT(M631) = "","",INDIRECT(M631))</f>
        <v/>
      </c>
      <c r="Q631" s="359" t="s">
        <v>4381</v>
      </c>
    </row>
    <row r="632" spans="1:17" x14ac:dyDescent="0.35">
      <c r="A632" t="s">
        <v>1625</v>
      </c>
      <c r="E632" t="str">
        <f>_xlfn.XLOOKUP(F632,'Raw Data'!$I$4:$I$5000,'Raw Data'!$D$4:$D$5000,"*** Mnemonic not found ***",0)</f>
        <v>*** Mnemonic not found ***</v>
      </c>
      <c r="F632" t="str">
        <f t="shared" si="221"/>
        <v>SUCMRUR3NFCERG8_5TO10__</v>
      </c>
      <c r="H632" s="9" t="s">
        <v>1137</v>
      </c>
      <c r="K632" s="9">
        <f t="shared" si="225"/>
        <v>214</v>
      </c>
      <c r="L632" s="9" t="str">
        <f t="shared" si="226"/>
        <v>J</v>
      </c>
      <c r="M632" s="9" t="str">
        <f t="shared" si="222"/>
        <v>Input!J214</v>
      </c>
      <c r="N632" s="9">
        <f>_xlfn.XLOOKUP(F632,'Raw Data'!$I$4:$I$5000,'Raw Data'!$E$4:$E$5000,100,0)</f>
        <v>100</v>
      </c>
      <c r="O632" s="9" t="str">
        <f>IF(N632=0,_xlfn.XLOOKUP(F632,'Raw Data'!$I$4:$I$5000,'Raw Data'!$H$4:$H$5000,"",0),"")</f>
        <v/>
      </c>
      <c r="P632" s="9" t="str" cm="1">
        <f t="array" aca="1" ref="P632" ca="1">IF(INDIRECT(M632) = "","",INDIRECT(M632))</f>
        <v/>
      </c>
      <c r="Q632" s="359" t="s">
        <v>4381</v>
      </c>
    </row>
    <row r="633" spans="1:17" x14ac:dyDescent="0.35">
      <c r="A633" t="s">
        <v>1630</v>
      </c>
      <c r="E633" t="str">
        <f>_xlfn.XLOOKUP(F633,'Raw Data'!$I$4:$I$5000,'Raw Data'!$D$4:$D$5000,"*** Mnemonic not found ***",0)</f>
        <v>*** Mnemonic not found ***</v>
      </c>
      <c r="F633" t="str">
        <f t="shared" si="221"/>
        <v>SUCMRUR3NFCERG9_5TO10__</v>
      </c>
      <c r="H633" s="9" t="s">
        <v>1137</v>
      </c>
      <c r="K633" s="9">
        <f t="shared" si="225"/>
        <v>214</v>
      </c>
      <c r="L633" s="9" t="str">
        <f t="shared" si="226"/>
        <v>K</v>
      </c>
      <c r="M633" s="9" t="str">
        <f t="shared" si="222"/>
        <v>Input!K214</v>
      </c>
      <c r="N633" s="9">
        <f>_xlfn.XLOOKUP(F633,'Raw Data'!$I$4:$I$5000,'Raw Data'!$E$4:$E$5000,100,0)</f>
        <v>100</v>
      </c>
      <c r="O633" s="9" t="str">
        <f>IF(N633=0,_xlfn.XLOOKUP(F633,'Raw Data'!$I$4:$I$5000,'Raw Data'!$H$4:$H$5000,"",0),"")</f>
        <v/>
      </c>
      <c r="P633" s="9" t="str" cm="1">
        <f t="array" aca="1" ref="P633" ca="1">IF(INDIRECT(M633) = "","",INDIRECT(M633))</f>
        <v/>
      </c>
      <c r="Q633" s="359" t="s">
        <v>4381</v>
      </c>
    </row>
    <row r="634" spans="1:17" x14ac:dyDescent="0.35">
      <c r="A634" t="s">
        <v>1635</v>
      </c>
      <c r="E634" t="str">
        <f>_xlfn.XLOOKUP(F634,'Raw Data'!$I$4:$I$5000,'Raw Data'!$D$4:$D$5000,"*** Mnemonic not found ***",0)</f>
        <v>*** Mnemonic not found ***</v>
      </c>
      <c r="F634" t="str">
        <f t="shared" si="221"/>
        <v>SUCMRUR3NFCERG10_5TO10__</v>
      </c>
      <c r="H634" s="9" t="s">
        <v>1137</v>
      </c>
      <c r="K634" s="9">
        <f t="shared" si="225"/>
        <v>214</v>
      </c>
      <c r="L634" s="9" t="str">
        <f t="shared" si="226"/>
        <v>L</v>
      </c>
      <c r="M634" s="9" t="str">
        <f t="shared" si="222"/>
        <v>Input!L214</v>
      </c>
      <c r="N634" s="9">
        <f>_xlfn.XLOOKUP(F634,'Raw Data'!$I$4:$I$5000,'Raw Data'!$E$4:$E$5000,100,0)</f>
        <v>100</v>
      </c>
      <c r="O634" s="9" t="str">
        <f>IF(N634=0,_xlfn.XLOOKUP(F634,'Raw Data'!$I$4:$I$5000,'Raw Data'!$H$4:$H$5000,"",0),"")</f>
        <v/>
      </c>
      <c r="P634" s="9" t="str" cm="1">
        <f t="array" aca="1" ref="P634" ca="1">IF(INDIRECT(M634) = "","",INDIRECT(M634))</f>
        <v/>
      </c>
      <c r="Q634" s="359" t="s">
        <v>4381</v>
      </c>
    </row>
    <row r="635" spans="1:17" x14ac:dyDescent="0.35">
      <c r="A635" t="s">
        <v>1640</v>
      </c>
      <c r="E635" t="str">
        <f>_xlfn.XLOOKUP(F635,'Raw Data'!$I$4:$I$5000,'Raw Data'!$D$4:$D$5000,"*** Mnemonic not found ***",0)</f>
        <v>*** Mnemonic not found ***</v>
      </c>
      <c r="F635" t="str">
        <f t="shared" si="221"/>
        <v>SUCMRUR3NFCERGNA_5TO10__</v>
      </c>
      <c r="H635" s="9" t="s">
        <v>1137</v>
      </c>
      <c r="K635" s="9">
        <f t="shared" si="225"/>
        <v>214</v>
      </c>
      <c r="L635" s="9" t="str">
        <f t="shared" si="226"/>
        <v>M</v>
      </c>
      <c r="M635" s="9" t="str">
        <f t="shared" si="222"/>
        <v>Input!M214</v>
      </c>
      <c r="N635" s="9">
        <f>_xlfn.XLOOKUP(F635,'Raw Data'!$I$4:$I$5000,'Raw Data'!$E$4:$E$5000,100,0)</f>
        <v>100</v>
      </c>
      <c r="O635" s="9" t="str">
        <f>IF(N635=0,_xlfn.XLOOKUP(F635,'Raw Data'!$I$4:$I$5000,'Raw Data'!$H$4:$H$5000,"",0),"")</f>
        <v/>
      </c>
      <c r="P635" s="9" t="str" cm="1">
        <f t="array" aca="1" ref="P635" ca="1">IF(INDIRECT(M635) = "","",INDIRECT(M635))</f>
        <v/>
      </c>
      <c r="Q635" s="359" t="s">
        <v>4381</v>
      </c>
    </row>
    <row r="636" spans="1:17" x14ac:dyDescent="0.35">
      <c r="A636" t="s">
        <v>1591</v>
      </c>
      <c r="E636" t="str">
        <f>_xlfn.XLOOKUP(F636,'Raw Data'!$I$4:$I$5000,'Raw Data'!$D$4:$D$5000,"*** Mnemonic not found ***",0)</f>
        <v>*** Mnemonic not found ***</v>
      </c>
      <c r="F636" t="str">
        <f t="shared" si="221"/>
        <v>SUCMRUR3NFCERG1_10TO20__</v>
      </c>
      <c r="H636" s="9" t="s">
        <v>1137</v>
      </c>
      <c r="K636" s="9">
        <f t="shared" si="225"/>
        <v>215</v>
      </c>
      <c r="L636" s="9" t="str">
        <f t="shared" si="226"/>
        <v>C</v>
      </c>
      <c r="M636" s="9" t="str">
        <f t="shared" si="222"/>
        <v>Input!C215</v>
      </c>
      <c r="N636" s="9">
        <f>_xlfn.XLOOKUP(F636,'Raw Data'!$I$4:$I$5000,'Raw Data'!$E$4:$E$5000,100,0)</f>
        <v>100</v>
      </c>
      <c r="O636" s="9" t="str">
        <f>IF(N636=0,_xlfn.XLOOKUP(F636,'Raw Data'!$I$4:$I$5000,'Raw Data'!$H$4:$H$5000,"",0),"")</f>
        <v/>
      </c>
      <c r="P636" s="9" t="str" cm="1">
        <f t="array" aca="1" ref="P636" ca="1">IF(INDIRECT(M636) = "","",INDIRECT(M636))</f>
        <v/>
      </c>
      <c r="Q636" s="359" t="s">
        <v>4381</v>
      </c>
    </row>
    <row r="637" spans="1:17" x14ac:dyDescent="0.35">
      <c r="A637" t="s">
        <v>1596</v>
      </c>
      <c r="E637" t="str">
        <f>_xlfn.XLOOKUP(F637,'Raw Data'!$I$4:$I$5000,'Raw Data'!$D$4:$D$5000,"*** Mnemonic not found ***",0)</f>
        <v>*** Mnemonic not found ***</v>
      </c>
      <c r="F637" t="str">
        <f t="shared" si="221"/>
        <v>SUCMRUR3NFCERG2_10TO20__</v>
      </c>
      <c r="H637" s="9" t="s">
        <v>1137</v>
      </c>
      <c r="K637" s="9">
        <f t="shared" si="225"/>
        <v>215</v>
      </c>
      <c r="L637" s="9" t="str">
        <f t="shared" si="226"/>
        <v>D</v>
      </c>
      <c r="M637" s="9" t="str">
        <f t="shared" si="222"/>
        <v>Input!D215</v>
      </c>
      <c r="N637" s="9">
        <f>_xlfn.XLOOKUP(F637,'Raw Data'!$I$4:$I$5000,'Raw Data'!$E$4:$E$5000,100,0)</f>
        <v>100</v>
      </c>
      <c r="O637" s="9" t="str">
        <f>IF(N637=0,_xlfn.XLOOKUP(F637,'Raw Data'!$I$4:$I$5000,'Raw Data'!$H$4:$H$5000,"",0),"")</f>
        <v/>
      </c>
      <c r="P637" s="9" t="str" cm="1">
        <f t="array" aca="1" ref="P637" ca="1">IF(INDIRECT(M637) = "","",INDIRECT(M637))</f>
        <v/>
      </c>
      <c r="Q637" s="359" t="s">
        <v>4381</v>
      </c>
    </row>
    <row r="638" spans="1:17" x14ac:dyDescent="0.35">
      <c r="A638" t="s">
        <v>1601</v>
      </c>
      <c r="E638" t="str">
        <f>_xlfn.XLOOKUP(F638,'Raw Data'!$I$4:$I$5000,'Raw Data'!$D$4:$D$5000,"*** Mnemonic not found ***",0)</f>
        <v>*** Mnemonic not found ***</v>
      </c>
      <c r="F638" t="str">
        <f t="shared" si="221"/>
        <v>SUCMRUR3NFCERG3_10TO20__</v>
      </c>
      <c r="H638" s="9" t="s">
        <v>1137</v>
      </c>
      <c r="K638" s="9">
        <f t="shared" si="225"/>
        <v>215</v>
      </c>
      <c r="L638" s="9" t="str">
        <f t="shared" si="226"/>
        <v>E</v>
      </c>
      <c r="M638" s="9" t="str">
        <f t="shared" si="222"/>
        <v>Input!E215</v>
      </c>
      <c r="N638" s="9">
        <f>_xlfn.XLOOKUP(F638,'Raw Data'!$I$4:$I$5000,'Raw Data'!$E$4:$E$5000,100,0)</f>
        <v>100</v>
      </c>
      <c r="O638" s="9" t="str">
        <f>IF(N638=0,_xlfn.XLOOKUP(F638,'Raw Data'!$I$4:$I$5000,'Raw Data'!$H$4:$H$5000,"",0),"")</f>
        <v/>
      </c>
      <c r="P638" s="9" t="str" cm="1">
        <f t="array" aca="1" ref="P638" ca="1">IF(INDIRECT(M638) = "","",INDIRECT(M638))</f>
        <v/>
      </c>
      <c r="Q638" s="359" t="s">
        <v>4381</v>
      </c>
    </row>
    <row r="639" spans="1:17" x14ac:dyDescent="0.35">
      <c r="A639" t="s">
        <v>1606</v>
      </c>
      <c r="E639" t="str">
        <f>_xlfn.XLOOKUP(F639,'Raw Data'!$I$4:$I$5000,'Raw Data'!$D$4:$D$5000,"*** Mnemonic not found ***",0)</f>
        <v>*** Mnemonic not found ***</v>
      </c>
      <c r="F639" t="str">
        <f t="shared" si="221"/>
        <v>SUCMRUR3NFCERG4_10TO20__</v>
      </c>
      <c r="H639" s="9" t="s">
        <v>1137</v>
      </c>
      <c r="K639" s="9">
        <f t="shared" si="225"/>
        <v>215</v>
      </c>
      <c r="L639" s="9" t="str">
        <f t="shared" si="226"/>
        <v>F</v>
      </c>
      <c r="M639" s="9" t="str">
        <f t="shared" si="222"/>
        <v>Input!F215</v>
      </c>
      <c r="N639" s="9">
        <f>_xlfn.XLOOKUP(F639,'Raw Data'!$I$4:$I$5000,'Raw Data'!$E$4:$E$5000,100,0)</f>
        <v>100</v>
      </c>
      <c r="O639" s="9" t="str">
        <f>IF(N639=0,_xlfn.XLOOKUP(F639,'Raw Data'!$I$4:$I$5000,'Raw Data'!$H$4:$H$5000,"",0),"")</f>
        <v/>
      </c>
      <c r="P639" s="9" t="str" cm="1">
        <f t="array" aca="1" ref="P639" ca="1">IF(INDIRECT(M639) = "","",INDIRECT(M639))</f>
        <v/>
      </c>
      <c r="Q639" s="359" t="s">
        <v>4381</v>
      </c>
    </row>
    <row r="640" spans="1:17" x14ac:dyDescent="0.35">
      <c r="A640" t="s">
        <v>1611</v>
      </c>
      <c r="E640" t="str">
        <f>_xlfn.XLOOKUP(F640,'Raw Data'!$I$4:$I$5000,'Raw Data'!$D$4:$D$5000,"*** Mnemonic not found ***",0)</f>
        <v>*** Mnemonic not found ***</v>
      </c>
      <c r="F640" t="str">
        <f t="shared" si="221"/>
        <v>SUCMRUR3NFCERG5_10TO20__</v>
      </c>
      <c r="H640" s="9" t="s">
        <v>1137</v>
      </c>
      <c r="K640" s="9">
        <f t="shared" si="225"/>
        <v>215</v>
      </c>
      <c r="L640" s="9" t="str">
        <f t="shared" si="226"/>
        <v>G</v>
      </c>
      <c r="M640" s="9" t="str">
        <f t="shared" si="222"/>
        <v>Input!G215</v>
      </c>
      <c r="N640" s="9">
        <f>_xlfn.XLOOKUP(F640,'Raw Data'!$I$4:$I$5000,'Raw Data'!$E$4:$E$5000,100,0)</f>
        <v>100</v>
      </c>
      <c r="O640" s="9" t="str">
        <f>IF(N640=0,_xlfn.XLOOKUP(F640,'Raw Data'!$I$4:$I$5000,'Raw Data'!$H$4:$H$5000,"",0),"")</f>
        <v/>
      </c>
      <c r="P640" s="9" t="str" cm="1">
        <f t="array" aca="1" ref="P640" ca="1">IF(INDIRECT(M640) = "","",INDIRECT(M640))</f>
        <v/>
      </c>
      <c r="Q640" s="359" t="s">
        <v>4381</v>
      </c>
    </row>
    <row r="641" spans="1:17" x14ac:dyDescent="0.35">
      <c r="A641" t="s">
        <v>1616</v>
      </c>
      <c r="E641" t="str">
        <f>_xlfn.XLOOKUP(F641,'Raw Data'!$I$4:$I$5000,'Raw Data'!$D$4:$D$5000,"*** Mnemonic not found ***",0)</f>
        <v>*** Mnemonic not found ***</v>
      </c>
      <c r="F641" t="str">
        <f t="shared" si="221"/>
        <v>SUCMRUR3NFCERG6_10TO20__</v>
      </c>
      <c r="H641" s="9" t="s">
        <v>1137</v>
      </c>
      <c r="K641" s="9">
        <f t="shared" si="225"/>
        <v>215</v>
      </c>
      <c r="L641" s="9" t="str">
        <f t="shared" si="226"/>
        <v>H</v>
      </c>
      <c r="M641" s="9" t="str">
        <f t="shared" si="222"/>
        <v>Input!H215</v>
      </c>
      <c r="N641" s="9">
        <f>_xlfn.XLOOKUP(F641,'Raw Data'!$I$4:$I$5000,'Raw Data'!$E$4:$E$5000,100,0)</f>
        <v>100</v>
      </c>
      <c r="O641" s="9" t="str">
        <f>IF(N641=0,_xlfn.XLOOKUP(F641,'Raw Data'!$I$4:$I$5000,'Raw Data'!$H$4:$H$5000,"",0),"")</f>
        <v/>
      </c>
      <c r="P641" s="9" t="str" cm="1">
        <f t="array" aca="1" ref="P641" ca="1">IF(INDIRECT(M641) = "","",INDIRECT(M641))</f>
        <v/>
      </c>
      <c r="Q641" s="359" t="s">
        <v>4381</v>
      </c>
    </row>
    <row r="642" spans="1:17" x14ac:dyDescent="0.35">
      <c r="A642" t="s">
        <v>1621</v>
      </c>
      <c r="E642" t="str">
        <f>_xlfn.XLOOKUP(F642,'Raw Data'!$I$4:$I$5000,'Raw Data'!$D$4:$D$5000,"*** Mnemonic not found ***",0)</f>
        <v>*** Mnemonic not found ***</v>
      </c>
      <c r="F642" t="str">
        <f t="shared" si="221"/>
        <v>SUCMRUR3NFCERG7_10TO20__</v>
      </c>
      <c r="H642" s="9" t="s">
        <v>1137</v>
      </c>
      <c r="K642" s="9">
        <f t="shared" si="225"/>
        <v>215</v>
      </c>
      <c r="L642" s="9" t="str">
        <f t="shared" si="226"/>
        <v>I</v>
      </c>
      <c r="M642" s="9" t="str">
        <f t="shared" si="222"/>
        <v>Input!I215</v>
      </c>
      <c r="N642" s="9">
        <f>_xlfn.XLOOKUP(F642,'Raw Data'!$I$4:$I$5000,'Raw Data'!$E$4:$E$5000,100,0)</f>
        <v>100</v>
      </c>
      <c r="O642" s="9" t="str">
        <f>IF(N642=0,_xlfn.XLOOKUP(F642,'Raw Data'!$I$4:$I$5000,'Raw Data'!$H$4:$H$5000,"",0),"")</f>
        <v/>
      </c>
      <c r="P642" s="9" t="str" cm="1">
        <f t="array" aca="1" ref="P642" ca="1">IF(INDIRECT(M642) = "","",INDIRECT(M642))</f>
        <v/>
      </c>
      <c r="Q642" s="359" t="s">
        <v>4381</v>
      </c>
    </row>
    <row r="643" spans="1:17" x14ac:dyDescent="0.35">
      <c r="A643" t="s">
        <v>1626</v>
      </c>
      <c r="E643" t="str">
        <f>_xlfn.XLOOKUP(F643,'Raw Data'!$I$4:$I$5000,'Raw Data'!$D$4:$D$5000,"*** Mnemonic not found ***",0)</f>
        <v>*** Mnemonic not found ***</v>
      </c>
      <c r="F643" t="str">
        <f t="shared" si="221"/>
        <v>SUCMRUR3NFCERG8_10TO20__</v>
      </c>
      <c r="H643" s="9" t="s">
        <v>1137</v>
      </c>
      <c r="K643" s="9">
        <f t="shared" si="225"/>
        <v>215</v>
      </c>
      <c r="L643" s="9" t="str">
        <f t="shared" si="226"/>
        <v>J</v>
      </c>
      <c r="M643" s="9" t="str">
        <f t="shared" si="222"/>
        <v>Input!J215</v>
      </c>
      <c r="N643" s="9">
        <f>_xlfn.XLOOKUP(F643,'Raw Data'!$I$4:$I$5000,'Raw Data'!$E$4:$E$5000,100,0)</f>
        <v>100</v>
      </c>
      <c r="O643" s="9" t="str">
        <f>IF(N643=0,_xlfn.XLOOKUP(F643,'Raw Data'!$I$4:$I$5000,'Raw Data'!$H$4:$H$5000,"",0),"")</f>
        <v/>
      </c>
      <c r="P643" s="9" t="str" cm="1">
        <f t="array" aca="1" ref="P643" ca="1">IF(INDIRECT(M643) = "","",INDIRECT(M643))</f>
        <v/>
      </c>
      <c r="Q643" s="359" t="s">
        <v>4381</v>
      </c>
    </row>
    <row r="644" spans="1:17" x14ac:dyDescent="0.35">
      <c r="A644" t="s">
        <v>1631</v>
      </c>
      <c r="E644" t="str">
        <f>_xlfn.XLOOKUP(F644,'Raw Data'!$I$4:$I$5000,'Raw Data'!$D$4:$D$5000,"*** Mnemonic not found ***",0)</f>
        <v>*** Mnemonic not found ***</v>
      </c>
      <c r="F644" t="str">
        <f t="shared" si="221"/>
        <v>SUCMRUR3NFCERG9_10TO20__</v>
      </c>
      <c r="H644" s="9" t="s">
        <v>1137</v>
      </c>
      <c r="K644" s="9">
        <f t="shared" si="225"/>
        <v>215</v>
      </c>
      <c r="L644" s="9" t="str">
        <f t="shared" si="226"/>
        <v>K</v>
      </c>
      <c r="M644" s="9" t="str">
        <f t="shared" si="222"/>
        <v>Input!K215</v>
      </c>
      <c r="N644" s="9">
        <f>_xlfn.XLOOKUP(F644,'Raw Data'!$I$4:$I$5000,'Raw Data'!$E$4:$E$5000,100,0)</f>
        <v>100</v>
      </c>
      <c r="O644" s="9" t="str">
        <f>IF(N644=0,_xlfn.XLOOKUP(F644,'Raw Data'!$I$4:$I$5000,'Raw Data'!$H$4:$H$5000,"",0),"")</f>
        <v/>
      </c>
      <c r="P644" s="9" t="str" cm="1">
        <f t="array" aca="1" ref="P644" ca="1">IF(INDIRECT(M644) = "","",INDIRECT(M644))</f>
        <v/>
      </c>
      <c r="Q644" s="359" t="s">
        <v>4381</v>
      </c>
    </row>
    <row r="645" spans="1:17" x14ac:dyDescent="0.35">
      <c r="A645" t="s">
        <v>1636</v>
      </c>
      <c r="E645" t="str">
        <f>_xlfn.XLOOKUP(F645,'Raw Data'!$I$4:$I$5000,'Raw Data'!$D$4:$D$5000,"*** Mnemonic not found ***",0)</f>
        <v>*** Mnemonic not found ***</v>
      </c>
      <c r="F645" t="str">
        <f t="shared" ref="F645:F708" si="227">CONCATENATE(A645,"_",B645,"_",D645)</f>
        <v>SUCMRUR3NFCERG10_10TO20__</v>
      </c>
      <c r="H645" s="9" t="s">
        <v>1137</v>
      </c>
      <c r="K645" s="9">
        <f t="shared" si="225"/>
        <v>215</v>
      </c>
      <c r="L645" s="9" t="str">
        <f t="shared" si="226"/>
        <v>L</v>
      </c>
      <c r="M645" s="9" t="str">
        <f t="shared" si="222"/>
        <v>Input!L215</v>
      </c>
      <c r="N645" s="9">
        <f>_xlfn.XLOOKUP(F645,'Raw Data'!$I$4:$I$5000,'Raw Data'!$E$4:$E$5000,100,0)</f>
        <v>100</v>
      </c>
      <c r="O645" s="9" t="str">
        <f>IF(N645=0,_xlfn.XLOOKUP(F645,'Raw Data'!$I$4:$I$5000,'Raw Data'!$H$4:$H$5000,"",0),"")</f>
        <v/>
      </c>
      <c r="P645" s="9" t="str" cm="1">
        <f t="array" aca="1" ref="P645" ca="1">IF(INDIRECT(M645) = "","",INDIRECT(M645))</f>
        <v/>
      </c>
      <c r="Q645" s="359" t="s">
        <v>4381</v>
      </c>
    </row>
    <row r="646" spans="1:17" x14ac:dyDescent="0.35">
      <c r="A646" t="s">
        <v>1641</v>
      </c>
      <c r="E646" t="str">
        <f>_xlfn.XLOOKUP(F646,'Raw Data'!$I$4:$I$5000,'Raw Data'!$D$4:$D$5000,"*** Mnemonic not found ***",0)</f>
        <v>*** Mnemonic not found ***</v>
      </c>
      <c r="F646" t="str">
        <f t="shared" si="227"/>
        <v>SUCMRUR3NFCERGNA_10TO20__</v>
      </c>
      <c r="H646" s="9" t="s">
        <v>1137</v>
      </c>
      <c r="K646" s="9">
        <f t="shared" si="225"/>
        <v>215</v>
      </c>
      <c r="L646" s="9" t="str">
        <f t="shared" si="226"/>
        <v>M</v>
      </c>
      <c r="M646" s="9" t="str">
        <f t="shared" si="222"/>
        <v>Input!M215</v>
      </c>
      <c r="N646" s="9">
        <f>_xlfn.XLOOKUP(F646,'Raw Data'!$I$4:$I$5000,'Raw Data'!$E$4:$E$5000,100,0)</f>
        <v>100</v>
      </c>
      <c r="O646" s="9" t="str">
        <f>IF(N646=0,_xlfn.XLOOKUP(F646,'Raw Data'!$I$4:$I$5000,'Raw Data'!$H$4:$H$5000,"",0),"")</f>
        <v/>
      </c>
      <c r="P646" s="9" t="str" cm="1">
        <f t="array" aca="1" ref="P646" ca="1">IF(INDIRECT(M646) = "","",INDIRECT(M646))</f>
        <v/>
      </c>
      <c r="Q646" s="359" t="s">
        <v>4381</v>
      </c>
    </row>
    <row r="647" spans="1:17" x14ac:dyDescent="0.35">
      <c r="A647" t="s">
        <v>1592</v>
      </c>
      <c r="E647" t="str">
        <f>_xlfn.XLOOKUP(F647,'Raw Data'!$I$4:$I$5000,'Raw Data'!$D$4:$D$5000,"*** Mnemonic not found ***",0)</f>
        <v>*** Mnemonic not found ***</v>
      </c>
      <c r="F647" t="str">
        <f t="shared" si="227"/>
        <v>SUCMRUR3NFCERG1_GRTR20__</v>
      </c>
      <c r="H647" s="9" t="s">
        <v>1137</v>
      </c>
      <c r="K647" s="9">
        <f t="shared" si="225"/>
        <v>216</v>
      </c>
      <c r="L647" s="9" t="str">
        <f t="shared" si="226"/>
        <v>C</v>
      </c>
      <c r="M647" s="9" t="str">
        <f t="shared" si="222"/>
        <v>Input!C216</v>
      </c>
      <c r="N647" s="9">
        <f>_xlfn.XLOOKUP(F647,'Raw Data'!$I$4:$I$5000,'Raw Data'!$E$4:$E$5000,100,0)</f>
        <v>100</v>
      </c>
      <c r="O647" s="9" t="str">
        <f>IF(N647=0,_xlfn.XLOOKUP(F647,'Raw Data'!$I$4:$I$5000,'Raw Data'!$H$4:$H$5000,"",0),"")</f>
        <v/>
      </c>
      <c r="P647" s="9" t="str" cm="1">
        <f t="array" aca="1" ref="P647" ca="1">IF(INDIRECT(M647) = "","",INDIRECT(M647))</f>
        <v/>
      </c>
      <c r="Q647" s="359" t="s">
        <v>4381</v>
      </c>
    </row>
    <row r="648" spans="1:17" x14ac:dyDescent="0.35">
      <c r="A648" t="s">
        <v>1597</v>
      </c>
      <c r="E648" t="str">
        <f>_xlfn.XLOOKUP(F648,'Raw Data'!$I$4:$I$5000,'Raw Data'!$D$4:$D$5000,"*** Mnemonic not found ***",0)</f>
        <v>*** Mnemonic not found ***</v>
      </c>
      <c r="F648" t="str">
        <f t="shared" si="227"/>
        <v>SUCMRUR3NFCERG2_GRTR20__</v>
      </c>
      <c r="H648" s="9" t="s">
        <v>1137</v>
      </c>
      <c r="K648" s="9">
        <f t="shared" si="225"/>
        <v>216</v>
      </c>
      <c r="L648" s="9" t="str">
        <f t="shared" si="226"/>
        <v>D</v>
      </c>
      <c r="M648" s="9" t="str">
        <f t="shared" si="222"/>
        <v>Input!D216</v>
      </c>
      <c r="N648" s="9">
        <f>_xlfn.XLOOKUP(F648,'Raw Data'!$I$4:$I$5000,'Raw Data'!$E$4:$E$5000,100,0)</f>
        <v>100</v>
      </c>
      <c r="O648" s="9" t="str">
        <f>IF(N648=0,_xlfn.XLOOKUP(F648,'Raw Data'!$I$4:$I$5000,'Raw Data'!$H$4:$H$5000,"",0),"")</f>
        <v/>
      </c>
      <c r="P648" s="9" t="str" cm="1">
        <f t="array" aca="1" ref="P648" ca="1">IF(INDIRECT(M648) = "","",INDIRECT(M648))</f>
        <v/>
      </c>
      <c r="Q648" s="359" t="s">
        <v>4381</v>
      </c>
    </row>
    <row r="649" spans="1:17" x14ac:dyDescent="0.35">
      <c r="A649" t="s">
        <v>1602</v>
      </c>
      <c r="E649" t="str">
        <f>_xlfn.XLOOKUP(F649,'Raw Data'!$I$4:$I$5000,'Raw Data'!$D$4:$D$5000,"*** Mnemonic not found ***",0)</f>
        <v>*** Mnemonic not found ***</v>
      </c>
      <c r="F649" t="str">
        <f t="shared" si="227"/>
        <v>SUCMRUR3NFCERG3_GRTR20__</v>
      </c>
      <c r="H649" s="9" t="s">
        <v>1137</v>
      </c>
      <c r="K649" s="9">
        <f t="shared" si="225"/>
        <v>216</v>
      </c>
      <c r="L649" s="9" t="str">
        <f t="shared" si="226"/>
        <v>E</v>
      </c>
      <c r="M649" s="9" t="str">
        <f t="shared" si="222"/>
        <v>Input!E216</v>
      </c>
      <c r="N649" s="9">
        <f>_xlfn.XLOOKUP(F649,'Raw Data'!$I$4:$I$5000,'Raw Data'!$E$4:$E$5000,100,0)</f>
        <v>100</v>
      </c>
      <c r="O649" s="9" t="str">
        <f>IF(N649=0,_xlfn.XLOOKUP(F649,'Raw Data'!$I$4:$I$5000,'Raw Data'!$H$4:$H$5000,"",0),"")</f>
        <v/>
      </c>
      <c r="P649" s="9" t="str" cm="1">
        <f t="array" aca="1" ref="P649" ca="1">IF(INDIRECT(M649) = "","",INDIRECT(M649))</f>
        <v/>
      </c>
      <c r="Q649" s="359" t="s">
        <v>4381</v>
      </c>
    </row>
    <row r="650" spans="1:17" x14ac:dyDescent="0.35">
      <c r="A650" t="s">
        <v>1607</v>
      </c>
      <c r="E650" t="str">
        <f>_xlfn.XLOOKUP(F650,'Raw Data'!$I$4:$I$5000,'Raw Data'!$D$4:$D$5000,"*** Mnemonic not found ***",0)</f>
        <v>*** Mnemonic not found ***</v>
      </c>
      <c r="F650" t="str">
        <f t="shared" si="227"/>
        <v>SUCMRUR3NFCERG4_GRTR20__</v>
      </c>
      <c r="H650" s="9" t="s">
        <v>1137</v>
      </c>
      <c r="K650" s="9">
        <f t="shared" si="225"/>
        <v>216</v>
      </c>
      <c r="L650" s="9" t="str">
        <f t="shared" si="226"/>
        <v>F</v>
      </c>
      <c r="M650" s="9" t="str">
        <f t="shared" si="222"/>
        <v>Input!F216</v>
      </c>
      <c r="N650" s="9">
        <f>_xlfn.XLOOKUP(F650,'Raw Data'!$I$4:$I$5000,'Raw Data'!$E$4:$E$5000,100,0)</f>
        <v>100</v>
      </c>
      <c r="O650" s="9" t="str">
        <f>IF(N650=0,_xlfn.XLOOKUP(F650,'Raw Data'!$I$4:$I$5000,'Raw Data'!$H$4:$H$5000,"",0),"")</f>
        <v/>
      </c>
      <c r="P650" s="9" t="str" cm="1">
        <f t="array" aca="1" ref="P650" ca="1">IF(INDIRECT(M650) = "","",INDIRECT(M650))</f>
        <v/>
      </c>
      <c r="Q650" s="359" t="s">
        <v>4381</v>
      </c>
    </row>
    <row r="651" spans="1:17" x14ac:dyDescent="0.35">
      <c r="A651" t="s">
        <v>1612</v>
      </c>
      <c r="E651" t="str">
        <f>_xlfn.XLOOKUP(F651,'Raw Data'!$I$4:$I$5000,'Raw Data'!$D$4:$D$5000,"*** Mnemonic not found ***",0)</f>
        <v>*** Mnemonic not found ***</v>
      </c>
      <c r="F651" t="str">
        <f t="shared" si="227"/>
        <v>SUCMRUR3NFCERG5_GRTR20__</v>
      </c>
      <c r="H651" s="9" t="s">
        <v>1137</v>
      </c>
      <c r="K651" s="9">
        <f t="shared" si="225"/>
        <v>216</v>
      </c>
      <c r="L651" s="9" t="str">
        <f t="shared" si="226"/>
        <v>G</v>
      </c>
      <c r="M651" s="9" t="str">
        <f t="shared" si="222"/>
        <v>Input!G216</v>
      </c>
      <c r="N651" s="9">
        <f>_xlfn.XLOOKUP(F651,'Raw Data'!$I$4:$I$5000,'Raw Data'!$E$4:$E$5000,100,0)</f>
        <v>100</v>
      </c>
      <c r="O651" s="9" t="str">
        <f>IF(N651=0,_xlfn.XLOOKUP(F651,'Raw Data'!$I$4:$I$5000,'Raw Data'!$H$4:$H$5000,"",0),"")</f>
        <v/>
      </c>
      <c r="P651" s="9" t="str" cm="1">
        <f t="array" aca="1" ref="P651" ca="1">IF(INDIRECT(M651) = "","",INDIRECT(M651))</f>
        <v/>
      </c>
      <c r="Q651" s="359" t="s">
        <v>4381</v>
      </c>
    </row>
    <row r="652" spans="1:17" x14ac:dyDescent="0.35">
      <c r="A652" t="s">
        <v>1617</v>
      </c>
      <c r="E652" t="str">
        <f>_xlfn.XLOOKUP(F652,'Raw Data'!$I$4:$I$5000,'Raw Data'!$D$4:$D$5000,"*** Mnemonic not found ***",0)</f>
        <v>*** Mnemonic not found ***</v>
      </c>
      <c r="F652" t="str">
        <f t="shared" si="227"/>
        <v>SUCMRUR3NFCERG6_GRTR20__</v>
      </c>
      <c r="H652" s="9" t="s">
        <v>1137</v>
      </c>
      <c r="K652" s="9">
        <f t="shared" si="225"/>
        <v>216</v>
      </c>
      <c r="L652" s="9" t="str">
        <f t="shared" si="226"/>
        <v>H</v>
      </c>
      <c r="M652" s="9" t="str">
        <f t="shared" si="222"/>
        <v>Input!H216</v>
      </c>
      <c r="N652" s="9">
        <f>_xlfn.XLOOKUP(F652,'Raw Data'!$I$4:$I$5000,'Raw Data'!$E$4:$E$5000,100,0)</f>
        <v>100</v>
      </c>
      <c r="O652" s="9" t="str">
        <f>IF(N652=0,_xlfn.XLOOKUP(F652,'Raw Data'!$I$4:$I$5000,'Raw Data'!$H$4:$H$5000,"",0),"")</f>
        <v/>
      </c>
      <c r="P652" s="9" t="str" cm="1">
        <f t="array" aca="1" ref="P652" ca="1">IF(INDIRECT(M652) = "","",INDIRECT(M652))</f>
        <v/>
      </c>
      <c r="Q652" s="359" t="s">
        <v>4381</v>
      </c>
    </row>
    <row r="653" spans="1:17" x14ac:dyDescent="0.35">
      <c r="A653" t="s">
        <v>1622</v>
      </c>
      <c r="E653" t="str">
        <f>_xlfn.XLOOKUP(F653,'Raw Data'!$I$4:$I$5000,'Raw Data'!$D$4:$D$5000,"*** Mnemonic not found ***",0)</f>
        <v>*** Mnemonic not found ***</v>
      </c>
      <c r="F653" t="str">
        <f t="shared" si="227"/>
        <v>SUCMRUR3NFCERG7_GRTR20__</v>
      </c>
      <c r="H653" s="9" t="s">
        <v>1137</v>
      </c>
      <c r="K653" s="9">
        <f t="shared" si="225"/>
        <v>216</v>
      </c>
      <c r="L653" s="9" t="str">
        <f t="shared" si="226"/>
        <v>I</v>
      </c>
      <c r="M653" s="9" t="str">
        <f t="shared" si="222"/>
        <v>Input!I216</v>
      </c>
      <c r="N653" s="9">
        <f>_xlfn.XLOOKUP(F653,'Raw Data'!$I$4:$I$5000,'Raw Data'!$E$4:$E$5000,100,0)</f>
        <v>100</v>
      </c>
      <c r="O653" s="9" t="str">
        <f>IF(N653=0,_xlfn.XLOOKUP(F653,'Raw Data'!$I$4:$I$5000,'Raw Data'!$H$4:$H$5000,"",0),"")</f>
        <v/>
      </c>
      <c r="P653" s="9" t="str" cm="1">
        <f t="array" aca="1" ref="P653" ca="1">IF(INDIRECT(M653) = "","",INDIRECT(M653))</f>
        <v/>
      </c>
      <c r="Q653" s="359" t="s">
        <v>4381</v>
      </c>
    </row>
    <row r="654" spans="1:17" x14ac:dyDescent="0.35">
      <c r="A654" t="s">
        <v>1627</v>
      </c>
      <c r="E654" t="str">
        <f>_xlfn.XLOOKUP(F654,'Raw Data'!$I$4:$I$5000,'Raw Data'!$D$4:$D$5000,"*** Mnemonic not found ***",0)</f>
        <v>*** Mnemonic not found ***</v>
      </c>
      <c r="F654" t="str">
        <f t="shared" si="227"/>
        <v>SUCMRUR3NFCERG8_GRTR20__</v>
      </c>
      <c r="H654" s="9" t="s">
        <v>1137</v>
      </c>
      <c r="K654" s="9">
        <f t="shared" si="225"/>
        <v>216</v>
      </c>
      <c r="L654" s="9" t="str">
        <f t="shared" si="226"/>
        <v>J</v>
      </c>
      <c r="M654" s="9" t="str">
        <f t="shared" si="222"/>
        <v>Input!J216</v>
      </c>
      <c r="N654" s="9">
        <f>_xlfn.XLOOKUP(F654,'Raw Data'!$I$4:$I$5000,'Raw Data'!$E$4:$E$5000,100,0)</f>
        <v>100</v>
      </c>
      <c r="O654" s="9" t="str">
        <f>IF(N654=0,_xlfn.XLOOKUP(F654,'Raw Data'!$I$4:$I$5000,'Raw Data'!$H$4:$H$5000,"",0),"")</f>
        <v/>
      </c>
      <c r="P654" s="9" t="str" cm="1">
        <f t="array" aca="1" ref="P654" ca="1">IF(INDIRECT(M654) = "","",INDIRECT(M654))</f>
        <v/>
      </c>
      <c r="Q654" s="359" t="s">
        <v>4381</v>
      </c>
    </row>
    <row r="655" spans="1:17" x14ac:dyDescent="0.35">
      <c r="A655" t="s">
        <v>1632</v>
      </c>
      <c r="E655" t="str">
        <f>_xlfn.XLOOKUP(F655,'Raw Data'!$I$4:$I$5000,'Raw Data'!$D$4:$D$5000,"*** Mnemonic not found ***",0)</f>
        <v>*** Mnemonic not found ***</v>
      </c>
      <c r="F655" t="str">
        <f t="shared" si="227"/>
        <v>SUCMRUR3NFCERG9_GRTR20__</v>
      </c>
      <c r="H655" s="9" t="s">
        <v>1137</v>
      </c>
      <c r="K655" s="9">
        <f t="shared" si="225"/>
        <v>216</v>
      </c>
      <c r="L655" s="9" t="str">
        <f t="shared" si="226"/>
        <v>K</v>
      </c>
      <c r="M655" s="9" t="str">
        <f t="shared" ref="M655:M718" si="228">CONCATENATE(H655,"!",L655,K655)</f>
        <v>Input!K216</v>
      </c>
      <c r="N655" s="9">
        <f>_xlfn.XLOOKUP(F655,'Raw Data'!$I$4:$I$5000,'Raw Data'!$E$4:$E$5000,100,0)</f>
        <v>100</v>
      </c>
      <c r="O655" s="9" t="str">
        <f>IF(N655=0,_xlfn.XLOOKUP(F655,'Raw Data'!$I$4:$I$5000,'Raw Data'!$H$4:$H$5000,"",0),"")</f>
        <v/>
      </c>
      <c r="P655" s="9" t="str" cm="1">
        <f t="array" aca="1" ref="P655" ca="1">IF(INDIRECT(M655) = "","",INDIRECT(M655))</f>
        <v/>
      </c>
      <c r="Q655" s="359" t="s">
        <v>4381</v>
      </c>
    </row>
    <row r="656" spans="1:17" x14ac:dyDescent="0.35">
      <c r="A656" t="s">
        <v>1637</v>
      </c>
      <c r="E656" t="str">
        <f>_xlfn.XLOOKUP(F656,'Raw Data'!$I$4:$I$5000,'Raw Data'!$D$4:$D$5000,"*** Mnemonic not found ***",0)</f>
        <v>*** Mnemonic not found ***</v>
      </c>
      <c r="F656" t="str">
        <f t="shared" si="227"/>
        <v>SUCMRUR3NFCERG10_GRTR20__</v>
      </c>
      <c r="H656" s="9" t="s">
        <v>1137</v>
      </c>
      <c r="K656" s="9">
        <f t="shared" si="225"/>
        <v>216</v>
      </c>
      <c r="L656" s="9" t="str">
        <f t="shared" si="226"/>
        <v>L</v>
      </c>
      <c r="M656" s="9" t="str">
        <f t="shared" si="228"/>
        <v>Input!L216</v>
      </c>
      <c r="N656" s="9">
        <f>_xlfn.XLOOKUP(F656,'Raw Data'!$I$4:$I$5000,'Raw Data'!$E$4:$E$5000,100,0)</f>
        <v>100</v>
      </c>
      <c r="O656" s="9" t="str">
        <f>IF(N656=0,_xlfn.XLOOKUP(F656,'Raw Data'!$I$4:$I$5000,'Raw Data'!$H$4:$H$5000,"",0),"")</f>
        <v/>
      </c>
      <c r="P656" s="9" t="str" cm="1">
        <f t="array" aca="1" ref="P656" ca="1">IF(INDIRECT(M656) = "","",INDIRECT(M656))</f>
        <v/>
      </c>
      <c r="Q656" s="359" t="s">
        <v>4381</v>
      </c>
    </row>
    <row r="657" spans="1:17" x14ac:dyDescent="0.35">
      <c r="A657" t="s">
        <v>1642</v>
      </c>
      <c r="E657" t="str">
        <f>_xlfn.XLOOKUP(F657,'Raw Data'!$I$4:$I$5000,'Raw Data'!$D$4:$D$5000,"*** Mnemonic not found ***",0)</f>
        <v>*** Mnemonic not found ***</v>
      </c>
      <c r="F657" t="str">
        <f t="shared" si="227"/>
        <v>SUCMRUR3NFCERGNA_GRTR20__</v>
      </c>
      <c r="H657" s="9" t="s">
        <v>1137</v>
      </c>
      <c r="K657" s="9">
        <f t="shared" si="225"/>
        <v>216</v>
      </c>
      <c r="L657" s="9" t="str">
        <f t="shared" si="226"/>
        <v>M</v>
      </c>
      <c r="M657" s="9" t="str">
        <f t="shared" si="228"/>
        <v>Input!M216</v>
      </c>
      <c r="N657" s="9">
        <f>_xlfn.XLOOKUP(F657,'Raw Data'!$I$4:$I$5000,'Raw Data'!$E$4:$E$5000,100,0)</f>
        <v>100</v>
      </c>
      <c r="O657" s="9" t="str">
        <f>IF(N657=0,_xlfn.XLOOKUP(F657,'Raw Data'!$I$4:$I$5000,'Raw Data'!$H$4:$H$5000,"",0),"")</f>
        <v/>
      </c>
      <c r="P657" s="9" t="str" cm="1">
        <f t="array" aca="1" ref="P657" ca="1">IF(INDIRECT(M657) = "","",INDIRECT(M657))</f>
        <v/>
      </c>
      <c r="Q657" s="359" t="s">
        <v>4381</v>
      </c>
    </row>
    <row r="658" spans="1:17" x14ac:dyDescent="0.35">
      <c r="A658" t="s">
        <v>1643</v>
      </c>
      <c r="E658" t="str">
        <f>_xlfn.XLOOKUP(F658,'Raw Data'!$I$4:$I$5000,'Raw Data'!$D$4:$D$5000,"*** Mnemonic not found ***",0)</f>
        <v>*** Mnemonic not found ***</v>
      </c>
      <c r="F658" t="str">
        <f t="shared" si="227"/>
        <v>SUCMRUR1FINERG1_LESS1__</v>
      </c>
      <c r="H658" s="9" t="s">
        <v>1137</v>
      </c>
      <c r="I658" s="289">
        <f>ROW(section_bonds_sp_unrated_step_4)</f>
        <v>187</v>
      </c>
      <c r="J658" s="9">
        <f>J603+10</f>
        <v>35</v>
      </c>
      <c r="K658" s="9">
        <f>I658+J658</f>
        <v>222</v>
      </c>
      <c r="L658" s="9" t="str">
        <f>L647</f>
        <v>C</v>
      </c>
      <c r="M658" s="9" t="str">
        <f t="shared" si="228"/>
        <v>Input!C222</v>
      </c>
      <c r="N658" s="9">
        <f>_xlfn.XLOOKUP(F658,'Raw Data'!$I$4:$I$5000,'Raw Data'!$E$4:$E$5000,100,0)</f>
        <v>100</v>
      </c>
      <c r="O658" s="9" t="str">
        <f>IF(N658=0,_xlfn.XLOOKUP(F658,'Raw Data'!$I$4:$I$5000,'Raw Data'!$H$4:$H$5000,"",0),"")</f>
        <v/>
      </c>
      <c r="P658" s="9" t="str" cm="1">
        <f t="array" aca="1" ref="P658" ca="1">IF(INDIRECT(M658) = "","",INDIRECT(M658))</f>
        <v/>
      </c>
      <c r="Q658" s="359" t="s">
        <v>4381</v>
      </c>
    </row>
    <row r="659" spans="1:17" x14ac:dyDescent="0.35">
      <c r="A659" t="s">
        <v>1648</v>
      </c>
      <c r="E659" t="str">
        <f>_xlfn.XLOOKUP(F659,'Raw Data'!$I$4:$I$5000,'Raw Data'!$D$4:$D$5000,"*** Mnemonic not found ***",0)</f>
        <v>*** Mnemonic not found ***</v>
      </c>
      <c r="F659" t="str">
        <f t="shared" si="227"/>
        <v>SUCMRUR1FINERG2_LESS1__</v>
      </c>
      <c r="H659" s="9" t="s">
        <v>1137</v>
      </c>
      <c r="K659" s="9">
        <f>K658</f>
        <v>222</v>
      </c>
      <c r="L659" s="9" t="str">
        <f t="shared" ref="L659:L668" si="229">L648</f>
        <v>D</v>
      </c>
      <c r="M659" s="9" t="str">
        <f t="shared" si="228"/>
        <v>Input!D222</v>
      </c>
      <c r="N659" s="9">
        <f>_xlfn.XLOOKUP(F659,'Raw Data'!$I$4:$I$5000,'Raw Data'!$E$4:$E$5000,100,0)</f>
        <v>100</v>
      </c>
      <c r="O659" s="9" t="str">
        <f>IF(N659=0,_xlfn.XLOOKUP(F659,'Raw Data'!$I$4:$I$5000,'Raw Data'!$H$4:$H$5000,"",0),"")</f>
        <v/>
      </c>
      <c r="P659" s="9" t="str" cm="1">
        <f t="array" aca="1" ref="P659" ca="1">IF(INDIRECT(M659) = "","",INDIRECT(M659))</f>
        <v/>
      </c>
      <c r="Q659" s="359" t="s">
        <v>4381</v>
      </c>
    </row>
    <row r="660" spans="1:17" x14ac:dyDescent="0.35">
      <c r="A660" t="s">
        <v>1653</v>
      </c>
      <c r="E660" t="str">
        <f>_xlfn.XLOOKUP(F660,'Raw Data'!$I$4:$I$5000,'Raw Data'!$D$4:$D$5000,"*** Mnemonic not found ***",0)</f>
        <v>*** Mnemonic not found ***</v>
      </c>
      <c r="F660" t="str">
        <f t="shared" si="227"/>
        <v>SUCMRUR1FINERG3_LESS1__</v>
      </c>
      <c r="H660" s="9" t="s">
        <v>1137</v>
      </c>
      <c r="K660" s="9">
        <f t="shared" ref="K660:K668" si="230">K659</f>
        <v>222</v>
      </c>
      <c r="L660" s="9" t="str">
        <f t="shared" si="229"/>
        <v>E</v>
      </c>
      <c r="M660" s="9" t="str">
        <f t="shared" si="228"/>
        <v>Input!E222</v>
      </c>
      <c r="N660" s="9">
        <f>_xlfn.XLOOKUP(F660,'Raw Data'!$I$4:$I$5000,'Raw Data'!$E$4:$E$5000,100,0)</f>
        <v>100</v>
      </c>
      <c r="O660" s="9" t="str">
        <f>IF(N660=0,_xlfn.XLOOKUP(F660,'Raw Data'!$I$4:$I$5000,'Raw Data'!$H$4:$H$5000,"",0),"")</f>
        <v/>
      </c>
      <c r="P660" s="9" t="str" cm="1">
        <f t="array" aca="1" ref="P660" ca="1">IF(INDIRECT(M660) = "","",INDIRECT(M660))</f>
        <v/>
      </c>
      <c r="Q660" s="359" t="s">
        <v>4381</v>
      </c>
    </row>
    <row r="661" spans="1:17" x14ac:dyDescent="0.35">
      <c r="A661" t="s">
        <v>1658</v>
      </c>
      <c r="E661" t="str">
        <f>_xlfn.XLOOKUP(F661,'Raw Data'!$I$4:$I$5000,'Raw Data'!$D$4:$D$5000,"*** Mnemonic not found ***",0)</f>
        <v>*** Mnemonic not found ***</v>
      </c>
      <c r="F661" t="str">
        <f t="shared" si="227"/>
        <v>SUCMRUR1FINERG4_LESS1__</v>
      </c>
      <c r="H661" s="9" t="s">
        <v>1137</v>
      </c>
      <c r="K661" s="9">
        <f t="shared" si="230"/>
        <v>222</v>
      </c>
      <c r="L661" s="9" t="str">
        <f t="shared" si="229"/>
        <v>F</v>
      </c>
      <c r="M661" s="9" t="str">
        <f t="shared" si="228"/>
        <v>Input!F222</v>
      </c>
      <c r="N661" s="9">
        <f>_xlfn.XLOOKUP(F661,'Raw Data'!$I$4:$I$5000,'Raw Data'!$E$4:$E$5000,100,0)</f>
        <v>100</v>
      </c>
      <c r="O661" s="9" t="str">
        <f>IF(N661=0,_xlfn.XLOOKUP(F661,'Raw Data'!$I$4:$I$5000,'Raw Data'!$H$4:$H$5000,"",0),"")</f>
        <v/>
      </c>
      <c r="P661" s="9" t="str" cm="1">
        <f t="array" aca="1" ref="P661" ca="1">IF(INDIRECT(M661) = "","",INDIRECT(M661))</f>
        <v/>
      </c>
      <c r="Q661" s="359" t="s">
        <v>4381</v>
      </c>
    </row>
    <row r="662" spans="1:17" x14ac:dyDescent="0.35">
      <c r="A662" t="s">
        <v>1663</v>
      </c>
      <c r="E662" t="str">
        <f>_xlfn.XLOOKUP(F662,'Raw Data'!$I$4:$I$5000,'Raw Data'!$D$4:$D$5000,"*** Mnemonic not found ***",0)</f>
        <v>*** Mnemonic not found ***</v>
      </c>
      <c r="F662" t="str">
        <f t="shared" si="227"/>
        <v>SUCMRUR1FINERG5_LESS1__</v>
      </c>
      <c r="H662" s="9" t="s">
        <v>1137</v>
      </c>
      <c r="K662" s="9">
        <f t="shared" si="230"/>
        <v>222</v>
      </c>
      <c r="L662" s="9" t="str">
        <f t="shared" si="229"/>
        <v>G</v>
      </c>
      <c r="M662" s="9" t="str">
        <f t="shared" si="228"/>
        <v>Input!G222</v>
      </c>
      <c r="N662" s="9">
        <f>_xlfn.XLOOKUP(F662,'Raw Data'!$I$4:$I$5000,'Raw Data'!$E$4:$E$5000,100,0)</f>
        <v>100</v>
      </c>
      <c r="O662" s="9" t="str">
        <f>IF(N662=0,_xlfn.XLOOKUP(F662,'Raw Data'!$I$4:$I$5000,'Raw Data'!$H$4:$H$5000,"",0),"")</f>
        <v/>
      </c>
      <c r="P662" s="9" t="str" cm="1">
        <f t="array" aca="1" ref="P662" ca="1">IF(INDIRECT(M662) = "","",INDIRECT(M662))</f>
        <v/>
      </c>
      <c r="Q662" s="359" t="s">
        <v>4381</v>
      </c>
    </row>
    <row r="663" spans="1:17" x14ac:dyDescent="0.35">
      <c r="A663" t="s">
        <v>1668</v>
      </c>
      <c r="E663" t="str">
        <f>_xlfn.XLOOKUP(F663,'Raw Data'!$I$4:$I$5000,'Raw Data'!$D$4:$D$5000,"*** Mnemonic not found ***",0)</f>
        <v>*** Mnemonic not found ***</v>
      </c>
      <c r="F663" t="str">
        <f t="shared" si="227"/>
        <v>SUCMRUR1FINERG6_LESS1__</v>
      </c>
      <c r="H663" s="9" t="s">
        <v>1137</v>
      </c>
      <c r="K663" s="9">
        <f t="shared" si="230"/>
        <v>222</v>
      </c>
      <c r="L663" s="9" t="str">
        <f t="shared" si="229"/>
        <v>H</v>
      </c>
      <c r="M663" s="9" t="str">
        <f t="shared" si="228"/>
        <v>Input!H222</v>
      </c>
      <c r="N663" s="9">
        <f>_xlfn.XLOOKUP(F663,'Raw Data'!$I$4:$I$5000,'Raw Data'!$E$4:$E$5000,100,0)</f>
        <v>100</v>
      </c>
      <c r="O663" s="9" t="str">
        <f>IF(N663=0,_xlfn.XLOOKUP(F663,'Raw Data'!$I$4:$I$5000,'Raw Data'!$H$4:$H$5000,"",0),"")</f>
        <v/>
      </c>
      <c r="P663" s="9" t="str" cm="1">
        <f t="array" aca="1" ref="P663" ca="1">IF(INDIRECT(M663) = "","",INDIRECT(M663))</f>
        <v/>
      </c>
      <c r="Q663" s="359" t="s">
        <v>4381</v>
      </c>
    </row>
    <row r="664" spans="1:17" x14ac:dyDescent="0.35">
      <c r="A664" t="s">
        <v>1673</v>
      </c>
      <c r="E664" t="str">
        <f>_xlfn.XLOOKUP(F664,'Raw Data'!$I$4:$I$5000,'Raw Data'!$D$4:$D$5000,"*** Mnemonic not found ***",0)</f>
        <v>*** Mnemonic not found ***</v>
      </c>
      <c r="F664" t="str">
        <f t="shared" si="227"/>
        <v>SUCMRUR1FINERG7_LESS1__</v>
      </c>
      <c r="H664" s="9" t="s">
        <v>1137</v>
      </c>
      <c r="K664" s="9">
        <f t="shared" si="230"/>
        <v>222</v>
      </c>
      <c r="L664" s="9" t="str">
        <f t="shared" si="229"/>
        <v>I</v>
      </c>
      <c r="M664" s="9" t="str">
        <f t="shared" si="228"/>
        <v>Input!I222</v>
      </c>
      <c r="N664" s="9">
        <f>_xlfn.XLOOKUP(F664,'Raw Data'!$I$4:$I$5000,'Raw Data'!$E$4:$E$5000,100,0)</f>
        <v>100</v>
      </c>
      <c r="O664" s="9" t="str">
        <f>IF(N664=0,_xlfn.XLOOKUP(F664,'Raw Data'!$I$4:$I$5000,'Raw Data'!$H$4:$H$5000,"",0),"")</f>
        <v/>
      </c>
      <c r="P664" s="9" t="str" cm="1">
        <f t="array" aca="1" ref="P664" ca="1">IF(INDIRECT(M664) = "","",INDIRECT(M664))</f>
        <v/>
      </c>
      <c r="Q664" s="359" t="s">
        <v>4381</v>
      </c>
    </row>
    <row r="665" spans="1:17" x14ac:dyDescent="0.35">
      <c r="A665" t="s">
        <v>1678</v>
      </c>
      <c r="E665" t="str">
        <f>_xlfn.XLOOKUP(F665,'Raw Data'!$I$4:$I$5000,'Raw Data'!$D$4:$D$5000,"*** Mnemonic not found ***",0)</f>
        <v>*** Mnemonic not found ***</v>
      </c>
      <c r="F665" t="str">
        <f t="shared" si="227"/>
        <v>SUCMRUR1FINERG8_LESS1__</v>
      </c>
      <c r="H665" s="9" t="s">
        <v>1137</v>
      </c>
      <c r="K665" s="9">
        <f t="shared" si="230"/>
        <v>222</v>
      </c>
      <c r="L665" s="9" t="str">
        <f t="shared" si="229"/>
        <v>J</v>
      </c>
      <c r="M665" s="9" t="str">
        <f t="shared" si="228"/>
        <v>Input!J222</v>
      </c>
      <c r="N665" s="9">
        <f>_xlfn.XLOOKUP(F665,'Raw Data'!$I$4:$I$5000,'Raw Data'!$E$4:$E$5000,100,0)</f>
        <v>100</v>
      </c>
      <c r="O665" s="9" t="str">
        <f>IF(N665=0,_xlfn.XLOOKUP(F665,'Raw Data'!$I$4:$I$5000,'Raw Data'!$H$4:$H$5000,"",0),"")</f>
        <v/>
      </c>
      <c r="P665" s="9" t="str" cm="1">
        <f t="array" aca="1" ref="P665" ca="1">IF(INDIRECT(M665) = "","",INDIRECT(M665))</f>
        <v/>
      </c>
      <c r="Q665" s="359" t="s">
        <v>4381</v>
      </c>
    </row>
    <row r="666" spans="1:17" x14ac:dyDescent="0.35">
      <c r="A666" t="s">
        <v>1683</v>
      </c>
      <c r="E666" t="str">
        <f>_xlfn.XLOOKUP(F666,'Raw Data'!$I$4:$I$5000,'Raw Data'!$D$4:$D$5000,"*** Mnemonic not found ***",0)</f>
        <v>*** Mnemonic not found ***</v>
      </c>
      <c r="F666" t="str">
        <f t="shared" si="227"/>
        <v>SUCMRUR1FINERG9_LESS1__</v>
      </c>
      <c r="H666" s="9" t="s">
        <v>1137</v>
      </c>
      <c r="K666" s="9">
        <f t="shared" si="230"/>
        <v>222</v>
      </c>
      <c r="L666" s="9" t="str">
        <f t="shared" si="229"/>
        <v>K</v>
      </c>
      <c r="M666" s="9" t="str">
        <f t="shared" si="228"/>
        <v>Input!K222</v>
      </c>
      <c r="N666" s="9">
        <f>_xlfn.XLOOKUP(F666,'Raw Data'!$I$4:$I$5000,'Raw Data'!$E$4:$E$5000,100,0)</f>
        <v>100</v>
      </c>
      <c r="O666" s="9" t="str">
        <f>IF(N666=0,_xlfn.XLOOKUP(F666,'Raw Data'!$I$4:$I$5000,'Raw Data'!$H$4:$H$5000,"",0),"")</f>
        <v/>
      </c>
      <c r="P666" s="9" t="str" cm="1">
        <f t="array" aca="1" ref="P666" ca="1">IF(INDIRECT(M666) = "","",INDIRECT(M666))</f>
        <v/>
      </c>
      <c r="Q666" s="359" t="s">
        <v>4381</v>
      </c>
    </row>
    <row r="667" spans="1:17" x14ac:dyDescent="0.35">
      <c r="A667" t="s">
        <v>1688</v>
      </c>
      <c r="E667" t="str">
        <f>_xlfn.XLOOKUP(F667,'Raw Data'!$I$4:$I$5000,'Raw Data'!$D$4:$D$5000,"*** Mnemonic not found ***",0)</f>
        <v>*** Mnemonic not found ***</v>
      </c>
      <c r="F667" t="str">
        <f t="shared" si="227"/>
        <v>SUCMRUR1FINERG10_LESS1__</v>
      </c>
      <c r="H667" s="9" t="s">
        <v>1137</v>
      </c>
      <c r="K667" s="9">
        <f t="shared" si="230"/>
        <v>222</v>
      </c>
      <c r="L667" s="9" t="str">
        <f t="shared" si="229"/>
        <v>L</v>
      </c>
      <c r="M667" s="9" t="str">
        <f t="shared" si="228"/>
        <v>Input!L222</v>
      </c>
      <c r="N667" s="9">
        <f>_xlfn.XLOOKUP(F667,'Raw Data'!$I$4:$I$5000,'Raw Data'!$E$4:$E$5000,100,0)</f>
        <v>100</v>
      </c>
      <c r="O667" s="9" t="str">
        <f>IF(N667=0,_xlfn.XLOOKUP(F667,'Raw Data'!$I$4:$I$5000,'Raw Data'!$H$4:$H$5000,"",0),"")</f>
        <v/>
      </c>
      <c r="P667" s="9" t="str" cm="1">
        <f t="array" aca="1" ref="P667" ca="1">IF(INDIRECT(M667) = "","",INDIRECT(M667))</f>
        <v/>
      </c>
      <c r="Q667" s="359" t="s">
        <v>4381</v>
      </c>
    </row>
    <row r="668" spans="1:17" x14ac:dyDescent="0.35">
      <c r="A668" t="s">
        <v>1693</v>
      </c>
      <c r="E668" t="str">
        <f>_xlfn.XLOOKUP(F668,'Raw Data'!$I$4:$I$5000,'Raw Data'!$D$4:$D$5000,"*** Mnemonic not found ***",0)</f>
        <v>*** Mnemonic not found ***</v>
      </c>
      <c r="F668" t="str">
        <f t="shared" si="227"/>
        <v>SUCMRUR1FINERGNA_LESS1__</v>
      </c>
      <c r="H668" s="9" t="s">
        <v>1137</v>
      </c>
      <c r="K668" s="9">
        <f t="shared" si="230"/>
        <v>222</v>
      </c>
      <c r="L668" s="9" t="str">
        <f t="shared" si="229"/>
        <v>M</v>
      </c>
      <c r="M668" s="9" t="str">
        <f t="shared" si="228"/>
        <v>Input!M222</v>
      </c>
      <c r="N668" s="9">
        <f>_xlfn.XLOOKUP(F668,'Raw Data'!$I$4:$I$5000,'Raw Data'!$E$4:$E$5000,100,0)</f>
        <v>100</v>
      </c>
      <c r="O668" s="9" t="str">
        <f>IF(N668=0,_xlfn.XLOOKUP(F668,'Raw Data'!$I$4:$I$5000,'Raw Data'!$H$4:$H$5000,"",0),"")</f>
        <v/>
      </c>
      <c r="P668" s="9" t="str" cm="1">
        <f t="array" aca="1" ref="P668" ca="1">IF(INDIRECT(M668) = "","",INDIRECT(M668))</f>
        <v/>
      </c>
      <c r="Q668" s="359" t="s">
        <v>4381</v>
      </c>
    </row>
    <row r="669" spans="1:17" x14ac:dyDescent="0.35">
      <c r="A669" t="s">
        <v>1644</v>
      </c>
      <c r="E669" t="str">
        <f>_xlfn.XLOOKUP(F669,'Raw Data'!$I$4:$I$5000,'Raw Data'!$D$4:$D$5000,"*** Mnemonic not found ***",0)</f>
        <v>*** Mnemonic not found ***</v>
      </c>
      <c r="F669" t="str">
        <f t="shared" si="227"/>
        <v>SUCMRUR1FINERG1_1TO5__</v>
      </c>
      <c r="H669" s="9" t="s">
        <v>1137</v>
      </c>
      <c r="K669" s="9">
        <f>K658+1</f>
        <v>223</v>
      </c>
      <c r="L669" s="9" t="str">
        <f>L658</f>
        <v>C</v>
      </c>
      <c r="M669" s="9" t="str">
        <f t="shared" si="228"/>
        <v>Input!C223</v>
      </c>
      <c r="N669" s="9">
        <f>_xlfn.XLOOKUP(F669,'Raw Data'!$I$4:$I$5000,'Raw Data'!$E$4:$E$5000,100,0)</f>
        <v>100</v>
      </c>
      <c r="O669" s="9" t="str">
        <f>IF(N669=0,_xlfn.XLOOKUP(F669,'Raw Data'!$I$4:$I$5000,'Raw Data'!$H$4:$H$5000,"",0),"")</f>
        <v/>
      </c>
      <c r="P669" s="9" t="str" cm="1">
        <f t="array" aca="1" ref="P669" ca="1">IF(INDIRECT(M669) = "","",INDIRECT(M669))</f>
        <v/>
      </c>
      <c r="Q669" s="359" t="s">
        <v>4381</v>
      </c>
    </row>
    <row r="670" spans="1:17" x14ac:dyDescent="0.35">
      <c r="A670" t="s">
        <v>1649</v>
      </c>
      <c r="E670" t="str">
        <f>_xlfn.XLOOKUP(F670,'Raw Data'!$I$4:$I$5000,'Raw Data'!$D$4:$D$5000,"*** Mnemonic not found ***",0)</f>
        <v>*** Mnemonic not found ***</v>
      </c>
      <c r="F670" t="str">
        <f t="shared" si="227"/>
        <v>SUCMRUR1FINERG2_1TO5__</v>
      </c>
      <c r="H670" s="9" t="s">
        <v>1137</v>
      </c>
      <c r="K670" s="9">
        <f t="shared" ref="K670:K712" si="231">K659+1</f>
        <v>223</v>
      </c>
      <c r="L670" s="9" t="str">
        <f t="shared" ref="L670:L712" si="232">L659</f>
        <v>D</v>
      </c>
      <c r="M670" s="9" t="str">
        <f t="shared" si="228"/>
        <v>Input!D223</v>
      </c>
      <c r="N670" s="9">
        <f>_xlfn.XLOOKUP(F670,'Raw Data'!$I$4:$I$5000,'Raw Data'!$E$4:$E$5000,100,0)</f>
        <v>100</v>
      </c>
      <c r="O670" s="9" t="str">
        <f>IF(N670=0,_xlfn.XLOOKUP(F670,'Raw Data'!$I$4:$I$5000,'Raw Data'!$H$4:$H$5000,"",0),"")</f>
        <v/>
      </c>
      <c r="P670" s="9" t="str" cm="1">
        <f t="array" aca="1" ref="P670" ca="1">IF(INDIRECT(M670) = "","",INDIRECT(M670))</f>
        <v/>
      </c>
      <c r="Q670" s="359" t="s">
        <v>4381</v>
      </c>
    </row>
    <row r="671" spans="1:17" x14ac:dyDescent="0.35">
      <c r="A671" t="s">
        <v>1654</v>
      </c>
      <c r="E671" t="str">
        <f>_xlfn.XLOOKUP(F671,'Raw Data'!$I$4:$I$5000,'Raw Data'!$D$4:$D$5000,"*** Mnemonic not found ***",0)</f>
        <v>*** Mnemonic not found ***</v>
      </c>
      <c r="F671" t="str">
        <f t="shared" si="227"/>
        <v>SUCMRUR1FINERG3_1TO5__</v>
      </c>
      <c r="H671" s="9" t="s">
        <v>1137</v>
      </c>
      <c r="K671" s="9">
        <f t="shared" si="231"/>
        <v>223</v>
      </c>
      <c r="L671" s="9" t="str">
        <f t="shared" si="232"/>
        <v>E</v>
      </c>
      <c r="M671" s="9" t="str">
        <f t="shared" si="228"/>
        <v>Input!E223</v>
      </c>
      <c r="N671" s="9">
        <f>_xlfn.XLOOKUP(F671,'Raw Data'!$I$4:$I$5000,'Raw Data'!$E$4:$E$5000,100,0)</f>
        <v>100</v>
      </c>
      <c r="O671" s="9" t="str">
        <f>IF(N671=0,_xlfn.XLOOKUP(F671,'Raw Data'!$I$4:$I$5000,'Raw Data'!$H$4:$H$5000,"",0),"")</f>
        <v/>
      </c>
      <c r="P671" s="9" t="str" cm="1">
        <f t="array" aca="1" ref="P671" ca="1">IF(INDIRECT(M671) = "","",INDIRECT(M671))</f>
        <v/>
      </c>
      <c r="Q671" s="359" t="s">
        <v>4381</v>
      </c>
    </row>
    <row r="672" spans="1:17" x14ac:dyDescent="0.35">
      <c r="A672" t="s">
        <v>1659</v>
      </c>
      <c r="E672" t="str">
        <f>_xlfn.XLOOKUP(F672,'Raw Data'!$I$4:$I$5000,'Raw Data'!$D$4:$D$5000,"*** Mnemonic not found ***",0)</f>
        <v>*** Mnemonic not found ***</v>
      </c>
      <c r="F672" t="str">
        <f t="shared" si="227"/>
        <v>SUCMRUR1FINERG4_1TO5__</v>
      </c>
      <c r="H672" s="9" t="s">
        <v>1137</v>
      </c>
      <c r="K672" s="9">
        <f t="shared" si="231"/>
        <v>223</v>
      </c>
      <c r="L672" s="9" t="str">
        <f t="shared" si="232"/>
        <v>F</v>
      </c>
      <c r="M672" s="9" t="str">
        <f t="shared" si="228"/>
        <v>Input!F223</v>
      </c>
      <c r="N672" s="9">
        <f>_xlfn.XLOOKUP(F672,'Raw Data'!$I$4:$I$5000,'Raw Data'!$E$4:$E$5000,100,0)</f>
        <v>100</v>
      </c>
      <c r="O672" s="9" t="str">
        <f>IF(N672=0,_xlfn.XLOOKUP(F672,'Raw Data'!$I$4:$I$5000,'Raw Data'!$H$4:$H$5000,"",0),"")</f>
        <v/>
      </c>
      <c r="P672" s="9" t="str" cm="1">
        <f t="array" aca="1" ref="P672" ca="1">IF(INDIRECT(M672) = "","",INDIRECT(M672))</f>
        <v/>
      </c>
      <c r="Q672" s="359" t="s">
        <v>4381</v>
      </c>
    </row>
    <row r="673" spans="1:17" x14ac:dyDescent="0.35">
      <c r="A673" t="s">
        <v>1664</v>
      </c>
      <c r="E673" t="str">
        <f>_xlfn.XLOOKUP(F673,'Raw Data'!$I$4:$I$5000,'Raw Data'!$D$4:$D$5000,"*** Mnemonic not found ***",0)</f>
        <v>*** Mnemonic not found ***</v>
      </c>
      <c r="F673" t="str">
        <f t="shared" si="227"/>
        <v>SUCMRUR1FINERG5_1TO5__</v>
      </c>
      <c r="H673" s="9" t="s">
        <v>1137</v>
      </c>
      <c r="K673" s="9">
        <f t="shared" si="231"/>
        <v>223</v>
      </c>
      <c r="L673" s="9" t="str">
        <f t="shared" si="232"/>
        <v>G</v>
      </c>
      <c r="M673" s="9" t="str">
        <f t="shared" si="228"/>
        <v>Input!G223</v>
      </c>
      <c r="N673" s="9">
        <f>_xlfn.XLOOKUP(F673,'Raw Data'!$I$4:$I$5000,'Raw Data'!$E$4:$E$5000,100,0)</f>
        <v>100</v>
      </c>
      <c r="O673" s="9" t="str">
        <f>IF(N673=0,_xlfn.XLOOKUP(F673,'Raw Data'!$I$4:$I$5000,'Raw Data'!$H$4:$H$5000,"",0),"")</f>
        <v/>
      </c>
      <c r="P673" s="9" t="str" cm="1">
        <f t="array" aca="1" ref="P673" ca="1">IF(INDIRECT(M673) = "","",INDIRECT(M673))</f>
        <v/>
      </c>
      <c r="Q673" s="359" t="s">
        <v>4381</v>
      </c>
    </row>
    <row r="674" spans="1:17" x14ac:dyDescent="0.35">
      <c r="A674" t="s">
        <v>1669</v>
      </c>
      <c r="E674" t="str">
        <f>_xlfn.XLOOKUP(F674,'Raw Data'!$I$4:$I$5000,'Raw Data'!$D$4:$D$5000,"*** Mnemonic not found ***",0)</f>
        <v>*** Mnemonic not found ***</v>
      </c>
      <c r="F674" t="str">
        <f t="shared" si="227"/>
        <v>SUCMRUR1FINERG6_1TO5__</v>
      </c>
      <c r="H674" s="9" t="s">
        <v>1137</v>
      </c>
      <c r="K674" s="9">
        <f t="shared" si="231"/>
        <v>223</v>
      </c>
      <c r="L674" s="9" t="str">
        <f t="shared" si="232"/>
        <v>H</v>
      </c>
      <c r="M674" s="9" t="str">
        <f t="shared" si="228"/>
        <v>Input!H223</v>
      </c>
      <c r="N674" s="9">
        <f>_xlfn.XLOOKUP(F674,'Raw Data'!$I$4:$I$5000,'Raw Data'!$E$4:$E$5000,100,0)</f>
        <v>100</v>
      </c>
      <c r="O674" s="9" t="str">
        <f>IF(N674=0,_xlfn.XLOOKUP(F674,'Raw Data'!$I$4:$I$5000,'Raw Data'!$H$4:$H$5000,"",0),"")</f>
        <v/>
      </c>
      <c r="P674" s="9" t="str" cm="1">
        <f t="array" aca="1" ref="P674" ca="1">IF(INDIRECT(M674) = "","",INDIRECT(M674))</f>
        <v/>
      </c>
      <c r="Q674" s="359" t="s">
        <v>4381</v>
      </c>
    </row>
    <row r="675" spans="1:17" x14ac:dyDescent="0.35">
      <c r="A675" t="s">
        <v>1674</v>
      </c>
      <c r="E675" t="str">
        <f>_xlfn.XLOOKUP(F675,'Raw Data'!$I$4:$I$5000,'Raw Data'!$D$4:$D$5000,"*** Mnemonic not found ***",0)</f>
        <v>*** Mnemonic not found ***</v>
      </c>
      <c r="F675" t="str">
        <f t="shared" si="227"/>
        <v>SUCMRUR1FINERG7_1TO5__</v>
      </c>
      <c r="H675" s="9" t="s">
        <v>1137</v>
      </c>
      <c r="K675" s="9">
        <f t="shared" si="231"/>
        <v>223</v>
      </c>
      <c r="L675" s="9" t="str">
        <f t="shared" si="232"/>
        <v>I</v>
      </c>
      <c r="M675" s="9" t="str">
        <f t="shared" si="228"/>
        <v>Input!I223</v>
      </c>
      <c r="N675" s="9">
        <f>_xlfn.XLOOKUP(F675,'Raw Data'!$I$4:$I$5000,'Raw Data'!$E$4:$E$5000,100,0)</f>
        <v>100</v>
      </c>
      <c r="O675" s="9" t="str">
        <f>IF(N675=0,_xlfn.XLOOKUP(F675,'Raw Data'!$I$4:$I$5000,'Raw Data'!$H$4:$H$5000,"",0),"")</f>
        <v/>
      </c>
      <c r="P675" s="9" t="str" cm="1">
        <f t="array" aca="1" ref="P675" ca="1">IF(INDIRECT(M675) = "","",INDIRECT(M675))</f>
        <v/>
      </c>
      <c r="Q675" s="359" t="s">
        <v>4381</v>
      </c>
    </row>
    <row r="676" spans="1:17" x14ac:dyDescent="0.35">
      <c r="A676" t="s">
        <v>1679</v>
      </c>
      <c r="E676" t="str">
        <f>_xlfn.XLOOKUP(F676,'Raw Data'!$I$4:$I$5000,'Raw Data'!$D$4:$D$5000,"*** Mnemonic not found ***",0)</f>
        <v>*** Mnemonic not found ***</v>
      </c>
      <c r="F676" t="str">
        <f t="shared" si="227"/>
        <v>SUCMRUR1FINERG8_1TO5__</v>
      </c>
      <c r="H676" s="9" t="s">
        <v>1137</v>
      </c>
      <c r="K676" s="9">
        <f t="shared" si="231"/>
        <v>223</v>
      </c>
      <c r="L676" s="9" t="str">
        <f t="shared" si="232"/>
        <v>J</v>
      </c>
      <c r="M676" s="9" t="str">
        <f t="shared" si="228"/>
        <v>Input!J223</v>
      </c>
      <c r="N676" s="9">
        <f>_xlfn.XLOOKUP(F676,'Raw Data'!$I$4:$I$5000,'Raw Data'!$E$4:$E$5000,100,0)</f>
        <v>100</v>
      </c>
      <c r="O676" s="9" t="str">
        <f>IF(N676=0,_xlfn.XLOOKUP(F676,'Raw Data'!$I$4:$I$5000,'Raw Data'!$H$4:$H$5000,"",0),"")</f>
        <v/>
      </c>
      <c r="P676" s="9" t="str" cm="1">
        <f t="array" aca="1" ref="P676" ca="1">IF(INDIRECT(M676) = "","",INDIRECT(M676))</f>
        <v/>
      </c>
      <c r="Q676" s="359" t="s">
        <v>4381</v>
      </c>
    </row>
    <row r="677" spans="1:17" x14ac:dyDescent="0.35">
      <c r="A677" t="s">
        <v>1684</v>
      </c>
      <c r="E677" t="str">
        <f>_xlfn.XLOOKUP(F677,'Raw Data'!$I$4:$I$5000,'Raw Data'!$D$4:$D$5000,"*** Mnemonic not found ***",0)</f>
        <v>*** Mnemonic not found ***</v>
      </c>
      <c r="F677" t="str">
        <f t="shared" si="227"/>
        <v>SUCMRUR1FINERG9_1TO5__</v>
      </c>
      <c r="H677" s="9" t="s">
        <v>1137</v>
      </c>
      <c r="K677" s="9">
        <f t="shared" si="231"/>
        <v>223</v>
      </c>
      <c r="L677" s="9" t="str">
        <f t="shared" si="232"/>
        <v>K</v>
      </c>
      <c r="M677" s="9" t="str">
        <f t="shared" si="228"/>
        <v>Input!K223</v>
      </c>
      <c r="N677" s="9">
        <f>_xlfn.XLOOKUP(F677,'Raw Data'!$I$4:$I$5000,'Raw Data'!$E$4:$E$5000,100,0)</f>
        <v>100</v>
      </c>
      <c r="O677" s="9" t="str">
        <f>IF(N677=0,_xlfn.XLOOKUP(F677,'Raw Data'!$I$4:$I$5000,'Raw Data'!$H$4:$H$5000,"",0),"")</f>
        <v/>
      </c>
      <c r="P677" s="9" t="str" cm="1">
        <f t="array" aca="1" ref="P677" ca="1">IF(INDIRECT(M677) = "","",INDIRECT(M677))</f>
        <v/>
      </c>
      <c r="Q677" s="359" t="s">
        <v>4381</v>
      </c>
    </row>
    <row r="678" spans="1:17" x14ac:dyDescent="0.35">
      <c r="A678" t="s">
        <v>1689</v>
      </c>
      <c r="E678" t="str">
        <f>_xlfn.XLOOKUP(F678,'Raw Data'!$I$4:$I$5000,'Raw Data'!$D$4:$D$5000,"*** Mnemonic not found ***",0)</f>
        <v>*** Mnemonic not found ***</v>
      </c>
      <c r="F678" t="str">
        <f t="shared" si="227"/>
        <v>SUCMRUR1FINERG10_1TO5__</v>
      </c>
      <c r="H678" s="9" t="s">
        <v>1137</v>
      </c>
      <c r="K678" s="9">
        <f t="shared" si="231"/>
        <v>223</v>
      </c>
      <c r="L678" s="9" t="str">
        <f t="shared" si="232"/>
        <v>L</v>
      </c>
      <c r="M678" s="9" t="str">
        <f t="shared" si="228"/>
        <v>Input!L223</v>
      </c>
      <c r="N678" s="9">
        <f>_xlfn.XLOOKUP(F678,'Raw Data'!$I$4:$I$5000,'Raw Data'!$E$4:$E$5000,100,0)</f>
        <v>100</v>
      </c>
      <c r="O678" s="9" t="str">
        <f>IF(N678=0,_xlfn.XLOOKUP(F678,'Raw Data'!$I$4:$I$5000,'Raw Data'!$H$4:$H$5000,"",0),"")</f>
        <v/>
      </c>
      <c r="P678" s="9" t="str" cm="1">
        <f t="array" aca="1" ref="P678" ca="1">IF(INDIRECT(M678) = "","",INDIRECT(M678))</f>
        <v/>
      </c>
      <c r="Q678" s="359" t="s">
        <v>4381</v>
      </c>
    </row>
    <row r="679" spans="1:17" x14ac:dyDescent="0.35">
      <c r="A679" t="s">
        <v>1694</v>
      </c>
      <c r="E679" t="str">
        <f>_xlfn.XLOOKUP(F679,'Raw Data'!$I$4:$I$5000,'Raw Data'!$D$4:$D$5000,"*** Mnemonic not found ***",0)</f>
        <v>*** Mnemonic not found ***</v>
      </c>
      <c r="F679" t="str">
        <f t="shared" si="227"/>
        <v>SUCMRUR1FINERGNA_1TO5__</v>
      </c>
      <c r="H679" s="9" t="s">
        <v>1137</v>
      </c>
      <c r="K679" s="9">
        <f t="shared" si="231"/>
        <v>223</v>
      </c>
      <c r="L679" s="9" t="str">
        <f t="shared" si="232"/>
        <v>M</v>
      </c>
      <c r="M679" s="9" t="str">
        <f t="shared" si="228"/>
        <v>Input!M223</v>
      </c>
      <c r="N679" s="9">
        <f>_xlfn.XLOOKUP(F679,'Raw Data'!$I$4:$I$5000,'Raw Data'!$E$4:$E$5000,100,0)</f>
        <v>100</v>
      </c>
      <c r="O679" s="9" t="str">
        <f>IF(N679=0,_xlfn.XLOOKUP(F679,'Raw Data'!$I$4:$I$5000,'Raw Data'!$H$4:$H$5000,"",0),"")</f>
        <v/>
      </c>
      <c r="P679" s="9" t="str" cm="1">
        <f t="array" aca="1" ref="P679" ca="1">IF(INDIRECT(M679) = "","",INDIRECT(M679))</f>
        <v/>
      </c>
      <c r="Q679" s="359" t="s">
        <v>4381</v>
      </c>
    </row>
    <row r="680" spans="1:17" x14ac:dyDescent="0.35">
      <c r="A680" t="s">
        <v>1645</v>
      </c>
      <c r="E680" t="str">
        <f>_xlfn.XLOOKUP(F680,'Raw Data'!$I$4:$I$5000,'Raw Data'!$D$4:$D$5000,"*** Mnemonic not found ***",0)</f>
        <v>*** Mnemonic not found ***</v>
      </c>
      <c r="F680" t="str">
        <f t="shared" si="227"/>
        <v>SUCMRUR1FINERG1_5TO10__</v>
      </c>
      <c r="H680" s="9" t="s">
        <v>1137</v>
      </c>
      <c r="K680" s="9">
        <f t="shared" si="231"/>
        <v>224</v>
      </c>
      <c r="L680" s="9" t="str">
        <f t="shared" si="232"/>
        <v>C</v>
      </c>
      <c r="M680" s="9" t="str">
        <f t="shared" si="228"/>
        <v>Input!C224</v>
      </c>
      <c r="N680" s="9">
        <f>_xlfn.XLOOKUP(F680,'Raw Data'!$I$4:$I$5000,'Raw Data'!$E$4:$E$5000,100,0)</f>
        <v>100</v>
      </c>
      <c r="O680" s="9" t="str">
        <f>IF(N680=0,_xlfn.XLOOKUP(F680,'Raw Data'!$I$4:$I$5000,'Raw Data'!$H$4:$H$5000,"",0),"")</f>
        <v/>
      </c>
      <c r="P680" s="9" t="str" cm="1">
        <f t="array" aca="1" ref="P680" ca="1">IF(INDIRECT(M680) = "","",INDIRECT(M680))</f>
        <v/>
      </c>
      <c r="Q680" s="359" t="s">
        <v>4381</v>
      </c>
    </row>
    <row r="681" spans="1:17" x14ac:dyDescent="0.35">
      <c r="A681" t="s">
        <v>1650</v>
      </c>
      <c r="E681" t="str">
        <f>_xlfn.XLOOKUP(F681,'Raw Data'!$I$4:$I$5000,'Raw Data'!$D$4:$D$5000,"*** Mnemonic not found ***",0)</f>
        <v>*** Mnemonic not found ***</v>
      </c>
      <c r="F681" t="str">
        <f t="shared" si="227"/>
        <v>SUCMRUR1FINERG2_5TO10__</v>
      </c>
      <c r="H681" s="9" t="s">
        <v>1137</v>
      </c>
      <c r="K681" s="9">
        <f t="shared" si="231"/>
        <v>224</v>
      </c>
      <c r="L681" s="9" t="str">
        <f t="shared" si="232"/>
        <v>D</v>
      </c>
      <c r="M681" s="9" t="str">
        <f t="shared" si="228"/>
        <v>Input!D224</v>
      </c>
      <c r="N681" s="9">
        <f>_xlfn.XLOOKUP(F681,'Raw Data'!$I$4:$I$5000,'Raw Data'!$E$4:$E$5000,100,0)</f>
        <v>100</v>
      </c>
      <c r="O681" s="9" t="str">
        <f>IF(N681=0,_xlfn.XLOOKUP(F681,'Raw Data'!$I$4:$I$5000,'Raw Data'!$H$4:$H$5000,"",0),"")</f>
        <v/>
      </c>
      <c r="P681" s="9" t="str" cm="1">
        <f t="array" aca="1" ref="P681" ca="1">IF(INDIRECT(M681) = "","",INDIRECT(M681))</f>
        <v/>
      </c>
      <c r="Q681" s="359" t="s">
        <v>4381</v>
      </c>
    </row>
    <row r="682" spans="1:17" x14ac:dyDescent="0.35">
      <c r="A682" t="s">
        <v>1655</v>
      </c>
      <c r="E682" t="str">
        <f>_xlfn.XLOOKUP(F682,'Raw Data'!$I$4:$I$5000,'Raw Data'!$D$4:$D$5000,"*** Mnemonic not found ***",0)</f>
        <v>*** Mnemonic not found ***</v>
      </c>
      <c r="F682" t="str">
        <f t="shared" si="227"/>
        <v>SUCMRUR1FINERG3_5TO10__</v>
      </c>
      <c r="H682" s="9" t="s">
        <v>1137</v>
      </c>
      <c r="K682" s="9">
        <f t="shared" si="231"/>
        <v>224</v>
      </c>
      <c r="L682" s="9" t="str">
        <f t="shared" si="232"/>
        <v>E</v>
      </c>
      <c r="M682" s="9" t="str">
        <f t="shared" si="228"/>
        <v>Input!E224</v>
      </c>
      <c r="N682" s="9">
        <f>_xlfn.XLOOKUP(F682,'Raw Data'!$I$4:$I$5000,'Raw Data'!$E$4:$E$5000,100,0)</f>
        <v>100</v>
      </c>
      <c r="O682" s="9" t="str">
        <f>IF(N682=0,_xlfn.XLOOKUP(F682,'Raw Data'!$I$4:$I$5000,'Raw Data'!$H$4:$H$5000,"",0),"")</f>
        <v/>
      </c>
      <c r="P682" s="9" t="str" cm="1">
        <f t="array" aca="1" ref="P682" ca="1">IF(INDIRECT(M682) = "","",INDIRECT(M682))</f>
        <v/>
      </c>
      <c r="Q682" s="359" t="s">
        <v>4381</v>
      </c>
    </row>
    <row r="683" spans="1:17" x14ac:dyDescent="0.35">
      <c r="A683" t="s">
        <v>1660</v>
      </c>
      <c r="E683" t="str">
        <f>_xlfn.XLOOKUP(F683,'Raw Data'!$I$4:$I$5000,'Raw Data'!$D$4:$D$5000,"*** Mnemonic not found ***",0)</f>
        <v>*** Mnemonic not found ***</v>
      </c>
      <c r="F683" t="str">
        <f t="shared" si="227"/>
        <v>SUCMRUR1FINERG4_5TO10__</v>
      </c>
      <c r="H683" s="9" t="s">
        <v>1137</v>
      </c>
      <c r="K683" s="9">
        <f t="shared" si="231"/>
        <v>224</v>
      </c>
      <c r="L683" s="9" t="str">
        <f t="shared" si="232"/>
        <v>F</v>
      </c>
      <c r="M683" s="9" t="str">
        <f t="shared" si="228"/>
        <v>Input!F224</v>
      </c>
      <c r="N683" s="9">
        <f>_xlfn.XLOOKUP(F683,'Raw Data'!$I$4:$I$5000,'Raw Data'!$E$4:$E$5000,100,0)</f>
        <v>100</v>
      </c>
      <c r="O683" s="9" t="str">
        <f>IF(N683=0,_xlfn.XLOOKUP(F683,'Raw Data'!$I$4:$I$5000,'Raw Data'!$H$4:$H$5000,"",0),"")</f>
        <v/>
      </c>
      <c r="P683" s="9" t="str" cm="1">
        <f t="array" aca="1" ref="P683" ca="1">IF(INDIRECT(M683) = "","",INDIRECT(M683))</f>
        <v/>
      </c>
      <c r="Q683" s="359" t="s">
        <v>4381</v>
      </c>
    </row>
    <row r="684" spans="1:17" x14ac:dyDescent="0.35">
      <c r="A684" t="s">
        <v>1665</v>
      </c>
      <c r="E684" t="str">
        <f>_xlfn.XLOOKUP(F684,'Raw Data'!$I$4:$I$5000,'Raw Data'!$D$4:$D$5000,"*** Mnemonic not found ***",0)</f>
        <v>*** Mnemonic not found ***</v>
      </c>
      <c r="F684" t="str">
        <f t="shared" si="227"/>
        <v>SUCMRUR1FINERG5_5TO10__</v>
      </c>
      <c r="H684" s="9" t="s">
        <v>1137</v>
      </c>
      <c r="K684" s="9">
        <f t="shared" si="231"/>
        <v>224</v>
      </c>
      <c r="L684" s="9" t="str">
        <f t="shared" si="232"/>
        <v>G</v>
      </c>
      <c r="M684" s="9" t="str">
        <f t="shared" si="228"/>
        <v>Input!G224</v>
      </c>
      <c r="N684" s="9">
        <f>_xlfn.XLOOKUP(F684,'Raw Data'!$I$4:$I$5000,'Raw Data'!$E$4:$E$5000,100,0)</f>
        <v>100</v>
      </c>
      <c r="O684" s="9" t="str">
        <f>IF(N684=0,_xlfn.XLOOKUP(F684,'Raw Data'!$I$4:$I$5000,'Raw Data'!$H$4:$H$5000,"",0),"")</f>
        <v/>
      </c>
      <c r="P684" s="9" t="str" cm="1">
        <f t="array" aca="1" ref="P684" ca="1">IF(INDIRECT(M684) = "","",INDIRECT(M684))</f>
        <v/>
      </c>
      <c r="Q684" s="359" t="s">
        <v>4381</v>
      </c>
    </row>
    <row r="685" spans="1:17" x14ac:dyDescent="0.35">
      <c r="A685" t="s">
        <v>1670</v>
      </c>
      <c r="E685" t="str">
        <f>_xlfn.XLOOKUP(F685,'Raw Data'!$I$4:$I$5000,'Raw Data'!$D$4:$D$5000,"*** Mnemonic not found ***",0)</f>
        <v>*** Mnemonic not found ***</v>
      </c>
      <c r="F685" t="str">
        <f t="shared" si="227"/>
        <v>SUCMRUR1FINERG6_5TO10__</v>
      </c>
      <c r="H685" s="9" t="s">
        <v>1137</v>
      </c>
      <c r="K685" s="9">
        <f t="shared" si="231"/>
        <v>224</v>
      </c>
      <c r="L685" s="9" t="str">
        <f t="shared" si="232"/>
        <v>H</v>
      </c>
      <c r="M685" s="9" t="str">
        <f t="shared" si="228"/>
        <v>Input!H224</v>
      </c>
      <c r="N685" s="9">
        <f>_xlfn.XLOOKUP(F685,'Raw Data'!$I$4:$I$5000,'Raw Data'!$E$4:$E$5000,100,0)</f>
        <v>100</v>
      </c>
      <c r="O685" s="9" t="str">
        <f>IF(N685=0,_xlfn.XLOOKUP(F685,'Raw Data'!$I$4:$I$5000,'Raw Data'!$H$4:$H$5000,"",0),"")</f>
        <v/>
      </c>
      <c r="P685" s="9" t="str" cm="1">
        <f t="array" aca="1" ref="P685" ca="1">IF(INDIRECT(M685) = "","",INDIRECT(M685))</f>
        <v/>
      </c>
      <c r="Q685" s="359" t="s">
        <v>4381</v>
      </c>
    </row>
    <row r="686" spans="1:17" x14ac:dyDescent="0.35">
      <c r="A686" t="s">
        <v>1675</v>
      </c>
      <c r="E686" t="str">
        <f>_xlfn.XLOOKUP(F686,'Raw Data'!$I$4:$I$5000,'Raw Data'!$D$4:$D$5000,"*** Mnemonic not found ***",0)</f>
        <v>*** Mnemonic not found ***</v>
      </c>
      <c r="F686" t="str">
        <f t="shared" si="227"/>
        <v>SUCMRUR1FINERG7_5TO10__</v>
      </c>
      <c r="H686" s="9" t="s">
        <v>1137</v>
      </c>
      <c r="K686" s="9">
        <f t="shared" si="231"/>
        <v>224</v>
      </c>
      <c r="L686" s="9" t="str">
        <f t="shared" si="232"/>
        <v>I</v>
      </c>
      <c r="M686" s="9" t="str">
        <f t="shared" si="228"/>
        <v>Input!I224</v>
      </c>
      <c r="N686" s="9">
        <f>_xlfn.XLOOKUP(F686,'Raw Data'!$I$4:$I$5000,'Raw Data'!$E$4:$E$5000,100,0)</f>
        <v>100</v>
      </c>
      <c r="O686" s="9" t="str">
        <f>IF(N686=0,_xlfn.XLOOKUP(F686,'Raw Data'!$I$4:$I$5000,'Raw Data'!$H$4:$H$5000,"",0),"")</f>
        <v/>
      </c>
      <c r="P686" s="9" t="str" cm="1">
        <f t="array" aca="1" ref="P686" ca="1">IF(INDIRECT(M686) = "","",INDIRECT(M686))</f>
        <v/>
      </c>
      <c r="Q686" s="359" t="s">
        <v>4381</v>
      </c>
    </row>
    <row r="687" spans="1:17" x14ac:dyDescent="0.35">
      <c r="A687" t="s">
        <v>1680</v>
      </c>
      <c r="E687" t="str">
        <f>_xlfn.XLOOKUP(F687,'Raw Data'!$I$4:$I$5000,'Raw Data'!$D$4:$D$5000,"*** Mnemonic not found ***",0)</f>
        <v>*** Mnemonic not found ***</v>
      </c>
      <c r="F687" t="str">
        <f t="shared" si="227"/>
        <v>SUCMRUR1FINERG8_5TO10__</v>
      </c>
      <c r="H687" s="9" t="s">
        <v>1137</v>
      </c>
      <c r="K687" s="9">
        <f t="shared" si="231"/>
        <v>224</v>
      </c>
      <c r="L687" s="9" t="str">
        <f t="shared" si="232"/>
        <v>J</v>
      </c>
      <c r="M687" s="9" t="str">
        <f t="shared" si="228"/>
        <v>Input!J224</v>
      </c>
      <c r="N687" s="9">
        <f>_xlfn.XLOOKUP(F687,'Raw Data'!$I$4:$I$5000,'Raw Data'!$E$4:$E$5000,100,0)</f>
        <v>100</v>
      </c>
      <c r="O687" s="9" t="str">
        <f>IF(N687=0,_xlfn.XLOOKUP(F687,'Raw Data'!$I$4:$I$5000,'Raw Data'!$H$4:$H$5000,"",0),"")</f>
        <v/>
      </c>
      <c r="P687" s="9" t="str" cm="1">
        <f t="array" aca="1" ref="P687" ca="1">IF(INDIRECT(M687) = "","",INDIRECT(M687))</f>
        <v/>
      </c>
      <c r="Q687" s="359" t="s">
        <v>4381</v>
      </c>
    </row>
    <row r="688" spans="1:17" x14ac:dyDescent="0.35">
      <c r="A688" t="s">
        <v>1685</v>
      </c>
      <c r="E688" t="str">
        <f>_xlfn.XLOOKUP(F688,'Raw Data'!$I$4:$I$5000,'Raw Data'!$D$4:$D$5000,"*** Mnemonic not found ***",0)</f>
        <v>*** Mnemonic not found ***</v>
      </c>
      <c r="F688" t="str">
        <f t="shared" si="227"/>
        <v>SUCMRUR1FINERG9_5TO10__</v>
      </c>
      <c r="H688" s="9" t="s">
        <v>1137</v>
      </c>
      <c r="K688" s="9">
        <f t="shared" si="231"/>
        <v>224</v>
      </c>
      <c r="L688" s="9" t="str">
        <f t="shared" si="232"/>
        <v>K</v>
      </c>
      <c r="M688" s="9" t="str">
        <f t="shared" si="228"/>
        <v>Input!K224</v>
      </c>
      <c r="N688" s="9">
        <f>_xlfn.XLOOKUP(F688,'Raw Data'!$I$4:$I$5000,'Raw Data'!$E$4:$E$5000,100,0)</f>
        <v>100</v>
      </c>
      <c r="O688" s="9" t="str">
        <f>IF(N688=0,_xlfn.XLOOKUP(F688,'Raw Data'!$I$4:$I$5000,'Raw Data'!$H$4:$H$5000,"",0),"")</f>
        <v/>
      </c>
      <c r="P688" s="9" t="str" cm="1">
        <f t="array" aca="1" ref="P688" ca="1">IF(INDIRECT(M688) = "","",INDIRECT(M688))</f>
        <v/>
      </c>
      <c r="Q688" s="359" t="s">
        <v>4381</v>
      </c>
    </row>
    <row r="689" spans="1:17" x14ac:dyDescent="0.35">
      <c r="A689" t="s">
        <v>1690</v>
      </c>
      <c r="E689" t="str">
        <f>_xlfn.XLOOKUP(F689,'Raw Data'!$I$4:$I$5000,'Raw Data'!$D$4:$D$5000,"*** Mnemonic not found ***",0)</f>
        <v>*** Mnemonic not found ***</v>
      </c>
      <c r="F689" t="str">
        <f t="shared" si="227"/>
        <v>SUCMRUR1FINERG10_5TO10__</v>
      </c>
      <c r="H689" s="9" t="s">
        <v>1137</v>
      </c>
      <c r="K689" s="9">
        <f t="shared" si="231"/>
        <v>224</v>
      </c>
      <c r="L689" s="9" t="str">
        <f t="shared" si="232"/>
        <v>L</v>
      </c>
      <c r="M689" s="9" t="str">
        <f t="shared" si="228"/>
        <v>Input!L224</v>
      </c>
      <c r="N689" s="9">
        <f>_xlfn.XLOOKUP(F689,'Raw Data'!$I$4:$I$5000,'Raw Data'!$E$4:$E$5000,100,0)</f>
        <v>100</v>
      </c>
      <c r="O689" s="9" t="str">
        <f>IF(N689=0,_xlfn.XLOOKUP(F689,'Raw Data'!$I$4:$I$5000,'Raw Data'!$H$4:$H$5000,"",0),"")</f>
        <v/>
      </c>
      <c r="P689" s="9" t="str" cm="1">
        <f t="array" aca="1" ref="P689" ca="1">IF(INDIRECT(M689) = "","",INDIRECT(M689))</f>
        <v/>
      </c>
      <c r="Q689" s="359" t="s">
        <v>4381</v>
      </c>
    </row>
    <row r="690" spans="1:17" x14ac:dyDescent="0.35">
      <c r="A690" t="s">
        <v>1695</v>
      </c>
      <c r="E690" t="str">
        <f>_xlfn.XLOOKUP(F690,'Raw Data'!$I$4:$I$5000,'Raw Data'!$D$4:$D$5000,"*** Mnemonic not found ***",0)</f>
        <v>*** Mnemonic not found ***</v>
      </c>
      <c r="F690" t="str">
        <f t="shared" si="227"/>
        <v>SUCMRUR1FINERGNA_5TO10__</v>
      </c>
      <c r="H690" s="9" t="s">
        <v>1137</v>
      </c>
      <c r="K690" s="9">
        <f t="shared" si="231"/>
        <v>224</v>
      </c>
      <c r="L690" s="9" t="str">
        <f t="shared" si="232"/>
        <v>M</v>
      </c>
      <c r="M690" s="9" t="str">
        <f t="shared" si="228"/>
        <v>Input!M224</v>
      </c>
      <c r="N690" s="9">
        <f>_xlfn.XLOOKUP(F690,'Raw Data'!$I$4:$I$5000,'Raw Data'!$E$4:$E$5000,100,0)</f>
        <v>100</v>
      </c>
      <c r="O690" s="9" t="str">
        <f>IF(N690=0,_xlfn.XLOOKUP(F690,'Raw Data'!$I$4:$I$5000,'Raw Data'!$H$4:$H$5000,"",0),"")</f>
        <v/>
      </c>
      <c r="P690" s="9" t="str" cm="1">
        <f t="array" aca="1" ref="P690" ca="1">IF(INDIRECT(M690) = "","",INDIRECT(M690))</f>
        <v/>
      </c>
      <c r="Q690" s="359" t="s">
        <v>4381</v>
      </c>
    </row>
    <row r="691" spans="1:17" x14ac:dyDescent="0.35">
      <c r="A691" t="s">
        <v>1646</v>
      </c>
      <c r="E691" t="str">
        <f>_xlfn.XLOOKUP(F691,'Raw Data'!$I$4:$I$5000,'Raw Data'!$D$4:$D$5000,"*** Mnemonic not found ***",0)</f>
        <v>*** Mnemonic not found ***</v>
      </c>
      <c r="F691" t="str">
        <f t="shared" si="227"/>
        <v>SUCMRUR1FINERG1_10TO20__</v>
      </c>
      <c r="H691" s="9" t="s">
        <v>1137</v>
      </c>
      <c r="K691" s="9">
        <f t="shared" si="231"/>
        <v>225</v>
      </c>
      <c r="L691" s="9" t="str">
        <f t="shared" si="232"/>
        <v>C</v>
      </c>
      <c r="M691" s="9" t="str">
        <f t="shared" si="228"/>
        <v>Input!C225</v>
      </c>
      <c r="N691" s="9">
        <f>_xlfn.XLOOKUP(F691,'Raw Data'!$I$4:$I$5000,'Raw Data'!$E$4:$E$5000,100,0)</f>
        <v>100</v>
      </c>
      <c r="O691" s="9" t="str">
        <f>IF(N691=0,_xlfn.XLOOKUP(F691,'Raw Data'!$I$4:$I$5000,'Raw Data'!$H$4:$H$5000,"",0),"")</f>
        <v/>
      </c>
      <c r="P691" s="9" t="str" cm="1">
        <f t="array" aca="1" ref="P691" ca="1">IF(INDIRECT(M691) = "","",INDIRECT(M691))</f>
        <v/>
      </c>
      <c r="Q691" s="359" t="s">
        <v>4381</v>
      </c>
    </row>
    <row r="692" spans="1:17" x14ac:dyDescent="0.35">
      <c r="A692" t="s">
        <v>1651</v>
      </c>
      <c r="E692" t="str">
        <f>_xlfn.XLOOKUP(F692,'Raw Data'!$I$4:$I$5000,'Raw Data'!$D$4:$D$5000,"*** Mnemonic not found ***",0)</f>
        <v>*** Mnemonic not found ***</v>
      </c>
      <c r="F692" t="str">
        <f t="shared" si="227"/>
        <v>SUCMRUR1FINERG2_10TO20__</v>
      </c>
      <c r="H692" s="9" t="s">
        <v>1137</v>
      </c>
      <c r="K692" s="9">
        <f t="shared" si="231"/>
        <v>225</v>
      </c>
      <c r="L692" s="9" t="str">
        <f t="shared" si="232"/>
        <v>D</v>
      </c>
      <c r="M692" s="9" t="str">
        <f t="shared" si="228"/>
        <v>Input!D225</v>
      </c>
      <c r="N692" s="9">
        <f>_xlfn.XLOOKUP(F692,'Raw Data'!$I$4:$I$5000,'Raw Data'!$E$4:$E$5000,100,0)</f>
        <v>100</v>
      </c>
      <c r="O692" s="9" t="str">
        <f>IF(N692=0,_xlfn.XLOOKUP(F692,'Raw Data'!$I$4:$I$5000,'Raw Data'!$H$4:$H$5000,"",0),"")</f>
        <v/>
      </c>
      <c r="P692" s="9" t="str" cm="1">
        <f t="array" aca="1" ref="P692" ca="1">IF(INDIRECT(M692) = "","",INDIRECT(M692))</f>
        <v/>
      </c>
      <c r="Q692" s="359" t="s">
        <v>4381</v>
      </c>
    </row>
    <row r="693" spans="1:17" x14ac:dyDescent="0.35">
      <c r="A693" t="s">
        <v>1656</v>
      </c>
      <c r="E693" t="str">
        <f>_xlfn.XLOOKUP(F693,'Raw Data'!$I$4:$I$5000,'Raw Data'!$D$4:$D$5000,"*** Mnemonic not found ***",0)</f>
        <v>*** Mnemonic not found ***</v>
      </c>
      <c r="F693" t="str">
        <f t="shared" si="227"/>
        <v>SUCMRUR1FINERG3_10TO20__</v>
      </c>
      <c r="H693" s="9" t="s">
        <v>1137</v>
      </c>
      <c r="K693" s="9">
        <f t="shared" si="231"/>
        <v>225</v>
      </c>
      <c r="L693" s="9" t="str">
        <f t="shared" si="232"/>
        <v>E</v>
      </c>
      <c r="M693" s="9" t="str">
        <f t="shared" si="228"/>
        <v>Input!E225</v>
      </c>
      <c r="N693" s="9">
        <f>_xlfn.XLOOKUP(F693,'Raw Data'!$I$4:$I$5000,'Raw Data'!$E$4:$E$5000,100,0)</f>
        <v>100</v>
      </c>
      <c r="O693" s="9" t="str">
        <f>IF(N693=0,_xlfn.XLOOKUP(F693,'Raw Data'!$I$4:$I$5000,'Raw Data'!$H$4:$H$5000,"",0),"")</f>
        <v/>
      </c>
      <c r="P693" s="9" t="str" cm="1">
        <f t="array" aca="1" ref="P693" ca="1">IF(INDIRECT(M693) = "","",INDIRECT(M693))</f>
        <v/>
      </c>
      <c r="Q693" s="359" t="s">
        <v>4381</v>
      </c>
    </row>
    <row r="694" spans="1:17" x14ac:dyDescent="0.35">
      <c r="A694" t="s">
        <v>1661</v>
      </c>
      <c r="E694" t="str">
        <f>_xlfn.XLOOKUP(F694,'Raw Data'!$I$4:$I$5000,'Raw Data'!$D$4:$D$5000,"*** Mnemonic not found ***",0)</f>
        <v>*** Mnemonic not found ***</v>
      </c>
      <c r="F694" t="str">
        <f t="shared" si="227"/>
        <v>SUCMRUR1FINERG4_10TO20__</v>
      </c>
      <c r="H694" s="9" t="s">
        <v>1137</v>
      </c>
      <c r="K694" s="9">
        <f t="shared" si="231"/>
        <v>225</v>
      </c>
      <c r="L694" s="9" t="str">
        <f t="shared" si="232"/>
        <v>F</v>
      </c>
      <c r="M694" s="9" t="str">
        <f t="shared" si="228"/>
        <v>Input!F225</v>
      </c>
      <c r="N694" s="9">
        <f>_xlfn.XLOOKUP(F694,'Raw Data'!$I$4:$I$5000,'Raw Data'!$E$4:$E$5000,100,0)</f>
        <v>100</v>
      </c>
      <c r="O694" s="9" t="str">
        <f>IF(N694=0,_xlfn.XLOOKUP(F694,'Raw Data'!$I$4:$I$5000,'Raw Data'!$H$4:$H$5000,"",0),"")</f>
        <v/>
      </c>
      <c r="P694" s="9" t="str" cm="1">
        <f t="array" aca="1" ref="P694" ca="1">IF(INDIRECT(M694) = "","",INDIRECT(M694))</f>
        <v/>
      </c>
      <c r="Q694" s="359" t="s">
        <v>4381</v>
      </c>
    </row>
    <row r="695" spans="1:17" x14ac:dyDescent="0.35">
      <c r="A695" t="s">
        <v>1666</v>
      </c>
      <c r="E695" t="str">
        <f>_xlfn.XLOOKUP(F695,'Raw Data'!$I$4:$I$5000,'Raw Data'!$D$4:$D$5000,"*** Mnemonic not found ***",0)</f>
        <v>*** Mnemonic not found ***</v>
      </c>
      <c r="F695" t="str">
        <f t="shared" si="227"/>
        <v>SUCMRUR1FINERG5_10TO20__</v>
      </c>
      <c r="H695" s="9" t="s">
        <v>1137</v>
      </c>
      <c r="K695" s="9">
        <f t="shared" si="231"/>
        <v>225</v>
      </c>
      <c r="L695" s="9" t="str">
        <f t="shared" si="232"/>
        <v>G</v>
      </c>
      <c r="M695" s="9" t="str">
        <f t="shared" si="228"/>
        <v>Input!G225</v>
      </c>
      <c r="N695" s="9">
        <f>_xlfn.XLOOKUP(F695,'Raw Data'!$I$4:$I$5000,'Raw Data'!$E$4:$E$5000,100,0)</f>
        <v>100</v>
      </c>
      <c r="O695" s="9" t="str">
        <f>IF(N695=0,_xlfn.XLOOKUP(F695,'Raw Data'!$I$4:$I$5000,'Raw Data'!$H$4:$H$5000,"",0),"")</f>
        <v/>
      </c>
      <c r="P695" s="9" t="str" cm="1">
        <f t="array" aca="1" ref="P695" ca="1">IF(INDIRECT(M695) = "","",INDIRECT(M695))</f>
        <v/>
      </c>
      <c r="Q695" s="359" t="s">
        <v>4381</v>
      </c>
    </row>
    <row r="696" spans="1:17" x14ac:dyDescent="0.35">
      <c r="A696" t="s">
        <v>1671</v>
      </c>
      <c r="E696" t="str">
        <f>_xlfn.XLOOKUP(F696,'Raw Data'!$I$4:$I$5000,'Raw Data'!$D$4:$D$5000,"*** Mnemonic not found ***",0)</f>
        <v>*** Mnemonic not found ***</v>
      </c>
      <c r="F696" t="str">
        <f t="shared" si="227"/>
        <v>SUCMRUR1FINERG6_10TO20__</v>
      </c>
      <c r="H696" s="9" t="s">
        <v>1137</v>
      </c>
      <c r="K696" s="9">
        <f t="shared" si="231"/>
        <v>225</v>
      </c>
      <c r="L696" s="9" t="str">
        <f t="shared" si="232"/>
        <v>H</v>
      </c>
      <c r="M696" s="9" t="str">
        <f t="shared" si="228"/>
        <v>Input!H225</v>
      </c>
      <c r="N696" s="9">
        <f>_xlfn.XLOOKUP(F696,'Raw Data'!$I$4:$I$5000,'Raw Data'!$E$4:$E$5000,100,0)</f>
        <v>100</v>
      </c>
      <c r="O696" s="9" t="str">
        <f>IF(N696=0,_xlfn.XLOOKUP(F696,'Raw Data'!$I$4:$I$5000,'Raw Data'!$H$4:$H$5000,"",0),"")</f>
        <v/>
      </c>
      <c r="P696" s="9" t="str" cm="1">
        <f t="array" aca="1" ref="P696" ca="1">IF(INDIRECT(M696) = "","",INDIRECT(M696))</f>
        <v/>
      </c>
      <c r="Q696" s="359" t="s">
        <v>4381</v>
      </c>
    </row>
    <row r="697" spans="1:17" x14ac:dyDescent="0.35">
      <c r="A697" t="s">
        <v>1676</v>
      </c>
      <c r="E697" t="str">
        <f>_xlfn.XLOOKUP(F697,'Raw Data'!$I$4:$I$5000,'Raw Data'!$D$4:$D$5000,"*** Mnemonic not found ***",0)</f>
        <v>*** Mnemonic not found ***</v>
      </c>
      <c r="F697" t="str">
        <f t="shared" si="227"/>
        <v>SUCMRUR1FINERG7_10TO20__</v>
      </c>
      <c r="H697" s="9" t="s">
        <v>1137</v>
      </c>
      <c r="K697" s="9">
        <f t="shared" si="231"/>
        <v>225</v>
      </c>
      <c r="L697" s="9" t="str">
        <f t="shared" si="232"/>
        <v>I</v>
      </c>
      <c r="M697" s="9" t="str">
        <f t="shared" si="228"/>
        <v>Input!I225</v>
      </c>
      <c r="N697" s="9">
        <f>_xlfn.XLOOKUP(F697,'Raw Data'!$I$4:$I$5000,'Raw Data'!$E$4:$E$5000,100,0)</f>
        <v>100</v>
      </c>
      <c r="O697" s="9" t="str">
        <f>IF(N697=0,_xlfn.XLOOKUP(F697,'Raw Data'!$I$4:$I$5000,'Raw Data'!$H$4:$H$5000,"",0),"")</f>
        <v/>
      </c>
      <c r="P697" s="9" t="str" cm="1">
        <f t="array" aca="1" ref="P697" ca="1">IF(INDIRECT(M697) = "","",INDIRECT(M697))</f>
        <v/>
      </c>
      <c r="Q697" s="359" t="s">
        <v>4381</v>
      </c>
    </row>
    <row r="698" spans="1:17" x14ac:dyDescent="0.35">
      <c r="A698" t="s">
        <v>1681</v>
      </c>
      <c r="E698" t="str">
        <f>_xlfn.XLOOKUP(F698,'Raw Data'!$I$4:$I$5000,'Raw Data'!$D$4:$D$5000,"*** Mnemonic not found ***",0)</f>
        <v>*** Mnemonic not found ***</v>
      </c>
      <c r="F698" t="str">
        <f t="shared" si="227"/>
        <v>SUCMRUR1FINERG8_10TO20__</v>
      </c>
      <c r="H698" s="9" t="s">
        <v>1137</v>
      </c>
      <c r="K698" s="9">
        <f t="shared" si="231"/>
        <v>225</v>
      </c>
      <c r="L698" s="9" t="str">
        <f t="shared" si="232"/>
        <v>J</v>
      </c>
      <c r="M698" s="9" t="str">
        <f t="shared" si="228"/>
        <v>Input!J225</v>
      </c>
      <c r="N698" s="9">
        <f>_xlfn.XLOOKUP(F698,'Raw Data'!$I$4:$I$5000,'Raw Data'!$E$4:$E$5000,100,0)</f>
        <v>100</v>
      </c>
      <c r="O698" s="9" t="str">
        <f>IF(N698=0,_xlfn.XLOOKUP(F698,'Raw Data'!$I$4:$I$5000,'Raw Data'!$H$4:$H$5000,"",0),"")</f>
        <v/>
      </c>
      <c r="P698" s="9" t="str" cm="1">
        <f t="array" aca="1" ref="P698" ca="1">IF(INDIRECT(M698) = "","",INDIRECT(M698))</f>
        <v/>
      </c>
      <c r="Q698" s="359" t="s">
        <v>4381</v>
      </c>
    </row>
    <row r="699" spans="1:17" x14ac:dyDescent="0.35">
      <c r="A699" t="s">
        <v>1686</v>
      </c>
      <c r="E699" t="str">
        <f>_xlfn.XLOOKUP(F699,'Raw Data'!$I$4:$I$5000,'Raw Data'!$D$4:$D$5000,"*** Mnemonic not found ***",0)</f>
        <v>*** Mnemonic not found ***</v>
      </c>
      <c r="F699" t="str">
        <f t="shared" si="227"/>
        <v>SUCMRUR1FINERG9_10TO20__</v>
      </c>
      <c r="H699" s="9" t="s">
        <v>1137</v>
      </c>
      <c r="K699" s="9">
        <f t="shared" si="231"/>
        <v>225</v>
      </c>
      <c r="L699" s="9" t="str">
        <f t="shared" si="232"/>
        <v>K</v>
      </c>
      <c r="M699" s="9" t="str">
        <f t="shared" si="228"/>
        <v>Input!K225</v>
      </c>
      <c r="N699" s="9">
        <f>_xlfn.XLOOKUP(F699,'Raw Data'!$I$4:$I$5000,'Raw Data'!$E$4:$E$5000,100,0)</f>
        <v>100</v>
      </c>
      <c r="O699" s="9" t="str">
        <f>IF(N699=0,_xlfn.XLOOKUP(F699,'Raw Data'!$I$4:$I$5000,'Raw Data'!$H$4:$H$5000,"",0),"")</f>
        <v/>
      </c>
      <c r="P699" s="9" t="str" cm="1">
        <f t="array" aca="1" ref="P699" ca="1">IF(INDIRECT(M699) = "","",INDIRECT(M699))</f>
        <v/>
      </c>
      <c r="Q699" s="359" t="s">
        <v>4381</v>
      </c>
    </row>
    <row r="700" spans="1:17" x14ac:dyDescent="0.35">
      <c r="A700" t="s">
        <v>1691</v>
      </c>
      <c r="E700" t="str">
        <f>_xlfn.XLOOKUP(F700,'Raw Data'!$I$4:$I$5000,'Raw Data'!$D$4:$D$5000,"*** Mnemonic not found ***",0)</f>
        <v>*** Mnemonic not found ***</v>
      </c>
      <c r="F700" t="str">
        <f t="shared" si="227"/>
        <v>SUCMRUR1FINERG10_10TO20__</v>
      </c>
      <c r="H700" s="9" t="s">
        <v>1137</v>
      </c>
      <c r="K700" s="9">
        <f t="shared" si="231"/>
        <v>225</v>
      </c>
      <c r="L700" s="9" t="str">
        <f t="shared" si="232"/>
        <v>L</v>
      </c>
      <c r="M700" s="9" t="str">
        <f t="shared" si="228"/>
        <v>Input!L225</v>
      </c>
      <c r="N700" s="9">
        <f>_xlfn.XLOOKUP(F700,'Raw Data'!$I$4:$I$5000,'Raw Data'!$E$4:$E$5000,100,0)</f>
        <v>100</v>
      </c>
      <c r="O700" s="9" t="str">
        <f>IF(N700=0,_xlfn.XLOOKUP(F700,'Raw Data'!$I$4:$I$5000,'Raw Data'!$H$4:$H$5000,"",0),"")</f>
        <v/>
      </c>
      <c r="P700" s="9" t="str" cm="1">
        <f t="array" aca="1" ref="P700" ca="1">IF(INDIRECT(M700) = "","",INDIRECT(M700))</f>
        <v/>
      </c>
      <c r="Q700" s="359" t="s">
        <v>4381</v>
      </c>
    </row>
    <row r="701" spans="1:17" x14ac:dyDescent="0.35">
      <c r="A701" t="s">
        <v>1696</v>
      </c>
      <c r="E701" t="str">
        <f>_xlfn.XLOOKUP(F701,'Raw Data'!$I$4:$I$5000,'Raw Data'!$D$4:$D$5000,"*** Mnemonic not found ***",0)</f>
        <v>*** Mnemonic not found ***</v>
      </c>
      <c r="F701" t="str">
        <f t="shared" si="227"/>
        <v>SUCMRUR1FINERGNA_10TO20__</v>
      </c>
      <c r="H701" s="9" t="s">
        <v>1137</v>
      </c>
      <c r="K701" s="9">
        <f t="shared" si="231"/>
        <v>225</v>
      </c>
      <c r="L701" s="9" t="str">
        <f t="shared" si="232"/>
        <v>M</v>
      </c>
      <c r="M701" s="9" t="str">
        <f t="shared" si="228"/>
        <v>Input!M225</v>
      </c>
      <c r="N701" s="9">
        <f>_xlfn.XLOOKUP(F701,'Raw Data'!$I$4:$I$5000,'Raw Data'!$E$4:$E$5000,100,0)</f>
        <v>100</v>
      </c>
      <c r="O701" s="9" t="str">
        <f>IF(N701=0,_xlfn.XLOOKUP(F701,'Raw Data'!$I$4:$I$5000,'Raw Data'!$H$4:$H$5000,"",0),"")</f>
        <v/>
      </c>
      <c r="P701" s="9" t="str" cm="1">
        <f t="array" aca="1" ref="P701" ca="1">IF(INDIRECT(M701) = "","",INDIRECT(M701))</f>
        <v/>
      </c>
      <c r="Q701" s="359" t="s">
        <v>4381</v>
      </c>
    </row>
    <row r="702" spans="1:17" x14ac:dyDescent="0.35">
      <c r="A702" t="s">
        <v>1647</v>
      </c>
      <c r="E702" t="str">
        <f>_xlfn.XLOOKUP(F702,'Raw Data'!$I$4:$I$5000,'Raw Data'!$D$4:$D$5000,"*** Mnemonic not found ***",0)</f>
        <v>*** Mnemonic not found ***</v>
      </c>
      <c r="F702" t="str">
        <f t="shared" si="227"/>
        <v>SUCMRUR1FINERG1_GRTR20__</v>
      </c>
      <c r="H702" s="9" t="s">
        <v>1137</v>
      </c>
      <c r="K702" s="9">
        <f t="shared" si="231"/>
        <v>226</v>
      </c>
      <c r="L702" s="9" t="str">
        <f t="shared" si="232"/>
        <v>C</v>
      </c>
      <c r="M702" s="9" t="str">
        <f t="shared" si="228"/>
        <v>Input!C226</v>
      </c>
      <c r="N702" s="9">
        <f>_xlfn.XLOOKUP(F702,'Raw Data'!$I$4:$I$5000,'Raw Data'!$E$4:$E$5000,100,0)</f>
        <v>100</v>
      </c>
      <c r="O702" s="9" t="str">
        <f>IF(N702=0,_xlfn.XLOOKUP(F702,'Raw Data'!$I$4:$I$5000,'Raw Data'!$H$4:$H$5000,"",0),"")</f>
        <v/>
      </c>
      <c r="P702" s="9" t="str" cm="1">
        <f t="array" aca="1" ref="P702" ca="1">IF(INDIRECT(M702) = "","",INDIRECT(M702))</f>
        <v/>
      </c>
      <c r="Q702" s="359" t="s">
        <v>4381</v>
      </c>
    </row>
    <row r="703" spans="1:17" x14ac:dyDescent="0.35">
      <c r="A703" t="s">
        <v>1652</v>
      </c>
      <c r="E703" t="str">
        <f>_xlfn.XLOOKUP(F703,'Raw Data'!$I$4:$I$5000,'Raw Data'!$D$4:$D$5000,"*** Mnemonic not found ***",0)</f>
        <v>*** Mnemonic not found ***</v>
      </c>
      <c r="F703" t="str">
        <f t="shared" si="227"/>
        <v>SUCMRUR1FINERG2_GRTR20__</v>
      </c>
      <c r="H703" s="9" t="s">
        <v>1137</v>
      </c>
      <c r="K703" s="9">
        <f t="shared" si="231"/>
        <v>226</v>
      </c>
      <c r="L703" s="9" t="str">
        <f t="shared" si="232"/>
        <v>D</v>
      </c>
      <c r="M703" s="9" t="str">
        <f t="shared" si="228"/>
        <v>Input!D226</v>
      </c>
      <c r="N703" s="9">
        <f>_xlfn.XLOOKUP(F703,'Raw Data'!$I$4:$I$5000,'Raw Data'!$E$4:$E$5000,100,0)</f>
        <v>100</v>
      </c>
      <c r="O703" s="9" t="str">
        <f>IF(N703=0,_xlfn.XLOOKUP(F703,'Raw Data'!$I$4:$I$5000,'Raw Data'!$H$4:$H$5000,"",0),"")</f>
        <v/>
      </c>
      <c r="P703" s="9" t="str" cm="1">
        <f t="array" aca="1" ref="P703" ca="1">IF(INDIRECT(M703) = "","",INDIRECT(M703))</f>
        <v/>
      </c>
      <c r="Q703" s="359" t="s">
        <v>4381</v>
      </c>
    </row>
    <row r="704" spans="1:17" x14ac:dyDescent="0.35">
      <c r="A704" t="s">
        <v>1657</v>
      </c>
      <c r="E704" t="str">
        <f>_xlfn.XLOOKUP(F704,'Raw Data'!$I$4:$I$5000,'Raw Data'!$D$4:$D$5000,"*** Mnemonic not found ***",0)</f>
        <v>*** Mnemonic not found ***</v>
      </c>
      <c r="F704" t="str">
        <f t="shared" si="227"/>
        <v>SUCMRUR1FINERG3_GRTR20__</v>
      </c>
      <c r="H704" s="9" t="s">
        <v>1137</v>
      </c>
      <c r="K704" s="9">
        <f t="shared" si="231"/>
        <v>226</v>
      </c>
      <c r="L704" s="9" t="str">
        <f t="shared" si="232"/>
        <v>E</v>
      </c>
      <c r="M704" s="9" t="str">
        <f t="shared" si="228"/>
        <v>Input!E226</v>
      </c>
      <c r="N704" s="9">
        <f>_xlfn.XLOOKUP(F704,'Raw Data'!$I$4:$I$5000,'Raw Data'!$E$4:$E$5000,100,0)</f>
        <v>100</v>
      </c>
      <c r="O704" s="9" t="str">
        <f>IF(N704=0,_xlfn.XLOOKUP(F704,'Raw Data'!$I$4:$I$5000,'Raw Data'!$H$4:$H$5000,"",0),"")</f>
        <v/>
      </c>
      <c r="P704" s="9" t="str" cm="1">
        <f t="array" aca="1" ref="P704" ca="1">IF(INDIRECT(M704) = "","",INDIRECT(M704))</f>
        <v/>
      </c>
      <c r="Q704" s="359" t="s">
        <v>4381</v>
      </c>
    </row>
    <row r="705" spans="1:17" x14ac:dyDescent="0.35">
      <c r="A705" t="s">
        <v>1662</v>
      </c>
      <c r="E705" t="str">
        <f>_xlfn.XLOOKUP(F705,'Raw Data'!$I$4:$I$5000,'Raw Data'!$D$4:$D$5000,"*** Mnemonic not found ***",0)</f>
        <v>*** Mnemonic not found ***</v>
      </c>
      <c r="F705" t="str">
        <f t="shared" si="227"/>
        <v>SUCMRUR1FINERG4_GRTR20__</v>
      </c>
      <c r="H705" s="9" t="s">
        <v>1137</v>
      </c>
      <c r="K705" s="9">
        <f t="shared" si="231"/>
        <v>226</v>
      </c>
      <c r="L705" s="9" t="str">
        <f t="shared" si="232"/>
        <v>F</v>
      </c>
      <c r="M705" s="9" t="str">
        <f t="shared" si="228"/>
        <v>Input!F226</v>
      </c>
      <c r="N705" s="9">
        <f>_xlfn.XLOOKUP(F705,'Raw Data'!$I$4:$I$5000,'Raw Data'!$E$4:$E$5000,100,0)</f>
        <v>100</v>
      </c>
      <c r="O705" s="9" t="str">
        <f>IF(N705=0,_xlfn.XLOOKUP(F705,'Raw Data'!$I$4:$I$5000,'Raw Data'!$H$4:$H$5000,"",0),"")</f>
        <v/>
      </c>
      <c r="P705" s="9" t="str" cm="1">
        <f t="array" aca="1" ref="P705" ca="1">IF(INDIRECT(M705) = "","",INDIRECT(M705))</f>
        <v/>
      </c>
      <c r="Q705" s="359" t="s">
        <v>4381</v>
      </c>
    </row>
    <row r="706" spans="1:17" x14ac:dyDescent="0.35">
      <c r="A706" t="s">
        <v>1667</v>
      </c>
      <c r="E706" t="str">
        <f>_xlfn.XLOOKUP(F706,'Raw Data'!$I$4:$I$5000,'Raw Data'!$D$4:$D$5000,"*** Mnemonic not found ***",0)</f>
        <v>*** Mnemonic not found ***</v>
      </c>
      <c r="F706" t="str">
        <f t="shared" si="227"/>
        <v>SUCMRUR1FINERG5_GRTR20__</v>
      </c>
      <c r="H706" s="9" t="s">
        <v>1137</v>
      </c>
      <c r="K706" s="9">
        <f t="shared" si="231"/>
        <v>226</v>
      </c>
      <c r="L706" s="9" t="str">
        <f t="shared" si="232"/>
        <v>G</v>
      </c>
      <c r="M706" s="9" t="str">
        <f t="shared" si="228"/>
        <v>Input!G226</v>
      </c>
      <c r="N706" s="9">
        <f>_xlfn.XLOOKUP(F706,'Raw Data'!$I$4:$I$5000,'Raw Data'!$E$4:$E$5000,100,0)</f>
        <v>100</v>
      </c>
      <c r="O706" s="9" t="str">
        <f>IF(N706=0,_xlfn.XLOOKUP(F706,'Raw Data'!$I$4:$I$5000,'Raw Data'!$H$4:$H$5000,"",0),"")</f>
        <v/>
      </c>
      <c r="P706" s="9" t="str" cm="1">
        <f t="array" aca="1" ref="P706" ca="1">IF(INDIRECT(M706) = "","",INDIRECT(M706))</f>
        <v/>
      </c>
      <c r="Q706" s="359" t="s">
        <v>4381</v>
      </c>
    </row>
    <row r="707" spans="1:17" x14ac:dyDescent="0.35">
      <c r="A707" t="s">
        <v>1672</v>
      </c>
      <c r="E707" t="str">
        <f>_xlfn.XLOOKUP(F707,'Raw Data'!$I$4:$I$5000,'Raw Data'!$D$4:$D$5000,"*** Mnemonic not found ***",0)</f>
        <v>*** Mnemonic not found ***</v>
      </c>
      <c r="F707" t="str">
        <f t="shared" si="227"/>
        <v>SUCMRUR1FINERG6_GRTR20__</v>
      </c>
      <c r="H707" s="9" t="s">
        <v>1137</v>
      </c>
      <c r="K707" s="9">
        <f t="shared" si="231"/>
        <v>226</v>
      </c>
      <c r="L707" s="9" t="str">
        <f t="shared" si="232"/>
        <v>H</v>
      </c>
      <c r="M707" s="9" t="str">
        <f t="shared" si="228"/>
        <v>Input!H226</v>
      </c>
      <c r="N707" s="9">
        <f>_xlfn.XLOOKUP(F707,'Raw Data'!$I$4:$I$5000,'Raw Data'!$E$4:$E$5000,100,0)</f>
        <v>100</v>
      </c>
      <c r="O707" s="9" t="str">
        <f>IF(N707=0,_xlfn.XLOOKUP(F707,'Raw Data'!$I$4:$I$5000,'Raw Data'!$H$4:$H$5000,"",0),"")</f>
        <v/>
      </c>
      <c r="P707" s="9" t="str" cm="1">
        <f t="array" aca="1" ref="P707" ca="1">IF(INDIRECT(M707) = "","",INDIRECT(M707))</f>
        <v/>
      </c>
      <c r="Q707" s="359" t="s">
        <v>4381</v>
      </c>
    </row>
    <row r="708" spans="1:17" x14ac:dyDescent="0.35">
      <c r="A708" t="s">
        <v>1677</v>
      </c>
      <c r="E708" t="str">
        <f>_xlfn.XLOOKUP(F708,'Raw Data'!$I$4:$I$5000,'Raw Data'!$D$4:$D$5000,"*** Mnemonic not found ***",0)</f>
        <v>*** Mnemonic not found ***</v>
      </c>
      <c r="F708" t="str">
        <f t="shared" si="227"/>
        <v>SUCMRUR1FINERG7_GRTR20__</v>
      </c>
      <c r="H708" s="9" t="s">
        <v>1137</v>
      </c>
      <c r="K708" s="9">
        <f t="shared" si="231"/>
        <v>226</v>
      </c>
      <c r="L708" s="9" t="str">
        <f t="shared" si="232"/>
        <v>I</v>
      </c>
      <c r="M708" s="9" t="str">
        <f t="shared" si="228"/>
        <v>Input!I226</v>
      </c>
      <c r="N708" s="9">
        <f>_xlfn.XLOOKUP(F708,'Raw Data'!$I$4:$I$5000,'Raw Data'!$E$4:$E$5000,100,0)</f>
        <v>100</v>
      </c>
      <c r="O708" s="9" t="str">
        <f>IF(N708=0,_xlfn.XLOOKUP(F708,'Raw Data'!$I$4:$I$5000,'Raw Data'!$H$4:$H$5000,"",0),"")</f>
        <v/>
      </c>
      <c r="P708" s="9" t="str" cm="1">
        <f t="array" aca="1" ref="P708" ca="1">IF(INDIRECT(M708) = "","",INDIRECT(M708))</f>
        <v/>
      </c>
      <c r="Q708" s="359" t="s">
        <v>4381</v>
      </c>
    </row>
    <row r="709" spans="1:17" x14ac:dyDescent="0.35">
      <c r="A709" t="s">
        <v>1682</v>
      </c>
      <c r="E709" t="str">
        <f>_xlfn.XLOOKUP(F709,'Raw Data'!$I$4:$I$5000,'Raw Data'!$D$4:$D$5000,"*** Mnemonic not found ***",0)</f>
        <v>*** Mnemonic not found ***</v>
      </c>
      <c r="F709" t="str">
        <f t="shared" ref="F709:F772" si="233">CONCATENATE(A709,"_",B709,"_",D709)</f>
        <v>SUCMRUR1FINERG8_GRTR20__</v>
      </c>
      <c r="H709" s="9" t="s">
        <v>1137</v>
      </c>
      <c r="K709" s="9">
        <f t="shared" si="231"/>
        <v>226</v>
      </c>
      <c r="L709" s="9" t="str">
        <f t="shared" si="232"/>
        <v>J</v>
      </c>
      <c r="M709" s="9" t="str">
        <f t="shared" si="228"/>
        <v>Input!J226</v>
      </c>
      <c r="N709" s="9">
        <f>_xlfn.XLOOKUP(F709,'Raw Data'!$I$4:$I$5000,'Raw Data'!$E$4:$E$5000,100,0)</f>
        <v>100</v>
      </c>
      <c r="O709" s="9" t="str">
        <f>IF(N709=0,_xlfn.XLOOKUP(F709,'Raw Data'!$I$4:$I$5000,'Raw Data'!$H$4:$H$5000,"",0),"")</f>
        <v/>
      </c>
      <c r="P709" s="9" t="str" cm="1">
        <f t="array" aca="1" ref="P709" ca="1">IF(INDIRECT(M709) = "","",INDIRECT(M709))</f>
        <v/>
      </c>
      <c r="Q709" s="359" t="s">
        <v>4381</v>
      </c>
    </row>
    <row r="710" spans="1:17" x14ac:dyDescent="0.35">
      <c r="A710" t="s">
        <v>1687</v>
      </c>
      <c r="E710" t="str">
        <f>_xlfn.XLOOKUP(F710,'Raw Data'!$I$4:$I$5000,'Raw Data'!$D$4:$D$5000,"*** Mnemonic not found ***",0)</f>
        <v>*** Mnemonic not found ***</v>
      </c>
      <c r="F710" t="str">
        <f t="shared" si="233"/>
        <v>SUCMRUR1FINERG9_GRTR20__</v>
      </c>
      <c r="H710" s="9" t="s">
        <v>1137</v>
      </c>
      <c r="K710" s="9">
        <f t="shared" si="231"/>
        <v>226</v>
      </c>
      <c r="L710" s="9" t="str">
        <f t="shared" si="232"/>
        <v>K</v>
      </c>
      <c r="M710" s="9" t="str">
        <f t="shared" si="228"/>
        <v>Input!K226</v>
      </c>
      <c r="N710" s="9">
        <f>_xlfn.XLOOKUP(F710,'Raw Data'!$I$4:$I$5000,'Raw Data'!$E$4:$E$5000,100,0)</f>
        <v>100</v>
      </c>
      <c r="O710" s="9" t="str">
        <f>IF(N710=0,_xlfn.XLOOKUP(F710,'Raw Data'!$I$4:$I$5000,'Raw Data'!$H$4:$H$5000,"",0),"")</f>
        <v/>
      </c>
      <c r="P710" s="9" t="str" cm="1">
        <f t="array" aca="1" ref="P710" ca="1">IF(INDIRECT(M710) = "","",INDIRECT(M710))</f>
        <v/>
      </c>
      <c r="Q710" s="359" t="s">
        <v>4381</v>
      </c>
    </row>
    <row r="711" spans="1:17" x14ac:dyDescent="0.35">
      <c r="A711" t="s">
        <v>1692</v>
      </c>
      <c r="E711" t="str">
        <f>_xlfn.XLOOKUP(F711,'Raw Data'!$I$4:$I$5000,'Raw Data'!$D$4:$D$5000,"*** Mnemonic not found ***",0)</f>
        <v>*** Mnemonic not found ***</v>
      </c>
      <c r="F711" t="str">
        <f t="shared" si="233"/>
        <v>SUCMRUR1FINERG10_GRTR20__</v>
      </c>
      <c r="H711" s="9" t="s">
        <v>1137</v>
      </c>
      <c r="K711" s="9">
        <f t="shared" si="231"/>
        <v>226</v>
      </c>
      <c r="L711" s="9" t="str">
        <f t="shared" si="232"/>
        <v>L</v>
      </c>
      <c r="M711" s="9" t="str">
        <f t="shared" si="228"/>
        <v>Input!L226</v>
      </c>
      <c r="N711" s="9">
        <f>_xlfn.XLOOKUP(F711,'Raw Data'!$I$4:$I$5000,'Raw Data'!$E$4:$E$5000,100,0)</f>
        <v>100</v>
      </c>
      <c r="O711" s="9" t="str">
        <f>IF(N711=0,_xlfn.XLOOKUP(F711,'Raw Data'!$I$4:$I$5000,'Raw Data'!$H$4:$H$5000,"",0),"")</f>
        <v/>
      </c>
      <c r="P711" s="9" t="str" cm="1">
        <f t="array" aca="1" ref="P711" ca="1">IF(INDIRECT(M711) = "","",INDIRECT(M711))</f>
        <v/>
      </c>
      <c r="Q711" s="359" t="s">
        <v>4381</v>
      </c>
    </row>
    <row r="712" spans="1:17" x14ac:dyDescent="0.35">
      <c r="A712" t="s">
        <v>1697</v>
      </c>
      <c r="E712" t="str">
        <f>_xlfn.XLOOKUP(F712,'Raw Data'!$I$4:$I$5000,'Raw Data'!$D$4:$D$5000,"*** Mnemonic not found ***",0)</f>
        <v>*** Mnemonic not found ***</v>
      </c>
      <c r="F712" t="str">
        <f t="shared" si="233"/>
        <v>SUCMRUR1FINERGNA_GRTR20__</v>
      </c>
      <c r="H712" s="9" t="s">
        <v>1137</v>
      </c>
      <c r="K712" s="9">
        <f t="shared" si="231"/>
        <v>226</v>
      </c>
      <c r="L712" s="9" t="str">
        <f t="shared" si="232"/>
        <v>M</v>
      </c>
      <c r="M712" s="9" t="str">
        <f t="shared" si="228"/>
        <v>Input!M226</v>
      </c>
      <c r="N712" s="9">
        <f>_xlfn.XLOOKUP(F712,'Raw Data'!$I$4:$I$5000,'Raw Data'!$E$4:$E$5000,100,0)</f>
        <v>100</v>
      </c>
      <c r="O712" s="9" t="str">
        <f>IF(N712=0,_xlfn.XLOOKUP(F712,'Raw Data'!$I$4:$I$5000,'Raw Data'!$H$4:$H$5000,"",0),"")</f>
        <v/>
      </c>
      <c r="P712" s="9" t="str" cm="1">
        <f t="array" aca="1" ref="P712" ca="1">IF(INDIRECT(M712) = "","",INDIRECT(M712))</f>
        <v/>
      </c>
      <c r="Q712" s="359" t="s">
        <v>4381</v>
      </c>
    </row>
    <row r="713" spans="1:17" x14ac:dyDescent="0.35">
      <c r="A713" t="s">
        <v>1698</v>
      </c>
      <c r="E713" t="str">
        <f>_xlfn.XLOOKUP(F713,'Raw Data'!$I$4:$I$5000,'Raw Data'!$D$4:$D$5000,"*** Mnemonic not found ***",0)</f>
        <v>*** Mnemonic not found ***</v>
      </c>
      <c r="F713" t="str">
        <f t="shared" si="233"/>
        <v>SUCMRUR2FINERG1_LESS1__</v>
      </c>
      <c r="H713" s="9" t="s">
        <v>1137</v>
      </c>
      <c r="I713" s="289">
        <f>ROW(section_bonds_sp_unrated_step_4)</f>
        <v>187</v>
      </c>
      <c r="J713" s="9">
        <f>J658+10</f>
        <v>45</v>
      </c>
      <c r="K713" s="9">
        <f>I713+J713</f>
        <v>232</v>
      </c>
      <c r="L713" s="9" t="str">
        <f>L702</f>
        <v>C</v>
      </c>
      <c r="M713" s="9" t="str">
        <f t="shared" si="228"/>
        <v>Input!C232</v>
      </c>
      <c r="N713" s="9">
        <f>_xlfn.XLOOKUP(F713,'Raw Data'!$I$4:$I$5000,'Raw Data'!$E$4:$E$5000,100,0)</f>
        <v>100</v>
      </c>
      <c r="O713" s="9" t="str">
        <f>IF(N713=0,_xlfn.XLOOKUP(F713,'Raw Data'!$I$4:$I$5000,'Raw Data'!$H$4:$H$5000,"",0),"")</f>
        <v/>
      </c>
      <c r="P713" s="9" t="str" cm="1">
        <f t="array" aca="1" ref="P713" ca="1">IF(INDIRECT(M713) = "","",INDIRECT(M713))</f>
        <v/>
      </c>
      <c r="Q713" s="359" t="s">
        <v>4381</v>
      </c>
    </row>
    <row r="714" spans="1:17" x14ac:dyDescent="0.35">
      <c r="A714" t="s">
        <v>1703</v>
      </c>
      <c r="E714" t="str">
        <f>_xlfn.XLOOKUP(F714,'Raw Data'!$I$4:$I$5000,'Raw Data'!$D$4:$D$5000,"*** Mnemonic not found ***",0)</f>
        <v>*** Mnemonic not found ***</v>
      </c>
      <c r="F714" t="str">
        <f t="shared" si="233"/>
        <v>SUCMRUR2FINERG2_LESS1__</v>
      </c>
      <c r="H714" s="9" t="s">
        <v>1137</v>
      </c>
      <c r="K714" s="9">
        <f>K713</f>
        <v>232</v>
      </c>
      <c r="L714" s="9" t="str">
        <f t="shared" ref="L714:L723" si="234">L703</f>
        <v>D</v>
      </c>
      <c r="M714" s="9" t="str">
        <f t="shared" si="228"/>
        <v>Input!D232</v>
      </c>
      <c r="N714" s="9">
        <f>_xlfn.XLOOKUP(F714,'Raw Data'!$I$4:$I$5000,'Raw Data'!$E$4:$E$5000,100,0)</f>
        <v>100</v>
      </c>
      <c r="O714" s="9" t="str">
        <f>IF(N714=0,_xlfn.XLOOKUP(F714,'Raw Data'!$I$4:$I$5000,'Raw Data'!$H$4:$H$5000,"",0),"")</f>
        <v/>
      </c>
      <c r="P714" s="9" t="str" cm="1">
        <f t="array" aca="1" ref="P714" ca="1">IF(INDIRECT(M714) = "","",INDIRECT(M714))</f>
        <v/>
      </c>
      <c r="Q714" s="359" t="s">
        <v>4381</v>
      </c>
    </row>
    <row r="715" spans="1:17" x14ac:dyDescent="0.35">
      <c r="A715" t="s">
        <v>1708</v>
      </c>
      <c r="E715" t="str">
        <f>_xlfn.XLOOKUP(F715,'Raw Data'!$I$4:$I$5000,'Raw Data'!$D$4:$D$5000,"*** Mnemonic not found ***",0)</f>
        <v>*** Mnemonic not found ***</v>
      </c>
      <c r="F715" t="str">
        <f t="shared" si="233"/>
        <v>SUCMRUR2FINERG3_LESS1__</v>
      </c>
      <c r="H715" s="9" t="s">
        <v>1137</v>
      </c>
      <c r="K715" s="9">
        <f t="shared" ref="K715:K723" si="235">K714</f>
        <v>232</v>
      </c>
      <c r="L715" s="9" t="str">
        <f t="shared" si="234"/>
        <v>E</v>
      </c>
      <c r="M715" s="9" t="str">
        <f t="shared" si="228"/>
        <v>Input!E232</v>
      </c>
      <c r="N715" s="9">
        <f>_xlfn.XLOOKUP(F715,'Raw Data'!$I$4:$I$5000,'Raw Data'!$E$4:$E$5000,100,0)</f>
        <v>100</v>
      </c>
      <c r="O715" s="9" t="str">
        <f>IF(N715=0,_xlfn.XLOOKUP(F715,'Raw Data'!$I$4:$I$5000,'Raw Data'!$H$4:$H$5000,"",0),"")</f>
        <v/>
      </c>
      <c r="P715" s="9" t="str" cm="1">
        <f t="array" aca="1" ref="P715" ca="1">IF(INDIRECT(M715) = "","",INDIRECT(M715))</f>
        <v/>
      </c>
      <c r="Q715" s="359" t="s">
        <v>4381</v>
      </c>
    </row>
    <row r="716" spans="1:17" x14ac:dyDescent="0.35">
      <c r="A716" t="s">
        <v>1713</v>
      </c>
      <c r="E716" t="str">
        <f>_xlfn.XLOOKUP(F716,'Raw Data'!$I$4:$I$5000,'Raw Data'!$D$4:$D$5000,"*** Mnemonic not found ***",0)</f>
        <v>*** Mnemonic not found ***</v>
      </c>
      <c r="F716" t="str">
        <f t="shared" si="233"/>
        <v>SUCMRUR2FINERG4_LESS1__</v>
      </c>
      <c r="H716" s="9" t="s">
        <v>1137</v>
      </c>
      <c r="K716" s="9">
        <f t="shared" si="235"/>
        <v>232</v>
      </c>
      <c r="L716" s="9" t="str">
        <f t="shared" si="234"/>
        <v>F</v>
      </c>
      <c r="M716" s="9" t="str">
        <f t="shared" si="228"/>
        <v>Input!F232</v>
      </c>
      <c r="N716" s="9">
        <f>_xlfn.XLOOKUP(F716,'Raw Data'!$I$4:$I$5000,'Raw Data'!$E$4:$E$5000,100,0)</f>
        <v>100</v>
      </c>
      <c r="O716" s="9" t="str">
        <f>IF(N716=0,_xlfn.XLOOKUP(F716,'Raw Data'!$I$4:$I$5000,'Raw Data'!$H$4:$H$5000,"",0),"")</f>
        <v/>
      </c>
      <c r="P716" s="9" t="str" cm="1">
        <f t="array" aca="1" ref="P716" ca="1">IF(INDIRECT(M716) = "","",INDIRECT(M716))</f>
        <v/>
      </c>
      <c r="Q716" s="359" t="s">
        <v>4381</v>
      </c>
    </row>
    <row r="717" spans="1:17" x14ac:dyDescent="0.35">
      <c r="A717" t="s">
        <v>1718</v>
      </c>
      <c r="E717" t="str">
        <f>_xlfn.XLOOKUP(F717,'Raw Data'!$I$4:$I$5000,'Raw Data'!$D$4:$D$5000,"*** Mnemonic not found ***",0)</f>
        <v>*** Mnemonic not found ***</v>
      </c>
      <c r="F717" t="str">
        <f t="shared" si="233"/>
        <v>SUCMRUR2FINERG5_LESS1__</v>
      </c>
      <c r="H717" s="9" t="s">
        <v>1137</v>
      </c>
      <c r="K717" s="9">
        <f t="shared" si="235"/>
        <v>232</v>
      </c>
      <c r="L717" s="9" t="str">
        <f t="shared" si="234"/>
        <v>G</v>
      </c>
      <c r="M717" s="9" t="str">
        <f t="shared" si="228"/>
        <v>Input!G232</v>
      </c>
      <c r="N717" s="9">
        <f>_xlfn.XLOOKUP(F717,'Raw Data'!$I$4:$I$5000,'Raw Data'!$E$4:$E$5000,100,0)</f>
        <v>100</v>
      </c>
      <c r="O717" s="9" t="str">
        <f>IF(N717=0,_xlfn.XLOOKUP(F717,'Raw Data'!$I$4:$I$5000,'Raw Data'!$H$4:$H$5000,"",0),"")</f>
        <v/>
      </c>
      <c r="P717" s="9" t="str" cm="1">
        <f t="array" aca="1" ref="P717" ca="1">IF(INDIRECT(M717) = "","",INDIRECT(M717))</f>
        <v/>
      </c>
      <c r="Q717" s="359" t="s">
        <v>4381</v>
      </c>
    </row>
    <row r="718" spans="1:17" x14ac:dyDescent="0.35">
      <c r="A718" t="s">
        <v>1723</v>
      </c>
      <c r="E718" t="str">
        <f>_xlfn.XLOOKUP(F718,'Raw Data'!$I$4:$I$5000,'Raw Data'!$D$4:$D$5000,"*** Mnemonic not found ***",0)</f>
        <v>*** Mnemonic not found ***</v>
      </c>
      <c r="F718" t="str">
        <f t="shared" si="233"/>
        <v>SUCMRUR2FINERG6_LESS1__</v>
      </c>
      <c r="H718" s="9" t="s">
        <v>1137</v>
      </c>
      <c r="K718" s="9">
        <f t="shared" si="235"/>
        <v>232</v>
      </c>
      <c r="L718" s="9" t="str">
        <f t="shared" si="234"/>
        <v>H</v>
      </c>
      <c r="M718" s="9" t="str">
        <f t="shared" si="228"/>
        <v>Input!H232</v>
      </c>
      <c r="N718" s="9">
        <f>_xlfn.XLOOKUP(F718,'Raw Data'!$I$4:$I$5000,'Raw Data'!$E$4:$E$5000,100,0)</f>
        <v>100</v>
      </c>
      <c r="O718" s="9" t="str">
        <f>IF(N718=0,_xlfn.XLOOKUP(F718,'Raw Data'!$I$4:$I$5000,'Raw Data'!$H$4:$H$5000,"",0),"")</f>
        <v/>
      </c>
      <c r="P718" s="9" t="str" cm="1">
        <f t="array" aca="1" ref="P718" ca="1">IF(INDIRECT(M718) = "","",INDIRECT(M718))</f>
        <v/>
      </c>
      <c r="Q718" s="359" t="s">
        <v>4381</v>
      </c>
    </row>
    <row r="719" spans="1:17" x14ac:dyDescent="0.35">
      <c r="A719" t="s">
        <v>1728</v>
      </c>
      <c r="E719" t="str">
        <f>_xlfn.XLOOKUP(F719,'Raw Data'!$I$4:$I$5000,'Raw Data'!$D$4:$D$5000,"*** Mnemonic not found ***",0)</f>
        <v>*** Mnemonic not found ***</v>
      </c>
      <c r="F719" t="str">
        <f t="shared" si="233"/>
        <v>SUCMRUR2FINERG7_LESS1__</v>
      </c>
      <c r="H719" s="9" t="s">
        <v>1137</v>
      </c>
      <c r="K719" s="9">
        <f t="shared" si="235"/>
        <v>232</v>
      </c>
      <c r="L719" s="9" t="str">
        <f t="shared" si="234"/>
        <v>I</v>
      </c>
      <c r="M719" s="9" t="str">
        <f t="shared" ref="M719:M782" si="236">CONCATENATE(H719,"!",L719,K719)</f>
        <v>Input!I232</v>
      </c>
      <c r="N719" s="9">
        <f>_xlfn.XLOOKUP(F719,'Raw Data'!$I$4:$I$5000,'Raw Data'!$E$4:$E$5000,100,0)</f>
        <v>100</v>
      </c>
      <c r="O719" s="9" t="str">
        <f>IF(N719=0,_xlfn.XLOOKUP(F719,'Raw Data'!$I$4:$I$5000,'Raw Data'!$H$4:$H$5000,"",0),"")</f>
        <v/>
      </c>
      <c r="P719" s="9" t="str" cm="1">
        <f t="array" aca="1" ref="P719" ca="1">IF(INDIRECT(M719) = "","",INDIRECT(M719))</f>
        <v/>
      </c>
      <c r="Q719" s="359" t="s">
        <v>4381</v>
      </c>
    </row>
    <row r="720" spans="1:17" x14ac:dyDescent="0.35">
      <c r="A720" t="s">
        <v>1733</v>
      </c>
      <c r="E720" t="str">
        <f>_xlfn.XLOOKUP(F720,'Raw Data'!$I$4:$I$5000,'Raw Data'!$D$4:$D$5000,"*** Mnemonic not found ***",0)</f>
        <v>*** Mnemonic not found ***</v>
      </c>
      <c r="F720" t="str">
        <f t="shared" si="233"/>
        <v>SUCMRUR2FINERG8_LESS1__</v>
      </c>
      <c r="H720" s="9" t="s">
        <v>1137</v>
      </c>
      <c r="K720" s="9">
        <f t="shared" si="235"/>
        <v>232</v>
      </c>
      <c r="L720" s="9" t="str">
        <f t="shared" si="234"/>
        <v>J</v>
      </c>
      <c r="M720" s="9" t="str">
        <f t="shared" si="236"/>
        <v>Input!J232</v>
      </c>
      <c r="N720" s="9">
        <f>_xlfn.XLOOKUP(F720,'Raw Data'!$I$4:$I$5000,'Raw Data'!$E$4:$E$5000,100,0)</f>
        <v>100</v>
      </c>
      <c r="O720" s="9" t="str">
        <f>IF(N720=0,_xlfn.XLOOKUP(F720,'Raw Data'!$I$4:$I$5000,'Raw Data'!$H$4:$H$5000,"",0),"")</f>
        <v/>
      </c>
      <c r="P720" s="9" t="str" cm="1">
        <f t="array" aca="1" ref="P720" ca="1">IF(INDIRECT(M720) = "","",INDIRECT(M720))</f>
        <v/>
      </c>
      <c r="Q720" s="359" t="s">
        <v>4381</v>
      </c>
    </row>
    <row r="721" spans="1:17" x14ac:dyDescent="0.35">
      <c r="A721" t="s">
        <v>1738</v>
      </c>
      <c r="E721" t="str">
        <f>_xlfn.XLOOKUP(F721,'Raw Data'!$I$4:$I$5000,'Raw Data'!$D$4:$D$5000,"*** Mnemonic not found ***",0)</f>
        <v>*** Mnemonic not found ***</v>
      </c>
      <c r="F721" t="str">
        <f t="shared" si="233"/>
        <v>SUCMRUR2FINERG9_LESS1__</v>
      </c>
      <c r="H721" s="9" t="s">
        <v>1137</v>
      </c>
      <c r="K721" s="9">
        <f t="shared" si="235"/>
        <v>232</v>
      </c>
      <c r="L721" s="9" t="str">
        <f t="shared" si="234"/>
        <v>K</v>
      </c>
      <c r="M721" s="9" t="str">
        <f t="shared" si="236"/>
        <v>Input!K232</v>
      </c>
      <c r="N721" s="9">
        <f>_xlfn.XLOOKUP(F721,'Raw Data'!$I$4:$I$5000,'Raw Data'!$E$4:$E$5000,100,0)</f>
        <v>100</v>
      </c>
      <c r="O721" s="9" t="str">
        <f>IF(N721=0,_xlfn.XLOOKUP(F721,'Raw Data'!$I$4:$I$5000,'Raw Data'!$H$4:$H$5000,"",0),"")</f>
        <v/>
      </c>
      <c r="P721" s="9" t="str" cm="1">
        <f t="array" aca="1" ref="P721" ca="1">IF(INDIRECT(M721) = "","",INDIRECT(M721))</f>
        <v/>
      </c>
      <c r="Q721" s="359" t="s">
        <v>4381</v>
      </c>
    </row>
    <row r="722" spans="1:17" x14ac:dyDescent="0.35">
      <c r="A722" t="s">
        <v>1743</v>
      </c>
      <c r="E722" t="str">
        <f>_xlfn.XLOOKUP(F722,'Raw Data'!$I$4:$I$5000,'Raw Data'!$D$4:$D$5000,"*** Mnemonic not found ***",0)</f>
        <v>*** Mnemonic not found ***</v>
      </c>
      <c r="F722" t="str">
        <f t="shared" si="233"/>
        <v>SUCMRUR2FINERG10_LESS1__</v>
      </c>
      <c r="H722" s="9" t="s">
        <v>1137</v>
      </c>
      <c r="K722" s="9">
        <f t="shared" si="235"/>
        <v>232</v>
      </c>
      <c r="L722" s="9" t="str">
        <f t="shared" si="234"/>
        <v>L</v>
      </c>
      <c r="M722" s="9" t="str">
        <f t="shared" si="236"/>
        <v>Input!L232</v>
      </c>
      <c r="N722" s="9">
        <f>_xlfn.XLOOKUP(F722,'Raw Data'!$I$4:$I$5000,'Raw Data'!$E$4:$E$5000,100,0)</f>
        <v>100</v>
      </c>
      <c r="O722" s="9" t="str">
        <f>IF(N722=0,_xlfn.XLOOKUP(F722,'Raw Data'!$I$4:$I$5000,'Raw Data'!$H$4:$H$5000,"",0),"")</f>
        <v/>
      </c>
      <c r="P722" s="9" t="str" cm="1">
        <f t="array" aca="1" ref="P722" ca="1">IF(INDIRECT(M722) = "","",INDIRECT(M722))</f>
        <v/>
      </c>
      <c r="Q722" s="359" t="s">
        <v>4381</v>
      </c>
    </row>
    <row r="723" spans="1:17" x14ac:dyDescent="0.35">
      <c r="A723" t="s">
        <v>1748</v>
      </c>
      <c r="E723" t="str">
        <f>_xlfn.XLOOKUP(F723,'Raw Data'!$I$4:$I$5000,'Raw Data'!$D$4:$D$5000,"*** Mnemonic not found ***",0)</f>
        <v>*** Mnemonic not found ***</v>
      </c>
      <c r="F723" t="str">
        <f t="shared" si="233"/>
        <v>SUCMRUR2FINERGNA_LESS1__</v>
      </c>
      <c r="H723" s="9" t="s">
        <v>1137</v>
      </c>
      <c r="K723" s="9">
        <f t="shared" si="235"/>
        <v>232</v>
      </c>
      <c r="L723" s="9" t="str">
        <f t="shared" si="234"/>
        <v>M</v>
      </c>
      <c r="M723" s="9" t="str">
        <f t="shared" si="236"/>
        <v>Input!M232</v>
      </c>
      <c r="N723" s="9">
        <f>_xlfn.XLOOKUP(F723,'Raw Data'!$I$4:$I$5000,'Raw Data'!$E$4:$E$5000,100,0)</f>
        <v>100</v>
      </c>
      <c r="O723" s="9" t="str">
        <f>IF(N723=0,_xlfn.XLOOKUP(F723,'Raw Data'!$I$4:$I$5000,'Raw Data'!$H$4:$H$5000,"",0),"")</f>
        <v/>
      </c>
      <c r="P723" s="9" t="str" cm="1">
        <f t="array" aca="1" ref="P723" ca="1">IF(INDIRECT(M723) = "","",INDIRECT(M723))</f>
        <v/>
      </c>
      <c r="Q723" s="359" t="s">
        <v>4381</v>
      </c>
    </row>
    <row r="724" spans="1:17" x14ac:dyDescent="0.35">
      <c r="A724" t="s">
        <v>1699</v>
      </c>
      <c r="E724" t="str">
        <f>_xlfn.XLOOKUP(F724,'Raw Data'!$I$4:$I$5000,'Raw Data'!$D$4:$D$5000,"*** Mnemonic not found ***",0)</f>
        <v>*** Mnemonic not found ***</v>
      </c>
      <c r="F724" t="str">
        <f t="shared" si="233"/>
        <v>SUCMRUR2FINERG1_1TO5__</v>
      </c>
      <c r="H724" s="9" t="s">
        <v>1137</v>
      </c>
      <c r="K724" s="9">
        <f>K713+1</f>
        <v>233</v>
      </c>
      <c r="L724" s="9" t="str">
        <f>L713</f>
        <v>C</v>
      </c>
      <c r="M724" s="9" t="str">
        <f t="shared" si="236"/>
        <v>Input!C233</v>
      </c>
      <c r="N724" s="9">
        <f>_xlfn.XLOOKUP(F724,'Raw Data'!$I$4:$I$5000,'Raw Data'!$E$4:$E$5000,100,0)</f>
        <v>100</v>
      </c>
      <c r="O724" s="9" t="str">
        <f>IF(N724=0,_xlfn.XLOOKUP(F724,'Raw Data'!$I$4:$I$5000,'Raw Data'!$H$4:$H$5000,"",0),"")</f>
        <v/>
      </c>
      <c r="P724" s="9" t="str" cm="1">
        <f t="array" aca="1" ref="P724" ca="1">IF(INDIRECT(M724) = "","",INDIRECT(M724))</f>
        <v/>
      </c>
      <c r="Q724" s="359" t="s">
        <v>4381</v>
      </c>
    </row>
    <row r="725" spans="1:17" x14ac:dyDescent="0.35">
      <c r="A725" t="s">
        <v>1704</v>
      </c>
      <c r="E725" t="str">
        <f>_xlfn.XLOOKUP(F725,'Raw Data'!$I$4:$I$5000,'Raw Data'!$D$4:$D$5000,"*** Mnemonic not found ***",0)</f>
        <v>*** Mnemonic not found ***</v>
      </c>
      <c r="F725" t="str">
        <f t="shared" si="233"/>
        <v>SUCMRUR2FINERG2_1TO5__</v>
      </c>
      <c r="H725" s="9" t="s">
        <v>1137</v>
      </c>
      <c r="K725" s="9">
        <f t="shared" ref="K725:K767" si="237">K714+1</f>
        <v>233</v>
      </c>
      <c r="L725" s="9" t="str">
        <f t="shared" ref="L725:L767" si="238">L714</f>
        <v>D</v>
      </c>
      <c r="M725" s="9" t="str">
        <f t="shared" si="236"/>
        <v>Input!D233</v>
      </c>
      <c r="N725" s="9">
        <f>_xlfn.XLOOKUP(F725,'Raw Data'!$I$4:$I$5000,'Raw Data'!$E$4:$E$5000,100,0)</f>
        <v>100</v>
      </c>
      <c r="O725" s="9" t="str">
        <f>IF(N725=0,_xlfn.XLOOKUP(F725,'Raw Data'!$I$4:$I$5000,'Raw Data'!$H$4:$H$5000,"",0),"")</f>
        <v/>
      </c>
      <c r="P725" s="9" t="str" cm="1">
        <f t="array" aca="1" ref="P725" ca="1">IF(INDIRECT(M725) = "","",INDIRECT(M725))</f>
        <v/>
      </c>
      <c r="Q725" s="359" t="s">
        <v>4381</v>
      </c>
    </row>
    <row r="726" spans="1:17" x14ac:dyDescent="0.35">
      <c r="A726" t="s">
        <v>1709</v>
      </c>
      <c r="E726" t="str">
        <f>_xlfn.XLOOKUP(F726,'Raw Data'!$I$4:$I$5000,'Raw Data'!$D$4:$D$5000,"*** Mnemonic not found ***",0)</f>
        <v>*** Mnemonic not found ***</v>
      </c>
      <c r="F726" t="str">
        <f t="shared" si="233"/>
        <v>SUCMRUR2FINERG3_1TO5__</v>
      </c>
      <c r="H726" s="9" t="s">
        <v>1137</v>
      </c>
      <c r="K726" s="9">
        <f t="shared" si="237"/>
        <v>233</v>
      </c>
      <c r="L726" s="9" t="str">
        <f t="shared" si="238"/>
        <v>E</v>
      </c>
      <c r="M726" s="9" t="str">
        <f t="shared" si="236"/>
        <v>Input!E233</v>
      </c>
      <c r="N726" s="9">
        <f>_xlfn.XLOOKUP(F726,'Raw Data'!$I$4:$I$5000,'Raw Data'!$E$4:$E$5000,100,0)</f>
        <v>100</v>
      </c>
      <c r="O726" s="9" t="str">
        <f>IF(N726=0,_xlfn.XLOOKUP(F726,'Raw Data'!$I$4:$I$5000,'Raw Data'!$H$4:$H$5000,"",0),"")</f>
        <v/>
      </c>
      <c r="P726" s="9" t="str" cm="1">
        <f t="array" aca="1" ref="P726" ca="1">IF(INDIRECT(M726) = "","",INDIRECT(M726))</f>
        <v/>
      </c>
      <c r="Q726" s="359" t="s">
        <v>4381</v>
      </c>
    </row>
    <row r="727" spans="1:17" x14ac:dyDescent="0.35">
      <c r="A727" t="s">
        <v>1714</v>
      </c>
      <c r="E727" t="str">
        <f>_xlfn.XLOOKUP(F727,'Raw Data'!$I$4:$I$5000,'Raw Data'!$D$4:$D$5000,"*** Mnemonic not found ***",0)</f>
        <v>*** Mnemonic not found ***</v>
      </c>
      <c r="F727" t="str">
        <f t="shared" si="233"/>
        <v>SUCMRUR2FINERG4_1TO5__</v>
      </c>
      <c r="H727" s="9" t="s">
        <v>1137</v>
      </c>
      <c r="K727" s="9">
        <f t="shared" si="237"/>
        <v>233</v>
      </c>
      <c r="L727" s="9" t="str">
        <f t="shared" si="238"/>
        <v>F</v>
      </c>
      <c r="M727" s="9" t="str">
        <f t="shared" si="236"/>
        <v>Input!F233</v>
      </c>
      <c r="N727" s="9">
        <f>_xlfn.XLOOKUP(F727,'Raw Data'!$I$4:$I$5000,'Raw Data'!$E$4:$E$5000,100,0)</f>
        <v>100</v>
      </c>
      <c r="O727" s="9" t="str">
        <f>IF(N727=0,_xlfn.XLOOKUP(F727,'Raw Data'!$I$4:$I$5000,'Raw Data'!$H$4:$H$5000,"",0),"")</f>
        <v/>
      </c>
      <c r="P727" s="9" t="str" cm="1">
        <f t="array" aca="1" ref="P727" ca="1">IF(INDIRECT(M727) = "","",INDIRECT(M727))</f>
        <v/>
      </c>
      <c r="Q727" s="359" t="s">
        <v>4381</v>
      </c>
    </row>
    <row r="728" spans="1:17" x14ac:dyDescent="0.35">
      <c r="A728" t="s">
        <v>1719</v>
      </c>
      <c r="E728" t="str">
        <f>_xlfn.XLOOKUP(F728,'Raw Data'!$I$4:$I$5000,'Raw Data'!$D$4:$D$5000,"*** Mnemonic not found ***",0)</f>
        <v>*** Mnemonic not found ***</v>
      </c>
      <c r="F728" t="str">
        <f t="shared" si="233"/>
        <v>SUCMRUR2FINERG5_1TO5__</v>
      </c>
      <c r="H728" s="9" t="s">
        <v>1137</v>
      </c>
      <c r="K728" s="9">
        <f t="shared" si="237"/>
        <v>233</v>
      </c>
      <c r="L728" s="9" t="str">
        <f t="shared" si="238"/>
        <v>G</v>
      </c>
      <c r="M728" s="9" t="str">
        <f t="shared" si="236"/>
        <v>Input!G233</v>
      </c>
      <c r="N728" s="9">
        <f>_xlfn.XLOOKUP(F728,'Raw Data'!$I$4:$I$5000,'Raw Data'!$E$4:$E$5000,100,0)</f>
        <v>100</v>
      </c>
      <c r="O728" s="9" t="str">
        <f>IF(N728=0,_xlfn.XLOOKUP(F728,'Raw Data'!$I$4:$I$5000,'Raw Data'!$H$4:$H$5000,"",0),"")</f>
        <v/>
      </c>
      <c r="P728" s="9" t="str" cm="1">
        <f t="array" aca="1" ref="P728" ca="1">IF(INDIRECT(M728) = "","",INDIRECT(M728))</f>
        <v/>
      </c>
      <c r="Q728" s="359" t="s">
        <v>4381</v>
      </c>
    </row>
    <row r="729" spans="1:17" x14ac:dyDescent="0.35">
      <c r="A729" t="s">
        <v>1724</v>
      </c>
      <c r="E729" t="str">
        <f>_xlfn.XLOOKUP(F729,'Raw Data'!$I$4:$I$5000,'Raw Data'!$D$4:$D$5000,"*** Mnemonic not found ***",0)</f>
        <v>*** Mnemonic not found ***</v>
      </c>
      <c r="F729" t="str">
        <f t="shared" si="233"/>
        <v>SUCMRUR2FINERG6_1TO5__</v>
      </c>
      <c r="H729" s="9" t="s">
        <v>1137</v>
      </c>
      <c r="K729" s="9">
        <f t="shared" si="237"/>
        <v>233</v>
      </c>
      <c r="L729" s="9" t="str">
        <f t="shared" si="238"/>
        <v>H</v>
      </c>
      <c r="M729" s="9" t="str">
        <f t="shared" si="236"/>
        <v>Input!H233</v>
      </c>
      <c r="N729" s="9">
        <f>_xlfn.XLOOKUP(F729,'Raw Data'!$I$4:$I$5000,'Raw Data'!$E$4:$E$5000,100,0)</f>
        <v>100</v>
      </c>
      <c r="O729" s="9" t="str">
        <f>IF(N729=0,_xlfn.XLOOKUP(F729,'Raw Data'!$I$4:$I$5000,'Raw Data'!$H$4:$H$5000,"",0),"")</f>
        <v/>
      </c>
      <c r="P729" s="9" t="str" cm="1">
        <f t="array" aca="1" ref="P729" ca="1">IF(INDIRECT(M729) = "","",INDIRECT(M729))</f>
        <v/>
      </c>
      <c r="Q729" s="359" t="s">
        <v>4381</v>
      </c>
    </row>
    <row r="730" spans="1:17" x14ac:dyDescent="0.35">
      <c r="A730" t="s">
        <v>1729</v>
      </c>
      <c r="E730" t="str">
        <f>_xlfn.XLOOKUP(F730,'Raw Data'!$I$4:$I$5000,'Raw Data'!$D$4:$D$5000,"*** Mnemonic not found ***",0)</f>
        <v>*** Mnemonic not found ***</v>
      </c>
      <c r="F730" t="str">
        <f t="shared" si="233"/>
        <v>SUCMRUR2FINERG7_1TO5__</v>
      </c>
      <c r="H730" s="9" t="s">
        <v>1137</v>
      </c>
      <c r="K730" s="9">
        <f t="shared" si="237"/>
        <v>233</v>
      </c>
      <c r="L730" s="9" t="str">
        <f t="shared" si="238"/>
        <v>I</v>
      </c>
      <c r="M730" s="9" t="str">
        <f t="shared" si="236"/>
        <v>Input!I233</v>
      </c>
      <c r="N730" s="9">
        <f>_xlfn.XLOOKUP(F730,'Raw Data'!$I$4:$I$5000,'Raw Data'!$E$4:$E$5000,100,0)</f>
        <v>100</v>
      </c>
      <c r="O730" s="9" t="str">
        <f>IF(N730=0,_xlfn.XLOOKUP(F730,'Raw Data'!$I$4:$I$5000,'Raw Data'!$H$4:$H$5000,"",0),"")</f>
        <v/>
      </c>
      <c r="P730" s="9" t="str" cm="1">
        <f t="array" aca="1" ref="P730" ca="1">IF(INDIRECT(M730) = "","",INDIRECT(M730))</f>
        <v/>
      </c>
      <c r="Q730" s="359" t="s">
        <v>4381</v>
      </c>
    </row>
    <row r="731" spans="1:17" x14ac:dyDescent="0.35">
      <c r="A731" t="s">
        <v>1734</v>
      </c>
      <c r="E731" t="str">
        <f>_xlfn.XLOOKUP(F731,'Raw Data'!$I$4:$I$5000,'Raw Data'!$D$4:$D$5000,"*** Mnemonic not found ***",0)</f>
        <v>*** Mnemonic not found ***</v>
      </c>
      <c r="F731" t="str">
        <f t="shared" si="233"/>
        <v>SUCMRUR2FINERG8_1TO5__</v>
      </c>
      <c r="H731" s="9" t="s">
        <v>1137</v>
      </c>
      <c r="K731" s="9">
        <f t="shared" si="237"/>
        <v>233</v>
      </c>
      <c r="L731" s="9" t="str">
        <f t="shared" si="238"/>
        <v>J</v>
      </c>
      <c r="M731" s="9" t="str">
        <f t="shared" si="236"/>
        <v>Input!J233</v>
      </c>
      <c r="N731" s="9">
        <f>_xlfn.XLOOKUP(F731,'Raw Data'!$I$4:$I$5000,'Raw Data'!$E$4:$E$5000,100,0)</f>
        <v>100</v>
      </c>
      <c r="O731" s="9" t="str">
        <f>IF(N731=0,_xlfn.XLOOKUP(F731,'Raw Data'!$I$4:$I$5000,'Raw Data'!$H$4:$H$5000,"",0),"")</f>
        <v/>
      </c>
      <c r="P731" s="9" t="str" cm="1">
        <f t="array" aca="1" ref="P731" ca="1">IF(INDIRECT(M731) = "","",INDIRECT(M731))</f>
        <v/>
      </c>
      <c r="Q731" s="359" t="s">
        <v>4381</v>
      </c>
    </row>
    <row r="732" spans="1:17" x14ac:dyDescent="0.35">
      <c r="A732" t="s">
        <v>1739</v>
      </c>
      <c r="E732" t="str">
        <f>_xlfn.XLOOKUP(F732,'Raw Data'!$I$4:$I$5000,'Raw Data'!$D$4:$D$5000,"*** Mnemonic not found ***",0)</f>
        <v>*** Mnemonic not found ***</v>
      </c>
      <c r="F732" t="str">
        <f t="shared" si="233"/>
        <v>SUCMRUR2FINERG9_1TO5__</v>
      </c>
      <c r="H732" s="9" t="s">
        <v>1137</v>
      </c>
      <c r="K732" s="9">
        <f t="shared" si="237"/>
        <v>233</v>
      </c>
      <c r="L732" s="9" t="str">
        <f t="shared" si="238"/>
        <v>K</v>
      </c>
      <c r="M732" s="9" t="str">
        <f t="shared" si="236"/>
        <v>Input!K233</v>
      </c>
      <c r="N732" s="9">
        <f>_xlfn.XLOOKUP(F732,'Raw Data'!$I$4:$I$5000,'Raw Data'!$E$4:$E$5000,100,0)</f>
        <v>100</v>
      </c>
      <c r="O732" s="9" t="str">
        <f>IF(N732=0,_xlfn.XLOOKUP(F732,'Raw Data'!$I$4:$I$5000,'Raw Data'!$H$4:$H$5000,"",0),"")</f>
        <v/>
      </c>
      <c r="P732" s="9" t="str" cm="1">
        <f t="array" aca="1" ref="P732" ca="1">IF(INDIRECT(M732) = "","",INDIRECT(M732))</f>
        <v/>
      </c>
      <c r="Q732" s="359" t="s">
        <v>4381</v>
      </c>
    </row>
    <row r="733" spans="1:17" x14ac:dyDescent="0.35">
      <c r="A733" t="s">
        <v>1744</v>
      </c>
      <c r="E733" t="str">
        <f>_xlfn.XLOOKUP(F733,'Raw Data'!$I$4:$I$5000,'Raw Data'!$D$4:$D$5000,"*** Mnemonic not found ***",0)</f>
        <v>*** Mnemonic not found ***</v>
      </c>
      <c r="F733" t="str">
        <f t="shared" si="233"/>
        <v>SUCMRUR2FINERG10_1TO5__</v>
      </c>
      <c r="H733" s="9" t="s">
        <v>1137</v>
      </c>
      <c r="K733" s="9">
        <f t="shared" si="237"/>
        <v>233</v>
      </c>
      <c r="L733" s="9" t="str">
        <f t="shared" si="238"/>
        <v>L</v>
      </c>
      <c r="M733" s="9" t="str">
        <f t="shared" si="236"/>
        <v>Input!L233</v>
      </c>
      <c r="N733" s="9">
        <f>_xlfn.XLOOKUP(F733,'Raw Data'!$I$4:$I$5000,'Raw Data'!$E$4:$E$5000,100,0)</f>
        <v>100</v>
      </c>
      <c r="O733" s="9" t="str">
        <f>IF(N733=0,_xlfn.XLOOKUP(F733,'Raw Data'!$I$4:$I$5000,'Raw Data'!$H$4:$H$5000,"",0),"")</f>
        <v/>
      </c>
      <c r="P733" s="9" t="str" cm="1">
        <f t="array" aca="1" ref="P733" ca="1">IF(INDIRECT(M733) = "","",INDIRECT(M733))</f>
        <v/>
      </c>
      <c r="Q733" s="359" t="s">
        <v>4381</v>
      </c>
    </row>
    <row r="734" spans="1:17" x14ac:dyDescent="0.35">
      <c r="A734" t="s">
        <v>1749</v>
      </c>
      <c r="E734" t="str">
        <f>_xlfn.XLOOKUP(F734,'Raw Data'!$I$4:$I$5000,'Raw Data'!$D$4:$D$5000,"*** Mnemonic not found ***",0)</f>
        <v>*** Mnemonic not found ***</v>
      </c>
      <c r="F734" t="str">
        <f t="shared" si="233"/>
        <v>SUCMRUR2FINERGNA_1TO5__</v>
      </c>
      <c r="H734" s="9" t="s">
        <v>1137</v>
      </c>
      <c r="K734" s="9">
        <f t="shared" si="237"/>
        <v>233</v>
      </c>
      <c r="L734" s="9" t="str">
        <f t="shared" si="238"/>
        <v>M</v>
      </c>
      <c r="M734" s="9" t="str">
        <f t="shared" si="236"/>
        <v>Input!M233</v>
      </c>
      <c r="N734" s="9">
        <f>_xlfn.XLOOKUP(F734,'Raw Data'!$I$4:$I$5000,'Raw Data'!$E$4:$E$5000,100,0)</f>
        <v>100</v>
      </c>
      <c r="O734" s="9" t="str">
        <f>IF(N734=0,_xlfn.XLOOKUP(F734,'Raw Data'!$I$4:$I$5000,'Raw Data'!$H$4:$H$5000,"",0),"")</f>
        <v/>
      </c>
      <c r="P734" s="9" t="str" cm="1">
        <f t="array" aca="1" ref="P734" ca="1">IF(INDIRECT(M734) = "","",INDIRECT(M734))</f>
        <v/>
      </c>
      <c r="Q734" s="359" t="s">
        <v>4381</v>
      </c>
    </row>
    <row r="735" spans="1:17" x14ac:dyDescent="0.35">
      <c r="A735" t="s">
        <v>1700</v>
      </c>
      <c r="E735" t="str">
        <f>_xlfn.XLOOKUP(F735,'Raw Data'!$I$4:$I$5000,'Raw Data'!$D$4:$D$5000,"*** Mnemonic not found ***",0)</f>
        <v>*** Mnemonic not found ***</v>
      </c>
      <c r="F735" t="str">
        <f t="shared" si="233"/>
        <v>SUCMRUR2FINERG1_5TO10__</v>
      </c>
      <c r="H735" s="9" t="s">
        <v>1137</v>
      </c>
      <c r="K735" s="9">
        <f t="shared" si="237"/>
        <v>234</v>
      </c>
      <c r="L735" s="9" t="str">
        <f t="shared" si="238"/>
        <v>C</v>
      </c>
      <c r="M735" s="9" t="str">
        <f t="shared" si="236"/>
        <v>Input!C234</v>
      </c>
      <c r="N735" s="9">
        <f>_xlfn.XLOOKUP(F735,'Raw Data'!$I$4:$I$5000,'Raw Data'!$E$4:$E$5000,100,0)</f>
        <v>100</v>
      </c>
      <c r="O735" s="9" t="str">
        <f>IF(N735=0,_xlfn.XLOOKUP(F735,'Raw Data'!$I$4:$I$5000,'Raw Data'!$H$4:$H$5000,"",0),"")</f>
        <v/>
      </c>
      <c r="P735" s="9" t="str" cm="1">
        <f t="array" aca="1" ref="P735" ca="1">IF(INDIRECT(M735) = "","",INDIRECT(M735))</f>
        <v/>
      </c>
      <c r="Q735" s="359" t="s">
        <v>4381</v>
      </c>
    </row>
    <row r="736" spans="1:17" x14ac:dyDescent="0.35">
      <c r="A736" t="s">
        <v>1705</v>
      </c>
      <c r="E736" t="str">
        <f>_xlfn.XLOOKUP(F736,'Raw Data'!$I$4:$I$5000,'Raw Data'!$D$4:$D$5000,"*** Mnemonic not found ***",0)</f>
        <v>*** Mnemonic not found ***</v>
      </c>
      <c r="F736" t="str">
        <f t="shared" si="233"/>
        <v>SUCMRUR2FINERG2_5TO10__</v>
      </c>
      <c r="H736" s="9" t="s">
        <v>1137</v>
      </c>
      <c r="K736" s="9">
        <f t="shared" si="237"/>
        <v>234</v>
      </c>
      <c r="L736" s="9" t="str">
        <f t="shared" si="238"/>
        <v>D</v>
      </c>
      <c r="M736" s="9" t="str">
        <f t="shared" si="236"/>
        <v>Input!D234</v>
      </c>
      <c r="N736" s="9">
        <f>_xlfn.XLOOKUP(F736,'Raw Data'!$I$4:$I$5000,'Raw Data'!$E$4:$E$5000,100,0)</f>
        <v>100</v>
      </c>
      <c r="O736" s="9" t="str">
        <f>IF(N736=0,_xlfn.XLOOKUP(F736,'Raw Data'!$I$4:$I$5000,'Raw Data'!$H$4:$H$5000,"",0),"")</f>
        <v/>
      </c>
      <c r="P736" s="9" t="str" cm="1">
        <f t="array" aca="1" ref="P736" ca="1">IF(INDIRECT(M736) = "","",INDIRECT(M736))</f>
        <v/>
      </c>
      <c r="Q736" s="359" t="s">
        <v>4381</v>
      </c>
    </row>
    <row r="737" spans="1:17" x14ac:dyDescent="0.35">
      <c r="A737" t="s">
        <v>1710</v>
      </c>
      <c r="E737" t="str">
        <f>_xlfn.XLOOKUP(F737,'Raw Data'!$I$4:$I$5000,'Raw Data'!$D$4:$D$5000,"*** Mnemonic not found ***",0)</f>
        <v>*** Mnemonic not found ***</v>
      </c>
      <c r="F737" t="str">
        <f t="shared" si="233"/>
        <v>SUCMRUR2FINERG3_5TO10__</v>
      </c>
      <c r="H737" s="9" t="s">
        <v>1137</v>
      </c>
      <c r="K737" s="9">
        <f t="shared" si="237"/>
        <v>234</v>
      </c>
      <c r="L737" s="9" t="str">
        <f t="shared" si="238"/>
        <v>E</v>
      </c>
      <c r="M737" s="9" t="str">
        <f t="shared" si="236"/>
        <v>Input!E234</v>
      </c>
      <c r="N737" s="9">
        <f>_xlfn.XLOOKUP(F737,'Raw Data'!$I$4:$I$5000,'Raw Data'!$E$4:$E$5000,100,0)</f>
        <v>100</v>
      </c>
      <c r="O737" s="9" t="str">
        <f>IF(N737=0,_xlfn.XLOOKUP(F737,'Raw Data'!$I$4:$I$5000,'Raw Data'!$H$4:$H$5000,"",0),"")</f>
        <v/>
      </c>
      <c r="P737" s="9" t="str" cm="1">
        <f t="array" aca="1" ref="P737" ca="1">IF(INDIRECT(M737) = "","",INDIRECT(M737))</f>
        <v/>
      </c>
      <c r="Q737" s="359" t="s">
        <v>4381</v>
      </c>
    </row>
    <row r="738" spans="1:17" x14ac:dyDescent="0.35">
      <c r="A738" t="s">
        <v>1715</v>
      </c>
      <c r="E738" t="str">
        <f>_xlfn.XLOOKUP(F738,'Raw Data'!$I$4:$I$5000,'Raw Data'!$D$4:$D$5000,"*** Mnemonic not found ***",0)</f>
        <v>*** Mnemonic not found ***</v>
      </c>
      <c r="F738" t="str">
        <f t="shared" si="233"/>
        <v>SUCMRUR2FINERG4_5TO10__</v>
      </c>
      <c r="H738" s="9" t="s">
        <v>1137</v>
      </c>
      <c r="K738" s="9">
        <f t="shared" si="237"/>
        <v>234</v>
      </c>
      <c r="L738" s="9" t="str">
        <f t="shared" si="238"/>
        <v>F</v>
      </c>
      <c r="M738" s="9" t="str">
        <f t="shared" si="236"/>
        <v>Input!F234</v>
      </c>
      <c r="N738" s="9">
        <f>_xlfn.XLOOKUP(F738,'Raw Data'!$I$4:$I$5000,'Raw Data'!$E$4:$E$5000,100,0)</f>
        <v>100</v>
      </c>
      <c r="O738" s="9" t="str">
        <f>IF(N738=0,_xlfn.XLOOKUP(F738,'Raw Data'!$I$4:$I$5000,'Raw Data'!$H$4:$H$5000,"",0),"")</f>
        <v/>
      </c>
      <c r="P738" s="9" t="str" cm="1">
        <f t="array" aca="1" ref="P738" ca="1">IF(INDIRECT(M738) = "","",INDIRECT(M738))</f>
        <v/>
      </c>
      <c r="Q738" s="359" t="s">
        <v>4381</v>
      </c>
    </row>
    <row r="739" spans="1:17" x14ac:dyDescent="0.35">
      <c r="A739" t="s">
        <v>1720</v>
      </c>
      <c r="E739" t="str">
        <f>_xlfn.XLOOKUP(F739,'Raw Data'!$I$4:$I$5000,'Raw Data'!$D$4:$D$5000,"*** Mnemonic not found ***",0)</f>
        <v>*** Mnemonic not found ***</v>
      </c>
      <c r="F739" t="str">
        <f t="shared" si="233"/>
        <v>SUCMRUR2FINERG5_5TO10__</v>
      </c>
      <c r="H739" s="9" t="s">
        <v>1137</v>
      </c>
      <c r="K739" s="9">
        <f t="shared" si="237"/>
        <v>234</v>
      </c>
      <c r="L739" s="9" t="str">
        <f t="shared" si="238"/>
        <v>G</v>
      </c>
      <c r="M739" s="9" t="str">
        <f t="shared" si="236"/>
        <v>Input!G234</v>
      </c>
      <c r="N739" s="9">
        <f>_xlfn.XLOOKUP(F739,'Raw Data'!$I$4:$I$5000,'Raw Data'!$E$4:$E$5000,100,0)</f>
        <v>100</v>
      </c>
      <c r="O739" s="9" t="str">
        <f>IF(N739=0,_xlfn.XLOOKUP(F739,'Raw Data'!$I$4:$I$5000,'Raw Data'!$H$4:$H$5000,"",0),"")</f>
        <v/>
      </c>
      <c r="P739" s="9" t="str" cm="1">
        <f t="array" aca="1" ref="P739" ca="1">IF(INDIRECT(M739) = "","",INDIRECT(M739))</f>
        <v/>
      </c>
      <c r="Q739" s="359" t="s">
        <v>4381</v>
      </c>
    </row>
    <row r="740" spans="1:17" x14ac:dyDescent="0.35">
      <c r="A740" t="s">
        <v>1725</v>
      </c>
      <c r="E740" t="str">
        <f>_xlfn.XLOOKUP(F740,'Raw Data'!$I$4:$I$5000,'Raw Data'!$D$4:$D$5000,"*** Mnemonic not found ***",0)</f>
        <v>*** Mnemonic not found ***</v>
      </c>
      <c r="F740" t="str">
        <f t="shared" si="233"/>
        <v>SUCMRUR2FINERG6_5TO10__</v>
      </c>
      <c r="H740" s="9" t="s">
        <v>1137</v>
      </c>
      <c r="K740" s="9">
        <f t="shared" si="237"/>
        <v>234</v>
      </c>
      <c r="L740" s="9" t="str">
        <f t="shared" si="238"/>
        <v>H</v>
      </c>
      <c r="M740" s="9" t="str">
        <f t="shared" si="236"/>
        <v>Input!H234</v>
      </c>
      <c r="N740" s="9">
        <f>_xlfn.XLOOKUP(F740,'Raw Data'!$I$4:$I$5000,'Raw Data'!$E$4:$E$5000,100,0)</f>
        <v>100</v>
      </c>
      <c r="O740" s="9" t="str">
        <f>IF(N740=0,_xlfn.XLOOKUP(F740,'Raw Data'!$I$4:$I$5000,'Raw Data'!$H$4:$H$5000,"",0),"")</f>
        <v/>
      </c>
      <c r="P740" s="9" t="str" cm="1">
        <f t="array" aca="1" ref="P740" ca="1">IF(INDIRECT(M740) = "","",INDIRECT(M740))</f>
        <v/>
      </c>
      <c r="Q740" s="359" t="s">
        <v>4381</v>
      </c>
    </row>
    <row r="741" spans="1:17" x14ac:dyDescent="0.35">
      <c r="A741" t="s">
        <v>1730</v>
      </c>
      <c r="E741" t="str">
        <f>_xlfn.XLOOKUP(F741,'Raw Data'!$I$4:$I$5000,'Raw Data'!$D$4:$D$5000,"*** Mnemonic not found ***",0)</f>
        <v>*** Mnemonic not found ***</v>
      </c>
      <c r="F741" t="str">
        <f t="shared" si="233"/>
        <v>SUCMRUR2FINERG7_5TO10__</v>
      </c>
      <c r="H741" s="9" t="s">
        <v>1137</v>
      </c>
      <c r="K741" s="9">
        <f t="shared" si="237"/>
        <v>234</v>
      </c>
      <c r="L741" s="9" t="str">
        <f t="shared" si="238"/>
        <v>I</v>
      </c>
      <c r="M741" s="9" t="str">
        <f t="shared" si="236"/>
        <v>Input!I234</v>
      </c>
      <c r="N741" s="9">
        <f>_xlfn.XLOOKUP(F741,'Raw Data'!$I$4:$I$5000,'Raw Data'!$E$4:$E$5000,100,0)</f>
        <v>100</v>
      </c>
      <c r="O741" s="9" t="str">
        <f>IF(N741=0,_xlfn.XLOOKUP(F741,'Raw Data'!$I$4:$I$5000,'Raw Data'!$H$4:$H$5000,"",0),"")</f>
        <v/>
      </c>
      <c r="P741" s="9" t="str" cm="1">
        <f t="array" aca="1" ref="P741" ca="1">IF(INDIRECT(M741) = "","",INDIRECT(M741))</f>
        <v/>
      </c>
      <c r="Q741" s="359" t="s">
        <v>4381</v>
      </c>
    </row>
    <row r="742" spans="1:17" x14ac:dyDescent="0.35">
      <c r="A742" t="s">
        <v>1735</v>
      </c>
      <c r="E742" t="str">
        <f>_xlfn.XLOOKUP(F742,'Raw Data'!$I$4:$I$5000,'Raw Data'!$D$4:$D$5000,"*** Mnemonic not found ***",0)</f>
        <v>*** Mnemonic not found ***</v>
      </c>
      <c r="F742" t="str">
        <f t="shared" si="233"/>
        <v>SUCMRUR2FINERG8_5TO10__</v>
      </c>
      <c r="H742" s="9" t="s">
        <v>1137</v>
      </c>
      <c r="K742" s="9">
        <f t="shared" si="237"/>
        <v>234</v>
      </c>
      <c r="L742" s="9" t="str">
        <f t="shared" si="238"/>
        <v>J</v>
      </c>
      <c r="M742" s="9" t="str">
        <f t="shared" si="236"/>
        <v>Input!J234</v>
      </c>
      <c r="N742" s="9">
        <f>_xlfn.XLOOKUP(F742,'Raw Data'!$I$4:$I$5000,'Raw Data'!$E$4:$E$5000,100,0)</f>
        <v>100</v>
      </c>
      <c r="O742" s="9" t="str">
        <f>IF(N742=0,_xlfn.XLOOKUP(F742,'Raw Data'!$I$4:$I$5000,'Raw Data'!$H$4:$H$5000,"",0),"")</f>
        <v/>
      </c>
      <c r="P742" s="9" t="str" cm="1">
        <f t="array" aca="1" ref="P742" ca="1">IF(INDIRECT(M742) = "","",INDIRECT(M742))</f>
        <v/>
      </c>
      <c r="Q742" s="359" t="s">
        <v>4381</v>
      </c>
    </row>
    <row r="743" spans="1:17" x14ac:dyDescent="0.35">
      <c r="A743" t="s">
        <v>1740</v>
      </c>
      <c r="E743" t="str">
        <f>_xlfn.XLOOKUP(F743,'Raw Data'!$I$4:$I$5000,'Raw Data'!$D$4:$D$5000,"*** Mnemonic not found ***",0)</f>
        <v>*** Mnemonic not found ***</v>
      </c>
      <c r="F743" t="str">
        <f t="shared" si="233"/>
        <v>SUCMRUR2FINERG9_5TO10__</v>
      </c>
      <c r="H743" s="9" t="s">
        <v>1137</v>
      </c>
      <c r="K743" s="9">
        <f t="shared" si="237"/>
        <v>234</v>
      </c>
      <c r="L743" s="9" t="str">
        <f t="shared" si="238"/>
        <v>K</v>
      </c>
      <c r="M743" s="9" t="str">
        <f t="shared" si="236"/>
        <v>Input!K234</v>
      </c>
      <c r="N743" s="9">
        <f>_xlfn.XLOOKUP(F743,'Raw Data'!$I$4:$I$5000,'Raw Data'!$E$4:$E$5000,100,0)</f>
        <v>100</v>
      </c>
      <c r="O743" s="9" t="str">
        <f>IF(N743=0,_xlfn.XLOOKUP(F743,'Raw Data'!$I$4:$I$5000,'Raw Data'!$H$4:$H$5000,"",0),"")</f>
        <v/>
      </c>
      <c r="P743" s="9" t="str" cm="1">
        <f t="array" aca="1" ref="P743" ca="1">IF(INDIRECT(M743) = "","",INDIRECT(M743))</f>
        <v/>
      </c>
      <c r="Q743" s="359" t="s">
        <v>4381</v>
      </c>
    </row>
    <row r="744" spans="1:17" x14ac:dyDescent="0.35">
      <c r="A744" t="s">
        <v>1745</v>
      </c>
      <c r="E744" t="str">
        <f>_xlfn.XLOOKUP(F744,'Raw Data'!$I$4:$I$5000,'Raw Data'!$D$4:$D$5000,"*** Mnemonic not found ***",0)</f>
        <v>*** Mnemonic not found ***</v>
      </c>
      <c r="F744" t="str">
        <f t="shared" si="233"/>
        <v>SUCMRUR2FINERG10_5TO10__</v>
      </c>
      <c r="H744" s="9" t="s">
        <v>1137</v>
      </c>
      <c r="K744" s="9">
        <f t="shared" si="237"/>
        <v>234</v>
      </c>
      <c r="L744" s="9" t="str">
        <f t="shared" si="238"/>
        <v>L</v>
      </c>
      <c r="M744" s="9" t="str">
        <f t="shared" si="236"/>
        <v>Input!L234</v>
      </c>
      <c r="N744" s="9">
        <f>_xlfn.XLOOKUP(F744,'Raw Data'!$I$4:$I$5000,'Raw Data'!$E$4:$E$5000,100,0)</f>
        <v>100</v>
      </c>
      <c r="O744" s="9" t="str">
        <f>IF(N744=0,_xlfn.XLOOKUP(F744,'Raw Data'!$I$4:$I$5000,'Raw Data'!$H$4:$H$5000,"",0),"")</f>
        <v/>
      </c>
      <c r="P744" s="9" t="str" cm="1">
        <f t="array" aca="1" ref="P744" ca="1">IF(INDIRECT(M744) = "","",INDIRECT(M744))</f>
        <v/>
      </c>
      <c r="Q744" s="359" t="s">
        <v>4381</v>
      </c>
    </row>
    <row r="745" spans="1:17" x14ac:dyDescent="0.35">
      <c r="A745" t="s">
        <v>1750</v>
      </c>
      <c r="E745" t="str">
        <f>_xlfn.XLOOKUP(F745,'Raw Data'!$I$4:$I$5000,'Raw Data'!$D$4:$D$5000,"*** Mnemonic not found ***",0)</f>
        <v>*** Mnemonic not found ***</v>
      </c>
      <c r="F745" t="str">
        <f t="shared" si="233"/>
        <v>SUCMRUR2FINERGNA_5TO10__</v>
      </c>
      <c r="H745" s="9" t="s">
        <v>1137</v>
      </c>
      <c r="K745" s="9">
        <f t="shared" si="237"/>
        <v>234</v>
      </c>
      <c r="L745" s="9" t="str">
        <f t="shared" si="238"/>
        <v>M</v>
      </c>
      <c r="M745" s="9" t="str">
        <f t="shared" si="236"/>
        <v>Input!M234</v>
      </c>
      <c r="N745" s="9">
        <f>_xlfn.XLOOKUP(F745,'Raw Data'!$I$4:$I$5000,'Raw Data'!$E$4:$E$5000,100,0)</f>
        <v>100</v>
      </c>
      <c r="O745" s="9" t="str">
        <f>IF(N745=0,_xlfn.XLOOKUP(F745,'Raw Data'!$I$4:$I$5000,'Raw Data'!$H$4:$H$5000,"",0),"")</f>
        <v/>
      </c>
      <c r="P745" s="9" t="str" cm="1">
        <f t="array" aca="1" ref="P745" ca="1">IF(INDIRECT(M745) = "","",INDIRECT(M745))</f>
        <v/>
      </c>
      <c r="Q745" s="359" t="s">
        <v>4381</v>
      </c>
    </row>
    <row r="746" spans="1:17" x14ac:dyDescent="0.35">
      <c r="A746" t="s">
        <v>1701</v>
      </c>
      <c r="E746" t="str">
        <f>_xlfn.XLOOKUP(F746,'Raw Data'!$I$4:$I$5000,'Raw Data'!$D$4:$D$5000,"*** Mnemonic not found ***",0)</f>
        <v>*** Mnemonic not found ***</v>
      </c>
      <c r="F746" t="str">
        <f t="shared" si="233"/>
        <v>SUCMRUR2FINERG1_10TO20__</v>
      </c>
      <c r="H746" s="9" t="s">
        <v>1137</v>
      </c>
      <c r="K746" s="9">
        <f t="shared" si="237"/>
        <v>235</v>
      </c>
      <c r="L746" s="9" t="str">
        <f t="shared" si="238"/>
        <v>C</v>
      </c>
      <c r="M746" s="9" t="str">
        <f t="shared" si="236"/>
        <v>Input!C235</v>
      </c>
      <c r="N746" s="9">
        <f>_xlfn.XLOOKUP(F746,'Raw Data'!$I$4:$I$5000,'Raw Data'!$E$4:$E$5000,100,0)</f>
        <v>100</v>
      </c>
      <c r="O746" s="9" t="str">
        <f>IF(N746=0,_xlfn.XLOOKUP(F746,'Raw Data'!$I$4:$I$5000,'Raw Data'!$H$4:$H$5000,"",0),"")</f>
        <v/>
      </c>
      <c r="P746" s="9" t="str" cm="1">
        <f t="array" aca="1" ref="P746" ca="1">IF(INDIRECT(M746) = "","",INDIRECT(M746))</f>
        <v/>
      </c>
      <c r="Q746" s="359" t="s">
        <v>4381</v>
      </c>
    </row>
    <row r="747" spans="1:17" x14ac:dyDescent="0.35">
      <c r="A747" t="s">
        <v>1706</v>
      </c>
      <c r="E747" t="str">
        <f>_xlfn.XLOOKUP(F747,'Raw Data'!$I$4:$I$5000,'Raw Data'!$D$4:$D$5000,"*** Mnemonic not found ***",0)</f>
        <v>*** Mnemonic not found ***</v>
      </c>
      <c r="F747" t="str">
        <f t="shared" si="233"/>
        <v>SUCMRUR2FINERG2_10TO20__</v>
      </c>
      <c r="H747" s="9" t="s">
        <v>1137</v>
      </c>
      <c r="K747" s="9">
        <f t="shared" si="237"/>
        <v>235</v>
      </c>
      <c r="L747" s="9" t="str">
        <f t="shared" si="238"/>
        <v>D</v>
      </c>
      <c r="M747" s="9" t="str">
        <f t="shared" si="236"/>
        <v>Input!D235</v>
      </c>
      <c r="N747" s="9">
        <f>_xlfn.XLOOKUP(F747,'Raw Data'!$I$4:$I$5000,'Raw Data'!$E$4:$E$5000,100,0)</f>
        <v>100</v>
      </c>
      <c r="O747" s="9" t="str">
        <f>IF(N747=0,_xlfn.XLOOKUP(F747,'Raw Data'!$I$4:$I$5000,'Raw Data'!$H$4:$H$5000,"",0),"")</f>
        <v/>
      </c>
      <c r="P747" s="9" t="str" cm="1">
        <f t="array" aca="1" ref="P747" ca="1">IF(INDIRECT(M747) = "","",INDIRECT(M747))</f>
        <v/>
      </c>
      <c r="Q747" s="359" t="s">
        <v>4381</v>
      </c>
    </row>
    <row r="748" spans="1:17" x14ac:dyDescent="0.35">
      <c r="A748" t="s">
        <v>1711</v>
      </c>
      <c r="E748" t="str">
        <f>_xlfn.XLOOKUP(F748,'Raw Data'!$I$4:$I$5000,'Raw Data'!$D$4:$D$5000,"*** Mnemonic not found ***",0)</f>
        <v>*** Mnemonic not found ***</v>
      </c>
      <c r="F748" t="str">
        <f t="shared" si="233"/>
        <v>SUCMRUR2FINERG3_10TO20__</v>
      </c>
      <c r="H748" s="9" t="s">
        <v>1137</v>
      </c>
      <c r="K748" s="9">
        <f t="shared" si="237"/>
        <v>235</v>
      </c>
      <c r="L748" s="9" t="str">
        <f t="shared" si="238"/>
        <v>E</v>
      </c>
      <c r="M748" s="9" t="str">
        <f t="shared" si="236"/>
        <v>Input!E235</v>
      </c>
      <c r="N748" s="9">
        <f>_xlfn.XLOOKUP(F748,'Raw Data'!$I$4:$I$5000,'Raw Data'!$E$4:$E$5000,100,0)</f>
        <v>100</v>
      </c>
      <c r="O748" s="9" t="str">
        <f>IF(N748=0,_xlfn.XLOOKUP(F748,'Raw Data'!$I$4:$I$5000,'Raw Data'!$H$4:$H$5000,"",0),"")</f>
        <v/>
      </c>
      <c r="P748" s="9" t="str" cm="1">
        <f t="array" aca="1" ref="P748" ca="1">IF(INDIRECT(M748) = "","",INDIRECT(M748))</f>
        <v/>
      </c>
      <c r="Q748" s="359" t="s">
        <v>4381</v>
      </c>
    </row>
    <row r="749" spans="1:17" x14ac:dyDescent="0.35">
      <c r="A749" t="s">
        <v>1716</v>
      </c>
      <c r="E749" t="str">
        <f>_xlfn.XLOOKUP(F749,'Raw Data'!$I$4:$I$5000,'Raw Data'!$D$4:$D$5000,"*** Mnemonic not found ***",0)</f>
        <v>*** Mnemonic not found ***</v>
      </c>
      <c r="F749" t="str">
        <f t="shared" si="233"/>
        <v>SUCMRUR2FINERG4_10TO20__</v>
      </c>
      <c r="H749" s="9" t="s">
        <v>1137</v>
      </c>
      <c r="K749" s="9">
        <f t="shared" si="237"/>
        <v>235</v>
      </c>
      <c r="L749" s="9" t="str">
        <f t="shared" si="238"/>
        <v>F</v>
      </c>
      <c r="M749" s="9" t="str">
        <f t="shared" si="236"/>
        <v>Input!F235</v>
      </c>
      <c r="N749" s="9">
        <f>_xlfn.XLOOKUP(F749,'Raw Data'!$I$4:$I$5000,'Raw Data'!$E$4:$E$5000,100,0)</f>
        <v>100</v>
      </c>
      <c r="O749" s="9" t="str">
        <f>IF(N749=0,_xlfn.XLOOKUP(F749,'Raw Data'!$I$4:$I$5000,'Raw Data'!$H$4:$H$5000,"",0),"")</f>
        <v/>
      </c>
      <c r="P749" s="9" t="str" cm="1">
        <f t="array" aca="1" ref="P749" ca="1">IF(INDIRECT(M749) = "","",INDIRECT(M749))</f>
        <v/>
      </c>
      <c r="Q749" s="359" t="s">
        <v>4381</v>
      </c>
    </row>
    <row r="750" spans="1:17" x14ac:dyDescent="0.35">
      <c r="A750" t="s">
        <v>1721</v>
      </c>
      <c r="E750" t="str">
        <f>_xlfn.XLOOKUP(F750,'Raw Data'!$I$4:$I$5000,'Raw Data'!$D$4:$D$5000,"*** Mnemonic not found ***",0)</f>
        <v>*** Mnemonic not found ***</v>
      </c>
      <c r="F750" t="str">
        <f t="shared" si="233"/>
        <v>SUCMRUR2FINERG5_10TO20__</v>
      </c>
      <c r="H750" s="9" t="s">
        <v>1137</v>
      </c>
      <c r="K750" s="9">
        <f t="shared" si="237"/>
        <v>235</v>
      </c>
      <c r="L750" s="9" t="str">
        <f t="shared" si="238"/>
        <v>G</v>
      </c>
      <c r="M750" s="9" t="str">
        <f t="shared" si="236"/>
        <v>Input!G235</v>
      </c>
      <c r="N750" s="9">
        <f>_xlfn.XLOOKUP(F750,'Raw Data'!$I$4:$I$5000,'Raw Data'!$E$4:$E$5000,100,0)</f>
        <v>100</v>
      </c>
      <c r="O750" s="9" t="str">
        <f>IF(N750=0,_xlfn.XLOOKUP(F750,'Raw Data'!$I$4:$I$5000,'Raw Data'!$H$4:$H$5000,"",0),"")</f>
        <v/>
      </c>
      <c r="P750" s="9" t="str" cm="1">
        <f t="array" aca="1" ref="P750" ca="1">IF(INDIRECT(M750) = "","",INDIRECT(M750))</f>
        <v/>
      </c>
      <c r="Q750" s="359" t="s">
        <v>4381</v>
      </c>
    </row>
    <row r="751" spans="1:17" x14ac:dyDescent="0.35">
      <c r="A751" t="s">
        <v>1726</v>
      </c>
      <c r="E751" t="str">
        <f>_xlfn.XLOOKUP(F751,'Raw Data'!$I$4:$I$5000,'Raw Data'!$D$4:$D$5000,"*** Mnemonic not found ***",0)</f>
        <v>*** Mnemonic not found ***</v>
      </c>
      <c r="F751" t="str">
        <f t="shared" si="233"/>
        <v>SUCMRUR2FINERG6_10TO20__</v>
      </c>
      <c r="H751" s="9" t="s">
        <v>1137</v>
      </c>
      <c r="K751" s="9">
        <f t="shared" si="237"/>
        <v>235</v>
      </c>
      <c r="L751" s="9" t="str">
        <f t="shared" si="238"/>
        <v>H</v>
      </c>
      <c r="M751" s="9" t="str">
        <f t="shared" si="236"/>
        <v>Input!H235</v>
      </c>
      <c r="N751" s="9">
        <f>_xlfn.XLOOKUP(F751,'Raw Data'!$I$4:$I$5000,'Raw Data'!$E$4:$E$5000,100,0)</f>
        <v>100</v>
      </c>
      <c r="O751" s="9" t="str">
        <f>IF(N751=0,_xlfn.XLOOKUP(F751,'Raw Data'!$I$4:$I$5000,'Raw Data'!$H$4:$H$5000,"",0),"")</f>
        <v/>
      </c>
      <c r="P751" s="9" t="str" cm="1">
        <f t="array" aca="1" ref="P751" ca="1">IF(INDIRECT(M751) = "","",INDIRECT(M751))</f>
        <v/>
      </c>
      <c r="Q751" s="359" t="s">
        <v>4381</v>
      </c>
    </row>
    <row r="752" spans="1:17" x14ac:dyDescent="0.35">
      <c r="A752" t="s">
        <v>1731</v>
      </c>
      <c r="E752" t="str">
        <f>_xlfn.XLOOKUP(F752,'Raw Data'!$I$4:$I$5000,'Raw Data'!$D$4:$D$5000,"*** Mnemonic not found ***",0)</f>
        <v>*** Mnemonic not found ***</v>
      </c>
      <c r="F752" t="str">
        <f t="shared" si="233"/>
        <v>SUCMRUR2FINERG7_10TO20__</v>
      </c>
      <c r="H752" s="9" t="s">
        <v>1137</v>
      </c>
      <c r="K752" s="9">
        <f t="shared" si="237"/>
        <v>235</v>
      </c>
      <c r="L752" s="9" t="str">
        <f t="shared" si="238"/>
        <v>I</v>
      </c>
      <c r="M752" s="9" t="str">
        <f t="shared" si="236"/>
        <v>Input!I235</v>
      </c>
      <c r="N752" s="9">
        <f>_xlfn.XLOOKUP(F752,'Raw Data'!$I$4:$I$5000,'Raw Data'!$E$4:$E$5000,100,0)</f>
        <v>100</v>
      </c>
      <c r="O752" s="9" t="str">
        <f>IF(N752=0,_xlfn.XLOOKUP(F752,'Raw Data'!$I$4:$I$5000,'Raw Data'!$H$4:$H$5000,"",0),"")</f>
        <v/>
      </c>
      <c r="P752" s="9" t="str" cm="1">
        <f t="array" aca="1" ref="P752" ca="1">IF(INDIRECT(M752) = "","",INDIRECT(M752))</f>
        <v/>
      </c>
      <c r="Q752" s="359" t="s">
        <v>4381</v>
      </c>
    </row>
    <row r="753" spans="1:17" x14ac:dyDescent="0.35">
      <c r="A753" t="s">
        <v>1736</v>
      </c>
      <c r="E753" t="str">
        <f>_xlfn.XLOOKUP(F753,'Raw Data'!$I$4:$I$5000,'Raw Data'!$D$4:$D$5000,"*** Mnemonic not found ***",0)</f>
        <v>*** Mnemonic not found ***</v>
      </c>
      <c r="F753" t="str">
        <f t="shared" si="233"/>
        <v>SUCMRUR2FINERG8_10TO20__</v>
      </c>
      <c r="H753" s="9" t="s">
        <v>1137</v>
      </c>
      <c r="K753" s="9">
        <f t="shared" si="237"/>
        <v>235</v>
      </c>
      <c r="L753" s="9" t="str">
        <f t="shared" si="238"/>
        <v>J</v>
      </c>
      <c r="M753" s="9" t="str">
        <f t="shared" si="236"/>
        <v>Input!J235</v>
      </c>
      <c r="N753" s="9">
        <f>_xlfn.XLOOKUP(F753,'Raw Data'!$I$4:$I$5000,'Raw Data'!$E$4:$E$5000,100,0)</f>
        <v>100</v>
      </c>
      <c r="O753" s="9" t="str">
        <f>IF(N753=0,_xlfn.XLOOKUP(F753,'Raw Data'!$I$4:$I$5000,'Raw Data'!$H$4:$H$5000,"",0),"")</f>
        <v/>
      </c>
      <c r="P753" s="9" t="str" cm="1">
        <f t="array" aca="1" ref="P753" ca="1">IF(INDIRECT(M753) = "","",INDIRECT(M753))</f>
        <v/>
      </c>
      <c r="Q753" s="359" t="s">
        <v>4381</v>
      </c>
    </row>
    <row r="754" spans="1:17" x14ac:dyDescent="0.35">
      <c r="A754" t="s">
        <v>1741</v>
      </c>
      <c r="E754" t="str">
        <f>_xlfn.XLOOKUP(F754,'Raw Data'!$I$4:$I$5000,'Raw Data'!$D$4:$D$5000,"*** Mnemonic not found ***",0)</f>
        <v>*** Mnemonic not found ***</v>
      </c>
      <c r="F754" t="str">
        <f t="shared" si="233"/>
        <v>SUCMRUR2FINERG9_10TO20__</v>
      </c>
      <c r="H754" s="9" t="s">
        <v>1137</v>
      </c>
      <c r="K754" s="9">
        <f t="shared" si="237"/>
        <v>235</v>
      </c>
      <c r="L754" s="9" t="str">
        <f t="shared" si="238"/>
        <v>K</v>
      </c>
      <c r="M754" s="9" t="str">
        <f t="shared" si="236"/>
        <v>Input!K235</v>
      </c>
      <c r="N754" s="9">
        <f>_xlfn.XLOOKUP(F754,'Raw Data'!$I$4:$I$5000,'Raw Data'!$E$4:$E$5000,100,0)</f>
        <v>100</v>
      </c>
      <c r="O754" s="9" t="str">
        <f>IF(N754=0,_xlfn.XLOOKUP(F754,'Raw Data'!$I$4:$I$5000,'Raw Data'!$H$4:$H$5000,"",0),"")</f>
        <v/>
      </c>
      <c r="P754" s="9" t="str" cm="1">
        <f t="array" aca="1" ref="P754" ca="1">IF(INDIRECT(M754) = "","",INDIRECT(M754))</f>
        <v/>
      </c>
      <c r="Q754" s="359" t="s">
        <v>4381</v>
      </c>
    </row>
    <row r="755" spans="1:17" x14ac:dyDescent="0.35">
      <c r="A755" t="s">
        <v>1746</v>
      </c>
      <c r="E755" t="str">
        <f>_xlfn.XLOOKUP(F755,'Raw Data'!$I$4:$I$5000,'Raw Data'!$D$4:$D$5000,"*** Mnemonic not found ***",0)</f>
        <v>*** Mnemonic not found ***</v>
      </c>
      <c r="F755" t="str">
        <f t="shared" si="233"/>
        <v>SUCMRUR2FINERG10_10TO20__</v>
      </c>
      <c r="H755" s="9" t="s">
        <v>1137</v>
      </c>
      <c r="K755" s="9">
        <f t="shared" si="237"/>
        <v>235</v>
      </c>
      <c r="L755" s="9" t="str">
        <f t="shared" si="238"/>
        <v>L</v>
      </c>
      <c r="M755" s="9" t="str">
        <f t="shared" si="236"/>
        <v>Input!L235</v>
      </c>
      <c r="N755" s="9">
        <f>_xlfn.XLOOKUP(F755,'Raw Data'!$I$4:$I$5000,'Raw Data'!$E$4:$E$5000,100,0)</f>
        <v>100</v>
      </c>
      <c r="O755" s="9" t="str">
        <f>IF(N755=0,_xlfn.XLOOKUP(F755,'Raw Data'!$I$4:$I$5000,'Raw Data'!$H$4:$H$5000,"",0),"")</f>
        <v/>
      </c>
      <c r="P755" s="9" t="str" cm="1">
        <f t="array" aca="1" ref="P755" ca="1">IF(INDIRECT(M755) = "","",INDIRECT(M755))</f>
        <v/>
      </c>
      <c r="Q755" s="359" t="s">
        <v>4381</v>
      </c>
    </row>
    <row r="756" spans="1:17" x14ac:dyDescent="0.35">
      <c r="A756" t="s">
        <v>1751</v>
      </c>
      <c r="E756" t="str">
        <f>_xlfn.XLOOKUP(F756,'Raw Data'!$I$4:$I$5000,'Raw Data'!$D$4:$D$5000,"*** Mnemonic not found ***",0)</f>
        <v>*** Mnemonic not found ***</v>
      </c>
      <c r="F756" t="str">
        <f t="shared" si="233"/>
        <v>SUCMRUR2FINERGNA_10TO20__</v>
      </c>
      <c r="H756" s="9" t="s">
        <v>1137</v>
      </c>
      <c r="K756" s="9">
        <f t="shared" si="237"/>
        <v>235</v>
      </c>
      <c r="L756" s="9" t="str">
        <f t="shared" si="238"/>
        <v>M</v>
      </c>
      <c r="M756" s="9" t="str">
        <f t="shared" si="236"/>
        <v>Input!M235</v>
      </c>
      <c r="N756" s="9">
        <f>_xlfn.XLOOKUP(F756,'Raw Data'!$I$4:$I$5000,'Raw Data'!$E$4:$E$5000,100,0)</f>
        <v>100</v>
      </c>
      <c r="O756" s="9" t="str">
        <f>IF(N756=0,_xlfn.XLOOKUP(F756,'Raw Data'!$I$4:$I$5000,'Raw Data'!$H$4:$H$5000,"",0),"")</f>
        <v/>
      </c>
      <c r="P756" s="9" t="str" cm="1">
        <f t="array" aca="1" ref="P756" ca="1">IF(INDIRECT(M756) = "","",INDIRECT(M756))</f>
        <v/>
      </c>
      <c r="Q756" s="359" t="s">
        <v>4381</v>
      </c>
    </row>
    <row r="757" spans="1:17" x14ac:dyDescent="0.35">
      <c r="A757" t="s">
        <v>1702</v>
      </c>
      <c r="E757" t="str">
        <f>_xlfn.XLOOKUP(F757,'Raw Data'!$I$4:$I$5000,'Raw Data'!$D$4:$D$5000,"*** Mnemonic not found ***",0)</f>
        <v>*** Mnemonic not found ***</v>
      </c>
      <c r="F757" t="str">
        <f t="shared" si="233"/>
        <v>SUCMRUR2FINERG1_GRTR20__</v>
      </c>
      <c r="H757" s="9" t="s">
        <v>1137</v>
      </c>
      <c r="K757" s="9">
        <f t="shared" si="237"/>
        <v>236</v>
      </c>
      <c r="L757" s="9" t="str">
        <f t="shared" si="238"/>
        <v>C</v>
      </c>
      <c r="M757" s="9" t="str">
        <f t="shared" si="236"/>
        <v>Input!C236</v>
      </c>
      <c r="N757" s="9">
        <f>_xlfn.XLOOKUP(F757,'Raw Data'!$I$4:$I$5000,'Raw Data'!$E$4:$E$5000,100,0)</f>
        <v>100</v>
      </c>
      <c r="O757" s="9" t="str">
        <f>IF(N757=0,_xlfn.XLOOKUP(F757,'Raw Data'!$I$4:$I$5000,'Raw Data'!$H$4:$H$5000,"",0),"")</f>
        <v/>
      </c>
      <c r="P757" s="9" t="str" cm="1">
        <f t="array" aca="1" ref="P757" ca="1">IF(INDIRECT(M757) = "","",INDIRECT(M757))</f>
        <v/>
      </c>
      <c r="Q757" s="359" t="s">
        <v>4381</v>
      </c>
    </row>
    <row r="758" spans="1:17" x14ac:dyDescent="0.35">
      <c r="A758" t="s">
        <v>1707</v>
      </c>
      <c r="E758" t="str">
        <f>_xlfn.XLOOKUP(F758,'Raw Data'!$I$4:$I$5000,'Raw Data'!$D$4:$D$5000,"*** Mnemonic not found ***",0)</f>
        <v>*** Mnemonic not found ***</v>
      </c>
      <c r="F758" t="str">
        <f t="shared" si="233"/>
        <v>SUCMRUR2FINERG2_GRTR20__</v>
      </c>
      <c r="H758" s="9" t="s">
        <v>1137</v>
      </c>
      <c r="K758" s="9">
        <f t="shared" si="237"/>
        <v>236</v>
      </c>
      <c r="L758" s="9" t="str">
        <f t="shared" si="238"/>
        <v>D</v>
      </c>
      <c r="M758" s="9" t="str">
        <f t="shared" si="236"/>
        <v>Input!D236</v>
      </c>
      <c r="N758" s="9">
        <f>_xlfn.XLOOKUP(F758,'Raw Data'!$I$4:$I$5000,'Raw Data'!$E$4:$E$5000,100,0)</f>
        <v>100</v>
      </c>
      <c r="O758" s="9" t="str">
        <f>IF(N758=0,_xlfn.XLOOKUP(F758,'Raw Data'!$I$4:$I$5000,'Raw Data'!$H$4:$H$5000,"",0),"")</f>
        <v/>
      </c>
      <c r="P758" s="9" t="str" cm="1">
        <f t="array" aca="1" ref="P758" ca="1">IF(INDIRECT(M758) = "","",INDIRECT(M758))</f>
        <v/>
      </c>
      <c r="Q758" s="359" t="s">
        <v>4381</v>
      </c>
    </row>
    <row r="759" spans="1:17" x14ac:dyDescent="0.35">
      <c r="A759" t="s">
        <v>1712</v>
      </c>
      <c r="E759" t="str">
        <f>_xlfn.XLOOKUP(F759,'Raw Data'!$I$4:$I$5000,'Raw Data'!$D$4:$D$5000,"*** Mnemonic not found ***",0)</f>
        <v>*** Mnemonic not found ***</v>
      </c>
      <c r="F759" t="str">
        <f t="shared" si="233"/>
        <v>SUCMRUR2FINERG3_GRTR20__</v>
      </c>
      <c r="H759" s="9" t="s">
        <v>1137</v>
      </c>
      <c r="K759" s="9">
        <f t="shared" si="237"/>
        <v>236</v>
      </c>
      <c r="L759" s="9" t="str">
        <f t="shared" si="238"/>
        <v>E</v>
      </c>
      <c r="M759" s="9" t="str">
        <f t="shared" si="236"/>
        <v>Input!E236</v>
      </c>
      <c r="N759" s="9">
        <f>_xlfn.XLOOKUP(F759,'Raw Data'!$I$4:$I$5000,'Raw Data'!$E$4:$E$5000,100,0)</f>
        <v>100</v>
      </c>
      <c r="O759" s="9" t="str">
        <f>IF(N759=0,_xlfn.XLOOKUP(F759,'Raw Data'!$I$4:$I$5000,'Raw Data'!$H$4:$H$5000,"",0),"")</f>
        <v/>
      </c>
      <c r="P759" s="9" t="str" cm="1">
        <f t="array" aca="1" ref="P759" ca="1">IF(INDIRECT(M759) = "","",INDIRECT(M759))</f>
        <v/>
      </c>
      <c r="Q759" s="359" t="s">
        <v>4381</v>
      </c>
    </row>
    <row r="760" spans="1:17" x14ac:dyDescent="0.35">
      <c r="A760" t="s">
        <v>1717</v>
      </c>
      <c r="E760" t="str">
        <f>_xlfn.XLOOKUP(F760,'Raw Data'!$I$4:$I$5000,'Raw Data'!$D$4:$D$5000,"*** Mnemonic not found ***",0)</f>
        <v>*** Mnemonic not found ***</v>
      </c>
      <c r="F760" t="str">
        <f t="shared" si="233"/>
        <v>SUCMRUR2FINERG4_GRTR20__</v>
      </c>
      <c r="H760" s="9" t="s">
        <v>1137</v>
      </c>
      <c r="K760" s="9">
        <f t="shared" si="237"/>
        <v>236</v>
      </c>
      <c r="L760" s="9" t="str">
        <f t="shared" si="238"/>
        <v>F</v>
      </c>
      <c r="M760" s="9" t="str">
        <f t="shared" si="236"/>
        <v>Input!F236</v>
      </c>
      <c r="N760" s="9">
        <f>_xlfn.XLOOKUP(F760,'Raw Data'!$I$4:$I$5000,'Raw Data'!$E$4:$E$5000,100,0)</f>
        <v>100</v>
      </c>
      <c r="O760" s="9" t="str">
        <f>IF(N760=0,_xlfn.XLOOKUP(F760,'Raw Data'!$I$4:$I$5000,'Raw Data'!$H$4:$H$5000,"",0),"")</f>
        <v/>
      </c>
      <c r="P760" s="9" t="str" cm="1">
        <f t="array" aca="1" ref="P760" ca="1">IF(INDIRECT(M760) = "","",INDIRECT(M760))</f>
        <v/>
      </c>
      <c r="Q760" s="359" t="s">
        <v>4381</v>
      </c>
    </row>
    <row r="761" spans="1:17" x14ac:dyDescent="0.35">
      <c r="A761" t="s">
        <v>1722</v>
      </c>
      <c r="E761" t="str">
        <f>_xlfn.XLOOKUP(F761,'Raw Data'!$I$4:$I$5000,'Raw Data'!$D$4:$D$5000,"*** Mnemonic not found ***",0)</f>
        <v>*** Mnemonic not found ***</v>
      </c>
      <c r="F761" t="str">
        <f t="shared" si="233"/>
        <v>SUCMRUR2FINERG5_GRTR20__</v>
      </c>
      <c r="H761" s="9" t="s">
        <v>1137</v>
      </c>
      <c r="K761" s="9">
        <f t="shared" si="237"/>
        <v>236</v>
      </c>
      <c r="L761" s="9" t="str">
        <f t="shared" si="238"/>
        <v>G</v>
      </c>
      <c r="M761" s="9" t="str">
        <f t="shared" si="236"/>
        <v>Input!G236</v>
      </c>
      <c r="N761" s="9">
        <f>_xlfn.XLOOKUP(F761,'Raw Data'!$I$4:$I$5000,'Raw Data'!$E$4:$E$5000,100,0)</f>
        <v>100</v>
      </c>
      <c r="O761" s="9" t="str">
        <f>IF(N761=0,_xlfn.XLOOKUP(F761,'Raw Data'!$I$4:$I$5000,'Raw Data'!$H$4:$H$5000,"",0),"")</f>
        <v/>
      </c>
      <c r="P761" s="9" t="str" cm="1">
        <f t="array" aca="1" ref="P761" ca="1">IF(INDIRECT(M761) = "","",INDIRECT(M761))</f>
        <v/>
      </c>
      <c r="Q761" s="359" t="s">
        <v>4381</v>
      </c>
    </row>
    <row r="762" spans="1:17" x14ac:dyDescent="0.35">
      <c r="A762" t="s">
        <v>1727</v>
      </c>
      <c r="E762" t="str">
        <f>_xlfn.XLOOKUP(F762,'Raw Data'!$I$4:$I$5000,'Raw Data'!$D$4:$D$5000,"*** Mnemonic not found ***",0)</f>
        <v>*** Mnemonic not found ***</v>
      </c>
      <c r="F762" t="str">
        <f t="shared" si="233"/>
        <v>SUCMRUR2FINERG6_GRTR20__</v>
      </c>
      <c r="H762" s="9" t="s">
        <v>1137</v>
      </c>
      <c r="K762" s="9">
        <f t="shared" si="237"/>
        <v>236</v>
      </c>
      <c r="L762" s="9" t="str">
        <f t="shared" si="238"/>
        <v>H</v>
      </c>
      <c r="M762" s="9" t="str">
        <f t="shared" si="236"/>
        <v>Input!H236</v>
      </c>
      <c r="N762" s="9">
        <f>_xlfn.XLOOKUP(F762,'Raw Data'!$I$4:$I$5000,'Raw Data'!$E$4:$E$5000,100,0)</f>
        <v>100</v>
      </c>
      <c r="O762" s="9" t="str">
        <f>IF(N762=0,_xlfn.XLOOKUP(F762,'Raw Data'!$I$4:$I$5000,'Raw Data'!$H$4:$H$5000,"",0),"")</f>
        <v/>
      </c>
      <c r="P762" s="9" t="str" cm="1">
        <f t="array" aca="1" ref="P762" ca="1">IF(INDIRECT(M762) = "","",INDIRECT(M762))</f>
        <v/>
      </c>
      <c r="Q762" s="359" t="s">
        <v>4381</v>
      </c>
    </row>
    <row r="763" spans="1:17" x14ac:dyDescent="0.35">
      <c r="A763" t="s">
        <v>1732</v>
      </c>
      <c r="E763" t="str">
        <f>_xlfn.XLOOKUP(F763,'Raw Data'!$I$4:$I$5000,'Raw Data'!$D$4:$D$5000,"*** Mnemonic not found ***",0)</f>
        <v>*** Mnemonic not found ***</v>
      </c>
      <c r="F763" t="str">
        <f t="shared" si="233"/>
        <v>SUCMRUR2FINERG7_GRTR20__</v>
      </c>
      <c r="H763" s="9" t="s">
        <v>1137</v>
      </c>
      <c r="K763" s="9">
        <f t="shared" si="237"/>
        <v>236</v>
      </c>
      <c r="L763" s="9" t="str">
        <f t="shared" si="238"/>
        <v>I</v>
      </c>
      <c r="M763" s="9" t="str">
        <f t="shared" si="236"/>
        <v>Input!I236</v>
      </c>
      <c r="N763" s="9">
        <f>_xlfn.XLOOKUP(F763,'Raw Data'!$I$4:$I$5000,'Raw Data'!$E$4:$E$5000,100,0)</f>
        <v>100</v>
      </c>
      <c r="O763" s="9" t="str">
        <f>IF(N763=0,_xlfn.XLOOKUP(F763,'Raw Data'!$I$4:$I$5000,'Raw Data'!$H$4:$H$5000,"",0),"")</f>
        <v/>
      </c>
      <c r="P763" s="9" t="str" cm="1">
        <f t="array" aca="1" ref="P763" ca="1">IF(INDIRECT(M763) = "","",INDIRECT(M763))</f>
        <v/>
      </c>
      <c r="Q763" s="359" t="s">
        <v>4381</v>
      </c>
    </row>
    <row r="764" spans="1:17" x14ac:dyDescent="0.35">
      <c r="A764" t="s">
        <v>1737</v>
      </c>
      <c r="E764" t="str">
        <f>_xlfn.XLOOKUP(F764,'Raw Data'!$I$4:$I$5000,'Raw Data'!$D$4:$D$5000,"*** Mnemonic not found ***",0)</f>
        <v>*** Mnemonic not found ***</v>
      </c>
      <c r="F764" t="str">
        <f t="shared" si="233"/>
        <v>SUCMRUR2FINERG8_GRTR20__</v>
      </c>
      <c r="H764" s="9" t="s">
        <v>1137</v>
      </c>
      <c r="K764" s="9">
        <f t="shared" si="237"/>
        <v>236</v>
      </c>
      <c r="L764" s="9" t="str">
        <f t="shared" si="238"/>
        <v>J</v>
      </c>
      <c r="M764" s="9" t="str">
        <f t="shared" si="236"/>
        <v>Input!J236</v>
      </c>
      <c r="N764" s="9">
        <f>_xlfn.XLOOKUP(F764,'Raw Data'!$I$4:$I$5000,'Raw Data'!$E$4:$E$5000,100,0)</f>
        <v>100</v>
      </c>
      <c r="O764" s="9" t="str">
        <f>IF(N764=0,_xlfn.XLOOKUP(F764,'Raw Data'!$I$4:$I$5000,'Raw Data'!$H$4:$H$5000,"",0),"")</f>
        <v/>
      </c>
      <c r="P764" s="9" t="str" cm="1">
        <f t="array" aca="1" ref="P764" ca="1">IF(INDIRECT(M764) = "","",INDIRECT(M764))</f>
        <v/>
      </c>
      <c r="Q764" s="359" t="s">
        <v>4381</v>
      </c>
    </row>
    <row r="765" spans="1:17" x14ac:dyDescent="0.35">
      <c r="A765" t="s">
        <v>1742</v>
      </c>
      <c r="E765" t="str">
        <f>_xlfn.XLOOKUP(F765,'Raw Data'!$I$4:$I$5000,'Raw Data'!$D$4:$D$5000,"*** Mnemonic not found ***",0)</f>
        <v>*** Mnemonic not found ***</v>
      </c>
      <c r="F765" t="str">
        <f t="shared" si="233"/>
        <v>SUCMRUR2FINERG9_GRTR20__</v>
      </c>
      <c r="H765" s="9" t="s">
        <v>1137</v>
      </c>
      <c r="K765" s="9">
        <f t="shared" si="237"/>
        <v>236</v>
      </c>
      <c r="L765" s="9" t="str">
        <f t="shared" si="238"/>
        <v>K</v>
      </c>
      <c r="M765" s="9" t="str">
        <f t="shared" si="236"/>
        <v>Input!K236</v>
      </c>
      <c r="N765" s="9">
        <f>_xlfn.XLOOKUP(F765,'Raw Data'!$I$4:$I$5000,'Raw Data'!$E$4:$E$5000,100,0)</f>
        <v>100</v>
      </c>
      <c r="O765" s="9" t="str">
        <f>IF(N765=0,_xlfn.XLOOKUP(F765,'Raw Data'!$I$4:$I$5000,'Raw Data'!$H$4:$H$5000,"",0),"")</f>
        <v/>
      </c>
      <c r="P765" s="9" t="str" cm="1">
        <f t="array" aca="1" ref="P765" ca="1">IF(INDIRECT(M765) = "","",INDIRECT(M765))</f>
        <v/>
      </c>
      <c r="Q765" s="359" t="s">
        <v>4381</v>
      </c>
    </row>
    <row r="766" spans="1:17" x14ac:dyDescent="0.35">
      <c r="A766" t="s">
        <v>1747</v>
      </c>
      <c r="E766" t="str">
        <f>_xlfn.XLOOKUP(F766,'Raw Data'!$I$4:$I$5000,'Raw Data'!$D$4:$D$5000,"*** Mnemonic not found ***",0)</f>
        <v>*** Mnemonic not found ***</v>
      </c>
      <c r="F766" t="str">
        <f t="shared" si="233"/>
        <v>SUCMRUR2FINERG10_GRTR20__</v>
      </c>
      <c r="H766" s="9" t="s">
        <v>1137</v>
      </c>
      <c r="K766" s="9">
        <f t="shared" si="237"/>
        <v>236</v>
      </c>
      <c r="L766" s="9" t="str">
        <f t="shared" si="238"/>
        <v>L</v>
      </c>
      <c r="M766" s="9" t="str">
        <f t="shared" si="236"/>
        <v>Input!L236</v>
      </c>
      <c r="N766" s="9">
        <f>_xlfn.XLOOKUP(F766,'Raw Data'!$I$4:$I$5000,'Raw Data'!$E$4:$E$5000,100,0)</f>
        <v>100</v>
      </c>
      <c r="O766" s="9" t="str">
        <f>IF(N766=0,_xlfn.XLOOKUP(F766,'Raw Data'!$I$4:$I$5000,'Raw Data'!$H$4:$H$5000,"",0),"")</f>
        <v/>
      </c>
      <c r="P766" s="9" t="str" cm="1">
        <f t="array" aca="1" ref="P766" ca="1">IF(INDIRECT(M766) = "","",INDIRECT(M766))</f>
        <v/>
      </c>
      <c r="Q766" s="359" t="s">
        <v>4381</v>
      </c>
    </row>
    <row r="767" spans="1:17" x14ac:dyDescent="0.35">
      <c r="A767" t="s">
        <v>1752</v>
      </c>
      <c r="E767" t="str">
        <f>_xlfn.XLOOKUP(F767,'Raw Data'!$I$4:$I$5000,'Raw Data'!$D$4:$D$5000,"*** Mnemonic not found ***",0)</f>
        <v>*** Mnemonic not found ***</v>
      </c>
      <c r="F767" t="str">
        <f t="shared" si="233"/>
        <v>SUCMRUR2FINERGNA_GRTR20__</v>
      </c>
      <c r="H767" s="9" t="s">
        <v>1137</v>
      </c>
      <c r="K767" s="9">
        <f t="shared" si="237"/>
        <v>236</v>
      </c>
      <c r="L767" s="9" t="str">
        <f t="shared" si="238"/>
        <v>M</v>
      </c>
      <c r="M767" s="9" t="str">
        <f t="shared" si="236"/>
        <v>Input!M236</v>
      </c>
      <c r="N767" s="9">
        <f>_xlfn.XLOOKUP(F767,'Raw Data'!$I$4:$I$5000,'Raw Data'!$E$4:$E$5000,100,0)</f>
        <v>100</v>
      </c>
      <c r="O767" s="9" t="str">
        <f>IF(N767=0,_xlfn.XLOOKUP(F767,'Raw Data'!$I$4:$I$5000,'Raw Data'!$H$4:$H$5000,"",0),"")</f>
        <v/>
      </c>
      <c r="P767" s="9" t="str" cm="1">
        <f t="array" aca="1" ref="P767" ca="1">IF(INDIRECT(M767) = "","",INDIRECT(M767))</f>
        <v/>
      </c>
      <c r="Q767" s="359" t="s">
        <v>4381</v>
      </c>
    </row>
    <row r="768" spans="1:17" x14ac:dyDescent="0.35">
      <c r="A768" t="s">
        <v>1753</v>
      </c>
      <c r="E768" t="str">
        <f>_xlfn.XLOOKUP(F768,'Raw Data'!$I$4:$I$5000,'Raw Data'!$D$4:$D$5000,"*** Mnemonic not found ***",0)</f>
        <v>*** Mnemonic not found ***</v>
      </c>
      <c r="F768" t="str">
        <f t="shared" si="233"/>
        <v>SUCMRUR3FINERG1_LESS1__</v>
      </c>
      <c r="H768" s="9" t="s">
        <v>1137</v>
      </c>
      <c r="I768" s="289">
        <f>ROW(section_bonds_sp_unrated_step_4)</f>
        <v>187</v>
      </c>
      <c r="J768" s="9">
        <f>J713+10</f>
        <v>55</v>
      </c>
      <c r="K768" s="9">
        <f>I768+J768</f>
        <v>242</v>
      </c>
      <c r="L768" s="9" t="str">
        <f>L757</f>
        <v>C</v>
      </c>
      <c r="M768" s="9" t="str">
        <f t="shared" si="236"/>
        <v>Input!C242</v>
      </c>
      <c r="N768" s="9">
        <f>_xlfn.XLOOKUP(F768,'Raw Data'!$I$4:$I$5000,'Raw Data'!$E$4:$E$5000,100,0)</f>
        <v>100</v>
      </c>
      <c r="O768" s="9" t="str">
        <f>IF(N768=0,_xlfn.XLOOKUP(F768,'Raw Data'!$I$4:$I$5000,'Raw Data'!$H$4:$H$5000,"",0),"")</f>
        <v/>
      </c>
      <c r="P768" s="9" t="str" cm="1">
        <f t="array" aca="1" ref="P768" ca="1">IF(INDIRECT(M768) = "","",INDIRECT(M768))</f>
        <v/>
      </c>
      <c r="Q768" s="359" t="s">
        <v>4381</v>
      </c>
    </row>
    <row r="769" spans="1:17" x14ac:dyDescent="0.35">
      <c r="A769" t="s">
        <v>1758</v>
      </c>
      <c r="E769" t="str">
        <f>_xlfn.XLOOKUP(F769,'Raw Data'!$I$4:$I$5000,'Raw Data'!$D$4:$D$5000,"*** Mnemonic not found ***",0)</f>
        <v>*** Mnemonic not found ***</v>
      </c>
      <c r="F769" t="str">
        <f t="shared" si="233"/>
        <v>SUCMRUR3FINERG2_LESS1__</v>
      </c>
      <c r="H769" s="9" t="s">
        <v>1137</v>
      </c>
      <c r="K769" s="9">
        <f>K768</f>
        <v>242</v>
      </c>
      <c r="L769" s="9" t="str">
        <f t="shared" ref="L769:L778" si="239">L758</f>
        <v>D</v>
      </c>
      <c r="M769" s="9" t="str">
        <f t="shared" si="236"/>
        <v>Input!D242</v>
      </c>
      <c r="N769" s="9">
        <f>_xlfn.XLOOKUP(F769,'Raw Data'!$I$4:$I$5000,'Raw Data'!$E$4:$E$5000,100,0)</f>
        <v>100</v>
      </c>
      <c r="O769" s="9" t="str">
        <f>IF(N769=0,_xlfn.XLOOKUP(F769,'Raw Data'!$I$4:$I$5000,'Raw Data'!$H$4:$H$5000,"",0),"")</f>
        <v/>
      </c>
      <c r="P769" s="9" t="str" cm="1">
        <f t="array" aca="1" ref="P769" ca="1">IF(INDIRECT(M769) = "","",INDIRECT(M769))</f>
        <v/>
      </c>
      <c r="Q769" s="359" t="s">
        <v>4381</v>
      </c>
    </row>
    <row r="770" spans="1:17" x14ac:dyDescent="0.35">
      <c r="A770" t="s">
        <v>1763</v>
      </c>
      <c r="E770" t="str">
        <f>_xlfn.XLOOKUP(F770,'Raw Data'!$I$4:$I$5000,'Raw Data'!$D$4:$D$5000,"*** Mnemonic not found ***",0)</f>
        <v>*** Mnemonic not found ***</v>
      </c>
      <c r="F770" t="str">
        <f t="shared" si="233"/>
        <v>SUCMRUR3FINERG3_LESS1__</v>
      </c>
      <c r="H770" s="9" t="s">
        <v>1137</v>
      </c>
      <c r="K770" s="9">
        <f t="shared" ref="K770:K778" si="240">K769</f>
        <v>242</v>
      </c>
      <c r="L770" s="9" t="str">
        <f t="shared" si="239"/>
        <v>E</v>
      </c>
      <c r="M770" s="9" t="str">
        <f t="shared" si="236"/>
        <v>Input!E242</v>
      </c>
      <c r="N770" s="9">
        <f>_xlfn.XLOOKUP(F770,'Raw Data'!$I$4:$I$5000,'Raw Data'!$E$4:$E$5000,100,0)</f>
        <v>100</v>
      </c>
      <c r="O770" s="9" t="str">
        <f>IF(N770=0,_xlfn.XLOOKUP(F770,'Raw Data'!$I$4:$I$5000,'Raw Data'!$H$4:$H$5000,"",0),"")</f>
        <v/>
      </c>
      <c r="P770" s="9" t="str" cm="1">
        <f t="array" aca="1" ref="P770" ca="1">IF(INDIRECT(M770) = "","",INDIRECT(M770))</f>
        <v/>
      </c>
      <c r="Q770" s="359" t="s">
        <v>4381</v>
      </c>
    </row>
    <row r="771" spans="1:17" x14ac:dyDescent="0.35">
      <c r="A771" t="s">
        <v>1768</v>
      </c>
      <c r="E771" t="str">
        <f>_xlfn.XLOOKUP(F771,'Raw Data'!$I$4:$I$5000,'Raw Data'!$D$4:$D$5000,"*** Mnemonic not found ***",0)</f>
        <v>*** Mnemonic not found ***</v>
      </c>
      <c r="F771" t="str">
        <f t="shared" si="233"/>
        <v>SUCMRUR3FINERG4_LESS1__</v>
      </c>
      <c r="H771" s="9" t="s">
        <v>1137</v>
      </c>
      <c r="K771" s="9">
        <f t="shared" si="240"/>
        <v>242</v>
      </c>
      <c r="L771" s="9" t="str">
        <f t="shared" si="239"/>
        <v>F</v>
      </c>
      <c r="M771" s="9" t="str">
        <f t="shared" si="236"/>
        <v>Input!F242</v>
      </c>
      <c r="N771" s="9">
        <f>_xlfn.XLOOKUP(F771,'Raw Data'!$I$4:$I$5000,'Raw Data'!$E$4:$E$5000,100,0)</f>
        <v>100</v>
      </c>
      <c r="O771" s="9" t="str">
        <f>IF(N771=0,_xlfn.XLOOKUP(F771,'Raw Data'!$I$4:$I$5000,'Raw Data'!$H$4:$H$5000,"",0),"")</f>
        <v/>
      </c>
      <c r="P771" s="9" t="str" cm="1">
        <f t="array" aca="1" ref="P771" ca="1">IF(INDIRECT(M771) = "","",INDIRECT(M771))</f>
        <v/>
      </c>
      <c r="Q771" s="359" t="s">
        <v>4381</v>
      </c>
    </row>
    <row r="772" spans="1:17" x14ac:dyDescent="0.35">
      <c r="A772" t="s">
        <v>1773</v>
      </c>
      <c r="E772" t="str">
        <f>_xlfn.XLOOKUP(F772,'Raw Data'!$I$4:$I$5000,'Raw Data'!$D$4:$D$5000,"*** Mnemonic not found ***",0)</f>
        <v>*** Mnemonic not found ***</v>
      </c>
      <c r="F772" t="str">
        <f t="shared" si="233"/>
        <v>SUCMRUR3FINERG5_LESS1__</v>
      </c>
      <c r="H772" s="9" t="s">
        <v>1137</v>
      </c>
      <c r="K772" s="9">
        <f t="shared" si="240"/>
        <v>242</v>
      </c>
      <c r="L772" s="9" t="str">
        <f t="shared" si="239"/>
        <v>G</v>
      </c>
      <c r="M772" s="9" t="str">
        <f t="shared" si="236"/>
        <v>Input!G242</v>
      </c>
      <c r="N772" s="9">
        <f>_xlfn.XLOOKUP(F772,'Raw Data'!$I$4:$I$5000,'Raw Data'!$E$4:$E$5000,100,0)</f>
        <v>100</v>
      </c>
      <c r="O772" s="9" t="str">
        <f>IF(N772=0,_xlfn.XLOOKUP(F772,'Raw Data'!$I$4:$I$5000,'Raw Data'!$H$4:$H$5000,"",0),"")</f>
        <v/>
      </c>
      <c r="P772" s="9" t="str" cm="1">
        <f t="array" aca="1" ref="P772" ca="1">IF(INDIRECT(M772) = "","",INDIRECT(M772))</f>
        <v/>
      </c>
      <c r="Q772" s="359" t="s">
        <v>4381</v>
      </c>
    </row>
    <row r="773" spans="1:17" x14ac:dyDescent="0.35">
      <c r="A773" t="s">
        <v>1778</v>
      </c>
      <c r="E773" t="str">
        <f>_xlfn.XLOOKUP(F773,'Raw Data'!$I$4:$I$5000,'Raw Data'!$D$4:$D$5000,"*** Mnemonic not found ***",0)</f>
        <v>*** Mnemonic not found ***</v>
      </c>
      <c r="F773" t="str">
        <f t="shared" ref="F773:F836" si="241">CONCATENATE(A773,"_",B773,"_",D773)</f>
        <v>SUCMRUR3FINERG6_LESS1__</v>
      </c>
      <c r="H773" s="9" t="s">
        <v>1137</v>
      </c>
      <c r="K773" s="9">
        <f t="shared" si="240"/>
        <v>242</v>
      </c>
      <c r="L773" s="9" t="str">
        <f t="shared" si="239"/>
        <v>H</v>
      </c>
      <c r="M773" s="9" t="str">
        <f t="shared" si="236"/>
        <v>Input!H242</v>
      </c>
      <c r="N773" s="9">
        <f>_xlfn.XLOOKUP(F773,'Raw Data'!$I$4:$I$5000,'Raw Data'!$E$4:$E$5000,100,0)</f>
        <v>100</v>
      </c>
      <c r="O773" s="9" t="str">
        <f>IF(N773=0,_xlfn.XLOOKUP(F773,'Raw Data'!$I$4:$I$5000,'Raw Data'!$H$4:$H$5000,"",0),"")</f>
        <v/>
      </c>
      <c r="P773" s="9" t="str" cm="1">
        <f t="array" aca="1" ref="P773" ca="1">IF(INDIRECT(M773) = "","",INDIRECT(M773))</f>
        <v/>
      </c>
      <c r="Q773" s="359" t="s">
        <v>4381</v>
      </c>
    </row>
    <row r="774" spans="1:17" x14ac:dyDescent="0.35">
      <c r="A774" t="s">
        <v>1783</v>
      </c>
      <c r="E774" t="str">
        <f>_xlfn.XLOOKUP(F774,'Raw Data'!$I$4:$I$5000,'Raw Data'!$D$4:$D$5000,"*** Mnemonic not found ***",0)</f>
        <v>*** Mnemonic not found ***</v>
      </c>
      <c r="F774" t="str">
        <f t="shared" si="241"/>
        <v>SUCMRUR3FINERG7_LESS1__</v>
      </c>
      <c r="H774" s="9" t="s">
        <v>1137</v>
      </c>
      <c r="K774" s="9">
        <f t="shared" si="240"/>
        <v>242</v>
      </c>
      <c r="L774" s="9" t="str">
        <f t="shared" si="239"/>
        <v>I</v>
      </c>
      <c r="M774" s="9" t="str">
        <f t="shared" si="236"/>
        <v>Input!I242</v>
      </c>
      <c r="N774" s="9">
        <f>_xlfn.XLOOKUP(F774,'Raw Data'!$I$4:$I$5000,'Raw Data'!$E$4:$E$5000,100,0)</f>
        <v>100</v>
      </c>
      <c r="O774" s="9" t="str">
        <f>IF(N774=0,_xlfn.XLOOKUP(F774,'Raw Data'!$I$4:$I$5000,'Raw Data'!$H$4:$H$5000,"",0),"")</f>
        <v/>
      </c>
      <c r="P774" s="9" t="str" cm="1">
        <f t="array" aca="1" ref="P774" ca="1">IF(INDIRECT(M774) = "","",INDIRECT(M774))</f>
        <v/>
      </c>
      <c r="Q774" s="359" t="s">
        <v>4381</v>
      </c>
    </row>
    <row r="775" spans="1:17" x14ac:dyDescent="0.35">
      <c r="A775" t="s">
        <v>1788</v>
      </c>
      <c r="E775" t="str">
        <f>_xlfn.XLOOKUP(F775,'Raw Data'!$I$4:$I$5000,'Raw Data'!$D$4:$D$5000,"*** Mnemonic not found ***",0)</f>
        <v>*** Mnemonic not found ***</v>
      </c>
      <c r="F775" t="str">
        <f t="shared" si="241"/>
        <v>SUCMRUR3FINERG8_LESS1__</v>
      </c>
      <c r="H775" s="9" t="s">
        <v>1137</v>
      </c>
      <c r="K775" s="9">
        <f t="shared" si="240"/>
        <v>242</v>
      </c>
      <c r="L775" s="9" t="str">
        <f t="shared" si="239"/>
        <v>J</v>
      </c>
      <c r="M775" s="9" t="str">
        <f t="shared" si="236"/>
        <v>Input!J242</v>
      </c>
      <c r="N775" s="9">
        <f>_xlfn.XLOOKUP(F775,'Raw Data'!$I$4:$I$5000,'Raw Data'!$E$4:$E$5000,100,0)</f>
        <v>100</v>
      </c>
      <c r="O775" s="9" t="str">
        <f>IF(N775=0,_xlfn.XLOOKUP(F775,'Raw Data'!$I$4:$I$5000,'Raw Data'!$H$4:$H$5000,"",0),"")</f>
        <v/>
      </c>
      <c r="P775" s="9" t="str" cm="1">
        <f t="array" aca="1" ref="P775" ca="1">IF(INDIRECT(M775) = "","",INDIRECT(M775))</f>
        <v/>
      </c>
      <c r="Q775" s="359" t="s">
        <v>4381</v>
      </c>
    </row>
    <row r="776" spans="1:17" x14ac:dyDescent="0.35">
      <c r="A776" t="s">
        <v>1793</v>
      </c>
      <c r="E776" t="str">
        <f>_xlfn.XLOOKUP(F776,'Raw Data'!$I$4:$I$5000,'Raw Data'!$D$4:$D$5000,"*** Mnemonic not found ***",0)</f>
        <v>*** Mnemonic not found ***</v>
      </c>
      <c r="F776" t="str">
        <f t="shared" si="241"/>
        <v>SUCMRUR3FINERG9_LESS1__</v>
      </c>
      <c r="H776" s="9" t="s">
        <v>1137</v>
      </c>
      <c r="K776" s="9">
        <f t="shared" si="240"/>
        <v>242</v>
      </c>
      <c r="L776" s="9" t="str">
        <f t="shared" si="239"/>
        <v>K</v>
      </c>
      <c r="M776" s="9" t="str">
        <f t="shared" si="236"/>
        <v>Input!K242</v>
      </c>
      <c r="N776" s="9">
        <f>_xlfn.XLOOKUP(F776,'Raw Data'!$I$4:$I$5000,'Raw Data'!$E$4:$E$5000,100,0)</f>
        <v>100</v>
      </c>
      <c r="O776" s="9" t="str">
        <f>IF(N776=0,_xlfn.XLOOKUP(F776,'Raw Data'!$I$4:$I$5000,'Raw Data'!$H$4:$H$5000,"",0),"")</f>
        <v/>
      </c>
      <c r="P776" s="9" t="str" cm="1">
        <f t="array" aca="1" ref="P776" ca="1">IF(INDIRECT(M776) = "","",INDIRECT(M776))</f>
        <v/>
      </c>
      <c r="Q776" s="359" t="s">
        <v>4381</v>
      </c>
    </row>
    <row r="777" spans="1:17" x14ac:dyDescent="0.35">
      <c r="A777" t="s">
        <v>1798</v>
      </c>
      <c r="E777" t="str">
        <f>_xlfn.XLOOKUP(F777,'Raw Data'!$I$4:$I$5000,'Raw Data'!$D$4:$D$5000,"*** Mnemonic not found ***",0)</f>
        <v>*** Mnemonic not found ***</v>
      </c>
      <c r="F777" t="str">
        <f t="shared" si="241"/>
        <v>SUCMRUR3FINERG10_LESS1__</v>
      </c>
      <c r="H777" s="9" t="s">
        <v>1137</v>
      </c>
      <c r="K777" s="9">
        <f t="shared" si="240"/>
        <v>242</v>
      </c>
      <c r="L777" s="9" t="str">
        <f t="shared" si="239"/>
        <v>L</v>
      </c>
      <c r="M777" s="9" t="str">
        <f t="shared" si="236"/>
        <v>Input!L242</v>
      </c>
      <c r="N777" s="9">
        <f>_xlfn.XLOOKUP(F777,'Raw Data'!$I$4:$I$5000,'Raw Data'!$E$4:$E$5000,100,0)</f>
        <v>100</v>
      </c>
      <c r="O777" s="9" t="str">
        <f>IF(N777=0,_xlfn.XLOOKUP(F777,'Raw Data'!$I$4:$I$5000,'Raw Data'!$H$4:$H$5000,"",0),"")</f>
        <v/>
      </c>
      <c r="P777" s="9" t="str" cm="1">
        <f t="array" aca="1" ref="P777" ca="1">IF(INDIRECT(M777) = "","",INDIRECT(M777))</f>
        <v/>
      </c>
      <c r="Q777" s="359" t="s">
        <v>4381</v>
      </c>
    </row>
    <row r="778" spans="1:17" x14ac:dyDescent="0.35">
      <c r="A778" t="s">
        <v>1803</v>
      </c>
      <c r="E778" t="str">
        <f>_xlfn.XLOOKUP(F778,'Raw Data'!$I$4:$I$5000,'Raw Data'!$D$4:$D$5000,"*** Mnemonic not found ***",0)</f>
        <v>*** Mnemonic not found ***</v>
      </c>
      <c r="F778" t="str">
        <f t="shared" si="241"/>
        <v>SUCMRUR3FINERGNA_LESS1__</v>
      </c>
      <c r="H778" s="9" t="s">
        <v>1137</v>
      </c>
      <c r="K778" s="9">
        <f t="shared" si="240"/>
        <v>242</v>
      </c>
      <c r="L778" s="9" t="str">
        <f t="shared" si="239"/>
        <v>M</v>
      </c>
      <c r="M778" s="9" t="str">
        <f t="shared" si="236"/>
        <v>Input!M242</v>
      </c>
      <c r="N778" s="9">
        <f>_xlfn.XLOOKUP(F778,'Raw Data'!$I$4:$I$5000,'Raw Data'!$E$4:$E$5000,100,0)</f>
        <v>100</v>
      </c>
      <c r="O778" s="9" t="str">
        <f>IF(N778=0,_xlfn.XLOOKUP(F778,'Raw Data'!$I$4:$I$5000,'Raw Data'!$H$4:$H$5000,"",0),"")</f>
        <v/>
      </c>
      <c r="P778" s="9" t="str" cm="1">
        <f t="array" aca="1" ref="P778" ca="1">IF(INDIRECT(M778) = "","",INDIRECT(M778))</f>
        <v/>
      </c>
      <c r="Q778" s="359" t="s">
        <v>4381</v>
      </c>
    </row>
    <row r="779" spans="1:17" x14ac:dyDescent="0.35">
      <c r="A779" t="s">
        <v>1754</v>
      </c>
      <c r="E779" t="str">
        <f>_xlfn.XLOOKUP(F779,'Raw Data'!$I$4:$I$5000,'Raw Data'!$D$4:$D$5000,"*** Mnemonic not found ***",0)</f>
        <v>*** Mnemonic not found ***</v>
      </c>
      <c r="F779" t="str">
        <f t="shared" si="241"/>
        <v>SUCMRUR3FINERG1_1TO5__</v>
      </c>
      <c r="H779" s="9" t="s">
        <v>1137</v>
      </c>
      <c r="K779" s="9">
        <f>K768+1</f>
        <v>243</v>
      </c>
      <c r="L779" s="9" t="str">
        <f>L768</f>
        <v>C</v>
      </c>
      <c r="M779" s="9" t="str">
        <f t="shared" si="236"/>
        <v>Input!C243</v>
      </c>
      <c r="N779" s="9">
        <f>_xlfn.XLOOKUP(F779,'Raw Data'!$I$4:$I$5000,'Raw Data'!$E$4:$E$5000,100,0)</f>
        <v>100</v>
      </c>
      <c r="O779" s="9" t="str">
        <f>IF(N779=0,_xlfn.XLOOKUP(F779,'Raw Data'!$I$4:$I$5000,'Raw Data'!$H$4:$H$5000,"",0),"")</f>
        <v/>
      </c>
      <c r="P779" s="9" t="str" cm="1">
        <f t="array" aca="1" ref="P779" ca="1">IF(INDIRECT(M779) = "","",INDIRECT(M779))</f>
        <v/>
      </c>
      <c r="Q779" s="359" t="s">
        <v>4381</v>
      </c>
    </row>
    <row r="780" spans="1:17" x14ac:dyDescent="0.35">
      <c r="A780" t="s">
        <v>1759</v>
      </c>
      <c r="E780" t="str">
        <f>_xlfn.XLOOKUP(F780,'Raw Data'!$I$4:$I$5000,'Raw Data'!$D$4:$D$5000,"*** Mnemonic not found ***",0)</f>
        <v>*** Mnemonic not found ***</v>
      </c>
      <c r="F780" t="str">
        <f t="shared" si="241"/>
        <v>SUCMRUR3FINERG2_1TO5__</v>
      </c>
      <c r="H780" s="9" t="s">
        <v>1137</v>
      </c>
      <c r="K780" s="9">
        <f t="shared" ref="K780:K822" si="242">K769+1</f>
        <v>243</v>
      </c>
      <c r="L780" s="9" t="str">
        <f t="shared" ref="L780:L822" si="243">L769</f>
        <v>D</v>
      </c>
      <c r="M780" s="9" t="str">
        <f t="shared" si="236"/>
        <v>Input!D243</v>
      </c>
      <c r="N780" s="9">
        <f>_xlfn.XLOOKUP(F780,'Raw Data'!$I$4:$I$5000,'Raw Data'!$E$4:$E$5000,100,0)</f>
        <v>100</v>
      </c>
      <c r="O780" s="9" t="str">
        <f>IF(N780=0,_xlfn.XLOOKUP(F780,'Raw Data'!$I$4:$I$5000,'Raw Data'!$H$4:$H$5000,"",0),"")</f>
        <v/>
      </c>
      <c r="P780" s="9" t="str" cm="1">
        <f t="array" aca="1" ref="P780" ca="1">IF(INDIRECT(M780) = "","",INDIRECT(M780))</f>
        <v/>
      </c>
      <c r="Q780" s="359" t="s">
        <v>4381</v>
      </c>
    </row>
    <row r="781" spans="1:17" x14ac:dyDescent="0.35">
      <c r="A781" t="s">
        <v>1764</v>
      </c>
      <c r="E781" t="str">
        <f>_xlfn.XLOOKUP(F781,'Raw Data'!$I$4:$I$5000,'Raw Data'!$D$4:$D$5000,"*** Mnemonic not found ***",0)</f>
        <v>*** Mnemonic not found ***</v>
      </c>
      <c r="F781" t="str">
        <f t="shared" si="241"/>
        <v>SUCMRUR3FINERG3_1TO5__</v>
      </c>
      <c r="H781" s="9" t="s">
        <v>1137</v>
      </c>
      <c r="K781" s="9">
        <f t="shared" si="242"/>
        <v>243</v>
      </c>
      <c r="L781" s="9" t="str">
        <f t="shared" si="243"/>
        <v>E</v>
      </c>
      <c r="M781" s="9" t="str">
        <f t="shared" si="236"/>
        <v>Input!E243</v>
      </c>
      <c r="N781" s="9">
        <f>_xlfn.XLOOKUP(F781,'Raw Data'!$I$4:$I$5000,'Raw Data'!$E$4:$E$5000,100,0)</f>
        <v>100</v>
      </c>
      <c r="O781" s="9" t="str">
        <f>IF(N781=0,_xlfn.XLOOKUP(F781,'Raw Data'!$I$4:$I$5000,'Raw Data'!$H$4:$H$5000,"",0),"")</f>
        <v/>
      </c>
      <c r="P781" s="9" t="str" cm="1">
        <f t="array" aca="1" ref="P781" ca="1">IF(INDIRECT(M781) = "","",INDIRECT(M781))</f>
        <v/>
      </c>
      <c r="Q781" s="359" t="s">
        <v>4381</v>
      </c>
    </row>
    <row r="782" spans="1:17" x14ac:dyDescent="0.35">
      <c r="A782" t="s">
        <v>1769</v>
      </c>
      <c r="E782" t="str">
        <f>_xlfn.XLOOKUP(F782,'Raw Data'!$I$4:$I$5000,'Raw Data'!$D$4:$D$5000,"*** Mnemonic not found ***",0)</f>
        <v>*** Mnemonic not found ***</v>
      </c>
      <c r="F782" t="str">
        <f t="shared" si="241"/>
        <v>SUCMRUR3FINERG4_1TO5__</v>
      </c>
      <c r="H782" s="9" t="s">
        <v>1137</v>
      </c>
      <c r="K782" s="9">
        <f t="shared" si="242"/>
        <v>243</v>
      </c>
      <c r="L782" s="9" t="str">
        <f t="shared" si="243"/>
        <v>F</v>
      </c>
      <c r="M782" s="9" t="str">
        <f t="shared" si="236"/>
        <v>Input!F243</v>
      </c>
      <c r="N782" s="9">
        <f>_xlfn.XLOOKUP(F782,'Raw Data'!$I$4:$I$5000,'Raw Data'!$E$4:$E$5000,100,0)</f>
        <v>100</v>
      </c>
      <c r="O782" s="9" t="str">
        <f>IF(N782=0,_xlfn.XLOOKUP(F782,'Raw Data'!$I$4:$I$5000,'Raw Data'!$H$4:$H$5000,"",0),"")</f>
        <v/>
      </c>
      <c r="P782" s="9" t="str" cm="1">
        <f t="array" aca="1" ref="P782" ca="1">IF(INDIRECT(M782) = "","",INDIRECT(M782))</f>
        <v/>
      </c>
      <c r="Q782" s="359" t="s">
        <v>4381</v>
      </c>
    </row>
    <row r="783" spans="1:17" x14ac:dyDescent="0.35">
      <c r="A783" t="s">
        <v>1774</v>
      </c>
      <c r="E783" t="str">
        <f>_xlfn.XLOOKUP(F783,'Raw Data'!$I$4:$I$5000,'Raw Data'!$D$4:$D$5000,"*** Mnemonic not found ***",0)</f>
        <v>*** Mnemonic not found ***</v>
      </c>
      <c r="F783" t="str">
        <f t="shared" si="241"/>
        <v>SUCMRUR3FINERG5_1TO5__</v>
      </c>
      <c r="H783" s="9" t="s">
        <v>1137</v>
      </c>
      <c r="K783" s="9">
        <f t="shared" si="242"/>
        <v>243</v>
      </c>
      <c r="L783" s="9" t="str">
        <f t="shared" si="243"/>
        <v>G</v>
      </c>
      <c r="M783" s="9" t="str">
        <f t="shared" ref="M783:M846" si="244">CONCATENATE(H783,"!",L783,K783)</f>
        <v>Input!G243</v>
      </c>
      <c r="N783" s="9">
        <f>_xlfn.XLOOKUP(F783,'Raw Data'!$I$4:$I$5000,'Raw Data'!$E$4:$E$5000,100,0)</f>
        <v>100</v>
      </c>
      <c r="O783" s="9" t="str">
        <f>IF(N783=0,_xlfn.XLOOKUP(F783,'Raw Data'!$I$4:$I$5000,'Raw Data'!$H$4:$H$5000,"",0),"")</f>
        <v/>
      </c>
      <c r="P783" s="9" t="str" cm="1">
        <f t="array" aca="1" ref="P783" ca="1">IF(INDIRECT(M783) = "","",INDIRECT(M783))</f>
        <v/>
      </c>
      <c r="Q783" s="359" t="s">
        <v>4381</v>
      </c>
    </row>
    <row r="784" spans="1:17" x14ac:dyDescent="0.35">
      <c r="A784" t="s">
        <v>1779</v>
      </c>
      <c r="E784" t="str">
        <f>_xlfn.XLOOKUP(F784,'Raw Data'!$I$4:$I$5000,'Raw Data'!$D$4:$D$5000,"*** Mnemonic not found ***",0)</f>
        <v>*** Mnemonic not found ***</v>
      </c>
      <c r="F784" t="str">
        <f t="shared" si="241"/>
        <v>SUCMRUR3FINERG6_1TO5__</v>
      </c>
      <c r="H784" s="9" t="s">
        <v>1137</v>
      </c>
      <c r="K784" s="9">
        <f t="shared" si="242"/>
        <v>243</v>
      </c>
      <c r="L784" s="9" t="str">
        <f t="shared" si="243"/>
        <v>H</v>
      </c>
      <c r="M784" s="9" t="str">
        <f t="shared" si="244"/>
        <v>Input!H243</v>
      </c>
      <c r="N784" s="9">
        <f>_xlfn.XLOOKUP(F784,'Raw Data'!$I$4:$I$5000,'Raw Data'!$E$4:$E$5000,100,0)</f>
        <v>100</v>
      </c>
      <c r="O784" s="9" t="str">
        <f>IF(N784=0,_xlfn.XLOOKUP(F784,'Raw Data'!$I$4:$I$5000,'Raw Data'!$H$4:$H$5000,"",0),"")</f>
        <v/>
      </c>
      <c r="P784" s="9" t="str" cm="1">
        <f t="array" aca="1" ref="P784" ca="1">IF(INDIRECT(M784) = "","",INDIRECT(M784))</f>
        <v/>
      </c>
      <c r="Q784" s="359" t="s">
        <v>4381</v>
      </c>
    </row>
    <row r="785" spans="1:17" x14ac:dyDescent="0.35">
      <c r="A785" t="s">
        <v>1784</v>
      </c>
      <c r="E785" t="str">
        <f>_xlfn.XLOOKUP(F785,'Raw Data'!$I$4:$I$5000,'Raw Data'!$D$4:$D$5000,"*** Mnemonic not found ***",0)</f>
        <v>*** Mnemonic not found ***</v>
      </c>
      <c r="F785" t="str">
        <f t="shared" si="241"/>
        <v>SUCMRUR3FINERG7_1TO5__</v>
      </c>
      <c r="H785" s="9" t="s">
        <v>1137</v>
      </c>
      <c r="K785" s="9">
        <f t="shared" si="242"/>
        <v>243</v>
      </c>
      <c r="L785" s="9" t="str">
        <f t="shared" si="243"/>
        <v>I</v>
      </c>
      <c r="M785" s="9" t="str">
        <f t="shared" si="244"/>
        <v>Input!I243</v>
      </c>
      <c r="N785" s="9">
        <f>_xlfn.XLOOKUP(F785,'Raw Data'!$I$4:$I$5000,'Raw Data'!$E$4:$E$5000,100,0)</f>
        <v>100</v>
      </c>
      <c r="O785" s="9" t="str">
        <f>IF(N785=0,_xlfn.XLOOKUP(F785,'Raw Data'!$I$4:$I$5000,'Raw Data'!$H$4:$H$5000,"",0),"")</f>
        <v/>
      </c>
      <c r="P785" s="9" t="str" cm="1">
        <f t="array" aca="1" ref="P785" ca="1">IF(INDIRECT(M785) = "","",INDIRECT(M785))</f>
        <v/>
      </c>
      <c r="Q785" s="359" t="s">
        <v>4381</v>
      </c>
    </row>
    <row r="786" spans="1:17" x14ac:dyDescent="0.35">
      <c r="A786" t="s">
        <v>1789</v>
      </c>
      <c r="E786" t="str">
        <f>_xlfn.XLOOKUP(F786,'Raw Data'!$I$4:$I$5000,'Raw Data'!$D$4:$D$5000,"*** Mnemonic not found ***",0)</f>
        <v>*** Mnemonic not found ***</v>
      </c>
      <c r="F786" t="str">
        <f t="shared" si="241"/>
        <v>SUCMRUR3FINERG8_1TO5__</v>
      </c>
      <c r="H786" s="9" t="s">
        <v>1137</v>
      </c>
      <c r="K786" s="9">
        <f t="shared" si="242"/>
        <v>243</v>
      </c>
      <c r="L786" s="9" t="str">
        <f t="shared" si="243"/>
        <v>J</v>
      </c>
      <c r="M786" s="9" t="str">
        <f t="shared" si="244"/>
        <v>Input!J243</v>
      </c>
      <c r="N786" s="9">
        <f>_xlfn.XLOOKUP(F786,'Raw Data'!$I$4:$I$5000,'Raw Data'!$E$4:$E$5000,100,0)</f>
        <v>100</v>
      </c>
      <c r="O786" s="9" t="str">
        <f>IF(N786=0,_xlfn.XLOOKUP(F786,'Raw Data'!$I$4:$I$5000,'Raw Data'!$H$4:$H$5000,"",0),"")</f>
        <v/>
      </c>
      <c r="P786" s="9" t="str" cm="1">
        <f t="array" aca="1" ref="P786" ca="1">IF(INDIRECT(M786) = "","",INDIRECT(M786))</f>
        <v/>
      </c>
      <c r="Q786" s="359" t="s">
        <v>4381</v>
      </c>
    </row>
    <row r="787" spans="1:17" x14ac:dyDescent="0.35">
      <c r="A787" t="s">
        <v>1794</v>
      </c>
      <c r="E787" t="str">
        <f>_xlfn.XLOOKUP(F787,'Raw Data'!$I$4:$I$5000,'Raw Data'!$D$4:$D$5000,"*** Mnemonic not found ***",0)</f>
        <v>*** Mnemonic not found ***</v>
      </c>
      <c r="F787" t="str">
        <f t="shared" si="241"/>
        <v>SUCMRUR3FINERG9_1TO5__</v>
      </c>
      <c r="H787" s="9" t="s">
        <v>1137</v>
      </c>
      <c r="K787" s="9">
        <f t="shared" si="242"/>
        <v>243</v>
      </c>
      <c r="L787" s="9" t="str">
        <f t="shared" si="243"/>
        <v>K</v>
      </c>
      <c r="M787" s="9" t="str">
        <f t="shared" si="244"/>
        <v>Input!K243</v>
      </c>
      <c r="N787" s="9">
        <f>_xlfn.XLOOKUP(F787,'Raw Data'!$I$4:$I$5000,'Raw Data'!$E$4:$E$5000,100,0)</f>
        <v>100</v>
      </c>
      <c r="O787" s="9" t="str">
        <f>IF(N787=0,_xlfn.XLOOKUP(F787,'Raw Data'!$I$4:$I$5000,'Raw Data'!$H$4:$H$5000,"",0),"")</f>
        <v/>
      </c>
      <c r="P787" s="9" t="str" cm="1">
        <f t="array" aca="1" ref="P787" ca="1">IF(INDIRECT(M787) = "","",INDIRECT(M787))</f>
        <v/>
      </c>
      <c r="Q787" s="359" t="s">
        <v>4381</v>
      </c>
    </row>
    <row r="788" spans="1:17" x14ac:dyDescent="0.35">
      <c r="A788" t="s">
        <v>1799</v>
      </c>
      <c r="E788" t="str">
        <f>_xlfn.XLOOKUP(F788,'Raw Data'!$I$4:$I$5000,'Raw Data'!$D$4:$D$5000,"*** Mnemonic not found ***",0)</f>
        <v>*** Mnemonic not found ***</v>
      </c>
      <c r="F788" t="str">
        <f t="shared" si="241"/>
        <v>SUCMRUR3FINERG10_1TO5__</v>
      </c>
      <c r="H788" s="9" t="s">
        <v>1137</v>
      </c>
      <c r="K788" s="9">
        <f t="shared" si="242"/>
        <v>243</v>
      </c>
      <c r="L788" s="9" t="str">
        <f t="shared" si="243"/>
        <v>L</v>
      </c>
      <c r="M788" s="9" t="str">
        <f t="shared" si="244"/>
        <v>Input!L243</v>
      </c>
      <c r="N788" s="9">
        <f>_xlfn.XLOOKUP(F788,'Raw Data'!$I$4:$I$5000,'Raw Data'!$E$4:$E$5000,100,0)</f>
        <v>100</v>
      </c>
      <c r="O788" s="9" t="str">
        <f>IF(N788=0,_xlfn.XLOOKUP(F788,'Raw Data'!$I$4:$I$5000,'Raw Data'!$H$4:$H$5000,"",0),"")</f>
        <v/>
      </c>
      <c r="P788" s="9" t="str" cm="1">
        <f t="array" aca="1" ref="P788" ca="1">IF(INDIRECT(M788) = "","",INDIRECT(M788))</f>
        <v/>
      </c>
      <c r="Q788" s="359" t="s">
        <v>4381</v>
      </c>
    </row>
    <row r="789" spans="1:17" x14ac:dyDescent="0.35">
      <c r="A789" t="s">
        <v>1804</v>
      </c>
      <c r="E789" t="str">
        <f>_xlfn.XLOOKUP(F789,'Raw Data'!$I$4:$I$5000,'Raw Data'!$D$4:$D$5000,"*** Mnemonic not found ***",0)</f>
        <v>*** Mnemonic not found ***</v>
      </c>
      <c r="F789" t="str">
        <f t="shared" si="241"/>
        <v>SUCMRUR3FINERGNA_1TO5__</v>
      </c>
      <c r="H789" s="9" t="s">
        <v>1137</v>
      </c>
      <c r="K789" s="9">
        <f t="shared" si="242"/>
        <v>243</v>
      </c>
      <c r="L789" s="9" t="str">
        <f t="shared" si="243"/>
        <v>M</v>
      </c>
      <c r="M789" s="9" t="str">
        <f t="shared" si="244"/>
        <v>Input!M243</v>
      </c>
      <c r="N789" s="9">
        <f>_xlfn.XLOOKUP(F789,'Raw Data'!$I$4:$I$5000,'Raw Data'!$E$4:$E$5000,100,0)</f>
        <v>100</v>
      </c>
      <c r="O789" s="9" t="str">
        <f>IF(N789=0,_xlfn.XLOOKUP(F789,'Raw Data'!$I$4:$I$5000,'Raw Data'!$H$4:$H$5000,"",0),"")</f>
        <v/>
      </c>
      <c r="P789" s="9" t="str" cm="1">
        <f t="array" aca="1" ref="P789" ca="1">IF(INDIRECT(M789) = "","",INDIRECT(M789))</f>
        <v/>
      </c>
      <c r="Q789" s="359" t="s">
        <v>4381</v>
      </c>
    </row>
    <row r="790" spans="1:17" x14ac:dyDescent="0.35">
      <c r="A790" t="s">
        <v>1755</v>
      </c>
      <c r="E790" t="str">
        <f>_xlfn.XLOOKUP(F790,'Raw Data'!$I$4:$I$5000,'Raw Data'!$D$4:$D$5000,"*** Mnemonic not found ***",0)</f>
        <v>*** Mnemonic not found ***</v>
      </c>
      <c r="F790" t="str">
        <f t="shared" si="241"/>
        <v>SUCMRUR3FINERG1_5TO10__</v>
      </c>
      <c r="H790" s="9" t="s">
        <v>1137</v>
      </c>
      <c r="K790" s="9">
        <f t="shared" si="242"/>
        <v>244</v>
      </c>
      <c r="L790" s="9" t="str">
        <f t="shared" si="243"/>
        <v>C</v>
      </c>
      <c r="M790" s="9" t="str">
        <f t="shared" si="244"/>
        <v>Input!C244</v>
      </c>
      <c r="N790" s="9">
        <f>_xlfn.XLOOKUP(F790,'Raw Data'!$I$4:$I$5000,'Raw Data'!$E$4:$E$5000,100,0)</f>
        <v>100</v>
      </c>
      <c r="O790" s="9" t="str">
        <f>IF(N790=0,_xlfn.XLOOKUP(F790,'Raw Data'!$I$4:$I$5000,'Raw Data'!$H$4:$H$5000,"",0),"")</f>
        <v/>
      </c>
      <c r="P790" s="9" t="str" cm="1">
        <f t="array" aca="1" ref="P790" ca="1">IF(INDIRECT(M790) = "","",INDIRECT(M790))</f>
        <v/>
      </c>
      <c r="Q790" s="359" t="s">
        <v>4381</v>
      </c>
    </row>
    <row r="791" spans="1:17" x14ac:dyDescent="0.35">
      <c r="A791" t="s">
        <v>1760</v>
      </c>
      <c r="E791" t="str">
        <f>_xlfn.XLOOKUP(F791,'Raw Data'!$I$4:$I$5000,'Raw Data'!$D$4:$D$5000,"*** Mnemonic not found ***",0)</f>
        <v>*** Mnemonic not found ***</v>
      </c>
      <c r="F791" t="str">
        <f t="shared" si="241"/>
        <v>SUCMRUR3FINERG2_5TO10__</v>
      </c>
      <c r="H791" s="9" t="s">
        <v>1137</v>
      </c>
      <c r="K791" s="9">
        <f t="shared" si="242"/>
        <v>244</v>
      </c>
      <c r="L791" s="9" t="str">
        <f t="shared" si="243"/>
        <v>D</v>
      </c>
      <c r="M791" s="9" t="str">
        <f t="shared" si="244"/>
        <v>Input!D244</v>
      </c>
      <c r="N791" s="9">
        <f>_xlfn.XLOOKUP(F791,'Raw Data'!$I$4:$I$5000,'Raw Data'!$E$4:$E$5000,100,0)</f>
        <v>100</v>
      </c>
      <c r="O791" s="9" t="str">
        <f>IF(N791=0,_xlfn.XLOOKUP(F791,'Raw Data'!$I$4:$I$5000,'Raw Data'!$H$4:$H$5000,"",0),"")</f>
        <v/>
      </c>
      <c r="P791" s="9" t="str" cm="1">
        <f t="array" aca="1" ref="P791" ca="1">IF(INDIRECT(M791) = "","",INDIRECT(M791))</f>
        <v/>
      </c>
      <c r="Q791" s="359" t="s">
        <v>4381</v>
      </c>
    </row>
    <row r="792" spans="1:17" x14ac:dyDescent="0.35">
      <c r="A792" t="s">
        <v>1765</v>
      </c>
      <c r="E792" t="str">
        <f>_xlfn.XLOOKUP(F792,'Raw Data'!$I$4:$I$5000,'Raw Data'!$D$4:$D$5000,"*** Mnemonic not found ***",0)</f>
        <v>*** Mnemonic not found ***</v>
      </c>
      <c r="F792" t="str">
        <f t="shared" si="241"/>
        <v>SUCMRUR3FINERG3_5TO10__</v>
      </c>
      <c r="H792" s="9" t="s">
        <v>1137</v>
      </c>
      <c r="K792" s="9">
        <f t="shared" si="242"/>
        <v>244</v>
      </c>
      <c r="L792" s="9" t="str">
        <f t="shared" si="243"/>
        <v>E</v>
      </c>
      <c r="M792" s="9" t="str">
        <f t="shared" si="244"/>
        <v>Input!E244</v>
      </c>
      <c r="N792" s="9">
        <f>_xlfn.XLOOKUP(F792,'Raw Data'!$I$4:$I$5000,'Raw Data'!$E$4:$E$5000,100,0)</f>
        <v>100</v>
      </c>
      <c r="O792" s="9" t="str">
        <f>IF(N792=0,_xlfn.XLOOKUP(F792,'Raw Data'!$I$4:$I$5000,'Raw Data'!$H$4:$H$5000,"",0),"")</f>
        <v/>
      </c>
      <c r="P792" s="9" t="str" cm="1">
        <f t="array" aca="1" ref="P792" ca="1">IF(INDIRECT(M792) = "","",INDIRECT(M792))</f>
        <v/>
      </c>
      <c r="Q792" s="359" t="s">
        <v>4381</v>
      </c>
    </row>
    <row r="793" spans="1:17" x14ac:dyDescent="0.35">
      <c r="A793" t="s">
        <v>1770</v>
      </c>
      <c r="E793" t="str">
        <f>_xlfn.XLOOKUP(F793,'Raw Data'!$I$4:$I$5000,'Raw Data'!$D$4:$D$5000,"*** Mnemonic not found ***",0)</f>
        <v>*** Mnemonic not found ***</v>
      </c>
      <c r="F793" t="str">
        <f t="shared" si="241"/>
        <v>SUCMRUR3FINERG4_5TO10__</v>
      </c>
      <c r="H793" s="9" t="s">
        <v>1137</v>
      </c>
      <c r="K793" s="9">
        <f t="shared" si="242"/>
        <v>244</v>
      </c>
      <c r="L793" s="9" t="str">
        <f t="shared" si="243"/>
        <v>F</v>
      </c>
      <c r="M793" s="9" t="str">
        <f t="shared" si="244"/>
        <v>Input!F244</v>
      </c>
      <c r="N793" s="9">
        <f>_xlfn.XLOOKUP(F793,'Raw Data'!$I$4:$I$5000,'Raw Data'!$E$4:$E$5000,100,0)</f>
        <v>100</v>
      </c>
      <c r="O793" s="9" t="str">
        <f>IF(N793=0,_xlfn.XLOOKUP(F793,'Raw Data'!$I$4:$I$5000,'Raw Data'!$H$4:$H$5000,"",0),"")</f>
        <v/>
      </c>
      <c r="P793" s="9" t="str" cm="1">
        <f t="array" aca="1" ref="P793" ca="1">IF(INDIRECT(M793) = "","",INDIRECT(M793))</f>
        <v/>
      </c>
      <c r="Q793" s="359" t="s">
        <v>4381</v>
      </c>
    </row>
    <row r="794" spans="1:17" x14ac:dyDescent="0.35">
      <c r="A794" t="s">
        <v>1775</v>
      </c>
      <c r="E794" t="str">
        <f>_xlfn.XLOOKUP(F794,'Raw Data'!$I$4:$I$5000,'Raw Data'!$D$4:$D$5000,"*** Mnemonic not found ***",0)</f>
        <v>*** Mnemonic not found ***</v>
      </c>
      <c r="F794" t="str">
        <f t="shared" si="241"/>
        <v>SUCMRUR3FINERG5_5TO10__</v>
      </c>
      <c r="H794" s="9" t="s">
        <v>1137</v>
      </c>
      <c r="K794" s="9">
        <f t="shared" si="242"/>
        <v>244</v>
      </c>
      <c r="L794" s="9" t="str">
        <f t="shared" si="243"/>
        <v>G</v>
      </c>
      <c r="M794" s="9" t="str">
        <f t="shared" si="244"/>
        <v>Input!G244</v>
      </c>
      <c r="N794" s="9">
        <f>_xlfn.XLOOKUP(F794,'Raw Data'!$I$4:$I$5000,'Raw Data'!$E$4:$E$5000,100,0)</f>
        <v>100</v>
      </c>
      <c r="O794" s="9" t="str">
        <f>IF(N794=0,_xlfn.XLOOKUP(F794,'Raw Data'!$I$4:$I$5000,'Raw Data'!$H$4:$H$5000,"",0),"")</f>
        <v/>
      </c>
      <c r="P794" s="9" t="str" cm="1">
        <f t="array" aca="1" ref="P794" ca="1">IF(INDIRECT(M794) = "","",INDIRECT(M794))</f>
        <v/>
      </c>
      <c r="Q794" s="359" t="s">
        <v>4381</v>
      </c>
    </row>
    <row r="795" spans="1:17" x14ac:dyDescent="0.35">
      <c r="A795" t="s">
        <v>1780</v>
      </c>
      <c r="E795" t="str">
        <f>_xlfn.XLOOKUP(F795,'Raw Data'!$I$4:$I$5000,'Raw Data'!$D$4:$D$5000,"*** Mnemonic not found ***",0)</f>
        <v>*** Mnemonic not found ***</v>
      </c>
      <c r="F795" t="str">
        <f t="shared" si="241"/>
        <v>SUCMRUR3FINERG6_5TO10__</v>
      </c>
      <c r="H795" s="9" t="s">
        <v>1137</v>
      </c>
      <c r="K795" s="9">
        <f t="shared" si="242"/>
        <v>244</v>
      </c>
      <c r="L795" s="9" t="str">
        <f t="shared" si="243"/>
        <v>H</v>
      </c>
      <c r="M795" s="9" t="str">
        <f t="shared" si="244"/>
        <v>Input!H244</v>
      </c>
      <c r="N795" s="9">
        <f>_xlfn.XLOOKUP(F795,'Raw Data'!$I$4:$I$5000,'Raw Data'!$E$4:$E$5000,100,0)</f>
        <v>100</v>
      </c>
      <c r="O795" s="9" t="str">
        <f>IF(N795=0,_xlfn.XLOOKUP(F795,'Raw Data'!$I$4:$I$5000,'Raw Data'!$H$4:$H$5000,"",0),"")</f>
        <v/>
      </c>
      <c r="P795" s="9" t="str" cm="1">
        <f t="array" aca="1" ref="P795" ca="1">IF(INDIRECT(M795) = "","",INDIRECT(M795))</f>
        <v/>
      </c>
      <c r="Q795" s="359" t="s">
        <v>4381</v>
      </c>
    </row>
    <row r="796" spans="1:17" x14ac:dyDescent="0.35">
      <c r="A796" t="s">
        <v>1785</v>
      </c>
      <c r="E796" t="str">
        <f>_xlfn.XLOOKUP(F796,'Raw Data'!$I$4:$I$5000,'Raw Data'!$D$4:$D$5000,"*** Mnemonic not found ***",0)</f>
        <v>*** Mnemonic not found ***</v>
      </c>
      <c r="F796" t="str">
        <f t="shared" si="241"/>
        <v>SUCMRUR3FINERG7_5TO10__</v>
      </c>
      <c r="H796" s="9" t="s">
        <v>1137</v>
      </c>
      <c r="K796" s="9">
        <f t="shared" si="242"/>
        <v>244</v>
      </c>
      <c r="L796" s="9" t="str">
        <f t="shared" si="243"/>
        <v>I</v>
      </c>
      <c r="M796" s="9" t="str">
        <f t="shared" si="244"/>
        <v>Input!I244</v>
      </c>
      <c r="N796" s="9">
        <f>_xlfn.XLOOKUP(F796,'Raw Data'!$I$4:$I$5000,'Raw Data'!$E$4:$E$5000,100,0)</f>
        <v>100</v>
      </c>
      <c r="O796" s="9" t="str">
        <f>IF(N796=0,_xlfn.XLOOKUP(F796,'Raw Data'!$I$4:$I$5000,'Raw Data'!$H$4:$H$5000,"",0),"")</f>
        <v/>
      </c>
      <c r="P796" s="9" t="str" cm="1">
        <f t="array" aca="1" ref="P796" ca="1">IF(INDIRECT(M796) = "","",INDIRECT(M796))</f>
        <v/>
      </c>
      <c r="Q796" s="359" t="s">
        <v>4381</v>
      </c>
    </row>
    <row r="797" spans="1:17" x14ac:dyDescent="0.35">
      <c r="A797" t="s">
        <v>1790</v>
      </c>
      <c r="E797" t="str">
        <f>_xlfn.XLOOKUP(F797,'Raw Data'!$I$4:$I$5000,'Raw Data'!$D$4:$D$5000,"*** Mnemonic not found ***",0)</f>
        <v>*** Mnemonic not found ***</v>
      </c>
      <c r="F797" t="str">
        <f t="shared" si="241"/>
        <v>SUCMRUR3FINERG8_5TO10__</v>
      </c>
      <c r="H797" s="9" t="s">
        <v>1137</v>
      </c>
      <c r="K797" s="9">
        <f t="shared" si="242"/>
        <v>244</v>
      </c>
      <c r="L797" s="9" t="str">
        <f t="shared" si="243"/>
        <v>J</v>
      </c>
      <c r="M797" s="9" t="str">
        <f t="shared" si="244"/>
        <v>Input!J244</v>
      </c>
      <c r="N797" s="9">
        <f>_xlfn.XLOOKUP(F797,'Raw Data'!$I$4:$I$5000,'Raw Data'!$E$4:$E$5000,100,0)</f>
        <v>100</v>
      </c>
      <c r="O797" s="9" t="str">
        <f>IF(N797=0,_xlfn.XLOOKUP(F797,'Raw Data'!$I$4:$I$5000,'Raw Data'!$H$4:$H$5000,"",0),"")</f>
        <v/>
      </c>
      <c r="P797" s="9" t="str" cm="1">
        <f t="array" aca="1" ref="P797" ca="1">IF(INDIRECT(M797) = "","",INDIRECT(M797))</f>
        <v/>
      </c>
      <c r="Q797" s="359" t="s">
        <v>4381</v>
      </c>
    </row>
    <row r="798" spans="1:17" x14ac:dyDescent="0.35">
      <c r="A798" t="s">
        <v>1795</v>
      </c>
      <c r="E798" t="str">
        <f>_xlfn.XLOOKUP(F798,'Raw Data'!$I$4:$I$5000,'Raw Data'!$D$4:$D$5000,"*** Mnemonic not found ***",0)</f>
        <v>*** Mnemonic not found ***</v>
      </c>
      <c r="F798" t="str">
        <f t="shared" si="241"/>
        <v>SUCMRUR3FINERG9_5TO10__</v>
      </c>
      <c r="H798" s="9" t="s">
        <v>1137</v>
      </c>
      <c r="K798" s="9">
        <f t="shared" si="242"/>
        <v>244</v>
      </c>
      <c r="L798" s="9" t="str">
        <f t="shared" si="243"/>
        <v>K</v>
      </c>
      <c r="M798" s="9" t="str">
        <f t="shared" si="244"/>
        <v>Input!K244</v>
      </c>
      <c r="N798" s="9">
        <f>_xlfn.XLOOKUP(F798,'Raw Data'!$I$4:$I$5000,'Raw Data'!$E$4:$E$5000,100,0)</f>
        <v>100</v>
      </c>
      <c r="O798" s="9" t="str">
        <f>IF(N798=0,_xlfn.XLOOKUP(F798,'Raw Data'!$I$4:$I$5000,'Raw Data'!$H$4:$H$5000,"",0),"")</f>
        <v/>
      </c>
      <c r="P798" s="9" t="str" cm="1">
        <f t="array" aca="1" ref="P798" ca="1">IF(INDIRECT(M798) = "","",INDIRECT(M798))</f>
        <v/>
      </c>
      <c r="Q798" s="359" t="s">
        <v>4381</v>
      </c>
    </row>
    <row r="799" spans="1:17" x14ac:dyDescent="0.35">
      <c r="A799" t="s">
        <v>1800</v>
      </c>
      <c r="E799" t="str">
        <f>_xlfn.XLOOKUP(F799,'Raw Data'!$I$4:$I$5000,'Raw Data'!$D$4:$D$5000,"*** Mnemonic not found ***",0)</f>
        <v>*** Mnemonic not found ***</v>
      </c>
      <c r="F799" t="str">
        <f t="shared" si="241"/>
        <v>SUCMRUR3FINERG10_5TO10__</v>
      </c>
      <c r="H799" s="9" t="s">
        <v>1137</v>
      </c>
      <c r="K799" s="9">
        <f t="shared" si="242"/>
        <v>244</v>
      </c>
      <c r="L799" s="9" t="str">
        <f t="shared" si="243"/>
        <v>L</v>
      </c>
      <c r="M799" s="9" t="str">
        <f t="shared" si="244"/>
        <v>Input!L244</v>
      </c>
      <c r="N799" s="9">
        <f>_xlfn.XLOOKUP(F799,'Raw Data'!$I$4:$I$5000,'Raw Data'!$E$4:$E$5000,100,0)</f>
        <v>100</v>
      </c>
      <c r="O799" s="9" t="str">
        <f>IF(N799=0,_xlfn.XLOOKUP(F799,'Raw Data'!$I$4:$I$5000,'Raw Data'!$H$4:$H$5000,"",0),"")</f>
        <v/>
      </c>
      <c r="P799" s="9" t="str" cm="1">
        <f t="array" aca="1" ref="P799" ca="1">IF(INDIRECT(M799) = "","",INDIRECT(M799))</f>
        <v/>
      </c>
      <c r="Q799" s="359" t="s">
        <v>4381</v>
      </c>
    </row>
    <row r="800" spans="1:17" x14ac:dyDescent="0.35">
      <c r="A800" t="s">
        <v>1805</v>
      </c>
      <c r="E800" t="str">
        <f>_xlfn.XLOOKUP(F800,'Raw Data'!$I$4:$I$5000,'Raw Data'!$D$4:$D$5000,"*** Mnemonic not found ***",0)</f>
        <v>*** Mnemonic not found ***</v>
      </c>
      <c r="F800" t="str">
        <f t="shared" si="241"/>
        <v>SUCMRUR3FINERGNA_5TO10__</v>
      </c>
      <c r="H800" s="9" t="s">
        <v>1137</v>
      </c>
      <c r="K800" s="9">
        <f t="shared" si="242"/>
        <v>244</v>
      </c>
      <c r="L800" s="9" t="str">
        <f t="shared" si="243"/>
        <v>M</v>
      </c>
      <c r="M800" s="9" t="str">
        <f t="shared" si="244"/>
        <v>Input!M244</v>
      </c>
      <c r="N800" s="9">
        <f>_xlfn.XLOOKUP(F800,'Raw Data'!$I$4:$I$5000,'Raw Data'!$E$4:$E$5000,100,0)</f>
        <v>100</v>
      </c>
      <c r="O800" s="9" t="str">
        <f>IF(N800=0,_xlfn.XLOOKUP(F800,'Raw Data'!$I$4:$I$5000,'Raw Data'!$H$4:$H$5000,"",0),"")</f>
        <v/>
      </c>
      <c r="P800" s="9" t="str" cm="1">
        <f t="array" aca="1" ref="P800" ca="1">IF(INDIRECT(M800) = "","",INDIRECT(M800))</f>
        <v/>
      </c>
      <c r="Q800" s="359" t="s">
        <v>4381</v>
      </c>
    </row>
    <row r="801" spans="1:17" x14ac:dyDescent="0.35">
      <c r="A801" t="s">
        <v>1756</v>
      </c>
      <c r="E801" t="str">
        <f>_xlfn.XLOOKUP(F801,'Raw Data'!$I$4:$I$5000,'Raw Data'!$D$4:$D$5000,"*** Mnemonic not found ***",0)</f>
        <v>*** Mnemonic not found ***</v>
      </c>
      <c r="F801" t="str">
        <f t="shared" si="241"/>
        <v>SUCMRUR3FINERG1_10TO20__</v>
      </c>
      <c r="H801" s="9" t="s">
        <v>1137</v>
      </c>
      <c r="K801" s="9">
        <f t="shared" si="242"/>
        <v>245</v>
      </c>
      <c r="L801" s="9" t="str">
        <f t="shared" si="243"/>
        <v>C</v>
      </c>
      <c r="M801" s="9" t="str">
        <f t="shared" si="244"/>
        <v>Input!C245</v>
      </c>
      <c r="N801" s="9">
        <f>_xlfn.XLOOKUP(F801,'Raw Data'!$I$4:$I$5000,'Raw Data'!$E$4:$E$5000,100,0)</f>
        <v>100</v>
      </c>
      <c r="O801" s="9" t="str">
        <f>IF(N801=0,_xlfn.XLOOKUP(F801,'Raw Data'!$I$4:$I$5000,'Raw Data'!$H$4:$H$5000,"",0),"")</f>
        <v/>
      </c>
      <c r="P801" s="9" t="str" cm="1">
        <f t="array" aca="1" ref="P801" ca="1">IF(INDIRECT(M801) = "","",INDIRECT(M801))</f>
        <v/>
      </c>
      <c r="Q801" s="359" t="s">
        <v>4381</v>
      </c>
    </row>
    <row r="802" spans="1:17" x14ac:dyDescent="0.35">
      <c r="A802" t="s">
        <v>1761</v>
      </c>
      <c r="E802" t="str">
        <f>_xlfn.XLOOKUP(F802,'Raw Data'!$I$4:$I$5000,'Raw Data'!$D$4:$D$5000,"*** Mnemonic not found ***",0)</f>
        <v>*** Mnemonic not found ***</v>
      </c>
      <c r="F802" t="str">
        <f t="shared" si="241"/>
        <v>SUCMRUR3FINERG2_10TO20__</v>
      </c>
      <c r="H802" s="9" t="s">
        <v>1137</v>
      </c>
      <c r="K802" s="9">
        <f t="shared" si="242"/>
        <v>245</v>
      </c>
      <c r="L802" s="9" t="str">
        <f t="shared" si="243"/>
        <v>D</v>
      </c>
      <c r="M802" s="9" t="str">
        <f t="shared" si="244"/>
        <v>Input!D245</v>
      </c>
      <c r="N802" s="9">
        <f>_xlfn.XLOOKUP(F802,'Raw Data'!$I$4:$I$5000,'Raw Data'!$E$4:$E$5000,100,0)</f>
        <v>100</v>
      </c>
      <c r="O802" s="9" t="str">
        <f>IF(N802=0,_xlfn.XLOOKUP(F802,'Raw Data'!$I$4:$I$5000,'Raw Data'!$H$4:$H$5000,"",0),"")</f>
        <v/>
      </c>
      <c r="P802" s="9" t="str" cm="1">
        <f t="array" aca="1" ref="P802" ca="1">IF(INDIRECT(M802) = "","",INDIRECT(M802))</f>
        <v/>
      </c>
      <c r="Q802" s="359" t="s">
        <v>4381</v>
      </c>
    </row>
    <row r="803" spans="1:17" x14ac:dyDescent="0.35">
      <c r="A803" t="s">
        <v>1766</v>
      </c>
      <c r="E803" t="str">
        <f>_xlfn.XLOOKUP(F803,'Raw Data'!$I$4:$I$5000,'Raw Data'!$D$4:$D$5000,"*** Mnemonic not found ***",0)</f>
        <v>*** Mnemonic not found ***</v>
      </c>
      <c r="F803" t="str">
        <f t="shared" si="241"/>
        <v>SUCMRUR3FINERG3_10TO20__</v>
      </c>
      <c r="H803" s="9" t="s">
        <v>1137</v>
      </c>
      <c r="K803" s="9">
        <f t="shared" si="242"/>
        <v>245</v>
      </c>
      <c r="L803" s="9" t="str">
        <f t="shared" si="243"/>
        <v>E</v>
      </c>
      <c r="M803" s="9" t="str">
        <f t="shared" si="244"/>
        <v>Input!E245</v>
      </c>
      <c r="N803" s="9">
        <f>_xlfn.XLOOKUP(F803,'Raw Data'!$I$4:$I$5000,'Raw Data'!$E$4:$E$5000,100,0)</f>
        <v>100</v>
      </c>
      <c r="O803" s="9" t="str">
        <f>IF(N803=0,_xlfn.XLOOKUP(F803,'Raw Data'!$I$4:$I$5000,'Raw Data'!$H$4:$H$5000,"",0),"")</f>
        <v/>
      </c>
      <c r="P803" s="9" t="str" cm="1">
        <f t="array" aca="1" ref="P803" ca="1">IF(INDIRECT(M803) = "","",INDIRECT(M803))</f>
        <v/>
      </c>
      <c r="Q803" s="359" t="s">
        <v>4381</v>
      </c>
    </row>
    <row r="804" spans="1:17" x14ac:dyDescent="0.35">
      <c r="A804" t="s">
        <v>1771</v>
      </c>
      <c r="E804" t="str">
        <f>_xlfn.XLOOKUP(F804,'Raw Data'!$I$4:$I$5000,'Raw Data'!$D$4:$D$5000,"*** Mnemonic not found ***",0)</f>
        <v>*** Mnemonic not found ***</v>
      </c>
      <c r="F804" t="str">
        <f t="shared" si="241"/>
        <v>SUCMRUR3FINERG4_10TO20__</v>
      </c>
      <c r="H804" s="9" t="s">
        <v>1137</v>
      </c>
      <c r="K804" s="9">
        <f t="shared" si="242"/>
        <v>245</v>
      </c>
      <c r="L804" s="9" t="str">
        <f t="shared" si="243"/>
        <v>F</v>
      </c>
      <c r="M804" s="9" t="str">
        <f t="shared" si="244"/>
        <v>Input!F245</v>
      </c>
      <c r="N804" s="9">
        <f>_xlfn.XLOOKUP(F804,'Raw Data'!$I$4:$I$5000,'Raw Data'!$E$4:$E$5000,100,0)</f>
        <v>100</v>
      </c>
      <c r="O804" s="9" t="str">
        <f>IF(N804=0,_xlfn.XLOOKUP(F804,'Raw Data'!$I$4:$I$5000,'Raw Data'!$H$4:$H$5000,"",0),"")</f>
        <v/>
      </c>
      <c r="P804" s="9" t="str" cm="1">
        <f t="array" aca="1" ref="P804" ca="1">IF(INDIRECT(M804) = "","",INDIRECT(M804))</f>
        <v/>
      </c>
      <c r="Q804" s="359" t="s">
        <v>4381</v>
      </c>
    </row>
    <row r="805" spans="1:17" x14ac:dyDescent="0.35">
      <c r="A805" t="s">
        <v>1776</v>
      </c>
      <c r="E805" t="str">
        <f>_xlfn.XLOOKUP(F805,'Raw Data'!$I$4:$I$5000,'Raw Data'!$D$4:$D$5000,"*** Mnemonic not found ***",0)</f>
        <v>*** Mnemonic not found ***</v>
      </c>
      <c r="F805" t="str">
        <f t="shared" si="241"/>
        <v>SUCMRUR3FINERG5_10TO20__</v>
      </c>
      <c r="H805" s="9" t="s">
        <v>1137</v>
      </c>
      <c r="K805" s="9">
        <f t="shared" si="242"/>
        <v>245</v>
      </c>
      <c r="L805" s="9" t="str">
        <f t="shared" si="243"/>
        <v>G</v>
      </c>
      <c r="M805" s="9" t="str">
        <f t="shared" si="244"/>
        <v>Input!G245</v>
      </c>
      <c r="N805" s="9">
        <f>_xlfn.XLOOKUP(F805,'Raw Data'!$I$4:$I$5000,'Raw Data'!$E$4:$E$5000,100,0)</f>
        <v>100</v>
      </c>
      <c r="O805" s="9" t="str">
        <f>IF(N805=0,_xlfn.XLOOKUP(F805,'Raw Data'!$I$4:$I$5000,'Raw Data'!$H$4:$H$5000,"",0),"")</f>
        <v/>
      </c>
      <c r="P805" s="9" t="str" cm="1">
        <f t="array" aca="1" ref="P805" ca="1">IF(INDIRECT(M805) = "","",INDIRECT(M805))</f>
        <v/>
      </c>
      <c r="Q805" s="359" t="s">
        <v>4381</v>
      </c>
    </row>
    <row r="806" spans="1:17" x14ac:dyDescent="0.35">
      <c r="A806" t="s">
        <v>1781</v>
      </c>
      <c r="E806" t="str">
        <f>_xlfn.XLOOKUP(F806,'Raw Data'!$I$4:$I$5000,'Raw Data'!$D$4:$D$5000,"*** Mnemonic not found ***",0)</f>
        <v>*** Mnemonic not found ***</v>
      </c>
      <c r="F806" t="str">
        <f t="shared" si="241"/>
        <v>SUCMRUR3FINERG6_10TO20__</v>
      </c>
      <c r="H806" s="9" t="s">
        <v>1137</v>
      </c>
      <c r="K806" s="9">
        <f t="shared" si="242"/>
        <v>245</v>
      </c>
      <c r="L806" s="9" t="str">
        <f t="shared" si="243"/>
        <v>H</v>
      </c>
      <c r="M806" s="9" t="str">
        <f t="shared" si="244"/>
        <v>Input!H245</v>
      </c>
      <c r="N806" s="9">
        <f>_xlfn.XLOOKUP(F806,'Raw Data'!$I$4:$I$5000,'Raw Data'!$E$4:$E$5000,100,0)</f>
        <v>100</v>
      </c>
      <c r="O806" s="9" t="str">
        <f>IF(N806=0,_xlfn.XLOOKUP(F806,'Raw Data'!$I$4:$I$5000,'Raw Data'!$H$4:$H$5000,"",0),"")</f>
        <v/>
      </c>
      <c r="P806" s="9" t="str" cm="1">
        <f t="array" aca="1" ref="P806" ca="1">IF(INDIRECT(M806) = "","",INDIRECT(M806))</f>
        <v/>
      </c>
      <c r="Q806" s="359" t="s">
        <v>4381</v>
      </c>
    </row>
    <row r="807" spans="1:17" x14ac:dyDescent="0.35">
      <c r="A807" t="s">
        <v>1786</v>
      </c>
      <c r="E807" t="str">
        <f>_xlfn.XLOOKUP(F807,'Raw Data'!$I$4:$I$5000,'Raw Data'!$D$4:$D$5000,"*** Mnemonic not found ***",0)</f>
        <v>*** Mnemonic not found ***</v>
      </c>
      <c r="F807" t="str">
        <f t="shared" si="241"/>
        <v>SUCMRUR3FINERG7_10TO20__</v>
      </c>
      <c r="H807" s="9" t="s">
        <v>1137</v>
      </c>
      <c r="K807" s="9">
        <f t="shared" si="242"/>
        <v>245</v>
      </c>
      <c r="L807" s="9" t="str">
        <f t="shared" si="243"/>
        <v>I</v>
      </c>
      <c r="M807" s="9" t="str">
        <f t="shared" si="244"/>
        <v>Input!I245</v>
      </c>
      <c r="N807" s="9">
        <f>_xlfn.XLOOKUP(F807,'Raw Data'!$I$4:$I$5000,'Raw Data'!$E$4:$E$5000,100,0)</f>
        <v>100</v>
      </c>
      <c r="O807" s="9" t="str">
        <f>IF(N807=0,_xlfn.XLOOKUP(F807,'Raw Data'!$I$4:$I$5000,'Raw Data'!$H$4:$H$5000,"",0),"")</f>
        <v/>
      </c>
      <c r="P807" s="9" t="str" cm="1">
        <f t="array" aca="1" ref="P807" ca="1">IF(INDIRECT(M807) = "","",INDIRECT(M807))</f>
        <v/>
      </c>
      <c r="Q807" s="359" t="s">
        <v>4381</v>
      </c>
    </row>
    <row r="808" spans="1:17" x14ac:dyDescent="0.35">
      <c r="A808" t="s">
        <v>1791</v>
      </c>
      <c r="E808" t="str">
        <f>_xlfn.XLOOKUP(F808,'Raw Data'!$I$4:$I$5000,'Raw Data'!$D$4:$D$5000,"*** Mnemonic not found ***",0)</f>
        <v>*** Mnemonic not found ***</v>
      </c>
      <c r="F808" t="str">
        <f t="shared" si="241"/>
        <v>SUCMRUR3FINERG8_10TO20__</v>
      </c>
      <c r="H808" s="9" t="s">
        <v>1137</v>
      </c>
      <c r="K808" s="9">
        <f t="shared" si="242"/>
        <v>245</v>
      </c>
      <c r="L808" s="9" t="str">
        <f t="shared" si="243"/>
        <v>J</v>
      </c>
      <c r="M808" s="9" t="str">
        <f t="shared" si="244"/>
        <v>Input!J245</v>
      </c>
      <c r="N808" s="9">
        <f>_xlfn.XLOOKUP(F808,'Raw Data'!$I$4:$I$5000,'Raw Data'!$E$4:$E$5000,100,0)</f>
        <v>100</v>
      </c>
      <c r="O808" s="9" t="str">
        <f>IF(N808=0,_xlfn.XLOOKUP(F808,'Raw Data'!$I$4:$I$5000,'Raw Data'!$H$4:$H$5000,"",0),"")</f>
        <v/>
      </c>
      <c r="P808" s="9" t="str" cm="1">
        <f t="array" aca="1" ref="P808" ca="1">IF(INDIRECT(M808) = "","",INDIRECT(M808))</f>
        <v/>
      </c>
      <c r="Q808" s="359" t="s">
        <v>4381</v>
      </c>
    </row>
    <row r="809" spans="1:17" x14ac:dyDescent="0.35">
      <c r="A809" t="s">
        <v>1796</v>
      </c>
      <c r="E809" t="str">
        <f>_xlfn.XLOOKUP(F809,'Raw Data'!$I$4:$I$5000,'Raw Data'!$D$4:$D$5000,"*** Mnemonic not found ***",0)</f>
        <v>*** Mnemonic not found ***</v>
      </c>
      <c r="F809" t="str">
        <f t="shared" si="241"/>
        <v>SUCMRUR3FINERG9_10TO20__</v>
      </c>
      <c r="H809" s="9" t="s">
        <v>1137</v>
      </c>
      <c r="K809" s="9">
        <f t="shared" si="242"/>
        <v>245</v>
      </c>
      <c r="L809" s="9" t="str">
        <f t="shared" si="243"/>
        <v>K</v>
      </c>
      <c r="M809" s="9" t="str">
        <f t="shared" si="244"/>
        <v>Input!K245</v>
      </c>
      <c r="N809" s="9">
        <f>_xlfn.XLOOKUP(F809,'Raw Data'!$I$4:$I$5000,'Raw Data'!$E$4:$E$5000,100,0)</f>
        <v>100</v>
      </c>
      <c r="O809" s="9" t="str">
        <f>IF(N809=0,_xlfn.XLOOKUP(F809,'Raw Data'!$I$4:$I$5000,'Raw Data'!$H$4:$H$5000,"",0),"")</f>
        <v/>
      </c>
      <c r="P809" s="9" t="str" cm="1">
        <f t="array" aca="1" ref="P809" ca="1">IF(INDIRECT(M809) = "","",INDIRECT(M809))</f>
        <v/>
      </c>
      <c r="Q809" s="359" t="s">
        <v>4381</v>
      </c>
    </row>
    <row r="810" spans="1:17" x14ac:dyDescent="0.35">
      <c r="A810" t="s">
        <v>1801</v>
      </c>
      <c r="E810" t="str">
        <f>_xlfn.XLOOKUP(F810,'Raw Data'!$I$4:$I$5000,'Raw Data'!$D$4:$D$5000,"*** Mnemonic not found ***",0)</f>
        <v>*** Mnemonic not found ***</v>
      </c>
      <c r="F810" t="str">
        <f t="shared" si="241"/>
        <v>SUCMRUR3FINERG10_10TO20__</v>
      </c>
      <c r="H810" s="9" t="s">
        <v>1137</v>
      </c>
      <c r="K810" s="9">
        <f t="shared" si="242"/>
        <v>245</v>
      </c>
      <c r="L810" s="9" t="str">
        <f t="shared" si="243"/>
        <v>L</v>
      </c>
      <c r="M810" s="9" t="str">
        <f t="shared" si="244"/>
        <v>Input!L245</v>
      </c>
      <c r="N810" s="9">
        <f>_xlfn.XLOOKUP(F810,'Raw Data'!$I$4:$I$5000,'Raw Data'!$E$4:$E$5000,100,0)</f>
        <v>100</v>
      </c>
      <c r="O810" s="9" t="str">
        <f>IF(N810=0,_xlfn.XLOOKUP(F810,'Raw Data'!$I$4:$I$5000,'Raw Data'!$H$4:$H$5000,"",0),"")</f>
        <v/>
      </c>
      <c r="P810" s="9" t="str" cm="1">
        <f t="array" aca="1" ref="P810" ca="1">IF(INDIRECT(M810) = "","",INDIRECT(M810))</f>
        <v/>
      </c>
      <c r="Q810" s="359" t="s">
        <v>4381</v>
      </c>
    </row>
    <row r="811" spans="1:17" x14ac:dyDescent="0.35">
      <c r="A811" t="s">
        <v>1806</v>
      </c>
      <c r="E811" t="str">
        <f>_xlfn.XLOOKUP(F811,'Raw Data'!$I$4:$I$5000,'Raw Data'!$D$4:$D$5000,"*** Mnemonic not found ***",0)</f>
        <v>*** Mnemonic not found ***</v>
      </c>
      <c r="F811" t="str">
        <f t="shared" si="241"/>
        <v>SUCMRUR3FINERGNA_10TO20__</v>
      </c>
      <c r="H811" s="9" t="s">
        <v>1137</v>
      </c>
      <c r="K811" s="9">
        <f t="shared" si="242"/>
        <v>245</v>
      </c>
      <c r="L811" s="9" t="str">
        <f t="shared" si="243"/>
        <v>M</v>
      </c>
      <c r="M811" s="9" t="str">
        <f t="shared" si="244"/>
        <v>Input!M245</v>
      </c>
      <c r="N811" s="9">
        <f>_xlfn.XLOOKUP(F811,'Raw Data'!$I$4:$I$5000,'Raw Data'!$E$4:$E$5000,100,0)</f>
        <v>100</v>
      </c>
      <c r="O811" s="9" t="str">
        <f>IF(N811=0,_xlfn.XLOOKUP(F811,'Raw Data'!$I$4:$I$5000,'Raw Data'!$H$4:$H$5000,"",0),"")</f>
        <v/>
      </c>
      <c r="P811" s="9" t="str" cm="1">
        <f t="array" aca="1" ref="P811" ca="1">IF(INDIRECT(M811) = "","",INDIRECT(M811))</f>
        <v/>
      </c>
      <c r="Q811" s="359" t="s">
        <v>4381</v>
      </c>
    </row>
    <row r="812" spans="1:17" x14ac:dyDescent="0.35">
      <c r="A812" t="s">
        <v>1757</v>
      </c>
      <c r="E812" t="str">
        <f>_xlfn.XLOOKUP(F812,'Raw Data'!$I$4:$I$5000,'Raw Data'!$D$4:$D$5000,"*** Mnemonic not found ***",0)</f>
        <v>*** Mnemonic not found ***</v>
      </c>
      <c r="F812" t="str">
        <f t="shared" si="241"/>
        <v>SUCMRUR3FINERG1_GRTR20__</v>
      </c>
      <c r="H812" s="9" t="s">
        <v>1137</v>
      </c>
      <c r="K812" s="9">
        <f t="shared" si="242"/>
        <v>246</v>
      </c>
      <c r="L812" s="9" t="str">
        <f t="shared" si="243"/>
        <v>C</v>
      </c>
      <c r="M812" s="9" t="str">
        <f t="shared" si="244"/>
        <v>Input!C246</v>
      </c>
      <c r="N812" s="9">
        <f>_xlfn.XLOOKUP(F812,'Raw Data'!$I$4:$I$5000,'Raw Data'!$E$4:$E$5000,100,0)</f>
        <v>100</v>
      </c>
      <c r="O812" s="9" t="str">
        <f>IF(N812=0,_xlfn.XLOOKUP(F812,'Raw Data'!$I$4:$I$5000,'Raw Data'!$H$4:$H$5000,"",0),"")</f>
        <v/>
      </c>
      <c r="P812" s="9" t="str" cm="1">
        <f t="array" aca="1" ref="P812" ca="1">IF(INDIRECT(M812) = "","",INDIRECT(M812))</f>
        <v/>
      </c>
      <c r="Q812" s="359" t="s">
        <v>4381</v>
      </c>
    </row>
    <row r="813" spans="1:17" x14ac:dyDescent="0.35">
      <c r="A813" t="s">
        <v>1762</v>
      </c>
      <c r="E813" t="str">
        <f>_xlfn.XLOOKUP(F813,'Raw Data'!$I$4:$I$5000,'Raw Data'!$D$4:$D$5000,"*** Mnemonic not found ***",0)</f>
        <v>*** Mnemonic not found ***</v>
      </c>
      <c r="F813" t="str">
        <f t="shared" si="241"/>
        <v>SUCMRUR3FINERG2_GRTR20__</v>
      </c>
      <c r="H813" s="9" t="s">
        <v>1137</v>
      </c>
      <c r="K813" s="9">
        <f t="shared" si="242"/>
        <v>246</v>
      </c>
      <c r="L813" s="9" t="str">
        <f t="shared" si="243"/>
        <v>D</v>
      </c>
      <c r="M813" s="9" t="str">
        <f t="shared" si="244"/>
        <v>Input!D246</v>
      </c>
      <c r="N813" s="9">
        <f>_xlfn.XLOOKUP(F813,'Raw Data'!$I$4:$I$5000,'Raw Data'!$E$4:$E$5000,100,0)</f>
        <v>100</v>
      </c>
      <c r="O813" s="9" t="str">
        <f>IF(N813=0,_xlfn.XLOOKUP(F813,'Raw Data'!$I$4:$I$5000,'Raw Data'!$H$4:$H$5000,"",0),"")</f>
        <v/>
      </c>
      <c r="P813" s="9" t="str" cm="1">
        <f t="array" aca="1" ref="P813" ca="1">IF(INDIRECT(M813) = "","",INDIRECT(M813))</f>
        <v/>
      </c>
      <c r="Q813" s="359" t="s">
        <v>4381</v>
      </c>
    </row>
    <row r="814" spans="1:17" x14ac:dyDescent="0.35">
      <c r="A814" t="s">
        <v>1767</v>
      </c>
      <c r="E814" t="str">
        <f>_xlfn.XLOOKUP(F814,'Raw Data'!$I$4:$I$5000,'Raw Data'!$D$4:$D$5000,"*** Mnemonic not found ***",0)</f>
        <v>*** Mnemonic not found ***</v>
      </c>
      <c r="F814" t="str">
        <f t="shared" si="241"/>
        <v>SUCMRUR3FINERG3_GRTR20__</v>
      </c>
      <c r="H814" s="9" t="s">
        <v>1137</v>
      </c>
      <c r="K814" s="9">
        <f t="shared" si="242"/>
        <v>246</v>
      </c>
      <c r="L814" s="9" t="str">
        <f t="shared" si="243"/>
        <v>E</v>
      </c>
      <c r="M814" s="9" t="str">
        <f t="shared" si="244"/>
        <v>Input!E246</v>
      </c>
      <c r="N814" s="9">
        <f>_xlfn.XLOOKUP(F814,'Raw Data'!$I$4:$I$5000,'Raw Data'!$E$4:$E$5000,100,0)</f>
        <v>100</v>
      </c>
      <c r="O814" s="9" t="str">
        <f>IF(N814=0,_xlfn.XLOOKUP(F814,'Raw Data'!$I$4:$I$5000,'Raw Data'!$H$4:$H$5000,"",0),"")</f>
        <v/>
      </c>
      <c r="P814" s="9" t="str" cm="1">
        <f t="array" aca="1" ref="P814" ca="1">IF(INDIRECT(M814) = "","",INDIRECT(M814))</f>
        <v/>
      </c>
      <c r="Q814" s="359" t="s">
        <v>4381</v>
      </c>
    </row>
    <row r="815" spans="1:17" x14ac:dyDescent="0.35">
      <c r="A815" t="s">
        <v>1772</v>
      </c>
      <c r="E815" t="str">
        <f>_xlfn.XLOOKUP(F815,'Raw Data'!$I$4:$I$5000,'Raw Data'!$D$4:$D$5000,"*** Mnemonic not found ***",0)</f>
        <v>*** Mnemonic not found ***</v>
      </c>
      <c r="F815" t="str">
        <f t="shared" si="241"/>
        <v>SUCMRUR3FINERG4_GRTR20__</v>
      </c>
      <c r="H815" s="9" t="s">
        <v>1137</v>
      </c>
      <c r="K815" s="9">
        <f t="shared" si="242"/>
        <v>246</v>
      </c>
      <c r="L815" s="9" t="str">
        <f t="shared" si="243"/>
        <v>F</v>
      </c>
      <c r="M815" s="9" t="str">
        <f t="shared" si="244"/>
        <v>Input!F246</v>
      </c>
      <c r="N815" s="9">
        <f>_xlfn.XLOOKUP(F815,'Raw Data'!$I$4:$I$5000,'Raw Data'!$E$4:$E$5000,100,0)</f>
        <v>100</v>
      </c>
      <c r="O815" s="9" t="str">
        <f>IF(N815=0,_xlfn.XLOOKUP(F815,'Raw Data'!$I$4:$I$5000,'Raw Data'!$H$4:$H$5000,"",0),"")</f>
        <v/>
      </c>
      <c r="P815" s="9" t="str" cm="1">
        <f t="array" aca="1" ref="P815" ca="1">IF(INDIRECT(M815) = "","",INDIRECT(M815))</f>
        <v/>
      </c>
      <c r="Q815" s="359" t="s">
        <v>4381</v>
      </c>
    </row>
    <row r="816" spans="1:17" x14ac:dyDescent="0.35">
      <c r="A816" t="s">
        <v>1777</v>
      </c>
      <c r="E816" t="str">
        <f>_xlfn.XLOOKUP(F816,'Raw Data'!$I$4:$I$5000,'Raw Data'!$D$4:$D$5000,"*** Mnemonic not found ***",0)</f>
        <v>*** Mnemonic not found ***</v>
      </c>
      <c r="F816" t="str">
        <f t="shared" si="241"/>
        <v>SUCMRUR3FINERG5_GRTR20__</v>
      </c>
      <c r="H816" s="9" t="s">
        <v>1137</v>
      </c>
      <c r="K816" s="9">
        <f t="shared" si="242"/>
        <v>246</v>
      </c>
      <c r="L816" s="9" t="str">
        <f t="shared" si="243"/>
        <v>G</v>
      </c>
      <c r="M816" s="9" t="str">
        <f t="shared" si="244"/>
        <v>Input!G246</v>
      </c>
      <c r="N816" s="9">
        <f>_xlfn.XLOOKUP(F816,'Raw Data'!$I$4:$I$5000,'Raw Data'!$E$4:$E$5000,100,0)</f>
        <v>100</v>
      </c>
      <c r="O816" s="9" t="str">
        <f>IF(N816=0,_xlfn.XLOOKUP(F816,'Raw Data'!$I$4:$I$5000,'Raw Data'!$H$4:$H$5000,"",0),"")</f>
        <v/>
      </c>
      <c r="P816" s="9" t="str" cm="1">
        <f t="array" aca="1" ref="P816" ca="1">IF(INDIRECT(M816) = "","",INDIRECT(M816))</f>
        <v/>
      </c>
      <c r="Q816" s="359" t="s">
        <v>4381</v>
      </c>
    </row>
    <row r="817" spans="1:17" x14ac:dyDescent="0.35">
      <c r="A817" t="s">
        <v>1782</v>
      </c>
      <c r="E817" t="str">
        <f>_xlfn.XLOOKUP(F817,'Raw Data'!$I$4:$I$5000,'Raw Data'!$D$4:$D$5000,"*** Mnemonic not found ***",0)</f>
        <v>*** Mnemonic not found ***</v>
      </c>
      <c r="F817" t="str">
        <f t="shared" si="241"/>
        <v>SUCMRUR3FINERG6_GRTR20__</v>
      </c>
      <c r="H817" s="9" t="s">
        <v>1137</v>
      </c>
      <c r="K817" s="9">
        <f t="shared" si="242"/>
        <v>246</v>
      </c>
      <c r="L817" s="9" t="str">
        <f t="shared" si="243"/>
        <v>H</v>
      </c>
      <c r="M817" s="9" t="str">
        <f t="shared" si="244"/>
        <v>Input!H246</v>
      </c>
      <c r="N817" s="9">
        <f>_xlfn.XLOOKUP(F817,'Raw Data'!$I$4:$I$5000,'Raw Data'!$E$4:$E$5000,100,0)</f>
        <v>100</v>
      </c>
      <c r="O817" s="9" t="str">
        <f>IF(N817=0,_xlfn.XLOOKUP(F817,'Raw Data'!$I$4:$I$5000,'Raw Data'!$H$4:$H$5000,"",0),"")</f>
        <v/>
      </c>
      <c r="P817" s="9" t="str" cm="1">
        <f t="array" aca="1" ref="P817" ca="1">IF(INDIRECT(M817) = "","",INDIRECT(M817))</f>
        <v/>
      </c>
      <c r="Q817" s="359" t="s">
        <v>4381</v>
      </c>
    </row>
    <row r="818" spans="1:17" x14ac:dyDescent="0.35">
      <c r="A818" t="s">
        <v>1787</v>
      </c>
      <c r="E818" t="str">
        <f>_xlfn.XLOOKUP(F818,'Raw Data'!$I$4:$I$5000,'Raw Data'!$D$4:$D$5000,"*** Mnemonic not found ***",0)</f>
        <v>*** Mnemonic not found ***</v>
      </c>
      <c r="F818" t="str">
        <f t="shared" si="241"/>
        <v>SUCMRUR3FINERG7_GRTR20__</v>
      </c>
      <c r="H818" s="9" t="s">
        <v>1137</v>
      </c>
      <c r="K818" s="9">
        <f t="shared" si="242"/>
        <v>246</v>
      </c>
      <c r="L818" s="9" t="str">
        <f t="shared" si="243"/>
        <v>I</v>
      </c>
      <c r="M818" s="9" t="str">
        <f t="shared" si="244"/>
        <v>Input!I246</v>
      </c>
      <c r="N818" s="9">
        <f>_xlfn.XLOOKUP(F818,'Raw Data'!$I$4:$I$5000,'Raw Data'!$E$4:$E$5000,100,0)</f>
        <v>100</v>
      </c>
      <c r="O818" s="9" t="str">
        <f>IF(N818=0,_xlfn.XLOOKUP(F818,'Raw Data'!$I$4:$I$5000,'Raw Data'!$H$4:$H$5000,"",0),"")</f>
        <v/>
      </c>
      <c r="P818" s="9" t="str" cm="1">
        <f t="array" aca="1" ref="P818" ca="1">IF(INDIRECT(M818) = "","",INDIRECT(M818))</f>
        <v/>
      </c>
      <c r="Q818" s="359" t="s">
        <v>4381</v>
      </c>
    </row>
    <row r="819" spans="1:17" x14ac:dyDescent="0.35">
      <c r="A819" t="s">
        <v>1792</v>
      </c>
      <c r="E819" t="str">
        <f>_xlfn.XLOOKUP(F819,'Raw Data'!$I$4:$I$5000,'Raw Data'!$D$4:$D$5000,"*** Mnemonic not found ***",0)</f>
        <v>*** Mnemonic not found ***</v>
      </c>
      <c r="F819" t="str">
        <f t="shared" si="241"/>
        <v>SUCMRUR3FINERG8_GRTR20__</v>
      </c>
      <c r="H819" s="9" t="s">
        <v>1137</v>
      </c>
      <c r="K819" s="9">
        <f t="shared" si="242"/>
        <v>246</v>
      </c>
      <c r="L819" s="9" t="str">
        <f t="shared" si="243"/>
        <v>J</v>
      </c>
      <c r="M819" s="9" t="str">
        <f t="shared" si="244"/>
        <v>Input!J246</v>
      </c>
      <c r="N819" s="9">
        <f>_xlfn.XLOOKUP(F819,'Raw Data'!$I$4:$I$5000,'Raw Data'!$E$4:$E$5000,100,0)</f>
        <v>100</v>
      </c>
      <c r="O819" s="9" t="str">
        <f>IF(N819=0,_xlfn.XLOOKUP(F819,'Raw Data'!$I$4:$I$5000,'Raw Data'!$H$4:$H$5000,"",0),"")</f>
        <v/>
      </c>
      <c r="P819" s="9" t="str" cm="1">
        <f t="array" aca="1" ref="P819" ca="1">IF(INDIRECT(M819) = "","",INDIRECT(M819))</f>
        <v/>
      </c>
      <c r="Q819" s="359" t="s">
        <v>4381</v>
      </c>
    </row>
    <row r="820" spans="1:17" x14ac:dyDescent="0.35">
      <c r="A820" t="s">
        <v>1797</v>
      </c>
      <c r="E820" t="str">
        <f>_xlfn.XLOOKUP(F820,'Raw Data'!$I$4:$I$5000,'Raw Data'!$D$4:$D$5000,"*** Mnemonic not found ***",0)</f>
        <v>*** Mnemonic not found ***</v>
      </c>
      <c r="F820" t="str">
        <f t="shared" si="241"/>
        <v>SUCMRUR3FINERG9_GRTR20__</v>
      </c>
      <c r="H820" s="9" t="s">
        <v>1137</v>
      </c>
      <c r="K820" s="9">
        <f t="shared" si="242"/>
        <v>246</v>
      </c>
      <c r="L820" s="9" t="str">
        <f t="shared" si="243"/>
        <v>K</v>
      </c>
      <c r="M820" s="9" t="str">
        <f t="shared" si="244"/>
        <v>Input!K246</v>
      </c>
      <c r="N820" s="9">
        <f>_xlfn.XLOOKUP(F820,'Raw Data'!$I$4:$I$5000,'Raw Data'!$E$4:$E$5000,100,0)</f>
        <v>100</v>
      </c>
      <c r="O820" s="9" t="str">
        <f>IF(N820=0,_xlfn.XLOOKUP(F820,'Raw Data'!$I$4:$I$5000,'Raw Data'!$H$4:$H$5000,"",0),"")</f>
        <v/>
      </c>
      <c r="P820" s="9" t="str" cm="1">
        <f t="array" aca="1" ref="P820" ca="1">IF(INDIRECT(M820) = "","",INDIRECT(M820))</f>
        <v/>
      </c>
      <c r="Q820" s="359" t="s">
        <v>4381</v>
      </c>
    </row>
    <row r="821" spans="1:17" x14ac:dyDescent="0.35">
      <c r="A821" t="s">
        <v>1802</v>
      </c>
      <c r="E821" t="str">
        <f>_xlfn.XLOOKUP(F821,'Raw Data'!$I$4:$I$5000,'Raw Data'!$D$4:$D$5000,"*** Mnemonic not found ***",0)</f>
        <v>*** Mnemonic not found ***</v>
      </c>
      <c r="F821" t="str">
        <f t="shared" si="241"/>
        <v>SUCMRUR3FINERG10_GRTR20__</v>
      </c>
      <c r="H821" s="9" t="s">
        <v>1137</v>
      </c>
      <c r="K821" s="9">
        <f t="shared" si="242"/>
        <v>246</v>
      </c>
      <c r="L821" s="9" t="str">
        <f t="shared" si="243"/>
        <v>L</v>
      </c>
      <c r="M821" s="9" t="str">
        <f t="shared" si="244"/>
        <v>Input!L246</v>
      </c>
      <c r="N821" s="9">
        <f>_xlfn.XLOOKUP(F821,'Raw Data'!$I$4:$I$5000,'Raw Data'!$E$4:$E$5000,100,0)</f>
        <v>100</v>
      </c>
      <c r="O821" s="9" t="str">
        <f>IF(N821=0,_xlfn.XLOOKUP(F821,'Raw Data'!$I$4:$I$5000,'Raw Data'!$H$4:$H$5000,"",0),"")</f>
        <v/>
      </c>
      <c r="P821" s="9" t="str" cm="1">
        <f t="array" aca="1" ref="P821" ca="1">IF(INDIRECT(M821) = "","",INDIRECT(M821))</f>
        <v/>
      </c>
      <c r="Q821" s="359" t="s">
        <v>4381</v>
      </c>
    </row>
    <row r="822" spans="1:17" x14ac:dyDescent="0.35">
      <c r="A822" t="s">
        <v>1807</v>
      </c>
      <c r="E822" t="str">
        <f>_xlfn.XLOOKUP(F822,'Raw Data'!$I$4:$I$5000,'Raw Data'!$D$4:$D$5000,"*** Mnemonic not found ***",0)</f>
        <v>*** Mnemonic not found ***</v>
      </c>
      <c r="F822" t="str">
        <f t="shared" si="241"/>
        <v>SUCMRUR3FINERGNA_GRTR20__</v>
      </c>
      <c r="H822" s="9" t="s">
        <v>1137</v>
      </c>
      <c r="K822" s="9">
        <f t="shared" si="242"/>
        <v>246</v>
      </c>
      <c r="L822" s="9" t="str">
        <f t="shared" si="243"/>
        <v>M</v>
      </c>
      <c r="M822" s="9" t="str">
        <f t="shared" si="244"/>
        <v>Input!M246</v>
      </c>
      <c r="N822" s="9">
        <f>_xlfn.XLOOKUP(F822,'Raw Data'!$I$4:$I$5000,'Raw Data'!$E$4:$E$5000,100,0)</f>
        <v>100</v>
      </c>
      <c r="O822" s="9" t="str">
        <f>IF(N822=0,_xlfn.XLOOKUP(F822,'Raw Data'!$I$4:$I$5000,'Raw Data'!$H$4:$H$5000,"",0),"")</f>
        <v/>
      </c>
      <c r="P822" s="9" t="str" cm="1">
        <f t="array" aca="1" ref="P822" ca="1">IF(INDIRECT(M822) = "","",INDIRECT(M822))</f>
        <v/>
      </c>
      <c r="Q822" s="359" t="s">
        <v>4381</v>
      </c>
    </row>
    <row r="823" spans="1:17" x14ac:dyDescent="0.35">
      <c r="A823" t="s">
        <v>1808</v>
      </c>
      <c r="E823" t="str">
        <f>_xlfn.XLOOKUP(F823,'Raw Data'!$I$4:$I$5000,'Raw Data'!$D$4:$D$5000,"*** Mnemonic not found ***",0)</f>
        <v>*** Mnemonic not found ***</v>
      </c>
      <c r="F823" t="str">
        <f t="shared" si="241"/>
        <v>SUCMRUR1SOVERG1_LESS1__</v>
      </c>
      <c r="H823" s="9" t="s">
        <v>1137</v>
      </c>
      <c r="I823" s="289">
        <f>ROW(section_bonds_sp_unrated_step_4)</f>
        <v>187</v>
      </c>
      <c r="J823" s="9">
        <f>J768+10</f>
        <v>65</v>
      </c>
      <c r="K823" s="9">
        <f>I823+J823</f>
        <v>252</v>
      </c>
      <c r="L823" s="9" t="str">
        <f>L812</f>
        <v>C</v>
      </c>
      <c r="M823" s="9" t="str">
        <f t="shared" si="244"/>
        <v>Input!C252</v>
      </c>
      <c r="N823" s="9">
        <f>_xlfn.XLOOKUP(F823,'Raw Data'!$I$4:$I$5000,'Raw Data'!$E$4:$E$5000,100,0)</f>
        <v>100</v>
      </c>
      <c r="O823" s="9" t="str">
        <f>IF(N823=0,_xlfn.XLOOKUP(F823,'Raw Data'!$I$4:$I$5000,'Raw Data'!$H$4:$H$5000,"",0),"")</f>
        <v/>
      </c>
      <c r="P823" s="9" t="str" cm="1">
        <f t="array" aca="1" ref="P823" ca="1">IF(INDIRECT(M823) = "","",INDIRECT(M823))</f>
        <v/>
      </c>
      <c r="Q823" s="359" t="s">
        <v>4381</v>
      </c>
    </row>
    <row r="824" spans="1:17" x14ac:dyDescent="0.35">
      <c r="A824" t="s">
        <v>1813</v>
      </c>
      <c r="E824" t="str">
        <f>_xlfn.XLOOKUP(F824,'Raw Data'!$I$4:$I$5000,'Raw Data'!$D$4:$D$5000,"*** Mnemonic not found ***",0)</f>
        <v>*** Mnemonic not found ***</v>
      </c>
      <c r="F824" t="str">
        <f t="shared" si="241"/>
        <v>SUCMRUR1SOVERG2_LESS1__</v>
      </c>
      <c r="H824" s="9" t="s">
        <v>1137</v>
      </c>
      <c r="K824" s="9">
        <f>K823</f>
        <v>252</v>
      </c>
      <c r="L824" s="9" t="str">
        <f t="shared" ref="L824:L833" si="245">L813</f>
        <v>D</v>
      </c>
      <c r="M824" s="9" t="str">
        <f t="shared" si="244"/>
        <v>Input!D252</v>
      </c>
      <c r="N824" s="9">
        <f>_xlfn.XLOOKUP(F824,'Raw Data'!$I$4:$I$5000,'Raw Data'!$E$4:$E$5000,100,0)</f>
        <v>100</v>
      </c>
      <c r="O824" s="9" t="str">
        <f>IF(N824=0,_xlfn.XLOOKUP(F824,'Raw Data'!$I$4:$I$5000,'Raw Data'!$H$4:$H$5000,"",0),"")</f>
        <v/>
      </c>
      <c r="P824" s="9" t="str" cm="1">
        <f t="array" aca="1" ref="P824" ca="1">IF(INDIRECT(M824) = "","",INDIRECT(M824))</f>
        <v/>
      </c>
      <c r="Q824" s="359" t="s">
        <v>4381</v>
      </c>
    </row>
    <row r="825" spans="1:17" x14ac:dyDescent="0.35">
      <c r="A825" t="s">
        <v>1818</v>
      </c>
      <c r="E825" t="str">
        <f>_xlfn.XLOOKUP(F825,'Raw Data'!$I$4:$I$5000,'Raw Data'!$D$4:$D$5000,"*** Mnemonic not found ***",0)</f>
        <v>*** Mnemonic not found ***</v>
      </c>
      <c r="F825" t="str">
        <f t="shared" si="241"/>
        <v>SUCMRUR1SOVERG3_LESS1__</v>
      </c>
      <c r="H825" s="9" t="s">
        <v>1137</v>
      </c>
      <c r="K825" s="9">
        <f t="shared" ref="K825:K833" si="246">K824</f>
        <v>252</v>
      </c>
      <c r="L825" s="9" t="str">
        <f t="shared" si="245"/>
        <v>E</v>
      </c>
      <c r="M825" s="9" t="str">
        <f t="shared" si="244"/>
        <v>Input!E252</v>
      </c>
      <c r="N825" s="9">
        <f>_xlfn.XLOOKUP(F825,'Raw Data'!$I$4:$I$5000,'Raw Data'!$E$4:$E$5000,100,0)</f>
        <v>100</v>
      </c>
      <c r="O825" s="9" t="str">
        <f>IF(N825=0,_xlfn.XLOOKUP(F825,'Raw Data'!$I$4:$I$5000,'Raw Data'!$H$4:$H$5000,"",0),"")</f>
        <v/>
      </c>
      <c r="P825" s="9" t="str" cm="1">
        <f t="array" aca="1" ref="P825" ca="1">IF(INDIRECT(M825) = "","",INDIRECT(M825))</f>
        <v/>
      </c>
      <c r="Q825" s="359" t="s">
        <v>4381</v>
      </c>
    </row>
    <row r="826" spans="1:17" x14ac:dyDescent="0.35">
      <c r="A826" t="s">
        <v>1823</v>
      </c>
      <c r="E826" t="str">
        <f>_xlfn.XLOOKUP(F826,'Raw Data'!$I$4:$I$5000,'Raw Data'!$D$4:$D$5000,"*** Mnemonic not found ***",0)</f>
        <v>*** Mnemonic not found ***</v>
      </c>
      <c r="F826" t="str">
        <f t="shared" si="241"/>
        <v>SUCMRUR1SOVERG4_LESS1__</v>
      </c>
      <c r="H826" s="9" t="s">
        <v>1137</v>
      </c>
      <c r="K826" s="9">
        <f t="shared" si="246"/>
        <v>252</v>
      </c>
      <c r="L826" s="9" t="str">
        <f t="shared" si="245"/>
        <v>F</v>
      </c>
      <c r="M826" s="9" t="str">
        <f t="shared" si="244"/>
        <v>Input!F252</v>
      </c>
      <c r="N826" s="9">
        <f>_xlfn.XLOOKUP(F826,'Raw Data'!$I$4:$I$5000,'Raw Data'!$E$4:$E$5000,100,0)</f>
        <v>100</v>
      </c>
      <c r="O826" s="9" t="str">
        <f>IF(N826=0,_xlfn.XLOOKUP(F826,'Raw Data'!$I$4:$I$5000,'Raw Data'!$H$4:$H$5000,"",0),"")</f>
        <v/>
      </c>
      <c r="P826" s="9" t="str" cm="1">
        <f t="array" aca="1" ref="P826" ca="1">IF(INDIRECT(M826) = "","",INDIRECT(M826))</f>
        <v/>
      </c>
      <c r="Q826" s="359" t="s">
        <v>4381</v>
      </c>
    </row>
    <row r="827" spans="1:17" x14ac:dyDescent="0.35">
      <c r="A827" t="s">
        <v>1828</v>
      </c>
      <c r="E827" t="str">
        <f>_xlfn.XLOOKUP(F827,'Raw Data'!$I$4:$I$5000,'Raw Data'!$D$4:$D$5000,"*** Mnemonic not found ***",0)</f>
        <v>*** Mnemonic not found ***</v>
      </c>
      <c r="F827" t="str">
        <f t="shared" si="241"/>
        <v>SUCMRUR1SOVERG5_LESS1__</v>
      </c>
      <c r="H827" s="9" t="s">
        <v>1137</v>
      </c>
      <c r="K827" s="9">
        <f t="shared" si="246"/>
        <v>252</v>
      </c>
      <c r="L827" s="9" t="str">
        <f t="shared" si="245"/>
        <v>G</v>
      </c>
      <c r="M827" s="9" t="str">
        <f t="shared" si="244"/>
        <v>Input!G252</v>
      </c>
      <c r="N827" s="9">
        <f>_xlfn.XLOOKUP(F827,'Raw Data'!$I$4:$I$5000,'Raw Data'!$E$4:$E$5000,100,0)</f>
        <v>100</v>
      </c>
      <c r="O827" s="9" t="str">
        <f>IF(N827=0,_xlfn.XLOOKUP(F827,'Raw Data'!$I$4:$I$5000,'Raw Data'!$H$4:$H$5000,"",0),"")</f>
        <v/>
      </c>
      <c r="P827" s="9" t="str" cm="1">
        <f t="array" aca="1" ref="P827" ca="1">IF(INDIRECT(M827) = "","",INDIRECT(M827))</f>
        <v/>
      </c>
      <c r="Q827" s="359" t="s">
        <v>4381</v>
      </c>
    </row>
    <row r="828" spans="1:17" x14ac:dyDescent="0.35">
      <c r="A828" t="s">
        <v>1833</v>
      </c>
      <c r="E828" t="str">
        <f>_xlfn.XLOOKUP(F828,'Raw Data'!$I$4:$I$5000,'Raw Data'!$D$4:$D$5000,"*** Mnemonic not found ***",0)</f>
        <v>*** Mnemonic not found ***</v>
      </c>
      <c r="F828" t="str">
        <f t="shared" si="241"/>
        <v>SUCMRUR1SOVERG6_LESS1__</v>
      </c>
      <c r="H828" s="9" t="s">
        <v>1137</v>
      </c>
      <c r="K828" s="9">
        <f t="shared" si="246"/>
        <v>252</v>
      </c>
      <c r="L828" s="9" t="str">
        <f t="shared" si="245"/>
        <v>H</v>
      </c>
      <c r="M828" s="9" t="str">
        <f t="shared" si="244"/>
        <v>Input!H252</v>
      </c>
      <c r="N828" s="9">
        <f>_xlfn.XLOOKUP(F828,'Raw Data'!$I$4:$I$5000,'Raw Data'!$E$4:$E$5000,100,0)</f>
        <v>100</v>
      </c>
      <c r="O828" s="9" t="str">
        <f>IF(N828=0,_xlfn.XLOOKUP(F828,'Raw Data'!$I$4:$I$5000,'Raw Data'!$H$4:$H$5000,"",0),"")</f>
        <v/>
      </c>
      <c r="P828" s="9" t="str" cm="1">
        <f t="array" aca="1" ref="P828" ca="1">IF(INDIRECT(M828) = "","",INDIRECT(M828))</f>
        <v/>
      </c>
      <c r="Q828" s="359" t="s">
        <v>4381</v>
      </c>
    </row>
    <row r="829" spans="1:17" x14ac:dyDescent="0.35">
      <c r="A829" t="s">
        <v>1838</v>
      </c>
      <c r="E829" t="str">
        <f>_xlfn.XLOOKUP(F829,'Raw Data'!$I$4:$I$5000,'Raw Data'!$D$4:$D$5000,"*** Mnemonic not found ***",0)</f>
        <v>*** Mnemonic not found ***</v>
      </c>
      <c r="F829" t="str">
        <f t="shared" si="241"/>
        <v>SUCMRUR1SOVERG7_LESS1__</v>
      </c>
      <c r="H829" s="9" t="s">
        <v>1137</v>
      </c>
      <c r="K829" s="9">
        <f t="shared" si="246"/>
        <v>252</v>
      </c>
      <c r="L829" s="9" t="str">
        <f t="shared" si="245"/>
        <v>I</v>
      </c>
      <c r="M829" s="9" t="str">
        <f t="shared" si="244"/>
        <v>Input!I252</v>
      </c>
      <c r="N829" s="9">
        <f>_xlfn.XLOOKUP(F829,'Raw Data'!$I$4:$I$5000,'Raw Data'!$E$4:$E$5000,100,0)</f>
        <v>100</v>
      </c>
      <c r="O829" s="9" t="str">
        <f>IF(N829=0,_xlfn.XLOOKUP(F829,'Raw Data'!$I$4:$I$5000,'Raw Data'!$H$4:$H$5000,"",0),"")</f>
        <v/>
      </c>
      <c r="P829" s="9" t="str" cm="1">
        <f t="array" aca="1" ref="P829" ca="1">IF(INDIRECT(M829) = "","",INDIRECT(M829))</f>
        <v/>
      </c>
      <c r="Q829" s="359" t="s">
        <v>4381</v>
      </c>
    </row>
    <row r="830" spans="1:17" x14ac:dyDescent="0.35">
      <c r="A830" t="s">
        <v>1843</v>
      </c>
      <c r="E830" t="str">
        <f>_xlfn.XLOOKUP(F830,'Raw Data'!$I$4:$I$5000,'Raw Data'!$D$4:$D$5000,"*** Mnemonic not found ***",0)</f>
        <v>*** Mnemonic not found ***</v>
      </c>
      <c r="F830" t="str">
        <f t="shared" si="241"/>
        <v>SUCMRUR1SOVERG8_LESS1__</v>
      </c>
      <c r="H830" s="9" t="s">
        <v>1137</v>
      </c>
      <c r="K830" s="9">
        <f t="shared" si="246"/>
        <v>252</v>
      </c>
      <c r="L830" s="9" t="str">
        <f t="shared" si="245"/>
        <v>J</v>
      </c>
      <c r="M830" s="9" t="str">
        <f t="shared" si="244"/>
        <v>Input!J252</v>
      </c>
      <c r="N830" s="9">
        <f>_xlfn.XLOOKUP(F830,'Raw Data'!$I$4:$I$5000,'Raw Data'!$E$4:$E$5000,100,0)</f>
        <v>100</v>
      </c>
      <c r="O830" s="9" t="str">
        <f>IF(N830=0,_xlfn.XLOOKUP(F830,'Raw Data'!$I$4:$I$5000,'Raw Data'!$H$4:$H$5000,"",0),"")</f>
        <v/>
      </c>
      <c r="P830" s="9" t="str" cm="1">
        <f t="array" aca="1" ref="P830" ca="1">IF(INDIRECT(M830) = "","",INDIRECT(M830))</f>
        <v/>
      </c>
      <c r="Q830" s="359" t="s">
        <v>4381</v>
      </c>
    </row>
    <row r="831" spans="1:17" x14ac:dyDescent="0.35">
      <c r="A831" t="s">
        <v>1848</v>
      </c>
      <c r="E831" t="str">
        <f>_xlfn.XLOOKUP(F831,'Raw Data'!$I$4:$I$5000,'Raw Data'!$D$4:$D$5000,"*** Mnemonic not found ***",0)</f>
        <v>*** Mnemonic not found ***</v>
      </c>
      <c r="F831" t="str">
        <f t="shared" si="241"/>
        <v>SUCMRUR1SOVERG9_LESS1__</v>
      </c>
      <c r="H831" s="9" t="s">
        <v>1137</v>
      </c>
      <c r="K831" s="9">
        <f t="shared" si="246"/>
        <v>252</v>
      </c>
      <c r="L831" s="9" t="str">
        <f t="shared" si="245"/>
        <v>K</v>
      </c>
      <c r="M831" s="9" t="str">
        <f t="shared" si="244"/>
        <v>Input!K252</v>
      </c>
      <c r="N831" s="9">
        <f>_xlfn.XLOOKUP(F831,'Raw Data'!$I$4:$I$5000,'Raw Data'!$E$4:$E$5000,100,0)</f>
        <v>100</v>
      </c>
      <c r="O831" s="9" t="str">
        <f>IF(N831=0,_xlfn.XLOOKUP(F831,'Raw Data'!$I$4:$I$5000,'Raw Data'!$H$4:$H$5000,"",0),"")</f>
        <v/>
      </c>
      <c r="P831" s="9" t="str" cm="1">
        <f t="array" aca="1" ref="P831" ca="1">IF(INDIRECT(M831) = "","",INDIRECT(M831))</f>
        <v/>
      </c>
      <c r="Q831" s="359" t="s">
        <v>4381</v>
      </c>
    </row>
    <row r="832" spans="1:17" x14ac:dyDescent="0.35">
      <c r="A832" t="s">
        <v>1853</v>
      </c>
      <c r="E832" t="str">
        <f>_xlfn.XLOOKUP(F832,'Raw Data'!$I$4:$I$5000,'Raw Data'!$D$4:$D$5000,"*** Mnemonic not found ***",0)</f>
        <v>*** Mnemonic not found ***</v>
      </c>
      <c r="F832" t="str">
        <f t="shared" si="241"/>
        <v>SUCMRUR1SOVERG10_LESS1__</v>
      </c>
      <c r="H832" s="9" t="s">
        <v>1137</v>
      </c>
      <c r="K832" s="9">
        <f t="shared" si="246"/>
        <v>252</v>
      </c>
      <c r="L832" s="9" t="str">
        <f t="shared" si="245"/>
        <v>L</v>
      </c>
      <c r="M832" s="9" t="str">
        <f t="shared" si="244"/>
        <v>Input!L252</v>
      </c>
      <c r="N832" s="9">
        <f>_xlfn.XLOOKUP(F832,'Raw Data'!$I$4:$I$5000,'Raw Data'!$E$4:$E$5000,100,0)</f>
        <v>100</v>
      </c>
      <c r="O832" s="9" t="str">
        <f>IF(N832=0,_xlfn.XLOOKUP(F832,'Raw Data'!$I$4:$I$5000,'Raw Data'!$H$4:$H$5000,"",0),"")</f>
        <v/>
      </c>
      <c r="P832" s="9" t="str" cm="1">
        <f t="array" aca="1" ref="P832" ca="1">IF(INDIRECT(M832) = "","",INDIRECT(M832))</f>
        <v/>
      </c>
      <c r="Q832" s="359" t="s">
        <v>4381</v>
      </c>
    </row>
    <row r="833" spans="1:17" x14ac:dyDescent="0.35">
      <c r="A833" t="s">
        <v>1858</v>
      </c>
      <c r="E833" t="str">
        <f>_xlfn.XLOOKUP(F833,'Raw Data'!$I$4:$I$5000,'Raw Data'!$D$4:$D$5000,"*** Mnemonic not found ***",0)</f>
        <v>*** Mnemonic not found ***</v>
      </c>
      <c r="F833" t="str">
        <f t="shared" si="241"/>
        <v>SUCMRUR1SOVERGNA_LESS1__</v>
      </c>
      <c r="H833" s="9" t="s">
        <v>1137</v>
      </c>
      <c r="K833" s="9">
        <f t="shared" si="246"/>
        <v>252</v>
      </c>
      <c r="L833" s="9" t="str">
        <f t="shared" si="245"/>
        <v>M</v>
      </c>
      <c r="M833" s="9" t="str">
        <f t="shared" si="244"/>
        <v>Input!M252</v>
      </c>
      <c r="N833" s="9">
        <f>_xlfn.XLOOKUP(F833,'Raw Data'!$I$4:$I$5000,'Raw Data'!$E$4:$E$5000,100,0)</f>
        <v>100</v>
      </c>
      <c r="O833" s="9" t="str">
        <f>IF(N833=0,_xlfn.XLOOKUP(F833,'Raw Data'!$I$4:$I$5000,'Raw Data'!$H$4:$H$5000,"",0),"")</f>
        <v/>
      </c>
      <c r="P833" s="9" t="str" cm="1">
        <f t="array" aca="1" ref="P833" ca="1">IF(INDIRECT(M833) = "","",INDIRECT(M833))</f>
        <v/>
      </c>
      <c r="Q833" s="359" t="s">
        <v>4381</v>
      </c>
    </row>
    <row r="834" spans="1:17" x14ac:dyDescent="0.35">
      <c r="A834" t="s">
        <v>1809</v>
      </c>
      <c r="E834" t="str">
        <f>_xlfn.XLOOKUP(F834,'Raw Data'!$I$4:$I$5000,'Raw Data'!$D$4:$D$5000,"*** Mnemonic not found ***",0)</f>
        <v>*** Mnemonic not found ***</v>
      </c>
      <c r="F834" t="str">
        <f t="shared" si="241"/>
        <v>SUCMRUR1SOVERG1_1TO5__</v>
      </c>
      <c r="H834" s="9" t="s">
        <v>1137</v>
      </c>
      <c r="K834" s="9">
        <f>K823+1</f>
        <v>253</v>
      </c>
      <c r="L834" s="9" t="str">
        <f>L823</f>
        <v>C</v>
      </c>
      <c r="M834" s="9" t="str">
        <f t="shared" si="244"/>
        <v>Input!C253</v>
      </c>
      <c r="N834" s="9">
        <f>_xlfn.XLOOKUP(F834,'Raw Data'!$I$4:$I$5000,'Raw Data'!$E$4:$E$5000,100,0)</f>
        <v>100</v>
      </c>
      <c r="O834" s="9" t="str">
        <f>IF(N834=0,_xlfn.XLOOKUP(F834,'Raw Data'!$I$4:$I$5000,'Raw Data'!$H$4:$H$5000,"",0),"")</f>
        <v/>
      </c>
      <c r="P834" s="9" t="str" cm="1">
        <f t="array" aca="1" ref="P834" ca="1">IF(INDIRECT(M834) = "","",INDIRECT(M834))</f>
        <v/>
      </c>
      <c r="Q834" s="359" t="s">
        <v>4381</v>
      </c>
    </row>
    <row r="835" spans="1:17" x14ac:dyDescent="0.35">
      <c r="A835" t="s">
        <v>1814</v>
      </c>
      <c r="E835" t="str">
        <f>_xlfn.XLOOKUP(F835,'Raw Data'!$I$4:$I$5000,'Raw Data'!$D$4:$D$5000,"*** Mnemonic not found ***",0)</f>
        <v>*** Mnemonic not found ***</v>
      </c>
      <c r="F835" t="str">
        <f t="shared" si="241"/>
        <v>SUCMRUR1SOVERG2_1TO5__</v>
      </c>
      <c r="H835" s="9" t="s">
        <v>1137</v>
      </c>
      <c r="K835" s="9">
        <f t="shared" ref="K835:K877" si="247">K824+1</f>
        <v>253</v>
      </c>
      <c r="L835" s="9" t="str">
        <f t="shared" ref="L835:L877" si="248">L824</f>
        <v>D</v>
      </c>
      <c r="M835" s="9" t="str">
        <f t="shared" si="244"/>
        <v>Input!D253</v>
      </c>
      <c r="N835" s="9">
        <f>_xlfn.XLOOKUP(F835,'Raw Data'!$I$4:$I$5000,'Raw Data'!$E$4:$E$5000,100,0)</f>
        <v>100</v>
      </c>
      <c r="O835" s="9" t="str">
        <f>IF(N835=0,_xlfn.XLOOKUP(F835,'Raw Data'!$I$4:$I$5000,'Raw Data'!$H$4:$H$5000,"",0),"")</f>
        <v/>
      </c>
      <c r="P835" s="9" t="str" cm="1">
        <f t="array" aca="1" ref="P835" ca="1">IF(INDIRECT(M835) = "","",INDIRECT(M835))</f>
        <v/>
      </c>
      <c r="Q835" s="359" t="s">
        <v>4381</v>
      </c>
    </row>
    <row r="836" spans="1:17" x14ac:dyDescent="0.35">
      <c r="A836" t="s">
        <v>1819</v>
      </c>
      <c r="E836" t="str">
        <f>_xlfn.XLOOKUP(F836,'Raw Data'!$I$4:$I$5000,'Raw Data'!$D$4:$D$5000,"*** Mnemonic not found ***",0)</f>
        <v>*** Mnemonic not found ***</v>
      </c>
      <c r="F836" t="str">
        <f t="shared" si="241"/>
        <v>SUCMRUR1SOVERG3_1TO5__</v>
      </c>
      <c r="H836" s="9" t="s">
        <v>1137</v>
      </c>
      <c r="K836" s="9">
        <f t="shared" si="247"/>
        <v>253</v>
      </c>
      <c r="L836" s="9" t="str">
        <f t="shared" si="248"/>
        <v>E</v>
      </c>
      <c r="M836" s="9" t="str">
        <f t="shared" si="244"/>
        <v>Input!E253</v>
      </c>
      <c r="N836" s="9">
        <f>_xlfn.XLOOKUP(F836,'Raw Data'!$I$4:$I$5000,'Raw Data'!$E$4:$E$5000,100,0)</f>
        <v>100</v>
      </c>
      <c r="O836" s="9" t="str">
        <f>IF(N836=0,_xlfn.XLOOKUP(F836,'Raw Data'!$I$4:$I$5000,'Raw Data'!$H$4:$H$5000,"",0),"")</f>
        <v/>
      </c>
      <c r="P836" s="9" t="str" cm="1">
        <f t="array" aca="1" ref="P836" ca="1">IF(INDIRECT(M836) = "","",INDIRECT(M836))</f>
        <v/>
      </c>
      <c r="Q836" s="359" t="s">
        <v>4381</v>
      </c>
    </row>
    <row r="837" spans="1:17" x14ac:dyDescent="0.35">
      <c r="A837" t="s">
        <v>1824</v>
      </c>
      <c r="E837" t="str">
        <f>_xlfn.XLOOKUP(F837,'Raw Data'!$I$4:$I$5000,'Raw Data'!$D$4:$D$5000,"*** Mnemonic not found ***",0)</f>
        <v>*** Mnemonic not found ***</v>
      </c>
      <c r="F837" t="str">
        <f t="shared" ref="F837:F900" si="249">CONCATENATE(A837,"_",B837,"_",D837)</f>
        <v>SUCMRUR1SOVERG4_1TO5__</v>
      </c>
      <c r="H837" s="9" t="s">
        <v>1137</v>
      </c>
      <c r="K837" s="9">
        <f t="shared" si="247"/>
        <v>253</v>
      </c>
      <c r="L837" s="9" t="str">
        <f t="shared" si="248"/>
        <v>F</v>
      </c>
      <c r="M837" s="9" t="str">
        <f t="shared" si="244"/>
        <v>Input!F253</v>
      </c>
      <c r="N837" s="9">
        <f>_xlfn.XLOOKUP(F837,'Raw Data'!$I$4:$I$5000,'Raw Data'!$E$4:$E$5000,100,0)</f>
        <v>100</v>
      </c>
      <c r="O837" s="9" t="str">
        <f>IF(N837=0,_xlfn.XLOOKUP(F837,'Raw Data'!$I$4:$I$5000,'Raw Data'!$H$4:$H$5000,"",0),"")</f>
        <v/>
      </c>
      <c r="P837" s="9" t="str" cm="1">
        <f t="array" aca="1" ref="P837" ca="1">IF(INDIRECT(M837) = "","",INDIRECT(M837))</f>
        <v/>
      </c>
      <c r="Q837" s="359" t="s">
        <v>4381</v>
      </c>
    </row>
    <row r="838" spans="1:17" x14ac:dyDescent="0.35">
      <c r="A838" t="s">
        <v>1829</v>
      </c>
      <c r="E838" t="str">
        <f>_xlfn.XLOOKUP(F838,'Raw Data'!$I$4:$I$5000,'Raw Data'!$D$4:$D$5000,"*** Mnemonic not found ***",0)</f>
        <v>*** Mnemonic not found ***</v>
      </c>
      <c r="F838" t="str">
        <f t="shared" si="249"/>
        <v>SUCMRUR1SOVERG5_1TO5__</v>
      </c>
      <c r="H838" s="9" t="s">
        <v>1137</v>
      </c>
      <c r="K838" s="9">
        <f t="shared" si="247"/>
        <v>253</v>
      </c>
      <c r="L838" s="9" t="str">
        <f t="shared" si="248"/>
        <v>G</v>
      </c>
      <c r="M838" s="9" t="str">
        <f t="shared" si="244"/>
        <v>Input!G253</v>
      </c>
      <c r="N838" s="9">
        <f>_xlfn.XLOOKUP(F838,'Raw Data'!$I$4:$I$5000,'Raw Data'!$E$4:$E$5000,100,0)</f>
        <v>100</v>
      </c>
      <c r="O838" s="9" t="str">
        <f>IF(N838=0,_xlfn.XLOOKUP(F838,'Raw Data'!$I$4:$I$5000,'Raw Data'!$H$4:$H$5000,"",0),"")</f>
        <v/>
      </c>
      <c r="P838" s="9" t="str" cm="1">
        <f t="array" aca="1" ref="P838" ca="1">IF(INDIRECT(M838) = "","",INDIRECT(M838))</f>
        <v/>
      </c>
      <c r="Q838" s="359" t="s">
        <v>4381</v>
      </c>
    </row>
    <row r="839" spans="1:17" x14ac:dyDescent="0.35">
      <c r="A839" t="s">
        <v>1834</v>
      </c>
      <c r="E839" t="str">
        <f>_xlfn.XLOOKUP(F839,'Raw Data'!$I$4:$I$5000,'Raw Data'!$D$4:$D$5000,"*** Mnemonic not found ***",0)</f>
        <v>*** Mnemonic not found ***</v>
      </c>
      <c r="F839" t="str">
        <f t="shared" si="249"/>
        <v>SUCMRUR1SOVERG6_1TO5__</v>
      </c>
      <c r="H839" s="9" t="s">
        <v>1137</v>
      </c>
      <c r="K839" s="9">
        <f t="shared" si="247"/>
        <v>253</v>
      </c>
      <c r="L839" s="9" t="str">
        <f t="shared" si="248"/>
        <v>H</v>
      </c>
      <c r="M839" s="9" t="str">
        <f t="shared" si="244"/>
        <v>Input!H253</v>
      </c>
      <c r="N839" s="9">
        <f>_xlfn.XLOOKUP(F839,'Raw Data'!$I$4:$I$5000,'Raw Data'!$E$4:$E$5000,100,0)</f>
        <v>100</v>
      </c>
      <c r="O839" s="9" t="str">
        <f>IF(N839=0,_xlfn.XLOOKUP(F839,'Raw Data'!$I$4:$I$5000,'Raw Data'!$H$4:$H$5000,"",0),"")</f>
        <v/>
      </c>
      <c r="P839" s="9" t="str" cm="1">
        <f t="array" aca="1" ref="P839" ca="1">IF(INDIRECT(M839) = "","",INDIRECT(M839))</f>
        <v/>
      </c>
      <c r="Q839" s="359" t="s">
        <v>4381</v>
      </c>
    </row>
    <row r="840" spans="1:17" x14ac:dyDescent="0.35">
      <c r="A840" t="s">
        <v>1839</v>
      </c>
      <c r="E840" t="str">
        <f>_xlfn.XLOOKUP(F840,'Raw Data'!$I$4:$I$5000,'Raw Data'!$D$4:$D$5000,"*** Mnemonic not found ***",0)</f>
        <v>*** Mnemonic not found ***</v>
      </c>
      <c r="F840" t="str">
        <f t="shared" si="249"/>
        <v>SUCMRUR1SOVERG7_1TO5__</v>
      </c>
      <c r="H840" s="9" t="s">
        <v>1137</v>
      </c>
      <c r="K840" s="9">
        <f t="shared" si="247"/>
        <v>253</v>
      </c>
      <c r="L840" s="9" t="str">
        <f t="shared" si="248"/>
        <v>I</v>
      </c>
      <c r="M840" s="9" t="str">
        <f t="shared" si="244"/>
        <v>Input!I253</v>
      </c>
      <c r="N840" s="9">
        <f>_xlfn.XLOOKUP(F840,'Raw Data'!$I$4:$I$5000,'Raw Data'!$E$4:$E$5000,100,0)</f>
        <v>100</v>
      </c>
      <c r="O840" s="9" t="str">
        <f>IF(N840=0,_xlfn.XLOOKUP(F840,'Raw Data'!$I$4:$I$5000,'Raw Data'!$H$4:$H$5000,"",0),"")</f>
        <v/>
      </c>
      <c r="P840" s="9" t="str" cm="1">
        <f t="array" aca="1" ref="P840" ca="1">IF(INDIRECT(M840) = "","",INDIRECT(M840))</f>
        <v/>
      </c>
      <c r="Q840" s="359" t="s">
        <v>4381</v>
      </c>
    </row>
    <row r="841" spans="1:17" x14ac:dyDescent="0.35">
      <c r="A841" t="s">
        <v>1844</v>
      </c>
      <c r="E841" t="str">
        <f>_xlfn.XLOOKUP(F841,'Raw Data'!$I$4:$I$5000,'Raw Data'!$D$4:$D$5000,"*** Mnemonic not found ***",0)</f>
        <v>*** Mnemonic not found ***</v>
      </c>
      <c r="F841" t="str">
        <f t="shared" si="249"/>
        <v>SUCMRUR1SOVERG8_1TO5__</v>
      </c>
      <c r="H841" s="9" t="s">
        <v>1137</v>
      </c>
      <c r="K841" s="9">
        <f t="shared" si="247"/>
        <v>253</v>
      </c>
      <c r="L841" s="9" t="str">
        <f t="shared" si="248"/>
        <v>J</v>
      </c>
      <c r="M841" s="9" t="str">
        <f t="shared" si="244"/>
        <v>Input!J253</v>
      </c>
      <c r="N841" s="9">
        <f>_xlfn.XLOOKUP(F841,'Raw Data'!$I$4:$I$5000,'Raw Data'!$E$4:$E$5000,100,0)</f>
        <v>100</v>
      </c>
      <c r="O841" s="9" t="str">
        <f>IF(N841=0,_xlfn.XLOOKUP(F841,'Raw Data'!$I$4:$I$5000,'Raw Data'!$H$4:$H$5000,"",0),"")</f>
        <v/>
      </c>
      <c r="P841" s="9" t="str" cm="1">
        <f t="array" aca="1" ref="P841" ca="1">IF(INDIRECT(M841) = "","",INDIRECT(M841))</f>
        <v/>
      </c>
      <c r="Q841" s="359" t="s">
        <v>4381</v>
      </c>
    </row>
    <row r="842" spans="1:17" x14ac:dyDescent="0.35">
      <c r="A842" t="s">
        <v>1849</v>
      </c>
      <c r="E842" t="str">
        <f>_xlfn.XLOOKUP(F842,'Raw Data'!$I$4:$I$5000,'Raw Data'!$D$4:$D$5000,"*** Mnemonic not found ***",0)</f>
        <v>*** Mnemonic not found ***</v>
      </c>
      <c r="F842" t="str">
        <f t="shared" si="249"/>
        <v>SUCMRUR1SOVERG9_1TO5__</v>
      </c>
      <c r="H842" s="9" t="s">
        <v>1137</v>
      </c>
      <c r="K842" s="9">
        <f t="shared" si="247"/>
        <v>253</v>
      </c>
      <c r="L842" s="9" t="str">
        <f t="shared" si="248"/>
        <v>K</v>
      </c>
      <c r="M842" s="9" t="str">
        <f t="shared" si="244"/>
        <v>Input!K253</v>
      </c>
      <c r="N842" s="9">
        <f>_xlfn.XLOOKUP(F842,'Raw Data'!$I$4:$I$5000,'Raw Data'!$E$4:$E$5000,100,0)</f>
        <v>100</v>
      </c>
      <c r="O842" s="9" t="str">
        <f>IF(N842=0,_xlfn.XLOOKUP(F842,'Raw Data'!$I$4:$I$5000,'Raw Data'!$H$4:$H$5000,"",0),"")</f>
        <v/>
      </c>
      <c r="P842" s="9" t="str" cm="1">
        <f t="array" aca="1" ref="P842" ca="1">IF(INDIRECT(M842) = "","",INDIRECT(M842))</f>
        <v/>
      </c>
      <c r="Q842" s="359" t="s">
        <v>4381</v>
      </c>
    </row>
    <row r="843" spans="1:17" x14ac:dyDescent="0.35">
      <c r="A843" t="s">
        <v>1854</v>
      </c>
      <c r="E843" t="str">
        <f>_xlfn.XLOOKUP(F843,'Raw Data'!$I$4:$I$5000,'Raw Data'!$D$4:$D$5000,"*** Mnemonic not found ***",0)</f>
        <v>*** Mnemonic not found ***</v>
      </c>
      <c r="F843" t="str">
        <f t="shared" si="249"/>
        <v>SUCMRUR1SOVERG10_1TO5__</v>
      </c>
      <c r="H843" s="9" t="s">
        <v>1137</v>
      </c>
      <c r="K843" s="9">
        <f t="shared" si="247"/>
        <v>253</v>
      </c>
      <c r="L843" s="9" t="str">
        <f t="shared" si="248"/>
        <v>L</v>
      </c>
      <c r="M843" s="9" t="str">
        <f t="shared" si="244"/>
        <v>Input!L253</v>
      </c>
      <c r="N843" s="9">
        <f>_xlfn.XLOOKUP(F843,'Raw Data'!$I$4:$I$5000,'Raw Data'!$E$4:$E$5000,100,0)</f>
        <v>100</v>
      </c>
      <c r="O843" s="9" t="str">
        <f>IF(N843=0,_xlfn.XLOOKUP(F843,'Raw Data'!$I$4:$I$5000,'Raw Data'!$H$4:$H$5000,"",0),"")</f>
        <v/>
      </c>
      <c r="P843" s="9" t="str" cm="1">
        <f t="array" aca="1" ref="P843" ca="1">IF(INDIRECT(M843) = "","",INDIRECT(M843))</f>
        <v/>
      </c>
      <c r="Q843" s="359" t="s">
        <v>4381</v>
      </c>
    </row>
    <row r="844" spans="1:17" x14ac:dyDescent="0.35">
      <c r="A844" t="s">
        <v>1859</v>
      </c>
      <c r="E844" t="str">
        <f>_xlfn.XLOOKUP(F844,'Raw Data'!$I$4:$I$5000,'Raw Data'!$D$4:$D$5000,"*** Mnemonic not found ***",0)</f>
        <v>*** Mnemonic not found ***</v>
      </c>
      <c r="F844" t="str">
        <f t="shared" si="249"/>
        <v>SUCMRUR1SOVERGNA_1TO5__</v>
      </c>
      <c r="H844" s="9" t="s">
        <v>1137</v>
      </c>
      <c r="K844" s="9">
        <f t="shared" si="247"/>
        <v>253</v>
      </c>
      <c r="L844" s="9" t="str">
        <f t="shared" si="248"/>
        <v>M</v>
      </c>
      <c r="M844" s="9" t="str">
        <f t="shared" si="244"/>
        <v>Input!M253</v>
      </c>
      <c r="N844" s="9">
        <f>_xlfn.XLOOKUP(F844,'Raw Data'!$I$4:$I$5000,'Raw Data'!$E$4:$E$5000,100,0)</f>
        <v>100</v>
      </c>
      <c r="O844" s="9" t="str">
        <f>IF(N844=0,_xlfn.XLOOKUP(F844,'Raw Data'!$I$4:$I$5000,'Raw Data'!$H$4:$H$5000,"",0),"")</f>
        <v/>
      </c>
      <c r="P844" s="9" t="str" cm="1">
        <f t="array" aca="1" ref="P844" ca="1">IF(INDIRECT(M844) = "","",INDIRECT(M844))</f>
        <v/>
      </c>
      <c r="Q844" s="359" t="s">
        <v>4381</v>
      </c>
    </row>
    <row r="845" spans="1:17" x14ac:dyDescent="0.35">
      <c r="A845" t="s">
        <v>1810</v>
      </c>
      <c r="E845" t="str">
        <f>_xlfn.XLOOKUP(F845,'Raw Data'!$I$4:$I$5000,'Raw Data'!$D$4:$D$5000,"*** Mnemonic not found ***",0)</f>
        <v>*** Mnemonic not found ***</v>
      </c>
      <c r="F845" t="str">
        <f t="shared" si="249"/>
        <v>SUCMRUR1SOVERG1_5TO10__</v>
      </c>
      <c r="H845" s="9" t="s">
        <v>1137</v>
      </c>
      <c r="K845" s="9">
        <f t="shared" si="247"/>
        <v>254</v>
      </c>
      <c r="L845" s="9" t="str">
        <f t="shared" si="248"/>
        <v>C</v>
      </c>
      <c r="M845" s="9" t="str">
        <f t="shared" si="244"/>
        <v>Input!C254</v>
      </c>
      <c r="N845" s="9">
        <f>_xlfn.XLOOKUP(F845,'Raw Data'!$I$4:$I$5000,'Raw Data'!$E$4:$E$5000,100,0)</f>
        <v>100</v>
      </c>
      <c r="O845" s="9" t="str">
        <f>IF(N845=0,_xlfn.XLOOKUP(F845,'Raw Data'!$I$4:$I$5000,'Raw Data'!$H$4:$H$5000,"",0),"")</f>
        <v/>
      </c>
      <c r="P845" s="9" t="str" cm="1">
        <f t="array" aca="1" ref="P845" ca="1">IF(INDIRECT(M845) = "","",INDIRECT(M845))</f>
        <v/>
      </c>
      <c r="Q845" s="359" t="s">
        <v>4381</v>
      </c>
    </row>
    <row r="846" spans="1:17" x14ac:dyDescent="0.35">
      <c r="A846" t="s">
        <v>1815</v>
      </c>
      <c r="E846" t="str">
        <f>_xlfn.XLOOKUP(F846,'Raw Data'!$I$4:$I$5000,'Raw Data'!$D$4:$D$5000,"*** Mnemonic not found ***",0)</f>
        <v>*** Mnemonic not found ***</v>
      </c>
      <c r="F846" t="str">
        <f t="shared" si="249"/>
        <v>SUCMRUR1SOVERG2_5TO10__</v>
      </c>
      <c r="H846" s="9" t="s">
        <v>1137</v>
      </c>
      <c r="K846" s="9">
        <f t="shared" si="247"/>
        <v>254</v>
      </c>
      <c r="L846" s="9" t="str">
        <f t="shared" si="248"/>
        <v>D</v>
      </c>
      <c r="M846" s="9" t="str">
        <f t="shared" si="244"/>
        <v>Input!D254</v>
      </c>
      <c r="N846" s="9">
        <f>_xlfn.XLOOKUP(F846,'Raw Data'!$I$4:$I$5000,'Raw Data'!$E$4:$E$5000,100,0)</f>
        <v>100</v>
      </c>
      <c r="O846" s="9" t="str">
        <f>IF(N846=0,_xlfn.XLOOKUP(F846,'Raw Data'!$I$4:$I$5000,'Raw Data'!$H$4:$H$5000,"",0),"")</f>
        <v/>
      </c>
      <c r="P846" s="9" t="str" cm="1">
        <f t="array" aca="1" ref="P846" ca="1">IF(INDIRECT(M846) = "","",INDIRECT(M846))</f>
        <v/>
      </c>
      <c r="Q846" s="359" t="s">
        <v>4381</v>
      </c>
    </row>
    <row r="847" spans="1:17" x14ac:dyDescent="0.35">
      <c r="A847" t="s">
        <v>1820</v>
      </c>
      <c r="E847" t="str">
        <f>_xlfn.XLOOKUP(F847,'Raw Data'!$I$4:$I$5000,'Raw Data'!$D$4:$D$5000,"*** Mnemonic not found ***",0)</f>
        <v>*** Mnemonic not found ***</v>
      </c>
      <c r="F847" t="str">
        <f t="shared" si="249"/>
        <v>SUCMRUR1SOVERG3_5TO10__</v>
      </c>
      <c r="H847" s="9" t="s">
        <v>1137</v>
      </c>
      <c r="K847" s="9">
        <f t="shared" si="247"/>
        <v>254</v>
      </c>
      <c r="L847" s="9" t="str">
        <f t="shared" si="248"/>
        <v>E</v>
      </c>
      <c r="M847" s="9" t="str">
        <f t="shared" ref="M847:M910" si="250">CONCATENATE(H847,"!",L847,K847)</f>
        <v>Input!E254</v>
      </c>
      <c r="N847" s="9">
        <f>_xlfn.XLOOKUP(F847,'Raw Data'!$I$4:$I$5000,'Raw Data'!$E$4:$E$5000,100,0)</f>
        <v>100</v>
      </c>
      <c r="O847" s="9" t="str">
        <f>IF(N847=0,_xlfn.XLOOKUP(F847,'Raw Data'!$I$4:$I$5000,'Raw Data'!$H$4:$H$5000,"",0),"")</f>
        <v/>
      </c>
      <c r="P847" s="9" t="str" cm="1">
        <f t="array" aca="1" ref="P847" ca="1">IF(INDIRECT(M847) = "","",INDIRECT(M847))</f>
        <v/>
      </c>
      <c r="Q847" s="359" t="s">
        <v>4381</v>
      </c>
    </row>
    <row r="848" spans="1:17" x14ac:dyDescent="0.35">
      <c r="A848" t="s">
        <v>1825</v>
      </c>
      <c r="E848" t="str">
        <f>_xlfn.XLOOKUP(F848,'Raw Data'!$I$4:$I$5000,'Raw Data'!$D$4:$D$5000,"*** Mnemonic not found ***",0)</f>
        <v>*** Mnemonic not found ***</v>
      </c>
      <c r="F848" t="str">
        <f t="shared" si="249"/>
        <v>SUCMRUR1SOVERG4_5TO10__</v>
      </c>
      <c r="H848" s="9" t="s">
        <v>1137</v>
      </c>
      <c r="K848" s="9">
        <f t="shared" si="247"/>
        <v>254</v>
      </c>
      <c r="L848" s="9" t="str">
        <f t="shared" si="248"/>
        <v>F</v>
      </c>
      <c r="M848" s="9" t="str">
        <f t="shared" si="250"/>
        <v>Input!F254</v>
      </c>
      <c r="N848" s="9">
        <f>_xlfn.XLOOKUP(F848,'Raw Data'!$I$4:$I$5000,'Raw Data'!$E$4:$E$5000,100,0)</f>
        <v>100</v>
      </c>
      <c r="O848" s="9" t="str">
        <f>IF(N848=0,_xlfn.XLOOKUP(F848,'Raw Data'!$I$4:$I$5000,'Raw Data'!$H$4:$H$5000,"",0),"")</f>
        <v/>
      </c>
      <c r="P848" s="9" t="str" cm="1">
        <f t="array" aca="1" ref="P848" ca="1">IF(INDIRECT(M848) = "","",INDIRECT(M848))</f>
        <v/>
      </c>
      <c r="Q848" s="359" t="s">
        <v>4381</v>
      </c>
    </row>
    <row r="849" spans="1:17" x14ac:dyDescent="0.35">
      <c r="A849" t="s">
        <v>1830</v>
      </c>
      <c r="E849" t="str">
        <f>_xlfn.XLOOKUP(F849,'Raw Data'!$I$4:$I$5000,'Raw Data'!$D$4:$D$5000,"*** Mnemonic not found ***",0)</f>
        <v>*** Mnemonic not found ***</v>
      </c>
      <c r="F849" t="str">
        <f t="shared" si="249"/>
        <v>SUCMRUR1SOVERG5_5TO10__</v>
      </c>
      <c r="H849" s="9" t="s">
        <v>1137</v>
      </c>
      <c r="K849" s="9">
        <f t="shared" si="247"/>
        <v>254</v>
      </c>
      <c r="L849" s="9" t="str">
        <f t="shared" si="248"/>
        <v>G</v>
      </c>
      <c r="M849" s="9" t="str">
        <f t="shared" si="250"/>
        <v>Input!G254</v>
      </c>
      <c r="N849" s="9">
        <f>_xlfn.XLOOKUP(F849,'Raw Data'!$I$4:$I$5000,'Raw Data'!$E$4:$E$5000,100,0)</f>
        <v>100</v>
      </c>
      <c r="O849" s="9" t="str">
        <f>IF(N849=0,_xlfn.XLOOKUP(F849,'Raw Data'!$I$4:$I$5000,'Raw Data'!$H$4:$H$5000,"",0),"")</f>
        <v/>
      </c>
      <c r="P849" s="9" t="str" cm="1">
        <f t="array" aca="1" ref="P849" ca="1">IF(INDIRECT(M849) = "","",INDIRECT(M849))</f>
        <v/>
      </c>
      <c r="Q849" s="359" t="s">
        <v>4381</v>
      </c>
    </row>
    <row r="850" spans="1:17" x14ac:dyDescent="0.35">
      <c r="A850" t="s">
        <v>1835</v>
      </c>
      <c r="E850" t="str">
        <f>_xlfn.XLOOKUP(F850,'Raw Data'!$I$4:$I$5000,'Raw Data'!$D$4:$D$5000,"*** Mnemonic not found ***",0)</f>
        <v>*** Mnemonic not found ***</v>
      </c>
      <c r="F850" t="str">
        <f t="shared" si="249"/>
        <v>SUCMRUR1SOVERG6_5TO10__</v>
      </c>
      <c r="H850" s="9" t="s">
        <v>1137</v>
      </c>
      <c r="K850" s="9">
        <f t="shared" si="247"/>
        <v>254</v>
      </c>
      <c r="L850" s="9" t="str">
        <f t="shared" si="248"/>
        <v>H</v>
      </c>
      <c r="M850" s="9" t="str">
        <f t="shared" si="250"/>
        <v>Input!H254</v>
      </c>
      <c r="N850" s="9">
        <f>_xlfn.XLOOKUP(F850,'Raw Data'!$I$4:$I$5000,'Raw Data'!$E$4:$E$5000,100,0)</f>
        <v>100</v>
      </c>
      <c r="O850" s="9" t="str">
        <f>IF(N850=0,_xlfn.XLOOKUP(F850,'Raw Data'!$I$4:$I$5000,'Raw Data'!$H$4:$H$5000,"",0),"")</f>
        <v/>
      </c>
      <c r="P850" s="9" t="str" cm="1">
        <f t="array" aca="1" ref="P850" ca="1">IF(INDIRECT(M850) = "","",INDIRECT(M850))</f>
        <v/>
      </c>
      <c r="Q850" s="359" t="s">
        <v>4381</v>
      </c>
    </row>
    <row r="851" spans="1:17" x14ac:dyDescent="0.35">
      <c r="A851" t="s">
        <v>1840</v>
      </c>
      <c r="E851" t="str">
        <f>_xlfn.XLOOKUP(F851,'Raw Data'!$I$4:$I$5000,'Raw Data'!$D$4:$D$5000,"*** Mnemonic not found ***",0)</f>
        <v>*** Mnemonic not found ***</v>
      </c>
      <c r="F851" t="str">
        <f t="shared" si="249"/>
        <v>SUCMRUR1SOVERG7_5TO10__</v>
      </c>
      <c r="H851" s="9" t="s">
        <v>1137</v>
      </c>
      <c r="K851" s="9">
        <f t="shared" si="247"/>
        <v>254</v>
      </c>
      <c r="L851" s="9" t="str">
        <f t="shared" si="248"/>
        <v>I</v>
      </c>
      <c r="M851" s="9" t="str">
        <f t="shared" si="250"/>
        <v>Input!I254</v>
      </c>
      <c r="N851" s="9">
        <f>_xlfn.XLOOKUP(F851,'Raw Data'!$I$4:$I$5000,'Raw Data'!$E$4:$E$5000,100,0)</f>
        <v>100</v>
      </c>
      <c r="O851" s="9" t="str">
        <f>IF(N851=0,_xlfn.XLOOKUP(F851,'Raw Data'!$I$4:$I$5000,'Raw Data'!$H$4:$H$5000,"",0),"")</f>
        <v/>
      </c>
      <c r="P851" s="9" t="str" cm="1">
        <f t="array" aca="1" ref="P851" ca="1">IF(INDIRECT(M851) = "","",INDIRECT(M851))</f>
        <v/>
      </c>
      <c r="Q851" s="359" t="s">
        <v>4381</v>
      </c>
    </row>
    <row r="852" spans="1:17" x14ac:dyDescent="0.35">
      <c r="A852" t="s">
        <v>1845</v>
      </c>
      <c r="E852" t="str">
        <f>_xlfn.XLOOKUP(F852,'Raw Data'!$I$4:$I$5000,'Raw Data'!$D$4:$D$5000,"*** Mnemonic not found ***",0)</f>
        <v>*** Mnemonic not found ***</v>
      </c>
      <c r="F852" t="str">
        <f t="shared" si="249"/>
        <v>SUCMRUR1SOVERG8_5TO10__</v>
      </c>
      <c r="H852" s="9" t="s">
        <v>1137</v>
      </c>
      <c r="K852" s="9">
        <f t="shared" si="247"/>
        <v>254</v>
      </c>
      <c r="L852" s="9" t="str">
        <f t="shared" si="248"/>
        <v>J</v>
      </c>
      <c r="M852" s="9" t="str">
        <f t="shared" si="250"/>
        <v>Input!J254</v>
      </c>
      <c r="N852" s="9">
        <f>_xlfn.XLOOKUP(F852,'Raw Data'!$I$4:$I$5000,'Raw Data'!$E$4:$E$5000,100,0)</f>
        <v>100</v>
      </c>
      <c r="O852" s="9" t="str">
        <f>IF(N852=0,_xlfn.XLOOKUP(F852,'Raw Data'!$I$4:$I$5000,'Raw Data'!$H$4:$H$5000,"",0),"")</f>
        <v/>
      </c>
      <c r="P852" s="9" t="str" cm="1">
        <f t="array" aca="1" ref="P852" ca="1">IF(INDIRECT(M852) = "","",INDIRECT(M852))</f>
        <v/>
      </c>
      <c r="Q852" s="359" t="s">
        <v>4381</v>
      </c>
    </row>
    <row r="853" spans="1:17" x14ac:dyDescent="0.35">
      <c r="A853" t="s">
        <v>1850</v>
      </c>
      <c r="E853" t="str">
        <f>_xlfn.XLOOKUP(F853,'Raw Data'!$I$4:$I$5000,'Raw Data'!$D$4:$D$5000,"*** Mnemonic not found ***",0)</f>
        <v>*** Mnemonic not found ***</v>
      </c>
      <c r="F853" t="str">
        <f t="shared" si="249"/>
        <v>SUCMRUR1SOVERG9_5TO10__</v>
      </c>
      <c r="H853" s="9" t="s">
        <v>1137</v>
      </c>
      <c r="K853" s="9">
        <f t="shared" si="247"/>
        <v>254</v>
      </c>
      <c r="L853" s="9" t="str">
        <f t="shared" si="248"/>
        <v>K</v>
      </c>
      <c r="M853" s="9" t="str">
        <f t="shared" si="250"/>
        <v>Input!K254</v>
      </c>
      <c r="N853" s="9">
        <f>_xlfn.XLOOKUP(F853,'Raw Data'!$I$4:$I$5000,'Raw Data'!$E$4:$E$5000,100,0)</f>
        <v>100</v>
      </c>
      <c r="O853" s="9" t="str">
        <f>IF(N853=0,_xlfn.XLOOKUP(F853,'Raw Data'!$I$4:$I$5000,'Raw Data'!$H$4:$H$5000,"",0),"")</f>
        <v/>
      </c>
      <c r="P853" s="9" t="str" cm="1">
        <f t="array" aca="1" ref="P853" ca="1">IF(INDIRECT(M853) = "","",INDIRECT(M853))</f>
        <v/>
      </c>
      <c r="Q853" s="359" t="s">
        <v>4381</v>
      </c>
    </row>
    <row r="854" spans="1:17" x14ac:dyDescent="0.35">
      <c r="A854" t="s">
        <v>1855</v>
      </c>
      <c r="E854" t="str">
        <f>_xlfn.XLOOKUP(F854,'Raw Data'!$I$4:$I$5000,'Raw Data'!$D$4:$D$5000,"*** Mnemonic not found ***",0)</f>
        <v>*** Mnemonic not found ***</v>
      </c>
      <c r="F854" t="str">
        <f t="shared" si="249"/>
        <v>SUCMRUR1SOVERG10_5TO10__</v>
      </c>
      <c r="H854" s="9" t="s">
        <v>1137</v>
      </c>
      <c r="K854" s="9">
        <f t="shared" si="247"/>
        <v>254</v>
      </c>
      <c r="L854" s="9" t="str">
        <f t="shared" si="248"/>
        <v>L</v>
      </c>
      <c r="M854" s="9" t="str">
        <f t="shared" si="250"/>
        <v>Input!L254</v>
      </c>
      <c r="N854" s="9">
        <f>_xlfn.XLOOKUP(F854,'Raw Data'!$I$4:$I$5000,'Raw Data'!$E$4:$E$5000,100,0)</f>
        <v>100</v>
      </c>
      <c r="O854" s="9" t="str">
        <f>IF(N854=0,_xlfn.XLOOKUP(F854,'Raw Data'!$I$4:$I$5000,'Raw Data'!$H$4:$H$5000,"",0),"")</f>
        <v/>
      </c>
      <c r="P854" s="9" t="str" cm="1">
        <f t="array" aca="1" ref="P854" ca="1">IF(INDIRECT(M854) = "","",INDIRECT(M854))</f>
        <v/>
      </c>
      <c r="Q854" s="359" t="s">
        <v>4381</v>
      </c>
    </row>
    <row r="855" spans="1:17" x14ac:dyDescent="0.35">
      <c r="A855" t="s">
        <v>1860</v>
      </c>
      <c r="E855" t="str">
        <f>_xlfn.XLOOKUP(F855,'Raw Data'!$I$4:$I$5000,'Raw Data'!$D$4:$D$5000,"*** Mnemonic not found ***",0)</f>
        <v>*** Mnemonic not found ***</v>
      </c>
      <c r="F855" t="str">
        <f t="shared" si="249"/>
        <v>SUCMRUR1SOVERGNA_5TO10__</v>
      </c>
      <c r="H855" s="9" t="s">
        <v>1137</v>
      </c>
      <c r="K855" s="9">
        <f t="shared" si="247"/>
        <v>254</v>
      </c>
      <c r="L855" s="9" t="str">
        <f t="shared" si="248"/>
        <v>M</v>
      </c>
      <c r="M855" s="9" t="str">
        <f t="shared" si="250"/>
        <v>Input!M254</v>
      </c>
      <c r="N855" s="9">
        <f>_xlfn.XLOOKUP(F855,'Raw Data'!$I$4:$I$5000,'Raw Data'!$E$4:$E$5000,100,0)</f>
        <v>100</v>
      </c>
      <c r="O855" s="9" t="str">
        <f>IF(N855=0,_xlfn.XLOOKUP(F855,'Raw Data'!$I$4:$I$5000,'Raw Data'!$H$4:$H$5000,"",0),"")</f>
        <v/>
      </c>
      <c r="P855" s="9" t="str" cm="1">
        <f t="array" aca="1" ref="P855" ca="1">IF(INDIRECT(M855) = "","",INDIRECT(M855))</f>
        <v/>
      </c>
      <c r="Q855" s="359" t="s">
        <v>4381</v>
      </c>
    </row>
    <row r="856" spans="1:17" x14ac:dyDescent="0.35">
      <c r="A856" t="s">
        <v>1811</v>
      </c>
      <c r="E856" t="str">
        <f>_xlfn.XLOOKUP(F856,'Raw Data'!$I$4:$I$5000,'Raw Data'!$D$4:$D$5000,"*** Mnemonic not found ***",0)</f>
        <v>*** Mnemonic not found ***</v>
      </c>
      <c r="F856" t="str">
        <f t="shared" si="249"/>
        <v>SUCMRUR1SOVERG1_10TO20__</v>
      </c>
      <c r="H856" s="9" t="s">
        <v>1137</v>
      </c>
      <c r="K856" s="9">
        <f t="shared" si="247"/>
        <v>255</v>
      </c>
      <c r="L856" s="9" t="str">
        <f t="shared" si="248"/>
        <v>C</v>
      </c>
      <c r="M856" s="9" t="str">
        <f t="shared" si="250"/>
        <v>Input!C255</v>
      </c>
      <c r="N856" s="9">
        <f>_xlfn.XLOOKUP(F856,'Raw Data'!$I$4:$I$5000,'Raw Data'!$E$4:$E$5000,100,0)</f>
        <v>100</v>
      </c>
      <c r="O856" s="9" t="str">
        <f>IF(N856=0,_xlfn.XLOOKUP(F856,'Raw Data'!$I$4:$I$5000,'Raw Data'!$H$4:$H$5000,"",0),"")</f>
        <v/>
      </c>
      <c r="P856" s="9" t="str" cm="1">
        <f t="array" aca="1" ref="P856" ca="1">IF(INDIRECT(M856) = "","",INDIRECT(M856))</f>
        <v/>
      </c>
      <c r="Q856" s="359" t="s">
        <v>4381</v>
      </c>
    </row>
    <row r="857" spans="1:17" x14ac:dyDescent="0.35">
      <c r="A857" t="s">
        <v>1816</v>
      </c>
      <c r="E857" t="str">
        <f>_xlfn.XLOOKUP(F857,'Raw Data'!$I$4:$I$5000,'Raw Data'!$D$4:$D$5000,"*** Mnemonic not found ***",0)</f>
        <v>*** Mnemonic not found ***</v>
      </c>
      <c r="F857" t="str">
        <f t="shared" si="249"/>
        <v>SUCMRUR1SOVERG2_10TO20__</v>
      </c>
      <c r="H857" s="9" t="s">
        <v>1137</v>
      </c>
      <c r="K857" s="9">
        <f t="shared" si="247"/>
        <v>255</v>
      </c>
      <c r="L857" s="9" t="str">
        <f t="shared" si="248"/>
        <v>D</v>
      </c>
      <c r="M857" s="9" t="str">
        <f t="shared" si="250"/>
        <v>Input!D255</v>
      </c>
      <c r="N857" s="9">
        <f>_xlfn.XLOOKUP(F857,'Raw Data'!$I$4:$I$5000,'Raw Data'!$E$4:$E$5000,100,0)</f>
        <v>100</v>
      </c>
      <c r="O857" s="9" t="str">
        <f>IF(N857=0,_xlfn.XLOOKUP(F857,'Raw Data'!$I$4:$I$5000,'Raw Data'!$H$4:$H$5000,"",0),"")</f>
        <v/>
      </c>
      <c r="P857" s="9" t="str" cm="1">
        <f t="array" aca="1" ref="P857" ca="1">IF(INDIRECT(M857) = "","",INDIRECT(M857))</f>
        <v/>
      </c>
      <c r="Q857" s="359" t="s">
        <v>4381</v>
      </c>
    </row>
    <row r="858" spans="1:17" x14ac:dyDescent="0.35">
      <c r="A858" t="s">
        <v>1821</v>
      </c>
      <c r="E858" t="str">
        <f>_xlfn.XLOOKUP(F858,'Raw Data'!$I$4:$I$5000,'Raw Data'!$D$4:$D$5000,"*** Mnemonic not found ***",0)</f>
        <v>*** Mnemonic not found ***</v>
      </c>
      <c r="F858" t="str">
        <f t="shared" si="249"/>
        <v>SUCMRUR1SOVERG3_10TO20__</v>
      </c>
      <c r="H858" s="9" t="s">
        <v>1137</v>
      </c>
      <c r="K858" s="9">
        <f t="shared" si="247"/>
        <v>255</v>
      </c>
      <c r="L858" s="9" t="str">
        <f t="shared" si="248"/>
        <v>E</v>
      </c>
      <c r="M858" s="9" t="str">
        <f t="shared" si="250"/>
        <v>Input!E255</v>
      </c>
      <c r="N858" s="9">
        <f>_xlfn.XLOOKUP(F858,'Raw Data'!$I$4:$I$5000,'Raw Data'!$E$4:$E$5000,100,0)</f>
        <v>100</v>
      </c>
      <c r="O858" s="9" t="str">
        <f>IF(N858=0,_xlfn.XLOOKUP(F858,'Raw Data'!$I$4:$I$5000,'Raw Data'!$H$4:$H$5000,"",0),"")</f>
        <v/>
      </c>
      <c r="P858" s="9" t="str" cm="1">
        <f t="array" aca="1" ref="P858" ca="1">IF(INDIRECT(M858) = "","",INDIRECT(M858))</f>
        <v/>
      </c>
      <c r="Q858" s="359" t="s">
        <v>4381</v>
      </c>
    </row>
    <row r="859" spans="1:17" x14ac:dyDescent="0.35">
      <c r="A859" t="s">
        <v>1826</v>
      </c>
      <c r="E859" t="str">
        <f>_xlfn.XLOOKUP(F859,'Raw Data'!$I$4:$I$5000,'Raw Data'!$D$4:$D$5000,"*** Mnemonic not found ***",0)</f>
        <v>*** Mnemonic not found ***</v>
      </c>
      <c r="F859" t="str">
        <f t="shared" si="249"/>
        <v>SUCMRUR1SOVERG4_10TO20__</v>
      </c>
      <c r="H859" s="9" t="s">
        <v>1137</v>
      </c>
      <c r="K859" s="9">
        <f t="shared" si="247"/>
        <v>255</v>
      </c>
      <c r="L859" s="9" t="str">
        <f t="shared" si="248"/>
        <v>F</v>
      </c>
      <c r="M859" s="9" t="str">
        <f t="shared" si="250"/>
        <v>Input!F255</v>
      </c>
      <c r="N859" s="9">
        <f>_xlfn.XLOOKUP(F859,'Raw Data'!$I$4:$I$5000,'Raw Data'!$E$4:$E$5000,100,0)</f>
        <v>100</v>
      </c>
      <c r="O859" s="9" t="str">
        <f>IF(N859=0,_xlfn.XLOOKUP(F859,'Raw Data'!$I$4:$I$5000,'Raw Data'!$H$4:$H$5000,"",0),"")</f>
        <v/>
      </c>
      <c r="P859" s="9" t="str" cm="1">
        <f t="array" aca="1" ref="P859" ca="1">IF(INDIRECT(M859) = "","",INDIRECT(M859))</f>
        <v/>
      </c>
      <c r="Q859" s="359" t="s">
        <v>4381</v>
      </c>
    </row>
    <row r="860" spans="1:17" x14ac:dyDescent="0.35">
      <c r="A860" t="s">
        <v>1831</v>
      </c>
      <c r="E860" t="str">
        <f>_xlfn.XLOOKUP(F860,'Raw Data'!$I$4:$I$5000,'Raw Data'!$D$4:$D$5000,"*** Mnemonic not found ***",0)</f>
        <v>*** Mnemonic not found ***</v>
      </c>
      <c r="F860" t="str">
        <f t="shared" si="249"/>
        <v>SUCMRUR1SOVERG5_10TO20__</v>
      </c>
      <c r="H860" s="9" t="s">
        <v>1137</v>
      </c>
      <c r="K860" s="9">
        <f t="shared" si="247"/>
        <v>255</v>
      </c>
      <c r="L860" s="9" t="str">
        <f t="shared" si="248"/>
        <v>G</v>
      </c>
      <c r="M860" s="9" t="str">
        <f t="shared" si="250"/>
        <v>Input!G255</v>
      </c>
      <c r="N860" s="9">
        <f>_xlfn.XLOOKUP(F860,'Raw Data'!$I$4:$I$5000,'Raw Data'!$E$4:$E$5000,100,0)</f>
        <v>100</v>
      </c>
      <c r="O860" s="9" t="str">
        <f>IF(N860=0,_xlfn.XLOOKUP(F860,'Raw Data'!$I$4:$I$5000,'Raw Data'!$H$4:$H$5000,"",0),"")</f>
        <v/>
      </c>
      <c r="P860" s="9" t="str" cm="1">
        <f t="array" aca="1" ref="P860" ca="1">IF(INDIRECT(M860) = "","",INDIRECT(M860))</f>
        <v/>
      </c>
      <c r="Q860" s="359" t="s">
        <v>4381</v>
      </c>
    </row>
    <row r="861" spans="1:17" x14ac:dyDescent="0.35">
      <c r="A861" t="s">
        <v>1836</v>
      </c>
      <c r="E861" t="str">
        <f>_xlfn.XLOOKUP(F861,'Raw Data'!$I$4:$I$5000,'Raw Data'!$D$4:$D$5000,"*** Mnemonic not found ***",0)</f>
        <v>*** Mnemonic not found ***</v>
      </c>
      <c r="F861" t="str">
        <f t="shared" si="249"/>
        <v>SUCMRUR1SOVERG6_10TO20__</v>
      </c>
      <c r="H861" s="9" t="s">
        <v>1137</v>
      </c>
      <c r="K861" s="9">
        <f t="shared" si="247"/>
        <v>255</v>
      </c>
      <c r="L861" s="9" t="str">
        <f t="shared" si="248"/>
        <v>H</v>
      </c>
      <c r="M861" s="9" t="str">
        <f t="shared" si="250"/>
        <v>Input!H255</v>
      </c>
      <c r="N861" s="9">
        <f>_xlfn.XLOOKUP(F861,'Raw Data'!$I$4:$I$5000,'Raw Data'!$E$4:$E$5000,100,0)</f>
        <v>100</v>
      </c>
      <c r="O861" s="9" t="str">
        <f>IF(N861=0,_xlfn.XLOOKUP(F861,'Raw Data'!$I$4:$I$5000,'Raw Data'!$H$4:$H$5000,"",0),"")</f>
        <v/>
      </c>
      <c r="P861" s="9" t="str" cm="1">
        <f t="array" aca="1" ref="P861" ca="1">IF(INDIRECT(M861) = "","",INDIRECT(M861))</f>
        <v/>
      </c>
      <c r="Q861" s="359" t="s">
        <v>4381</v>
      </c>
    </row>
    <row r="862" spans="1:17" x14ac:dyDescent="0.35">
      <c r="A862" t="s">
        <v>1841</v>
      </c>
      <c r="E862" t="str">
        <f>_xlfn.XLOOKUP(F862,'Raw Data'!$I$4:$I$5000,'Raw Data'!$D$4:$D$5000,"*** Mnemonic not found ***",0)</f>
        <v>*** Mnemonic not found ***</v>
      </c>
      <c r="F862" t="str">
        <f t="shared" si="249"/>
        <v>SUCMRUR1SOVERG7_10TO20__</v>
      </c>
      <c r="H862" s="9" t="s">
        <v>1137</v>
      </c>
      <c r="K862" s="9">
        <f t="shared" si="247"/>
        <v>255</v>
      </c>
      <c r="L862" s="9" t="str">
        <f t="shared" si="248"/>
        <v>I</v>
      </c>
      <c r="M862" s="9" t="str">
        <f t="shared" si="250"/>
        <v>Input!I255</v>
      </c>
      <c r="N862" s="9">
        <f>_xlfn.XLOOKUP(F862,'Raw Data'!$I$4:$I$5000,'Raw Data'!$E$4:$E$5000,100,0)</f>
        <v>100</v>
      </c>
      <c r="O862" s="9" t="str">
        <f>IF(N862=0,_xlfn.XLOOKUP(F862,'Raw Data'!$I$4:$I$5000,'Raw Data'!$H$4:$H$5000,"",0),"")</f>
        <v/>
      </c>
      <c r="P862" s="9" t="str" cm="1">
        <f t="array" aca="1" ref="P862" ca="1">IF(INDIRECT(M862) = "","",INDIRECT(M862))</f>
        <v/>
      </c>
      <c r="Q862" s="359" t="s">
        <v>4381</v>
      </c>
    </row>
    <row r="863" spans="1:17" x14ac:dyDescent="0.35">
      <c r="A863" t="s">
        <v>1846</v>
      </c>
      <c r="E863" t="str">
        <f>_xlfn.XLOOKUP(F863,'Raw Data'!$I$4:$I$5000,'Raw Data'!$D$4:$D$5000,"*** Mnemonic not found ***",0)</f>
        <v>*** Mnemonic not found ***</v>
      </c>
      <c r="F863" t="str">
        <f t="shared" si="249"/>
        <v>SUCMRUR1SOVERG8_10TO20__</v>
      </c>
      <c r="H863" s="9" t="s">
        <v>1137</v>
      </c>
      <c r="K863" s="9">
        <f t="shared" si="247"/>
        <v>255</v>
      </c>
      <c r="L863" s="9" t="str">
        <f t="shared" si="248"/>
        <v>J</v>
      </c>
      <c r="M863" s="9" t="str">
        <f t="shared" si="250"/>
        <v>Input!J255</v>
      </c>
      <c r="N863" s="9">
        <f>_xlfn.XLOOKUP(F863,'Raw Data'!$I$4:$I$5000,'Raw Data'!$E$4:$E$5000,100,0)</f>
        <v>100</v>
      </c>
      <c r="O863" s="9" t="str">
        <f>IF(N863=0,_xlfn.XLOOKUP(F863,'Raw Data'!$I$4:$I$5000,'Raw Data'!$H$4:$H$5000,"",0),"")</f>
        <v/>
      </c>
      <c r="P863" s="9" t="str" cm="1">
        <f t="array" aca="1" ref="P863" ca="1">IF(INDIRECT(M863) = "","",INDIRECT(M863))</f>
        <v/>
      </c>
      <c r="Q863" s="359" t="s">
        <v>4381</v>
      </c>
    </row>
    <row r="864" spans="1:17" x14ac:dyDescent="0.35">
      <c r="A864" t="s">
        <v>1851</v>
      </c>
      <c r="E864" t="str">
        <f>_xlfn.XLOOKUP(F864,'Raw Data'!$I$4:$I$5000,'Raw Data'!$D$4:$D$5000,"*** Mnemonic not found ***",0)</f>
        <v>*** Mnemonic not found ***</v>
      </c>
      <c r="F864" t="str">
        <f t="shared" si="249"/>
        <v>SUCMRUR1SOVERG9_10TO20__</v>
      </c>
      <c r="H864" s="9" t="s">
        <v>1137</v>
      </c>
      <c r="K864" s="9">
        <f t="shared" si="247"/>
        <v>255</v>
      </c>
      <c r="L864" s="9" t="str">
        <f t="shared" si="248"/>
        <v>K</v>
      </c>
      <c r="M864" s="9" t="str">
        <f t="shared" si="250"/>
        <v>Input!K255</v>
      </c>
      <c r="N864" s="9">
        <f>_xlfn.XLOOKUP(F864,'Raw Data'!$I$4:$I$5000,'Raw Data'!$E$4:$E$5000,100,0)</f>
        <v>100</v>
      </c>
      <c r="O864" s="9" t="str">
        <f>IF(N864=0,_xlfn.XLOOKUP(F864,'Raw Data'!$I$4:$I$5000,'Raw Data'!$H$4:$H$5000,"",0),"")</f>
        <v/>
      </c>
      <c r="P864" s="9" t="str" cm="1">
        <f t="array" aca="1" ref="P864" ca="1">IF(INDIRECT(M864) = "","",INDIRECT(M864))</f>
        <v/>
      </c>
      <c r="Q864" s="359" t="s">
        <v>4381</v>
      </c>
    </row>
    <row r="865" spans="1:17" x14ac:dyDescent="0.35">
      <c r="A865" t="s">
        <v>1856</v>
      </c>
      <c r="E865" t="str">
        <f>_xlfn.XLOOKUP(F865,'Raw Data'!$I$4:$I$5000,'Raw Data'!$D$4:$D$5000,"*** Mnemonic not found ***",0)</f>
        <v>*** Mnemonic not found ***</v>
      </c>
      <c r="F865" t="str">
        <f t="shared" si="249"/>
        <v>SUCMRUR1SOVERG10_10TO20__</v>
      </c>
      <c r="H865" s="9" t="s">
        <v>1137</v>
      </c>
      <c r="K865" s="9">
        <f t="shared" si="247"/>
        <v>255</v>
      </c>
      <c r="L865" s="9" t="str">
        <f t="shared" si="248"/>
        <v>L</v>
      </c>
      <c r="M865" s="9" t="str">
        <f t="shared" si="250"/>
        <v>Input!L255</v>
      </c>
      <c r="N865" s="9">
        <f>_xlfn.XLOOKUP(F865,'Raw Data'!$I$4:$I$5000,'Raw Data'!$E$4:$E$5000,100,0)</f>
        <v>100</v>
      </c>
      <c r="O865" s="9" t="str">
        <f>IF(N865=0,_xlfn.XLOOKUP(F865,'Raw Data'!$I$4:$I$5000,'Raw Data'!$H$4:$H$5000,"",0),"")</f>
        <v/>
      </c>
      <c r="P865" s="9" t="str" cm="1">
        <f t="array" aca="1" ref="P865" ca="1">IF(INDIRECT(M865) = "","",INDIRECT(M865))</f>
        <v/>
      </c>
      <c r="Q865" s="359" t="s">
        <v>4381</v>
      </c>
    </row>
    <row r="866" spans="1:17" x14ac:dyDescent="0.35">
      <c r="A866" t="s">
        <v>1861</v>
      </c>
      <c r="E866" t="str">
        <f>_xlfn.XLOOKUP(F866,'Raw Data'!$I$4:$I$5000,'Raw Data'!$D$4:$D$5000,"*** Mnemonic not found ***",0)</f>
        <v>*** Mnemonic not found ***</v>
      </c>
      <c r="F866" t="str">
        <f t="shared" si="249"/>
        <v>SUCMRUR1SOVERGNA_10TO20__</v>
      </c>
      <c r="H866" s="9" t="s">
        <v>1137</v>
      </c>
      <c r="K866" s="9">
        <f t="shared" si="247"/>
        <v>255</v>
      </c>
      <c r="L866" s="9" t="str">
        <f t="shared" si="248"/>
        <v>M</v>
      </c>
      <c r="M866" s="9" t="str">
        <f t="shared" si="250"/>
        <v>Input!M255</v>
      </c>
      <c r="N866" s="9">
        <f>_xlfn.XLOOKUP(F866,'Raw Data'!$I$4:$I$5000,'Raw Data'!$E$4:$E$5000,100,0)</f>
        <v>100</v>
      </c>
      <c r="O866" s="9" t="str">
        <f>IF(N866=0,_xlfn.XLOOKUP(F866,'Raw Data'!$I$4:$I$5000,'Raw Data'!$H$4:$H$5000,"",0),"")</f>
        <v/>
      </c>
      <c r="P866" s="9" t="str" cm="1">
        <f t="array" aca="1" ref="P866" ca="1">IF(INDIRECT(M866) = "","",INDIRECT(M866))</f>
        <v/>
      </c>
      <c r="Q866" s="359" t="s">
        <v>4381</v>
      </c>
    </row>
    <row r="867" spans="1:17" x14ac:dyDescent="0.35">
      <c r="A867" t="s">
        <v>1812</v>
      </c>
      <c r="E867" t="str">
        <f>_xlfn.XLOOKUP(F867,'Raw Data'!$I$4:$I$5000,'Raw Data'!$D$4:$D$5000,"*** Mnemonic not found ***",0)</f>
        <v>*** Mnemonic not found ***</v>
      </c>
      <c r="F867" t="str">
        <f t="shared" si="249"/>
        <v>SUCMRUR1SOVERG1_GRTR20__</v>
      </c>
      <c r="H867" s="9" t="s">
        <v>1137</v>
      </c>
      <c r="K867" s="9">
        <f t="shared" si="247"/>
        <v>256</v>
      </c>
      <c r="L867" s="9" t="str">
        <f t="shared" si="248"/>
        <v>C</v>
      </c>
      <c r="M867" s="9" t="str">
        <f t="shared" si="250"/>
        <v>Input!C256</v>
      </c>
      <c r="N867" s="9">
        <f>_xlfn.XLOOKUP(F867,'Raw Data'!$I$4:$I$5000,'Raw Data'!$E$4:$E$5000,100,0)</f>
        <v>100</v>
      </c>
      <c r="O867" s="9" t="str">
        <f>IF(N867=0,_xlfn.XLOOKUP(F867,'Raw Data'!$I$4:$I$5000,'Raw Data'!$H$4:$H$5000,"",0),"")</f>
        <v/>
      </c>
      <c r="P867" s="9" t="str" cm="1">
        <f t="array" aca="1" ref="P867" ca="1">IF(INDIRECT(M867) = "","",INDIRECT(M867))</f>
        <v/>
      </c>
      <c r="Q867" s="359" t="s">
        <v>4381</v>
      </c>
    </row>
    <row r="868" spans="1:17" x14ac:dyDescent="0.35">
      <c r="A868" t="s">
        <v>1817</v>
      </c>
      <c r="E868" t="str">
        <f>_xlfn.XLOOKUP(F868,'Raw Data'!$I$4:$I$5000,'Raw Data'!$D$4:$D$5000,"*** Mnemonic not found ***",0)</f>
        <v>*** Mnemonic not found ***</v>
      </c>
      <c r="F868" t="str">
        <f t="shared" si="249"/>
        <v>SUCMRUR1SOVERG2_GRTR20__</v>
      </c>
      <c r="H868" s="9" t="s">
        <v>1137</v>
      </c>
      <c r="K868" s="9">
        <f t="shared" si="247"/>
        <v>256</v>
      </c>
      <c r="L868" s="9" t="str">
        <f t="shared" si="248"/>
        <v>D</v>
      </c>
      <c r="M868" s="9" t="str">
        <f t="shared" si="250"/>
        <v>Input!D256</v>
      </c>
      <c r="N868" s="9">
        <f>_xlfn.XLOOKUP(F868,'Raw Data'!$I$4:$I$5000,'Raw Data'!$E$4:$E$5000,100,0)</f>
        <v>100</v>
      </c>
      <c r="O868" s="9" t="str">
        <f>IF(N868=0,_xlfn.XLOOKUP(F868,'Raw Data'!$I$4:$I$5000,'Raw Data'!$H$4:$H$5000,"",0),"")</f>
        <v/>
      </c>
      <c r="P868" s="9" t="str" cm="1">
        <f t="array" aca="1" ref="P868" ca="1">IF(INDIRECT(M868) = "","",INDIRECT(M868))</f>
        <v/>
      </c>
      <c r="Q868" s="359" t="s">
        <v>4381</v>
      </c>
    </row>
    <row r="869" spans="1:17" x14ac:dyDescent="0.35">
      <c r="A869" t="s">
        <v>1822</v>
      </c>
      <c r="E869" t="str">
        <f>_xlfn.XLOOKUP(F869,'Raw Data'!$I$4:$I$5000,'Raw Data'!$D$4:$D$5000,"*** Mnemonic not found ***",0)</f>
        <v>*** Mnemonic not found ***</v>
      </c>
      <c r="F869" t="str">
        <f t="shared" si="249"/>
        <v>SUCMRUR1SOVERG3_GRTR20__</v>
      </c>
      <c r="H869" s="9" t="s">
        <v>1137</v>
      </c>
      <c r="K869" s="9">
        <f t="shared" si="247"/>
        <v>256</v>
      </c>
      <c r="L869" s="9" t="str">
        <f t="shared" si="248"/>
        <v>E</v>
      </c>
      <c r="M869" s="9" t="str">
        <f t="shared" si="250"/>
        <v>Input!E256</v>
      </c>
      <c r="N869" s="9">
        <f>_xlfn.XLOOKUP(F869,'Raw Data'!$I$4:$I$5000,'Raw Data'!$E$4:$E$5000,100,0)</f>
        <v>100</v>
      </c>
      <c r="O869" s="9" t="str">
        <f>IF(N869=0,_xlfn.XLOOKUP(F869,'Raw Data'!$I$4:$I$5000,'Raw Data'!$H$4:$H$5000,"",0),"")</f>
        <v/>
      </c>
      <c r="P869" s="9" t="str" cm="1">
        <f t="array" aca="1" ref="P869" ca="1">IF(INDIRECT(M869) = "","",INDIRECT(M869))</f>
        <v/>
      </c>
      <c r="Q869" s="359" t="s">
        <v>4381</v>
      </c>
    </row>
    <row r="870" spans="1:17" x14ac:dyDescent="0.35">
      <c r="A870" t="s">
        <v>1827</v>
      </c>
      <c r="E870" t="str">
        <f>_xlfn.XLOOKUP(F870,'Raw Data'!$I$4:$I$5000,'Raw Data'!$D$4:$D$5000,"*** Mnemonic not found ***",0)</f>
        <v>*** Mnemonic not found ***</v>
      </c>
      <c r="F870" t="str">
        <f t="shared" si="249"/>
        <v>SUCMRUR1SOVERG4_GRTR20__</v>
      </c>
      <c r="H870" s="9" t="s">
        <v>1137</v>
      </c>
      <c r="K870" s="9">
        <f t="shared" si="247"/>
        <v>256</v>
      </c>
      <c r="L870" s="9" t="str">
        <f t="shared" si="248"/>
        <v>F</v>
      </c>
      <c r="M870" s="9" t="str">
        <f t="shared" si="250"/>
        <v>Input!F256</v>
      </c>
      <c r="N870" s="9">
        <f>_xlfn.XLOOKUP(F870,'Raw Data'!$I$4:$I$5000,'Raw Data'!$E$4:$E$5000,100,0)</f>
        <v>100</v>
      </c>
      <c r="O870" s="9" t="str">
        <f>IF(N870=0,_xlfn.XLOOKUP(F870,'Raw Data'!$I$4:$I$5000,'Raw Data'!$H$4:$H$5000,"",0),"")</f>
        <v/>
      </c>
      <c r="P870" s="9" t="str" cm="1">
        <f t="array" aca="1" ref="P870" ca="1">IF(INDIRECT(M870) = "","",INDIRECT(M870))</f>
        <v/>
      </c>
      <c r="Q870" s="359" t="s">
        <v>4381</v>
      </c>
    </row>
    <row r="871" spans="1:17" x14ac:dyDescent="0.35">
      <c r="A871" t="s">
        <v>1832</v>
      </c>
      <c r="E871" t="str">
        <f>_xlfn.XLOOKUP(F871,'Raw Data'!$I$4:$I$5000,'Raw Data'!$D$4:$D$5000,"*** Mnemonic not found ***",0)</f>
        <v>*** Mnemonic not found ***</v>
      </c>
      <c r="F871" t="str">
        <f t="shared" si="249"/>
        <v>SUCMRUR1SOVERG5_GRTR20__</v>
      </c>
      <c r="H871" s="9" t="s">
        <v>1137</v>
      </c>
      <c r="K871" s="9">
        <f t="shared" si="247"/>
        <v>256</v>
      </c>
      <c r="L871" s="9" t="str">
        <f t="shared" si="248"/>
        <v>G</v>
      </c>
      <c r="M871" s="9" t="str">
        <f t="shared" si="250"/>
        <v>Input!G256</v>
      </c>
      <c r="N871" s="9">
        <f>_xlfn.XLOOKUP(F871,'Raw Data'!$I$4:$I$5000,'Raw Data'!$E$4:$E$5000,100,0)</f>
        <v>100</v>
      </c>
      <c r="O871" s="9" t="str">
        <f>IF(N871=0,_xlfn.XLOOKUP(F871,'Raw Data'!$I$4:$I$5000,'Raw Data'!$H$4:$H$5000,"",0),"")</f>
        <v/>
      </c>
      <c r="P871" s="9" t="str" cm="1">
        <f t="array" aca="1" ref="P871" ca="1">IF(INDIRECT(M871) = "","",INDIRECT(M871))</f>
        <v/>
      </c>
      <c r="Q871" s="359" t="s">
        <v>4381</v>
      </c>
    </row>
    <row r="872" spans="1:17" x14ac:dyDescent="0.35">
      <c r="A872" t="s">
        <v>1837</v>
      </c>
      <c r="E872" t="str">
        <f>_xlfn.XLOOKUP(F872,'Raw Data'!$I$4:$I$5000,'Raw Data'!$D$4:$D$5000,"*** Mnemonic not found ***",0)</f>
        <v>*** Mnemonic not found ***</v>
      </c>
      <c r="F872" t="str">
        <f t="shared" si="249"/>
        <v>SUCMRUR1SOVERG6_GRTR20__</v>
      </c>
      <c r="H872" s="9" t="s">
        <v>1137</v>
      </c>
      <c r="K872" s="9">
        <f t="shared" si="247"/>
        <v>256</v>
      </c>
      <c r="L872" s="9" t="str">
        <f t="shared" si="248"/>
        <v>H</v>
      </c>
      <c r="M872" s="9" t="str">
        <f t="shared" si="250"/>
        <v>Input!H256</v>
      </c>
      <c r="N872" s="9">
        <f>_xlfn.XLOOKUP(F872,'Raw Data'!$I$4:$I$5000,'Raw Data'!$E$4:$E$5000,100,0)</f>
        <v>100</v>
      </c>
      <c r="O872" s="9" t="str">
        <f>IF(N872=0,_xlfn.XLOOKUP(F872,'Raw Data'!$I$4:$I$5000,'Raw Data'!$H$4:$H$5000,"",0),"")</f>
        <v/>
      </c>
      <c r="P872" s="9" t="str" cm="1">
        <f t="array" aca="1" ref="P872" ca="1">IF(INDIRECT(M872) = "","",INDIRECT(M872))</f>
        <v/>
      </c>
      <c r="Q872" s="359" t="s">
        <v>4381</v>
      </c>
    </row>
    <row r="873" spans="1:17" x14ac:dyDescent="0.35">
      <c r="A873" t="s">
        <v>1842</v>
      </c>
      <c r="E873" t="str">
        <f>_xlfn.XLOOKUP(F873,'Raw Data'!$I$4:$I$5000,'Raw Data'!$D$4:$D$5000,"*** Mnemonic not found ***",0)</f>
        <v>*** Mnemonic not found ***</v>
      </c>
      <c r="F873" t="str">
        <f t="shared" si="249"/>
        <v>SUCMRUR1SOVERG7_GRTR20__</v>
      </c>
      <c r="H873" s="9" t="s">
        <v>1137</v>
      </c>
      <c r="K873" s="9">
        <f t="shared" si="247"/>
        <v>256</v>
      </c>
      <c r="L873" s="9" t="str">
        <f t="shared" si="248"/>
        <v>I</v>
      </c>
      <c r="M873" s="9" t="str">
        <f t="shared" si="250"/>
        <v>Input!I256</v>
      </c>
      <c r="N873" s="9">
        <f>_xlfn.XLOOKUP(F873,'Raw Data'!$I$4:$I$5000,'Raw Data'!$E$4:$E$5000,100,0)</f>
        <v>100</v>
      </c>
      <c r="O873" s="9" t="str">
        <f>IF(N873=0,_xlfn.XLOOKUP(F873,'Raw Data'!$I$4:$I$5000,'Raw Data'!$H$4:$H$5000,"",0),"")</f>
        <v/>
      </c>
      <c r="P873" s="9" t="str" cm="1">
        <f t="array" aca="1" ref="P873" ca="1">IF(INDIRECT(M873) = "","",INDIRECT(M873))</f>
        <v/>
      </c>
      <c r="Q873" s="359" t="s">
        <v>4381</v>
      </c>
    </row>
    <row r="874" spans="1:17" x14ac:dyDescent="0.35">
      <c r="A874" t="s">
        <v>1847</v>
      </c>
      <c r="E874" t="str">
        <f>_xlfn.XLOOKUP(F874,'Raw Data'!$I$4:$I$5000,'Raw Data'!$D$4:$D$5000,"*** Mnemonic not found ***",0)</f>
        <v>*** Mnemonic not found ***</v>
      </c>
      <c r="F874" t="str">
        <f t="shared" si="249"/>
        <v>SUCMRUR1SOVERG8_GRTR20__</v>
      </c>
      <c r="H874" s="9" t="s">
        <v>1137</v>
      </c>
      <c r="K874" s="9">
        <f t="shared" si="247"/>
        <v>256</v>
      </c>
      <c r="L874" s="9" t="str">
        <f t="shared" si="248"/>
        <v>J</v>
      </c>
      <c r="M874" s="9" t="str">
        <f t="shared" si="250"/>
        <v>Input!J256</v>
      </c>
      <c r="N874" s="9">
        <f>_xlfn.XLOOKUP(F874,'Raw Data'!$I$4:$I$5000,'Raw Data'!$E$4:$E$5000,100,0)</f>
        <v>100</v>
      </c>
      <c r="O874" s="9" t="str">
        <f>IF(N874=0,_xlfn.XLOOKUP(F874,'Raw Data'!$I$4:$I$5000,'Raw Data'!$H$4:$H$5000,"",0),"")</f>
        <v/>
      </c>
      <c r="P874" s="9" t="str" cm="1">
        <f t="array" aca="1" ref="P874" ca="1">IF(INDIRECT(M874) = "","",INDIRECT(M874))</f>
        <v/>
      </c>
      <c r="Q874" s="359" t="s">
        <v>4381</v>
      </c>
    </row>
    <row r="875" spans="1:17" x14ac:dyDescent="0.35">
      <c r="A875" t="s">
        <v>1852</v>
      </c>
      <c r="E875" t="str">
        <f>_xlfn.XLOOKUP(F875,'Raw Data'!$I$4:$I$5000,'Raw Data'!$D$4:$D$5000,"*** Mnemonic not found ***",0)</f>
        <v>*** Mnemonic not found ***</v>
      </c>
      <c r="F875" t="str">
        <f t="shared" si="249"/>
        <v>SUCMRUR1SOVERG9_GRTR20__</v>
      </c>
      <c r="H875" s="9" t="s">
        <v>1137</v>
      </c>
      <c r="K875" s="9">
        <f t="shared" si="247"/>
        <v>256</v>
      </c>
      <c r="L875" s="9" t="str">
        <f t="shared" si="248"/>
        <v>K</v>
      </c>
      <c r="M875" s="9" t="str">
        <f t="shared" si="250"/>
        <v>Input!K256</v>
      </c>
      <c r="N875" s="9">
        <f>_xlfn.XLOOKUP(F875,'Raw Data'!$I$4:$I$5000,'Raw Data'!$E$4:$E$5000,100,0)</f>
        <v>100</v>
      </c>
      <c r="O875" s="9" t="str">
        <f>IF(N875=0,_xlfn.XLOOKUP(F875,'Raw Data'!$I$4:$I$5000,'Raw Data'!$H$4:$H$5000,"",0),"")</f>
        <v/>
      </c>
      <c r="P875" s="9" t="str" cm="1">
        <f t="array" aca="1" ref="P875" ca="1">IF(INDIRECT(M875) = "","",INDIRECT(M875))</f>
        <v/>
      </c>
      <c r="Q875" s="359" t="s">
        <v>4381</v>
      </c>
    </row>
    <row r="876" spans="1:17" x14ac:dyDescent="0.35">
      <c r="A876" t="s">
        <v>1857</v>
      </c>
      <c r="E876" t="str">
        <f>_xlfn.XLOOKUP(F876,'Raw Data'!$I$4:$I$5000,'Raw Data'!$D$4:$D$5000,"*** Mnemonic not found ***",0)</f>
        <v>*** Mnemonic not found ***</v>
      </c>
      <c r="F876" t="str">
        <f t="shared" si="249"/>
        <v>SUCMRUR1SOVERG10_GRTR20__</v>
      </c>
      <c r="H876" s="9" t="s">
        <v>1137</v>
      </c>
      <c r="K876" s="9">
        <f t="shared" si="247"/>
        <v>256</v>
      </c>
      <c r="L876" s="9" t="str">
        <f t="shared" si="248"/>
        <v>L</v>
      </c>
      <c r="M876" s="9" t="str">
        <f t="shared" si="250"/>
        <v>Input!L256</v>
      </c>
      <c r="N876" s="9">
        <f>_xlfn.XLOOKUP(F876,'Raw Data'!$I$4:$I$5000,'Raw Data'!$E$4:$E$5000,100,0)</f>
        <v>100</v>
      </c>
      <c r="O876" s="9" t="str">
        <f>IF(N876=0,_xlfn.XLOOKUP(F876,'Raw Data'!$I$4:$I$5000,'Raw Data'!$H$4:$H$5000,"",0),"")</f>
        <v/>
      </c>
      <c r="P876" s="9" t="str" cm="1">
        <f t="array" aca="1" ref="P876" ca="1">IF(INDIRECT(M876) = "","",INDIRECT(M876))</f>
        <v/>
      </c>
      <c r="Q876" s="359" t="s">
        <v>4381</v>
      </c>
    </row>
    <row r="877" spans="1:17" x14ac:dyDescent="0.35">
      <c r="A877" t="s">
        <v>1862</v>
      </c>
      <c r="E877" t="str">
        <f>_xlfn.XLOOKUP(F877,'Raw Data'!$I$4:$I$5000,'Raw Data'!$D$4:$D$5000,"*** Mnemonic not found ***",0)</f>
        <v>*** Mnemonic not found ***</v>
      </c>
      <c r="F877" t="str">
        <f t="shared" si="249"/>
        <v>SUCMRUR1SOVERGNA_GRTR20__</v>
      </c>
      <c r="H877" s="9" t="s">
        <v>1137</v>
      </c>
      <c r="K877" s="9">
        <f t="shared" si="247"/>
        <v>256</v>
      </c>
      <c r="L877" s="9" t="str">
        <f t="shared" si="248"/>
        <v>M</v>
      </c>
      <c r="M877" s="9" t="str">
        <f t="shared" si="250"/>
        <v>Input!M256</v>
      </c>
      <c r="N877" s="9">
        <f>_xlfn.XLOOKUP(F877,'Raw Data'!$I$4:$I$5000,'Raw Data'!$E$4:$E$5000,100,0)</f>
        <v>100</v>
      </c>
      <c r="O877" s="9" t="str">
        <f>IF(N877=0,_xlfn.XLOOKUP(F877,'Raw Data'!$I$4:$I$5000,'Raw Data'!$H$4:$H$5000,"",0),"")</f>
        <v/>
      </c>
      <c r="P877" s="9" t="str" cm="1">
        <f t="array" aca="1" ref="P877" ca="1">IF(INDIRECT(M877) = "","",INDIRECT(M877))</f>
        <v/>
      </c>
      <c r="Q877" s="359" t="s">
        <v>4381</v>
      </c>
    </row>
    <row r="878" spans="1:17" x14ac:dyDescent="0.35">
      <c r="A878" t="s">
        <v>1863</v>
      </c>
      <c r="E878" t="str">
        <f>_xlfn.XLOOKUP(F878,'Raw Data'!$I$4:$I$5000,'Raw Data'!$D$4:$D$5000,"*** Mnemonic not found ***",0)</f>
        <v>*** Mnemonic not found ***</v>
      </c>
      <c r="F878" t="str">
        <f t="shared" si="249"/>
        <v>SUCMRUR2SOVERG1_LESS1__</v>
      </c>
      <c r="H878" s="9" t="s">
        <v>1137</v>
      </c>
      <c r="I878" s="289">
        <f>ROW(section_bonds_sp_unrated_step_4)</f>
        <v>187</v>
      </c>
      <c r="J878" s="9">
        <f>J823+10</f>
        <v>75</v>
      </c>
      <c r="K878" s="9">
        <f>I878+J878</f>
        <v>262</v>
      </c>
      <c r="L878" s="9" t="str">
        <f>L867</f>
        <v>C</v>
      </c>
      <c r="M878" s="9" t="str">
        <f t="shared" si="250"/>
        <v>Input!C262</v>
      </c>
      <c r="N878" s="9">
        <f>_xlfn.XLOOKUP(F878,'Raw Data'!$I$4:$I$5000,'Raw Data'!$E$4:$E$5000,100,0)</f>
        <v>100</v>
      </c>
      <c r="O878" s="9" t="str">
        <f>IF(N878=0,_xlfn.XLOOKUP(F878,'Raw Data'!$I$4:$I$5000,'Raw Data'!$H$4:$H$5000,"",0),"")</f>
        <v/>
      </c>
      <c r="P878" s="9" t="str" cm="1">
        <f t="array" aca="1" ref="P878" ca="1">IF(INDIRECT(M878) = "","",INDIRECT(M878))</f>
        <v/>
      </c>
      <c r="Q878" s="359" t="s">
        <v>4381</v>
      </c>
    </row>
    <row r="879" spans="1:17" x14ac:dyDescent="0.35">
      <c r="A879" t="s">
        <v>1868</v>
      </c>
      <c r="E879" t="str">
        <f>_xlfn.XLOOKUP(F879,'Raw Data'!$I$4:$I$5000,'Raw Data'!$D$4:$D$5000,"*** Mnemonic not found ***",0)</f>
        <v>*** Mnemonic not found ***</v>
      </c>
      <c r="F879" t="str">
        <f t="shared" si="249"/>
        <v>SUCMRUR2SOVERG2_LESS1__</v>
      </c>
      <c r="H879" s="9" t="s">
        <v>1137</v>
      </c>
      <c r="K879" s="9">
        <f>K878</f>
        <v>262</v>
      </c>
      <c r="L879" s="9" t="str">
        <f t="shared" ref="L879:L888" si="251">L868</f>
        <v>D</v>
      </c>
      <c r="M879" s="9" t="str">
        <f t="shared" si="250"/>
        <v>Input!D262</v>
      </c>
      <c r="N879" s="9">
        <f>_xlfn.XLOOKUP(F879,'Raw Data'!$I$4:$I$5000,'Raw Data'!$E$4:$E$5000,100,0)</f>
        <v>100</v>
      </c>
      <c r="O879" s="9" t="str">
        <f>IF(N879=0,_xlfn.XLOOKUP(F879,'Raw Data'!$I$4:$I$5000,'Raw Data'!$H$4:$H$5000,"",0),"")</f>
        <v/>
      </c>
      <c r="P879" s="9" t="str" cm="1">
        <f t="array" aca="1" ref="P879" ca="1">IF(INDIRECT(M879) = "","",INDIRECT(M879))</f>
        <v/>
      </c>
      <c r="Q879" s="359" t="s">
        <v>4381</v>
      </c>
    </row>
    <row r="880" spans="1:17" x14ac:dyDescent="0.35">
      <c r="A880" t="s">
        <v>1873</v>
      </c>
      <c r="E880" t="str">
        <f>_xlfn.XLOOKUP(F880,'Raw Data'!$I$4:$I$5000,'Raw Data'!$D$4:$D$5000,"*** Mnemonic not found ***",0)</f>
        <v>*** Mnemonic not found ***</v>
      </c>
      <c r="F880" t="str">
        <f t="shared" si="249"/>
        <v>SUCMRUR2SOVERG3_LESS1__</v>
      </c>
      <c r="H880" s="9" t="s">
        <v>1137</v>
      </c>
      <c r="K880" s="9">
        <f t="shared" ref="K880:K888" si="252">K879</f>
        <v>262</v>
      </c>
      <c r="L880" s="9" t="str">
        <f t="shared" si="251"/>
        <v>E</v>
      </c>
      <c r="M880" s="9" t="str">
        <f t="shared" si="250"/>
        <v>Input!E262</v>
      </c>
      <c r="N880" s="9">
        <f>_xlfn.XLOOKUP(F880,'Raw Data'!$I$4:$I$5000,'Raw Data'!$E$4:$E$5000,100,0)</f>
        <v>100</v>
      </c>
      <c r="O880" s="9" t="str">
        <f>IF(N880=0,_xlfn.XLOOKUP(F880,'Raw Data'!$I$4:$I$5000,'Raw Data'!$H$4:$H$5000,"",0),"")</f>
        <v/>
      </c>
      <c r="P880" s="9" t="str" cm="1">
        <f t="array" aca="1" ref="P880" ca="1">IF(INDIRECT(M880) = "","",INDIRECT(M880))</f>
        <v/>
      </c>
      <c r="Q880" s="359" t="s">
        <v>4381</v>
      </c>
    </row>
    <row r="881" spans="1:17" x14ac:dyDescent="0.35">
      <c r="A881" t="s">
        <v>1878</v>
      </c>
      <c r="E881" t="str">
        <f>_xlfn.XLOOKUP(F881,'Raw Data'!$I$4:$I$5000,'Raw Data'!$D$4:$D$5000,"*** Mnemonic not found ***",0)</f>
        <v>*** Mnemonic not found ***</v>
      </c>
      <c r="F881" t="str">
        <f t="shared" si="249"/>
        <v>SUCMRUR2SOVERG4_LESS1__</v>
      </c>
      <c r="H881" s="9" t="s">
        <v>1137</v>
      </c>
      <c r="K881" s="9">
        <f t="shared" si="252"/>
        <v>262</v>
      </c>
      <c r="L881" s="9" t="str">
        <f t="shared" si="251"/>
        <v>F</v>
      </c>
      <c r="M881" s="9" t="str">
        <f t="shared" si="250"/>
        <v>Input!F262</v>
      </c>
      <c r="N881" s="9">
        <f>_xlfn.XLOOKUP(F881,'Raw Data'!$I$4:$I$5000,'Raw Data'!$E$4:$E$5000,100,0)</f>
        <v>100</v>
      </c>
      <c r="O881" s="9" t="str">
        <f>IF(N881=0,_xlfn.XLOOKUP(F881,'Raw Data'!$I$4:$I$5000,'Raw Data'!$H$4:$H$5000,"",0),"")</f>
        <v/>
      </c>
      <c r="P881" s="9" t="str" cm="1">
        <f t="array" aca="1" ref="P881" ca="1">IF(INDIRECT(M881) = "","",INDIRECT(M881))</f>
        <v/>
      </c>
      <c r="Q881" s="359" t="s">
        <v>4381</v>
      </c>
    </row>
    <row r="882" spans="1:17" x14ac:dyDescent="0.35">
      <c r="A882" t="s">
        <v>1883</v>
      </c>
      <c r="E882" t="str">
        <f>_xlfn.XLOOKUP(F882,'Raw Data'!$I$4:$I$5000,'Raw Data'!$D$4:$D$5000,"*** Mnemonic not found ***",0)</f>
        <v>*** Mnemonic not found ***</v>
      </c>
      <c r="F882" t="str">
        <f t="shared" si="249"/>
        <v>SUCMRUR2SOVERG5_LESS1__</v>
      </c>
      <c r="H882" s="9" t="s">
        <v>1137</v>
      </c>
      <c r="K882" s="9">
        <f t="shared" si="252"/>
        <v>262</v>
      </c>
      <c r="L882" s="9" t="str">
        <f t="shared" si="251"/>
        <v>G</v>
      </c>
      <c r="M882" s="9" t="str">
        <f t="shared" si="250"/>
        <v>Input!G262</v>
      </c>
      <c r="N882" s="9">
        <f>_xlfn.XLOOKUP(F882,'Raw Data'!$I$4:$I$5000,'Raw Data'!$E$4:$E$5000,100,0)</f>
        <v>100</v>
      </c>
      <c r="O882" s="9" t="str">
        <f>IF(N882=0,_xlfn.XLOOKUP(F882,'Raw Data'!$I$4:$I$5000,'Raw Data'!$H$4:$H$5000,"",0),"")</f>
        <v/>
      </c>
      <c r="P882" s="9" t="str" cm="1">
        <f t="array" aca="1" ref="P882" ca="1">IF(INDIRECT(M882) = "","",INDIRECT(M882))</f>
        <v/>
      </c>
      <c r="Q882" s="359" t="s">
        <v>4381</v>
      </c>
    </row>
    <row r="883" spans="1:17" x14ac:dyDescent="0.35">
      <c r="A883" t="s">
        <v>1888</v>
      </c>
      <c r="E883" t="str">
        <f>_xlfn.XLOOKUP(F883,'Raw Data'!$I$4:$I$5000,'Raw Data'!$D$4:$D$5000,"*** Mnemonic not found ***",0)</f>
        <v>*** Mnemonic not found ***</v>
      </c>
      <c r="F883" t="str">
        <f t="shared" si="249"/>
        <v>SUCMRUR2SOVERG6_LESS1__</v>
      </c>
      <c r="H883" s="9" t="s">
        <v>1137</v>
      </c>
      <c r="K883" s="9">
        <f t="shared" si="252"/>
        <v>262</v>
      </c>
      <c r="L883" s="9" t="str">
        <f t="shared" si="251"/>
        <v>H</v>
      </c>
      <c r="M883" s="9" t="str">
        <f t="shared" si="250"/>
        <v>Input!H262</v>
      </c>
      <c r="N883" s="9">
        <f>_xlfn.XLOOKUP(F883,'Raw Data'!$I$4:$I$5000,'Raw Data'!$E$4:$E$5000,100,0)</f>
        <v>100</v>
      </c>
      <c r="O883" s="9" t="str">
        <f>IF(N883=0,_xlfn.XLOOKUP(F883,'Raw Data'!$I$4:$I$5000,'Raw Data'!$H$4:$H$5000,"",0),"")</f>
        <v/>
      </c>
      <c r="P883" s="9" t="str" cm="1">
        <f t="array" aca="1" ref="P883" ca="1">IF(INDIRECT(M883) = "","",INDIRECT(M883))</f>
        <v/>
      </c>
      <c r="Q883" s="359" t="s">
        <v>4381</v>
      </c>
    </row>
    <row r="884" spans="1:17" x14ac:dyDescent="0.35">
      <c r="A884" t="s">
        <v>1893</v>
      </c>
      <c r="E884" t="str">
        <f>_xlfn.XLOOKUP(F884,'Raw Data'!$I$4:$I$5000,'Raw Data'!$D$4:$D$5000,"*** Mnemonic not found ***",0)</f>
        <v>*** Mnemonic not found ***</v>
      </c>
      <c r="F884" t="str">
        <f t="shared" si="249"/>
        <v>SUCMRUR2SOVERG7_LESS1__</v>
      </c>
      <c r="H884" s="9" t="s">
        <v>1137</v>
      </c>
      <c r="K884" s="9">
        <f t="shared" si="252"/>
        <v>262</v>
      </c>
      <c r="L884" s="9" t="str">
        <f t="shared" si="251"/>
        <v>I</v>
      </c>
      <c r="M884" s="9" t="str">
        <f t="shared" si="250"/>
        <v>Input!I262</v>
      </c>
      <c r="N884" s="9">
        <f>_xlfn.XLOOKUP(F884,'Raw Data'!$I$4:$I$5000,'Raw Data'!$E$4:$E$5000,100,0)</f>
        <v>100</v>
      </c>
      <c r="O884" s="9" t="str">
        <f>IF(N884=0,_xlfn.XLOOKUP(F884,'Raw Data'!$I$4:$I$5000,'Raw Data'!$H$4:$H$5000,"",0),"")</f>
        <v/>
      </c>
      <c r="P884" s="9" t="str" cm="1">
        <f t="array" aca="1" ref="P884" ca="1">IF(INDIRECT(M884) = "","",INDIRECT(M884))</f>
        <v/>
      </c>
      <c r="Q884" s="359" t="s">
        <v>4381</v>
      </c>
    </row>
    <row r="885" spans="1:17" x14ac:dyDescent="0.35">
      <c r="A885" t="s">
        <v>1898</v>
      </c>
      <c r="E885" t="str">
        <f>_xlfn.XLOOKUP(F885,'Raw Data'!$I$4:$I$5000,'Raw Data'!$D$4:$D$5000,"*** Mnemonic not found ***",0)</f>
        <v>*** Mnemonic not found ***</v>
      </c>
      <c r="F885" t="str">
        <f t="shared" si="249"/>
        <v>SUCMRUR2SOVERG8_LESS1__</v>
      </c>
      <c r="H885" s="9" t="s">
        <v>1137</v>
      </c>
      <c r="K885" s="9">
        <f t="shared" si="252"/>
        <v>262</v>
      </c>
      <c r="L885" s="9" t="str">
        <f t="shared" si="251"/>
        <v>J</v>
      </c>
      <c r="M885" s="9" t="str">
        <f t="shared" si="250"/>
        <v>Input!J262</v>
      </c>
      <c r="N885" s="9">
        <f>_xlfn.XLOOKUP(F885,'Raw Data'!$I$4:$I$5000,'Raw Data'!$E$4:$E$5000,100,0)</f>
        <v>100</v>
      </c>
      <c r="O885" s="9" t="str">
        <f>IF(N885=0,_xlfn.XLOOKUP(F885,'Raw Data'!$I$4:$I$5000,'Raw Data'!$H$4:$H$5000,"",0),"")</f>
        <v/>
      </c>
      <c r="P885" s="9" t="str" cm="1">
        <f t="array" aca="1" ref="P885" ca="1">IF(INDIRECT(M885) = "","",INDIRECT(M885))</f>
        <v/>
      </c>
      <c r="Q885" s="359" t="s">
        <v>4381</v>
      </c>
    </row>
    <row r="886" spans="1:17" x14ac:dyDescent="0.35">
      <c r="A886" t="s">
        <v>1903</v>
      </c>
      <c r="E886" t="str">
        <f>_xlfn.XLOOKUP(F886,'Raw Data'!$I$4:$I$5000,'Raw Data'!$D$4:$D$5000,"*** Mnemonic not found ***",0)</f>
        <v>*** Mnemonic not found ***</v>
      </c>
      <c r="F886" t="str">
        <f t="shared" si="249"/>
        <v>SUCMRUR2SOVERG9_LESS1__</v>
      </c>
      <c r="H886" s="9" t="s">
        <v>1137</v>
      </c>
      <c r="K886" s="9">
        <f t="shared" si="252"/>
        <v>262</v>
      </c>
      <c r="L886" s="9" t="str">
        <f t="shared" si="251"/>
        <v>K</v>
      </c>
      <c r="M886" s="9" t="str">
        <f t="shared" si="250"/>
        <v>Input!K262</v>
      </c>
      <c r="N886" s="9">
        <f>_xlfn.XLOOKUP(F886,'Raw Data'!$I$4:$I$5000,'Raw Data'!$E$4:$E$5000,100,0)</f>
        <v>100</v>
      </c>
      <c r="O886" s="9" t="str">
        <f>IF(N886=0,_xlfn.XLOOKUP(F886,'Raw Data'!$I$4:$I$5000,'Raw Data'!$H$4:$H$5000,"",0),"")</f>
        <v/>
      </c>
      <c r="P886" s="9" t="str" cm="1">
        <f t="array" aca="1" ref="P886" ca="1">IF(INDIRECT(M886) = "","",INDIRECT(M886))</f>
        <v/>
      </c>
      <c r="Q886" s="359" t="s">
        <v>4381</v>
      </c>
    </row>
    <row r="887" spans="1:17" x14ac:dyDescent="0.35">
      <c r="A887" t="s">
        <v>1908</v>
      </c>
      <c r="E887" t="str">
        <f>_xlfn.XLOOKUP(F887,'Raw Data'!$I$4:$I$5000,'Raw Data'!$D$4:$D$5000,"*** Mnemonic not found ***",0)</f>
        <v>*** Mnemonic not found ***</v>
      </c>
      <c r="F887" t="str">
        <f t="shared" si="249"/>
        <v>SUCMRUR2SOVERG10_LESS1__</v>
      </c>
      <c r="H887" s="9" t="s">
        <v>1137</v>
      </c>
      <c r="K887" s="9">
        <f t="shared" si="252"/>
        <v>262</v>
      </c>
      <c r="L887" s="9" t="str">
        <f t="shared" si="251"/>
        <v>L</v>
      </c>
      <c r="M887" s="9" t="str">
        <f t="shared" si="250"/>
        <v>Input!L262</v>
      </c>
      <c r="N887" s="9">
        <f>_xlfn.XLOOKUP(F887,'Raw Data'!$I$4:$I$5000,'Raw Data'!$E$4:$E$5000,100,0)</f>
        <v>100</v>
      </c>
      <c r="O887" s="9" t="str">
        <f>IF(N887=0,_xlfn.XLOOKUP(F887,'Raw Data'!$I$4:$I$5000,'Raw Data'!$H$4:$H$5000,"",0),"")</f>
        <v/>
      </c>
      <c r="P887" s="9" t="str" cm="1">
        <f t="array" aca="1" ref="P887" ca="1">IF(INDIRECT(M887) = "","",INDIRECT(M887))</f>
        <v/>
      </c>
      <c r="Q887" s="359" t="s">
        <v>4381</v>
      </c>
    </row>
    <row r="888" spans="1:17" x14ac:dyDescent="0.35">
      <c r="A888" t="s">
        <v>1913</v>
      </c>
      <c r="E888" t="str">
        <f>_xlfn.XLOOKUP(F888,'Raw Data'!$I$4:$I$5000,'Raw Data'!$D$4:$D$5000,"*** Mnemonic not found ***",0)</f>
        <v>*** Mnemonic not found ***</v>
      </c>
      <c r="F888" t="str">
        <f t="shared" si="249"/>
        <v>SUCMRUR2SOVERGNA_LESS1__</v>
      </c>
      <c r="H888" s="9" t="s">
        <v>1137</v>
      </c>
      <c r="K888" s="9">
        <f t="shared" si="252"/>
        <v>262</v>
      </c>
      <c r="L888" s="9" t="str">
        <f t="shared" si="251"/>
        <v>M</v>
      </c>
      <c r="M888" s="9" t="str">
        <f t="shared" si="250"/>
        <v>Input!M262</v>
      </c>
      <c r="N888" s="9">
        <f>_xlfn.XLOOKUP(F888,'Raw Data'!$I$4:$I$5000,'Raw Data'!$E$4:$E$5000,100,0)</f>
        <v>100</v>
      </c>
      <c r="O888" s="9" t="str">
        <f>IF(N888=0,_xlfn.XLOOKUP(F888,'Raw Data'!$I$4:$I$5000,'Raw Data'!$H$4:$H$5000,"",0),"")</f>
        <v/>
      </c>
      <c r="P888" s="9" t="str" cm="1">
        <f t="array" aca="1" ref="P888" ca="1">IF(INDIRECT(M888) = "","",INDIRECT(M888))</f>
        <v/>
      </c>
      <c r="Q888" s="359" t="s">
        <v>4381</v>
      </c>
    </row>
    <row r="889" spans="1:17" x14ac:dyDescent="0.35">
      <c r="A889" t="s">
        <v>1864</v>
      </c>
      <c r="E889" t="str">
        <f>_xlfn.XLOOKUP(F889,'Raw Data'!$I$4:$I$5000,'Raw Data'!$D$4:$D$5000,"*** Mnemonic not found ***",0)</f>
        <v>*** Mnemonic not found ***</v>
      </c>
      <c r="F889" t="str">
        <f t="shared" si="249"/>
        <v>SUCMRUR2SOVERG1_1TO5__</v>
      </c>
      <c r="H889" s="9" t="s">
        <v>1137</v>
      </c>
      <c r="K889" s="9">
        <f>K878+1</f>
        <v>263</v>
      </c>
      <c r="L889" s="9" t="str">
        <f>L878</f>
        <v>C</v>
      </c>
      <c r="M889" s="9" t="str">
        <f t="shared" si="250"/>
        <v>Input!C263</v>
      </c>
      <c r="N889" s="9">
        <f>_xlfn.XLOOKUP(F889,'Raw Data'!$I$4:$I$5000,'Raw Data'!$E$4:$E$5000,100,0)</f>
        <v>100</v>
      </c>
      <c r="O889" s="9" t="str">
        <f>IF(N889=0,_xlfn.XLOOKUP(F889,'Raw Data'!$I$4:$I$5000,'Raw Data'!$H$4:$H$5000,"",0),"")</f>
        <v/>
      </c>
      <c r="P889" s="9" t="str" cm="1">
        <f t="array" aca="1" ref="P889" ca="1">IF(INDIRECT(M889) = "","",INDIRECT(M889))</f>
        <v/>
      </c>
      <c r="Q889" s="359" t="s">
        <v>4381</v>
      </c>
    </row>
    <row r="890" spans="1:17" x14ac:dyDescent="0.35">
      <c r="A890" t="s">
        <v>1869</v>
      </c>
      <c r="E890" t="str">
        <f>_xlfn.XLOOKUP(F890,'Raw Data'!$I$4:$I$5000,'Raw Data'!$D$4:$D$5000,"*** Mnemonic not found ***",0)</f>
        <v>*** Mnemonic not found ***</v>
      </c>
      <c r="F890" t="str">
        <f t="shared" si="249"/>
        <v>SUCMRUR2SOVERG2_1TO5__</v>
      </c>
      <c r="H890" s="9" t="s">
        <v>1137</v>
      </c>
      <c r="K890" s="9">
        <f t="shared" ref="K890:K932" si="253">K879+1</f>
        <v>263</v>
      </c>
      <c r="L890" s="9" t="str">
        <f t="shared" ref="L890:L932" si="254">L879</f>
        <v>D</v>
      </c>
      <c r="M890" s="9" t="str">
        <f t="shared" si="250"/>
        <v>Input!D263</v>
      </c>
      <c r="N890" s="9">
        <f>_xlfn.XLOOKUP(F890,'Raw Data'!$I$4:$I$5000,'Raw Data'!$E$4:$E$5000,100,0)</f>
        <v>100</v>
      </c>
      <c r="O890" s="9" t="str">
        <f>IF(N890=0,_xlfn.XLOOKUP(F890,'Raw Data'!$I$4:$I$5000,'Raw Data'!$H$4:$H$5000,"",0),"")</f>
        <v/>
      </c>
      <c r="P890" s="9" t="str" cm="1">
        <f t="array" aca="1" ref="P890" ca="1">IF(INDIRECT(M890) = "","",INDIRECT(M890))</f>
        <v/>
      </c>
      <c r="Q890" s="359" t="s">
        <v>4381</v>
      </c>
    </row>
    <row r="891" spans="1:17" x14ac:dyDescent="0.35">
      <c r="A891" t="s">
        <v>1874</v>
      </c>
      <c r="E891" t="str">
        <f>_xlfn.XLOOKUP(F891,'Raw Data'!$I$4:$I$5000,'Raw Data'!$D$4:$D$5000,"*** Mnemonic not found ***",0)</f>
        <v>*** Mnemonic not found ***</v>
      </c>
      <c r="F891" t="str">
        <f t="shared" si="249"/>
        <v>SUCMRUR2SOVERG3_1TO5__</v>
      </c>
      <c r="H891" s="9" t="s">
        <v>1137</v>
      </c>
      <c r="K891" s="9">
        <f t="shared" si="253"/>
        <v>263</v>
      </c>
      <c r="L891" s="9" t="str">
        <f t="shared" si="254"/>
        <v>E</v>
      </c>
      <c r="M891" s="9" t="str">
        <f t="shared" si="250"/>
        <v>Input!E263</v>
      </c>
      <c r="N891" s="9">
        <f>_xlfn.XLOOKUP(F891,'Raw Data'!$I$4:$I$5000,'Raw Data'!$E$4:$E$5000,100,0)</f>
        <v>100</v>
      </c>
      <c r="O891" s="9" t="str">
        <f>IF(N891=0,_xlfn.XLOOKUP(F891,'Raw Data'!$I$4:$I$5000,'Raw Data'!$H$4:$H$5000,"",0),"")</f>
        <v/>
      </c>
      <c r="P891" s="9" t="str" cm="1">
        <f t="array" aca="1" ref="P891" ca="1">IF(INDIRECT(M891) = "","",INDIRECT(M891))</f>
        <v/>
      </c>
      <c r="Q891" s="359" t="s">
        <v>4381</v>
      </c>
    </row>
    <row r="892" spans="1:17" x14ac:dyDescent="0.35">
      <c r="A892" t="s">
        <v>1879</v>
      </c>
      <c r="E892" t="str">
        <f>_xlfn.XLOOKUP(F892,'Raw Data'!$I$4:$I$5000,'Raw Data'!$D$4:$D$5000,"*** Mnemonic not found ***",0)</f>
        <v>*** Mnemonic not found ***</v>
      </c>
      <c r="F892" t="str">
        <f t="shared" si="249"/>
        <v>SUCMRUR2SOVERG4_1TO5__</v>
      </c>
      <c r="H892" s="9" t="s">
        <v>1137</v>
      </c>
      <c r="K892" s="9">
        <f t="shared" si="253"/>
        <v>263</v>
      </c>
      <c r="L892" s="9" t="str">
        <f t="shared" si="254"/>
        <v>F</v>
      </c>
      <c r="M892" s="9" t="str">
        <f t="shared" si="250"/>
        <v>Input!F263</v>
      </c>
      <c r="N892" s="9">
        <f>_xlfn.XLOOKUP(F892,'Raw Data'!$I$4:$I$5000,'Raw Data'!$E$4:$E$5000,100,0)</f>
        <v>100</v>
      </c>
      <c r="O892" s="9" t="str">
        <f>IF(N892=0,_xlfn.XLOOKUP(F892,'Raw Data'!$I$4:$I$5000,'Raw Data'!$H$4:$H$5000,"",0),"")</f>
        <v/>
      </c>
      <c r="P892" s="9" t="str" cm="1">
        <f t="array" aca="1" ref="P892" ca="1">IF(INDIRECT(M892) = "","",INDIRECT(M892))</f>
        <v/>
      </c>
      <c r="Q892" s="359" t="s">
        <v>4381</v>
      </c>
    </row>
    <row r="893" spans="1:17" x14ac:dyDescent="0.35">
      <c r="A893" t="s">
        <v>1884</v>
      </c>
      <c r="E893" t="str">
        <f>_xlfn.XLOOKUP(F893,'Raw Data'!$I$4:$I$5000,'Raw Data'!$D$4:$D$5000,"*** Mnemonic not found ***",0)</f>
        <v>*** Mnemonic not found ***</v>
      </c>
      <c r="F893" t="str">
        <f t="shared" si="249"/>
        <v>SUCMRUR2SOVERG5_1TO5__</v>
      </c>
      <c r="H893" s="9" t="s">
        <v>1137</v>
      </c>
      <c r="K893" s="9">
        <f t="shared" si="253"/>
        <v>263</v>
      </c>
      <c r="L893" s="9" t="str">
        <f t="shared" si="254"/>
        <v>G</v>
      </c>
      <c r="M893" s="9" t="str">
        <f t="shared" si="250"/>
        <v>Input!G263</v>
      </c>
      <c r="N893" s="9">
        <f>_xlfn.XLOOKUP(F893,'Raw Data'!$I$4:$I$5000,'Raw Data'!$E$4:$E$5000,100,0)</f>
        <v>100</v>
      </c>
      <c r="O893" s="9" t="str">
        <f>IF(N893=0,_xlfn.XLOOKUP(F893,'Raw Data'!$I$4:$I$5000,'Raw Data'!$H$4:$H$5000,"",0),"")</f>
        <v/>
      </c>
      <c r="P893" s="9" t="str" cm="1">
        <f t="array" aca="1" ref="P893" ca="1">IF(INDIRECT(M893) = "","",INDIRECT(M893))</f>
        <v/>
      </c>
      <c r="Q893" s="359" t="s">
        <v>4381</v>
      </c>
    </row>
    <row r="894" spans="1:17" x14ac:dyDescent="0.35">
      <c r="A894" t="s">
        <v>1889</v>
      </c>
      <c r="E894" t="str">
        <f>_xlfn.XLOOKUP(F894,'Raw Data'!$I$4:$I$5000,'Raw Data'!$D$4:$D$5000,"*** Mnemonic not found ***",0)</f>
        <v>*** Mnemonic not found ***</v>
      </c>
      <c r="F894" t="str">
        <f t="shared" si="249"/>
        <v>SUCMRUR2SOVERG6_1TO5__</v>
      </c>
      <c r="H894" s="9" t="s">
        <v>1137</v>
      </c>
      <c r="K894" s="9">
        <f t="shared" si="253"/>
        <v>263</v>
      </c>
      <c r="L894" s="9" t="str">
        <f t="shared" si="254"/>
        <v>H</v>
      </c>
      <c r="M894" s="9" t="str">
        <f t="shared" si="250"/>
        <v>Input!H263</v>
      </c>
      <c r="N894" s="9">
        <f>_xlfn.XLOOKUP(F894,'Raw Data'!$I$4:$I$5000,'Raw Data'!$E$4:$E$5000,100,0)</f>
        <v>100</v>
      </c>
      <c r="O894" s="9" t="str">
        <f>IF(N894=0,_xlfn.XLOOKUP(F894,'Raw Data'!$I$4:$I$5000,'Raw Data'!$H$4:$H$5000,"",0),"")</f>
        <v/>
      </c>
      <c r="P894" s="9" t="str" cm="1">
        <f t="array" aca="1" ref="P894" ca="1">IF(INDIRECT(M894) = "","",INDIRECT(M894))</f>
        <v/>
      </c>
      <c r="Q894" s="359" t="s">
        <v>4381</v>
      </c>
    </row>
    <row r="895" spans="1:17" x14ac:dyDescent="0.35">
      <c r="A895" t="s">
        <v>1894</v>
      </c>
      <c r="E895" t="str">
        <f>_xlfn.XLOOKUP(F895,'Raw Data'!$I$4:$I$5000,'Raw Data'!$D$4:$D$5000,"*** Mnemonic not found ***",0)</f>
        <v>*** Mnemonic not found ***</v>
      </c>
      <c r="F895" t="str">
        <f t="shared" si="249"/>
        <v>SUCMRUR2SOVERG7_1TO5__</v>
      </c>
      <c r="H895" s="9" t="s">
        <v>1137</v>
      </c>
      <c r="K895" s="9">
        <f t="shared" si="253"/>
        <v>263</v>
      </c>
      <c r="L895" s="9" t="str">
        <f t="shared" si="254"/>
        <v>I</v>
      </c>
      <c r="M895" s="9" t="str">
        <f t="shared" si="250"/>
        <v>Input!I263</v>
      </c>
      <c r="N895" s="9">
        <f>_xlfn.XLOOKUP(F895,'Raw Data'!$I$4:$I$5000,'Raw Data'!$E$4:$E$5000,100,0)</f>
        <v>100</v>
      </c>
      <c r="O895" s="9" t="str">
        <f>IF(N895=0,_xlfn.XLOOKUP(F895,'Raw Data'!$I$4:$I$5000,'Raw Data'!$H$4:$H$5000,"",0),"")</f>
        <v/>
      </c>
      <c r="P895" s="9" t="str" cm="1">
        <f t="array" aca="1" ref="P895" ca="1">IF(INDIRECT(M895) = "","",INDIRECT(M895))</f>
        <v/>
      </c>
      <c r="Q895" s="359" t="s">
        <v>4381</v>
      </c>
    </row>
    <row r="896" spans="1:17" x14ac:dyDescent="0.35">
      <c r="A896" t="s">
        <v>1899</v>
      </c>
      <c r="E896" t="str">
        <f>_xlfn.XLOOKUP(F896,'Raw Data'!$I$4:$I$5000,'Raw Data'!$D$4:$D$5000,"*** Mnemonic not found ***",0)</f>
        <v>*** Mnemonic not found ***</v>
      </c>
      <c r="F896" t="str">
        <f t="shared" si="249"/>
        <v>SUCMRUR2SOVERG8_1TO5__</v>
      </c>
      <c r="H896" s="9" t="s">
        <v>1137</v>
      </c>
      <c r="K896" s="9">
        <f t="shared" si="253"/>
        <v>263</v>
      </c>
      <c r="L896" s="9" t="str">
        <f t="shared" si="254"/>
        <v>J</v>
      </c>
      <c r="M896" s="9" t="str">
        <f t="shared" si="250"/>
        <v>Input!J263</v>
      </c>
      <c r="N896" s="9">
        <f>_xlfn.XLOOKUP(F896,'Raw Data'!$I$4:$I$5000,'Raw Data'!$E$4:$E$5000,100,0)</f>
        <v>100</v>
      </c>
      <c r="O896" s="9" t="str">
        <f>IF(N896=0,_xlfn.XLOOKUP(F896,'Raw Data'!$I$4:$I$5000,'Raw Data'!$H$4:$H$5000,"",0),"")</f>
        <v/>
      </c>
      <c r="P896" s="9" t="str" cm="1">
        <f t="array" aca="1" ref="P896" ca="1">IF(INDIRECT(M896) = "","",INDIRECT(M896))</f>
        <v/>
      </c>
      <c r="Q896" s="359" t="s">
        <v>4381</v>
      </c>
    </row>
    <row r="897" spans="1:17" x14ac:dyDescent="0.35">
      <c r="A897" t="s">
        <v>1904</v>
      </c>
      <c r="E897" t="str">
        <f>_xlfn.XLOOKUP(F897,'Raw Data'!$I$4:$I$5000,'Raw Data'!$D$4:$D$5000,"*** Mnemonic not found ***",0)</f>
        <v>*** Mnemonic not found ***</v>
      </c>
      <c r="F897" t="str">
        <f t="shared" si="249"/>
        <v>SUCMRUR2SOVERG9_1TO5__</v>
      </c>
      <c r="H897" s="9" t="s">
        <v>1137</v>
      </c>
      <c r="K897" s="9">
        <f t="shared" si="253"/>
        <v>263</v>
      </c>
      <c r="L897" s="9" t="str">
        <f t="shared" si="254"/>
        <v>K</v>
      </c>
      <c r="M897" s="9" t="str">
        <f t="shared" si="250"/>
        <v>Input!K263</v>
      </c>
      <c r="N897" s="9">
        <f>_xlfn.XLOOKUP(F897,'Raw Data'!$I$4:$I$5000,'Raw Data'!$E$4:$E$5000,100,0)</f>
        <v>100</v>
      </c>
      <c r="O897" s="9" t="str">
        <f>IF(N897=0,_xlfn.XLOOKUP(F897,'Raw Data'!$I$4:$I$5000,'Raw Data'!$H$4:$H$5000,"",0),"")</f>
        <v/>
      </c>
      <c r="P897" s="9" t="str" cm="1">
        <f t="array" aca="1" ref="P897" ca="1">IF(INDIRECT(M897) = "","",INDIRECT(M897))</f>
        <v/>
      </c>
      <c r="Q897" s="359" t="s">
        <v>4381</v>
      </c>
    </row>
    <row r="898" spans="1:17" x14ac:dyDescent="0.35">
      <c r="A898" t="s">
        <v>1909</v>
      </c>
      <c r="E898" t="str">
        <f>_xlfn.XLOOKUP(F898,'Raw Data'!$I$4:$I$5000,'Raw Data'!$D$4:$D$5000,"*** Mnemonic not found ***",0)</f>
        <v>*** Mnemonic not found ***</v>
      </c>
      <c r="F898" t="str">
        <f t="shared" si="249"/>
        <v>SUCMRUR2SOVERG10_1TO5__</v>
      </c>
      <c r="H898" s="9" t="s">
        <v>1137</v>
      </c>
      <c r="K898" s="9">
        <f t="shared" si="253"/>
        <v>263</v>
      </c>
      <c r="L898" s="9" t="str">
        <f t="shared" si="254"/>
        <v>L</v>
      </c>
      <c r="M898" s="9" t="str">
        <f t="shared" si="250"/>
        <v>Input!L263</v>
      </c>
      <c r="N898" s="9">
        <f>_xlfn.XLOOKUP(F898,'Raw Data'!$I$4:$I$5000,'Raw Data'!$E$4:$E$5000,100,0)</f>
        <v>100</v>
      </c>
      <c r="O898" s="9" t="str">
        <f>IF(N898=0,_xlfn.XLOOKUP(F898,'Raw Data'!$I$4:$I$5000,'Raw Data'!$H$4:$H$5000,"",0),"")</f>
        <v/>
      </c>
      <c r="P898" s="9" t="str" cm="1">
        <f t="array" aca="1" ref="P898" ca="1">IF(INDIRECT(M898) = "","",INDIRECT(M898))</f>
        <v/>
      </c>
      <c r="Q898" s="359" t="s">
        <v>4381</v>
      </c>
    </row>
    <row r="899" spans="1:17" x14ac:dyDescent="0.35">
      <c r="A899" t="s">
        <v>1914</v>
      </c>
      <c r="E899" t="str">
        <f>_xlfn.XLOOKUP(F899,'Raw Data'!$I$4:$I$5000,'Raw Data'!$D$4:$D$5000,"*** Mnemonic not found ***",0)</f>
        <v>*** Mnemonic not found ***</v>
      </c>
      <c r="F899" t="str">
        <f t="shared" si="249"/>
        <v>SUCMRUR2SOVERGNA_1TO5__</v>
      </c>
      <c r="H899" s="9" t="s">
        <v>1137</v>
      </c>
      <c r="K899" s="9">
        <f t="shared" si="253"/>
        <v>263</v>
      </c>
      <c r="L899" s="9" t="str">
        <f t="shared" si="254"/>
        <v>M</v>
      </c>
      <c r="M899" s="9" t="str">
        <f t="shared" si="250"/>
        <v>Input!M263</v>
      </c>
      <c r="N899" s="9">
        <f>_xlfn.XLOOKUP(F899,'Raw Data'!$I$4:$I$5000,'Raw Data'!$E$4:$E$5000,100,0)</f>
        <v>100</v>
      </c>
      <c r="O899" s="9" t="str">
        <f>IF(N899=0,_xlfn.XLOOKUP(F899,'Raw Data'!$I$4:$I$5000,'Raw Data'!$H$4:$H$5000,"",0),"")</f>
        <v/>
      </c>
      <c r="P899" s="9" t="str" cm="1">
        <f t="array" aca="1" ref="P899" ca="1">IF(INDIRECT(M899) = "","",INDIRECT(M899))</f>
        <v/>
      </c>
      <c r="Q899" s="359" t="s">
        <v>4381</v>
      </c>
    </row>
    <row r="900" spans="1:17" x14ac:dyDescent="0.35">
      <c r="A900" t="s">
        <v>1865</v>
      </c>
      <c r="E900" t="str">
        <f>_xlfn.XLOOKUP(F900,'Raw Data'!$I$4:$I$5000,'Raw Data'!$D$4:$D$5000,"*** Mnemonic not found ***",0)</f>
        <v>*** Mnemonic not found ***</v>
      </c>
      <c r="F900" t="str">
        <f t="shared" si="249"/>
        <v>SUCMRUR2SOVERG1_5TO10__</v>
      </c>
      <c r="H900" s="9" t="s">
        <v>1137</v>
      </c>
      <c r="K900" s="9">
        <f t="shared" si="253"/>
        <v>264</v>
      </c>
      <c r="L900" s="9" t="str">
        <f t="shared" si="254"/>
        <v>C</v>
      </c>
      <c r="M900" s="9" t="str">
        <f t="shared" si="250"/>
        <v>Input!C264</v>
      </c>
      <c r="N900" s="9">
        <f>_xlfn.XLOOKUP(F900,'Raw Data'!$I$4:$I$5000,'Raw Data'!$E$4:$E$5000,100,0)</f>
        <v>100</v>
      </c>
      <c r="O900" s="9" t="str">
        <f>IF(N900=0,_xlfn.XLOOKUP(F900,'Raw Data'!$I$4:$I$5000,'Raw Data'!$H$4:$H$5000,"",0),"")</f>
        <v/>
      </c>
      <c r="P900" s="9" t="str" cm="1">
        <f t="array" aca="1" ref="P900" ca="1">IF(INDIRECT(M900) = "","",INDIRECT(M900))</f>
        <v/>
      </c>
      <c r="Q900" s="359" t="s">
        <v>4381</v>
      </c>
    </row>
    <row r="901" spans="1:17" x14ac:dyDescent="0.35">
      <c r="A901" t="s">
        <v>1870</v>
      </c>
      <c r="E901" t="str">
        <f>_xlfn.XLOOKUP(F901,'Raw Data'!$I$4:$I$5000,'Raw Data'!$D$4:$D$5000,"*** Mnemonic not found ***",0)</f>
        <v>*** Mnemonic not found ***</v>
      </c>
      <c r="F901" t="str">
        <f t="shared" ref="F901:F964" si="255">CONCATENATE(A901,"_",B901,"_",D901)</f>
        <v>SUCMRUR2SOVERG2_5TO10__</v>
      </c>
      <c r="H901" s="9" t="s">
        <v>1137</v>
      </c>
      <c r="K901" s="9">
        <f t="shared" si="253"/>
        <v>264</v>
      </c>
      <c r="L901" s="9" t="str">
        <f t="shared" si="254"/>
        <v>D</v>
      </c>
      <c r="M901" s="9" t="str">
        <f t="shared" si="250"/>
        <v>Input!D264</v>
      </c>
      <c r="N901" s="9">
        <f>_xlfn.XLOOKUP(F901,'Raw Data'!$I$4:$I$5000,'Raw Data'!$E$4:$E$5000,100,0)</f>
        <v>100</v>
      </c>
      <c r="O901" s="9" t="str">
        <f>IF(N901=0,_xlfn.XLOOKUP(F901,'Raw Data'!$I$4:$I$5000,'Raw Data'!$H$4:$H$5000,"",0),"")</f>
        <v/>
      </c>
      <c r="P901" s="9" t="str" cm="1">
        <f t="array" aca="1" ref="P901" ca="1">IF(INDIRECT(M901) = "","",INDIRECT(M901))</f>
        <v/>
      </c>
      <c r="Q901" s="359" t="s">
        <v>4381</v>
      </c>
    </row>
    <row r="902" spans="1:17" x14ac:dyDescent="0.35">
      <c r="A902" t="s">
        <v>1875</v>
      </c>
      <c r="E902" t="str">
        <f>_xlfn.XLOOKUP(F902,'Raw Data'!$I$4:$I$5000,'Raw Data'!$D$4:$D$5000,"*** Mnemonic not found ***",0)</f>
        <v>*** Mnemonic not found ***</v>
      </c>
      <c r="F902" t="str">
        <f t="shared" si="255"/>
        <v>SUCMRUR2SOVERG3_5TO10__</v>
      </c>
      <c r="H902" s="9" t="s">
        <v>1137</v>
      </c>
      <c r="K902" s="9">
        <f t="shared" si="253"/>
        <v>264</v>
      </c>
      <c r="L902" s="9" t="str">
        <f t="shared" si="254"/>
        <v>E</v>
      </c>
      <c r="M902" s="9" t="str">
        <f t="shared" si="250"/>
        <v>Input!E264</v>
      </c>
      <c r="N902" s="9">
        <f>_xlfn.XLOOKUP(F902,'Raw Data'!$I$4:$I$5000,'Raw Data'!$E$4:$E$5000,100,0)</f>
        <v>100</v>
      </c>
      <c r="O902" s="9" t="str">
        <f>IF(N902=0,_xlfn.XLOOKUP(F902,'Raw Data'!$I$4:$I$5000,'Raw Data'!$H$4:$H$5000,"",0),"")</f>
        <v/>
      </c>
      <c r="P902" s="9" t="str" cm="1">
        <f t="array" aca="1" ref="P902" ca="1">IF(INDIRECT(M902) = "","",INDIRECT(M902))</f>
        <v/>
      </c>
      <c r="Q902" s="359" t="s">
        <v>4381</v>
      </c>
    </row>
    <row r="903" spans="1:17" x14ac:dyDescent="0.35">
      <c r="A903" t="s">
        <v>1880</v>
      </c>
      <c r="E903" t="str">
        <f>_xlfn.XLOOKUP(F903,'Raw Data'!$I$4:$I$5000,'Raw Data'!$D$4:$D$5000,"*** Mnemonic not found ***",0)</f>
        <v>*** Mnemonic not found ***</v>
      </c>
      <c r="F903" t="str">
        <f t="shared" si="255"/>
        <v>SUCMRUR2SOVERG4_5TO10__</v>
      </c>
      <c r="H903" s="9" t="s">
        <v>1137</v>
      </c>
      <c r="K903" s="9">
        <f t="shared" si="253"/>
        <v>264</v>
      </c>
      <c r="L903" s="9" t="str">
        <f t="shared" si="254"/>
        <v>F</v>
      </c>
      <c r="M903" s="9" t="str">
        <f t="shared" si="250"/>
        <v>Input!F264</v>
      </c>
      <c r="N903" s="9">
        <f>_xlfn.XLOOKUP(F903,'Raw Data'!$I$4:$I$5000,'Raw Data'!$E$4:$E$5000,100,0)</f>
        <v>100</v>
      </c>
      <c r="O903" s="9" t="str">
        <f>IF(N903=0,_xlfn.XLOOKUP(F903,'Raw Data'!$I$4:$I$5000,'Raw Data'!$H$4:$H$5000,"",0),"")</f>
        <v/>
      </c>
      <c r="P903" s="9" t="str" cm="1">
        <f t="array" aca="1" ref="P903" ca="1">IF(INDIRECT(M903) = "","",INDIRECT(M903))</f>
        <v/>
      </c>
      <c r="Q903" s="359" t="s">
        <v>4381</v>
      </c>
    </row>
    <row r="904" spans="1:17" x14ac:dyDescent="0.35">
      <c r="A904" t="s">
        <v>1885</v>
      </c>
      <c r="E904" t="str">
        <f>_xlfn.XLOOKUP(F904,'Raw Data'!$I$4:$I$5000,'Raw Data'!$D$4:$D$5000,"*** Mnemonic not found ***",0)</f>
        <v>*** Mnemonic not found ***</v>
      </c>
      <c r="F904" t="str">
        <f t="shared" si="255"/>
        <v>SUCMRUR2SOVERG5_5TO10__</v>
      </c>
      <c r="H904" s="9" t="s">
        <v>1137</v>
      </c>
      <c r="K904" s="9">
        <f t="shared" si="253"/>
        <v>264</v>
      </c>
      <c r="L904" s="9" t="str">
        <f t="shared" si="254"/>
        <v>G</v>
      </c>
      <c r="M904" s="9" t="str">
        <f t="shared" si="250"/>
        <v>Input!G264</v>
      </c>
      <c r="N904" s="9">
        <f>_xlfn.XLOOKUP(F904,'Raw Data'!$I$4:$I$5000,'Raw Data'!$E$4:$E$5000,100,0)</f>
        <v>100</v>
      </c>
      <c r="O904" s="9" t="str">
        <f>IF(N904=0,_xlfn.XLOOKUP(F904,'Raw Data'!$I$4:$I$5000,'Raw Data'!$H$4:$H$5000,"",0),"")</f>
        <v/>
      </c>
      <c r="P904" s="9" t="str" cm="1">
        <f t="array" aca="1" ref="P904" ca="1">IF(INDIRECT(M904) = "","",INDIRECT(M904))</f>
        <v/>
      </c>
      <c r="Q904" s="359" t="s">
        <v>4381</v>
      </c>
    </row>
    <row r="905" spans="1:17" x14ac:dyDescent="0.35">
      <c r="A905" t="s">
        <v>1890</v>
      </c>
      <c r="E905" t="str">
        <f>_xlfn.XLOOKUP(F905,'Raw Data'!$I$4:$I$5000,'Raw Data'!$D$4:$D$5000,"*** Mnemonic not found ***",0)</f>
        <v>*** Mnemonic not found ***</v>
      </c>
      <c r="F905" t="str">
        <f t="shared" si="255"/>
        <v>SUCMRUR2SOVERG6_5TO10__</v>
      </c>
      <c r="H905" s="9" t="s">
        <v>1137</v>
      </c>
      <c r="K905" s="9">
        <f t="shared" si="253"/>
        <v>264</v>
      </c>
      <c r="L905" s="9" t="str">
        <f t="shared" si="254"/>
        <v>H</v>
      </c>
      <c r="M905" s="9" t="str">
        <f t="shared" si="250"/>
        <v>Input!H264</v>
      </c>
      <c r="N905" s="9">
        <f>_xlfn.XLOOKUP(F905,'Raw Data'!$I$4:$I$5000,'Raw Data'!$E$4:$E$5000,100,0)</f>
        <v>100</v>
      </c>
      <c r="O905" s="9" t="str">
        <f>IF(N905=0,_xlfn.XLOOKUP(F905,'Raw Data'!$I$4:$I$5000,'Raw Data'!$H$4:$H$5000,"",0),"")</f>
        <v/>
      </c>
      <c r="P905" s="9" t="str" cm="1">
        <f t="array" aca="1" ref="P905" ca="1">IF(INDIRECT(M905) = "","",INDIRECT(M905))</f>
        <v/>
      </c>
      <c r="Q905" s="359" t="s">
        <v>4381</v>
      </c>
    </row>
    <row r="906" spans="1:17" x14ac:dyDescent="0.35">
      <c r="A906" t="s">
        <v>1895</v>
      </c>
      <c r="E906" t="str">
        <f>_xlfn.XLOOKUP(F906,'Raw Data'!$I$4:$I$5000,'Raw Data'!$D$4:$D$5000,"*** Mnemonic not found ***",0)</f>
        <v>*** Mnemonic not found ***</v>
      </c>
      <c r="F906" t="str">
        <f t="shared" si="255"/>
        <v>SUCMRUR2SOVERG7_5TO10__</v>
      </c>
      <c r="H906" s="9" t="s">
        <v>1137</v>
      </c>
      <c r="K906" s="9">
        <f t="shared" si="253"/>
        <v>264</v>
      </c>
      <c r="L906" s="9" t="str">
        <f t="shared" si="254"/>
        <v>I</v>
      </c>
      <c r="M906" s="9" t="str">
        <f t="shared" si="250"/>
        <v>Input!I264</v>
      </c>
      <c r="N906" s="9">
        <f>_xlfn.XLOOKUP(F906,'Raw Data'!$I$4:$I$5000,'Raw Data'!$E$4:$E$5000,100,0)</f>
        <v>100</v>
      </c>
      <c r="O906" s="9" t="str">
        <f>IF(N906=0,_xlfn.XLOOKUP(F906,'Raw Data'!$I$4:$I$5000,'Raw Data'!$H$4:$H$5000,"",0),"")</f>
        <v/>
      </c>
      <c r="P906" s="9" t="str" cm="1">
        <f t="array" aca="1" ref="P906" ca="1">IF(INDIRECT(M906) = "","",INDIRECT(M906))</f>
        <v/>
      </c>
      <c r="Q906" s="359" t="s">
        <v>4381</v>
      </c>
    </row>
    <row r="907" spans="1:17" x14ac:dyDescent="0.35">
      <c r="A907" t="s">
        <v>1900</v>
      </c>
      <c r="E907" t="str">
        <f>_xlfn.XLOOKUP(F907,'Raw Data'!$I$4:$I$5000,'Raw Data'!$D$4:$D$5000,"*** Mnemonic not found ***",0)</f>
        <v>*** Mnemonic not found ***</v>
      </c>
      <c r="F907" t="str">
        <f t="shared" si="255"/>
        <v>SUCMRUR2SOVERG8_5TO10__</v>
      </c>
      <c r="H907" s="9" t="s">
        <v>1137</v>
      </c>
      <c r="K907" s="9">
        <f t="shared" si="253"/>
        <v>264</v>
      </c>
      <c r="L907" s="9" t="str">
        <f t="shared" si="254"/>
        <v>J</v>
      </c>
      <c r="M907" s="9" t="str">
        <f t="shared" si="250"/>
        <v>Input!J264</v>
      </c>
      <c r="N907" s="9">
        <f>_xlfn.XLOOKUP(F907,'Raw Data'!$I$4:$I$5000,'Raw Data'!$E$4:$E$5000,100,0)</f>
        <v>100</v>
      </c>
      <c r="O907" s="9" t="str">
        <f>IF(N907=0,_xlfn.XLOOKUP(F907,'Raw Data'!$I$4:$I$5000,'Raw Data'!$H$4:$H$5000,"",0),"")</f>
        <v/>
      </c>
      <c r="P907" s="9" t="str" cm="1">
        <f t="array" aca="1" ref="P907" ca="1">IF(INDIRECT(M907) = "","",INDIRECT(M907))</f>
        <v/>
      </c>
      <c r="Q907" s="359" t="s">
        <v>4381</v>
      </c>
    </row>
    <row r="908" spans="1:17" x14ac:dyDescent="0.35">
      <c r="A908" t="s">
        <v>1905</v>
      </c>
      <c r="E908" t="str">
        <f>_xlfn.XLOOKUP(F908,'Raw Data'!$I$4:$I$5000,'Raw Data'!$D$4:$D$5000,"*** Mnemonic not found ***",0)</f>
        <v>*** Mnemonic not found ***</v>
      </c>
      <c r="F908" t="str">
        <f t="shared" si="255"/>
        <v>SUCMRUR2SOVERG9_5TO10__</v>
      </c>
      <c r="H908" s="9" t="s">
        <v>1137</v>
      </c>
      <c r="K908" s="9">
        <f t="shared" si="253"/>
        <v>264</v>
      </c>
      <c r="L908" s="9" t="str">
        <f t="shared" si="254"/>
        <v>K</v>
      </c>
      <c r="M908" s="9" t="str">
        <f t="shared" si="250"/>
        <v>Input!K264</v>
      </c>
      <c r="N908" s="9">
        <f>_xlfn.XLOOKUP(F908,'Raw Data'!$I$4:$I$5000,'Raw Data'!$E$4:$E$5000,100,0)</f>
        <v>100</v>
      </c>
      <c r="O908" s="9" t="str">
        <f>IF(N908=0,_xlfn.XLOOKUP(F908,'Raw Data'!$I$4:$I$5000,'Raw Data'!$H$4:$H$5000,"",0),"")</f>
        <v/>
      </c>
      <c r="P908" s="9" t="str" cm="1">
        <f t="array" aca="1" ref="P908" ca="1">IF(INDIRECT(M908) = "","",INDIRECT(M908))</f>
        <v/>
      </c>
      <c r="Q908" s="359" t="s">
        <v>4381</v>
      </c>
    </row>
    <row r="909" spans="1:17" x14ac:dyDescent="0.35">
      <c r="A909" t="s">
        <v>1910</v>
      </c>
      <c r="E909" t="str">
        <f>_xlfn.XLOOKUP(F909,'Raw Data'!$I$4:$I$5000,'Raw Data'!$D$4:$D$5000,"*** Mnemonic not found ***",0)</f>
        <v>*** Mnemonic not found ***</v>
      </c>
      <c r="F909" t="str">
        <f t="shared" si="255"/>
        <v>SUCMRUR2SOVERG10_5TO10__</v>
      </c>
      <c r="H909" s="9" t="s">
        <v>1137</v>
      </c>
      <c r="K909" s="9">
        <f t="shared" si="253"/>
        <v>264</v>
      </c>
      <c r="L909" s="9" t="str">
        <f t="shared" si="254"/>
        <v>L</v>
      </c>
      <c r="M909" s="9" t="str">
        <f t="shared" si="250"/>
        <v>Input!L264</v>
      </c>
      <c r="N909" s="9">
        <f>_xlfn.XLOOKUP(F909,'Raw Data'!$I$4:$I$5000,'Raw Data'!$E$4:$E$5000,100,0)</f>
        <v>100</v>
      </c>
      <c r="O909" s="9" t="str">
        <f>IF(N909=0,_xlfn.XLOOKUP(F909,'Raw Data'!$I$4:$I$5000,'Raw Data'!$H$4:$H$5000,"",0),"")</f>
        <v/>
      </c>
      <c r="P909" s="9" t="str" cm="1">
        <f t="array" aca="1" ref="P909" ca="1">IF(INDIRECT(M909) = "","",INDIRECT(M909))</f>
        <v/>
      </c>
      <c r="Q909" s="359" t="s">
        <v>4381</v>
      </c>
    </row>
    <row r="910" spans="1:17" x14ac:dyDescent="0.35">
      <c r="A910" t="s">
        <v>1915</v>
      </c>
      <c r="E910" t="str">
        <f>_xlfn.XLOOKUP(F910,'Raw Data'!$I$4:$I$5000,'Raw Data'!$D$4:$D$5000,"*** Mnemonic not found ***",0)</f>
        <v>*** Mnemonic not found ***</v>
      </c>
      <c r="F910" t="str">
        <f t="shared" si="255"/>
        <v>SUCMRUR2SOVERGNA_5TO10__</v>
      </c>
      <c r="H910" s="9" t="s">
        <v>1137</v>
      </c>
      <c r="K910" s="9">
        <f t="shared" si="253"/>
        <v>264</v>
      </c>
      <c r="L910" s="9" t="str">
        <f t="shared" si="254"/>
        <v>M</v>
      </c>
      <c r="M910" s="9" t="str">
        <f t="shared" si="250"/>
        <v>Input!M264</v>
      </c>
      <c r="N910" s="9">
        <f>_xlfn.XLOOKUP(F910,'Raw Data'!$I$4:$I$5000,'Raw Data'!$E$4:$E$5000,100,0)</f>
        <v>100</v>
      </c>
      <c r="O910" s="9" t="str">
        <f>IF(N910=0,_xlfn.XLOOKUP(F910,'Raw Data'!$I$4:$I$5000,'Raw Data'!$H$4:$H$5000,"",0),"")</f>
        <v/>
      </c>
      <c r="P910" s="9" t="str" cm="1">
        <f t="array" aca="1" ref="P910" ca="1">IF(INDIRECT(M910) = "","",INDIRECT(M910))</f>
        <v/>
      </c>
      <c r="Q910" s="359" t="s">
        <v>4381</v>
      </c>
    </row>
    <row r="911" spans="1:17" x14ac:dyDescent="0.35">
      <c r="A911" t="s">
        <v>1866</v>
      </c>
      <c r="E911" t="str">
        <f>_xlfn.XLOOKUP(F911,'Raw Data'!$I$4:$I$5000,'Raw Data'!$D$4:$D$5000,"*** Mnemonic not found ***",0)</f>
        <v>*** Mnemonic not found ***</v>
      </c>
      <c r="F911" t="str">
        <f t="shared" si="255"/>
        <v>SUCMRUR2SOVERG1_10TO20__</v>
      </c>
      <c r="H911" s="9" t="s">
        <v>1137</v>
      </c>
      <c r="K911" s="9">
        <f t="shared" si="253"/>
        <v>265</v>
      </c>
      <c r="L911" s="9" t="str">
        <f t="shared" si="254"/>
        <v>C</v>
      </c>
      <c r="M911" s="9" t="str">
        <f t="shared" ref="M911:M974" si="256">CONCATENATE(H911,"!",L911,K911)</f>
        <v>Input!C265</v>
      </c>
      <c r="N911" s="9">
        <f>_xlfn.XLOOKUP(F911,'Raw Data'!$I$4:$I$5000,'Raw Data'!$E$4:$E$5000,100,0)</f>
        <v>100</v>
      </c>
      <c r="O911" s="9" t="str">
        <f>IF(N911=0,_xlfn.XLOOKUP(F911,'Raw Data'!$I$4:$I$5000,'Raw Data'!$H$4:$H$5000,"",0),"")</f>
        <v/>
      </c>
      <c r="P911" s="9" t="str" cm="1">
        <f t="array" aca="1" ref="P911" ca="1">IF(INDIRECT(M911) = "","",INDIRECT(M911))</f>
        <v/>
      </c>
      <c r="Q911" s="359" t="s">
        <v>4381</v>
      </c>
    </row>
    <row r="912" spans="1:17" x14ac:dyDescent="0.35">
      <c r="A912" t="s">
        <v>1871</v>
      </c>
      <c r="E912" t="str">
        <f>_xlfn.XLOOKUP(F912,'Raw Data'!$I$4:$I$5000,'Raw Data'!$D$4:$D$5000,"*** Mnemonic not found ***",0)</f>
        <v>*** Mnemonic not found ***</v>
      </c>
      <c r="F912" t="str">
        <f t="shared" si="255"/>
        <v>SUCMRUR2SOVERG2_10TO20__</v>
      </c>
      <c r="H912" s="9" t="s">
        <v>1137</v>
      </c>
      <c r="K912" s="9">
        <f t="shared" si="253"/>
        <v>265</v>
      </c>
      <c r="L912" s="9" t="str">
        <f t="shared" si="254"/>
        <v>D</v>
      </c>
      <c r="M912" s="9" t="str">
        <f t="shared" si="256"/>
        <v>Input!D265</v>
      </c>
      <c r="N912" s="9">
        <f>_xlfn.XLOOKUP(F912,'Raw Data'!$I$4:$I$5000,'Raw Data'!$E$4:$E$5000,100,0)</f>
        <v>100</v>
      </c>
      <c r="O912" s="9" t="str">
        <f>IF(N912=0,_xlfn.XLOOKUP(F912,'Raw Data'!$I$4:$I$5000,'Raw Data'!$H$4:$H$5000,"",0),"")</f>
        <v/>
      </c>
      <c r="P912" s="9" t="str" cm="1">
        <f t="array" aca="1" ref="P912" ca="1">IF(INDIRECT(M912) = "","",INDIRECT(M912))</f>
        <v/>
      </c>
      <c r="Q912" s="359" t="s">
        <v>4381</v>
      </c>
    </row>
    <row r="913" spans="1:17" x14ac:dyDescent="0.35">
      <c r="A913" t="s">
        <v>1876</v>
      </c>
      <c r="E913" t="str">
        <f>_xlfn.XLOOKUP(F913,'Raw Data'!$I$4:$I$5000,'Raw Data'!$D$4:$D$5000,"*** Mnemonic not found ***",0)</f>
        <v>*** Mnemonic not found ***</v>
      </c>
      <c r="F913" t="str">
        <f t="shared" si="255"/>
        <v>SUCMRUR2SOVERG3_10TO20__</v>
      </c>
      <c r="H913" s="9" t="s">
        <v>1137</v>
      </c>
      <c r="K913" s="9">
        <f t="shared" si="253"/>
        <v>265</v>
      </c>
      <c r="L913" s="9" t="str">
        <f t="shared" si="254"/>
        <v>E</v>
      </c>
      <c r="M913" s="9" t="str">
        <f t="shared" si="256"/>
        <v>Input!E265</v>
      </c>
      <c r="N913" s="9">
        <f>_xlfn.XLOOKUP(F913,'Raw Data'!$I$4:$I$5000,'Raw Data'!$E$4:$E$5000,100,0)</f>
        <v>100</v>
      </c>
      <c r="O913" s="9" t="str">
        <f>IF(N913=0,_xlfn.XLOOKUP(F913,'Raw Data'!$I$4:$I$5000,'Raw Data'!$H$4:$H$5000,"",0),"")</f>
        <v/>
      </c>
      <c r="P913" s="9" t="str" cm="1">
        <f t="array" aca="1" ref="P913" ca="1">IF(INDIRECT(M913) = "","",INDIRECT(M913))</f>
        <v/>
      </c>
      <c r="Q913" s="359" t="s">
        <v>4381</v>
      </c>
    </row>
    <row r="914" spans="1:17" x14ac:dyDescent="0.35">
      <c r="A914" t="s">
        <v>1881</v>
      </c>
      <c r="E914" t="str">
        <f>_xlfn.XLOOKUP(F914,'Raw Data'!$I$4:$I$5000,'Raw Data'!$D$4:$D$5000,"*** Mnemonic not found ***",0)</f>
        <v>*** Mnemonic not found ***</v>
      </c>
      <c r="F914" t="str">
        <f t="shared" si="255"/>
        <v>SUCMRUR2SOVERG4_10TO20__</v>
      </c>
      <c r="H914" s="9" t="s">
        <v>1137</v>
      </c>
      <c r="K914" s="9">
        <f t="shared" si="253"/>
        <v>265</v>
      </c>
      <c r="L914" s="9" t="str">
        <f t="shared" si="254"/>
        <v>F</v>
      </c>
      <c r="M914" s="9" t="str">
        <f t="shared" si="256"/>
        <v>Input!F265</v>
      </c>
      <c r="N914" s="9">
        <f>_xlfn.XLOOKUP(F914,'Raw Data'!$I$4:$I$5000,'Raw Data'!$E$4:$E$5000,100,0)</f>
        <v>100</v>
      </c>
      <c r="O914" s="9" t="str">
        <f>IF(N914=0,_xlfn.XLOOKUP(F914,'Raw Data'!$I$4:$I$5000,'Raw Data'!$H$4:$H$5000,"",0),"")</f>
        <v/>
      </c>
      <c r="P914" s="9" t="str" cm="1">
        <f t="array" aca="1" ref="P914" ca="1">IF(INDIRECT(M914) = "","",INDIRECT(M914))</f>
        <v/>
      </c>
      <c r="Q914" s="359" t="s">
        <v>4381</v>
      </c>
    </row>
    <row r="915" spans="1:17" x14ac:dyDescent="0.35">
      <c r="A915" t="s">
        <v>1886</v>
      </c>
      <c r="E915" t="str">
        <f>_xlfn.XLOOKUP(F915,'Raw Data'!$I$4:$I$5000,'Raw Data'!$D$4:$D$5000,"*** Mnemonic not found ***",0)</f>
        <v>*** Mnemonic not found ***</v>
      </c>
      <c r="F915" t="str">
        <f t="shared" si="255"/>
        <v>SUCMRUR2SOVERG5_10TO20__</v>
      </c>
      <c r="H915" s="9" t="s">
        <v>1137</v>
      </c>
      <c r="K915" s="9">
        <f t="shared" si="253"/>
        <v>265</v>
      </c>
      <c r="L915" s="9" t="str">
        <f t="shared" si="254"/>
        <v>G</v>
      </c>
      <c r="M915" s="9" t="str">
        <f t="shared" si="256"/>
        <v>Input!G265</v>
      </c>
      <c r="N915" s="9">
        <f>_xlfn.XLOOKUP(F915,'Raw Data'!$I$4:$I$5000,'Raw Data'!$E$4:$E$5000,100,0)</f>
        <v>100</v>
      </c>
      <c r="O915" s="9" t="str">
        <f>IF(N915=0,_xlfn.XLOOKUP(F915,'Raw Data'!$I$4:$I$5000,'Raw Data'!$H$4:$H$5000,"",0),"")</f>
        <v/>
      </c>
      <c r="P915" s="9" t="str" cm="1">
        <f t="array" aca="1" ref="P915" ca="1">IF(INDIRECT(M915) = "","",INDIRECT(M915))</f>
        <v/>
      </c>
      <c r="Q915" s="359" t="s">
        <v>4381</v>
      </c>
    </row>
    <row r="916" spans="1:17" x14ac:dyDescent="0.35">
      <c r="A916" t="s">
        <v>1891</v>
      </c>
      <c r="E916" t="str">
        <f>_xlfn.XLOOKUP(F916,'Raw Data'!$I$4:$I$5000,'Raw Data'!$D$4:$D$5000,"*** Mnemonic not found ***",0)</f>
        <v>*** Mnemonic not found ***</v>
      </c>
      <c r="F916" t="str">
        <f t="shared" si="255"/>
        <v>SUCMRUR2SOVERG6_10TO20__</v>
      </c>
      <c r="H916" s="9" t="s">
        <v>1137</v>
      </c>
      <c r="K916" s="9">
        <f t="shared" si="253"/>
        <v>265</v>
      </c>
      <c r="L916" s="9" t="str">
        <f t="shared" si="254"/>
        <v>H</v>
      </c>
      <c r="M916" s="9" t="str">
        <f t="shared" si="256"/>
        <v>Input!H265</v>
      </c>
      <c r="N916" s="9">
        <f>_xlfn.XLOOKUP(F916,'Raw Data'!$I$4:$I$5000,'Raw Data'!$E$4:$E$5000,100,0)</f>
        <v>100</v>
      </c>
      <c r="O916" s="9" t="str">
        <f>IF(N916=0,_xlfn.XLOOKUP(F916,'Raw Data'!$I$4:$I$5000,'Raw Data'!$H$4:$H$5000,"",0),"")</f>
        <v/>
      </c>
      <c r="P916" s="9" t="str" cm="1">
        <f t="array" aca="1" ref="P916" ca="1">IF(INDIRECT(M916) = "","",INDIRECT(M916))</f>
        <v/>
      </c>
      <c r="Q916" s="359" t="s">
        <v>4381</v>
      </c>
    </row>
    <row r="917" spans="1:17" x14ac:dyDescent="0.35">
      <c r="A917" t="s">
        <v>1896</v>
      </c>
      <c r="E917" t="str">
        <f>_xlfn.XLOOKUP(F917,'Raw Data'!$I$4:$I$5000,'Raw Data'!$D$4:$D$5000,"*** Mnemonic not found ***",0)</f>
        <v>*** Mnemonic not found ***</v>
      </c>
      <c r="F917" t="str">
        <f t="shared" si="255"/>
        <v>SUCMRUR2SOVERG7_10TO20__</v>
      </c>
      <c r="H917" s="9" t="s">
        <v>1137</v>
      </c>
      <c r="K917" s="9">
        <f t="shared" si="253"/>
        <v>265</v>
      </c>
      <c r="L917" s="9" t="str">
        <f t="shared" si="254"/>
        <v>I</v>
      </c>
      <c r="M917" s="9" t="str">
        <f t="shared" si="256"/>
        <v>Input!I265</v>
      </c>
      <c r="N917" s="9">
        <f>_xlfn.XLOOKUP(F917,'Raw Data'!$I$4:$I$5000,'Raw Data'!$E$4:$E$5000,100,0)</f>
        <v>100</v>
      </c>
      <c r="O917" s="9" t="str">
        <f>IF(N917=0,_xlfn.XLOOKUP(F917,'Raw Data'!$I$4:$I$5000,'Raw Data'!$H$4:$H$5000,"",0),"")</f>
        <v/>
      </c>
      <c r="P917" s="9" t="str" cm="1">
        <f t="array" aca="1" ref="P917" ca="1">IF(INDIRECT(M917) = "","",INDIRECT(M917))</f>
        <v/>
      </c>
      <c r="Q917" s="359" t="s">
        <v>4381</v>
      </c>
    </row>
    <row r="918" spans="1:17" x14ac:dyDescent="0.35">
      <c r="A918" t="s">
        <v>1901</v>
      </c>
      <c r="E918" t="str">
        <f>_xlfn.XLOOKUP(F918,'Raw Data'!$I$4:$I$5000,'Raw Data'!$D$4:$D$5000,"*** Mnemonic not found ***",0)</f>
        <v>*** Mnemonic not found ***</v>
      </c>
      <c r="F918" t="str">
        <f t="shared" si="255"/>
        <v>SUCMRUR2SOVERG8_10TO20__</v>
      </c>
      <c r="H918" s="9" t="s">
        <v>1137</v>
      </c>
      <c r="K918" s="9">
        <f t="shared" si="253"/>
        <v>265</v>
      </c>
      <c r="L918" s="9" t="str">
        <f t="shared" si="254"/>
        <v>J</v>
      </c>
      <c r="M918" s="9" t="str">
        <f t="shared" si="256"/>
        <v>Input!J265</v>
      </c>
      <c r="N918" s="9">
        <f>_xlfn.XLOOKUP(F918,'Raw Data'!$I$4:$I$5000,'Raw Data'!$E$4:$E$5000,100,0)</f>
        <v>100</v>
      </c>
      <c r="O918" s="9" t="str">
        <f>IF(N918=0,_xlfn.XLOOKUP(F918,'Raw Data'!$I$4:$I$5000,'Raw Data'!$H$4:$H$5000,"",0),"")</f>
        <v/>
      </c>
      <c r="P918" s="9" t="str" cm="1">
        <f t="array" aca="1" ref="P918" ca="1">IF(INDIRECT(M918) = "","",INDIRECT(M918))</f>
        <v/>
      </c>
      <c r="Q918" s="359" t="s">
        <v>4381</v>
      </c>
    </row>
    <row r="919" spans="1:17" x14ac:dyDescent="0.35">
      <c r="A919" t="s">
        <v>1906</v>
      </c>
      <c r="E919" t="str">
        <f>_xlfn.XLOOKUP(F919,'Raw Data'!$I$4:$I$5000,'Raw Data'!$D$4:$D$5000,"*** Mnemonic not found ***",0)</f>
        <v>*** Mnemonic not found ***</v>
      </c>
      <c r="F919" t="str">
        <f t="shared" si="255"/>
        <v>SUCMRUR2SOVERG9_10TO20__</v>
      </c>
      <c r="H919" s="9" t="s">
        <v>1137</v>
      </c>
      <c r="K919" s="9">
        <f t="shared" si="253"/>
        <v>265</v>
      </c>
      <c r="L919" s="9" t="str">
        <f t="shared" si="254"/>
        <v>K</v>
      </c>
      <c r="M919" s="9" t="str">
        <f t="shared" si="256"/>
        <v>Input!K265</v>
      </c>
      <c r="N919" s="9">
        <f>_xlfn.XLOOKUP(F919,'Raw Data'!$I$4:$I$5000,'Raw Data'!$E$4:$E$5000,100,0)</f>
        <v>100</v>
      </c>
      <c r="O919" s="9" t="str">
        <f>IF(N919=0,_xlfn.XLOOKUP(F919,'Raw Data'!$I$4:$I$5000,'Raw Data'!$H$4:$H$5000,"",0),"")</f>
        <v/>
      </c>
      <c r="P919" s="9" t="str" cm="1">
        <f t="array" aca="1" ref="P919" ca="1">IF(INDIRECT(M919) = "","",INDIRECT(M919))</f>
        <v/>
      </c>
      <c r="Q919" s="359" t="s">
        <v>4381</v>
      </c>
    </row>
    <row r="920" spans="1:17" x14ac:dyDescent="0.35">
      <c r="A920" t="s">
        <v>1911</v>
      </c>
      <c r="E920" t="str">
        <f>_xlfn.XLOOKUP(F920,'Raw Data'!$I$4:$I$5000,'Raw Data'!$D$4:$D$5000,"*** Mnemonic not found ***",0)</f>
        <v>*** Mnemonic not found ***</v>
      </c>
      <c r="F920" t="str">
        <f t="shared" si="255"/>
        <v>SUCMRUR2SOVERG10_10TO20__</v>
      </c>
      <c r="H920" s="9" t="s">
        <v>1137</v>
      </c>
      <c r="K920" s="9">
        <f t="shared" si="253"/>
        <v>265</v>
      </c>
      <c r="L920" s="9" t="str">
        <f t="shared" si="254"/>
        <v>L</v>
      </c>
      <c r="M920" s="9" t="str">
        <f t="shared" si="256"/>
        <v>Input!L265</v>
      </c>
      <c r="N920" s="9">
        <f>_xlfn.XLOOKUP(F920,'Raw Data'!$I$4:$I$5000,'Raw Data'!$E$4:$E$5000,100,0)</f>
        <v>100</v>
      </c>
      <c r="O920" s="9" t="str">
        <f>IF(N920=0,_xlfn.XLOOKUP(F920,'Raw Data'!$I$4:$I$5000,'Raw Data'!$H$4:$H$5000,"",0),"")</f>
        <v/>
      </c>
      <c r="P920" s="9" t="str" cm="1">
        <f t="array" aca="1" ref="P920" ca="1">IF(INDIRECT(M920) = "","",INDIRECT(M920))</f>
        <v/>
      </c>
      <c r="Q920" s="359" t="s">
        <v>4381</v>
      </c>
    </row>
    <row r="921" spans="1:17" x14ac:dyDescent="0.35">
      <c r="A921" t="s">
        <v>1916</v>
      </c>
      <c r="E921" t="str">
        <f>_xlfn.XLOOKUP(F921,'Raw Data'!$I$4:$I$5000,'Raw Data'!$D$4:$D$5000,"*** Mnemonic not found ***",0)</f>
        <v>*** Mnemonic not found ***</v>
      </c>
      <c r="F921" t="str">
        <f t="shared" si="255"/>
        <v>SUCMRUR2SOVERGNA_10TO20__</v>
      </c>
      <c r="H921" s="9" t="s">
        <v>1137</v>
      </c>
      <c r="K921" s="9">
        <f t="shared" si="253"/>
        <v>265</v>
      </c>
      <c r="L921" s="9" t="str">
        <f t="shared" si="254"/>
        <v>M</v>
      </c>
      <c r="M921" s="9" t="str">
        <f t="shared" si="256"/>
        <v>Input!M265</v>
      </c>
      <c r="N921" s="9">
        <f>_xlfn.XLOOKUP(F921,'Raw Data'!$I$4:$I$5000,'Raw Data'!$E$4:$E$5000,100,0)</f>
        <v>100</v>
      </c>
      <c r="O921" s="9" t="str">
        <f>IF(N921=0,_xlfn.XLOOKUP(F921,'Raw Data'!$I$4:$I$5000,'Raw Data'!$H$4:$H$5000,"",0),"")</f>
        <v/>
      </c>
      <c r="P921" s="9" t="str" cm="1">
        <f t="array" aca="1" ref="P921" ca="1">IF(INDIRECT(M921) = "","",INDIRECT(M921))</f>
        <v/>
      </c>
      <c r="Q921" s="359" t="s">
        <v>4381</v>
      </c>
    </row>
    <row r="922" spans="1:17" x14ac:dyDescent="0.35">
      <c r="A922" t="s">
        <v>1867</v>
      </c>
      <c r="E922" t="str">
        <f>_xlfn.XLOOKUP(F922,'Raw Data'!$I$4:$I$5000,'Raw Data'!$D$4:$D$5000,"*** Mnemonic not found ***",0)</f>
        <v>*** Mnemonic not found ***</v>
      </c>
      <c r="F922" t="str">
        <f t="shared" si="255"/>
        <v>SUCMRUR2SOVERG1_GRTR20__</v>
      </c>
      <c r="H922" s="9" t="s">
        <v>1137</v>
      </c>
      <c r="K922" s="9">
        <f t="shared" si="253"/>
        <v>266</v>
      </c>
      <c r="L922" s="9" t="str">
        <f t="shared" si="254"/>
        <v>C</v>
      </c>
      <c r="M922" s="9" t="str">
        <f t="shared" si="256"/>
        <v>Input!C266</v>
      </c>
      <c r="N922" s="9">
        <f>_xlfn.XLOOKUP(F922,'Raw Data'!$I$4:$I$5000,'Raw Data'!$E$4:$E$5000,100,0)</f>
        <v>100</v>
      </c>
      <c r="O922" s="9" t="str">
        <f>IF(N922=0,_xlfn.XLOOKUP(F922,'Raw Data'!$I$4:$I$5000,'Raw Data'!$H$4:$H$5000,"",0),"")</f>
        <v/>
      </c>
      <c r="P922" s="9" t="str" cm="1">
        <f t="array" aca="1" ref="P922" ca="1">IF(INDIRECT(M922) = "","",INDIRECT(M922))</f>
        <v/>
      </c>
      <c r="Q922" s="359" t="s">
        <v>4381</v>
      </c>
    </row>
    <row r="923" spans="1:17" x14ac:dyDescent="0.35">
      <c r="A923" t="s">
        <v>1872</v>
      </c>
      <c r="E923" t="str">
        <f>_xlfn.XLOOKUP(F923,'Raw Data'!$I$4:$I$5000,'Raw Data'!$D$4:$D$5000,"*** Mnemonic not found ***",0)</f>
        <v>*** Mnemonic not found ***</v>
      </c>
      <c r="F923" t="str">
        <f t="shared" si="255"/>
        <v>SUCMRUR2SOVERG2_GRTR20__</v>
      </c>
      <c r="H923" s="9" t="s">
        <v>1137</v>
      </c>
      <c r="K923" s="9">
        <f t="shared" si="253"/>
        <v>266</v>
      </c>
      <c r="L923" s="9" t="str">
        <f t="shared" si="254"/>
        <v>D</v>
      </c>
      <c r="M923" s="9" t="str">
        <f t="shared" si="256"/>
        <v>Input!D266</v>
      </c>
      <c r="N923" s="9">
        <f>_xlfn.XLOOKUP(F923,'Raw Data'!$I$4:$I$5000,'Raw Data'!$E$4:$E$5000,100,0)</f>
        <v>100</v>
      </c>
      <c r="O923" s="9" t="str">
        <f>IF(N923=0,_xlfn.XLOOKUP(F923,'Raw Data'!$I$4:$I$5000,'Raw Data'!$H$4:$H$5000,"",0),"")</f>
        <v/>
      </c>
      <c r="P923" s="9" t="str" cm="1">
        <f t="array" aca="1" ref="P923" ca="1">IF(INDIRECT(M923) = "","",INDIRECT(M923))</f>
        <v/>
      </c>
      <c r="Q923" s="359" t="s">
        <v>4381</v>
      </c>
    </row>
    <row r="924" spans="1:17" x14ac:dyDescent="0.35">
      <c r="A924" t="s">
        <v>1877</v>
      </c>
      <c r="E924" t="str">
        <f>_xlfn.XLOOKUP(F924,'Raw Data'!$I$4:$I$5000,'Raw Data'!$D$4:$D$5000,"*** Mnemonic not found ***",0)</f>
        <v>*** Mnemonic not found ***</v>
      </c>
      <c r="F924" t="str">
        <f t="shared" si="255"/>
        <v>SUCMRUR2SOVERG3_GRTR20__</v>
      </c>
      <c r="H924" s="9" t="s">
        <v>1137</v>
      </c>
      <c r="K924" s="9">
        <f t="shared" si="253"/>
        <v>266</v>
      </c>
      <c r="L924" s="9" t="str">
        <f t="shared" si="254"/>
        <v>E</v>
      </c>
      <c r="M924" s="9" t="str">
        <f t="shared" si="256"/>
        <v>Input!E266</v>
      </c>
      <c r="N924" s="9">
        <f>_xlfn.XLOOKUP(F924,'Raw Data'!$I$4:$I$5000,'Raw Data'!$E$4:$E$5000,100,0)</f>
        <v>100</v>
      </c>
      <c r="O924" s="9" t="str">
        <f>IF(N924=0,_xlfn.XLOOKUP(F924,'Raw Data'!$I$4:$I$5000,'Raw Data'!$H$4:$H$5000,"",0),"")</f>
        <v/>
      </c>
      <c r="P924" s="9" t="str" cm="1">
        <f t="array" aca="1" ref="P924" ca="1">IF(INDIRECT(M924) = "","",INDIRECT(M924))</f>
        <v/>
      </c>
      <c r="Q924" s="359" t="s">
        <v>4381</v>
      </c>
    </row>
    <row r="925" spans="1:17" x14ac:dyDescent="0.35">
      <c r="A925" t="s">
        <v>1882</v>
      </c>
      <c r="E925" t="str">
        <f>_xlfn.XLOOKUP(F925,'Raw Data'!$I$4:$I$5000,'Raw Data'!$D$4:$D$5000,"*** Mnemonic not found ***",0)</f>
        <v>*** Mnemonic not found ***</v>
      </c>
      <c r="F925" t="str">
        <f t="shared" si="255"/>
        <v>SUCMRUR2SOVERG4_GRTR20__</v>
      </c>
      <c r="H925" s="9" t="s">
        <v>1137</v>
      </c>
      <c r="K925" s="9">
        <f t="shared" si="253"/>
        <v>266</v>
      </c>
      <c r="L925" s="9" t="str">
        <f t="shared" si="254"/>
        <v>F</v>
      </c>
      <c r="M925" s="9" t="str">
        <f t="shared" si="256"/>
        <v>Input!F266</v>
      </c>
      <c r="N925" s="9">
        <f>_xlfn.XLOOKUP(F925,'Raw Data'!$I$4:$I$5000,'Raw Data'!$E$4:$E$5000,100,0)</f>
        <v>100</v>
      </c>
      <c r="O925" s="9" t="str">
        <f>IF(N925=0,_xlfn.XLOOKUP(F925,'Raw Data'!$I$4:$I$5000,'Raw Data'!$H$4:$H$5000,"",0),"")</f>
        <v/>
      </c>
      <c r="P925" s="9" t="str" cm="1">
        <f t="array" aca="1" ref="P925" ca="1">IF(INDIRECT(M925) = "","",INDIRECT(M925))</f>
        <v/>
      </c>
      <c r="Q925" s="359" t="s">
        <v>4381</v>
      </c>
    </row>
    <row r="926" spans="1:17" x14ac:dyDescent="0.35">
      <c r="A926" t="s">
        <v>1887</v>
      </c>
      <c r="E926" t="str">
        <f>_xlfn.XLOOKUP(F926,'Raw Data'!$I$4:$I$5000,'Raw Data'!$D$4:$D$5000,"*** Mnemonic not found ***",0)</f>
        <v>*** Mnemonic not found ***</v>
      </c>
      <c r="F926" t="str">
        <f t="shared" si="255"/>
        <v>SUCMRUR2SOVERG5_GRTR20__</v>
      </c>
      <c r="H926" s="9" t="s">
        <v>1137</v>
      </c>
      <c r="K926" s="9">
        <f t="shared" si="253"/>
        <v>266</v>
      </c>
      <c r="L926" s="9" t="str">
        <f t="shared" si="254"/>
        <v>G</v>
      </c>
      <c r="M926" s="9" t="str">
        <f t="shared" si="256"/>
        <v>Input!G266</v>
      </c>
      <c r="N926" s="9">
        <f>_xlfn.XLOOKUP(F926,'Raw Data'!$I$4:$I$5000,'Raw Data'!$E$4:$E$5000,100,0)</f>
        <v>100</v>
      </c>
      <c r="O926" s="9" t="str">
        <f>IF(N926=0,_xlfn.XLOOKUP(F926,'Raw Data'!$I$4:$I$5000,'Raw Data'!$H$4:$H$5000,"",0),"")</f>
        <v/>
      </c>
      <c r="P926" s="9" t="str" cm="1">
        <f t="array" aca="1" ref="P926" ca="1">IF(INDIRECT(M926) = "","",INDIRECT(M926))</f>
        <v/>
      </c>
      <c r="Q926" s="359" t="s">
        <v>4381</v>
      </c>
    </row>
    <row r="927" spans="1:17" x14ac:dyDescent="0.35">
      <c r="A927" t="s">
        <v>1892</v>
      </c>
      <c r="E927" t="str">
        <f>_xlfn.XLOOKUP(F927,'Raw Data'!$I$4:$I$5000,'Raw Data'!$D$4:$D$5000,"*** Mnemonic not found ***",0)</f>
        <v>*** Mnemonic not found ***</v>
      </c>
      <c r="F927" t="str">
        <f t="shared" si="255"/>
        <v>SUCMRUR2SOVERG6_GRTR20__</v>
      </c>
      <c r="H927" s="9" t="s">
        <v>1137</v>
      </c>
      <c r="K927" s="9">
        <f t="shared" si="253"/>
        <v>266</v>
      </c>
      <c r="L927" s="9" t="str">
        <f t="shared" si="254"/>
        <v>H</v>
      </c>
      <c r="M927" s="9" t="str">
        <f t="shared" si="256"/>
        <v>Input!H266</v>
      </c>
      <c r="N927" s="9">
        <f>_xlfn.XLOOKUP(F927,'Raw Data'!$I$4:$I$5000,'Raw Data'!$E$4:$E$5000,100,0)</f>
        <v>100</v>
      </c>
      <c r="O927" s="9" t="str">
        <f>IF(N927=0,_xlfn.XLOOKUP(F927,'Raw Data'!$I$4:$I$5000,'Raw Data'!$H$4:$H$5000,"",0),"")</f>
        <v/>
      </c>
      <c r="P927" s="9" t="str" cm="1">
        <f t="array" aca="1" ref="P927" ca="1">IF(INDIRECT(M927) = "","",INDIRECT(M927))</f>
        <v/>
      </c>
      <c r="Q927" s="359" t="s">
        <v>4381</v>
      </c>
    </row>
    <row r="928" spans="1:17" x14ac:dyDescent="0.35">
      <c r="A928" t="s">
        <v>1897</v>
      </c>
      <c r="E928" t="str">
        <f>_xlfn.XLOOKUP(F928,'Raw Data'!$I$4:$I$5000,'Raw Data'!$D$4:$D$5000,"*** Mnemonic not found ***",0)</f>
        <v>*** Mnemonic not found ***</v>
      </c>
      <c r="F928" t="str">
        <f t="shared" si="255"/>
        <v>SUCMRUR2SOVERG7_GRTR20__</v>
      </c>
      <c r="H928" s="9" t="s">
        <v>1137</v>
      </c>
      <c r="K928" s="9">
        <f t="shared" si="253"/>
        <v>266</v>
      </c>
      <c r="L928" s="9" t="str">
        <f t="shared" si="254"/>
        <v>I</v>
      </c>
      <c r="M928" s="9" t="str">
        <f t="shared" si="256"/>
        <v>Input!I266</v>
      </c>
      <c r="N928" s="9">
        <f>_xlfn.XLOOKUP(F928,'Raw Data'!$I$4:$I$5000,'Raw Data'!$E$4:$E$5000,100,0)</f>
        <v>100</v>
      </c>
      <c r="O928" s="9" t="str">
        <f>IF(N928=0,_xlfn.XLOOKUP(F928,'Raw Data'!$I$4:$I$5000,'Raw Data'!$H$4:$H$5000,"",0),"")</f>
        <v/>
      </c>
      <c r="P928" s="9" t="str" cm="1">
        <f t="array" aca="1" ref="P928" ca="1">IF(INDIRECT(M928) = "","",INDIRECT(M928))</f>
        <v/>
      </c>
      <c r="Q928" s="359" t="s">
        <v>4381</v>
      </c>
    </row>
    <row r="929" spans="1:17" x14ac:dyDescent="0.35">
      <c r="A929" t="s">
        <v>1902</v>
      </c>
      <c r="E929" t="str">
        <f>_xlfn.XLOOKUP(F929,'Raw Data'!$I$4:$I$5000,'Raw Data'!$D$4:$D$5000,"*** Mnemonic not found ***",0)</f>
        <v>*** Mnemonic not found ***</v>
      </c>
      <c r="F929" t="str">
        <f t="shared" si="255"/>
        <v>SUCMRUR2SOVERG8_GRTR20__</v>
      </c>
      <c r="H929" s="9" t="s">
        <v>1137</v>
      </c>
      <c r="K929" s="9">
        <f t="shared" si="253"/>
        <v>266</v>
      </c>
      <c r="L929" s="9" t="str">
        <f t="shared" si="254"/>
        <v>J</v>
      </c>
      <c r="M929" s="9" t="str">
        <f t="shared" si="256"/>
        <v>Input!J266</v>
      </c>
      <c r="N929" s="9">
        <f>_xlfn.XLOOKUP(F929,'Raw Data'!$I$4:$I$5000,'Raw Data'!$E$4:$E$5000,100,0)</f>
        <v>100</v>
      </c>
      <c r="O929" s="9" t="str">
        <f>IF(N929=0,_xlfn.XLOOKUP(F929,'Raw Data'!$I$4:$I$5000,'Raw Data'!$H$4:$H$5000,"",0),"")</f>
        <v/>
      </c>
      <c r="P929" s="9" t="str" cm="1">
        <f t="array" aca="1" ref="P929" ca="1">IF(INDIRECT(M929) = "","",INDIRECT(M929))</f>
        <v/>
      </c>
      <c r="Q929" s="359" t="s">
        <v>4381</v>
      </c>
    </row>
    <row r="930" spans="1:17" x14ac:dyDescent="0.35">
      <c r="A930" t="s">
        <v>1907</v>
      </c>
      <c r="E930" t="str">
        <f>_xlfn.XLOOKUP(F930,'Raw Data'!$I$4:$I$5000,'Raw Data'!$D$4:$D$5000,"*** Mnemonic not found ***",0)</f>
        <v>*** Mnemonic not found ***</v>
      </c>
      <c r="F930" t="str">
        <f t="shared" si="255"/>
        <v>SUCMRUR2SOVERG9_GRTR20__</v>
      </c>
      <c r="H930" s="9" t="s">
        <v>1137</v>
      </c>
      <c r="K930" s="9">
        <f t="shared" si="253"/>
        <v>266</v>
      </c>
      <c r="L930" s="9" t="str">
        <f t="shared" si="254"/>
        <v>K</v>
      </c>
      <c r="M930" s="9" t="str">
        <f t="shared" si="256"/>
        <v>Input!K266</v>
      </c>
      <c r="N930" s="9">
        <f>_xlfn.XLOOKUP(F930,'Raw Data'!$I$4:$I$5000,'Raw Data'!$E$4:$E$5000,100,0)</f>
        <v>100</v>
      </c>
      <c r="O930" s="9" t="str">
        <f>IF(N930=0,_xlfn.XLOOKUP(F930,'Raw Data'!$I$4:$I$5000,'Raw Data'!$H$4:$H$5000,"",0),"")</f>
        <v/>
      </c>
      <c r="P930" s="9" t="str" cm="1">
        <f t="array" aca="1" ref="P930" ca="1">IF(INDIRECT(M930) = "","",INDIRECT(M930))</f>
        <v/>
      </c>
      <c r="Q930" s="359" t="s">
        <v>4381</v>
      </c>
    </row>
    <row r="931" spans="1:17" x14ac:dyDescent="0.35">
      <c r="A931" t="s">
        <v>1912</v>
      </c>
      <c r="E931" t="str">
        <f>_xlfn.XLOOKUP(F931,'Raw Data'!$I$4:$I$5000,'Raw Data'!$D$4:$D$5000,"*** Mnemonic not found ***",0)</f>
        <v>*** Mnemonic not found ***</v>
      </c>
      <c r="F931" t="str">
        <f t="shared" si="255"/>
        <v>SUCMRUR2SOVERG10_GRTR20__</v>
      </c>
      <c r="H931" s="9" t="s">
        <v>1137</v>
      </c>
      <c r="K931" s="9">
        <f t="shared" si="253"/>
        <v>266</v>
      </c>
      <c r="L931" s="9" t="str">
        <f t="shared" si="254"/>
        <v>L</v>
      </c>
      <c r="M931" s="9" t="str">
        <f t="shared" si="256"/>
        <v>Input!L266</v>
      </c>
      <c r="N931" s="9">
        <f>_xlfn.XLOOKUP(F931,'Raw Data'!$I$4:$I$5000,'Raw Data'!$E$4:$E$5000,100,0)</f>
        <v>100</v>
      </c>
      <c r="O931" s="9" t="str">
        <f>IF(N931=0,_xlfn.XLOOKUP(F931,'Raw Data'!$I$4:$I$5000,'Raw Data'!$H$4:$H$5000,"",0),"")</f>
        <v/>
      </c>
      <c r="P931" s="9" t="str" cm="1">
        <f t="array" aca="1" ref="P931" ca="1">IF(INDIRECT(M931) = "","",INDIRECT(M931))</f>
        <v/>
      </c>
      <c r="Q931" s="359" t="s">
        <v>4381</v>
      </c>
    </row>
    <row r="932" spans="1:17" x14ac:dyDescent="0.35">
      <c r="A932" t="s">
        <v>1917</v>
      </c>
      <c r="E932" t="str">
        <f>_xlfn.XLOOKUP(F932,'Raw Data'!$I$4:$I$5000,'Raw Data'!$D$4:$D$5000,"*** Mnemonic not found ***",0)</f>
        <v>*** Mnemonic not found ***</v>
      </c>
      <c r="F932" t="str">
        <f t="shared" si="255"/>
        <v>SUCMRUR2SOVERGNA_GRTR20__</v>
      </c>
      <c r="H932" s="9" t="s">
        <v>1137</v>
      </c>
      <c r="K932" s="9">
        <f t="shared" si="253"/>
        <v>266</v>
      </c>
      <c r="L932" s="9" t="str">
        <f t="shared" si="254"/>
        <v>M</v>
      </c>
      <c r="M932" s="9" t="str">
        <f t="shared" si="256"/>
        <v>Input!M266</v>
      </c>
      <c r="N932" s="9">
        <f>_xlfn.XLOOKUP(F932,'Raw Data'!$I$4:$I$5000,'Raw Data'!$E$4:$E$5000,100,0)</f>
        <v>100</v>
      </c>
      <c r="O932" s="9" t="str">
        <f>IF(N932=0,_xlfn.XLOOKUP(F932,'Raw Data'!$I$4:$I$5000,'Raw Data'!$H$4:$H$5000,"",0),"")</f>
        <v/>
      </c>
      <c r="P932" s="9" t="str" cm="1">
        <f t="array" aca="1" ref="P932" ca="1">IF(INDIRECT(M932) = "","",INDIRECT(M932))</f>
        <v/>
      </c>
      <c r="Q932" s="359" t="s">
        <v>4381</v>
      </c>
    </row>
    <row r="933" spans="1:17" x14ac:dyDescent="0.35">
      <c r="A933" t="s">
        <v>1918</v>
      </c>
      <c r="E933" t="str">
        <f>_xlfn.XLOOKUP(F933,'Raw Data'!$I$4:$I$5000,'Raw Data'!$D$4:$D$5000,"*** Mnemonic not found ***",0)</f>
        <v>*** Mnemonic not found ***</v>
      </c>
      <c r="F933" t="str">
        <f t="shared" si="255"/>
        <v>SUCMRUR3SOVERG1_LESS1__</v>
      </c>
      <c r="H933" s="9" t="s">
        <v>1137</v>
      </c>
      <c r="I933" s="289">
        <f>ROW(section_bonds_sp_unrated_step_4)</f>
        <v>187</v>
      </c>
      <c r="J933" s="9">
        <f>J878+10</f>
        <v>85</v>
      </c>
      <c r="K933" s="9">
        <f>I933+J933</f>
        <v>272</v>
      </c>
      <c r="L933" s="9" t="str">
        <f>L922</f>
        <v>C</v>
      </c>
      <c r="M933" s="9" t="str">
        <f t="shared" si="256"/>
        <v>Input!C272</v>
      </c>
      <c r="N933" s="9">
        <f>_xlfn.XLOOKUP(F933,'Raw Data'!$I$4:$I$5000,'Raw Data'!$E$4:$E$5000,100,0)</f>
        <v>100</v>
      </c>
      <c r="O933" s="9" t="str">
        <f>IF(N933=0,_xlfn.XLOOKUP(F933,'Raw Data'!$I$4:$I$5000,'Raw Data'!$H$4:$H$5000,"",0),"")</f>
        <v/>
      </c>
      <c r="P933" s="9" t="str" cm="1">
        <f t="array" aca="1" ref="P933" ca="1">IF(INDIRECT(M933) = "","",INDIRECT(M933))</f>
        <v/>
      </c>
      <c r="Q933" s="359" t="s">
        <v>4381</v>
      </c>
    </row>
    <row r="934" spans="1:17" x14ac:dyDescent="0.35">
      <c r="A934" t="s">
        <v>1923</v>
      </c>
      <c r="E934" t="str">
        <f>_xlfn.XLOOKUP(F934,'Raw Data'!$I$4:$I$5000,'Raw Data'!$D$4:$D$5000,"*** Mnemonic not found ***",0)</f>
        <v>*** Mnemonic not found ***</v>
      </c>
      <c r="F934" t="str">
        <f t="shared" si="255"/>
        <v>SUCMRUR3SOVERG2_LESS1__</v>
      </c>
      <c r="H934" s="9" t="s">
        <v>1137</v>
      </c>
      <c r="K934" s="9">
        <f>K933</f>
        <v>272</v>
      </c>
      <c r="L934" s="9" t="str">
        <f t="shared" ref="L934:L943" si="257">L923</f>
        <v>D</v>
      </c>
      <c r="M934" s="9" t="str">
        <f t="shared" si="256"/>
        <v>Input!D272</v>
      </c>
      <c r="N934" s="9">
        <f>_xlfn.XLOOKUP(F934,'Raw Data'!$I$4:$I$5000,'Raw Data'!$E$4:$E$5000,100,0)</f>
        <v>100</v>
      </c>
      <c r="O934" s="9" t="str">
        <f>IF(N934=0,_xlfn.XLOOKUP(F934,'Raw Data'!$I$4:$I$5000,'Raw Data'!$H$4:$H$5000,"",0),"")</f>
        <v/>
      </c>
      <c r="P934" s="9" t="str" cm="1">
        <f t="array" aca="1" ref="P934" ca="1">IF(INDIRECT(M934) = "","",INDIRECT(M934))</f>
        <v/>
      </c>
      <c r="Q934" s="359" t="s">
        <v>4381</v>
      </c>
    </row>
    <row r="935" spans="1:17" x14ac:dyDescent="0.35">
      <c r="A935" t="s">
        <v>1928</v>
      </c>
      <c r="E935" t="str">
        <f>_xlfn.XLOOKUP(F935,'Raw Data'!$I$4:$I$5000,'Raw Data'!$D$4:$D$5000,"*** Mnemonic not found ***",0)</f>
        <v>*** Mnemonic not found ***</v>
      </c>
      <c r="F935" t="str">
        <f t="shared" si="255"/>
        <v>SUCMRUR3SOVERG3_LESS1__</v>
      </c>
      <c r="H935" s="9" t="s">
        <v>1137</v>
      </c>
      <c r="K935" s="9">
        <f t="shared" ref="K935:K943" si="258">K934</f>
        <v>272</v>
      </c>
      <c r="L935" s="9" t="str">
        <f t="shared" si="257"/>
        <v>E</v>
      </c>
      <c r="M935" s="9" t="str">
        <f t="shared" si="256"/>
        <v>Input!E272</v>
      </c>
      <c r="N935" s="9">
        <f>_xlfn.XLOOKUP(F935,'Raw Data'!$I$4:$I$5000,'Raw Data'!$E$4:$E$5000,100,0)</f>
        <v>100</v>
      </c>
      <c r="O935" s="9" t="str">
        <f>IF(N935=0,_xlfn.XLOOKUP(F935,'Raw Data'!$I$4:$I$5000,'Raw Data'!$H$4:$H$5000,"",0),"")</f>
        <v/>
      </c>
      <c r="P935" s="9" t="str" cm="1">
        <f t="array" aca="1" ref="P935" ca="1">IF(INDIRECT(M935) = "","",INDIRECT(M935))</f>
        <v/>
      </c>
      <c r="Q935" s="359" t="s">
        <v>4381</v>
      </c>
    </row>
    <row r="936" spans="1:17" x14ac:dyDescent="0.35">
      <c r="A936" t="s">
        <v>1933</v>
      </c>
      <c r="E936" t="str">
        <f>_xlfn.XLOOKUP(F936,'Raw Data'!$I$4:$I$5000,'Raw Data'!$D$4:$D$5000,"*** Mnemonic not found ***",0)</f>
        <v>*** Mnemonic not found ***</v>
      </c>
      <c r="F936" t="str">
        <f t="shared" si="255"/>
        <v>SUCMRUR3SOVERG4_LESS1__</v>
      </c>
      <c r="H936" s="9" t="s">
        <v>1137</v>
      </c>
      <c r="K936" s="9">
        <f t="shared" si="258"/>
        <v>272</v>
      </c>
      <c r="L936" s="9" t="str">
        <f t="shared" si="257"/>
        <v>F</v>
      </c>
      <c r="M936" s="9" t="str">
        <f t="shared" si="256"/>
        <v>Input!F272</v>
      </c>
      <c r="N936" s="9">
        <f>_xlfn.XLOOKUP(F936,'Raw Data'!$I$4:$I$5000,'Raw Data'!$E$4:$E$5000,100,0)</f>
        <v>100</v>
      </c>
      <c r="O936" s="9" t="str">
        <f>IF(N936=0,_xlfn.XLOOKUP(F936,'Raw Data'!$I$4:$I$5000,'Raw Data'!$H$4:$H$5000,"",0),"")</f>
        <v/>
      </c>
      <c r="P936" s="9" t="str" cm="1">
        <f t="array" aca="1" ref="P936" ca="1">IF(INDIRECT(M936) = "","",INDIRECT(M936))</f>
        <v/>
      </c>
      <c r="Q936" s="359" t="s">
        <v>4381</v>
      </c>
    </row>
    <row r="937" spans="1:17" x14ac:dyDescent="0.35">
      <c r="A937" t="s">
        <v>1938</v>
      </c>
      <c r="E937" t="str">
        <f>_xlfn.XLOOKUP(F937,'Raw Data'!$I$4:$I$5000,'Raw Data'!$D$4:$D$5000,"*** Mnemonic not found ***",0)</f>
        <v>*** Mnemonic not found ***</v>
      </c>
      <c r="F937" t="str">
        <f t="shared" si="255"/>
        <v>SUCMRUR3SOVERG5_LESS1__</v>
      </c>
      <c r="H937" s="9" t="s">
        <v>1137</v>
      </c>
      <c r="K937" s="9">
        <f t="shared" si="258"/>
        <v>272</v>
      </c>
      <c r="L937" s="9" t="str">
        <f t="shared" si="257"/>
        <v>G</v>
      </c>
      <c r="M937" s="9" t="str">
        <f t="shared" si="256"/>
        <v>Input!G272</v>
      </c>
      <c r="N937" s="9">
        <f>_xlfn.XLOOKUP(F937,'Raw Data'!$I$4:$I$5000,'Raw Data'!$E$4:$E$5000,100,0)</f>
        <v>100</v>
      </c>
      <c r="O937" s="9" t="str">
        <f>IF(N937=0,_xlfn.XLOOKUP(F937,'Raw Data'!$I$4:$I$5000,'Raw Data'!$H$4:$H$5000,"",0),"")</f>
        <v/>
      </c>
      <c r="P937" s="9" t="str" cm="1">
        <f t="array" aca="1" ref="P937" ca="1">IF(INDIRECT(M937) = "","",INDIRECT(M937))</f>
        <v/>
      </c>
      <c r="Q937" s="359" t="s">
        <v>4381</v>
      </c>
    </row>
    <row r="938" spans="1:17" x14ac:dyDescent="0.35">
      <c r="A938" t="s">
        <v>1943</v>
      </c>
      <c r="E938" t="str">
        <f>_xlfn.XLOOKUP(F938,'Raw Data'!$I$4:$I$5000,'Raw Data'!$D$4:$D$5000,"*** Mnemonic not found ***",0)</f>
        <v>*** Mnemonic not found ***</v>
      </c>
      <c r="F938" t="str">
        <f t="shared" si="255"/>
        <v>SUCMRUR3SOVERG6_LESS1__</v>
      </c>
      <c r="H938" s="9" t="s">
        <v>1137</v>
      </c>
      <c r="K938" s="9">
        <f t="shared" si="258"/>
        <v>272</v>
      </c>
      <c r="L938" s="9" t="str">
        <f t="shared" si="257"/>
        <v>H</v>
      </c>
      <c r="M938" s="9" t="str">
        <f t="shared" si="256"/>
        <v>Input!H272</v>
      </c>
      <c r="N938" s="9">
        <f>_xlfn.XLOOKUP(F938,'Raw Data'!$I$4:$I$5000,'Raw Data'!$E$4:$E$5000,100,0)</f>
        <v>100</v>
      </c>
      <c r="O938" s="9" t="str">
        <f>IF(N938=0,_xlfn.XLOOKUP(F938,'Raw Data'!$I$4:$I$5000,'Raw Data'!$H$4:$H$5000,"",0),"")</f>
        <v/>
      </c>
      <c r="P938" s="9" t="str" cm="1">
        <f t="array" aca="1" ref="P938" ca="1">IF(INDIRECT(M938) = "","",INDIRECT(M938))</f>
        <v/>
      </c>
      <c r="Q938" s="359" t="s">
        <v>4381</v>
      </c>
    </row>
    <row r="939" spans="1:17" x14ac:dyDescent="0.35">
      <c r="A939" t="s">
        <v>1948</v>
      </c>
      <c r="E939" t="str">
        <f>_xlfn.XLOOKUP(F939,'Raw Data'!$I$4:$I$5000,'Raw Data'!$D$4:$D$5000,"*** Mnemonic not found ***",0)</f>
        <v>*** Mnemonic not found ***</v>
      </c>
      <c r="F939" t="str">
        <f t="shared" si="255"/>
        <v>SUCMRUR3SOVERG7_LESS1__</v>
      </c>
      <c r="H939" s="9" t="s">
        <v>1137</v>
      </c>
      <c r="K939" s="9">
        <f t="shared" si="258"/>
        <v>272</v>
      </c>
      <c r="L939" s="9" t="str">
        <f t="shared" si="257"/>
        <v>I</v>
      </c>
      <c r="M939" s="9" t="str">
        <f t="shared" si="256"/>
        <v>Input!I272</v>
      </c>
      <c r="N939" s="9">
        <f>_xlfn.XLOOKUP(F939,'Raw Data'!$I$4:$I$5000,'Raw Data'!$E$4:$E$5000,100,0)</f>
        <v>100</v>
      </c>
      <c r="O939" s="9" t="str">
        <f>IF(N939=0,_xlfn.XLOOKUP(F939,'Raw Data'!$I$4:$I$5000,'Raw Data'!$H$4:$H$5000,"",0),"")</f>
        <v/>
      </c>
      <c r="P939" s="9" t="str" cm="1">
        <f t="array" aca="1" ref="P939" ca="1">IF(INDIRECT(M939) = "","",INDIRECT(M939))</f>
        <v/>
      </c>
      <c r="Q939" s="359" t="s">
        <v>4381</v>
      </c>
    </row>
    <row r="940" spans="1:17" x14ac:dyDescent="0.35">
      <c r="A940" t="s">
        <v>1953</v>
      </c>
      <c r="E940" t="str">
        <f>_xlfn.XLOOKUP(F940,'Raw Data'!$I$4:$I$5000,'Raw Data'!$D$4:$D$5000,"*** Mnemonic not found ***",0)</f>
        <v>*** Mnemonic not found ***</v>
      </c>
      <c r="F940" t="str">
        <f t="shared" si="255"/>
        <v>SUCMRUR3SOVERG8_LESS1__</v>
      </c>
      <c r="H940" s="9" t="s">
        <v>1137</v>
      </c>
      <c r="K940" s="9">
        <f t="shared" si="258"/>
        <v>272</v>
      </c>
      <c r="L940" s="9" t="str">
        <f t="shared" si="257"/>
        <v>J</v>
      </c>
      <c r="M940" s="9" t="str">
        <f t="shared" si="256"/>
        <v>Input!J272</v>
      </c>
      <c r="N940" s="9">
        <f>_xlfn.XLOOKUP(F940,'Raw Data'!$I$4:$I$5000,'Raw Data'!$E$4:$E$5000,100,0)</f>
        <v>100</v>
      </c>
      <c r="O940" s="9" t="str">
        <f>IF(N940=0,_xlfn.XLOOKUP(F940,'Raw Data'!$I$4:$I$5000,'Raw Data'!$H$4:$H$5000,"",0),"")</f>
        <v/>
      </c>
      <c r="P940" s="9" t="str" cm="1">
        <f t="array" aca="1" ref="P940" ca="1">IF(INDIRECT(M940) = "","",INDIRECT(M940))</f>
        <v/>
      </c>
      <c r="Q940" s="359" t="s">
        <v>4381</v>
      </c>
    </row>
    <row r="941" spans="1:17" x14ac:dyDescent="0.35">
      <c r="A941" t="s">
        <v>1958</v>
      </c>
      <c r="E941" t="str">
        <f>_xlfn.XLOOKUP(F941,'Raw Data'!$I$4:$I$5000,'Raw Data'!$D$4:$D$5000,"*** Mnemonic not found ***",0)</f>
        <v>*** Mnemonic not found ***</v>
      </c>
      <c r="F941" t="str">
        <f t="shared" si="255"/>
        <v>SUCMRUR3SOVERG9_LESS1__</v>
      </c>
      <c r="H941" s="9" t="s">
        <v>1137</v>
      </c>
      <c r="K941" s="9">
        <f t="shared" si="258"/>
        <v>272</v>
      </c>
      <c r="L941" s="9" t="str">
        <f t="shared" si="257"/>
        <v>K</v>
      </c>
      <c r="M941" s="9" t="str">
        <f t="shared" si="256"/>
        <v>Input!K272</v>
      </c>
      <c r="N941" s="9">
        <f>_xlfn.XLOOKUP(F941,'Raw Data'!$I$4:$I$5000,'Raw Data'!$E$4:$E$5000,100,0)</f>
        <v>100</v>
      </c>
      <c r="O941" s="9" t="str">
        <f>IF(N941=0,_xlfn.XLOOKUP(F941,'Raw Data'!$I$4:$I$5000,'Raw Data'!$H$4:$H$5000,"",0),"")</f>
        <v/>
      </c>
      <c r="P941" s="9" t="str" cm="1">
        <f t="array" aca="1" ref="P941" ca="1">IF(INDIRECT(M941) = "","",INDIRECT(M941))</f>
        <v/>
      </c>
      <c r="Q941" s="359" t="s">
        <v>4381</v>
      </c>
    </row>
    <row r="942" spans="1:17" x14ac:dyDescent="0.35">
      <c r="A942" t="s">
        <v>1963</v>
      </c>
      <c r="E942" t="str">
        <f>_xlfn.XLOOKUP(F942,'Raw Data'!$I$4:$I$5000,'Raw Data'!$D$4:$D$5000,"*** Mnemonic not found ***",0)</f>
        <v>*** Mnemonic not found ***</v>
      </c>
      <c r="F942" t="str">
        <f t="shared" si="255"/>
        <v>SUCMRUR3SOVERG10_LESS1__</v>
      </c>
      <c r="H942" s="9" t="s">
        <v>1137</v>
      </c>
      <c r="K942" s="9">
        <f t="shared" si="258"/>
        <v>272</v>
      </c>
      <c r="L942" s="9" t="str">
        <f t="shared" si="257"/>
        <v>L</v>
      </c>
      <c r="M942" s="9" t="str">
        <f t="shared" si="256"/>
        <v>Input!L272</v>
      </c>
      <c r="N942" s="9">
        <f>_xlfn.XLOOKUP(F942,'Raw Data'!$I$4:$I$5000,'Raw Data'!$E$4:$E$5000,100,0)</f>
        <v>100</v>
      </c>
      <c r="O942" s="9" t="str">
        <f>IF(N942=0,_xlfn.XLOOKUP(F942,'Raw Data'!$I$4:$I$5000,'Raw Data'!$H$4:$H$5000,"",0),"")</f>
        <v/>
      </c>
      <c r="P942" s="9" t="str" cm="1">
        <f t="array" aca="1" ref="P942" ca="1">IF(INDIRECT(M942) = "","",INDIRECT(M942))</f>
        <v/>
      </c>
      <c r="Q942" s="359" t="s">
        <v>4381</v>
      </c>
    </row>
    <row r="943" spans="1:17" x14ac:dyDescent="0.35">
      <c r="A943" t="s">
        <v>1968</v>
      </c>
      <c r="E943" t="str">
        <f>_xlfn.XLOOKUP(F943,'Raw Data'!$I$4:$I$5000,'Raw Data'!$D$4:$D$5000,"*** Mnemonic not found ***",0)</f>
        <v>*** Mnemonic not found ***</v>
      </c>
      <c r="F943" t="str">
        <f t="shared" si="255"/>
        <v>SUCMRUR3SOVERGNA_LESS1__</v>
      </c>
      <c r="H943" s="9" t="s">
        <v>1137</v>
      </c>
      <c r="K943" s="9">
        <f t="shared" si="258"/>
        <v>272</v>
      </c>
      <c r="L943" s="9" t="str">
        <f t="shared" si="257"/>
        <v>M</v>
      </c>
      <c r="M943" s="9" t="str">
        <f t="shared" si="256"/>
        <v>Input!M272</v>
      </c>
      <c r="N943" s="9">
        <f>_xlfn.XLOOKUP(F943,'Raw Data'!$I$4:$I$5000,'Raw Data'!$E$4:$E$5000,100,0)</f>
        <v>100</v>
      </c>
      <c r="O943" s="9" t="str">
        <f>IF(N943=0,_xlfn.XLOOKUP(F943,'Raw Data'!$I$4:$I$5000,'Raw Data'!$H$4:$H$5000,"",0),"")</f>
        <v/>
      </c>
      <c r="P943" s="9" t="str" cm="1">
        <f t="array" aca="1" ref="P943" ca="1">IF(INDIRECT(M943) = "","",INDIRECT(M943))</f>
        <v/>
      </c>
      <c r="Q943" s="359" t="s">
        <v>4381</v>
      </c>
    </row>
    <row r="944" spans="1:17" x14ac:dyDescent="0.35">
      <c r="A944" t="s">
        <v>1919</v>
      </c>
      <c r="E944" t="str">
        <f>_xlfn.XLOOKUP(F944,'Raw Data'!$I$4:$I$5000,'Raw Data'!$D$4:$D$5000,"*** Mnemonic not found ***",0)</f>
        <v>*** Mnemonic not found ***</v>
      </c>
      <c r="F944" t="str">
        <f t="shared" si="255"/>
        <v>SUCMRUR3SOVERG1_1TO5__</v>
      </c>
      <c r="H944" s="9" t="s">
        <v>1137</v>
      </c>
      <c r="K944" s="9">
        <f>K933+1</f>
        <v>273</v>
      </c>
      <c r="L944" s="9" t="str">
        <f>L933</f>
        <v>C</v>
      </c>
      <c r="M944" s="9" t="str">
        <f t="shared" si="256"/>
        <v>Input!C273</v>
      </c>
      <c r="N944" s="9">
        <f>_xlfn.XLOOKUP(F944,'Raw Data'!$I$4:$I$5000,'Raw Data'!$E$4:$E$5000,100,0)</f>
        <v>100</v>
      </c>
      <c r="O944" s="9" t="str">
        <f>IF(N944=0,_xlfn.XLOOKUP(F944,'Raw Data'!$I$4:$I$5000,'Raw Data'!$H$4:$H$5000,"",0),"")</f>
        <v/>
      </c>
      <c r="P944" s="9" t="str" cm="1">
        <f t="array" aca="1" ref="P944" ca="1">IF(INDIRECT(M944) = "","",INDIRECT(M944))</f>
        <v/>
      </c>
      <c r="Q944" s="359" t="s">
        <v>4381</v>
      </c>
    </row>
    <row r="945" spans="1:17" x14ac:dyDescent="0.35">
      <c r="A945" t="s">
        <v>1924</v>
      </c>
      <c r="E945" t="str">
        <f>_xlfn.XLOOKUP(F945,'Raw Data'!$I$4:$I$5000,'Raw Data'!$D$4:$D$5000,"*** Mnemonic not found ***",0)</f>
        <v>*** Mnemonic not found ***</v>
      </c>
      <c r="F945" t="str">
        <f t="shared" si="255"/>
        <v>SUCMRUR3SOVERG2_1TO5__</v>
      </c>
      <c r="H945" s="9" t="s">
        <v>1137</v>
      </c>
      <c r="K945" s="9">
        <f t="shared" ref="K945:K987" si="259">K934+1</f>
        <v>273</v>
      </c>
      <c r="L945" s="9" t="str">
        <f t="shared" ref="L945:L987" si="260">L934</f>
        <v>D</v>
      </c>
      <c r="M945" s="9" t="str">
        <f t="shared" si="256"/>
        <v>Input!D273</v>
      </c>
      <c r="N945" s="9">
        <f>_xlfn.XLOOKUP(F945,'Raw Data'!$I$4:$I$5000,'Raw Data'!$E$4:$E$5000,100,0)</f>
        <v>100</v>
      </c>
      <c r="O945" s="9" t="str">
        <f>IF(N945=0,_xlfn.XLOOKUP(F945,'Raw Data'!$I$4:$I$5000,'Raw Data'!$H$4:$H$5000,"",0),"")</f>
        <v/>
      </c>
      <c r="P945" s="9" t="str" cm="1">
        <f t="array" aca="1" ref="P945" ca="1">IF(INDIRECT(M945) = "","",INDIRECT(M945))</f>
        <v/>
      </c>
      <c r="Q945" s="359" t="s">
        <v>4381</v>
      </c>
    </row>
    <row r="946" spans="1:17" x14ac:dyDescent="0.35">
      <c r="A946" t="s">
        <v>1929</v>
      </c>
      <c r="E946" t="str">
        <f>_xlfn.XLOOKUP(F946,'Raw Data'!$I$4:$I$5000,'Raw Data'!$D$4:$D$5000,"*** Mnemonic not found ***",0)</f>
        <v>*** Mnemonic not found ***</v>
      </c>
      <c r="F946" t="str">
        <f t="shared" si="255"/>
        <v>SUCMRUR3SOVERG3_1TO5__</v>
      </c>
      <c r="H946" s="9" t="s">
        <v>1137</v>
      </c>
      <c r="K946" s="9">
        <f t="shared" si="259"/>
        <v>273</v>
      </c>
      <c r="L946" s="9" t="str">
        <f t="shared" si="260"/>
        <v>E</v>
      </c>
      <c r="M946" s="9" t="str">
        <f t="shared" si="256"/>
        <v>Input!E273</v>
      </c>
      <c r="N946" s="9">
        <f>_xlfn.XLOOKUP(F946,'Raw Data'!$I$4:$I$5000,'Raw Data'!$E$4:$E$5000,100,0)</f>
        <v>100</v>
      </c>
      <c r="O946" s="9" t="str">
        <f>IF(N946=0,_xlfn.XLOOKUP(F946,'Raw Data'!$I$4:$I$5000,'Raw Data'!$H$4:$H$5000,"",0),"")</f>
        <v/>
      </c>
      <c r="P946" s="9" t="str" cm="1">
        <f t="array" aca="1" ref="P946" ca="1">IF(INDIRECT(M946) = "","",INDIRECT(M946))</f>
        <v/>
      </c>
      <c r="Q946" s="359" t="s">
        <v>4381</v>
      </c>
    </row>
    <row r="947" spans="1:17" x14ac:dyDescent="0.35">
      <c r="A947" t="s">
        <v>1934</v>
      </c>
      <c r="E947" t="str">
        <f>_xlfn.XLOOKUP(F947,'Raw Data'!$I$4:$I$5000,'Raw Data'!$D$4:$D$5000,"*** Mnemonic not found ***",0)</f>
        <v>*** Mnemonic not found ***</v>
      </c>
      <c r="F947" t="str">
        <f t="shared" si="255"/>
        <v>SUCMRUR3SOVERG4_1TO5__</v>
      </c>
      <c r="H947" s="9" t="s">
        <v>1137</v>
      </c>
      <c r="K947" s="9">
        <f t="shared" si="259"/>
        <v>273</v>
      </c>
      <c r="L947" s="9" t="str">
        <f t="shared" si="260"/>
        <v>F</v>
      </c>
      <c r="M947" s="9" t="str">
        <f t="shared" si="256"/>
        <v>Input!F273</v>
      </c>
      <c r="N947" s="9">
        <f>_xlfn.XLOOKUP(F947,'Raw Data'!$I$4:$I$5000,'Raw Data'!$E$4:$E$5000,100,0)</f>
        <v>100</v>
      </c>
      <c r="O947" s="9" t="str">
        <f>IF(N947=0,_xlfn.XLOOKUP(F947,'Raw Data'!$I$4:$I$5000,'Raw Data'!$H$4:$H$5000,"",0),"")</f>
        <v/>
      </c>
      <c r="P947" s="9" t="str" cm="1">
        <f t="array" aca="1" ref="P947" ca="1">IF(INDIRECT(M947) = "","",INDIRECT(M947))</f>
        <v/>
      </c>
      <c r="Q947" s="359" t="s">
        <v>4381</v>
      </c>
    </row>
    <row r="948" spans="1:17" x14ac:dyDescent="0.35">
      <c r="A948" t="s">
        <v>1939</v>
      </c>
      <c r="E948" t="str">
        <f>_xlfn.XLOOKUP(F948,'Raw Data'!$I$4:$I$5000,'Raw Data'!$D$4:$D$5000,"*** Mnemonic not found ***",0)</f>
        <v>*** Mnemonic not found ***</v>
      </c>
      <c r="F948" t="str">
        <f t="shared" si="255"/>
        <v>SUCMRUR3SOVERG5_1TO5__</v>
      </c>
      <c r="H948" s="9" t="s">
        <v>1137</v>
      </c>
      <c r="K948" s="9">
        <f t="shared" si="259"/>
        <v>273</v>
      </c>
      <c r="L948" s="9" t="str">
        <f t="shared" si="260"/>
        <v>G</v>
      </c>
      <c r="M948" s="9" t="str">
        <f t="shared" si="256"/>
        <v>Input!G273</v>
      </c>
      <c r="N948" s="9">
        <f>_xlfn.XLOOKUP(F948,'Raw Data'!$I$4:$I$5000,'Raw Data'!$E$4:$E$5000,100,0)</f>
        <v>100</v>
      </c>
      <c r="O948" s="9" t="str">
        <f>IF(N948=0,_xlfn.XLOOKUP(F948,'Raw Data'!$I$4:$I$5000,'Raw Data'!$H$4:$H$5000,"",0),"")</f>
        <v/>
      </c>
      <c r="P948" s="9" t="str" cm="1">
        <f t="array" aca="1" ref="P948" ca="1">IF(INDIRECT(M948) = "","",INDIRECT(M948))</f>
        <v/>
      </c>
      <c r="Q948" s="359" t="s">
        <v>4381</v>
      </c>
    </row>
    <row r="949" spans="1:17" x14ac:dyDescent="0.35">
      <c r="A949" t="s">
        <v>1944</v>
      </c>
      <c r="E949" t="str">
        <f>_xlfn.XLOOKUP(F949,'Raw Data'!$I$4:$I$5000,'Raw Data'!$D$4:$D$5000,"*** Mnemonic not found ***",0)</f>
        <v>*** Mnemonic not found ***</v>
      </c>
      <c r="F949" t="str">
        <f t="shared" si="255"/>
        <v>SUCMRUR3SOVERG6_1TO5__</v>
      </c>
      <c r="H949" s="9" t="s">
        <v>1137</v>
      </c>
      <c r="K949" s="9">
        <f t="shared" si="259"/>
        <v>273</v>
      </c>
      <c r="L949" s="9" t="str">
        <f t="shared" si="260"/>
        <v>H</v>
      </c>
      <c r="M949" s="9" t="str">
        <f t="shared" si="256"/>
        <v>Input!H273</v>
      </c>
      <c r="N949" s="9">
        <f>_xlfn.XLOOKUP(F949,'Raw Data'!$I$4:$I$5000,'Raw Data'!$E$4:$E$5000,100,0)</f>
        <v>100</v>
      </c>
      <c r="O949" s="9" t="str">
        <f>IF(N949=0,_xlfn.XLOOKUP(F949,'Raw Data'!$I$4:$I$5000,'Raw Data'!$H$4:$H$5000,"",0),"")</f>
        <v/>
      </c>
      <c r="P949" s="9" t="str" cm="1">
        <f t="array" aca="1" ref="P949" ca="1">IF(INDIRECT(M949) = "","",INDIRECT(M949))</f>
        <v/>
      </c>
      <c r="Q949" s="359" t="s">
        <v>4381</v>
      </c>
    </row>
    <row r="950" spans="1:17" x14ac:dyDescent="0.35">
      <c r="A950" t="s">
        <v>1949</v>
      </c>
      <c r="E950" t="str">
        <f>_xlfn.XLOOKUP(F950,'Raw Data'!$I$4:$I$5000,'Raw Data'!$D$4:$D$5000,"*** Mnemonic not found ***",0)</f>
        <v>*** Mnemonic not found ***</v>
      </c>
      <c r="F950" t="str">
        <f t="shared" si="255"/>
        <v>SUCMRUR3SOVERG7_1TO5__</v>
      </c>
      <c r="H950" s="9" t="s">
        <v>1137</v>
      </c>
      <c r="K950" s="9">
        <f t="shared" si="259"/>
        <v>273</v>
      </c>
      <c r="L950" s="9" t="str">
        <f t="shared" si="260"/>
        <v>I</v>
      </c>
      <c r="M950" s="9" t="str">
        <f t="shared" si="256"/>
        <v>Input!I273</v>
      </c>
      <c r="N950" s="9">
        <f>_xlfn.XLOOKUP(F950,'Raw Data'!$I$4:$I$5000,'Raw Data'!$E$4:$E$5000,100,0)</f>
        <v>100</v>
      </c>
      <c r="O950" s="9" t="str">
        <f>IF(N950=0,_xlfn.XLOOKUP(F950,'Raw Data'!$I$4:$I$5000,'Raw Data'!$H$4:$H$5000,"",0),"")</f>
        <v/>
      </c>
      <c r="P950" s="9" t="str" cm="1">
        <f t="array" aca="1" ref="P950" ca="1">IF(INDIRECT(M950) = "","",INDIRECT(M950))</f>
        <v/>
      </c>
      <c r="Q950" s="359" t="s">
        <v>4381</v>
      </c>
    </row>
    <row r="951" spans="1:17" x14ac:dyDescent="0.35">
      <c r="A951" t="s">
        <v>1954</v>
      </c>
      <c r="E951" t="str">
        <f>_xlfn.XLOOKUP(F951,'Raw Data'!$I$4:$I$5000,'Raw Data'!$D$4:$D$5000,"*** Mnemonic not found ***",0)</f>
        <v>*** Mnemonic not found ***</v>
      </c>
      <c r="F951" t="str">
        <f t="shared" si="255"/>
        <v>SUCMRUR3SOVERG8_1TO5__</v>
      </c>
      <c r="H951" s="9" t="s">
        <v>1137</v>
      </c>
      <c r="K951" s="9">
        <f t="shared" si="259"/>
        <v>273</v>
      </c>
      <c r="L951" s="9" t="str">
        <f t="shared" si="260"/>
        <v>J</v>
      </c>
      <c r="M951" s="9" t="str">
        <f t="shared" si="256"/>
        <v>Input!J273</v>
      </c>
      <c r="N951" s="9">
        <f>_xlfn.XLOOKUP(F951,'Raw Data'!$I$4:$I$5000,'Raw Data'!$E$4:$E$5000,100,0)</f>
        <v>100</v>
      </c>
      <c r="O951" s="9" t="str">
        <f>IF(N951=0,_xlfn.XLOOKUP(F951,'Raw Data'!$I$4:$I$5000,'Raw Data'!$H$4:$H$5000,"",0),"")</f>
        <v/>
      </c>
      <c r="P951" s="9" t="str" cm="1">
        <f t="array" aca="1" ref="P951" ca="1">IF(INDIRECT(M951) = "","",INDIRECT(M951))</f>
        <v/>
      </c>
      <c r="Q951" s="359" t="s">
        <v>4381</v>
      </c>
    </row>
    <row r="952" spans="1:17" x14ac:dyDescent="0.35">
      <c r="A952" t="s">
        <v>1959</v>
      </c>
      <c r="E952" t="str">
        <f>_xlfn.XLOOKUP(F952,'Raw Data'!$I$4:$I$5000,'Raw Data'!$D$4:$D$5000,"*** Mnemonic not found ***",0)</f>
        <v>*** Mnemonic not found ***</v>
      </c>
      <c r="F952" t="str">
        <f t="shared" si="255"/>
        <v>SUCMRUR3SOVERG9_1TO5__</v>
      </c>
      <c r="H952" s="9" t="s">
        <v>1137</v>
      </c>
      <c r="K952" s="9">
        <f t="shared" si="259"/>
        <v>273</v>
      </c>
      <c r="L952" s="9" t="str">
        <f t="shared" si="260"/>
        <v>K</v>
      </c>
      <c r="M952" s="9" t="str">
        <f t="shared" si="256"/>
        <v>Input!K273</v>
      </c>
      <c r="N952" s="9">
        <f>_xlfn.XLOOKUP(F952,'Raw Data'!$I$4:$I$5000,'Raw Data'!$E$4:$E$5000,100,0)</f>
        <v>100</v>
      </c>
      <c r="O952" s="9" t="str">
        <f>IF(N952=0,_xlfn.XLOOKUP(F952,'Raw Data'!$I$4:$I$5000,'Raw Data'!$H$4:$H$5000,"",0),"")</f>
        <v/>
      </c>
      <c r="P952" s="9" t="str" cm="1">
        <f t="array" aca="1" ref="P952" ca="1">IF(INDIRECT(M952) = "","",INDIRECT(M952))</f>
        <v/>
      </c>
      <c r="Q952" s="359" t="s">
        <v>4381</v>
      </c>
    </row>
    <row r="953" spans="1:17" x14ac:dyDescent="0.35">
      <c r="A953" t="s">
        <v>1964</v>
      </c>
      <c r="E953" t="str">
        <f>_xlfn.XLOOKUP(F953,'Raw Data'!$I$4:$I$5000,'Raw Data'!$D$4:$D$5000,"*** Mnemonic not found ***",0)</f>
        <v>*** Mnemonic not found ***</v>
      </c>
      <c r="F953" t="str">
        <f t="shared" si="255"/>
        <v>SUCMRUR3SOVERG10_1TO5__</v>
      </c>
      <c r="H953" s="9" t="s">
        <v>1137</v>
      </c>
      <c r="K953" s="9">
        <f t="shared" si="259"/>
        <v>273</v>
      </c>
      <c r="L953" s="9" t="str">
        <f t="shared" si="260"/>
        <v>L</v>
      </c>
      <c r="M953" s="9" t="str">
        <f t="shared" si="256"/>
        <v>Input!L273</v>
      </c>
      <c r="N953" s="9">
        <f>_xlfn.XLOOKUP(F953,'Raw Data'!$I$4:$I$5000,'Raw Data'!$E$4:$E$5000,100,0)</f>
        <v>100</v>
      </c>
      <c r="O953" s="9" t="str">
        <f>IF(N953=0,_xlfn.XLOOKUP(F953,'Raw Data'!$I$4:$I$5000,'Raw Data'!$H$4:$H$5000,"",0),"")</f>
        <v/>
      </c>
      <c r="P953" s="9" t="str" cm="1">
        <f t="array" aca="1" ref="P953" ca="1">IF(INDIRECT(M953) = "","",INDIRECT(M953))</f>
        <v/>
      </c>
      <c r="Q953" s="359" t="s">
        <v>4381</v>
      </c>
    </row>
    <row r="954" spans="1:17" x14ac:dyDescent="0.35">
      <c r="A954" t="s">
        <v>1969</v>
      </c>
      <c r="E954" t="str">
        <f>_xlfn.XLOOKUP(F954,'Raw Data'!$I$4:$I$5000,'Raw Data'!$D$4:$D$5000,"*** Mnemonic not found ***",0)</f>
        <v>*** Mnemonic not found ***</v>
      </c>
      <c r="F954" t="str">
        <f t="shared" si="255"/>
        <v>SUCMRUR3SOVERGNA_1TO5__</v>
      </c>
      <c r="H954" s="9" t="s">
        <v>1137</v>
      </c>
      <c r="K954" s="9">
        <f t="shared" si="259"/>
        <v>273</v>
      </c>
      <c r="L954" s="9" t="str">
        <f t="shared" si="260"/>
        <v>M</v>
      </c>
      <c r="M954" s="9" t="str">
        <f t="shared" si="256"/>
        <v>Input!M273</v>
      </c>
      <c r="N954" s="9">
        <f>_xlfn.XLOOKUP(F954,'Raw Data'!$I$4:$I$5000,'Raw Data'!$E$4:$E$5000,100,0)</f>
        <v>100</v>
      </c>
      <c r="O954" s="9" t="str">
        <f>IF(N954=0,_xlfn.XLOOKUP(F954,'Raw Data'!$I$4:$I$5000,'Raw Data'!$H$4:$H$5000,"",0),"")</f>
        <v/>
      </c>
      <c r="P954" s="9" t="str" cm="1">
        <f t="array" aca="1" ref="P954" ca="1">IF(INDIRECT(M954) = "","",INDIRECT(M954))</f>
        <v/>
      </c>
      <c r="Q954" s="359" t="s">
        <v>4381</v>
      </c>
    </row>
    <row r="955" spans="1:17" x14ac:dyDescent="0.35">
      <c r="A955" t="s">
        <v>1920</v>
      </c>
      <c r="E955" t="str">
        <f>_xlfn.XLOOKUP(F955,'Raw Data'!$I$4:$I$5000,'Raw Data'!$D$4:$D$5000,"*** Mnemonic not found ***",0)</f>
        <v>*** Mnemonic not found ***</v>
      </c>
      <c r="F955" t="str">
        <f t="shared" si="255"/>
        <v>SUCMRUR3SOVERG1_5TO10__</v>
      </c>
      <c r="H955" s="9" t="s">
        <v>1137</v>
      </c>
      <c r="K955" s="9">
        <f t="shared" si="259"/>
        <v>274</v>
      </c>
      <c r="L955" s="9" t="str">
        <f t="shared" si="260"/>
        <v>C</v>
      </c>
      <c r="M955" s="9" t="str">
        <f t="shared" si="256"/>
        <v>Input!C274</v>
      </c>
      <c r="N955" s="9">
        <f>_xlfn.XLOOKUP(F955,'Raw Data'!$I$4:$I$5000,'Raw Data'!$E$4:$E$5000,100,0)</f>
        <v>100</v>
      </c>
      <c r="O955" s="9" t="str">
        <f>IF(N955=0,_xlfn.XLOOKUP(F955,'Raw Data'!$I$4:$I$5000,'Raw Data'!$H$4:$H$5000,"",0),"")</f>
        <v/>
      </c>
      <c r="P955" s="9" t="str" cm="1">
        <f t="array" aca="1" ref="P955" ca="1">IF(INDIRECT(M955) = "","",INDIRECT(M955))</f>
        <v/>
      </c>
      <c r="Q955" s="359" t="s">
        <v>4381</v>
      </c>
    </row>
    <row r="956" spans="1:17" x14ac:dyDescent="0.35">
      <c r="A956" t="s">
        <v>1925</v>
      </c>
      <c r="E956" t="str">
        <f>_xlfn.XLOOKUP(F956,'Raw Data'!$I$4:$I$5000,'Raw Data'!$D$4:$D$5000,"*** Mnemonic not found ***",0)</f>
        <v>*** Mnemonic not found ***</v>
      </c>
      <c r="F956" t="str">
        <f t="shared" si="255"/>
        <v>SUCMRUR3SOVERG2_5TO10__</v>
      </c>
      <c r="H956" s="9" t="s">
        <v>1137</v>
      </c>
      <c r="K956" s="9">
        <f t="shared" si="259"/>
        <v>274</v>
      </c>
      <c r="L956" s="9" t="str">
        <f t="shared" si="260"/>
        <v>D</v>
      </c>
      <c r="M956" s="9" t="str">
        <f t="shared" si="256"/>
        <v>Input!D274</v>
      </c>
      <c r="N956" s="9">
        <f>_xlfn.XLOOKUP(F956,'Raw Data'!$I$4:$I$5000,'Raw Data'!$E$4:$E$5000,100,0)</f>
        <v>100</v>
      </c>
      <c r="O956" s="9" t="str">
        <f>IF(N956=0,_xlfn.XLOOKUP(F956,'Raw Data'!$I$4:$I$5000,'Raw Data'!$H$4:$H$5000,"",0),"")</f>
        <v/>
      </c>
      <c r="P956" s="9" t="str" cm="1">
        <f t="array" aca="1" ref="P956" ca="1">IF(INDIRECT(M956) = "","",INDIRECT(M956))</f>
        <v/>
      </c>
      <c r="Q956" s="359" t="s">
        <v>4381</v>
      </c>
    </row>
    <row r="957" spans="1:17" x14ac:dyDescent="0.35">
      <c r="A957" t="s">
        <v>1930</v>
      </c>
      <c r="E957" t="str">
        <f>_xlfn.XLOOKUP(F957,'Raw Data'!$I$4:$I$5000,'Raw Data'!$D$4:$D$5000,"*** Mnemonic not found ***",0)</f>
        <v>*** Mnemonic not found ***</v>
      </c>
      <c r="F957" t="str">
        <f t="shared" si="255"/>
        <v>SUCMRUR3SOVERG3_5TO10__</v>
      </c>
      <c r="H957" s="9" t="s">
        <v>1137</v>
      </c>
      <c r="K957" s="9">
        <f t="shared" si="259"/>
        <v>274</v>
      </c>
      <c r="L957" s="9" t="str">
        <f t="shared" si="260"/>
        <v>E</v>
      </c>
      <c r="M957" s="9" t="str">
        <f t="shared" si="256"/>
        <v>Input!E274</v>
      </c>
      <c r="N957" s="9">
        <f>_xlfn.XLOOKUP(F957,'Raw Data'!$I$4:$I$5000,'Raw Data'!$E$4:$E$5000,100,0)</f>
        <v>100</v>
      </c>
      <c r="O957" s="9" t="str">
        <f>IF(N957=0,_xlfn.XLOOKUP(F957,'Raw Data'!$I$4:$I$5000,'Raw Data'!$H$4:$H$5000,"",0),"")</f>
        <v/>
      </c>
      <c r="P957" s="9" t="str" cm="1">
        <f t="array" aca="1" ref="P957" ca="1">IF(INDIRECT(M957) = "","",INDIRECT(M957))</f>
        <v/>
      </c>
      <c r="Q957" s="359" t="s">
        <v>4381</v>
      </c>
    </row>
    <row r="958" spans="1:17" x14ac:dyDescent="0.35">
      <c r="A958" t="s">
        <v>1935</v>
      </c>
      <c r="E958" t="str">
        <f>_xlfn.XLOOKUP(F958,'Raw Data'!$I$4:$I$5000,'Raw Data'!$D$4:$D$5000,"*** Mnemonic not found ***",0)</f>
        <v>*** Mnemonic not found ***</v>
      </c>
      <c r="F958" t="str">
        <f t="shared" si="255"/>
        <v>SUCMRUR3SOVERG4_5TO10__</v>
      </c>
      <c r="H958" s="9" t="s">
        <v>1137</v>
      </c>
      <c r="K958" s="9">
        <f t="shared" si="259"/>
        <v>274</v>
      </c>
      <c r="L958" s="9" t="str">
        <f t="shared" si="260"/>
        <v>F</v>
      </c>
      <c r="M958" s="9" t="str">
        <f t="shared" si="256"/>
        <v>Input!F274</v>
      </c>
      <c r="N958" s="9">
        <f>_xlfn.XLOOKUP(F958,'Raw Data'!$I$4:$I$5000,'Raw Data'!$E$4:$E$5000,100,0)</f>
        <v>100</v>
      </c>
      <c r="O958" s="9" t="str">
        <f>IF(N958=0,_xlfn.XLOOKUP(F958,'Raw Data'!$I$4:$I$5000,'Raw Data'!$H$4:$H$5000,"",0),"")</f>
        <v/>
      </c>
      <c r="P958" s="9" t="str" cm="1">
        <f t="array" aca="1" ref="P958" ca="1">IF(INDIRECT(M958) = "","",INDIRECT(M958))</f>
        <v/>
      </c>
      <c r="Q958" s="359" t="s">
        <v>4381</v>
      </c>
    </row>
    <row r="959" spans="1:17" x14ac:dyDescent="0.35">
      <c r="A959" t="s">
        <v>1940</v>
      </c>
      <c r="E959" t="str">
        <f>_xlfn.XLOOKUP(F959,'Raw Data'!$I$4:$I$5000,'Raw Data'!$D$4:$D$5000,"*** Mnemonic not found ***",0)</f>
        <v>*** Mnemonic not found ***</v>
      </c>
      <c r="F959" t="str">
        <f t="shared" si="255"/>
        <v>SUCMRUR3SOVERG5_5TO10__</v>
      </c>
      <c r="H959" s="9" t="s">
        <v>1137</v>
      </c>
      <c r="K959" s="9">
        <f t="shared" si="259"/>
        <v>274</v>
      </c>
      <c r="L959" s="9" t="str">
        <f t="shared" si="260"/>
        <v>G</v>
      </c>
      <c r="M959" s="9" t="str">
        <f t="shared" si="256"/>
        <v>Input!G274</v>
      </c>
      <c r="N959" s="9">
        <f>_xlfn.XLOOKUP(F959,'Raw Data'!$I$4:$I$5000,'Raw Data'!$E$4:$E$5000,100,0)</f>
        <v>100</v>
      </c>
      <c r="O959" s="9" t="str">
        <f>IF(N959=0,_xlfn.XLOOKUP(F959,'Raw Data'!$I$4:$I$5000,'Raw Data'!$H$4:$H$5000,"",0),"")</f>
        <v/>
      </c>
      <c r="P959" s="9" t="str" cm="1">
        <f t="array" aca="1" ref="P959" ca="1">IF(INDIRECT(M959) = "","",INDIRECT(M959))</f>
        <v/>
      </c>
      <c r="Q959" s="359" t="s">
        <v>4381</v>
      </c>
    </row>
    <row r="960" spans="1:17" x14ac:dyDescent="0.35">
      <c r="A960" t="s">
        <v>1945</v>
      </c>
      <c r="E960" t="str">
        <f>_xlfn.XLOOKUP(F960,'Raw Data'!$I$4:$I$5000,'Raw Data'!$D$4:$D$5000,"*** Mnemonic not found ***",0)</f>
        <v>*** Mnemonic not found ***</v>
      </c>
      <c r="F960" t="str">
        <f t="shared" si="255"/>
        <v>SUCMRUR3SOVERG6_5TO10__</v>
      </c>
      <c r="H960" s="9" t="s">
        <v>1137</v>
      </c>
      <c r="K960" s="9">
        <f t="shared" si="259"/>
        <v>274</v>
      </c>
      <c r="L960" s="9" t="str">
        <f t="shared" si="260"/>
        <v>H</v>
      </c>
      <c r="M960" s="9" t="str">
        <f t="shared" si="256"/>
        <v>Input!H274</v>
      </c>
      <c r="N960" s="9">
        <f>_xlfn.XLOOKUP(F960,'Raw Data'!$I$4:$I$5000,'Raw Data'!$E$4:$E$5000,100,0)</f>
        <v>100</v>
      </c>
      <c r="O960" s="9" t="str">
        <f>IF(N960=0,_xlfn.XLOOKUP(F960,'Raw Data'!$I$4:$I$5000,'Raw Data'!$H$4:$H$5000,"",0),"")</f>
        <v/>
      </c>
      <c r="P960" s="9" t="str" cm="1">
        <f t="array" aca="1" ref="P960" ca="1">IF(INDIRECT(M960) = "","",INDIRECT(M960))</f>
        <v/>
      </c>
      <c r="Q960" s="359" t="s">
        <v>4381</v>
      </c>
    </row>
    <row r="961" spans="1:17" x14ac:dyDescent="0.35">
      <c r="A961" t="s">
        <v>1950</v>
      </c>
      <c r="E961" t="str">
        <f>_xlfn.XLOOKUP(F961,'Raw Data'!$I$4:$I$5000,'Raw Data'!$D$4:$D$5000,"*** Mnemonic not found ***",0)</f>
        <v>*** Mnemonic not found ***</v>
      </c>
      <c r="F961" t="str">
        <f t="shared" si="255"/>
        <v>SUCMRUR3SOVERG7_5TO10__</v>
      </c>
      <c r="H961" s="9" t="s">
        <v>1137</v>
      </c>
      <c r="K961" s="9">
        <f t="shared" si="259"/>
        <v>274</v>
      </c>
      <c r="L961" s="9" t="str">
        <f t="shared" si="260"/>
        <v>I</v>
      </c>
      <c r="M961" s="9" t="str">
        <f t="shared" si="256"/>
        <v>Input!I274</v>
      </c>
      <c r="N961" s="9">
        <f>_xlfn.XLOOKUP(F961,'Raw Data'!$I$4:$I$5000,'Raw Data'!$E$4:$E$5000,100,0)</f>
        <v>100</v>
      </c>
      <c r="O961" s="9" t="str">
        <f>IF(N961=0,_xlfn.XLOOKUP(F961,'Raw Data'!$I$4:$I$5000,'Raw Data'!$H$4:$H$5000,"",0),"")</f>
        <v/>
      </c>
      <c r="P961" s="9" t="str" cm="1">
        <f t="array" aca="1" ref="P961" ca="1">IF(INDIRECT(M961) = "","",INDIRECT(M961))</f>
        <v/>
      </c>
      <c r="Q961" s="359" t="s">
        <v>4381</v>
      </c>
    </row>
    <row r="962" spans="1:17" x14ac:dyDescent="0.35">
      <c r="A962" t="s">
        <v>1955</v>
      </c>
      <c r="E962" t="str">
        <f>_xlfn.XLOOKUP(F962,'Raw Data'!$I$4:$I$5000,'Raw Data'!$D$4:$D$5000,"*** Mnemonic not found ***",0)</f>
        <v>*** Mnemonic not found ***</v>
      </c>
      <c r="F962" t="str">
        <f t="shared" si="255"/>
        <v>SUCMRUR3SOVERG8_5TO10__</v>
      </c>
      <c r="H962" s="9" t="s">
        <v>1137</v>
      </c>
      <c r="K962" s="9">
        <f t="shared" si="259"/>
        <v>274</v>
      </c>
      <c r="L962" s="9" t="str">
        <f t="shared" si="260"/>
        <v>J</v>
      </c>
      <c r="M962" s="9" t="str">
        <f t="shared" si="256"/>
        <v>Input!J274</v>
      </c>
      <c r="N962" s="9">
        <f>_xlfn.XLOOKUP(F962,'Raw Data'!$I$4:$I$5000,'Raw Data'!$E$4:$E$5000,100,0)</f>
        <v>100</v>
      </c>
      <c r="O962" s="9" t="str">
        <f>IF(N962=0,_xlfn.XLOOKUP(F962,'Raw Data'!$I$4:$I$5000,'Raw Data'!$H$4:$H$5000,"",0),"")</f>
        <v/>
      </c>
      <c r="P962" s="9" t="str" cm="1">
        <f t="array" aca="1" ref="P962" ca="1">IF(INDIRECT(M962) = "","",INDIRECT(M962))</f>
        <v/>
      </c>
      <c r="Q962" s="359" t="s">
        <v>4381</v>
      </c>
    </row>
    <row r="963" spans="1:17" x14ac:dyDescent="0.35">
      <c r="A963" t="s">
        <v>1960</v>
      </c>
      <c r="E963" t="str">
        <f>_xlfn.XLOOKUP(F963,'Raw Data'!$I$4:$I$5000,'Raw Data'!$D$4:$D$5000,"*** Mnemonic not found ***",0)</f>
        <v>*** Mnemonic not found ***</v>
      </c>
      <c r="F963" t="str">
        <f t="shared" si="255"/>
        <v>SUCMRUR3SOVERG9_5TO10__</v>
      </c>
      <c r="H963" s="9" t="s">
        <v>1137</v>
      </c>
      <c r="K963" s="9">
        <f t="shared" si="259"/>
        <v>274</v>
      </c>
      <c r="L963" s="9" t="str">
        <f t="shared" si="260"/>
        <v>K</v>
      </c>
      <c r="M963" s="9" t="str">
        <f t="shared" si="256"/>
        <v>Input!K274</v>
      </c>
      <c r="N963" s="9">
        <f>_xlfn.XLOOKUP(F963,'Raw Data'!$I$4:$I$5000,'Raw Data'!$E$4:$E$5000,100,0)</f>
        <v>100</v>
      </c>
      <c r="O963" s="9" t="str">
        <f>IF(N963=0,_xlfn.XLOOKUP(F963,'Raw Data'!$I$4:$I$5000,'Raw Data'!$H$4:$H$5000,"",0),"")</f>
        <v/>
      </c>
      <c r="P963" s="9" t="str" cm="1">
        <f t="array" aca="1" ref="P963" ca="1">IF(INDIRECT(M963) = "","",INDIRECT(M963))</f>
        <v/>
      </c>
      <c r="Q963" s="359" t="s">
        <v>4381</v>
      </c>
    </row>
    <row r="964" spans="1:17" x14ac:dyDescent="0.35">
      <c r="A964" t="s">
        <v>1965</v>
      </c>
      <c r="E964" t="str">
        <f>_xlfn.XLOOKUP(F964,'Raw Data'!$I$4:$I$5000,'Raw Data'!$D$4:$D$5000,"*** Mnemonic not found ***",0)</f>
        <v>*** Mnemonic not found ***</v>
      </c>
      <c r="F964" t="str">
        <f t="shared" si="255"/>
        <v>SUCMRUR3SOVERG10_5TO10__</v>
      </c>
      <c r="H964" s="9" t="s">
        <v>1137</v>
      </c>
      <c r="K964" s="9">
        <f t="shared" si="259"/>
        <v>274</v>
      </c>
      <c r="L964" s="9" t="str">
        <f t="shared" si="260"/>
        <v>L</v>
      </c>
      <c r="M964" s="9" t="str">
        <f t="shared" si="256"/>
        <v>Input!L274</v>
      </c>
      <c r="N964" s="9">
        <f>_xlfn.XLOOKUP(F964,'Raw Data'!$I$4:$I$5000,'Raw Data'!$E$4:$E$5000,100,0)</f>
        <v>100</v>
      </c>
      <c r="O964" s="9" t="str">
        <f>IF(N964=0,_xlfn.XLOOKUP(F964,'Raw Data'!$I$4:$I$5000,'Raw Data'!$H$4:$H$5000,"",0),"")</f>
        <v/>
      </c>
      <c r="P964" s="9" t="str" cm="1">
        <f t="array" aca="1" ref="P964" ca="1">IF(INDIRECT(M964) = "","",INDIRECT(M964))</f>
        <v/>
      </c>
      <c r="Q964" s="359" t="s">
        <v>4381</v>
      </c>
    </row>
    <row r="965" spans="1:17" x14ac:dyDescent="0.35">
      <c r="A965" t="s">
        <v>1970</v>
      </c>
      <c r="E965" t="str">
        <f>_xlfn.XLOOKUP(F965,'Raw Data'!$I$4:$I$5000,'Raw Data'!$D$4:$D$5000,"*** Mnemonic not found ***",0)</f>
        <v>*** Mnemonic not found ***</v>
      </c>
      <c r="F965" t="str">
        <f t="shared" ref="F965:F1028" si="261">CONCATENATE(A965,"_",B965,"_",D965)</f>
        <v>SUCMRUR3SOVERGNA_5TO10__</v>
      </c>
      <c r="H965" s="9" t="s">
        <v>1137</v>
      </c>
      <c r="K965" s="9">
        <f t="shared" si="259"/>
        <v>274</v>
      </c>
      <c r="L965" s="9" t="str">
        <f t="shared" si="260"/>
        <v>M</v>
      </c>
      <c r="M965" s="9" t="str">
        <f t="shared" si="256"/>
        <v>Input!M274</v>
      </c>
      <c r="N965" s="9">
        <f>_xlfn.XLOOKUP(F965,'Raw Data'!$I$4:$I$5000,'Raw Data'!$E$4:$E$5000,100,0)</f>
        <v>100</v>
      </c>
      <c r="O965" s="9" t="str">
        <f>IF(N965=0,_xlfn.XLOOKUP(F965,'Raw Data'!$I$4:$I$5000,'Raw Data'!$H$4:$H$5000,"",0),"")</f>
        <v/>
      </c>
      <c r="P965" s="9" t="str" cm="1">
        <f t="array" aca="1" ref="P965" ca="1">IF(INDIRECT(M965) = "","",INDIRECT(M965))</f>
        <v/>
      </c>
      <c r="Q965" s="359" t="s">
        <v>4381</v>
      </c>
    </row>
    <row r="966" spans="1:17" x14ac:dyDescent="0.35">
      <c r="A966" t="s">
        <v>1921</v>
      </c>
      <c r="E966" t="str">
        <f>_xlfn.XLOOKUP(F966,'Raw Data'!$I$4:$I$5000,'Raw Data'!$D$4:$D$5000,"*** Mnemonic not found ***",0)</f>
        <v>*** Mnemonic not found ***</v>
      </c>
      <c r="F966" t="str">
        <f t="shared" si="261"/>
        <v>SUCMRUR3SOVERG1_10TO20__</v>
      </c>
      <c r="H966" s="9" t="s">
        <v>1137</v>
      </c>
      <c r="K966" s="9">
        <f t="shared" si="259"/>
        <v>275</v>
      </c>
      <c r="L966" s="9" t="str">
        <f t="shared" si="260"/>
        <v>C</v>
      </c>
      <c r="M966" s="9" t="str">
        <f t="shared" si="256"/>
        <v>Input!C275</v>
      </c>
      <c r="N966" s="9">
        <f>_xlfn.XLOOKUP(F966,'Raw Data'!$I$4:$I$5000,'Raw Data'!$E$4:$E$5000,100,0)</f>
        <v>100</v>
      </c>
      <c r="O966" s="9" t="str">
        <f>IF(N966=0,_xlfn.XLOOKUP(F966,'Raw Data'!$I$4:$I$5000,'Raw Data'!$H$4:$H$5000,"",0),"")</f>
        <v/>
      </c>
      <c r="P966" s="9" t="str" cm="1">
        <f t="array" aca="1" ref="P966" ca="1">IF(INDIRECT(M966) = "","",INDIRECT(M966))</f>
        <v/>
      </c>
      <c r="Q966" s="359" t="s">
        <v>4381</v>
      </c>
    </row>
    <row r="967" spans="1:17" x14ac:dyDescent="0.35">
      <c r="A967" t="s">
        <v>1926</v>
      </c>
      <c r="E967" t="str">
        <f>_xlfn.XLOOKUP(F967,'Raw Data'!$I$4:$I$5000,'Raw Data'!$D$4:$D$5000,"*** Mnemonic not found ***",0)</f>
        <v>*** Mnemonic not found ***</v>
      </c>
      <c r="F967" t="str">
        <f t="shared" si="261"/>
        <v>SUCMRUR3SOVERG2_10TO20__</v>
      </c>
      <c r="H967" s="9" t="s">
        <v>1137</v>
      </c>
      <c r="K967" s="9">
        <f t="shared" si="259"/>
        <v>275</v>
      </c>
      <c r="L967" s="9" t="str">
        <f t="shared" si="260"/>
        <v>D</v>
      </c>
      <c r="M967" s="9" t="str">
        <f t="shared" si="256"/>
        <v>Input!D275</v>
      </c>
      <c r="N967" s="9">
        <f>_xlfn.XLOOKUP(F967,'Raw Data'!$I$4:$I$5000,'Raw Data'!$E$4:$E$5000,100,0)</f>
        <v>100</v>
      </c>
      <c r="O967" s="9" t="str">
        <f>IF(N967=0,_xlfn.XLOOKUP(F967,'Raw Data'!$I$4:$I$5000,'Raw Data'!$H$4:$H$5000,"",0),"")</f>
        <v/>
      </c>
      <c r="P967" s="9" t="str" cm="1">
        <f t="array" aca="1" ref="P967" ca="1">IF(INDIRECT(M967) = "","",INDIRECT(M967))</f>
        <v/>
      </c>
      <c r="Q967" s="359" t="s">
        <v>4381</v>
      </c>
    </row>
    <row r="968" spans="1:17" x14ac:dyDescent="0.35">
      <c r="A968" t="s">
        <v>1931</v>
      </c>
      <c r="E968" t="str">
        <f>_xlfn.XLOOKUP(F968,'Raw Data'!$I$4:$I$5000,'Raw Data'!$D$4:$D$5000,"*** Mnemonic not found ***",0)</f>
        <v>*** Mnemonic not found ***</v>
      </c>
      <c r="F968" t="str">
        <f t="shared" si="261"/>
        <v>SUCMRUR3SOVERG3_10TO20__</v>
      </c>
      <c r="H968" s="9" t="s">
        <v>1137</v>
      </c>
      <c r="K968" s="9">
        <f t="shared" si="259"/>
        <v>275</v>
      </c>
      <c r="L968" s="9" t="str">
        <f t="shared" si="260"/>
        <v>E</v>
      </c>
      <c r="M968" s="9" t="str">
        <f t="shared" si="256"/>
        <v>Input!E275</v>
      </c>
      <c r="N968" s="9">
        <f>_xlfn.XLOOKUP(F968,'Raw Data'!$I$4:$I$5000,'Raw Data'!$E$4:$E$5000,100,0)</f>
        <v>100</v>
      </c>
      <c r="O968" s="9" t="str">
        <f>IF(N968=0,_xlfn.XLOOKUP(F968,'Raw Data'!$I$4:$I$5000,'Raw Data'!$H$4:$H$5000,"",0),"")</f>
        <v/>
      </c>
      <c r="P968" s="9" t="str" cm="1">
        <f t="array" aca="1" ref="P968" ca="1">IF(INDIRECT(M968) = "","",INDIRECT(M968))</f>
        <v/>
      </c>
      <c r="Q968" s="359" t="s">
        <v>4381</v>
      </c>
    </row>
    <row r="969" spans="1:17" x14ac:dyDescent="0.35">
      <c r="A969" t="s">
        <v>1936</v>
      </c>
      <c r="E969" t="str">
        <f>_xlfn.XLOOKUP(F969,'Raw Data'!$I$4:$I$5000,'Raw Data'!$D$4:$D$5000,"*** Mnemonic not found ***",0)</f>
        <v>*** Mnemonic not found ***</v>
      </c>
      <c r="F969" t="str">
        <f t="shared" si="261"/>
        <v>SUCMRUR3SOVERG4_10TO20__</v>
      </c>
      <c r="H969" s="9" t="s">
        <v>1137</v>
      </c>
      <c r="K969" s="9">
        <f t="shared" si="259"/>
        <v>275</v>
      </c>
      <c r="L969" s="9" t="str">
        <f t="shared" si="260"/>
        <v>F</v>
      </c>
      <c r="M969" s="9" t="str">
        <f t="shared" si="256"/>
        <v>Input!F275</v>
      </c>
      <c r="N969" s="9">
        <f>_xlfn.XLOOKUP(F969,'Raw Data'!$I$4:$I$5000,'Raw Data'!$E$4:$E$5000,100,0)</f>
        <v>100</v>
      </c>
      <c r="O969" s="9" t="str">
        <f>IF(N969=0,_xlfn.XLOOKUP(F969,'Raw Data'!$I$4:$I$5000,'Raw Data'!$H$4:$H$5000,"",0),"")</f>
        <v/>
      </c>
      <c r="P969" s="9" t="str" cm="1">
        <f t="array" aca="1" ref="P969" ca="1">IF(INDIRECT(M969) = "","",INDIRECT(M969))</f>
        <v/>
      </c>
      <c r="Q969" s="359" t="s">
        <v>4381</v>
      </c>
    </row>
    <row r="970" spans="1:17" x14ac:dyDescent="0.35">
      <c r="A970" t="s">
        <v>1941</v>
      </c>
      <c r="E970" t="str">
        <f>_xlfn.XLOOKUP(F970,'Raw Data'!$I$4:$I$5000,'Raw Data'!$D$4:$D$5000,"*** Mnemonic not found ***",0)</f>
        <v>*** Mnemonic not found ***</v>
      </c>
      <c r="F970" t="str">
        <f t="shared" si="261"/>
        <v>SUCMRUR3SOVERG5_10TO20__</v>
      </c>
      <c r="H970" s="9" t="s">
        <v>1137</v>
      </c>
      <c r="K970" s="9">
        <f t="shared" si="259"/>
        <v>275</v>
      </c>
      <c r="L970" s="9" t="str">
        <f t="shared" si="260"/>
        <v>G</v>
      </c>
      <c r="M970" s="9" t="str">
        <f t="shared" si="256"/>
        <v>Input!G275</v>
      </c>
      <c r="N970" s="9">
        <f>_xlfn.XLOOKUP(F970,'Raw Data'!$I$4:$I$5000,'Raw Data'!$E$4:$E$5000,100,0)</f>
        <v>100</v>
      </c>
      <c r="O970" s="9" t="str">
        <f>IF(N970=0,_xlfn.XLOOKUP(F970,'Raw Data'!$I$4:$I$5000,'Raw Data'!$H$4:$H$5000,"",0),"")</f>
        <v/>
      </c>
      <c r="P970" s="9" t="str" cm="1">
        <f t="array" aca="1" ref="P970" ca="1">IF(INDIRECT(M970) = "","",INDIRECT(M970))</f>
        <v/>
      </c>
      <c r="Q970" s="359" t="s">
        <v>4381</v>
      </c>
    </row>
    <row r="971" spans="1:17" x14ac:dyDescent="0.35">
      <c r="A971" t="s">
        <v>1946</v>
      </c>
      <c r="E971" t="str">
        <f>_xlfn.XLOOKUP(F971,'Raw Data'!$I$4:$I$5000,'Raw Data'!$D$4:$D$5000,"*** Mnemonic not found ***",0)</f>
        <v>*** Mnemonic not found ***</v>
      </c>
      <c r="F971" t="str">
        <f t="shared" si="261"/>
        <v>SUCMRUR3SOVERG6_10TO20__</v>
      </c>
      <c r="H971" s="9" t="s">
        <v>1137</v>
      </c>
      <c r="K971" s="9">
        <f t="shared" si="259"/>
        <v>275</v>
      </c>
      <c r="L971" s="9" t="str">
        <f t="shared" si="260"/>
        <v>H</v>
      </c>
      <c r="M971" s="9" t="str">
        <f t="shared" si="256"/>
        <v>Input!H275</v>
      </c>
      <c r="N971" s="9">
        <f>_xlfn.XLOOKUP(F971,'Raw Data'!$I$4:$I$5000,'Raw Data'!$E$4:$E$5000,100,0)</f>
        <v>100</v>
      </c>
      <c r="O971" s="9" t="str">
        <f>IF(N971=0,_xlfn.XLOOKUP(F971,'Raw Data'!$I$4:$I$5000,'Raw Data'!$H$4:$H$5000,"",0),"")</f>
        <v/>
      </c>
      <c r="P971" s="9" t="str" cm="1">
        <f t="array" aca="1" ref="P971" ca="1">IF(INDIRECT(M971) = "","",INDIRECT(M971))</f>
        <v/>
      </c>
      <c r="Q971" s="359" t="s">
        <v>4381</v>
      </c>
    </row>
    <row r="972" spans="1:17" x14ac:dyDescent="0.35">
      <c r="A972" t="s">
        <v>1951</v>
      </c>
      <c r="E972" t="str">
        <f>_xlfn.XLOOKUP(F972,'Raw Data'!$I$4:$I$5000,'Raw Data'!$D$4:$D$5000,"*** Mnemonic not found ***",0)</f>
        <v>*** Mnemonic not found ***</v>
      </c>
      <c r="F972" t="str">
        <f t="shared" si="261"/>
        <v>SUCMRUR3SOVERG7_10TO20__</v>
      </c>
      <c r="H972" s="9" t="s">
        <v>1137</v>
      </c>
      <c r="K972" s="9">
        <f t="shared" si="259"/>
        <v>275</v>
      </c>
      <c r="L972" s="9" t="str">
        <f t="shared" si="260"/>
        <v>I</v>
      </c>
      <c r="M972" s="9" t="str">
        <f t="shared" si="256"/>
        <v>Input!I275</v>
      </c>
      <c r="N972" s="9">
        <f>_xlfn.XLOOKUP(F972,'Raw Data'!$I$4:$I$5000,'Raw Data'!$E$4:$E$5000,100,0)</f>
        <v>100</v>
      </c>
      <c r="O972" s="9" t="str">
        <f>IF(N972=0,_xlfn.XLOOKUP(F972,'Raw Data'!$I$4:$I$5000,'Raw Data'!$H$4:$H$5000,"",0),"")</f>
        <v/>
      </c>
      <c r="P972" s="9" t="str" cm="1">
        <f t="array" aca="1" ref="P972" ca="1">IF(INDIRECT(M972) = "","",INDIRECT(M972))</f>
        <v/>
      </c>
      <c r="Q972" s="359" t="s">
        <v>4381</v>
      </c>
    </row>
    <row r="973" spans="1:17" x14ac:dyDescent="0.35">
      <c r="A973" t="s">
        <v>1956</v>
      </c>
      <c r="E973" t="str">
        <f>_xlfn.XLOOKUP(F973,'Raw Data'!$I$4:$I$5000,'Raw Data'!$D$4:$D$5000,"*** Mnemonic not found ***",0)</f>
        <v>*** Mnemonic not found ***</v>
      </c>
      <c r="F973" t="str">
        <f t="shared" si="261"/>
        <v>SUCMRUR3SOVERG8_10TO20__</v>
      </c>
      <c r="H973" s="9" t="s">
        <v>1137</v>
      </c>
      <c r="K973" s="9">
        <f t="shared" si="259"/>
        <v>275</v>
      </c>
      <c r="L973" s="9" t="str">
        <f t="shared" si="260"/>
        <v>J</v>
      </c>
      <c r="M973" s="9" t="str">
        <f t="shared" si="256"/>
        <v>Input!J275</v>
      </c>
      <c r="N973" s="9">
        <f>_xlfn.XLOOKUP(F973,'Raw Data'!$I$4:$I$5000,'Raw Data'!$E$4:$E$5000,100,0)</f>
        <v>100</v>
      </c>
      <c r="O973" s="9" t="str">
        <f>IF(N973=0,_xlfn.XLOOKUP(F973,'Raw Data'!$I$4:$I$5000,'Raw Data'!$H$4:$H$5000,"",0),"")</f>
        <v/>
      </c>
      <c r="P973" s="9" t="str" cm="1">
        <f t="array" aca="1" ref="P973" ca="1">IF(INDIRECT(M973) = "","",INDIRECT(M973))</f>
        <v/>
      </c>
      <c r="Q973" s="359" t="s">
        <v>4381</v>
      </c>
    </row>
    <row r="974" spans="1:17" x14ac:dyDescent="0.35">
      <c r="A974" t="s">
        <v>1961</v>
      </c>
      <c r="E974" t="str">
        <f>_xlfn.XLOOKUP(F974,'Raw Data'!$I$4:$I$5000,'Raw Data'!$D$4:$D$5000,"*** Mnemonic not found ***",0)</f>
        <v>*** Mnemonic not found ***</v>
      </c>
      <c r="F974" t="str">
        <f t="shared" si="261"/>
        <v>SUCMRUR3SOVERG9_10TO20__</v>
      </c>
      <c r="H974" s="9" t="s">
        <v>1137</v>
      </c>
      <c r="K974" s="9">
        <f t="shared" si="259"/>
        <v>275</v>
      </c>
      <c r="L974" s="9" t="str">
        <f t="shared" si="260"/>
        <v>K</v>
      </c>
      <c r="M974" s="9" t="str">
        <f t="shared" si="256"/>
        <v>Input!K275</v>
      </c>
      <c r="N974" s="9">
        <f>_xlfn.XLOOKUP(F974,'Raw Data'!$I$4:$I$5000,'Raw Data'!$E$4:$E$5000,100,0)</f>
        <v>100</v>
      </c>
      <c r="O974" s="9" t="str">
        <f>IF(N974=0,_xlfn.XLOOKUP(F974,'Raw Data'!$I$4:$I$5000,'Raw Data'!$H$4:$H$5000,"",0),"")</f>
        <v/>
      </c>
      <c r="P974" s="9" t="str" cm="1">
        <f t="array" aca="1" ref="P974" ca="1">IF(INDIRECT(M974) = "","",INDIRECT(M974))</f>
        <v/>
      </c>
      <c r="Q974" s="359" t="s">
        <v>4381</v>
      </c>
    </row>
    <row r="975" spans="1:17" x14ac:dyDescent="0.35">
      <c r="A975" t="s">
        <v>1966</v>
      </c>
      <c r="E975" t="str">
        <f>_xlfn.XLOOKUP(F975,'Raw Data'!$I$4:$I$5000,'Raw Data'!$D$4:$D$5000,"*** Mnemonic not found ***",0)</f>
        <v>*** Mnemonic not found ***</v>
      </c>
      <c r="F975" t="str">
        <f t="shared" si="261"/>
        <v>SUCMRUR3SOVERG10_10TO20__</v>
      </c>
      <c r="H975" s="9" t="s">
        <v>1137</v>
      </c>
      <c r="K975" s="9">
        <f t="shared" si="259"/>
        <v>275</v>
      </c>
      <c r="L975" s="9" t="str">
        <f t="shared" si="260"/>
        <v>L</v>
      </c>
      <c r="M975" s="9" t="str">
        <f t="shared" ref="M975:M1266" si="262">CONCATENATE(H975,"!",L975,K975)</f>
        <v>Input!L275</v>
      </c>
      <c r="N975" s="9">
        <f>_xlfn.XLOOKUP(F975,'Raw Data'!$I$4:$I$5000,'Raw Data'!$E$4:$E$5000,100,0)</f>
        <v>100</v>
      </c>
      <c r="O975" s="9" t="str">
        <f>IF(N975=0,_xlfn.XLOOKUP(F975,'Raw Data'!$I$4:$I$5000,'Raw Data'!$H$4:$H$5000,"",0),"")</f>
        <v/>
      </c>
      <c r="P975" s="9" t="str" cm="1">
        <f t="array" aca="1" ref="P975" ca="1">IF(INDIRECT(M975) = "","",INDIRECT(M975))</f>
        <v/>
      </c>
      <c r="Q975" s="359" t="s">
        <v>4381</v>
      </c>
    </row>
    <row r="976" spans="1:17" x14ac:dyDescent="0.35">
      <c r="A976" t="s">
        <v>1971</v>
      </c>
      <c r="E976" t="str">
        <f>_xlfn.XLOOKUP(F976,'Raw Data'!$I$4:$I$5000,'Raw Data'!$D$4:$D$5000,"*** Mnemonic not found ***",0)</f>
        <v>*** Mnemonic not found ***</v>
      </c>
      <c r="F976" t="str">
        <f t="shared" si="261"/>
        <v>SUCMRUR3SOVERGNA_10TO20__</v>
      </c>
      <c r="H976" s="9" t="s">
        <v>1137</v>
      </c>
      <c r="K976" s="9">
        <f t="shared" si="259"/>
        <v>275</v>
      </c>
      <c r="L976" s="9" t="str">
        <f t="shared" si="260"/>
        <v>M</v>
      </c>
      <c r="M976" s="9" t="str">
        <f t="shared" si="262"/>
        <v>Input!M275</v>
      </c>
      <c r="N976" s="9">
        <f>_xlfn.XLOOKUP(F976,'Raw Data'!$I$4:$I$5000,'Raw Data'!$E$4:$E$5000,100,0)</f>
        <v>100</v>
      </c>
      <c r="O976" s="9" t="str">
        <f>IF(N976=0,_xlfn.XLOOKUP(F976,'Raw Data'!$I$4:$I$5000,'Raw Data'!$H$4:$H$5000,"",0),"")</f>
        <v/>
      </c>
      <c r="P976" s="9" t="str" cm="1">
        <f t="array" aca="1" ref="P976" ca="1">IF(INDIRECT(M976) = "","",INDIRECT(M976))</f>
        <v/>
      </c>
      <c r="Q976" s="359" t="s">
        <v>4381</v>
      </c>
    </row>
    <row r="977" spans="1:17" x14ac:dyDescent="0.35">
      <c r="A977" t="s">
        <v>1922</v>
      </c>
      <c r="E977" t="str">
        <f>_xlfn.XLOOKUP(F977,'Raw Data'!$I$4:$I$5000,'Raw Data'!$D$4:$D$5000,"*** Mnemonic not found ***",0)</f>
        <v>*** Mnemonic not found ***</v>
      </c>
      <c r="F977" t="str">
        <f t="shared" si="261"/>
        <v>SUCMRUR3SOVERG1_GRTR20__</v>
      </c>
      <c r="H977" s="9" t="s">
        <v>1137</v>
      </c>
      <c r="K977" s="9">
        <f t="shared" si="259"/>
        <v>276</v>
      </c>
      <c r="L977" s="9" t="str">
        <f t="shared" si="260"/>
        <v>C</v>
      </c>
      <c r="M977" s="9" t="str">
        <f t="shared" si="262"/>
        <v>Input!C276</v>
      </c>
      <c r="N977" s="9">
        <f>_xlfn.XLOOKUP(F977,'Raw Data'!$I$4:$I$5000,'Raw Data'!$E$4:$E$5000,100,0)</f>
        <v>100</v>
      </c>
      <c r="O977" s="9" t="str">
        <f>IF(N977=0,_xlfn.XLOOKUP(F977,'Raw Data'!$I$4:$I$5000,'Raw Data'!$H$4:$H$5000,"",0),"")</f>
        <v/>
      </c>
      <c r="P977" s="9" t="str" cm="1">
        <f t="array" aca="1" ref="P977" ca="1">IF(INDIRECT(M977) = "","",INDIRECT(M977))</f>
        <v/>
      </c>
      <c r="Q977" s="359" t="s">
        <v>4381</v>
      </c>
    </row>
    <row r="978" spans="1:17" x14ac:dyDescent="0.35">
      <c r="A978" t="s">
        <v>1927</v>
      </c>
      <c r="E978" t="str">
        <f>_xlfn.XLOOKUP(F978,'Raw Data'!$I$4:$I$5000,'Raw Data'!$D$4:$D$5000,"*** Mnemonic not found ***",0)</f>
        <v>*** Mnemonic not found ***</v>
      </c>
      <c r="F978" t="str">
        <f t="shared" si="261"/>
        <v>SUCMRUR3SOVERG2_GRTR20__</v>
      </c>
      <c r="H978" s="9" t="s">
        <v>1137</v>
      </c>
      <c r="K978" s="9">
        <f t="shared" si="259"/>
        <v>276</v>
      </c>
      <c r="L978" s="9" t="str">
        <f t="shared" si="260"/>
        <v>D</v>
      </c>
      <c r="M978" s="9" t="str">
        <f t="shared" si="262"/>
        <v>Input!D276</v>
      </c>
      <c r="N978" s="9">
        <f>_xlfn.XLOOKUP(F978,'Raw Data'!$I$4:$I$5000,'Raw Data'!$E$4:$E$5000,100,0)</f>
        <v>100</v>
      </c>
      <c r="O978" s="9" t="str">
        <f>IF(N978=0,_xlfn.XLOOKUP(F978,'Raw Data'!$I$4:$I$5000,'Raw Data'!$H$4:$H$5000,"",0),"")</f>
        <v/>
      </c>
      <c r="P978" s="9" t="str" cm="1">
        <f t="array" aca="1" ref="P978" ca="1">IF(INDIRECT(M978) = "","",INDIRECT(M978))</f>
        <v/>
      </c>
      <c r="Q978" s="359" t="s">
        <v>4381</v>
      </c>
    </row>
    <row r="979" spans="1:17" x14ac:dyDescent="0.35">
      <c r="A979" t="s">
        <v>1932</v>
      </c>
      <c r="E979" t="str">
        <f>_xlfn.XLOOKUP(F979,'Raw Data'!$I$4:$I$5000,'Raw Data'!$D$4:$D$5000,"*** Mnemonic not found ***",0)</f>
        <v>*** Mnemonic not found ***</v>
      </c>
      <c r="F979" t="str">
        <f t="shared" si="261"/>
        <v>SUCMRUR3SOVERG3_GRTR20__</v>
      </c>
      <c r="H979" s="9" t="s">
        <v>1137</v>
      </c>
      <c r="K979" s="9">
        <f t="shared" si="259"/>
        <v>276</v>
      </c>
      <c r="L979" s="9" t="str">
        <f t="shared" si="260"/>
        <v>E</v>
      </c>
      <c r="M979" s="9" t="str">
        <f t="shared" si="262"/>
        <v>Input!E276</v>
      </c>
      <c r="N979" s="9">
        <f>_xlfn.XLOOKUP(F979,'Raw Data'!$I$4:$I$5000,'Raw Data'!$E$4:$E$5000,100,0)</f>
        <v>100</v>
      </c>
      <c r="O979" s="9" t="str">
        <f>IF(N979=0,_xlfn.XLOOKUP(F979,'Raw Data'!$I$4:$I$5000,'Raw Data'!$H$4:$H$5000,"",0),"")</f>
        <v/>
      </c>
      <c r="P979" s="9" t="str" cm="1">
        <f t="array" aca="1" ref="P979" ca="1">IF(INDIRECT(M979) = "","",INDIRECT(M979))</f>
        <v/>
      </c>
      <c r="Q979" s="359" t="s">
        <v>4381</v>
      </c>
    </row>
    <row r="980" spans="1:17" x14ac:dyDescent="0.35">
      <c r="A980" t="s">
        <v>1937</v>
      </c>
      <c r="E980" t="str">
        <f>_xlfn.XLOOKUP(F980,'Raw Data'!$I$4:$I$5000,'Raw Data'!$D$4:$D$5000,"*** Mnemonic not found ***",0)</f>
        <v>*** Mnemonic not found ***</v>
      </c>
      <c r="F980" t="str">
        <f t="shared" si="261"/>
        <v>SUCMRUR3SOVERG4_GRTR20__</v>
      </c>
      <c r="H980" s="9" t="s">
        <v>1137</v>
      </c>
      <c r="K980" s="9">
        <f t="shared" si="259"/>
        <v>276</v>
      </c>
      <c r="L980" s="9" t="str">
        <f t="shared" si="260"/>
        <v>F</v>
      </c>
      <c r="M980" s="9" t="str">
        <f t="shared" si="262"/>
        <v>Input!F276</v>
      </c>
      <c r="N980" s="9">
        <f>_xlfn.XLOOKUP(F980,'Raw Data'!$I$4:$I$5000,'Raw Data'!$E$4:$E$5000,100,0)</f>
        <v>100</v>
      </c>
      <c r="O980" s="9" t="str">
        <f>IF(N980=0,_xlfn.XLOOKUP(F980,'Raw Data'!$I$4:$I$5000,'Raw Data'!$H$4:$H$5000,"",0),"")</f>
        <v/>
      </c>
      <c r="P980" s="9" t="str" cm="1">
        <f t="array" aca="1" ref="P980" ca="1">IF(INDIRECT(M980) = "","",INDIRECT(M980))</f>
        <v/>
      </c>
      <c r="Q980" s="359" t="s">
        <v>4381</v>
      </c>
    </row>
    <row r="981" spans="1:17" x14ac:dyDescent="0.35">
      <c r="A981" t="s">
        <v>1942</v>
      </c>
      <c r="E981" t="str">
        <f>_xlfn.XLOOKUP(F981,'Raw Data'!$I$4:$I$5000,'Raw Data'!$D$4:$D$5000,"*** Mnemonic not found ***",0)</f>
        <v>*** Mnemonic not found ***</v>
      </c>
      <c r="F981" t="str">
        <f t="shared" si="261"/>
        <v>SUCMRUR3SOVERG5_GRTR20__</v>
      </c>
      <c r="H981" s="9" t="s">
        <v>1137</v>
      </c>
      <c r="K981" s="9">
        <f t="shared" si="259"/>
        <v>276</v>
      </c>
      <c r="L981" s="9" t="str">
        <f t="shared" si="260"/>
        <v>G</v>
      </c>
      <c r="M981" s="9" t="str">
        <f t="shared" si="262"/>
        <v>Input!G276</v>
      </c>
      <c r="N981" s="9">
        <f>_xlfn.XLOOKUP(F981,'Raw Data'!$I$4:$I$5000,'Raw Data'!$E$4:$E$5000,100,0)</f>
        <v>100</v>
      </c>
      <c r="O981" s="9" t="str">
        <f>IF(N981=0,_xlfn.XLOOKUP(F981,'Raw Data'!$I$4:$I$5000,'Raw Data'!$H$4:$H$5000,"",0),"")</f>
        <v/>
      </c>
      <c r="P981" s="9" t="str" cm="1">
        <f t="array" aca="1" ref="P981" ca="1">IF(INDIRECT(M981) = "","",INDIRECT(M981))</f>
        <v/>
      </c>
      <c r="Q981" s="359" t="s">
        <v>4381</v>
      </c>
    </row>
    <row r="982" spans="1:17" x14ac:dyDescent="0.35">
      <c r="A982" t="s">
        <v>1947</v>
      </c>
      <c r="E982" t="str">
        <f>_xlfn.XLOOKUP(F982,'Raw Data'!$I$4:$I$5000,'Raw Data'!$D$4:$D$5000,"*** Mnemonic not found ***",0)</f>
        <v>*** Mnemonic not found ***</v>
      </c>
      <c r="F982" t="str">
        <f t="shared" si="261"/>
        <v>SUCMRUR3SOVERG6_GRTR20__</v>
      </c>
      <c r="H982" s="9" t="s">
        <v>1137</v>
      </c>
      <c r="K982" s="9">
        <f t="shared" si="259"/>
        <v>276</v>
      </c>
      <c r="L982" s="9" t="str">
        <f t="shared" si="260"/>
        <v>H</v>
      </c>
      <c r="M982" s="9" t="str">
        <f t="shared" si="262"/>
        <v>Input!H276</v>
      </c>
      <c r="N982" s="9">
        <f>_xlfn.XLOOKUP(F982,'Raw Data'!$I$4:$I$5000,'Raw Data'!$E$4:$E$5000,100,0)</f>
        <v>100</v>
      </c>
      <c r="O982" s="9" t="str">
        <f>IF(N982=0,_xlfn.XLOOKUP(F982,'Raw Data'!$I$4:$I$5000,'Raw Data'!$H$4:$H$5000,"",0),"")</f>
        <v/>
      </c>
      <c r="P982" s="9" t="str" cm="1">
        <f t="array" aca="1" ref="P982" ca="1">IF(INDIRECT(M982) = "","",INDIRECT(M982))</f>
        <v/>
      </c>
      <c r="Q982" s="359" t="s">
        <v>4381</v>
      </c>
    </row>
    <row r="983" spans="1:17" x14ac:dyDescent="0.35">
      <c r="A983" t="s">
        <v>1952</v>
      </c>
      <c r="E983" t="str">
        <f>_xlfn.XLOOKUP(F983,'Raw Data'!$I$4:$I$5000,'Raw Data'!$D$4:$D$5000,"*** Mnemonic not found ***",0)</f>
        <v>*** Mnemonic not found ***</v>
      </c>
      <c r="F983" t="str">
        <f t="shared" si="261"/>
        <v>SUCMRUR3SOVERG7_GRTR20__</v>
      </c>
      <c r="H983" s="9" t="s">
        <v>1137</v>
      </c>
      <c r="K983" s="9">
        <f t="shared" si="259"/>
        <v>276</v>
      </c>
      <c r="L983" s="9" t="str">
        <f t="shared" si="260"/>
        <v>I</v>
      </c>
      <c r="M983" s="9" t="str">
        <f t="shared" si="262"/>
        <v>Input!I276</v>
      </c>
      <c r="N983" s="9">
        <f>_xlfn.XLOOKUP(F983,'Raw Data'!$I$4:$I$5000,'Raw Data'!$E$4:$E$5000,100,0)</f>
        <v>100</v>
      </c>
      <c r="O983" s="9" t="str">
        <f>IF(N983=0,_xlfn.XLOOKUP(F983,'Raw Data'!$I$4:$I$5000,'Raw Data'!$H$4:$H$5000,"",0),"")</f>
        <v/>
      </c>
      <c r="P983" s="9" t="str" cm="1">
        <f t="array" aca="1" ref="P983" ca="1">IF(INDIRECT(M983) = "","",INDIRECT(M983))</f>
        <v/>
      </c>
      <c r="Q983" s="359" t="s">
        <v>4381</v>
      </c>
    </row>
    <row r="984" spans="1:17" x14ac:dyDescent="0.35">
      <c r="A984" t="s">
        <v>1957</v>
      </c>
      <c r="E984" t="str">
        <f>_xlfn.XLOOKUP(F984,'Raw Data'!$I$4:$I$5000,'Raw Data'!$D$4:$D$5000,"*** Mnemonic not found ***",0)</f>
        <v>*** Mnemonic not found ***</v>
      </c>
      <c r="F984" t="str">
        <f t="shared" si="261"/>
        <v>SUCMRUR3SOVERG8_GRTR20__</v>
      </c>
      <c r="H984" s="9" t="s">
        <v>1137</v>
      </c>
      <c r="K984" s="9">
        <f t="shared" si="259"/>
        <v>276</v>
      </c>
      <c r="L984" s="9" t="str">
        <f t="shared" si="260"/>
        <v>J</v>
      </c>
      <c r="M984" s="9" t="str">
        <f t="shared" si="262"/>
        <v>Input!J276</v>
      </c>
      <c r="N984" s="9">
        <f>_xlfn.XLOOKUP(F984,'Raw Data'!$I$4:$I$5000,'Raw Data'!$E$4:$E$5000,100,0)</f>
        <v>100</v>
      </c>
      <c r="O984" s="9" t="str">
        <f>IF(N984=0,_xlfn.XLOOKUP(F984,'Raw Data'!$I$4:$I$5000,'Raw Data'!$H$4:$H$5000,"",0),"")</f>
        <v/>
      </c>
      <c r="P984" s="9" t="str" cm="1">
        <f t="array" aca="1" ref="P984" ca="1">IF(INDIRECT(M984) = "","",INDIRECT(M984))</f>
        <v/>
      </c>
      <c r="Q984" s="359" t="s">
        <v>4381</v>
      </c>
    </row>
    <row r="985" spans="1:17" x14ac:dyDescent="0.35">
      <c r="A985" t="s">
        <v>1962</v>
      </c>
      <c r="E985" t="str">
        <f>_xlfn.XLOOKUP(F985,'Raw Data'!$I$4:$I$5000,'Raw Data'!$D$4:$D$5000,"*** Mnemonic not found ***",0)</f>
        <v>*** Mnemonic not found ***</v>
      </c>
      <c r="F985" t="str">
        <f t="shared" si="261"/>
        <v>SUCMRUR3SOVERG9_GRTR20__</v>
      </c>
      <c r="H985" s="9" t="s">
        <v>1137</v>
      </c>
      <c r="K985" s="9">
        <f t="shared" si="259"/>
        <v>276</v>
      </c>
      <c r="L985" s="9" t="str">
        <f t="shared" si="260"/>
        <v>K</v>
      </c>
      <c r="M985" s="9" t="str">
        <f t="shared" si="262"/>
        <v>Input!K276</v>
      </c>
      <c r="N985" s="9">
        <f>_xlfn.XLOOKUP(F985,'Raw Data'!$I$4:$I$5000,'Raw Data'!$E$4:$E$5000,100,0)</f>
        <v>100</v>
      </c>
      <c r="O985" s="9" t="str">
        <f>IF(N985=0,_xlfn.XLOOKUP(F985,'Raw Data'!$I$4:$I$5000,'Raw Data'!$H$4:$H$5000,"",0),"")</f>
        <v/>
      </c>
      <c r="P985" s="9" t="str" cm="1">
        <f t="array" aca="1" ref="P985" ca="1">IF(INDIRECT(M985) = "","",INDIRECT(M985))</f>
        <v/>
      </c>
      <c r="Q985" s="359" t="s">
        <v>4381</v>
      </c>
    </row>
    <row r="986" spans="1:17" x14ac:dyDescent="0.35">
      <c r="A986" t="s">
        <v>1967</v>
      </c>
      <c r="E986" t="str">
        <f>_xlfn.XLOOKUP(F986,'Raw Data'!$I$4:$I$5000,'Raw Data'!$D$4:$D$5000,"*** Mnemonic not found ***",0)</f>
        <v>*** Mnemonic not found ***</v>
      </c>
      <c r="F986" t="str">
        <f t="shared" si="261"/>
        <v>SUCMRUR3SOVERG10_GRTR20__</v>
      </c>
      <c r="H986" s="9" t="s">
        <v>1137</v>
      </c>
      <c r="K986" s="9">
        <f t="shared" si="259"/>
        <v>276</v>
      </c>
      <c r="L986" s="9" t="str">
        <f t="shared" si="260"/>
        <v>L</v>
      </c>
      <c r="M986" s="9" t="str">
        <f t="shared" si="262"/>
        <v>Input!L276</v>
      </c>
      <c r="N986" s="9">
        <f>_xlfn.XLOOKUP(F986,'Raw Data'!$I$4:$I$5000,'Raw Data'!$E$4:$E$5000,100,0)</f>
        <v>100</v>
      </c>
      <c r="O986" s="9" t="str">
        <f>IF(N986=0,_xlfn.XLOOKUP(F986,'Raw Data'!$I$4:$I$5000,'Raw Data'!$H$4:$H$5000,"",0),"")</f>
        <v/>
      </c>
      <c r="P986" s="9" t="str" cm="1">
        <f t="array" aca="1" ref="P986" ca="1">IF(INDIRECT(M986) = "","",INDIRECT(M986))</f>
        <v/>
      </c>
      <c r="Q986" s="359" t="s">
        <v>4381</v>
      </c>
    </row>
    <row r="987" spans="1:17" x14ac:dyDescent="0.35">
      <c r="A987" t="s">
        <v>1972</v>
      </c>
      <c r="E987" t="str">
        <f>_xlfn.XLOOKUP(F987,'Raw Data'!$I$4:$I$5000,'Raw Data'!$D$4:$D$5000,"*** Mnemonic not found ***",0)</f>
        <v>*** Mnemonic not found ***</v>
      </c>
      <c r="F987" t="str">
        <f t="shared" si="261"/>
        <v>SUCMRUR3SOVERGNA_GRTR20__</v>
      </c>
      <c r="H987" s="9" t="s">
        <v>1137</v>
      </c>
      <c r="K987" s="9">
        <f t="shared" si="259"/>
        <v>276</v>
      </c>
      <c r="L987" s="9" t="str">
        <f t="shared" si="260"/>
        <v>M</v>
      </c>
      <c r="M987" s="9" t="str">
        <f t="shared" si="262"/>
        <v>Input!M276</v>
      </c>
      <c r="N987" s="9">
        <f>_xlfn.XLOOKUP(F987,'Raw Data'!$I$4:$I$5000,'Raw Data'!$E$4:$E$5000,100,0)</f>
        <v>100</v>
      </c>
      <c r="O987" s="9" t="str">
        <f>IF(N987=0,_xlfn.XLOOKUP(F987,'Raw Data'!$I$4:$I$5000,'Raw Data'!$H$4:$H$5000,"",0),"")</f>
        <v/>
      </c>
      <c r="P987" s="9" t="str" cm="1">
        <f t="array" aca="1" ref="P987" ca="1">IF(INDIRECT(M987) = "","",INDIRECT(M987))</f>
        <v/>
      </c>
      <c r="Q987" s="359" t="s">
        <v>4381</v>
      </c>
    </row>
    <row r="988" spans="1:17" x14ac:dyDescent="0.35">
      <c r="A988" t="s">
        <v>2030</v>
      </c>
      <c r="E988" t="str">
        <f>_xlfn.XLOOKUP(F988,'Raw Data'!$I$4:$I$5000,'Raw Data'!$D$4:$D$5000,"*** Mnemonic not found ***",0)</f>
        <v>*** Mnemonic not found ***</v>
      </c>
      <c r="F988" t="str">
        <f t="shared" si="261"/>
        <v>SUCMRUR4SFERG1_LESS1__</v>
      </c>
      <c r="H988" s="9" t="s">
        <v>1137</v>
      </c>
      <c r="I988" s="289">
        <f>ROW(section_bonds_sp_unrated_step_4)</f>
        <v>187</v>
      </c>
      <c r="J988" s="9">
        <f>J933+10</f>
        <v>95</v>
      </c>
      <c r="K988" s="9">
        <f>I988+J988</f>
        <v>282</v>
      </c>
      <c r="L988" s="9" t="str">
        <f>L977</f>
        <v>C</v>
      </c>
      <c r="M988" s="9" t="str">
        <f t="shared" si="262"/>
        <v>Input!C282</v>
      </c>
      <c r="N988" s="9">
        <f>_xlfn.XLOOKUP(F988,'Raw Data'!$I$4:$I$5000,'Raw Data'!$E$4:$E$5000,100,0)</f>
        <v>100</v>
      </c>
      <c r="O988" s="9" t="str">
        <f>IF(N988=0,_xlfn.XLOOKUP(F988,'Raw Data'!$I$4:$I$5000,'Raw Data'!$H$4:$H$5000,"",0),"")</f>
        <v/>
      </c>
      <c r="P988" s="9" t="str" cm="1">
        <f t="array" aca="1" ref="P988" ca="1">IF(INDIRECT(M988) = "","",INDIRECT(M988))</f>
        <v/>
      </c>
      <c r="Q988" s="359" t="s">
        <v>4381</v>
      </c>
    </row>
    <row r="989" spans="1:17" x14ac:dyDescent="0.35">
      <c r="A989" t="s">
        <v>2035</v>
      </c>
      <c r="E989" t="str">
        <f>_xlfn.XLOOKUP(F989,'Raw Data'!$I$4:$I$5000,'Raw Data'!$D$4:$D$5000,"*** Mnemonic not found ***",0)</f>
        <v>*** Mnemonic not found ***</v>
      </c>
      <c r="F989" t="str">
        <f t="shared" si="261"/>
        <v>SUCMRUR4SFERG2_LESS1__</v>
      </c>
      <c r="H989" s="9" t="s">
        <v>1137</v>
      </c>
      <c r="K989" s="9">
        <f>K988</f>
        <v>282</v>
      </c>
      <c r="L989" s="9" t="str">
        <f t="shared" ref="L989:L998" si="263">L978</f>
        <v>D</v>
      </c>
      <c r="M989" s="9" t="str">
        <f t="shared" si="262"/>
        <v>Input!D282</v>
      </c>
      <c r="N989" s="9">
        <f>_xlfn.XLOOKUP(F989,'Raw Data'!$I$4:$I$5000,'Raw Data'!$E$4:$E$5000,100,0)</f>
        <v>100</v>
      </c>
      <c r="O989" s="9" t="str">
        <f>IF(N989=0,_xlfn.XLOOKUP(F989,'Raw Data'!$I$4:$I$5000,'Raw Data'!$H$4:$H$5000,"",0),"")</f>
        <v/>
      </c>
      <c r="P989" s="9" t="str" cm="1">
        <f t="array" aca="1" ref="P989" ca="1">IF(INDIRECT(M989) = "","",INDIRECT(M989))</f>
        <v/>
      </c>
      <c r="Q989" s="359" t="s">
        <v>4381</v>
      </c>
    </row>
    <row r="990" spans="1:17" x14ac:dyDescent="0.35">
      <c r="A990" t="s">
        <v>2040</v>
      </c>
      <c r="E990" t="str">
        <f>_xlfn.XLOOKUP(F990,'Raw Data'!$I$4:$I$5000,'Raw Data'!$D$4:$D$5000,"*** Mnemonic not found ***",0)</f>
        <v>*** Mnemonic not found ***</v>
      </c>
      <c r="F990" t="str">
        <f t="shared" si="261"/>
        <v>SUCMRUR4SFERG3_LESS1__</v>
      </c>
      <c r="H990" s="9" t="s">
        <v>1137</v>
      </c>
      <c r="K990" s="9">
        <f t="shared" ref="K990:K998" si="264">K989</f>
        <v>282</v>
      </c>
      <c r="L990" s="9" t="str">
        <f t="shared" si="263"/>
        <v>E</v>
      </c>
      <c r="M990" s="9" t="str">
        <f t="shared" si="262"/>
        <v>Input!E282</v>
      </c>
      <c r="N990" s="9">
        <f>_xlfn.XLOOKUP(F990,'Raw Data'!$I$4:$I$5000,'Raw Data'!$E$4:$E$5000,100,0)</f>
        <v>100</v>
      </c>
      <c r="O990" s="9" t="str">
        <f>IF(N990=0,_xlfn.XLOOKUP(F990,'Raw Data'!$I$4:$I$5000,'Raw Data'!$H$4:$H$5000,"",0),"")</f>
        <v/>
      </c>
      <c r="P990" s="9" t="str" cm="1">
        <f t="array" aca="1" ref="P990" ca="1">IF(INDIRECT(M990) = "","",INDIRECT(M990))</f>
        <v/>
      </c>
      <c r="Q990" s="359" t="s">
        <v>4381</v>
      </c>
    </row>
    <row r="991" spans="1:17" x14ac:dyDescent="0.35">
      <c r="A991" t="s">
        <v>2045</v>
      </c>
      <c r="E991" t="str">
        <f>_xlfn.XLOOKUP(F991,'Raw Data'!$I$4:$I$5000,'Raw Data'!$D$4:$D$5000,"*** Mnemonic not found ***",0)</f>
        <v>*** Mnemonic not found ***</v>
      </c>
      <c r="F991" t="str">
        <f t="shared" si="261"/>
        <v>SUCMRUR4SFERG4_LESS1__</v>
      </c>
      <c r="H991" s="9" t="s">
        <v>1137</v>
      </c>
      <c r="K991" s="9">
        <f t="shared" si="264"/>
        <v>282</v>
      </c>
      <c r="L991" s="9" t="str">
        <f t="shared" si="263"/>
        <v>F</v>
      </c>
      <c r="M991" s="9" t="str">
        <f t="shared" si="262"/>
        <v>Input!F282</v>
      </c>
      <c r="N991" s="9">
        <f>_xlfn.XLOOKUP(F991,'Raw Data'!$I$4:$I$5000,'Raw Data'!$E$4:$E$5000,100,0)</f>
        <v>100</v>
      </c>
      <c r="O991" s="9" t="str">
        <f>IF(N991=0,_xlfn.XLOOKUP(F991,'Raw Data'!$I$4:$I$5000,'Raw Data'!$H$4:$H$5000,"",0),"")</f>
        <v/>
      </c>
      <c r="P991" s="9" t="str" cm="1">
        <f t="array" aca="1" ref="P991" ca="1">IF(INDIRECT(M991) = "","",INDIRECT(M991))</f>
        <v/>
      </c>
      <c r="Q991" s="359" t="s">
        <v>4381</v>
      </c>
    </row>
    <row r="992" spans="1:17" x14ac:dyDescent="0.35">
      <c r="A992" t="s">
        <v>2050</v>
      </c>
      <c r="E992" t="str">
        <f>_xlfn.XLOOKUP(F992,'Raw Data'!$I$4:$I$5000,'Raw Data'!$D$4:$D$5000,"*** Mnemonic not found ***",0)</f>
        <v>*** Mnemonic not found ***</v>
      </c>
      <c r="F992" t="str">
        <f t="shared" si="261"/>
        <v>SUCMRUR4SFERG5_LESS1__</v>
      </c>
      <c r="H992" s="9" t="s">
        <v>1137</v>
      </c>
      <c r="K992" s="9">
        <f t="shared" si="264"/>
        <v>282</v>
      </c>
      <c r="L992" s="9" t="str">
        <f t="shared" si="263"/>
        <v>G</v>
      </c>
      <c r="M992" s="9" t="str">
        <f t="shared" si="262"/>
        <v>Input!G282</v>
      </c>
      <c r="N992" s="9">
        <f>_xlfn.XLOOKUP(F992,'Raw Data'!$I$4:$I$5000,'Raw Data'!$E$4:$E$5000,100,0)</f>
        <v>100</v>
      </c>
      <c r="O992" s="9" t="str">
        <f>IF(N992=0,_xlfn.XLOOKUP(F992,'Raw Data'!$I$4:$I$5000,'Raw Data'!$H$4:$H$5000,"",0),"")</f>
        <v/>
      </c>
      <c r="P992" s="9" t="str" cm="1">
        <f t="array" aca="1" ref="P992" ca="1">IF(INDIRECT(M992) = "","",INDIRECT(M992))</f>
        <v/>
      </c>
      <c r="Q992" s="359" t="s">
        <v>4381</v>
      </c>
    </row>
    <row r="993" spans="1:17" x14ac:dyDescent="0.35">
      <c r="A993" t="s">
        <v>2055</v>
      </c>
      <c r="E993" t="str">
        <f>_xlfn.XLOOKUP(F993,'Raw Data'!$I$4:$I$5000,'Raw Data'!$D$4:$D$5000,"*** Mnemonic not found ***",0)</f>
        <v>*** Mnemonic not found ***</v>
      </c>
      <c r="F993" t="str">
        <f t="shared" si="261"/>
        <v>SUCMRUR4SFERG6_LESS1__</v>
      </c>
      <c r="H993" s="9" t="s">
        <v>1137</v>
      </c>
      <c r="K993" s="9">
        <f t="shared" si="264"/>
        <v>282</v>
      </c>
      <c r="L993" s="9" t="str">
        <f t="shared" si="263"/>
        <v>H</v>
      </c>
      <c r="M993" s="9" t="str">
        <f t="shared" si="262"/>
        <v>Input!H282</v>
      </c>
      <c r="N993" s="9">
        <f>_xlfn.XLOOKUP(F993,'Raw Data'!$I$4:$I$5000,'Raw Data'!$E$4:$E$5000,100,0)</f>
        <v>100</v>
      </c>
      <c r="O993" s="9" t="str">
        <f>IF(N993=0,_xlfn.XLOOKUP(F993,'Raw Data'!$I$4:$I$5000,'Raw Data'!$H$4:$H$5000,"",0),"")</f>
        <v/>
      </c>
      <c r="P993" s="9" t="str" cm="1">
        <f t="array" aca="1" ref="P993" ca="1">IF(INDIRECT(M993) = "","",INDIRECT(M993))</f>
        <v/>
      </c>
      <c r="Q993" s="359" t="s">
        <v>4381</v>
      </c>
    </row>
    <row r="994" spans="1:17" x14ac:dyDescent="0.35">
      <c r="A994" t="s">
        <v>2060</v>
      </c>
      <c r="E994" t="str">
        <f>_xlfn.XLOOKUP(F994,'Raw Data'!$I$4:$I$5000,'Raw Data'!$D$4:$D$5000,"*** Mnemonic not found ***",0)</f>
        <v>*** Mnemonic not found ***</v>
      </c>
      <c r="F994" t="str">
        <f t="shared" si="261"/>
        <v>SUCMRUR4SFERG7_LESS1__</v>
      </c>
      <c r="H994" s="9" t="s">
        <v>1137</v>
      </c>
      <c r="K994" s="9">
        <f t="shared" si="264"/>
        <v>282</v>
      </c>
      <c r="L994" s="9" t="str">
        <f t="shared" si="263"/>
        <v>I</v>
      </c>
      <c r="M994" s="9" t="str">
        <f t="shared" si="262"/>
        <v>Input!I282</v>
      </c>
      <c r="N994" s="9">
        <f>_xlfn.XLOOKUP(F994,'Raw Data'!$I$4:$I$5000,'Raw Data'!$E$4:$E$5000,100,0)</f>
        <v>100</v>
      </c>
      <c r="O994" s="9" t="str">
        <f>IF(N994=0,_xlfn.XLOOKUP(F994,'Raw Data'!$I$4:$I$5000,'Raw Data'!$H$4:$H$5000,"",0),"")</f>
        <v/>
      </c>
      <c r="P994" s="9" t="str" cm="1">
        <f t="array" aca="1" ref="P994" ca="1">IF(INDIRECT(M994) = "","",INDIRECT(M994))</f>
        <v/>
      </c>
      <c r="Q994" s="359" t="s">
        <v>4381</v>
      </c>
    </row>
    <row r="995" spans="1:17" x14ac:dyDescent="0.35">
      <c r="A995" t="s">
        <v>2065</v>
      </c>
      <c r="E995" t="str">
        <f>_xlfn.XLOOKUP(F995,'Raw Data'!$I$4:$I$5000,'Raw Data'!$D$4:$D$5000,"*** Mnemonic not found ***",0)</f>
        <v>*** Mnemonic not found ***</v>
      </c>
      <c r="F995" t="str">
        <f t="shared" si="261"/>
        <v>SUCMRUR4SFERG8_LESS1__</v>
      </c>
      <c r="H995" s="9" t="s">
        <v>1137</v>
      </c>
      <c r="K995" s="9">
        <f t="shared" si="264"/>
        <v>282</v>
      </c>
      <c r="L995" s="9" t="str">
        <f t="shared" si="263"/>
        <v>J</v>
      </c>
      <c r="M995" s="9" t="str">
        <f t="shared" si="262"/>
        <v>Input!J282</v>
      </c>
      <c r="N995" s="9">
        <f>_xlfn.XLOOKUP(F995,'Raw Data'!$I$4:$I$5000,'Raw Data'!$E$4:$E$5000,100,0)</f>
        <v>100</v>
      </c>
      <c r="O995" s="9" t="str">
        <f>IF(N995=0,_xlfn.XLOOKUP(F995,'Raw Data'!$I$4:$I$5000,'Raw Data'!$H$4:$H$5000,"",0),"")</f>
        <v/>
      </c>
      <c r="P995" s="9" t="str" cm="1">
        <f t="array" aca="1" ref="P995" ca="1">IF(INDIRECT(M995) = "","",INDIRECT(M995))</f>
        <v/>
      </c>
      <c r="Q995" s="359" t="s">
        <v>4381</v>
      </c>
    </row>
    <row r="996" spans="1:17" x14ac:dyDescent="0.35">
      <c r="A996" t="s">
        <v>2070</v>
      </c>
      <c r="E996" t="str">
        <f>_xlfn.XLOOKUP(F996,'Raw Data'!$I$4:$I$5000,'Raw Data'!$D$4:$D$5000,"*** Mnemonic not found ***",0)</f>
        <v>*** Mnemonic not found ***</v>
      </c>
      <c r="F996" t="str">
        <f t="shared" si="261"/>
        <v>SUCMRUR4SFERG9_LESS1__</v>
      </c>
      <c r="H996" s="9" t="s">
        <v>1137</v>
      </c>
      <c r="K996" s="9">
        <f t="shared" si="264"/>
        <v>282</v>
      </c>
      <c r="L996" s="9" t="str">
        <f t="shared" si="263"/>
        <v>K</v>
      </c>
      <c r="M996" s="9" t="str">
        <f t="shared" si="262"/>
        <v>Input!K282</v>
      </c>
      <c r="N996" s="9">
        <f>_xlfn.XLOOKUP(F996,'Raw Data'!$I$4:$I$5000,'Raw Data'!$E$4:$E$5000,100,0)</f>
        <v>100</v>
      </c>
      <c r="O996" s="9" t="str">
        <f>IF(N996=0,_xlfn.XLOOKUP(F996,'Raw Data'!$I$4:$I$5000,'Raw Data'!$H$4:$H$5000,"",0),"")</f>
        <v/>
      </c>
      <c r="P996" s="9" t="str" cm="1">
        <f t="array" aca="1" ref="P996" ca="1">IF(INDIRECT(M996) = "","",INDIRECT(M996))</f>
        <v/>
      </c>
      <c r="Q996" s="359" t="s">
        <v>4381</v>
      </c>
    </row>
    <row r="997" spans="1:17" x14ac:dyDescent="0.35">
      <c r="A997" t="s">
        <v>2075</v>
      </c>
      <c r="E997" t="str">
        <f>_xlfn.XLOOKUP(F997,'Raw Data'!$I$4:$I$5000,'Raw Data'!$D$4:$D$5000,"*** Mnemonic not found ***",0)</f>
        <v>*** Mnemonic not found ***</v>
      </c>
      <c r="F997" t="str">
        <f t="shared" si="261"/>
        <v>SUCMRUR4SFERG10_LESS1__</v>
      </c>
      <c r="H997" s="9" t="s">
        <v>1137</v>
      </c>
      <c r="K997" s="9">
        <f t="shared" si="264"/>
        <v>282</v>
      </c>
      <c r="L997" s="9" t="str">
        <f t="shared" si="263"/>
        <v>L</v>
      </c>
      <c r="M997" s="9" t="str">
        <f t="shared" si="262"/>
        <v>Input!L282</v>
      </c>
      <c r="N997" s="9">
        <f>_xlfn.XLOOKUP(F997,'Raw Data'!$I$4:$I$5000,'Raw Data'!$E$4:$E$5000,100,0)</f>
        <v>100</v>
      </c>
      <c r="O997" s="9" t="str">
        <f>IF(N997=0,_xlfn.XLOOKUP(F997,'Raw Data'!$I$4:$I$5000,'Raw Data'!$H$4:$H$5000,"",0),"")</f>
        <v/>
      </c>
      <c r="P997" s="9" t="str" cm="1">
        <f t="array" aca="1" ref="P997" ca="1">IF(INDIRECT(M997) = "","",INDIRECT(M997))</f>
        <v/>
      </c>
      <c r="Q997" s="359" t="s">
        <v>4381</v>
      </c>
    </row>
    <row r="998" spans="1:17" x14ac:dyDescent="0.35">
      <c r="A998" t="s">
        <v>2080</v>
      </c>
      <c r="E998" t="str">
        <f>_xlfn.XLOOKUP(F998,'Raw Data'!$I$4:$I$5000,'Raw Data'!$D$4:$D$5000,"*** Mnemonic not found ***",0)</f>
        <v>*** Mnemonic not found ***</v>
      </c>
      <c r="F998" t="str">
        <f t="shared" si="261"/>
        <v>SUCMRUR4SFERGNA_LESS1__</v>
      </c>
      <c r="H998" s="9" t="s">
        <v>1137</v>
      </c>
      <c r="K998" s="9">
        <f t="shared" si="264"/>
        <v>282</v>
      </c>
      <c r="L998" s="9" t="str">
        <f t="shared" si="263"/>
        <v>M</v>
      </c>
      <c r="M998" s="9" t="str">
        <f t="shared" si="262"/>
        <v>Input!M282</v>
      </c>
      <c r="N998" s="9">
        <f>_xlfn.XLOOKUP(F998,'Raw Data'!$I$4:$I$5000,'Raw Data'!$E$4:$E$5000,100,0)</f>
        <v>100</v>
      </c>
      <c r="O998" s="9" t="str">
        <f>IF(N998=0,_xlfn.XLOOKUP(F998,'Raw Data'!$I$4:$I$5000,'Raw Data'!$H$4:$H$5000,"",0),"")</f>
        <v/>
      </c>
      <c r="P998" s="9" t="str" cm="1">
        <f t="array" aca="1" ref="P998" ca="1">IF(INDIRECT(M998) = "","",INDIRECT(M998))</f>
        <v/>
      </c>
      <c r="Q998" s="359" t="s">
        <v>4381</v>
      </c>
    </row>
    <row r="999" spans="1:17" x14ac:dyDescent="0.35">
      <c r="A999" t="s">
        <v>2031</v>
      </c>
      <c r="E999" t="str">
        <f>_xlfn.XLOOKUP(F999,'Raw Data'!$I$4:$I$5000,'Raw Data'!$D$4:$D$5000,"*** Mnemonic not found ***",0)</f>
        <v>*** Mnemonic not found ***</v>
      </c>
      <c r="F999" t="str">
        <f t="shared" si="261"/>
        <v>SUCMRUR4SFERG1_1TO5__</v>
      </c>
      <c r="H999" s="9" t="s">
        <v>1137</v>
      </c>
      <c r="K999" s="9">
        <f>K988+1</f>
        <v>283</v>
      </c>
      <c r="L999" s="9" t="str">
        <f>L988</f>
        <v>C</v>
      </c>
      <c r="M999" s="9" t="str">
        <f t="shared" si="262"/>
        <v>Input!C283</v>
      </c>
      <c r="N999" s="9">
        <f>_xlfn.XLOOKUP(F999,'Raw Data'!$I$4:$I$5000,'Raw Data'!$E$4:$E$5000,100,0)</f>
        <v>100</v>
      </c>
      <c r="O999" s="9" t="str">
        <f>IF(N999=0,_xlfn.XLOOKUP(F999,'Raw Data'!$I$4:$I$5000,'Raw Data'!$H$4:$H$5000,"",0),"")</f>
        <v/>
      </c>
      <c r="P999" s="9" t="str" cm="1">
        <f t="array" aca="1" ref="P999" ca="1">IF(INDIRECT(M999) = "","",INDIRECT(M999))</f>
        <v/>
      </c>
      <c r="Q999" s="359" t="s">
        <v>4381</v>
      </c>
    </row>
    <row r="1000" spans="1:17" x14ac:dyDescent="0.35">
      <c r="A1000" t="s">
        <v>2036</v>
      </c>
      <c r="E1000" t="str">
        <f>_xlfn.XLOOKUP(F1000,'Raw Data'!$I$4:$I$5000,'Raw Data'!$D$4:$D$5000,"*** Mnemonic not found ***",0)</f>
        <v>*** Mnemonic not found ***</v>
      </c>
      <c r="F1000" t="str">
        <f t="shared" si="261"/>
        <v>SUCMRUR4SFERG2_1TO5__</v>
      </c>
      <c r="H1000" s="9" t="s">
        <v>1137</v>
      </c>
      <c r="K1000" s="9">
        <f t="shared" ref="K1000:K1042" si="265">K989+1</f>
        <v>283</v>
      </c>
      <c r="L1000" s="9" t="str">
        <f t="shared" ref="L1000:L1042" si="266">L989</f>
        <v>D</v>
      </c>
      <c r="M1000" s="9" t="str">
        <f t="shared" si="262"/>
        <v>Input!D283</v>
      </c>
      <c r="N1000" s="9">
        <f>_xlfn.XLOOKUP(F1000,'Raw Data'!$I$4:$I$5000,'Raw Data'!$E$4:$E$5000,100,0)</f>
        <v>100</v>
      </c>
      <c r="O1000" s="9" t="str">
        <f>IF(N1000=0,_xlfn.XLOOKUP(F1000,'Raw Data'!$I$4:$I$5000,'Raw Data'!$H$4:$H$5000,"",0),"")</f>
        <v/>
      </c>
      <c r="P1000" s="9" t="str" cm="1">
        <f t="array" aca="1" ref="P1000" ca="1">IF(INDIRECT(M1000) = "","",INDIRECT(M1000))</f>
        <v/>
      </c>
      <c r="Q1000" s="359" t="s">
        <v>4381</v>
      </c>
    </row>
    <row r="1001" spans="1:17" x14ac:dyDescent="0.35">
      <c r="A1001" t="s">
        <v>2041</v>
      </c>
      <c r="E1001" t="str">
        <f>_xlfn.XLOOKUP(F1001,'Raw Data'!$I$4:$I$5000,'Raw Data'!$D$4:$D$5000,"*** Mnemonic not found ***",0)</f>
        <v>*** Mnemonic not found ***</v>
      </c>
      <c r="F1001" t="str">
        <f t="shared" si="261"/>
        <v>SUCMRUR4SFERG3_1TO5__</v>
      </c>
      <c r="H1001" s="9" t="s">
        <v>1137</v>
      </c>
      <c r="K1001" s="9">
        <f t="shared" si="265"/>
        <v>283</v>
      </c>
      <c r="L1001" s="9" t="str">
        <f t="shared" si="266"/>
        <v>E</v>
      </c>
      <c r="M1001" s="9" t="str">
        <f t="shared" si="262"/>
        <v>Input!E283</v>
      </c>
      <c r="N1001" s="9">
        <f>_xlfn.XLOOKUP(F1001,'Raw Data'!$I$4:$I$5000,'Raw Data'!$E$4:$E$5000,100,0)</f>
        <v>100</v>
      </c>
      <c r="O1001" s="9" t="str">
        <f>IF(N1001=0,_xlfn.XLOOKUP(F1001,'Raw Data'!$I$4:$I$5000,'Raw Data'!$H$4:$H$5000,"",0),"")</f>
        <v/>
      </c>
      <c r="P1001" s="9" t="str" cm="1">
        <f t="array" aca="1" ref="P1001" ca="1">IF(INDIRECT(M1001) = "","",INDIRECT(M1001))</f>
        <v/>
      </c>
      <c r="Q1001" s="359" t="s">
        <v>4381</v>
      </c>
    </row>
    <row r="1002" spans="1:17" x14ac:dyDescent="0.35">
      <c r="A1002" t="s">
        <v>2046</v>
      </c>
      <c r="E1002" t="str">
        <f>_xlfn.XLOOKUP(F1002,'Raw Data'!$I$4:$I$5000,'Raw Data'!$D$4:$D$5000,"*** Mnemonic not found ***",0)</f>
        <v>*** Mnemonic not found ***</v>
      </c>
      <c r="F1002" t="str">
        <f t="shared" si="261"/>
        <v>SUCMRUR4SFERG4_1TO5__</v>
      </c>
      <c r="H1002" s="9" t="s">
        <v>1137</v>
      </c>
      <c r="K1002" s="9">
        <f t="shared" si="265"/>
        <v>283</v>
      </c>
      <c r="L1002" s="9" t="str">
        <f t="shared" si="266"/>
        <v>F</v>
      </c>
      <c r="M1002" s="9" t="str">
        <f t="shared" si="262"/>
        <v>Input!F283</v>
      </c>
      <c r="N1002" s="9">
        <f>_xlfn.XLOOKUP(F1002,'Raw Data'!$I$4:$I$5000,'Raw Data'!$E$4:$E$5000,100,0)</f>
        <v>100</v>
      </c>
      <c r="O1002" s="9" t="str">
        <f>IF(N1002=0,_xlfn.XLOOKUP(F1002,'Raw Data'!$I$4:$I$5000,'Raw Data'!$H$4:$H$5000,"",0),"")</f>
        <v/>
      </c>
      <c r="P1002" s="9" t="str" cm="1">
        <f t="array" aca="1" ref="P1002" ca="1">IF(INDIRECT(M1002) = "","",INDIRECT(M1002))</f>
        <v/>
      </c>
      <c r="Q1002" s="359" t="s">
        <v>4381</v>
      </c>
    </row>
    <row r="1003" spans="1:17" x14ac:dyDescent="0.35">
      <c r="A1003" t="s">
        <v>2051</v>
      </c>
      <c r="E1003" t="str">
        <f>_xlfn.XLOOKUP(F1003,'Raw Data'!$I$4:$I$5000,'Raw Data'!$D$4:$D$5000,"*** Mnemonic not found ***",0)</f>
        <v>*** Mnemonic not found ***</v>
      </c>
      <c r="F1003" t="str">
        <f t="shared" si="261"/>
        <v>SUCMRUR4SFERG5_1TO5__</v>
      </c>
      <c r="H1003" s="9" t="s">
        <v>1137</v>
      </c>
      <c r="K1003" s="9">
        <f t="shared" si="265"/>
        <v>283</v>
      </c>
      <c r="L1003" s="9" t="str">
        <f t="shared" si="266"/>
        <v>G</v>
      </c>
      <c r="M1003" s="9" t="str">
        <f t="shared" si="262"/>
        <v>Input!G283</v>
      </c>
      <c r="N1003" s="9">
        <f>_xlfn.XLOOKUP(F1003,'Raw Data'!$I$4:$I$5000,'Raw Data'!$E$4:$E$5000,100,0)</f>
        <v>100</v>
      </c>
      <c r="O1003" s="9" t="str">
        <f>IF(N1003=0,_xlfn.XLOOKUP(F1003,'Raw Data'!$I$4:$I$5000,'Raw Data'!$H$4:$H$5000,"",0),"")</f>
        <v/>
      </c>
      <c r="P1003" s="9" t="str" cm="1">
        <f t="array" aca="1" ref="P1003" ca="1">IF(INDIRECT(M1003) = "","",INDIRECT(M1003))</f>
        <v/>
      </c>
      <c r="Q1003" s="359" t="s">
        <v>4381</v>
      </c>
    </row>
    <row r="1004" spans="1:17" x14ac:dyDescent="0.35">
      <c r="A1004" t="s">
        <v>2056</v>
      </c>
      <c r="E1004" t="str">
        <f>_xlfn.XLOOKUP(F1004,'Raw Data'!$I$4:$I$5000,'Raw Data'!$D$4:$D$5000,"*** Mnemonic not found ***",0)</f>
        <v>*** Mnemonic not found ***</v>
      </c>
      <c r="F1004" t="str">
        <f t="shared" si="261"/>
        <v>SUCMRUR4SFERG6_1TO5__</v>
      </c>
      <c r="H1004" s="9" t="s">
        <v>1137</v>
      </c>
      <c r="K1004" s="9">
        <f t="shared" si="265"/>
        <v>283</v>
      </c>
      <c r="L1004" s="9" t="str">
        <f t="shared" si="266"/>
        <v>H</v>
      </c>
      <c r="M1004" s="9" t="str">
        <f t="shared" si="262"/>
        <v>Input!H283</v>
      </c>
      <c r="N1004" s="9">
        <f>_xlfn.XLOOKUP(F1004,'Raw Data'!$I$4:$I$5000,'Raw Data'!$E$4:$E$5000,100,0)</f>
        <v>100</v>
      </c>
      <c r="O1004" s="9" t="str">
        <f>IF(N1004=0,_xlfn.XLOOKUP(F1004,'Raw Data'!$I$4:$I$5000,'Raw Data'!$H$4:$H$5000,"",0),"")</f>
        <v/>
      </c>
      <c r="P1004" s="9" t="str" cm="1">
        <f t="array" aca="1" ref="P1004" ca="1">IF(INDIRECT(M1004) = "","",INDIRECT(M1004))</f>
        <v/>
      </c>
      <c r="Q1004" s="359" t="s">
        <v>4381</v>
      </c>
    </row>
    <row r="1005" spans="1:17" x14ac:dyDescent="0.35">
      <c r="A1005" t="s">
        <v>2061</v>
      </c>
      <c r="E1005" t="str">
        <f>_xlfn.XLOOKUP(F1005,'Raw Data'!$I$4:$I$5000,'Raw Data'!$D$4:$D$5000,"*** Mnemonic not found ***",0)</f>
        <v>*** Mnemonic not found ***</v>
      </c>
      <c r="F1005" t="str">
        <f t="shared" si="261"/>
        <v>SUCMRUR4SFERG7_1TO5__</v>
      </c>
      <c r="H1005" s="9" t="s">
        <v>1137</v>
      </c>
      <c r="K1005" s="9">
        <f t="shared" si="265"/>
        <v>283</v>
      </c>
      <c r="L1005" s="9" t="str">
        <f t="shared" si="266"/>
        <v>I</v>
      </c>
      <c r="M1005" s="9" t="str">
        <f t="shared" si="262"/>
        <v>Input!I283</v>
      </c>
      <c r="N1005" s="9">
        <f>_xlfn.XLOOKUP(F1005,'Raw Data'!$I$4:$I$5000,'Raw Data'!$E$4:$E$5000,100,0)</f>
        <v>100</v>
      </c>
      <c r="O1005" s="9" t="str">
        <f>IF(N1005=0,_xlfn.XLOOKUP(F1005,'Raw Data'!$I$4:$I$5000,'Raw Data'!$H$4:$H$5000,"",0),"")</f>
        <v/>
      </c>
      <c r="P1005" s="9" t="str" cm="1">
        <f t="array" aca="1" ref="P1005" ca="1">IF(INDIRECT(M1005) = "","",INDIRECT(M1005))</f>
        <v/>
      </c>
      <c r="Q1005" s="359" t="s">
        <v>4381</v>
      </c>
    </row>
    <row r="1006" spans="1:17" x14ac:dyDescent="0.35">
      <c r="A1006" t="s">
        <v>2066</v>
      </c>
      <c r="E1006" t="str">
        <f>_xlfn.XLOOKUP(F1006,'Raw Data'!$I$4:$I$5000,'Raw Data'!$D$4:$D$5000,"*** Mnemonic not found ***",0)</f>
        <v>*** Mnemonic not found ***</v>
      </c>
      <c r="F1006" t="str">
        <f t="shared" si="261"/>
        <v>SUCMRUR4SFERG8_1TO5__</v>
      </c>
      <c r="H1006" s="9" t="s">
        <v>1137</v>
      </c>
      <c r="K1006" s="9">
        <f t="shared" si="265"/>
        <v>283</v>
      </c>
      <c r="L1006" s="9" t="str">
        <f t="shared" si="266"/>
        <v>J</v>
      </c>
      <c r="M1006" s="9" t="str">
        <f t="shared" si="262"/>
        <v>Input!J283</v>
      </c>
      <c r="N1006" s="9">
        <f>_xlfn.XLOOKUP(F1006,'Raw Data'!$I$4:$I$5000,'Raw Data'!$E$4:$E$5000,100,0)</f>
        <v>100</v>
      </c>
      <c r="O1006" s="9" t="str">
        <f>IF(N1006=0,_xlfn.XLOOKUP(F1006,'Raw Data'!$I$4:$I$5000,'Raw Data'!$H$4:$H$5000,"",0),"")</f>
        <v/>
      </c>
      <c r="P1006" s="9" t="str" cm="1">
        <f t="array" aca="1" ref="P1006" ca="1">IF(INDIRECT(M1006) = "","",INDIRECT(M1006))</f>
        <v/>
      </c>
      <c r="Q1006" s="359" t="s">
        <v>4381</v>
      </c>
    </row>
    <row r="1007" spans="1:17" x14ac:dyDescent="0.35">
      <c r="A1007" t="s">
        <v>2071</v>
      </c>
      <c r="E1007" t="str">
        <f>_xlfn.XLOOKUP(F1007,'Raw Data'!$I$4:$I$5000,'Raw Data'!$D$4:$D$5000,"*** Mnemonic not found ***",0)</f>
        <v>*** Mnemonic not found ***</v>
      </c>
      <c r="F1007" t="str">
        <f t="shared" si="261"/>
        <v>SUCMRUR4SFERG9_1TO5__</v>
      </c>
      <c r="H1007" s="9" t="s">
        <v>1137</v>
      </c>
      <c r="K1007" s="9">
        <f t="shared" si="265"/>
        <v>283</v>
      </c>
      <c r="L1007" s="9" t="str">
        <f t="shared" si="266"/>
        <v>K</v>
      </c>
      <c r="M1007" s="9" t="str">
        <f t="shared" si="262"/>
        <v>Input!K283</v>
      </c>
      <c r="N1007" s="9">
        <f>_xlfn.XLOOKUP(F1007,'Raw Data'!$I$4:$I$5000,'Raw Data'!$E$4:$E$5000,100,0)</f>
        <v>100</v>
      </c>
      <c r="O1007" s="9" t="str">
        <f>IF(N1007=0,_xlfn.XLOOKUP(F1007,'Raw Data'!$I$4:$I$5000,'Raw Data'!$H$4:$H$5000,"",0),"")</f>
        <v/>
      </c>
      <c r="P1007" s="9" t="str" cm="1">
        <f t="array" aca="1" ref="P1007" ca="1">IF(INDIRECT(M1007) = "","",INDIRECT(M1007))</f>
        <v/>
      </c>
      <c r="Q1007" s="359" t="s">
        <v>4381</v>
      </c>
    </row>
    <row r="1008" spans="1:17" x14ac:dyDescent="0.35">
      <c r="A1008" t="s">
        <v>2076</v>
      </c>
      <c r="E1008" t="str">
        <f>_xlfn.XLOOKUP(F1008,'Raw Data'!$I$4:$I$5000,'Raw Data'!$D$4:$D$5000,"*** Mnemonic not found ***",0)</f>
        <v>*** Mnemonic not found ***</v>
      </c>
      <c r="F1008" t="str">
        <f t="shared" si="261"/>
        <v>SUCMRUR4SFERG10_1TO5__</v>
      </c>
      <c r="H1008" s="9" t="s">
        <v>1137</v>
      </c>
      <c r="K1008" s="9">
        <f t="shared" si="265"/>
        <v>283</v>
      </c>
      <c r="L1008" s="9" t="str">
        <f t="shared" si="266"/>
        <v>L</v>
      </c>
      <c r="M1008" s="9" t="str">
        <f t="shared" si="262"/>
        <v>Input!L283</v>
      </c>
      <c r="N1008" s="9">
        <f>_xlfn.XLOOKUP(F1008,'Raw Data'!$I$4:$I$5000,'Raw Data'!$E$4:$E$5000,100,0)</f>
        <v>100</v>
      </c>
      <c r="O1008" s="9" t="str">
        <f>IF(N1008=0,_xlfn.XLOOKUP(F1008,'Raw Data'!$I$4:$I$5000,'Raw Data'!$H$4:$H$5000,"",0),"")</f>
        <v/>
      </c>
      <c r="P1008" s="9" t="str" cm="1">
        <f t="array" aca="1" ref="P1008" ca="1">IF(INDIRECT(M1008) = "","",INDIRECT(M1008))</f>
        <v/>
      </c>
      <c r="Q1008" s="359" t="s">
        <v>4381</v>
      </c>
    </row>
    <row r="1009" spans="1:17" x14ac:dyDescent="0.35">
      <c r="A1009" t="s">
        <v>2081</v>
      </c>
      <c r="E1009" t="str">
        <f>_xlfn.XLOOKUP(F1009,'Raw Data'!$I$4:$I$5000,'Raw Data'!$D$4:$D$5000,"*** Mnemonic not found ***",0)</f>
        <v>*** Mnemonic not found ***</v>
      </c>
      <c r="F1009" t="str">
        <f t="shared" si="261"/>
        <v>SUCMRUR4SFERGNA_1TO5__</v>
      </c>
      <c r="H1009" s="9" t="s">
        <v>1137</v>
      </c>
      <c r="K1009" s="9">
        <f t="shared" si="265"/>
        <v>283</v>
      </c>
      <c r="L1009" s="9" t="str">
        <f t="shared" si="266"/>
        <v>M</v>
      </c>
      <c r="M1009" s="9" t="str">
        <f t="shared" si="262"/>
        <v>Input!M283</v>
      </c>
      <c r="N1009" s="9">
        <f>_xlfn.XLOOKUP(F1009,'Raw Data'!$I$4:$I$5000,'Raw Data'!$E$4:$E$5000,100,0)</f>
        <v>100</v>
      </c>
      <c r="O1009" s="9" t="str">
        <f>IF(N1009=0,_xlfn.XLOOKUP(F1009,'Raw Data'!$I$4:$I$5000,'Raw Data'!$H$4:$H$5000,"",0),"")</f>
        <v/>
      </c>
      <c r="P1009" s="9" t="str" cm="1">
        <f t="array" aca="1" ref="P1009" ca="1">IF(INDIRECT(M1009) = "","",INDIRECT(M1009))</f>
        <v/>
      </c>
      <c r="Q1009" s="359" t="s">
        <v>4381</v>
      </c>
    </row>
    <row r="1010" spans="1:17" x14ac:dyDescent="0.35">
      <c r="A1010" t="s">
        <v>2032</v>
      </c>
      <c r="E1010" t="str">
        <f>_xlfn.XLOOKUP(F1010,'Raw Data'!$I$4:$I$5000,'Raw Data'!$D$4:$D$5000,"*** Mnemonic not found ***",0)</f>
        <v>*** Mnemonic not found ***</v>
      </c>
      <c r="F1010" t="str">
        <f t="shared" si="261"/>
        <v>SUCMRUR4SFERG1_5TO10__</v>
      </c>
      <c r="H1010" s="9" t="s">
        <v>1137</v>
      </c>
      <c r="K1010" s="9">
        <f t="shared" si="265"/>
        <v>284</v>
      </c>
      <c r="L1010" s="9" t="str">
        <f t="shared" si="266"/>
        <v>C</v>
      </c>
      <c r="M1010" s="9" t="str">
        <f t="shared" si="262"/>
        <v>Input!C284</v>
      </c>
      <c r="N1010" s="9">
        <f>_xlfn.XLOOKUP(F1010,'Raw Data'!$I$4:$I$5000,'Raw Data'!$E$4:$E$5000,100,0)</f>
        <v>100</v>
      </c>
      <c r="O1010" s="9" t="str">
        <f>IF(N1010=0,_xlfn.XLOOKUP(F1010,'Raw Data'!$I$4:$I$5000,'Raw Data'!$H$4:$H$5000,"",0),"")</f>
        <v/>
      </c>
      <c r="P1010" s="9" t="str" cm="1">
        <f t="array" aca="1" ref="P1010" ca="1">IF(INDIRECT(M1010) = "","",INDIRECT(M1010))</f>
        <v/>
      </c>
      <c r="Q1010" s="359" t="s">
        <v>4381</v>
      </c>
    </row>
    <row r="1011" spans="1:17" x14ac:dyDescent="0.35">
      <c r="A1011" t="s">
        <v>2037</v>
      </c>
      <c r="E1011" t="str">
        <f>_xlfn.XLOOKUP(F1011,'Raw Data'!$I$4:$I$5000,'Raw Data'!$D$4:$D$5000,"*** Mnemonic not found ***",0)</f>
        <v>*** Mnemonic not found ***</v>
      </c>
      <c r="F1011" t="str">
        <f t="shared" si="261"/>
        <v>SUCMRUR4SFERG2_5TO10__</v>
      </c>
      <c r="H1011" s="9" t="s">
        <v>1137</v>
      </c>
      <c r="K1011" s="9">
        <f t="shared" si="265"/>
        <v>284</v>
      </c>
      <c r="L1011" s="9" t="str">
        <f t="shared" si="266"/>
        <v>D</v>
      </c>
      <c r="M1011" s="9" t="str">
        <f t="shared" si="262"/>
        <v>Input!D284</v>
      </c>
      <c r="N1011" s="9">
        <f>_xlfn.XLOOKUP(F1011,'Raw Data'!$I$4:$I$5000,'Raw Data'!$E$4:$E$5000,100,0)</f>
        <v>100</v>
      </c>
      <c r="O1011" s="9" t="str">
        <f>IF(N1011=0,_xlfn.XLOOKUP(F1011,'Raw Data'!$I$4:$I$5000,'Raw Data'!$H$4:$H$5000,"",0),"")</f>
        <v/>
      </c>
      <c r="P1011" s="9" t="str" cm="1">
        <f t="array" aca="1" ref="P1011" ca="1">IF(INDIRECT(M1011) = "","",INDIRECT(M1011))</f>
        <v/>
      </c>
      <c r="Q1011" s="359" t="s">
        <v>4381</v>
      </c>
    </row>
    <row r="1012" spans="1:17" x14ac:dyDescent="0.35">
      <c r="A1012" t="s">
        <v>2042</v>
      </c>
      <c r="E1012" t="str">
        <f>_xlfn.XLOOKUP(F1012,'Raw Data'!$I$4:$I$5000,'Raw Data'!$D$4:$D$5000,"*** Mnemonic not found ***",0)</f>
        <v>*** Mnemonic not found ***</v>
      </c>
      <c r="F1012" t="str">
        <f t="shared" si="261"/>
        <v>SUCMRUR4SFERG3_5TO10__</v>
      </c>
      <c r="H1012" s="9" t="s">
        <v>1137</v>
      </c>
      <c r="K1012" s="9">
        <f t="shared" si="265"/>
        <v>284</v>
      </c>
      <c r="L1012" s="9" t="str">
        <f t="shared" si="266"/>
        <v>E</v>
      </c>
      <c r="M1012" s="9" t="str">
        <f t="shared" si="262"/>
        <v>Input!E284</v>
      </c>
      <c r="N1012" s="9">
        <f>_xlfn.XLOOKUP(F1012,'Raw Data'!$I$4:$I$5000,'Raw Data'!$E$4:$E$5000,100,0)</f>
        <v>100</v>
      </c>
      <c r="O1012" s="9" t="str">
        <f>IF(N1012=0,_xlfn.XLOOKUP(F1012,'Raw Data'!$I$4:$I$5000,'Raw Data'!$H$4:$H$5000,"",0),"")</f>
        <v/>
      </c>
      <c r="P1012" s="9" t="str" cm="1">
        <f t="array" aca="1" ref="P1012" ca="1">IF(INDIRECT(M1012) = "","",INDIRECT(M1012))</f>
        <v/>
      </c>
      <c r="Q1012" s="359" t="s">
        <v>4381</v>
      </c>
    </row>
    <row r="1013" spans="1:17" x14ac:dyDescent="0.35">
      <c r="A1013" t="s">
        <v>2047</v>
      </c>
      <c r="E1013" t="str">
        <f>_xlfn.XLOOKUP(F1013,'Raw Data'!$I$4:$I$5000,'Raw Data'!$D$4:$D$5000,"*** Mnemonic not found ***",0)</f>
        <v>*** Mnemonic not found ***</v>
      </c>
      <c r="F1013" t="str">
        <f t="shared" si="261"/>
        <v>SUCMRUR4SFERG4_5TO10__</v>
      </c>
      <c r="H1013" s="9" t="s">
        <v>1137</v>
      </c>
      <c r="K1013" s="9">
        <f t="shared" si="265"/>
        <v>284</v>
      </c>
      <c r="L1013" s="9" t="str">
        <f t="shared" si="266"/>
        <v>F</v>
      </c>
      <c r="M1013" s="9" t="str">
        <f t="shared" si="262"/>
        <v>Input!F284</v>
      </c>
      <c r="N1013" s="9">
        <f>_xlfn.XLOOKUP(F1013,'Raw Data'!$I$4:$I$5000,'Raw Data'!$E$4:$E$5000,100,0)</f>
        <v>100</v>
      </c>
      <c r="O1013" s="9" t="str">
        <f>IF(N1013=0,_xlfn.XLOOKUP(F1013,'Raw Data'!$I$4:$I$5000,'Raw Data'!$H$4:$H$5000,"",0),"")</f>
        <v/>
      </c>
      <c r="P1013" s="9" t="str" cm="1">
        <f t="array" aca="1" ref="P1013" ca="1">IF(INDIRECT(M1013) = "","",INDIRECT(M1013))</f>
        <v/>
      </c>
      <c r="Q1013" s="359" t="s">
        <v>4381</v>
      </c>
    </row>
    <row r="1014" spans="1:17" x14ac:dyDescent="0.35">
      <c r="A1014" t="s">
        <v>2052</v>
      </c>
      <c r="E1014" t="str">
        <f>_xlfn.XLOOKUP(F1014,'Raw Data'!$I$4:$I$5000,'Raw Data'!$D$4:$D$5000,"*** Mnemonic not found ***",0)</f>
        <v>*** Mnemonic not found ***</v>
      </c>
      <c r="F1014" t="str">
        <f t="shared" si="261"/>
        <v>SUCMRUR4SFERG5_5TO10__</v>
      </c>
      <c r="H1014" s="9" t="s">
        <v>1137</v>
      </c>
      <c r="K1014" s="9">
        <f t="shared" si="265"/>
        <v>284</v>
      </c>
      <c r="L1014" s="9" t="str">
        <f t="shared" si="266"/>
        <v>G</v>
      </c>
      <c r="M1014" s="9" t="str">
        <f t="shared" si="262"/>
        <v>Input!G284</v>
      </c>
      <c r="N1014" s="9">
        <f>_xlfn.XLOOKUP(F1014,'Raw Data'!$I$4:$I$5000,'Raw Data'!$E$4:$E$5000,100,0)</f>
        <v>100</v>
      </c>
      <c r="O1014" s="9" t="str">
        <f>IF(N1014=0,_xlfn.XLOOKUP(F1014,'Raw Data'!$I$4:$I$5000,'Raw Data'!$H$4:$H$5000,"",0),"")</f>
        <v/>
      </c>
      <c r="P1014" s="9" t="str" cm="1">
        <f t="array" aca="1" ref="P1014" ca="1">IF(INDIRECT(M1014) = "","",INDIRECT(M1014))</f>
        <v/>
      </c>
      <c r="Q1014" s="359" t="s">
        <v>4381</v>
      </c>
    </row>
    <row r="1015" spans="1:17" x14ac:dyDescent="0.35">
      <c r="A1015" t="s">
        <v>2057</v>
      </c>
      <c r="E1015" t="str">
        <f>_xlfn.XLOOKUP(F1015,'Raw Data'!$I$4:$I$5000,'Raw Data'!$D$4:$D$5000,"*** Mnemonic not found ***",0)</f>
        <v>*** Mnemonic not found ***</v>
      </c>
      <c r="F1015" t="str">
        <f t="shared" si="261"/>
        <v>SUCMRUR4SFERG6_5TO10__</v>
      </c>
      <c r="H1015" s="9" t="s">
        <v>1137</v>
      </c>
      <c r="K1015" s="9">
        <f t="shared" si="265"/>
        <v>284</v>
      </c>
      <c r="L1015" s="9" t="str">
        <f t="shared" si="266"/>
        <v>H</v>
      </c>
      <c r="M1015" s="9" t="str">
        <f t="shared" si="262"/>
        <v>Input!H284</v>
      </c>
      <c r="N1015" s="9">
        <f>_xlfn.XLOOKUP(F1015,'Raw Data'!$I$4:$I$5000,'Raw Data'!$E$4:$E$5000,100,0)</f>
        <v>100</v>
      </c>
      <c r="O1015" s="9" t="str">
        <f>IF(N1015=0,_xlfn.XLOOKUP(F1015,'Raw Data'!$I$4:$I$5000,'Raw Data'!$H$4:$H$5000,"",0),"")</f>
        <v/>
      </c>
      <c r="P1015" s="9" t="str" cm="1">
        <f t="array" aca="1" ref="P1015" ca="1">IF(INDIRECT(M1015) = "","",INDIRECT(M1015))</f>
        <v/>
      </c>
      <c r="Q1015" s="359" t="s">
        <v>4381</v>
      </c>
    </row>
    <row r="1016" spans="1:17" x14ac:dyDescent="0.35">
      <c r="A1016" t="s">
        <v>2062</v>
      </c>
      <c r="E1016" t="str">
        <f>_xlfn.XLOOKUP(F1016,'Raw Data'!$I$4:$I$5000,'Raw Data'!$D$4:$D$5000,"*** Mnemonic not found ***",0)</f>
        <v>*** Mnemonic not found ***</v>
      </c>
      <c r="F1016" t="str">
        <f t="shared" si="261"/>
        <v>SUCMRUR4SFERG7_5TO10__</v>
      </c>
      <c r="H1016" s="9" t="s">
        <v>1137</v>
      </c>
      <c r="K1016" s="9">
        <f t="shared" si="265"/>
        <v>284</v>
      </c>
      <c r="L1016" s="9" t="str">
        <f t="shared" si="266"/>
        <v>I</v>
      </c>
      <c r="M1016" s="9" t="str">
        <f t="shared" si="262"/>
        <v>Input!I284</v>
      </c>
      <c r="N1016" s="9">
        <f>_xlfn.XLOOKUP(F1016,'Raw Data'!$I$4:$I$5000,'Raw Data'!$E$4:$E$5000,100,0)</f>
        <v>100</v>
      </c>
      <c r="O1016" s="9" t="str">
        <f>IF(N1016=0,_xlfn.XLOOKUP(F1016,'Raw Data'!$I$4:$I$5000,'Raw Data'!$H$4:$H$5000,"",0),"")</f>
        <v/>
      </c>
      <c r="P1016" s="9" t="str" cm="1">
        <f t="array" aca="1" ref="P1016" ca="1">IF(INDIRECT(M1016) = "","",INDIRECT(M1016))</f>
        <v/>
      </c>
      <c r="Q1016" s="359" t="s">
        <v>4381</v>
      </c>
    </row>
    <row r="1017" spans="1:17" x14ac:dyDescent="0.35">
      <c r="A1017" t="s">
        <v>2067</v>
      </c>
      <c r="E1017" t="str">
        <f>_xlfn.XLOOKUP(F1017,'Raw Data'!$I$4:$I$5000,'Raw Data'!$D$4:$D$5000,"*** Mnemonic not found ***",0)</f>
        <v>*** Mnemonic not found ***</v>
      </c>
      <c r="F1017" t="str">
        <f t="shared" si="261"/>
        <v>SUCMRUR4SFERG8_5TO10__</v>
      </c>
      <c r="H1017" s="9" t="s">
        <v>1137</v>
      </c>
      <c r="K1017" s="9">
        <f t="shared" si="265"/>
        <v>284</v>
      </c>
      <c r="L1017" s="9" t="str">
        <f t="shared" si="266"/>
        <v>J</v>
      </c>
      <c r="M1017" s="9" t="str">
        <f t="shared" si="262"/>
        <v>Input!J284</v>
      </c>
      <c r="N1017" s="9">
        <f>_xlfn.XLOOKUP(F1017,'Raw Data'!$I$4:$I$5000,'Raw Data'!$E$4:$E$5000,100,0)</f>
        <v>100</v>
      </c>
      <c r="O1017" s="9" t="str">
        <f>IF(N1017=0,_xlfn.XLOOKUP(F1017,'Raw Data'!$I$4:$I$5000,'Raw Data'!$H$4:$H$5000,"",0),"")</f>
        <v/>
      </c>
      <c r="P1017" s="9" t="str" cm="1">
        <f t="array" aca="1" ref="P1017" ca="1">IF(INDIRECT(M1017) = "","",INDIRECT(M1017))</f>
        <v/>
      </c>
      <c r="Q1017" s="359" t="s">
        <v>4381</v>
      </c>
    </row>
    <row r="1018" spans="1:17" x14ac:dyDescent="0.35">
      <c r="A1018" t="s">
        <v>2072</v>
      </c>
      <c r="E1018" t="str">
        <f>_xlfn.XLOOKUP(F1018,'Raw Data'!$I$4:$I$5000,'Raw Data'!$D$4:$D$5000,"*** Mnemonic not found ***",0)</f>
        <v>*** Mnemonic not found ***</v>
      </c>
      <c r="F1018" t="str">
        <f t="shared" si="261"/>
        <v>SUCMRUR4SFERG9_5TO10__</v>
      </c>
      <c r="H1018" s="9" t="s">
        <v>1137</v>
      </c>
      <c r="K1018" s="9">
        <f t="shared" si="265"/>
        <v>284</v>
      </c>
      <c r="L1018" s="9" t="str">
        <f t="shared" si="266"/>
        <v>K</v>
      </c>
      <c r="M1018" s="9" t="str">
        <f t="shared" si="262"/>
        <v>Input!K284</v>
      </c>
      <c r="N1018" s="9">
        <f>_xlfn.XLOOKUP(F1018,'Raw Data'!$I$4:$I$5000,'Raw Data'!$E$4:$E$5000,100,0)</f>
        <v>100</v>
      </c>
      <c r="O1018" s="9" t="str">
        <f>IF(N1018=0,_xlfn.XLOOKUP(F1018,'Raw Data'!$I$4:$I$5000,'Raw Data'!$H$4:$H$5000,"",0),"")</f>
        <v/>
      </c>
      <c r="P1018" s="9" t="str" cm="1">
        <f t="array" aca="1" ref="P1018" ca="1">IF(INDIRECT(M1018) = "","",INDIRECT(M1018))</f>
        <v/>
      </c>
      <c r="Q1018" s="359" t="s">
        <v>4381</v>
      </c>
    </row>
    <row r="1019" spans="1:17" x14ac:dyDescent="0.35">
      <c r="A1019" t="s">
        <v>2077</v>
      </c>
      <c r="E1019" t="str">
        <f>_xlfn.XLOOKUP(F1019,'Raw Data'!$I$4:$I$5000,'Raw Data'!$D$4:$D$5000,"*** Mnemonic not found ***",0)</f>
        <v>*** Mnemonic not found ***</v>
      </c>
      <c r="F1019" t="str">
        <f t="shared" si="261"/>
        <v>SUCMRUR4SFERG10_5TO10__</v>
      </c>
      <c r="H1019" s="9" t="s">
        <v>1137</v>
      </c>
      <c r="K1019" s="9">
        <f t="shared" si="265"/>
        <v>284</v>
      </c>
      <c r="L1019" s="9" t="str">
        <f t="shared" si="266"/>
        <v>L</v>
      </c>
      <c r="M1019" s="9" t="str">
        <f t="shared" si="262"/>
        <v>Input!L284</v>
      </c>
      <c r="N1019" s="9">
        <f>_xlfn.XLOOKUP(F1019,'Raw Data'!$I$4:$I$5000,'Raw Data'!$E$4:$E$5000,100,0)</f>
        <v>100</v>
      </c>
      <c r="O1019" s="9" t="str">
        <f>IF(N1019=0,_xlfn.XLOOKUP(F1019,'Raw Data'!$I$4:$I$5000,'Raw Data'!$H$4:$H$5000,"",0),"")</f>
        <v/>
      </c>
      <c r="P1019" s="9" t="str" cm="1">
        <f t="array" aca="1" ref="P1019" ca="1">IF(INDIRECT(M1019) = "","",INDIRECT(M1019))</f>
        <v/>
      </c>
      <c r="Q1019" s="359" t="s">
        <v>4381</v>
      </c>
    </row>
    <row r="1020" spans="1:17" x14ac:dyDescent="0.35">
      <c r="A1020" t="s">
        <v>2082</v>
      </c>
      <c r="E1020" t="str">
        <f>_xlfn.XLOOKUP(F1020,'Raw Data'!$I$4:$I$5000,'Raw Data'!$D$4:$D$5000,"*** Mnemonic not found ***",0)</f>
        <v>*** Mnemonic not found ***</v>
      </c>
      <c r="F1020" t="str">
        <f t="shared" si="261"/>
        <v>SUCMRUR4SFERGNA_5TO10__</v>
      </c>
      <c r="H1020" s="9" t="s">
        <v>1137</v>
      </c>
      <c r="K1020" s="9">
        <f t="shared" si="265"/>
        <v>284</v>
      </c>
      <c r="L1020" s="9" t="str">
        <f t="shared" si="266"/>
        <v>M</v>
      </c>
      <c r="M1020" s="9" t="str">
        <f t="shared" si="262"/>
        <v>Input!M284</v>
      </c>
      <c r="N1020" s="9">
        <f>_xlfn.XLOOKUP(F1020,'Raw Data'!$I$4:$I$5000,'Raw Data'!$E$4:$E$5000,100,0)</f>
        <v>100</v>
      </c>
      <c r="O1020" s="9" t="str">
        <f>IF(N1020=0,_xlfn.XLOOKUP(F1020,'Raw Data'!$I$4:$I$5000,'Raw Data'!$H$4:$H$5000,"",0),"")</f>
        <v/>
      </c>
      <c r="P1020" s="9" t="str" cm="1">
        <f t="array" aca="1" ref="P1020" ca="1">IF(INDIRECT(M1020) = "","",INDIRECT(M1020))</f>
        <v/>
      </c>
      <c r="Q1020" s="359" t="s">
        <v>4381</v>
      </c>
    </row>
    <row r="1021" spans="1:17" x14ac:dyDescent="0.35">
      <c r="A1021" t="s">
        <v>2033</v>
      </c>
      <c r="E1021" t="str">
        <f>_xlfn.XLOOKUP(F1021,'Raw Data'!$I$4:$I$5000,'Raw Data'!$D$4:$D$5000,"*** Mnemonic not found ***",0)</f>
        <v>*** Mnemonic not found ***</v>
      </c>
      <c r="F1021" t="str">
        <f t="shared" si="261"/>
        <v>SUCMRUR4SFERG1_10TO20__</v>
      </c>
      <c r="H1021" s="9" t="s">
        <v>1137</v>
      </c>
      <c r="K1021" s="9">
        <f t="shared" si="265"/>
        <v>285</v>
      </c>
      <c r="L1021" s="9" t="str">
        <f t="shared" si="266"/>
        <v>C</v>
      </c>
      <c r="M1021" s="9" t="str">
        <f t="shared" si="262"/>
        <v>Input!C285</v>
      </c>
      <c r="N1021" s="9">
        <f>_xlfn.XLOOKUP(F1021,'Raw Data'!$I$4:$I$5000,'Raw Data'!$E$4:$E$5000,100,0)</f>
        <v>100</v>
      </c>
      <c r="O1021" s="9" t="str">
        <f>IF(N1021=0,_xlfn.XLOOKUP(F1021,'Raw Data'!$I$4:$I$5000,'Raw Data'!$H$4:$H$5000,"",0),"")</f>
        <v/>
      </c>
      <c r="P1021" s="9" t="str" cm="1">
        <f t="array" aca="1" ref="P1021" ca="1">IF(INDIRECT(M1021) = "","",INDIRECT(M1021))</f>
        <v/>
      </c>
      <c r="Q1021" s="359" t="s">
        <v>4381</v>
      </c>
    </row>
    <row r="1022" spans="1:17" x14ac:dyDescent="0.35">
      <c r="A1022" t="s">
        <v>2038</v>
      </c>
      <c r="E1022" t="str">
        <f>_xlfn.XLOOKUP(F1022,'Raw Data'!$I$4:$I$5000,'Raw Data'!$D$4:$D$5000,"*** Mnemonic not found ***",0)</f>
        <v>*** Mnemonic not found ***</v>
      </c>
      <c r="F1022" t="str">
        <f t="shared" si="261"/>
        <v>SUCMRUR4SFERG2_10TO20__</v>
      </c>
      <c r="H1022" s="9" t="s">
        <v>1137</v>
      </c>
      <c r="K1022" s="9">
        <f t="shared" si="265"/>
        <v>285</v>
      </c>
      <c r="L1022" s="9" t="str">
        <f t="shared" si="266"/>
        <v>D</v>
      </c>
      <c r="M1022" s="9" t="str">
        <f t="shared" si="262"/>
        <v>Input!D285</v>
      </c>
      <c r="N1022" s="9">
        <f>_xlfn.XLOOKUP(F1022,'Raw Data'!$I$4:$I$5000,'Raw Data'!$E$4:$E$5000,100,0)</f>
        <v>100</v>
      </c>
      <c r="O1022" s="9" t="str">
        <f>IF(N1022=0,_xlfn.XLOOKUP(F1022,'Raw Data'!$I$4:$I$5000,'Raw Data'!$H$4:$H$5000,"",0),"")</f>
        <v/>
      </c>
      <c r="P1022" s="9" t="str" cm="1">
        <f t="array" aca="1" ref="P1022" ca="1">IF(INDIRECT(M1022) = "","",INDIRECT(M1022))</f>
        <v/>
      </c>
      <c r="Q1022" s="359" t="s">
        <v>4381</v>
      </c>
    </row>
    <row r="1023" spans="1:17" x14ac:dyDescent="0.35">
      <c r="A1023" t="s">
        <v>2043</v>
      </c>
      <c r="E1023" t="str">
        <f>_xlfn.XLOOKUP(F1023,'Raw Data'!$I$4:$I$5000,'Raw Data'!$D$4:$D$5000,"*** Mnemonic not found ***",0)</f>
        <v>*** Mnemonic not found ***</v>
      </c>
      <c r="F1023" t="str">
        <f t="shared" si="261"/>
        <v>SUCMRUR4SFERG3_10TO20__</v>
      </c>
      <c r="H1023" s="9" t="s">
        <v>1137</v>
      </c>
      <c r="K1023" s="9">
        <f t="shared" si="265"/>
        <v>285</v>
      </c>
      <c r="L1023" s="9" t="str">
        <f t="shared" si="266"/>
        <v>E</v>
      </c>
      <c r="M1023" s="9" t="str">
        <f t="shared" si="262"/>
        <v>Input!E285</v>
      </c>
      <c r="N1023" s="9">
        <f>_xlfn.XLOOKUP(F1023,'Raw Data'!$I$4:$I$5000,'Raw Data'!$E$4:$E$5000,100,0)</f>
        <v>100</v>
      </c>
      <c r="O1023" s="9" t="str">
        <f>IF(N1023=0,_xlfn.XLOOKUP(F1023,'Raw Data'!$I$4:$I$5000,'Raw Data'!$H$4:$H$5000,"",0),"")</f>
        <v/>
      </c>
      <c r="P1023" s="9" t="str" cm="1">
        <f t="array" aca="1" ref="P1023" ca="1">IF(INDIRECT(M1023) = "","",INDIRECT(M1023))</f>
        <v/>
      </c>
      <c r="Q1023" s="359" t="s">
        <v>4381</v>
      </c>
    </row>
    <row r="1024" spans="1:17" x14ac:dyDescent="0.35">
      <c r="A1024" t="s">
        <v>2048</v>
      </c>
      <c r="E1024" t="str">
        <f>_xlfn.XLOOKUP(F1024,'Raw Data'!$I$4:$I$5000,'Raw Data'!$D$4:$D$5000,"*** Mnemonic not found ***",0)</f>
        <v>*** Mnemonic not found ***</v>
      </c>
      <c r="F1024" t="str">
        <f t="shared" si="261"/>
        <v>SUCMRUR4SFERG4_10TO20__</v>
      </c>
      <c r="H1024" s="9" t="s">
        <v>1137</v>
      </c>
      <c r="K1024" s="9">
        <f t="shared" si="265"/>
        <v>285</v>
      </c>
      <c r="L1024" s="9" t="str">
        <f t="shared" si="266"/>
        <v>F</v>
      </c>
      <c r="M1024" s="9" t="str">
        <f t="shared" si="262"/>
        <v>Input!F285</v>
      </c>
      <c r="N1024" s="9">
        <f>_xlfn.XLOOKUP(F1024,'Raw Data'!$I$4:$I$5000,'Raw Data'!$E$4:$E$5000,100,0)</f>
        <v>100</v>
      </c>
      <c r="O1024" s="9" t="str">
        <f>IF(N1024=0,_xlfn.XLOOKUP(F1024,'Raw Data'!$I$4:$I$5000,'Raw Data'!$H$4:$H$5000,"",0),"")</f>
        <v/>
      </c>
      <c r="P1024" s="9" t="str" cm="1">
        <f t="array" aca="1" ref="P1024" ca="1">IF(INDIRECT(M1024) = "","",INDIRECT(M1024))</f>
        <v/>
      </c>
      <c r="Q1024" s="359" t="s">
        <v>4381</v>
      </c>
    </row>
    <row r="1025" spans="1:17" x14ac:dyDescent="0.35">
      <c r="A1025" t="s">
        <v>2053</v>
      </c>
      <c r="E1025" t="str">
        <f>_xlfn.XLOOKUP(F1025,'Raw Data'!$I$4:$I$5000,'Raw Data'!$D$4:$D$5000,"*** Mnemonic not found ***",0)</f>
        <v>*** Mnemonic not found ***</v>
      </c>
      <c r="F1025" t="str">
        <f t="shared" si="261"/>
        <v>SUCMRUR4SFERG5_10TO20__</v>
      </c>
      <c r="H1025" s="9" t="s">
        <v>1137</v>
      </c>
      <c r="K1025" s="9">
        <f t="shared" si="265"/>
        <v>285</v>
      </c>
      <c r="L1025" s="9" t="str">
        <f t="shared" si="266"/>
        <v>G</v>
      </c>
      <c r="M1025" s="9" t="str">
        <f t="shared" si="262"/>
        <v>Input!G285</v>
      </c>
      <c r="N1025" s="9">
        <f>_xlfn.XLOOKUP(F1025,'Raw Data'!$I$4:$I$5000,'Raw Data'!$E$4:$E$5000,100,0)</f>
        <v>100</v>
      </c>
      <c r="O1025" s="9" t="str">
        <f>IF(N1025=0,_xlfn.XLOOKUP(F1025,'Raw Data'!$I$4:$I$5000,'Raw Data'!$H$4:$H$5000,"",0),"")</f>
        <v/>
      </c>
      <c r="P1025" s="9" t="str" cm="1">
        <f t="array" aca="1" ref="P1025" ca="1">IF(INDIRECT(M1025) = "","",INDIRECT(M1025))</f>
        <v/>
      </c>
      <c r="Q1025" s="359" t="s">
        <v>4381</v>
      </c>
    </row>
    <row r="1026" spans="1:17" x14ac:dyDescent="0.35">
      <c r="A1026" t="s">
        <v>2058</v>
      </c>
      <c r="E1026" t="str">
        <f>_xlfn.XLOOKUP(F1026,'Raw Data'!$I$4:$I$5000,'Raw Data'!$D$4:$D$5000,"*** Mnemonic not found ***",0)</f>
        <v>*** Mnemonic not found ***</v>
      </c>
      <c r="F1026" t="str">
        <f t="shared" si="261"/>
        <v>SUCMRUR4SFERG6_10TO20__</v>
      </c>
      <c r="H1026" s="9" t="s">
        <v>1137</v>
      </c>
      <c r="K1026" s="9">
        <f t="shared" si="265"/>
        <v>285</v>
      </c>
      <c r="L1026" s="9" t="str">
        <f t="shared" si="266"/>
        <v>H</v>
      </c>
      <c r="M1026" s="9" t="str">
        <f t="shared" si="262"/>
        <v>Input!H285</v>
      </c>
      <c r="N1026" s="9">
        <f>_xlfn.XLOOKUP(F1026,'Raw Data'!$I$4:$I$5000,'Raw Data'!$E$4:$E$5000,100,0)</f>
        <v>100</v>
      </c>
      <c r="O1026" s="9" t="str">
        <f>IF(N1026=0,_xlfn.XLOOKUP(F1026,'Raw Data'!$I$4:$I$5000,'Raw Data'!$H$4:$H$5000,"",0),"")</f>
        <v/>
      </c>
      <c r="P1026" s="9" t="str" cm="1">
        <f t="array" aca="1" ref="P1026" ca="1">IF(INDIRECT(M1026) = "","",INDIRECT(M1026))</f>
        <v/>
      </c>
      <c r="Q1026" s="359" t="s">
        <v>4381</v>
      </c>
    </row>
    <row r="1027" spans="1:17" x14ac:dyDescent="0.35">
      <c r="A1027" t="s">
        <v>2063</v>
      </c>
      <c r="E1027" t="str">
        <f>_xlfn.XLOOKUP(F1027,'Raw Data'!$I$4:$I$5000,'Raw Data'!$D$4:$D$5000,"*** Mnemonic not found ***",0)</f>
        <v>*** Mnemonic not found ***</v>
      </c>
      <c r="F1027" t="str">
        <f t="shared" si="261"/>
        <v>SUCMRUR4SFERG7_10TO20__</v>
      </c>
      <c r="H1027" s="9" t="s">
        <v>1137</v>
      </c>
      <c r="K1027" s="9">
        <f t="shared" si="265"/>
        <v>285</v>
      </c>
      <c r="L1027" s="9" t="str">
        <f t="shared" si="266"/>
        <v>I</v>
      </c>
      <c r="M1027" s="9" t="str">
        <f t="shared" si="262"/>
        <v>Input!I285</v>
      </c>
      <c r="N1027" s="9">
        <f>_xlfn.XLOOKUP(F1027,'Raw Data'!$I$4:$I$5000,'Raw Data'!$E$4:$E$5000,100,0)</f>
        <v>100</v>
      </c>
      <c r="O1027" s="9" t="str">
        <f>IF(N1027=0,_xlfn.XLOOKUP(F1027,'Raw Data'!$I$4:$I$5000,'Raw Data'!$H$4:$H$5000,"",0),"")</f>
        <v/>
      </c>
      <c r="P1027" s="9" t="str" cm="1">
        <f t="array" aca="1" ref="P1027" ca="1">IF(INDIRECT(M1027) = "","",INDIRECT(M1027))</f>
        <v/>
      </c>
      <c r="Q1027" s="359" t="s">
        <v>4381</v>
      </c>
    </row>
    <row r="1028" spans="1:17" x14ac:dyDescent="0.35">
      <c r="A1028" t="s">
        <v>2068</v>
      </c>
      <c r="E1028" t="str">
        <f>_xlfn.XLOOKUP(F1028,'Raw Data'!$I$4:$I$5000,'Raw Data'!$D$4:$D$5000,"*** Mnemonic not found ***",0)</f>
        <v>*** Mnemonic not found ***</v>
      </c>
      <c r="F1028" t="str">
        <f t="shared" si="261"/>
        <v>SUCMRUR4SFERG8_10TO20__</v>
      </c>
      <c r="H1028" s="9" t="s">
        <v>1137</v>
      </c>
      <c r="K1028" s="9">
        <f t="shared" si="265"/>
        <v>285</v>
      </c>
      <c r="L1028" s="9" t="str">
        <f t="shared" si="266"/>
        <v>J</v>
      </c>
      <c r="M1028" s="9" t="str">
        <f t="shared" si="262"/>
        <v>Input!J285</v>
      </c>
      <c r="N1028" s="9">
        <f>_xlfn.XLOOKUP(F1028,'Raw Data'!$I$4:$I$5000,'Raw Data'!$E$4:$E$5000,100,0)</f>
        <v>100</v>
      </c>
      <c r="O1028" s="9" t="str">
        <f>IF(N1028=0,_xlfn.XLOOKUP(F1028,'Raw Data'!$I$4:$I$5000,'Raw Data'!$H$4:$H$5000,"",0),"")</f>
        <v/>
      </c>
      <c r="P1028" s="9" t="str" cm="1">
        <f t="array" aca="1" ref="P1028" ca="1">IF(INDIRECT(M1028) = "","",INDIRECT(M1028))</f>
        <v/>
      </c>
      <c r="Q1028" s="359" t="s">
        <v>4381</v>
      </c>
    </row>
    <row r="1029" spans="1:17" x14ac:dyDescent="0.35">
      <c r="A1029" t="s">
        <v>2073</v>
      </c>
      <c r="E1029" t="str">
        <f>_xlfn.XLOOKUP(F1029,'Raw Data'!$I$4:$I$5000,'Raw Data'!$D$4:$D$5000,"*** Mnemonic not found ***",0)</f>
        <v>*** Mnemonic not found ***</v>
      </c>
      <c r="F1029" t="str">
        <f t="shared" ref="F1029:F1092" si="267">CONCATENATE(A1029,"_",B1029,"_",D1029)</f>
        <v>SUCMRUR4SFERG9_10TO20__</v>
      </c>
      <c r="H1029" s="9" t="s">
        <v>1137</v>
      </c>
      <c r="K1029" s="9">
        <f t="shared" si="265"/>
        <v>285</v>
      </c>
      <c r="L1029" s="9" t="str">
        <f t="shared" si="266"/>
        <v>K</v>
      </c>
      <c r="M1029" s="9" t="str">
        <f t="shared" si="262"/>
        <v>Input!K285</v>
      </c>
      <c r="N1029" s="9">
        <f>_xlfn.XLOOKUP(F1029,'Raw Data'!$I$4:$I$5000,'Raw Data'!$E$4:$E$5000,100,0)</f>
        <v>100</v>
      </c>
      <c r="O1029" s="9" t="str">
        <f>IF(N1029=0,_xlfn.XLOOKUP(F1029,'Raw Data'!$I$4:$I$5000,'Raw Data'!$H$4:$H$5000,"",0),"")</f>
        <v/>
      </c>
      <c r="P1029" s="9" t="str" cm="1">
        <f t="array" aca="1" ref="P1029" ca="1">IF(INDIRECT(M1029) = "","",INDIRECT(M1029))</f>
        <v/>
      </c>
      <c r="Q1029" s="359" t="s">
        <v>4381</v>
      </c>
    </row>
    <row r="1030" spans="1:17" x14ac:dyDescent="0.35">
      <c r="A1030" t="s">
        <v>2078</v>
      </c>
      <c r="E1030" t="str">
        <f>_xlfn.XLOOKUP(F1030,'Raw Data'!$I$4:$I$5000,'Raw Data'!$D$4:$D$5000,"*** Mnemonic not found ***",0)</f>
        <v>*** Mnemonic not found ***</v>
      </c>
      <c r="F1030" t="str">
        <f t="shared" si="267"/>
        <v>SUCMRUR4SFERG10_10TO20__</v>
      </c>
      <c r="H1030" s="9" t="s">
        <v>1137</v>
      </c>
      <c r="K1030" s="9">
        <f t="shared" si="265"/>
        <v>285</v>
      </c>
      <c r="L1030" s="9" t="str">
        <f t="shared" si="266"/>
        <v>L</v>
      </c>
      <c r="M1030" s="9" t="str">
        <f t="shared" si="262"/>
        <v>Input!L285</v>
      </c>
      <c r="N1030" s="9">
        <f>_xlfn.XLOOKUP(F1030,'Raw Data'!$I$4:$I$5000,'Raw Data'!$E$4:$E$5000,100,0)</f>
        <v>100</v>
      </c>
      <c r="O1030" s="9" t="str">
        <f>IF(N1030=0,_xlfn.XLOOKUP(F1030,'Raw Data'!$I$4:$I$5000,'Raw Data'!$H$4:$H$5000,"",0),"")</f>
        <v/>
      </c>
      <c r="P1030" s="9" t="str" cm="1">
        <f t="array" aca="1" ref="P1030" ca="1">IF(INDIRECT(M1030) = "","",INDIRECT(M1030))</f>
        <v/>
      </c>
      <c r="Q1030" s="359" t="s">
        <v>4381</v>
      </c>
    </row>
    <row r="1031" spans="1:17" x14ac:dyDescent="0.35">
      <c r="A1031" t="s">
        <v>2083</v>
      </c>
      <c r="E1031" t="str">
        <f>_xlfn.XLOOKUP(F1031,'Raw Data'!$I$4:$I$5000,'Raw Data'!$D$4:$D$5000,"*** Mnemonic not found ***",0)</f>
        <v>*** Mnemonic not found ***</v>
      </c>
      <c r="F1031" t="str">
        <f t="shared" si="267"/>
        <v>SUCMRUR4SFERGNA_10TO20__</v>
      </c>
      <c r="H1031" s="9" t="s">
        <v>1137</v>
      </c>
      <c r="K1031" s="9">
        <f t="shared" si="265"/>
        <v>285</v>
      </c>
      <c r="L1031" s="9" t="str">
        <f t="shared" si="266"/>
        <v>M</v>
      </c>
      <c r="M1031" s="9" t="str">
        <f t="shared" si="262"/>
        <v>Input!M285</v>
      </c>
      <c r="N1031" s="9">
        <f>_xlfn.XLOOKUP(F1031,'Raw Data'!$I$4:$I$5000,'Raw Data'!$E$4:$E$5000,100,0)</f>
        <v>100</v>
      </c>
      <c r="O1031" s="9" t="str">
        <f>IF(N1031=0,_xlfn.XLOOKUP(F1031,'Raw Data'!$I$4:$I$5000,'Raw Data'!$H$4:$H$5000,"",0),"")</f>
        <v/>
      </c>
      <c r="P1031" s="9" t="str" cm="1">
        <f t="array" aca="1" ref="P1031" ca="1">IF(INDIRECT(M1031) = "","",INDIRECT(M1031))</f>
        <v/>
      </c>
      <c r="Q1031" s="359" t="s">
        <v>4381</v>
      </c>
    </row>
    <row r="1032" spans="1:17" x14ac:dyDescent="0.35">
      <c r="A1032" t="s">
        <v>2034</v>
      </c>
      <c r="E1032" t="str">
        <f>_xlfn.XLOOKUP(F1032,'Raw Data'!$I$4:$I$5000,'Raw Data'!$D$4:$D$5000,"*** Mnemonic not found ***",0)</f>
        <v>*** Mnemonic not found ***</v>
      </c>
      <c r="F1032" t="str">
        <f t="shared" si="267"/>
        <v>SUCMRUR4SFERG1_GRTR20__</v>
      </c>
      <c r="H1032" s="9" t="s">
        <v>1137</v>
      </c>
      <c r="K1032" s="9">
        <f t="shared" si="265"/>
        <v>286</v>
      </c>
      <c r="L1032" s="9" t="str">
        <f t="shared" si="266"/>
        <v>C</v>
      </c>
      <c r="M1032" s="9" t="str">
        <f t="shared" si="262"/>
        <v>Input!C286</v>
      </c>
      <c r="N1032" s="9">
        <f>_xlfn.XLOOKUP(F1032,'Raw Data'!$I$4:$I$5000,'Raw Data'!$E$4:$E$5000,100,0)</f>
        <v>100</v>
      </c>
      <c r="O1032" s="9" t="str">
        <f>IF(N1032=0,_xlfn.XLOOKUP(F1032,'Raw Data'!$I$4:$I$5000,'Raw Data'!$H$4:$H$5000,"",0),"")</f>
        <v/>
      </c>
      <c r="P1032" s="9" t="str" cm="1">
        <f t="array" aca="1" ref="P1032" ca="1">IF(INDIRECT(M1032) = "","",INDIRECT(M1032))</f>
        <v/>
      </c>
      <c r="Q1032" s="359" t="s">
        <v>4381</v>
      </c>
    </row>
    <row r="1033" spans="1:17" x14ac:dyDescent="0.35">
      <c r="A1033" t="s">
        <v>2039</v>
      </c>
      <c r="E1033" t="str">
        <f>_xlfn.XLOOKUP(F1033,'Raw Data'!$I$4:$I$5000,'Raw Data'!$D$4:$D$5000,"*** Mnemonic not found ***",0)</f>
        <v>*** Mnemonic not found ***</v>
      </c>
      <c r="F1033" t="str">
        <f t="shared" si="267"/>
        <v>SUCMRUR4SFERG2_GRTR20__</v>
      </c>
      <c r="H1033" s="9" t="s">
        <v>1137</v>
      </c>
      <c r="K1033" s="9">
        <f t="shared" si="265"/>
        <v>286</v>
      </c>
      <c r="L1033" s="9" t="str">
        <f t="shared" si="266"/>
        <v>D</v>
      </c>
      <c r="M1033" s="9" t="str">
        <f t="shared" si="262"/>
        <v>Input!D286</v>
      </c>
      <c r="N1033" s="9">
        <f>_xlfn.XLOOKUP(F1033,'Raw Data'!$I$4:$I$5000,'Raw Data'!$E$4:$E$5000,100,0)</f>
        <v>100</v>
      </c>
      <c r="O1033" s="9" t="str">
        <f>IF(N1033=0,_xlfn.XLOOKUP(F1033,'Raw Data'!$I$4:$I$5000,'Raw Data'!$H$4:$H$5000,"",0),"")</f>
        <v/>
      </c>
      <c r="P1033" s="9" t="str" cm="1">
        <f t="array" aca="1" ref="P1033" ca="1">IF(INDIRECT(M1033) = "","",INDIRECT(M1033))</f>
        <v/>
      </c>
      <c r="Q1033" s="359" t="s">
        <v>4381</v>
      </c>
    </row>
    <row r="1034" spans="1:17" x14ac:dyDescent="0.35">
      <c r="A1034" t="s">
        <v>2044</v>
      </c>
      <c r="E1034" t="str">
        <f>_xlfn.XLOOKUP(F1034,'Raw Data'!$I$4:$I$5000,'Raw Data'!$D$4:$D$5000,"*** Mnemonic not found ***",0)</f>
        <v>*** Mnemonic not found ***</v>
      </c>
      <c r="F1034" t="str">
        <f t="shared" si="267"/>
        <v>SUCMRUR4SFERG3_GRTR20__</v>
      </c>
      <c r="H1034" s="9" t="s">
        <v>1137</v>
      </c>
      <c r="K1034" s="9">
        <f t="shared" si="265"/>
        <v>286</v>
      </c>
      <c r="L1034" s="9" t="str">
        <f t="shared" si="266"/>
        <v>E</v>
      </c>
      <c r="M1034" s="9" t="str">
        <f t="shared" si="262"/>
        <v>Input!E286</v>
      </c>
      <c r="N1034" s="9">
        <f>_xlfn.XLOOKUP(F1034,'Raw Data'!$I$4:$I$5000,'Raw Data'!$E$4:$E$5000,100,0)</f>
        <v>100</v>
      </c>
      <c r="O1034" s="9" t="str">
        <f>IF(N1034=0,_xlfn.XLOOKUP(F1034,'Raw Data'!$I$4:$I$5000,'Raw Data'!$H$4:$H$5000,"",0),"")</f>
        <v/>
      </c>
      <c r="P1034" s="9" t="str" cm="1">
        <f t="array" aca="1" ref="P1034" ca="1">IF(INDIRECT(M1034) = "","",INDIRECT(M1034))</f>
        <v/>
      </c>
      <c r="Q1034" s="359" t="s">
        <v>4381</v>
      </c>
    </row>
    <row r="1035" spans="1:17" x14ac:dyDescent="0.35">
      <c r="A1035" t="s">
        <v>2049</v>
      </c>
      <c r="E1035" t="str">
        <f>_xlfn.XLOOKUP(F1035,'Raw Data'!$I$4:$I$5000,'Raw Data'!$D$4:$D$5000,"*** Mnemonic not found ***",0)</f>
        <v>*** Mnemonic not found ***</v>
      </c>
      <c r="F1035" t="str">
        <f t="shared" si="267"/>
        <v>SUCMRUR4SFERG4_GRTR20__</v>
      </c>
      <c r="H1035" s="9" t="s">
        <v>1137</v>
      </c>
      <c r="K1035" s="9">
        <f t="shared" si="265"/>
        <v>286</v>
      </c>
      <c r="L1035" s="9" t="str">
        <f t="shared" si="266"/>
        <v>F</v>
      </c>
      <c r="M1035" s="9" t="str">
        <f t="shared" si="262"/>
        <v>Input!F286</v>
      </c>
      <c r="N1035" s="9">
        <f>_xlfn.XLOOKUP(F1035,'Raw Data'!$I$4:$I$5000,'Raw Data'!$E$4:$E$5000,100,0)</f>
        <v>100</v>
      </c>
      <c r="O1035" s="9" t="str">
        <f>IF(N1035=0,_xlfn.XLOOKUP(F1035,'Raw Data'!$I$4:$I$5000,'Raw Data'!$H$4:$H$5000,"",0),"")</f>
        <v/>
      </c>
      <c r="P1035" s="9" t="str" cm="1">
        <f t="array" aca="1" ref="P1035" ca="1">IF(INDIRECT(M1035) = "","",INDIRECT(M1035))</f>
        <v/>
      </c>
      <c r="Q1035" s="359" t="s">
        <v>4381</v>
      </c>
    </row>
    <row r="1036" spans="1:17" x14ac:dyDescent="0.35">
      <c r="A1036" t="s">
        <v>2054</v>
      </c>
      <c r="E1036" t="str">
        <f>_xlfn.XLOOKUP(F1036,'Raw Data'!$I$4:$I$5000,'Raw Data'!$D$4:$D$5000,"*** Mnemonic not found ***",0)</f>
        <v>*** Mnemonic not found ***</v>
      </c>
      <c r="F1036" t="str">
        <f t="shared" si="267"/>
        <v>SUCMRUR4SFERG5_GRTR20__</v>
      </c>
      <c r="H1036" s="9" t="s">
        <v>1137</v>
      </c>
      <c r="K1036" s="9">
        <f t="shared" si="265"/>
        <v>286</v>
      </c>
      <c r="L1036" s="9" t="str">
        <f t="shared" si="266"/>
        <v>G</v>
      </c>
      <c r="M1036" s="9" t="str">
        <f t="shared" si="262"/>
        <v>Input!G286</v>
      </c>
      <c r="N1036" s="9">
        <f>_xlfn.XLOOKUP(F1036,'Raw Data'!$I$4:$I$5000,'Raw Data'!$E$4:$E$5000,100,0)</f>
        <v>100</v>
      </c>
      <c r="O1036" s="9" t="str">
        <f>IF(N1036=0,_xlfn.XLOOKUP(F1036,'Raw Data'!$I$4:$I$5000,'Raw Data'!$H$4:$H$5000,"",0),"")</f>
        <v/>
      </c>
      <c r="P1036" s="9" t="str" cm="1">
        <f t="array" aca="1" ref="P1036" ca="1">IF(INDIRECT(M1036) = "","",INDIRECT(M1036))</f>
        <v/>
      </c>
      <c r="Q1036" s="359" t="s">
        <v>4381</v>
      </c>
    </row>
    <row r="1037" spans="1:17" x14ac:dyDescent="0.35">
      <c r="A1037" t="s">
        <v>2059</v>
      </c>
      <c r="E1037" t="str">
        <f>_xlfn.XLOOKUP(F1037,'Raw Data'!$I$4:$I$5000,'Raw Data'!$D$4:$D$5000,"*** Mnemonic not found ***",0)</f>
        <v>*** Mnemonic not found ***</v>
      </c>
      <c r="F1037" t="str">
        <f t="shared" si="267"/>
        <v>SUCMRUR4SFERG6_GRTR20__</v>
      </c>
      <c r="H1037" s="9" t="s">
        <v>1137</v>
      </c>
      <c r="K1037" s="9">
        <f t="shared" si="265"/>
        <v>286</v>
      </c>
      <c r="L1037" s="9" t="str">
        <f t="shared" si="266"/>
        <v>H</v>
      </c>
      <c r="M1037" s="9" t="str">
        <f t="shared" si="262"/>
        <v>Input!H286</v>
      </c>
      <c r="N1037" s="9">
        <f>_xlfn.XLOOKUP(F1037,'Raw Data'!$I$4:$I$5000,'Raw Data'!$E$4:$E$5000,100,0)</f>
        <v>100</v>
      </c>
      <c r="O1037" s="9" t="str">
        <f>IF(N1037=0,_xlfn.XLOOKUP(F1037,'Raw Data'!$I$4:$I$5000,'Raw Data'!$H$4:$H$5000,"",0),"")</f>
        <v/>
      </c>
      <c r="P1037" s="9" t="str" cm="1">
        <f t="array" aca="1" ref="P1037" ca="1">IF(INDIRECT(M1037) = "","",INDIRECT(M1037))</f>
        <v/>
      </c>
      <c r="Q1037" s="359" t="s">
        <v>4381</v>
      </c>
    </row>
    <row r="1038" spans="1:17" x14ac:dyDescent="0.35">
      <c r="A1038" t="s">
        <v>2064</v>
      </c>
      <c r="E1038" t="str">
        <f>_xlfn.XLOOKUP(F1038,'Raw Data'!$I$4:$I$5000,'Raw Data'!$D$4:$D$5000,"*** Mnemonic not found ***",0)</f>
        <v>*** Mnemonic not found ***</v>
      </c>
      <c r="F1038" t="str">
        <f t="shared" si="267"/>
        <v>SUCMRUR4SFERG7_GRTR20__</v>
      </c>
      <c r="H1038" s="9" t="s">
        <v>1137</v>
      </c>
      <c r="K1038" s="9">
        <f t="shared" si="265"/>
        <v>286</v>
      </c>
      <c r="L1038" s="9" t="str">
        <f t="shared" si="266"/>
        <v>I</v>
      </c>
      <c r="M1038" s="9" t="str">
        <f t="shared" si="262"/>
        <v>Input!I286</v>
      </c>
      <c r="N1038" s="9">
        <f>_xlfn.XLOOKUP(F1038,'Raw Data'!$I$4:$I$5000,'Raw Data'!$E$4:$E$5000,100,0)</f>
        <v>100</v>
      </c>
      <c r="O1038" s="9" t="str">
        <f>IF(N1038=0,_xlfn.XLOOKUP(F1038,'Raw Data'!$I$4:$I$5000,'Raw Data'!$H$4:$H$5000,"",0),"")</f>
        <v/>
      </c>
      <c r="P1038" s="9" t="str" cm="1">
        <f t="array" aca="1" ref="P1038" ca="1">IF(INDIRECT(M1038) = "","",INDIRECT(M1038))</f>
        <v/>
      </c>
      <c r="Q1038" s="359" t="s">
        <v>4381</v>
      </c>
    </row>
    <row r="1039" spans="1:17" x14ac:dyDescent="0.35">
      <c r="A1039" t="s">
        <v>2069</v>
      </c>
      <c r="E1039" t="str">
        <f>_xlfn.XLOOKUP(F1039,'Raw Data'!$I$4:$I$5000,'Raw Data'!$D$4:$D$5000,"*** Mnemonic not found ***",0)</f>
        <v>*** Mnemonic not found ***</v>
      </c>
      <c r="F1039" t="str">
        <f t="shared" si="267"/>
        <v>SUCMRUR4SFERG8_GRTR20__</v>
      </c>
      <c r="H1039" s="9" t="s">
        <v>1137</v>
      </c>
      <c r="K1039" s="9">
        <f t="shared" si="265"/>
        <v>286</v>
      </c>
      <c r="L1039" s="9" t="str">
        <f t="shared" si="266"/>
        <v>J</v>
      </c>
      <c r="M1039" s="9" t="str">
        <f t="shared" si="262"/>
        <v>Input!J286</v>
      </c>
      <c r="N1039" s="9">
        <f>_xlfn.XLOOKUP(F1039,'Raw Data'!$I$4:$I$5000,'Raw Data'!$E$4:$E$5000,100,0)</f>
        <v>100</v>
      </c>
      <c r="O1039" s="9" t="str">
        <f>IF(N1039=0,_xlfn.XLOOKUP(F1039,'Raw Data'!$I$4:$I$5000,'Raw Data'!$H$4:$H$5000,"",0),"")</f>
        <v/>
      </c>
      <c r="P1039" s="9" t="str" cm="1">
        <f t="array" aca="1" ref="P1039" ca="1">IF(INDIRECT(M1039) = "","",INDIRECT(M1039))</f>
        <v/>
      </c>
      <c r="Q1039" s="359" t="s">
        <v>4381</v>
      </c>
    </row>
    <row r="1040" spans="1:17" x14ac:dyDescent="0.35">
      <c r="A1040" t="s">
        <v>2074</v>
      </c>
      <c r="E1040" t="str">
        <f>_xlfn.XLOOKUP(F1040,'Raw Data'!$I$4:$I$5000,'Raw Data'!$D$4:$D$5000,"*** Mnemonic not found ***",0)</f>
        <v>*** Mnemonic not found ***</v>
      </c>
      <c r="F1040" t="str">
        <f t="shared" si="267"/>
        <v>SUCMRUR4SFERG9_GRTR20__</v>
      </c>
      <c r="H1040" s="9" t="s">
        <v>1137</v>
      </c>
      <c r="K1040" s="9">
        <f t="shared" si="265"/>
        <v>286</v>
      </c>
      <c r="L1040" s="9" t="str">
        <f t="shared" si="266"/>
        <v>K</v>
      </c>
      <c r="M1040" s="9" t="str">
        <f t="shared" si="262"/>
        <v>Input!K286</v>
      </c>
      <c r="N1040" s="9">
        <f>_xlfn.XLOOKUP(F1040,'Raw Data'!$I$4:$I$5000,'Raw Data'!$E$4:$E$5000,100,0)</f>
        <v>100</v>
      </c>
      <c r="O1040" s="9" t="str">
        <f>IF(N1040=0,_xlfn.XLOOKUP(F1040,'Raw Data'!$I$4:$I$5000,'Raw Data'!$H$4:$H$5000,"",0),"")</f>
        <v/>
      </c>
      <c r="P1040" s="9" t="str" cm="1">
        <f t="array" aca="1" ref="P1040" ca="1">IF(INDIRECT(M1040) = "","",INDIRECT(M1040))</f>
        <v/>
      </c>
      <c r="Q1040" s="359" t="s">
        <v>4381</v>
      </c>
    </row>
    <row r="1041" spans="1:17" x14ac:dyDescent="0.35">
      <c r="A1041" t="s">
        <v>2079</v>
      </c>
      <c r="E1041" t="str">
        <f>_xlfn.XLOOKUP(F1041,'Raw Data'!$I$4:$I$5000,'Raw Data'!$D$4:$D$5000,"*** Mnemonic not found ***",0)</f>
        <v>*** Mnemonic not found ***</v>
      </c>
      <c r="F1041" t="str">
        <f t="shared" si="267"/>
        <v>SUCMRUR4SFERG10_GRTR20__</v>
      </c>
      <c r="H1041" s="9" t="s">
        <v>1137</v>
      </c>
      <c r="K1041" s="9">
        <f t="shared" si="265"/>
        <v>286</v>
      </c>
      <c r="L1041" s="9" t="str">
        <f t="shared" si="266"/>
        <v>L</v>
      </c>
      <c r="M1041" s="9" t="str">
        <f t="shared" si="262"/>
        <v>Input!L286</v>
      </c>
      <c r="N1041" s="9">
        <f>_xlfn.XLOOKUP(F1041,'Raw Data'!$I$4:$I$5000,'Raw Data'!$E$4:$E$5000,100,0)</f>
        <v>100</v>
      </c>
      <c r="O1041" s="9" t="str">
        <f>IF(N1041=0,_xlfn.XLOOKUP(F1041,'Raw Data'!$I$4:$I$5000,'Raw Data'!$H$4:$H$5000,"",0),"")</f>
        <v/>
      </c>
      <c r="P1041" s="9" t="str" cm="1">
        <f t="array" aca="1" ref="P1041" ca="1">IF(INDIRECT(M1041) = "","",INDIRECT(M1041))</f>
        <v/>
      </c>
      <c r="Q1041" s="359" t="s">
        <v>4381</v>
      </c>
    </row>
    <row r="1042" spans="1:17" x14ac:dyDescent="0.35">
      <c r="A1042" t="s">
        <v>2084</v>
      </c>
      <c r="E1042" t="str">
        <f>_xlfn.XLOOKUP(F1042,'Raw Data'!$I$4:$I$5000,'Raw Data'!$D$4:$D$5000,"*** Mnemonic not found ***",0)</f>
        <v>*** Mnemonic not found ***</v>
      </c>
      <c r="F1042" t="str">
        <f t="shared" si="267"/>
        <v>SUCMRUR4SFERGNA_GRTR20__</v>
      </c>
      <c r="H1042" s="9" t="s">
        <v>1137</v>
      </c>
      <c r="K1042" s="9">
        <f t="shared" si="265"/>
        <v>286</v>
      </c>
      <c r="L1042" s="9" t="str">
        <f t="shared" si="266"/>
        <v>M</v>
      </c>
      <c r="M1042" s="9" t="str">
        <f t="shared" si="262"/>
        <v>Input!M286</v>
      </c>
      <c r="N1042" s="9">
        <f>_xlfn.XLOOKUP(F1042,'Raw Data'!$I$4:$I$5000,'Raw Data'!$E$4:$E$5000,100,0)</f>
        <v>100</v>
      </c>
      <c r="O1042" s="9" t="str">
        <f>IF(N1042=0,_xlfn.XLOOKUP(F1042,'Raw Data'!$I$4:$I$5000,'Raw Data'!$H$4:$H$5000,"",0),"")</f>
        <v/>
      </c>
      <c r="P1042" s="9" t="str" cm="1">
        <f t="array" aca="1" ref="P1042" ca="1">IF(INDIRECT(M1042) = "","",INDIRECT(M1042))</f>
        <v/>
      </c>
      <c r="Q1042" s="359" t="s">
        <v>4381</v>
      </c>
    </row>
    <row r="1043" spans="1:17" x14ac:dyDescent="0.35">
      <c r="A1043" s="694" t="s">
        <v>4176</v>
      </c>
      <c r="E1043" t="str">
        <f>_xlfn.XLOOKUP(F1043,'Raw Data'!$I$4:$I$5000,'Raw Data'!$D$4:$D$5000,"*** Mnemonic not found ***",0)</f>
        <v>*** Mnemonic not found ***</v>
      </c>
      <c r="F1043" t="str">
        <f t="shared" si="267"/>
        <v>SUCMRUR4SFMERG1_LESS1__</v>
      </c>
      <c r="H1043" s="9" t="s">
        <v>1137</v>
      </c>
      <c r="I1043" s="289">
        <f>ROW(section_bonds_sp_unrated_step_4)</f>
        <v>187</v>
      </c>
      <c r="J1043" s="9">
        <f>J988+10</f>
        <v>105</v>
      </c>
      <c r="K1043" s="9">
        <f>I1043+J1043</f>
        <v>292</v>
      </c>
      <c r="L1043" s="9" t="str">
        <f>L1032</f>
        <v>C</v>
      </c>
      <c r="M1043" s="9" t="str">
        <f t="shared" ref="M1043:M1097" si="268">CONCATENATE(H1043,"!",L1043,K1043)</f>
        <v>Input!C292</v>
      </c>
      <c r="N1043" s="9">
        <f>_xlfn.XLOOKUP(F1043,'Raw Data'!$I$4:$I$5000,'Raw Data'!$E$4:$E$5000,100,0)</f>
        <v>100</v>
      </c>
      <c r="O1043" s="9" t="str">
        <f>IF(N1043=0,_xlfn.XLOOKUP(F1043,'Raw Data'!$I$4:$I$5000,'Raw Data'!$H$4:$H$5000,"",0),"")</f>
        <v/>
      </c>
      <c r="P1043" s="9" t="str" cm="1">
        <f t="array" aca="1" ref="P1043" ca="1">IF(INDIRECT(M1043) = "","",INDIRECT(M1043))</f>
        <v/>
      </c>
      <c r="Q1043" s="359" t="s">
        <v>4381</v>
      </c>
    </row>
    <row r="1044" spans="1:17" x14ac:dyDescent="0.35">
      <c r="A1044" s="694" t="s">
        <v>4177</v>
      </c>
      <c r="E1044" t="str">
        <f>_xlfn.XLOOKUP(F1044,'Raw Data'!$I$4:$I$5000,'Raw Data'!$D$4:$D$5000,"*** Mnemonic not found ***",0)</f>
        <v>*** Mnemonic not found ***</v>
      </c>
      <c r="F1044" t="str">
        <f t="shared" si="267"/>
        <v>SUCMRUR4SFMERG2_LESS1__</v>
      </c>
      <c r="H1044" s="9" t="s">
        <v>1137</v>
      </c>
      <c r="K1044" s="9">
        <f>K1043</f>
        <v>292</v>
      </c>
      <c r="L1044" s="9" t="str">
        <f t="shared" ref="L1044:L1053" si="269">L1033</f>
        <v>D</v>
      </c>
      <c r="M1044" s="9" t="str">
        <f t="shared" si="268"/>
        <v>Input!D292</v>
      </c>
      <c r="N1044" s="9">
        <f>_xlfn.XLOOKUP(F1044,'Raw Data'!$I$4:$I$5000,'Raw Data'!$E$4:$E$5000,100,0)</f>
        <v>100</v>
      </c>
      <c r="O1044" s="9" t="str">
        <f>IF(N1044=0,_xlfn.XLOOKUP(F1044,'Raw Data'!$I$4:$I$5000,'Raw Data'!$H$4:$H$5000,"",0),"")</f>
        <v/>
      </c>
      <c r="P1044" s="9" t="str" cm="1">
        <f t="array" aca="1" ref="P1044" ca="1">IF(INDIRECT(M1044) = "","",INDIRECT(M1044))</f>
        <v/>
      </c>
      <c r="Q1044" s="359" t="s">
        <v>4381</v>
      </c>
    </row>
    <row r="1045" spans="1:17" x14ac:dyDescent="0.35">
      <c r="A1045" s="694" t="s">
        <v>4178</v>
      </c>
      <c r="E1045" t="str">
        <f>_xlfn.XLOOKUP(F1045,'Raw Data'!$I$4:$I$5000,'Raw Data'!$D$4:$D$5000,"*** Mnemonic not found ***",0)</f>
        <v>*** Mnemonic not found ***</v>
      </c>
      <c r="F1045" t="str">
        <f t="shared" si="267"/>
        <v>SUCMRUR4SFMERG3_LESS1__</v>
      </c>
      <c r="H1045" s="9" t="s">
        <v>1137</v>
      </c>
      <c r="K1045" s="9">
        <f t="shared" ref="K1045:K1053" si="270">K1044</f>
        <v>292</v>
      </c>
      <c r="L1045" s="9" t="str">
        <f t="shared" si="269"/>
        <v>E</v>
      </c>
      <c r="M1045" s="9" t="str">
        <f t="shared" si="268"/>
        <v>Input!E292</v>
      </c>
      <c r="N1045" s="9">
        <f>_xlfn.XLOOKUP(F1045,'Raw Data'!$I$4:$I$5000,'Raw Data'!$E$4:$E$5000,100,0)</f>
        <v>100</v>
      </c>
      <c r="O1045" s="9" t="str">
        <f>IF(N1045=0,_xlfn.XLOOKUP(F1045,'Raw Data'!$I$4:$I$5000,'Raw Data'!$H$4:$H$5000,"",0),"")</f>
        <v/>
      </c>
      <c r="P1045" s="9" t="str" cm="1">
        <f t="array" aca="1" ref="P1045" ca="1">IF(INDIRECT(M1045) = "","",INDIRECT(M1045))</f>
        <v/>
      </c>
      <c r="Q1045" s="359" t="s">
        <v>4381</v>
      </c>
    </row>
    <row r="1046" spans="1:17" x14ac:dyDescent="0.35">
      <c r="A1046" s="694" t="s">
        <v>4179</v>
      </c>
      <c r="E1046" t="str">
        <f>_xlfn.XLOOKUP(F1046,'Raw Data'!$I$4:$I$5000,'Raw Data'!$D$4:$D$5000,"*** Mnemonic not found ***",0)</f>
        <v>*** Mnemonic not found ***</v>
      </c>
      <c r="F1046" t="str">
        <f t="shared" si="267"/>
        <v>SUCMRUR4SFMERG4_LESS1__</v>
      </c>
      <c r="H1046" s="9" t="s">
        <v>1137</v>
      </c>
      <c r="K1046" s="9">
        <f t="shared" si="270"/>
        <v>292</v>
      </c>
      <c r="L1046" s="9" t="str">
        <f t="shared" si="269"/>
        <v>F</v>
      </c>
      <c r="M1046" s="9" t="str">
        <f t="shared" si="268"/>
        <v>Input!F292</v>
      </c>
      <c r="N1046" s="9">
        <f>_xlfn.XLOOKUP(F1046,'Raw Data'!$I$4:$I$5000,'Raw Data'!$E$4:$E$5000,100,0)</f>
        <v>100</v>
      </c>
      <c r="O1046" s="9" t="str">
        <f>IF(N1046=0,_xlfn.XLOOKUP(F1046,'Raw Data'!$I$4:$I$5000,'Raw Data'!$H$4:$H$5000,"",0),"")</f>
        <v/>
      </c>
      <c r="P1046" s="9" t="str" cm="1">
        <f t="array" aca="1" ref="P1046" ca="1">IF(INDIRECT(M1046) = "","",INDIRECT(M1046))</f>
        <v/>
      </c>
      <c r="Q1046" s="359" t="s">
        <v>4381</v>
      </c>
    </row>
    <row r="1047" spans="1:17" x14ac:dyDescent="0.35">
      <c r="A1047" s="694" t="s">
        <v>4180</v>
      </c>
      <c r="E1047" t="str">
        <f>_xlfn.XLOOKUP(F1047,'Raw Data'!$I$4:$I$5000,'Raw Data'!$D$4:$D$5000,"*** Mnemonic not found ***",0)</f>
        <v>*** Mnemonic not found ***</v>
      </c>
      <c r="F1047" t="str">
        <f t="shared" si="267"/>
        <v>SUCMRUR4SFMERG5_LESS1__</v>
      </c>
      <c r="H1047" s="9" t="s">
        <v>1137</v>
      </c>
      <c r="K1047" s="9">
        <f t="shared" si="270"/>
        <v>292</v>
      </c>
      <c r="L1047" s="9" t="str">
        <f t="shared" si="269"/>
        <v>G</v>
      </c>
      <c r="M1047" s="9" t="str">
        <f t="shared" si="268"/>
        <v>Input!G292</v>
      </c>
      <c r="N1047" s="9">
        <f>_xlfn.XLOOKUP(F1047,'Raw Data'!$I$4:$I$5000,'Raw Data'!$E$4:$E$5000,100,0)</f>
        <v>100</v>
      </c>
      <c r="O1047" s="9" t="str">
        <f>IF(N1047=0,_xlfn.XLOOKUP(F1047,'Raw Data'!$I$4:$I$5000,'Raw Data'!$H$4:$H$5000,"",0),"")</f>
        <v/>
      </c>
      <c r="P1047" s="9" t="str" cm="1">
        <f t="array" aca="1" ref="P1047" ca="1">IF(INDIRECT(M1047) = "","",INDIRECT(M1047))</f>
        <v/>
      </c>
      <c r="Q1047" s="359" t="s">
        <v>4381</v>
      </c>
    </row>
    <row r="1048" spans="1:17" x14ac:dyDescent="0.35">
      <c r="A1048" s="694" t="s">
        <v>4181</v>
      </c>
      <c r="E1048" t="str">
        <f>_xlfn.XLOOKUP(F1048,'Raw Data'!$I$4:$I$5000,'Raw Data'!$D$4:$D$5000,"*** Mnemonic not found ***",0)</f>
        <v>*** Mnemonic not found ***</v>
      </c>
      <c r="F1048" t="str">
        <f t="shared" si="267"/>
        <v>SUCMRUR4SFMERG6_LESS1__</v>
      </c>
      <c r="H1048" s="9" t="s">
        <v>1137</v>
      </c>
      <c r="K1048" s="9">
        <f t="shared" si="270"/>
        <v>292</v>
      </c>
      <c r="L1048" s="9" t="str">
        <f t="shared" si="269"/>
        <v>H</v>
      </c>
      <c r="M1048" s="9" t="str">
        <f t="shared" si="268"/>
        <v>Input!H292</v>
      </c>
      <c r="N1048" s="9">
        <f>_xlfn.XLOOKUP(F1048,'Raw Data'!$I$4:$I$5000,'Raw Data'!$E$4:$E$5000,100,0)</f>
        <v>100</v>
      </c>
      <c r="O1048" s="9" t="str">
        <f>IF(N1048=0,_xlfn.XLOOKUP(F1048,'Raw Data'!$I$4:$I$5000,'Raw Data'!$H$4:$H$5000,"",0),"")</f>
        <v/>
      </c>
      <c r="P1048" s="9" t="str" cm="1">
        <f t="array" aca="1" ref="P1048" ca="1">IF(INDIRECT(M1048) = "","",INDIRECT(M1048))</f>
        <v/>
      </c>
      <c r="Q1048" s="359" t="s">
        <v>4381</v>
      </c>
    </row>
    <row r="1049" spans="1:17" x14ac:dyDescent="0.35">
      <c r="A1049" s="694" t="s">
        <v>4182</v>
      </c>
      <c r="E1049" t="str">
        <f>_xlfn.XLOOKUP(F1049,'Raw Data'!$I$4:$I$5000,'Raw Data'!$D$4:$D$5000,"*** Mnemonic not found ***",0)</f>
        <v>*** Mnemonic not found ***</v>
      </c>
      <c r="F1049" t="str">
        <f t="shared" si="267"/>
        <v>SUCMRUR4SFMERG7_LESS1__</v>
      </c>
      <c r="H1049" s="9" t="s">
        <v>1137</v>
      </c>
      <c r="K1049" s="9">
        <f t="shared" si="270"/>
        <v>292</v>
      </c>
      <c r="L1049" s="9" t="str">
        <f t="shared" si="269"/>
        <v>I</v>
      </c>
      <c r="M1049" s="9" t="str">
        <f t="shared" si="268"/>
        <v>Input!I292</v>
      </c>
      <c r="N1049" s="9">
        <f>_xlfn.XLOOKUP(F1049,'Raw Data'!$I$4:$I$5000,'Raw Data'!$E$4:$E$5000,100,0)</f>
        <v>100</v>
      </c>
      <c r="O1049" s="9" t="str">
        <f>IF(N1049=0,_xlfn.XLOOKUP(F1049,'Raw Data'!$I$4:$I$5000,'Raw Data'!$H$4:$H$5000,"",0),"")</f>
        <v/>
      </c>
      <c r="P1049" s="9" t="str" cm="1">
        <f t="array" aca="1" ref="P1049" ca="1">IF(INDIRECT(M1049) = "","",INDIRECT(M1049))</f>
        <v/>
      </c>
      <c r="Q1049" s="359" t="s">
        <v>4381</v>
      </c>
    </row>
    <row r="1050" spans="1:17" x14ac:dyDescent="0.35">
      <c r="A1050" s="694" t="s">
        <v>4183</v>
      </c>
      <c r="E1050" t="str">
        <f>_xlfn.XLOOKUP(F1050,'Raw Data'!$I$4:$I$5000,'Raw Data'!$D$4:$D$5000,"*** Mnemonic not found ***",0)</f>
        <v>*** Mnemonic not found ***</v>
      </c>
      <c r="F1050" t="str">
        <f t="shared" si="267"/>
        <v>SUCMRUR4SFMERG8_LESS1__</v>
      </c>
      <c r="H1050" s="9" t="s">
        <v>1137</v>
      </c>
      <c r="K1050" s="9">
        <f t="shared" si="270"/>
        <v>292</v>
      </c>
      <c r="L1050" s="9" t="str">
        <f t="shared" si="269"/>
        <v>J</v>
      </c>
      <c r="M1050" s="9" t="str">
        <f t="shared" si="268"/>
        <v>Input!J292</v>
      </c>
      <c r="N1050" s="9">
        <f>_xlfn.XLOOKUP(F1050,'Raw Data'!$I$4:$I$5000,'Raw Data'!$E$4:$E$5000,100,0)</f>
        <v>100</v>
      </c>
      <c r="O1050" s="9" t="str">
        <f>IF(N1050=0,_xlfn.XLOOKUP(F1050,'Raw Data'!$I$4:$I$5000,'Raw Data'!$H$4:$H$5000,"",0),"")</f>
        <v/>
      </c>
      <c r="P1050" s="9" t="str" cm="1">
        <f t="array" aca="1" ref="P1050" ca="1">IF(INDIRECT(M1050) = "","",INDIRECT(M1050))</f>
        <v/>
      </c>
      <c r="Q1050" s="359" t="s">
        <v>4381</v>
      </c>
    </row>
    <row r="1051" spans="1:17" x14ac:dyDescent="0.35">
      <c r="A1051" s="694" t="s">
        <v>4184</v>
      </c>
      <c r="E1051" t="str">
        <f>_xlfn.XLOOKUP(F1051,'Raw Data'!$I$4:$I$5000,'Raw Data'!$D$4:$D$5000,"*** Mnemonic not found ***",0)</f>
        <v>*** Mnemonic not found ***</v>
      </c>
      <c r="F1051" t="str">
        <f t="shared" si="267"/>
        <v>SUCMRUR4SFMERG9_LESS1__</v>
      </c>
      <c r="H1051" s="9" t="s">
        <v>1137</v>
      </c>
      <c r="K1051" s="9">
        <f t="shared" si="270"/>
        <v>292</v>
      </c>
      <c r="L1051" s="9" t="str">
        <f t="shared" si="269"/>
        <v>K</v>
      </c>
      <c r="M1051" s="9" t="str">
        <f t="shared" si="268"/>
        <v>Input!K292</v>
      </c>
      <c r="N1051" s="9">
        <f>_xlfn.XLOOKUP(F1051,'Raw Data'!$I$4:$I$5000,'Raw Data'!$E$4:$E$5000,100,0)</f>
        <v>100</v>
      </c>
      <c r="O1051" s="9" t="str">
        <f>IF(N1051=0,_xlfn.XLOOKUP(F1051,'Raw Data'!$I$4:$I$5000,'Raw Data'!$H$4:$H$5000,"",0),"")</f>
        <v/>
      </c>
      <c r="P1051" s="9" t="str" cm="1">
        <f t="array" aca="1" ref="P1051" ca="1">IF(INDIRECT(M1051) = "","",INDIRECT(M1051))</f>
        <v/>
      </c>
      <c r="Q1051" s="359" t="s">
        <v>4381</v>
      </c>
    </row>
    <row r="1052" spans="1:17" x14ac:dyDescent="0.35">
      <c r="A1052" s="694" t="s">
        <v>4185</v>
      </c>
      <c r="E1052" t="str">
        <f>_xlfn.XLOOKUP(F1052,'Raw Data'!$I$4:$I$5000,'Raw Data'!$D$4:$D$5000,"*** Mnemonic not found ***",0)</f>
        <v>*** Mnemonic not found ***</v>
      </c>
      <c r="F1052" t="str">
        <f t="shared" si="267"/>
        <v>SUCMRUR4SFMERG10_LESS1__</v>
      </c>
      <c r="H1052" s="9" t="s">
        <v>1137</v>
      </c>
      <c r="K1052" s="9">
        <f t="shared" si="270"/>
        <v>292</v>
      </c>
      <c r="L1052" s="9" t="str">
        <f t="shared" si="269"/>
        <v>L</v>
      </c>
      <c r="M1052" s="9" t="str">
        <f t="shared" si="268"/>
        <v>Input!L292</v>
      </c>
      <c r="N1052" s="9">
        <f>_xlfn.XLOOKUP(F1052,'Raw Data'!$I$4:$I$5000,'Raw Data'!$E$4:$E$5000,100,0)</f>
        <v>100</v>
      </c>
      <c r="O1052" s="9" t="str">
        <f>IF(N1052=0,_xlfn.XLOOKUP(F1052,'Raw Data'!$I$4:$I$5000,'Raw Data'!$H$4:$H$5000,"",0),"")</f>
        <v/>
      </c>
      <c r="P1052" s="9" t="str" cm="1">
        <f t="array" aca="1" ref="P1052" ca="1">IF(INDIRECT(M1052) = "","",INDIRECT(M1052))</f>
        <v/>
      </c>
      <c r="Q1052" s="359" t="s">
        <v>4381</v>
      </c>
    </row>
    <row r="1053" spans="1:17" x14ac:dyDescent="0.35">
      <c r="A1053" s="694" t="s">
        <v>4186</v>
      </c>
      <c r="E1053" t="str">
        <f>_xlfn.XLOOKUP(F1053,'Raw Data'!$I$4:$I$5000,'Raw Data'!$D$4:$D$5000,"*** Mnemonic not found ***",0)</f>
        <v>*** Mnemonic not found ***</v>
      </c>
      <c r="F1053" t="str">
        <f t="shared" si="267"/>
        <v>SUCMRUR4SFMERGNA_LESS1__</v>
      </c>
      <c r="H1053" s="9" t="s">
        <v>1137</v>
      </c>
      <c r="K1053" s="9">
        <f t="shared" si="270"/>
        <v>292</v>
      </c>
      <c r="L1053" s="9" t="str">
        <f t="shared" si="269"/>
        <v>M</v>
      </c>
      <c r="M1053" s="9" t="str">
        <f t="shared" si="268"/>
        <v>Input!M292</v>
      </c>
      <c r="N1053" s="9">
        <f>_xlfn.XLOOKUP(F1053,'Raw Data'!$I$4:$I$5000,'Raw Data'!$E$4:$E$5000,100,0)</f>
        <v>100</v>
      </c>
      <c r="O1053" s="9" t="str">
        <f>IF(N1053=0,_xlfn.XLOOKUP(F1053,'Raw Data'!$I$4:$I$5000,'Raw Data'!$H$4:$H$5000,"",0),"")</f>
        <v/>
      </c>
      <c r="P1053" s="9" t="str" cm="1">
        <f t="array" aca="1" ref="P1053" ca="1">IF(INDIRECT(M1053) = "","",INDIRECT(M1053))</f>
        <v/>
      </c>
      <c r="Q1053" s="359" t="s">
        <v>4381</v>
      </c>
    </row>
    <row r="1054" spans="1:17" x14ac:dyDescent="0.35">
      <c r="A1054" s="694" t="s">
        <v>4187</v>
      </c>
      <c r="E1054" t="str">
        <f>_xlfn.XLOOKUP(F1054,'Raw Data'!$I$4:$I$5000,'Raw Data'!$D$4:$D$5000,"*** Mnemonic not found ***",0)</f>
        <v>*** Mnemonic not found ***</v>
      </c>
      <c r="F1054" t="str">
        <f t="shared" si="267"/>
        <v>SUCMRUR4SFMERG1_1TO5__</v>
      </c>
      <c r="H1054" s="9" t="s">
        <v>1137</v>
      </c>
      <c r="K1054" s="9">
        <f>K1043+1</f>
        <v>293</v>
      </c>
      <c r="L1054" s="9" t="str">
        <f>L1043</f>
        <v>C</v>
      </c>
      <c r="M1054" s="9" t="str">
        <f t="shared" si="268"/>
        <v>Input!C293</v>
      </c>
      <c r="N1054" s="9">
        <f>_xlfn.XLOOKUP(F1054,'Raw Data'!$I$4:$I$5000,'Raw Data'!$E$4:$E$5000,100,0)</f>
        <v>100</v>
      </c>
      <c r="O1054" s="9" t="str">
        <f>IF(N1054=0,_xlfn.XLOOKUP(F1054,'Raw Data'!$I$4:$I$5000,'Raw Data'!$H$4:$H$5000,"",0),"")</f>
        <v/>
      </c>
      <c r="P1054" s="9" t="str" cm="1">
        <f t="array" aca="1" ref="P1054" ca="1">IF(INDIRECT(M1054) = "","",INDIRECT(M1054))</f>
        <v/>
      </c>
      <c r="Q1054" s="359" t="s">
        <v>4381</v>
      </c>
    </row>
    <row r="1055" spans="1:17" x14ac:dyDescent="0.35">
      <c r="A1055" s="694" t="s">
        <v>4188</v>
      </c>
      <c r="E1055" t="str">
        <f>_xlfn.XLOOKUP(F1055,'Raw Data'!$I$4:$I$5000,'Raw Data'!$D$4:$D$5000,"*** Mnemonic not found ***",0)</f>
        <v>*** Mnemonic not found ***</v>
      </c>
      <c r="F1055" t="str">
        <f t="shared" si="267"/>
        <v>SUCMRUR4SFMERG2_1TO5__</v>
      </c>
      <c r="H1055" s="9" t="s">
        <v>1137</v>
      </c>
      <c r="K1055" s="9">
        <f t="shared" ref="K1055:K1097" si="271">K1044+1</f>
        <v>293</v>
      </c>
      <c r="L1055" s="9" t="str">
        <f t="shared" ref="L1055:L1097" si="272">L1044</f>
        <v>D</v>
      </c>
      <c r="M1055" s="9" t="str">
        <f t="shared" si="268"/>
        <v>Input!D293</v>
      </c>
      <c r="N1055" s="9">
        <f>_xlfn.XLOOKUP(F1055,'Raw Data'!$I$4:$I$5000,'Raw Data'!$E$4:$E$5000,100,0)</f>
        <v>100</v>
      </c>
      <c r="O1055" s="9" t="str">
        <f>IF(N1055=0,_xlfn.XLOOKUP(F1055,'Raw Data'!$I$4:$I$5000,'Raw Data'!$H$4:$H$5000,"",0),"")</f>
        <v/>
      </c>
      <c r="P1055" s="9" t="str" cm="1">
        <f t="array" aca="1" ref="P1055" ca="1">IF(INDIRECT(M1055) = "","",INDIRECT(M1055))</f>
        <v/>
      </c>
      <c r="Q1055" s="359" t="s">
        <v>4381</v>
      </c>
    </row>
    <row r="1056" spans="1:17" x14ac:dyDescent="0.35">
      <c r="A1056" s="694" t="s">
        <v>4189</v>
      </c>
      <c r="E1056" t="str">
        <f>_xlfn.XLOOKUP(F1056,'Raw Data'!$I$4:$I$5000,'Raw Data'!$D$4:$D$5000,"*** Mnemonic not found ***",0)</f>
        <v>*** Mnemonic not found ***</v>
      </c>
      <c r="F1056" t="str">
        <f t="shared" si="267"/>
        <v>SUCMRUR4SFMERG3_1TO5__</v>
      </c>
      <c r="H1056" s="9" t="s">
        <v>1137</v>
      </c>
      <c r="K1056" s="9">
        <f t="shared" si="271"/>
        <v>293</v>
      </c>
      <c r="L1056" s="9" t="str">
        <f t="shared" si="272"/>
        <v>E</v>
      </c>
      <c r="M1056" s="9" t="str">
        <f t="shared" si="268"/>
        <v>Input!E293</v>
      </c>
      <c r="N1056" s="9">
        <f>_xlfn.XLOOKUP(F1056,'Raw Data'!$I$4:$I$5000,'Raw Data'!$E$4:$E$5000,100,0)</f>
        <v>100</v>
      </c>
      <c r="O1056" s="9" t="str">
        <f>IF(N1056=0,_xlfn.XLOOKUP(F1056,'Raw Data'!$I$4:$I$5000,'Raw Data'!$H$4:$H$5000,"",0),"")</f>
        <v/>
      </c>
      <c r="P1056" s="9" t="str" cm="1">
        <f t="array" aca="1" ref="P1056" ca="1">IF(INDIRECT(M1056) = "","",INDIRECT(M1056))</f>
        <v/>
      </c>
      <c r="Q1056" s="359" t="s">
        <v>4381</v>
      </c>
    </row>
    <row r="1057" spans="1:17" x14ac:dyDescent="0.35">
      <c r="A1057" s="694" t="s">
        <v>4190</v>
      </c>
      <c r="E1057" t="str">
        <f>_xlfn.XLOOKUP(F1057,'Raw Data'!$I$4:$I$5000,'Raw Data'!$D$4:$D$5000,"*** Mnemonic not found ***",0)</f>
        <v>*** Mnemonic not found ***</v>
      </c>
      <c r="F1057" t="str">
        <f t="shared" si="267"/>
        <v>SUCMRUR4SFMERG4_1TO5__</v>
      </c>
      <c r="H1057" s="9" t="s">
        <v>1137</v>
      </c>
      <c r="K1057" s="9">
        <f t="shared" si="271"/>
        <v>293</v>
      </c>
      <c r="L1057" s="9" t="str">
        <f t="shared" si="272"/>
        <v>F</v>
      </c>
      <c r="M1057" s="9" t="str">
        <f t="shared" si="268"/>
        <v>Input!F293</v>
      </c>
      <c r="N1057" s="9">
        <f>_xlfn.XLOOKUP(F1057,'Raw Data'!$I$4:$I$5000,'Raw Data'!$E$4:$E$5000,100,0)</f>
        <v>100</v>
      </c>
      <c r="O1057" s="9" t="str">
        <f>IF(N1057=0,_xlfn.XLOOKUP(F1057,'Raw Data'!$I$4:$I$5000,'Raw Data'!$H$4:$H$5000,"",0),"")</f>
        <v/>
      </c>
      <c r="P1057" s="9" t="str" cm="1">
        <f t="array" aca="1" ref="P1057" ca="1">IF(INDIRECT(M1057) = "","",INDIRECT(M1057))</f>
        <v/>
      </c>
      <c r="Q1057" s="359" t="s">
        <v>4381</v>
      </c>
    </row>
    <row r="1058" spans="1:17" x14ac:dyDescent="0.35">
      <c r="A1058" s="694" t="s">
        <v>4191</v>
      </c>
      <c r="E1058" t="str">
        <f>_xlfn.XLOOKUP(F1058,'Raw Data'!$I$4:$I$5000,'Raw Data'!$D$4:$D$5000,"*** Mnemonic not found ***",0)</f>
        <v>*** Mnemonic not found ***</v>
      </c>
      <c r="F1058" t="str">
        <f t="shared" si="267"/>
        <v>SUCMRUR4SFMERG5_1TO5__</v>
      </c>
      <c r="H1058" s="9" t="s">
        <v>1137</v>
      </c>
      <c r="K1058" s="9">
        <f t="shared" si="271"/>
        <v>293</v>
      </c>
      <c r="L1058" s="9" t="str">
        <f t="shared" si="272"/>
        <v>G</v>
      </c>
      <c r="M1058" s="9" t="str">
        <f t="shared" si="268"/>
        <v>Input!G293</v>
      </c>
      <c r="N1058" s="9">
        <f>_xlfn.XLOOKUP(F1058,'Raw Data'!$I$4:$I$5000,'Raw Data'!$E$4:$E$5000,100,0)</f>
        <v>100</v>
      </c>
      <c r="O1058" s="9" t="str">
        <f>IF(N1058=0,_xlfn.XLOOKUP(F1058,'Raw Data'!$I$4:$I$5000,'Raw Data'!$H$4:$H$5000,"",0),"")</f>
        <v/>
      </c>
      <c r="P1058" s="9" t="str" cm="1">
        <f t="array" aca="1" ref="P1058" ca="1">IF(INDIRECT(M1058) = "","",INDIRECT(M1058))</f>
        <v/>
      </c>
      <c r="Q1058" s="359" t="s">
        <v>4381</v>
      </c>
    </row>
    <row r="1059" spans="1:17" x14ac:dyDescent="0.35">
      <c r="A1059" s="694" t="s">
        <v>4192</v>
      </c>
      <c r="E1059" t="str">
        <f>_xlfn.XLOOKUP(F1059,'Raw Data'!$I$4:$I$5000,'Raw Data'!$D$4:$D$5000,"*** Mnemonic not found ***",0)</f>
        <v>*** Mnemonic not found ***</v>
      </c>
      <c r="F1059" t="str">
        <f t="shared" si="267"/>
        <v>SUCMRUR4SFMERG6_1TO5__</v>
      </c>
      <c r="H1059" s="9" t="s">
        <v>1137</v>
      </c>
      <c r="K1059" s="9">
        <f t="shared" si="271"/>
        <v>293</v>
      </c>
      <c r="L1059" s="9" t="str">
        <f t="shared" si="272"/>
        <v>H</v>
      </c>
      <c r="M1059" s="9" t="str">
        <f t="shared" si="268"/>
        <v>Input!H293</v>
      </c>
      <c r="N1059" s="9">
        <f>_xlfn.XLOOKUP(F1059,'Raw Data'!$I$4:$I$5000,'Raw Data'!$E$4:$E$5000,100,0)</f>
        <v>100</v>
      </c>
      <c r="O1059" s="9" t="str">
        <f>IF(N1059=0,_xlfn.XLOOKUP(F1059,'Raw Data'!$I$4:$I$5000,'Raw Data'!$H$4:$H$5000,"",0),"")</f>
        <v/>
      </c>
      <c r="P1059" s="9" t="str" cm="1">
        <f t="array" aca="1" ref="P1059" ca="1">IF(INDIRECT(M1059) = "","",INDIRECT(M1059))</f>
        <v/>
      </c>
      <c r="Q1059" s="359" t="s">
        <v>4381</v>
      </c>
    </row>
    <row r="1060" spans="1:17" x14ac:dyDescent="0.35">
      <c r="A1060" s="694" t="s">
        <v>4193</v>
      </c>
      <c r="E1060" t="str">
        <f>_xlfn.XLOOKUP(F1060,'Raw Data'!$I$4:$I$5000,'Raw Data'!$D$4:$D$5000,"*** Mnemonic not found ***",0)</f>
        <v>*** Mnemonic not found ***</v>
      </c>
      <c r="F1060" t="str">
        <f t="shared" si="267"/>
        <v>SUCMRUR4SFMERG7_1TO5__</v>
      </c>
      <c r="H1060" s="9" t="s">
        <v>1137</v>
      </c>
      <c r="K1060" s="9">
        <f t="shared" si="271"/>
        <v>293</v>
      </c>
      <c r="L1060" s="9" t="str">
        <f t="shared" si="272"/>
        <v>I</v>
      </c>
      <c r="M1060" s="9" t="str">
        <f t="shared" si="268"/>
        <v>Input!I293</v>
      </c>
      <c r="N1060" s="9">
        <f>_xlfn.XLOOKUP(F1060,'Raw Data'!$I$4:$I$5000,'Raw Data'!$E$4:$E$5000,100,0)</f>
        <v>100</v>
      </c>
      <c r="O1060" s="9" t="str">
        <f>IF(N1060=0,_xlfn.XLOOKUP(F1060,'Raw Data'!$I$4:$I$5000,'Raw Data'!$H$4:$H$5000,"",0),"")</f>
        <v/>
      </c>
      <c r="P1060" s="9" t="str" cm="1">
        <f t="array" aca="1" ref="P1060" ca="1">IF(INDIRECT(M1060) = "","",INDIRECT(M1060))</f>
        <v/>
      </c>
      <c r="Q1060" s="359" t="s">
        <v>4381</v>
      </c>
    </row>
    <row r="1061" spans="1:17" x14ac:dyDescent="0.35">
      <c r="A1061" s="694" t="s">
        <v>4194</v>
      </c>
      <c r="E1061" t="str">
        <f>_xlfn.XLOOKUP(F1061,'Raw Data'!$I$4:$I$5000,'Raw Data'!$D$4:$D$5000,"*** Mnemonic not found ***",0)</f>
        <v>*** Mnemonic not found ***</v>
      </c>
      <c r="F1061" t="str">
        <f t="shared" si="267"/>
        <v>SUCMRUR4SFMERG8_1TO5__</v>
      </c>
      <c r="H1061" s="9" t="s">
        <v>1137</v>
      </c>
      <c r="K1061" s="9">
        <f t="shared" si="271"/>
        <v>293</v>
      </c>
      <c r="L1061" s="9" t="str">
        <f t="shared" si="272"/>
        <v>J</v>
      </c>
      <c r="M1061" s="9" t="str">
        <f t="shared" si="268"/>
        <v>Input!J293</v>
      </c>
      <c r="N1061" s="9">
        <f>_xlfn.XLOOKUP(F1061,'Raw Data'!$I$4:$I$5000,'Raw Data'!$E$4:$E$5000,100,0)</f>
        <v>100</v>
      </c>
      <c r="O1061" s="9" t="str">
        <f>IF(N1061=0,_xlfn.XLOOKUP(F1061,'Raw Data'!$I$4:$I$5000,'Raw Data'!$H$4:$H$5000,"",0),"")</f>
        <v/>
      </c>
      <c r="P1061" s="9" t="str" cm="1">
        <f t="array" aca="1" ref="P1061" ca="1">IF(INDIRECT(M1061) = "","",INDIRECT(M1061))</f>
        <v/>
      </c>
      <c r="Q1061" s="359" t="s">
        <v>4381</v>
      </c>
    </row>
    <row r="1062" spans="1:17" x14ac:dyDescent="0.35">
      <c r="A1062" s="694" t="s">
        <v>4195</v>
      </c>
      <c r="E1062" t="str">
        <f>_xlfn.XLOOKUP(F1062,'Raw Data'!$I$4:$I$5000,'Raw Data'!$D$4:$D$5000,"*** Mnemonic not found ***",0)</f>
        <v>*** Mnemonic not found ***</v>
      </c>
      <c r="F1062" t="str">
        <f t="shared" si="267"/>
        <v>SUCMRUR4SFMERG9_1TO5__</v>
      </c>
      <c r="H1062" s="9" t="s">
        <v>1137</v>
      </c>
      <c r="K1062" s="9">
        <f t="shared" si="271"/>
        <v>293</v>
      </c>
      <c r="L1062" s="9" t="str">
        <f t="shared" si="272"/>
        <v>K</v>
      </c>
      <c r="M1062" s="9" t="str">
        <f t="shared" si="268"/>
        <v>Input!K293</v>
      </c>
      <c r="N1062" s="9">
        <f>_xlfn.XLOOKUP(F1062,'Raw Data'!$I$4:$I$5000,'Raw Data'!$E$4:$E$5000,100,0)</f>
        <v>100</v>
      </c>
      <c r="O1062" s="9" t="str">
        <f>IF(N1062=0,_xlfn.XLOOKUP(F1062,'Raw Data'!$I$4:$I$5000,'Raw Data'!$H$4:$H$5000,"",0),"")</f>
        <v/>
      </c>
      <c r="P1062" s="9" t="str" cm="1">
        <f t="array" aca="1" ref="P1062" ca="1">IF(INDIRECT(M1062) = "","",INDIRECT(M1062))</f>
        <v/>
      </c>
      <c r="Q1062" s="359" t="s">
        <v>4381</v>
      </c>
    </row>
    <row r="1063" spans="1:17" x14ac:dyDescent="0.35">
      <c r="A1063" s="694" t="s">
        <v>4196</v>
      </c>
      <c r="E1063" t="str">
        <f>_xlfn.XLOOKUP(F1063,'Raw Data'!$I$4:$I$5000,'Raw Data'!$D$4:$D$5000,"*** Mnemonic not found ***",0)</f>
        <v>*** Mnemonic not found ***</v>
      </c>
      <c r="F1063" t="str">
        <f t="shared" si="267"/>
        <v>SUCMRUR4SFMERG10_1TO5__</v>
      </c>
      <c r="H1063" s="9" t="s">
        <v>1137</v>
      </c>
      <c r="K1063" s="9">
        <f t="shared" si="271"/>
        <v>293</v>
      </c>
      <c r="L1063" s="9" t="str">
        <f t="shared" si="272"/>
        <v>L</v>
      </c>
      <c r="M1063" s="9" t="str">
        <f t="shared" si="268"/>
        <v>Input!L293</v>
      </c>
      <c r="N1063" s="9">
        <f>_xlfn.XLOOKUP(F1063,'Raw Data'!$I$4:$I$5000,'Raw Data'!$E$4:$E$5000,100,0)</f>
        <v>100</v>
      </c>
      <c r="O1063" s="9" t="str">
        <f>IF(N1063=0,_xlfn.XLOOKUP(F1063,'Raw Data'!$I$4:$I$5000,'Raw Data'!$H$4:$H$5000,"",0),"")</f>
        <v/>
      </c>
      <c r="P1063" s="9" t="str" cm="1">
        <f t="array" aca="1" ref="P1063" ca="1">IF(INDIRECT(M1063) = "","",INDIRECT(M1063))</f>
        <v/>
      </c>
      <c r="Q1063" s="359" t="s">
        <v>4381</v>
      </c>
    </row>
    <row r="1064" spans="1:17" x14ac:dyDescent="0.35">
      <c r="A1064" s="694" t="s">
        <v>4197</v>
      </c>
      <c r="E1064" t="str">
        <f>_xlfn.XLOOKUP(F1064,'Raw Data'!$I$4:$I$5000,'Raw Data'!$D$4:$D$5000,"*** Mnemonic not found ***",0)</f>
        <v>*** Mnemonic not found ***</v>
      </c>
      <c r="F1064" t="str">
        <f t="shared" si="267"/>
        <v>SUCMRUR4SFMERGNA_1TO5__</v>
      </c>
      <c r="H1064" s="9" t="s">
        <v>1137</v>
      </c>
      <c r="K1064" s="9">
        <f t="shared" si="271"/>
        <v>293</v>
      </c>
      <c r="L1064" s="9" t="str">
        <f t="shared" si="272"/>
        <v>M</v>
      </c>
      <c r="M1064" s="9" t="str">
        <f t="shared" si="268"/>
        <v>Input!M293</v>
      </c>
      <c r="N1064" s="9">
        <f>_xlfn.XLOOKUP(F1064,'Raw Data'!$I$4:$I$5000,'Raw Data'!$E$4:$E$5000,100,0)</f>
        <v>100</v>
      </c>
      <c r="O1064" s="9" t="str">
        <f>IF(N1064=0,_xlfn.XLOOKUP(F1064,'Raw Data'!$I$4:$I$5000,'Raw Data'!$H$4:$H$5000,"",0),"")</f>
        <v/>
      </c>
      <c r="P1064" s="9" t="str" cm="1">
        <f t="array" aca="1" ref="P1064" ca="1">IF(INDIRECT(M1064) = "","",INDIRECT(M1064))</f>
        <v/>
      </c>
      <c r="Q1064" s="359" t="s">
        <v>4381</v>
      </c>
    </row>
    <row r="1065" spans="1:17" x14ac:dyDescent="0.35">
      <c r="A1065" s="694" t="s">
        <v>4198</v>
      </c>
      <c r="E1065" t="str">
        <f>_xlfn.XLOOKUP(F1065,'Raw Data'!$I$4:$I$5000,'Raw Data'!$D$4:$D$5000,"*** Mnemonic not found ***",0)</f>
        <v>*** Mnemonic not found ***</v>
      </c>
      <c r="F1065" t="str">
        <f t="shared" si="267"/>
        <v>SUCMRUR4SFMERG1_5TO10__</v>
      </c>
      <c r="H1065" s="9" t="s">
        <v>1137</v>
      </c>
      <c r="K1065" s="9">
        <f t="shared" si="271"/>
        <v>294</v>
      </c>
      <c r="L1065" s="9" t="str">
        <f t="shared" si="272"/>
        <v>C</v>
      </c>
      <c r="M1065" s="9" t="str">
        <f t="shared" si="268"/>
        <v>Input!C294</v>
      </c>
      <c r="N1065" s="9">
        <f>_xlfn.XLOOKUP(F1065,'Raw Data'!$I$4:$I$5000,'Raw Data'!$E$4:$E$5000,100,0)</f>
        <v>100</v>
      </c>
      <c r="O1065" s="9" t="str">
        <f>IF(N1065=0,_xlfn.XLOOKUP(F1065,'Raw Data'!$I$4:$I$5000,'Raw Data'!$H$4:$H$5000,"",0),"")</f>
        <v/>
      </c>
      <c r="P1065" s="9" t="str" cm="1">
        <f t="array" aca="1" ref="P1065" ca="1">IF(INDIRECT(M1065) = "","",INDIRECT(M1065))</f>
        <v/>
      </c>
      <c r="Q1065" s="359" t="s">
        <v>4381</v>
      </c>
    </row>
    <row r="1066" spans="1:17" x14ac:dyDescent="0.35">
      <c r="A1066" s="694" t="s">
        <v>4199</v>
      </c>
      <c r="E1066" t="str">
        <f>_xlfn.XLOOKUP(F1066,'Raw Data'!$I$4:$I$5000,'Raw Data'!$D$4:$D$5000,"*** Mnemonic not found ***",0)</f>
        <v>*** Mnemonic not found ***</v>
      </c>
      <c r="F1066" t="str">
        <f t="shared" si="267"/>
        <v>SUCMRUR4SFMERG2_5TO10__</v>
      </c>
      <c r="H1066" s="9" t="s">
        <v>1137</v>
      </c>
      <c r="K1066" s="9">
        <f t="shared" si="271"/>
        <v>294</v>
      </c>
      <c r="L1066" s="9" t="str">
        <f t="shared" si="272"/>
        <v>D</v>
      </c>
      <c r="M1066" s="9" t="str">
        <f t="shared" si="268"/>
        <v>Input!D294</v>
      </c>
      <c r="N1066" s="9">
        <f>_xlfn.XLOOKUP(F1066,'Raw Data'!$I$4:$I$5000,'Raw Data'!$E$4:$E$5000,100,0)</f>
        <v>100</v>
      </c>
      <c r="O1066" s="9" t="str">
        <f>IF(N1066=0,_xlfn.XLOOKUP(F1066,'Raw Data'!$I$4:$I$5000,'Raw Data'!$H$4:$H$5000,"",0),"")</f>
        <v/>
      </c>
      <c r="P1066" s="9" t="str" cm="1">
        <f t="array" aca="1" ref="P1066" ca="1">IF(INDIRECT(M1066) = "","",INDIRECT(M1066))</f>
        <v/>
      </c>
      <c r="Q1066" s="359" t="s">
        <v>4381</v>
      </c>
    </row>
    <row r="1067" spans="1:17" x14ac:dyDescent="0.35">
      <c r="A1067" s="694" t="s">
        <v>4200</v>
      </c>
      <c r="E1067" t="str">
        <f>_xlfn.XLOOKUP(F1067,'Raw Data'!$I$4:$I$5000,'Raw Data'!$D$4:$D$5000,"*** Mnemonic not found ***",0)</f>
        <v>*** Mnemonic not found ***</v>
      </c>
      <c r="F1067" t="str">
        <f t="shared" si="267"/>
        <v>SUCMRUR4SFMERG3_5TO10__</v>
      </c>
      <c r="H1067" s="9" t="s">
        <v>1137</v>
      </c>
      <c r="K1067" s="9">
        <f t="shared" si="271"/>
        <v>294</v>
      </c>
      <c r="L1067" s="9" t="str">
        <f t="shared" si="272"/>
        <v>E</v>
      </c>
      <c r="M1067" s="9" t="str">
        <f t="shared" si="268"/>
        <v>Input!E294</v>
      </c>
      <c r="N1067" s="9">
        <f>_xlfn.XLOOKUP(F1067,'Raw Data'!$I$4:$I$5000,'Raw Data'!$E$4:$E$5000,100,0)</f>
        <v>100</v>
      </c>
      <c r="O1067" s="9" t="str">
        <f>IF(N1067=0,_xlfn.XLOOKUP(F1067,'Raw Data'!$I$4:$I$5000,'Raw Data'!$H$4:$H$5000,"",0),"")</f>
        <v/>
      </c>
      <c r="P1067" s="9" t="str" cm="1">
        <f t="array" aca="1" ref="P1067" ca="1">IF(INDIRECT(M1067) = "","",INDIRECT(M1067))</f>
        <v/>
      </c>
      <c r="Q1067" s="359" t="s">
        <v>4381</v>
      </c>
    </row>
    <row r="1068" spans="1:17" x14ac:dyDescent="0.35">
      <c r="A1068" s="694" t="s">
        <v>4201</v>
      </c>
      <c r="E1068" t="str">
        <f>_xlfn.XLOOKUP(F1068,'Raw Data'!$I$4:$I$5000,'Raw Data'!$D$4:$D$5000,"*** Mnemonic not found ***",0)</f>
        <v>*** Mnemonic not found ***</v>
      </c>
      <c r="F1068" t="str">
        <f t="shared" si="267"/>
        <v>SUCMRUR4SFMERG4_5TO10__</v>
      </c>
      <c r="H1068" s="9" t="s">
        <v>1137</v>
      </c>
      <c r="K1068" s="9">
        <f t="shared" si="271"/>
        <v>294</v>
      </c>
      <c r="L1068" s="9" t="str">
        <f t="shared" si="272"/>
        <v>F</v>
      </c>
      <c r="M1068" s="9" t="str">
        <f t="shared" si="268"/>
        <v>Input!F294</v>
      </c>
      <c r="N1068" s="9">
        <f>_xlfn.XLOOKUP(F1068,'Raw Data'!$I$4:$I$5000,'Raw Data'!$E$4:$E$5000,100,0)</f>
        <v>100</v>
      </c>
      <c r="O1068" s="9" t="str">
        <f>IF(N1068=0,_xlfn.XLOOKUP(F1068,'Raw Data'!$I$4:$I$5000,'Raw Data'!$H$4:$H$5000,"",0),"")</f>
        <v/>
      </c>
      <c r="P1068" s="9" t="str" cm="1">
        <f t="array" aca="1" ref="P1068" ca="1">IF(INDIRECT(M1068) = "","",INDIRECT(M1068))</f>
        <v/>
      </c>
      <c r="Q1068" s="359" t="s">
        <v>4381</v>
      </c>
    </row>
    <row r="1069" spans="1:17" x14ac:dyDescent="0.35">
      <c r="A1069" s="694" t="s">
        <v>4202</v>
      </c>
      <c r="E1069" t="str">
        <f>_xlfn.XLOOKUP(F1069,'Raw Data'!$I$4:$I$5000,'Raw Data'!$D$4:$D$5000,"*** Mnemonic not found ***",0)</f>
        <v>*** Mnemonic not found ***</v>
      </c>
      <c r="F1069" t="str">
        <f t="shared" si="267"/>
        <v>SUCMRUR4SFMERG5_5TO10__</v>
      </c>
      <c r="H1069" s="9" t="s">
        <v>1137</v>
      </c>
      <c r="K1069" s="9">
        <f t="shared" si="271"/>
        <v>294</v>
      </c>
      <c r="L1069" s="9" t="str">
        <f t="shared" si="272"/>
        <v>G</v>
      </c>
      <c r="M1069" s="9" t="str">
        <f t="shared" si="268"/>
        <v>Input!G294</v>
      </c>
      <c r="N1069" s="9">
        <f>_xlfn.XLOOKUP(F1069,'Raw Data'!$I$4:$I$5000,'Raw Data'!$E$4:$E$5000,100,0)</f>
        <v>100</v>
      </c>
      <c r="O1069" s="9" t="str">
        <f>IF(N1069=0,_xlfn.XLOOKUP(F1069,'Raw Data'!$I$4:$I$5000,'Raw Data'!$H$4:$H$5000,"",0),"")</f>
        <v/>
      </c>
      <c r="P1069" s="9" t="str" cm="1">
        <f t="array" aca="1" ref="P1069" ca="1">IF(INDIRECT(M1069) = "","",INDIRECT(M1069))</f>
        <v/>
      </c>
      <c r="Q1069" s="359" t="s">
        <v>4381</v>
      </c>
    </row>
    <row r="1070" spans="1:17" x14ac:dyDescent="0.35">
      <c r="A1070" s="694" t="s">
        <v>4203</v>
      </c>
      <c r="E1070" t="str">
        <f>_xlfn.XLOOKUP(F1070,'Raw Data'!$I$4:$I$5000,'Raw Data'!$D$4:$D$5000,"*** Mnemonic not found ***",0)</f>
        <v>*** Mnemonic not found ***</v>
      </c>
      <c r="F1070" t="str">
        <f t="shared" si="267"/>
        <v>SUCMRUR4SFMERG6_5TO10__</v>
      </c>
      <c r="H1070" s="9" t="s">
        <v>1137</v>
      </c>
      <c r="K1070" s="9">
        <f t="shared" si="271"/>
        <v>294</v>
      </c>
      <c r="L1070" s="9" t="str">
        <f t="shared" si="272"/>
        <v>H</v>
      </c>
      <c r="M1070" s="9" t="str">
        <f t="shared" si="268"/>
        <v>Input!H294</v>
      </c>
      <c r="N1070" s="9">
        <f>_xlfn.XLOOKUP(F1070,'Raw Data'!$I$4:$I$5000,'Raw Data'!$E$4:$E$5000,100,0)</f>
        <v>100</v>
      </c>
      <c r="O1070" s="9" t="str">
        <f>IF(N1070=0,_xlfn.XLOOKUP(F1070,'Raw Data'!$I$4:$I$5000,'Raw Data'!$H$4:$H$5000,"",0),"")</f>
        <v/>
      </c>
      <c r="P1070" s="9" t="str" cm="1">
        <f t="array" aca="1" ref="P1070" ca="1">IF(INDIRECT(M1070) = "","",INDIRECT(M1070))</f>
        <v/>
      </c>
      <c r="Q1070" s="359" t="s">
        <v>4381</v>
      </c>
    </row>
    <row r="1071" spans="1:17" x14ac:dyDescent="0.35">
      <c r="A1071" s="694" t="s">
        <v>4204</v>
      </c>
      <c r="E1071" t="str">
        <f>_xlfn.XLOOKUP(F1071,'Raw Data'!$I$4:$I$5000,'Raw Data'!$D$4:$D$5000,"*** Mnemonic not found ***",0)</f>
        <v>*** Mnemonic not found ***</v>
      </c>
      <c r="F1071" t="str">
        <f t="shared" si="267"/>
        <v>SUCMRUR4SFMERG7_5TO10__</v>
      </c>
      <c r="H1071" s="9" t="s">
        <v>1137</v>
      </c>
      <c r="K1071" s="9">
        <f t="shared" si="271"/>
        <v>294</v>
      </c>
      <c r="L1071" s="9" t="str">
        <f t="shared" si="272"/>
        <v>I</v>
      </c>
      <c r="M1071" s="9" t="str">
        <f t="shared" si="268"/>
        <v>Input!I294</v>
      </c>
      <c r="N1071" s="9">
        <f>_xlfn.XLOOKUP(F1071,'Raw Data'!$I$4:$I$5000,'Raw Data'!$E$4:$E$5000,100,0)</f>
        <v>100</v>
      </c>
      <c r="O1071" s="9" t="str">
        <f>IF(N1071=0,_xlfn.XLOOKUP(F1071,'Raw Data'!$I$4:$I$5000,'Raw Data'!$H$4:$H$5000,"",0),"")</f>
        <v/>
      </c>
      <c r="P1071" s="9" t="str" cm="1">
        <f t="array" aca="1" ref="P1071" ca="1">IF(INDIRECT(M1071) = "","",INDIRECT(M1071))</f>
        <v/>
      </c>
      <c r="Q1071" s="359" t="s">
        <v>4381</v>
      </c>
    </row>
    <row r="1072" spans="1:17" x14ac:dyDescent="0.35">
      <c r="A1072" s="694" t="s">
        <v>4205</v>
      </c>
      <c r="E1072" t="str">
        <f>_xlfn.XLOOKUP(F1072,'Raw Data'!$I$4:$I$5000,'Raw Data'!$D$4:$D$5000,"*** Mnemonic not found ***",0)</f>
        <v>*** Mnemonic not found ***</v>
      </c>
      <c r="F1072" t="str">
        <f t="shared" si="267"/>
        <v>SUCMRUR4SFMERG8_5TO10__</v>
      </c>
      <c r="H1072" s="9" t="s">
        <v>1137</v>
      </c>
      <c r="K1072" s="9">
        <f t="shared" si="271"/>
        <v>294</v>
      </c>
      <c r="L1072" s="9" t="str">
        <f t="shared" si="272"/>
        <v>J</v>
      </c>
      <c r="M1072" s="9" t="str">
        <f t="shared" si="268"/>
        <v>Input!J294</v>
      </c>
      <c r="N1072" s="9">
        <f>_xlfn.XLOOKUP(F1072,'Raw Data'!$I$4:$I$5000,'Raw Data'!$E$4:$E$5000,100,0)</f>
        <v>100</v>
      </c>
      <c r="O1072" s="9" t="str">
        <f>IF(N1072=0,_xlfn.XLOOKUP(F1072,'Raw Data'!$I$4:$I$5000,'Raw Data'!$H$4:$H$5000,"",0),"")</f>
        <v/>
      </c>
      <c r="P1072" s="9" t="str" cm="1">
        <f t="array" aca="1" ref="P1072" ca="1">IF(INDIRECT(M1072) = "","",INDIRECT(M1072))</f>
        <v/>
      </c>
      <c r="Q1072" s="359" t="s">
        <v>4381</v>
      </c>
    </row>
    <row r="1073" spans="1:17" x14ac:dyDescent="0.35">
      <c r="A1073" s="694" t="s">
        <v>4206</v>
      </c>
      <c r="E1073" t="str">
        <f>_xlfn.XLOOKUP(F1073,'Raw Data'!$I$4:$I$5000,'Raw Data'!$D$4:$D$5000,"*** Mnemonic not found ***",0)</f>
        <v>*** Mnemonic not found ***</v>
      </c>
      <c r="F1073" t="str">
        <f t="shared" si="267"/>
        <v>SUCMRUR4SFMERG9_5TO10__</v>
      </c>
      <c r="H1073" s="9" t="s">
        <v>1137</v>
      </c>
      <c r="K1073" s="9">
        <f t="shared" si="271"/>
        <v>294</v>
      </c>
      <c r="L1073" s="9" t="str">
        <f t="shared" si="272"/>
        <v>K</v>
      </c>
      <c r="M1073" s="9" t="str">
        <f t="shared" si="268"/>
        <v>Input!K294</v>
      </c>
      <c r="N1073" s="9">
        <f>_xlfn.XLOOKUP(F1073,'Raw Data'!$I$4:$I$5000,'Raw Data'!$E$4:$E$5000,100,0)</f>
        <v>100</v>
      </c>
      <c r="O1073" s="9" t="str">
        <f>IF(N1073=0,_xlfn.XLOOKUP(F1073,'Raw Data'!$I$4:$I$5000,'Raw Data'!$H$4:$H$5000,"",0),"")</f>
        <v/>
      </c>
      <c r="P1073" s="9" t="str" cm="1">
        <f t="array" aca="1" ref="P1073" ca="1">IF(INDIRECT(M1073) = "","",INDIRECT(M1073))</f>
        <v/>
      </c>
      <c r="Q1073" s="359" t="s">
        <v>4381</v>
      </c>
    </row>
    <row r="1074" spans="1:17" x14ac:dyDescent="0.35">
      <c r="A1074" s="694" t="s">
        <v>4207</v>
      </c>
      <c r="E1074" t="str">
        <f>_xlfn.XLOOKUP(F1074,'Raw Data'!$I$4:$I$5000,'Raw Data'!$D$4:$D$5000,"*** Mnemonic not found ***",0)</f>
        <v>*** Mnemonic not found ***</v>
      </c>
      <c r="F1074" t="str">
        <f t="shared" si="267"/>
        <v>SUCMRUR4SFMERG10_5TO10__</v>
      </c>
      <c r="H1074" s="9" t="s">
        <v>1137</v>
      </c>
      <c r="K1074" s="9">
        <f t="shared" si="271"/>
        <v>294</v>
      </c>
      <c r="L1074" s="9" t="str">
        <f t="shared" si="272"/>
        <v>L</v>
      </c>
      <c r="M1074" s="9" t="str">
        <f t="shared" si="268"/>
        <v>Input!L294</v>
      </c>
      <c r="N1074" s="9">
        <f>_xlfn.XLOOKUP(F1074,'Raw Data'!$I$4:$I$5000,'Raw Data'!$E$4:$E$5000,100,0)</f>
        <v>100</v>
      </c>
      <c r="O1074" s="9" t="str">
        <f>IF(N1074=0,_xlfn.XLOOKUP(F1074,'Raw Data'!$I$4:$I$5000,'Raw Data'!$H$4:$H$5000,"",0),"")</f>
        <v/>
      </c>
      <c r="P1074" s="9" t="str" cm="1">
        <f t="array" aca="1" ref="P1074" ca="1">IF(INDIRECT(M1074) = "","",INDIRECT(M1074))</f>
        <v/>
      </c>
      <c r="Q1074" s="359" t="s">
        <v>4381</v>
      </c>
    </row>
    <row r="1075" spans="1:17" x14ac:dyDescent="0.35">
      <c r="A1075" s="694" t="s">
        <v>4208</v>
      </c>
      <c r="E1075" t="str">
        <f>_xlfn.XLOOKUP(F1075,'Raw Data'!$I$4:$I$5000,'Raw Data'!$D$4:$D$5000,"*** Mnemonic not found ***",0)</f>
        <v>*** Mnemonic not found ***</v>
      </c>
      <c r="F1075" t="str">
        <f t="shared" si="267"/>
        <v>SUCMRUR4SFMERGNA_5TO10__</v>
      </c>
      <c r="H1075" s="9" t="s">
        <v>1137</v>
      </c>
      <c r="K1075" s="9">
        <f t="shared" si="271"/>
        <v>294</v>
      </c>
      <c r="L1075" s="9" t="str">
        <f t="shared" si="272"/>
        <v>M</v>
      </c>
      <c r="M1075" s="9" t="str">
        <f t="shared" si="268"/>
        <v>Input!M294</v>
      </c>
      <c r="N1075" s="9">
        <f>_xlfn.XLOOKUP(F1075,'Raw Data'!$I$4:$I$5000,'Raw Data'!$E$4:$E$5000,100,0)</f>
        <v>100</v>
      </c>
      <c r="O1075" s="9" t="str">
        <f>IF(N1075=0,_xlfn.XLOOKUP(F1075,'Raw Data'!$I$4:$I$5000,'Raw Data'!$H$4:$H$5000,"",0),"")</f>
        <v/>
      </c>
      <c r="P1075" s="9" t="str" cm="1">
        <f t="array" aca="1" ref="P1075" ca="1">IF(INDIRECT(M1075) = "","",INDIRECT(M1075))</f>
        <v/>
      </c>
      <c r="Q1075" s="359" t="s">
        <v>4381</v>
      </c>
    </row>
    <row r="1076" spans="1:17" x14ac:dyDescent="0.35">
      <c r="A1076" s="694" t="s">
        <v>4209</v>
      </c>
      <c r="E1076" t="str">
        <f>_xlfn.XLOOKUP(F1076,'Raw Data'!$I$4:$I$5000,'Raw Data'!$D$4:$D$5000,"*** Mnemonic not found ***",0)</f>
        <v>*** Mnemonic not found ***</v>
      </c>
      <c r="F1076" t="str">
        <f t="shared" si="267"/>
        <v>SUCMRUR4SFMERG1_10TO20__</v>
      </c>
      <c r="H1076" s="9" t="s">
        <v>1137</v>
      </c>
      <c r="K1076" s="9">
        <f t="shared" si="271"/>
        <v>295</v>
      </c>
      <c r="L1076" s="9" t="str">
        <f t="shared" si="272"/>
        <v>C</v>
      </c>
      <c r="M1076" s="9" t="str">
        <f t="shared" si="268"/>
        <v>Input!C295</v>
      </c>
      <c r="N1076" s="9">
        <f>_xlfn.XLOOKUP(F1076,'Raw Data'!$I$4:$I$5000,'Raw Data'!$E$4:$E$5000,100,0)</f>
        <v>100</v>
      </c>
      <c r="O1076" s="9" t="str">
        <f>IF(N1076=0,_xlfn.XLOOKUP(F1076,'Raw Data'!$I$4:$I$5000,'Raw Data'!$H$4:$H$5000,"",0),"")</f>
        <v/>
      </c>
      <c r="P1076" s="9" t="str" cm="1">
        <f t="array" aca="1" ref="P1076" ca="1">IF(INDIRECT(M1076) = "","",INDIRECT(M1076))</f>
        <v/>
      </c>
      <c r="Q1076" s="359" t="s">
        <v>4381</v>
      </c>
    </row>
    <row r="1077" spans="1:17" x14ac:dyDescent="0.35">
      <c r="A1077" s="694" t="s">
        <v>4210</v>
      </c>
      <c r="E1077" t="str">
        <f>_xlfn.XLOOKUP(F1077,'Raw Data'!$I$4:$I$5000,'Raw Data'!$D$4:$D$5000,"*** Mnemonic not found ***",0)</f>
        <v>*** Mnemonic not found ***</v>
      </c>
      <c r="F1077" t="str">
        <f t="shared" si="267"/>
        <v>SUCMRUR4SFMERG2_10TO20__</v>
      </c>
      <c r="H1077" s="9" t="s">
        <v>1137</v>
      </c>
      <c r="K1077" s="9">
        <f t="shared" si="271"/>
        <v>295</v>
      </c>
      <c r="L1077" s="9" t="str">
        <f t="shared" si="272"/>
        <v>D</v>
      </c>
      <c r="M1077" s="9" t="str">
        <f t="shared" si="268"/>
        <v>Input!D295</v>
      </c>
      <c r="N1077" s="9">
        <f>_xlfn.XLOOKUP(F1077,'Raw Data'!$I$4:$I$5000,'Raw Data'!$E$4:$E$5000,100,0)</f>
        <v>100</v>
      </c>
      <c r="O1077" s="9" t="str">
        <f>IF(N1077=0,_xlfn.XLOOKUP(F1077,'Raw Data'!$I$4:$I$5000,'Raw Data'!$H$4:$H$5000,"",0),"")</f>
        <v/>
      </c>
      <c r="P1077" s="9" t="str" cm="1">
        <f t="array" aca="1" ref="P1077" ca="1">IF(INDIRECT(M1077) = "","",INDIRECT(M1077))</f>
        <v/>
      </c>
      <c r="Q1077" s="359" t="s">
        <v>4381</v>
      </c>
    </row>
    <row r="1078" spans="1:17" x14ac:dyDescent="0.35">
      <c r="A1078" s="694" t="s">
        <v>4211</v>
      </c>
      <c r="E1078" t="str">
        <f>_xlfn.XLOOKUP(F1078,'Raw Data'!$I$4:$I$5000,'Raw Data'!$D$4:$D$5000,"*** Mnemonic not found ***",0)</f>
        <v>*** Mnemonic not found ***</v>
      </c>
      <c r="F1078" t="str">
        <f t="shared" si="267"/>
        <v>SUCMRUR4SFMERG3_10TO20__</v>
      </c>
      <c r="H1078" s="9" t="s">
        <v>1137</v>
      </c>
      <c r="K1078" s="9">
        <f t="shared" si="271"/>
        <v>295</v>
      </c>
      <c r="L1078" s="9" t="str">
        <f t="shared" si="272"/>
        <v>E</v>
      </c>
      <c r="M1078" s="9" t="str">
        <f t="shared" si="268"/>
        <v>Input!E295</v>
      </c>
      <c r="N1078" s="9">
        <f>_xlfn.XLOOKUP(F1078,'Raw Data'!$I$4:$I$5000,'Raw Data'!$E$4:$E$5000,100,0)</f>
        <v>100</v>
      </c>
      <c r="O1078" s="9" t="str">
        <f>IF(N1078=0,_xlfn.XLOOKUP(F1078,'Raw Data'!$I$4:$I$5000,'Raw Data'!$H$4:$H$5000,"",0),"")</f>
        <v/>
      </c>
      <c r="P1078" s="9" t="str" cm="1">
        <f t="array" aca="1" ref="P1078" ca="1">IF(INDIRECT(M1078) = "","",INDIRECT(M1078))</f>
        <v/>
      </c>
      <c r="Q1078" s="359" t="s">
        <v>4381</v>
      </c>
    </row>
    <row r="1079" spans="1:17" x14ac:dyDescent="0.35">
      <c r="A1079" s="694" t="s">
        <v>4212</v>
      </c>
      <c r="E1079" t="str">
        <f>_xlfn.XLOOKUP(F1079,'Raw Data'!$I$4:$I$5000,'Raw Data'!$D$4:$D$5000,"*** Mnemonic not found ***",0)</f>
        <v>*** Mnemonic not found ***</v>
      </c>
      <c r="F1079" t="str">
        <f t="shared" si="267"/>
        <v>SUCMRUR4SFMERG4_10TO20__</v>
      </c>
      <c r="H1079" s="9" t="s">
        <v>1137</v>
      </c>
      <c r="K1079" s="9">
        <f t="shared" si="271"/>
        <v>295</v>
      </c>
      <c r="L1079" s="9" t="str">
        <f t="shared" si="272"/>
        <v>F</v>
      </c>
      <c r="M1079" s="9" t="str">
        <f t="shared" si="268"/>
        <v>Input!F295</v>
      </c>
      <c r="N1079" s="9">
        <f>_xlfn.XLOOKUP(F1079,'Raw Data'!$I$4:$I$5000,'Raw Data'!$E$4:$E$5000,100,0)</f>
        <v>100</v>
      </c>
      <c r="O1079" s="9" t="str">
        <f>IF(N1079=0,_xlfn.XLOOKUP(F1079,'Raw Data'!$I$4:$I$5000,'Raw Data'!$H$4:$H$5000,"",0),"")</f>
        <v/>
      </c>
      <c r="P1079" s="9" t="str" cm="1">
        <f t="array" aca="1" ref="P1079" ca="1">IF(INDIRECT(M1079) = "","",INDIRECT(M1079))</f>
        <v/>
      </c>
      <c r="Q1079" s="359" t="s">
        <v>4381</v>
      </c>
    </row>
    <row r="1080" spans="1:17" x14ac:dyDescent="0.35">
      <c r="A1080" s="694" t="s">
        <v>4213</v>
      </c>
      <c r="E1080" t="str">
        <f>_xlfn.XLOOKUP(F1080,'Raw Data'!$I$4:$I$5000,'Raw Data'!$D$4:$D$5000,"*** Mnemonic not found ***",0)</f>
        <v>*** Mnemonic not found ***</v>
      </c>
      <c r="F1080" t="str">
        <f t="shared" si="267"/>
        <v>SUCMRUR4SFMERG5_10TO20__</v>
      </c>
      <c r="H1080" s="9" t="s">
        <v>1137</v>
      </c>
      <c r="K1080" s="9">
        <f t="shared" si="271"/>
        <v>295</v>
      </c>
      <c r="L1080" s="9" t="str">
        <f t="shared" si="272"/>
        <v>G</v>
      </c>
      <c r="M1080" s="9" t="str">
        <f t="shared" si="268"/>
        <v>Input!G295</v>
      </c>
      <c r="N1080" s="9">
        <f>_xlfn.XLOOKUP(F1080,'Raw Data'!$I$4:$I$5000,'Raw Data'!$E$4:$E$5000,100,0)</f>
        <v>100</v>
      </c>
      <c r="O1080" s="9" t="str">
        <f>IF(N1080=0,_xlfn.XLOOKUP(F1080,'Raw Data'!$I$4:$I$5000,'Raw Data'!$H$4:$H$5000,"",0),"")</f>
        <v/>
      </c>
      <c r="P1080" s="9" t="str" cm="1">
        <f t="array" aca="1" ref="P1080" ca="1">IF(INDIRECT(M1080) = "","",INDIRECT(M1080))</f>
        <v/>
      </c>
      <c r="Q1080" s="359" t="s">
        <v>4381</v>
      </c>
    </row>
    <row r="1081" spans="1:17" x14ac:dyDescent="0.35">
      <c r="A1081" s="694" t="s">
        <v>4214</v>
      </c>
      <c r="E1081" t="str">
        <f>_xlfn.XLOOKUP(F1081,'Raw Data'!$I$4:$I$5000,'Raw Data'!$D$4:$D$5000,"*** Mnemonic not found ***",0)</f>
        <v>*** Mnemonic not found ***</v>
      </c>
      <c r="F1081" t="str">
        <f t="shared" si="267"/>
        <v>SUCMRUR4SFMERG6_10TO20__</v>
      </c>
      <c r="H1081" s="9" t="s">
        <v>1137</v>
      </c>
      <c r="K1081" s="9">
        <f t="shared" si="271"/>
        <v>295</v>
      </c>
      <c r="L1081" s="9" t="str">
        <f t="shared" si="272"/>
        <v>H</v>
      </c>
      <c r="M1081" s="9" t="str">
        <f t="shared" si="268"/>
        <v>Input!H295</v>
      </c>
      <c r="N1081" s="9">
        <f>_xlfn.XLOOKUP(F1081,'Raw Data'!$I$4:$I$5000,'Raw Data'!$E$4:$E$5000,100,0)</f>
        <v>100</v>
      </c>
      <c r="O1081" s="9" t="str">
        <f>IF(N1081=0,_xlfn.XLOOKUP(F1081,'Raw Data'!$I$4:$I$5000,'Raw Data'!$H$4:$H$5000,"",0),"")</f>
        <v/>
      </c>
      <c r="P1081" s="9" t="str" cm="1">
        <f t="array" aca="1" ref="P1081" ca="1">IF(INDIRECT(M1081) = "","",INDIRECT(M1081))</f>
        <v/>
      </c>
      <c r="Q1081" s="359" t="s">
        <v>4381</v>
      </c>
    </row>
    <row r="1082" spans="1:17" x14ac:dyDescent="0.35">
      <c r="A1082" s="694" t="s">
        <v>4215</v>
      </c>
      <c r="E1082" t="str">
        <f>_xlfn.XLOOKUP(F1082,'Raw Data'!$I$4:$I$5000,'Raw Data'!$D$4:$D$5000,"*** Mnemonic not found ***",0)</f>
        <v>*** Mnemonic not found ***</v>
      </c>
      <c r="F1082" t="str">
        <f t="shared" si="267"/>
        <v>SUCMRUR4SFMERG7_10TO20__</v>
      </c>
      <c r="H1082" s="9" t="s">
        <v>1137</v>
      </c>
      <c r="K1082" s="9">
        <f t="shared" si="271"/>
        <v>295</v>
      </c>
      <c r="L1082" s="9" t="str">
        <f t="shared" si="272"/>
        <v>I</v>
      </c>
      <c r="M1082" s="9" t="str">
        <f t="shared" si="268"/>
        <v>Input!I295</v>
      </c>
      <c r="N1082" s="9">
        <f>_xlfn.XLOOKUP(F1082,'Raw Data'!$I$4:$I$5000,'Raw Data'!$E$4:$E$5000,100,0)</f>
        <v>100</v>
      </c>
      <c r="O1082" s="9" t="str">
        <f>IF(N1082=0,_xlfn.XLOOKUP(F1082,'Raw Data'!$I$4:$I$5000,'Raw Data'!$H$4:$H$5000,"",0),"")</f>
        <v/>
      </c>
      <c r="P1082" s="9" t="str" cm="1">
        <f t="array" aca="1" ref="P1082" ca="1">IF(INDIRECT(M1082) = "","",INDIRECT(M1082))</f>
        <v/>
      </c>
      <c r="Q1082" s="359" t="s">
        <v>4381</v>
      </c>
    </row>
    <row r="1083" spans="1:17" x14ac:dyDescent="0.35">
      <c r="A1083" s="694" t="s">
        <v>4216</v>
      </c>
      <c r="E1083" t="str">
        <f>_xlfn.XLOOKUP(F1083,'Raw Data'!$I$4:$I$5000,'Raw Data'!$D$4:$D$5000,"*** Mnemonic not found ***",0)</f>
        <v>*** Mnemonic not found ***</v>
      </c>
      <c r="F1083" t="str">
        <f t="shared" si="267"/>
        <v>SUCMRUR4SFMERG8_10TO20__</v>
      </c>
      <c r="H1083" s="9" t="s">
        <v>1137</v>
      </c>
      <c r="K1083" s="9">
        <f t="shared" si="271"/>
        <v>295</v>
      </c>
      <c r="L1083" s="9" t="str">
        <f t="shared" si="272"/>
        <v>J</v>
      </c>
      <c r="M1083" s="9" t="str">
        <f t="shared" si="268"/>
        <v>Input!J295</v>
      </c>
      <c r="N1083" s="9">
        <f>_xlfn.XLOOKUP(F1083,'Raw Data'!$I$4:$I$5000,'Raw Data'!$E$4:$E$5000,100,0)</f>
        <v>100</v>
      </c>
      <c r="O1083" s="9" t="str">
        <f>IF(N1083=0,_xlfn.XLOOKUP(F1083,'Raw Data'!$I$4:$I$5000,'Raw Data'!$H$4:$H$5000,"",0),"")</f>
        <v/>
      </c>
      <c r="P1083" s="9" t="str" cm="1">
        <f t="array" aca="1" ref="P1083" ca="1">IF(INDIRECT(M1083) = "","",INDIRECT(M1083))</f>
        <v/>
      </c>
      <c r="Q1083" s="359" t="s">
        <v>4381</v>
      </c>
    </row>
    <row r="1084" spans="1:17" x14ac:dyDescent="0.35">
      <c r="A1084" s="694" t="s">
        <v>4217</v>
      </c>
      <c r="E1084" t="str">
        <f>_xlfn.XLOOKUP(F1084,'Raw Data'!$I$4:$I$5000,'Raw Data'!$D$4:$D$5000,"*** Mnemonic not found ***",0)</f>
        <v>*** Mnemonic not found ***</v>
      </c>
      <c r="F1084" t="str">
        <f t="shared" si="267"/>
        <v>SUCMRUR4SFMERG9_10TO20__</v>
      </c>
      <c r="H1084" s="9" t="s">
        <v>1137</v>
      </c>
      <c r="K1084" s="9">
        <f t="shared" si="271"/>
        <v>295</v>
      </c>
      <c r="L1084" s="9" t="str">
        <f t="shared" si="272"/>
        <v>K</v>
      </c>
      <c r="M1084" s="9" t="str">
        <f t="shared" si="268"/>
        <v>Input!K295</v>
      </c>
      <c r="N1084" s="9">
        <f>_xlfn.XLOOKUP(F1084,'Raw Data'!$I$4:$I$5000,'Raw Data'!$E$4:$E$5000,100,0)</f>
        <v>100</v>
      </c>
      <c r="O1084" s="9" t="str">
        <f>IF(N1084=0,_xlfn.XLOOKUP(F1084,'Raw Data'!$I$4:$I$5000,'Raw Data'!$H$4:$H$5000,"",0),"")</f>
        <v/>
      </c>
      <c r="P1084" s="9" t="str" cm="1">
        <f t="array" aca="1" ref="P1084" ca="1">IF(INDIRECT(M1084) = "","",INDIRECT(M1084))</f>
        <v/>
      </c>
      <c r="Q1084" s="359" t="s">
        <v>4381</v>
      </c>
    </row>
    <row r="1085" spans="1:17" x14ac:dyDescent="0.35">
      <c r="A1085" s="694" t="s">
        <v>4218</v>
      </c>
      <c r="E1085" t="str">
        <f>_xlfn.XLOOKUP(F1085,'Raw Data'!$I$4:$I$5000,'Raw Data'!$D$4:$D$5000,"*** Mnemonic not found ***",0)</f>
        <v>*** Mnemonic not found ***</v>
      </c>
      <c r="F1085" t="str">
        <f t="shared" si="267"/>
        <v>SUCMRUR4SFMERG10_10TO20__</v>
      </c>
      <c r="H1085" s="9" t="s">
        <v>1137</v>
      </c>
      <c r="K1085" s="9">
        <f t="shared" si="271"/>
        <v>295</v>
      </c>
      <c r="L1085" s="9" t="str">
        <f t="shared" si="272"/>
        <v>L</v>
      </c>
      <c r="M1085" s="9" t="str">
        <f t="shared" si="268"/>
        <v>Input!L295</v>
      </c>
      <c r="N1085" s="9">
        <f>_xlfn.XLOOKUP(F1085,'Raw Data'!$I$4:$I$5000,'Raw Data'!$E$4:$E$5000,100,0)</f>
        <v>100</v>
      </c>
      <c r="O1085" s="9" t="str">
        <f>IF(N1085=0,_xlfn.XLOOKUP(F1085,'Raw Data'!$I$4:$I$5000,'Raw Data'!$H$4:$H$5000,"",0),"")</f>
        <v/>
      </c>
      <c r="P1085" s="9" t="str" cm="1">
        <f t="array" aca="1" ref="P1085" ca="1">IF(INDIRECT(M1085) = "","",INDIRECT(M1085))</f>
        <v/>
      </c>
      <c r="Q1085" s="359" t="s">
        <v>4381</v>
      </c>
    </row>
    <row r="1086" spans="1:17" x14ac:dyDescent="0.35">
      <c r="A1086" s="694" t="s">
        <v>4219</v>
      </c>
      <c r="E1086" t="str">
        <f>_xlfn.XLOOKUP(F1086,'Raw Data'!$I$4:$I$5000,'Raw Data'!$D$4:$D$5000,"*** Mnemonic not found ***",0)</f>
        <v>*** Mnemonic not found ***</v>
      </c>
      <c r="F1086" t="str">
        <f t="shared" si="267"/>
        <v>SUCMRUR4SFMERGNA_10TO20__</v>
      </c>
      <c r="H1086" s="9" t="s">
        <v>1137</v>
      </c>
      <c r="K1086" s="9">
        <f t="shared" si="271"/>
        <v>295</v>
      </c>
      <c r="L1086" s="9" t="str">
        <f t="shared" si="272"/>
        <v>M</v>
      </c>
      <c r="M1086" s="9" t="str">
        <f t="shared" si="268"/>
        <v>Input!M295</v>
      </c>
      <c r="N1086" s="9">
        <f>_xlfn.XLOOKUP(F1086,'Raw Data'!$I$4:$I$5000,'Raw Data'!$E$4:$E$5000,100,0)</f>
        <v>100</v>
      </c>
      <c r="O1086" s="9" t="str">
        <f>IF(N1086=0,_xlfn.XLOOKUP(F1086,'Raw Data'!$I$4:$I$5000,'Raw Data'!$H$4:$H$5000,"",0),"")</f>
        <v/>
      </c>
      <c r="P1086" s="9" t="str" cm="1">
        <f t="array" aca="1" ref="P1086" ca="1">IF(INDIRECT(M1086) = "","",INDIRECT(M1086))</f>
        <v/>
      </c>
      <c r="Q1086" s="359" t="s">
        <v>4381</v>
      </c>
    </row>
    <row r="1087" spans="1:17" x14ac:dyDescent="0.35">
      <c r="A1087" s="694" t="s">
        <v>4220</v>
      </c>
      <c r="E1087" t="str">
        <f>_xlfn.XLOOKUP(F1087,'Raw Data'!$I$4:$I$5000,'Raw Data'!$D$4:$D$5000,"*** Mnemonic not found ***",0)</f>
        <v>*** Mnemonic not found ***</v>
      </c>
      <c r="F1087" t="str">
        <f t="shared" si="267"/>
        <v>SUCMRUR4SFMERG1_GRTR20__</v>
      </c>
      <c r="H1087" s="9" t="s">
        <v>1137</v>
      </c>
      <c r="K1087" s="9">
        <f t="shared" si="271"/>
        <v>296</v>
      </c>
      <c r="L1087" s="9" t="str">
        <f t="shared" si="272"/>
        <v>C</v>
      </c>
      <c r="M1087" s="9" t="str">
        <f t="shared" si="268"/>
        <v>Input!C296</v>
      </c>
      <c r="N1087" s="9">
        <f>_xlfn.XLOOKUP(F1087,'Raw Data'!$I$4:$I$5000,'Raw Data'!$E$4:$E$5000,100,0)</f>
        <v>100</v>
      </c>
      <c r="O1087" s="9" t="str">
        <f>IF(N1087=0,_xlfn.XLOOKUP(F1087,'Raw Data'!$I$4:$I$5000,'Raw Data'!$H$4:$H$5000,"",0),"")</f>
        <v/>
      </c>
      <c r="P1087" s="9" t="str" cm="1">
        <f t="array" aca="1" ref="P1087" ca="1">IF(INDIRECT(M1087) = "","",INDIRECT(M1087))</f>
        <v/>
      </c>
      <c r="Q1087" s="359" t="s">
        <v>4381</v>
      </c>
    </row>
    <row r="1088" spans="1:17" x14ac:dyDescent="0.35">
      <c r="A1088" s="694" t="s">
        <v>4221</v>
      </c>
      <c r="E1088" t="str">
        <f>_xlfn.XLOOKUP(F1088,'Raw Data'!$I$4:$I$5000,'Raw Data'!$D$4:$D$5000,"*** Mnemonic not found ***",0)</f>
        <v>*** Mnemonic not found ***</v>
      </c>
      <c r="F1088" t="str">
        <f t="shared" si="267"/>
        <v>SUCMRUR4SFMERG2_GRTR20__</v>
      </c>
      <c r="H1088" s="9" t="s">
        <v>1137</v>
      </c>
      <c r="K1088" s="9">
        <f t="shared" si="271"/>
        <v>296</v>
      </c>
      <c r="L1088" s="9" t="str">
        <f t="shared" si="272"/>
        <v>D</v>
      </c>
      <c r="M1088" s="9" t="str">
        <f t="shared" si="268"/>
        <v>Input!D296</v>
      </c>
      <c r="N1088" s="9">
        <f>_xlfn.XLOOKUP(F1088,'Raw Data'!$I$4:$I$5000,'Raw Data'!$E$4:$E$5000,100,0)</f>
        <v>100</v>
      </c>
      <c r="O1088" s="9" t="str">
        <f>IF(N1088=0,_xlfn.XLOOKUP(F1088,'Raw Data'!$I$4:$I$5000,'Raw Data'!$H$4:$H$5000,"",0),"")</f>
        <v/>
      </c>
      <c r="P1088" s="9" t="str" cm="1">
        <f t="array" aca="1" ref="P1088" ca="1">IF(INDIRECT(M1088) = "","",INDIRECT(M1088))</f>
        <v/>
      </c>
      <c r="Q1088" s="359" t="s">
        <v>4381</v>
      </c>
    </row>
    <row r="1089" spans="1:17" x14ac:dyDescent="0.35">
      <c r="A1089" s="694" t="s">
        <v>4222</v>
      </c>
      <c r="E1089" t="str">
        <f>_xlfn.XLOOKUP(F1089,'Raw Data'!$I$4:$I$5000,'Raw Data'!$D$4:$D$5000,"*** Mnemonic not found ***",0)</f>
        <v>*** Mnemonic not found ***</v>
      </c>
      <c r="F1089" t="str">
        <f t="shared" si="267"/>
        <v>SUCMRUR4SFMERG3_GRTR20__</v>
      </c>
      <c r="H1089" s="9" t="s">
        <v>1137</v>
      </c>
      <c r="K1089" s="9">
        <f t="shared" si="271"/>
        <v>296</v>
      </c>
      <c r="L1089" s="9" t="str">
        <f t="shared" si="272"/>
        <v>E</v>
      </c>
      <c r="M1089" s="9" t="str">
        <f t="shared" si="268"/>
        <v>Input!E296</v>
      </c>
      <c r="N1089" s="9">
        <f>_xlfn.XLOOKUP(F1089,'Raw Data'!$I$4:$I$5000,'Raw Data'!$E$4:$E$5000,100,0)</f>
        <v>100</v>
      </c>
      <c r="O1089" s="9" t="str">
        <f>IF(N1089=0,_xlfn.XLOOKUP(F1089,'Raw Data'!$I$4:$I$5000,'Raw Data'!$H$4:$H$5000,"",0),"")</f>
        <v/>
      </c>
      <c r="P1089" s="9" t="str" cm="1">
        <f t="array" aca="1" ref="P1089" ca="1">IF(INDIRECT(M1089) = "","",INDIRECT(M1089))</f>
        <v/>
      </c>
      <c r="Q1089" s="359" t="s">
        <v>4381</v>
      </c>
    </row>
    <row r="1090" spans="1:17" x14ac:dyDescent="0.35">
      <c r="A1090" s="694" t="s">
        <v>4223</v>
      </c>
      <c r="E1090" t="str">
        <f>_xlfn.XLOOKUP(F1090,'Raw Data'!$I$4:$I$5000,'Raw Data'!$D$4:$D$5000,"*** Mnemonic not found ***",0)</f>
        <v>*** Mnemonic not found ***</v>
      </c>
      <c r="F1090" t="str">
        <f t="shared" si="267"/>
        <v>SUCMRUR4SFMERG4_GRTR20__</v>
      </c>
      <c r="H1090" s="9" t="s">
        <v>1137</v>
      </c>
      <c r="K1090" s="9">
        <f t="shared" si="271"/>
        <v>296</v>
      </c>
      <c r="L1090" s="9" t="str">
        <f t="shared" si="272"/>
        <v>F</v>
      </c>
      <c r="M1090" s="9" t="str">
        <f t="shared" si="268"/>
        <v>Input!F296</v>
      </c>
      <c r="N1090" s="9">
        <f>_xlfn.XLOOKUP(F1090,'Raw Data'!$I$4:$I$5000,'Raw Data'!$E$4:$E$5000,100,0)</f>
        <v>100</v>
      </c>
      <c r="O1090" s="9" t="str">
        <f>IF(N1090=0,_xlfn.XLOOKUP(F1090,'Raw Data'!$I$4:$I$5000,'Raw Data'!$H$4:$H$5000,"",0),"")</f>
        <v/>
      </c>
      <c r="P1090" s="9" t="str" cm="1">
        <f t="array" aca="1" ref="P1090" ca="1">IF(INDIRECT(M1090) = "","",INDIRECT(M1090))</f>
        <v/>
      </c>
      <c r="Q1090" s="359" t="s">
        <v>4381</v>
      </c>
    </row>
    <row r="1091" spans="1:17" x14ac:dyDescent="0.35">
      <c r="A1091" s="694" t="s">
        <v>4224</v>
      </c>
      <c r="E1091" t="str">
        <f>_xlfn.XLOOKUP(F1091,'Raw Data'!$I$4:$I$5000,'Raw Data'!$D$4:$D$5000,"*** Mnemonic not found ***",0)</f>
        <v>*** Mnemonic not found ***</v>
      </c>
      <c r="F1091" t="str">
        <f t="shared" si="267"/>
        <v>SUCMRUR4SFMERG5_GRTR20__</v>
      </c>
      <c r="H1091" s="9" t="s">
        <v>1137</v>
      </c>
      <c r="K1091" s="9">
        <f t="shared" si="271"/>
        <v>296</v>
      </c>
      <c r="L1091" s="9" t="str">
        <f t="shared" si="272"/>
        <v>G</v>
      </c>
      <c r="M1091" s="9" t="str">
        <f t="shared" si="268"/>
        <v>Input!G296</v>
      </c>
      <c r="N1091" s="9">
        <f>_xlfn.XLOOKUP(F1091,'Raw Data'!$I$4:$I$5000,'Raw Data'!$E$4:$E$5000,100,0)</f>
        <v>100</v>
      </c>
      <c r="O1091" s="9" t="str">
        <f>IF(N1091=0,_xlfn.XLOOKUP(F1091,'Raw Data'!$I$4:$I$5000,'Raw Data'!$H$4:$H$5000,"",0),"")</f>
        <v/>
      </c>
      <c r="P1091" s="9" t="str" cm="1">
        <f t="array" aca="1" ref="P1091" ca="1">IF(INDIRECT(M1091) = "","",INDIRECT(M1091))</f>
        <v/>
      </c>
      <c r="Q1091" s="359" t="s">
        <v>4381</v>
      </c>
    </row>
    <row r="1092" spans="1:17" x14ac:dyDescent="0.35">
      <c r="A1092" s="694" t="s">
        <v>4225</v>
      </c>
      <c r="E1092" t="str">
        <f>_xlfn.XLOOKUP(F1092,'Raw Data'!$I$4:$I$5000,'Raw Data'!$D$4:$D$5000,"*** Mnemonic not found ***",0)</f>
        <v>*** Mnemonic not found ***</v>
      </c>
      <c r="F1092" t="str">
        <f t="shared" si="267"/>
        <v>SUCMRUR4SFMERG6_GRTR20__</v>
      </c>
      <c r="H1092" s="9" t="s">
        <v>1137</v>
      </c>
      <c r="K1092" s="9">
        <f t="shared" si="271"/>
        <v>296</v>
      </c>
      <c r="L1092" s="9" t="str">
        <f t="shared" si="272"/>
        <v>H</v>
      </c>
      <c r="M1092" s="9" t="str">
        <f t="shared" si="268"/>
        <v>Input!H296</v>
      </c>
      <c r="N1092" s="9">
        <f>_xlfn.XLOOKUP(F1092,'Raw Data'!$I$4:$I$5000,'Raw Data'!$E$4:$E$5000,100,0)</f>
        <v>100</v>
      </c>
      <c r="O1092" s="9" t="str">
        <f>IF(N1092=0,_xlfn.XLOOKUP(F1092,'Raw Data'!$I$4:$I$5000,'Raw Data'!$H$4:$H$5000,"",0),"")</f>
        <v/>
      </c>
      <c r="P1092" s="9" t="str" cm="1">
        <f t="array" aca="1" ref="P1092" ca="1">IF(INDIRECT(M1092) = "","",INDIRECT(M1092))</f>
        <v/>
      </c>
      <c r="Q1092" s="359" t="s">
        <v>4381</v>
      </c>
    </row>
    <row r="1093" spans="1:17" x14ac:dyDescent="0.35">
      <c r="A1093" s="694" t="s">
        <v>4226</v>
      </c>
      <c r="E1093" t="str">
        <f>_xlfn.XLOOKUP(F1093,'Raw Data'!$I$4:$I$5000,'Raw Data'!$D$4:$D$5000,"*** Mnemonic not found ***",0)</f>
        <v>*** Mnemonic not found ***</v>
      </c>
      <c r="F1093" t="str">
        <f t="shared" ref="F1093:F1156" si="273">CONCATENATE(A1093,"_",B1093,"_",D1093)</f>
        <v>SUCMRUR4SFMERG7_GRTR20__</v>
      </c>
      <c r="H1093" s="9" t="s">
        <v>1137</v>
      </c>
      <c r="K1093" s="9">
        <f t="shared" si="271"/>
        <v>296</v>
      </c>
      <c r="L1093" s="9" t="str">
        <f t="shared" si="272"/>
        <v>I</v>
      </c>
      <c r="M1093" s="9" t="str">
        <f t="shared" si="268"/>
        <v>Input!I296</v>
      </c>
      <c r="N1093" s="9">
        <f>_xlfn.XLOOKUP(F1093,'Raw Data'!$I$4:$I$5000,'Raw Data'!$E$4:$E$5000,100,0)</f>
        <v>100</v>
      </c>
      <c r="O1093" s="9" t="str">
        <f>IF(N1093=0,_xlfn.XLOOKUP(F1093,'Raw Data'!$I$4:$I$5000,'Raw Data'!$H$4:$H$5000,"",0),"")</f>
        <v/>
      </c>
      <c r="P1093" s="9" t="str" cm="1">
        <f t="array" aca="1" ref="P1093" ca="1">IF(INDIRECT(M1093) = "","",INDIRECT(M1093))</f>
        <v/>
      </c>
      <c r="Q1093" s="359" t="s">
        <v>4381</v>
      </c>
    </row>
    <row r="1094" spans="1:17" x14ac:dyDescent="0.35">
      <c r="A1094" s="694" t="s">
        <v>4227</v>
      </c>
      <c r="E1094" t="str">
        <f>_xlfn.XLOOKUP(F1094,'Raw Data'!$I$4:$I$5000,'Raw Data'!$D$4:$D$5000,"*** Mnemonic not found ***",0)</f>
        <v>*** Mnemonic not found ***</v>
      </c>
      <c r="F1094" t="str">
        <f t="shared" si="273"/>
        <v>SUCMRUR4SFMERG8_GRTR20__</v>
      </c>
      <c r="H1094" s="9" t="s">
        <v>1137</v>
      </c>
      <c r="K1094" s="9">
        <f t="shared" si="271"/>
        <v>296</v>
      </c>
      <c r="L1094" s="9" t="str">
        <f t="shared" si="272"/>
        <v>J</v>
      </c>
      <c r="M1094" s="9" t="str">
        <f t="shared" si="268"/>
        <v>Input!J296</v>
      </c>
      <c r="N1094" s="9">
        <f>_xlfn.XLOOKUP(F1094,'Raw Data'!$I$4:$I$5000,'Raw Data'!$E$4:$E$5000,100,0)</f>
        <v>100</v>
      </c>
      <c r="O1094" s="9" t="str">
        <f>IF(N1094=0,_xlfn.XLOOKUP(F1094,'Raw Data'!$I$4:$I$5000,'Raw Data'!$H$4:$H$5000,"",0),"")</f>
        <v/>
      </c>
      <c r="P1094" s="9" t="str" cm="1">
        <f t="array" aca="1" ref="P1094" ca="1">IF(INDIRECT(M1094) = "","",INDIRECT(M1094))</f>
        <v/>
      </c>
      <c r="Q1094" s="359" t="s">
        <v>4381</v>
      </c>
    </row>
    <row r="1095" spans="1:17" x14ac:dyDescent="0.35">
      <c r="A1095" s="694" t="s">
        <v>4228</v>
      </c>
      <c r="E1095" t="str">
        <f>_xlfn.XLOOKUP(F1095,'Raw Data'!$I$4:$I$5000,'Raw Data'!$D$4:$D$5000,"*** Mnemonic not found ***",0)</f>
        <v>*** Mnemonic not found ***</v>
      </c>
      <c r="F1095" t="str">
        <f t="shared" si="273"/>
        <v>SUCMRUR4SFMERG9_GRTR20__</v>
      </c>
      <c r="H1095" s="9" t="s">
        <v>1137</v>
      </c>
      <c r="K1095" s="9">
        <f t="shared" si="271"/>
        <v>296</v>
      </c>
      <c r="L1095" s="9" t="str">
        <f t="shared" si="272"/>
        <v>K</v>
      </c>
      <c r="M1095" s="9" t="str">
        <f t="shared" si="268"/>
        <v>Input!K296</v>
      </c>
      <c r="N1095" s="9">
        <f>_xlfn.XLOOKUP(F1095,'Raw Data'!$I$4:$I$5000,'Raw Data'!$E$4:$E$5000,100,0)</f>
        <v>100</v>
      </c>
      <c r="O1095" s="9" t="str">
        <f>IF(N1095=0,_xlfn.XLOOKUP(F1095,'Raw Data'!$I$4:$I$5000,'Raw Data'!$H$4:$H$5000,"",0),"")</f>
        <v/>
      </c>
      <c r="P1095" s="9" t="str" cm="1">
        <f t="array" aca="1" ref="P1095" ca="1">IF(INDIRECT(M1095) = "","",INDIRECT(M1095))</f>
        <v/>
      </c>
      <c r="Q1095" s="359" t="s">
        <v>4381</v>
      </c>
    </row>
    <row r="1096" spans="1:17" x14ac:dyDescent="0.35">
      <c r="A1096" s="694" t="s">
        <v>4229</v>
      </c>
      <c r="E1096" t="str">
        <f>_xlfn.XLOOKUP(F1096,'Raw Data'!$I$4:$I$5000,'Raw Data'!$D$4:$D$5000,"*** Mnemonic not found ***",0)</f>
        <v>*** Mnemonic not found ***</v>
      </c>
      <c r="F1096" t="str">
        <f t="shared" si="273"/>
        <v>SUCMRUR4SFMERG10_GRTR20__</v>
      </c>
      <c r="H1096" s="9" t="s">
        <v>1137</v>
      </c>
      <c r="K1096" s="9">
        <f t="shared" si="271"/>
        <v>296</v>
      </c>
      <c r="L1096" s="9" t="str">
        <f t="shared" si="272"/>
        <v>L</v>
      </c>
      <c r="M1096" s="9" t="str">
        <f t="shared" si="268"/>
        <v>Input!L296</v>
      </c>
      <c r="N1096" s="9">
        <f>_xlfn.XLOOKUP(F1096,'Raw Data'!$I$4:$I$5000,'Raw Data'!$E$4:$E$5000,100,0)</f>
        <v>100</v>
      </c>
      <c r="O1096" s="9" t="str">
        <f>IF(N1096=0,_xlfn.XLOOKUP(F1096,'Raw Data'!$I$4:$I$5000,'Raw Data'!$H$4:$H$5000,"",0),"")</f>
        <v/>
      </c>
      <c r="P1096" s="9" t="str" cm="1">
        <f t="array" aca="1" ref="P1096" ca="1">IF(INDIRECT(M1096) = "","",INDIRECT(M1096))</f>
        <v/>
      </c>
      <c r="Q1096" s="359" t="s">
        <v>4381</v>
      </c>
    </row>
    <row r="1097" spans="1:17" x14ac:dyDescent="0.35">
      <c r="A1097" s="694" t="s">
        <v>4230</v>
      </c>
      <c r="E1097" t="str">
        <f>_xlfn.XLOOKUP(F1097,'Raw Data'!$I$4:$I$5000,'Raw Data'!$D$4:$D$5000,"*** Mnemonic not found ***",0)</f>
        <v>*** Mnemonic not found ***</v>
      </c>
      <c r="F1097" t="str">
        <f t="shared" si="273"/>
        <v>SUCMRUR4SFMERGNA_GRTR20__</v>
      </c>
      <c r="H1097" s="9" t="s">
        <v>1137</v>
      </c>
      <c r="K1097" s="9">
        <f t="shared" si="271"/>
        <v>296</v>
      </c>
      <c r="L1097" s="9" t="str">
        <f t="shared" si="272"/>
        <v>M</v>
      </c>
      <c r="M1097" s="9" t="str">
        <f t="shared" si="268"/>
        <v>Input!M296</v>
      </c>
      <c r="N1097" s="9">
        <f>_xlfn.XLOOKUP(F1097,'Raw Data'!$I$4:$I$5000,'Raw Data'!$E$4:$E$5000,100,0)</f>
        <v>100</v>
      </c>
      <c r="O1097" s="9" t="str">
        <f>IF(N1097=0,_xlfn.XLOOKUP(F1097,'Raw Data'!$I$4:$I$5000,'Raw Data'!$H$4:$H$5000,"",0),"")</f>
        <v/>
      </c>
      <c r="P1097" s="9" t="str" cm="1">
        <f t="array" aca="1" ref="P1097" ca="1">IF(INDIRECT(M1097) = "","",INDIRECT(M1097))</f>
        <v/>
      </c>
      <c r="Q1097" s="359" t="s">
        <v>4381</v>
      </c>
    </row>
    <row r="1098" spans="1:17" x14ac:dyDescent="0.35">
      <c r="A1098" s="694" t="s">
        <v>4232</v>
      </c>
      <c r="E1098" t="str">
        <f>_xlfn.XLOOKUP(F1098,'Raw Data'!$I$4:$I$5000,'Raw Data'!$D$4:$D$5000,"*** Mnemonic not found ***",0)</f>
        <v>*** Mnemonic not found ***</v>
      </c>
      <c r="F1098" t="str">
        <f t="shared" si="273"/>
        <v>SUCMRUR4SFJERG1_LESS1__</v>
      </c>
      <c r="H1098" s="9" t="s">
        <v>1137</v>
      </c>
      <c r="I1098" s="289">
        <f>ROW(section_bonds_sp_unrated_step_4)</f>
        <v>187</v>
      </c>
      <c r="J1098" s="9">
        <f>J1043+10</f>
        <v>115</v>
      </c>
      <c r="K1098" s="9">
        <f>I1098+J1098</f>
        <v>302</v>
      </c>
      <c r="L1098" s="9" t="str">
        <f>L1087</f>
        <v>C</v>
      </c>
      <c r="M1098" s="9" t="str">
        <f t="shared" ref="M1098:M1152" si="274">CONCATENATE(H1098,"!",L1098,K1098)</f>
        <v>Input!C302</v>
      </c>
      <c r="N1098" s="9">
        <f>_xlfn.XLOOKUP(F1098,'Raw Data'!$I$4:$I$5000,'Raw Data'!$E$4:$E$5000,100,0)</f>
        <v>100</v>
      </c>
      <c r="O1098" s="9" t="str">
        <f>IF(N1098=0,_xlfn.XLOOKUP(F1098,'Raw Data'!$I$4:$I$5000,'Raw Data'!$H$4:$H$5000,"",0),"")</f>
        <v/>
      </c>
      <c r="P1098" s="9" t="str" cm="1">
        <f t="array" aca="1" ref="P1098" ca="1">IF(INDIRECT(M1098) = "","",INDIRECT(M1098))</f>
        <v/>
      </c>
      <c r="Q1098" s="359" t="s">
        <v>4381</v>
      </c>
    </row>
    <row r="1099" spans="1:17" x14ac:dyDescent="0.35">
      <c r="A1099" s="694" t="s">
        <v>4233</v>
      </c>
      <c r="E1099" t="str">
        <f>_xlfn.XLOOKUP(F1099,'Raw Data'!$I$4:$I$5000,'Raw Data'!$D$4:$D$5000,"*** Mnemonic not found ***",0)</f>
        <v>*** Mnemonic not found ***</v>
      </c>
      <c r="F1099" t="str">
        <f t="shared" si="273"/>
        <v>SUCMRUR4SFJERG2_LESS1__</v>
      </c>
      <c r="H1099" s="9" t="s">
        <v>1137</v>
      </c>
      <c r="K1099" s="9">
        <f>K1098</f>
        <v>302</v>
      </c>
      <c r="L1099" s="9" t="str">
        <f t="shared" ref="L1099:L1108" si="275">L1088</f>
        <v>D</v>
      </c>
      <c r="M1099" s="9" t="str">
        <f t="shared" si="274"/>
        <v>Input!D302</v>
      </c>
      <c r="N1099" s="9">
        <f>_xlfn.XLOOKUP(F1099,'Raw Data'!$I$4:$I$5000,'Raw Data'!$E$4:$E$5000,100,0)</f>
        <v>100</v>
      </c>
      <c r="O1099" s="9" t="str">
        <f>IF(N1099=0,_xlfn.XLOOKUP(F1099,'Raw Data'!$I$4:$I$5000,'Raw Data'!$H$4:$H$5000,"",0),"")</f>
        <v/>
      </c>
      <c r="P1099" s="9" t="str" cm="1">
        <f t="array" aca="1" ref="P1099" ca="1">IF(INDIRECT(M1099) = "","",INDIRECT(M1099))</f>
        <v/>
      </c>
      <c r="Q1099" s="359" t="s">
        <v>4381</v>
      </c>
    </row>
    <row r="1100" spans="1:17" x14ac:dyDescent="0.35">
      <c r="A1100" s="694" t="s">
        <v>4234</v>
      </c>
      <c r="E1100" t="str">
        <f>_xlfn.XLOOKUP(F1100,'Raw Data'!$I$4:$I$5000,'Raw Data'!$D$4:$D$5000,"*** Mnemonic not found ***",0)</f>
        <v>*** Mnemonic not found ***</v>
      </c>
      <c r="F1100" t="str">
        <f t="shared" si="273"/>
        <v>SUCMRUR4SFJERG3_LESS1__</v>
      </c>
      <c r="H1100" s="9" t="s">
        <v>1137</v>
      </c>
      <c r="K1100" s="9">
        <f t="shared" ref="K1100:K1108" si="276">K1099</f>
        <v>302</v>
      </c>
      <c r="L1100" s="9" t="str">
        <f t="shared" si="275"/>
        <v>E</v>
      </c>
      <c r="M1100" s="9" t="str">
        <f t="shared" si="274"/>
        <v>Input!E302</v>
      </c>
      <c r="N1100" s="9">
        <f>_xlfn.XLOOKUP(F1100,'Raw Data'!$I$4:$I$5000,'Raw Data'!$E$4:$E$5000,100,0)</f>
        <v>100</v>
      </c>
      <c r="O1100" s="9" t="str">
        <f>IF(N1100=0,_xlfn.XLOOKUP(F1100,'Raw Data'!$I$4:$I$5000,'Raw Data'!$H$4:$H$5000,"",0),"")</f>
        <v/>
      </c>
      <c r="P1100" s="9" t="str" cm="1">
        <f t="array" aca="1" ref="P1100" ca="1">IF(INDIRECT(M1100) = "","",INDIRECT(M1100))</f>
        <v/>
      </c>
      <c r="Q1100" s="359" t="s">
        <v>4381</v>
      </c>
    </row>
    <row r="1101" spans="1:17" x14ac:dyDescent="0.35">
      <c r="A1101" s="694" t="s">
        <v>4235</v>
      </c>
      <c r="E1101" t="str">
        <f>_xlfn.XLOOKUP(F1101,'Raw Data'!$I$4:$I$5000,'Raw Data'!$D$4:$D$5000,"*** Mnemonic not found ***",0)</f>
        <v>*** Mnemonic not found ***</v>
      </c>
      <c r="F1101" t="str">
        <f t="shared" si="273"/>
        <v>SUCMRUR4SFJERG4_LESS1__</v>
      </c>
      <c r="H1101" s="9" t="s">
        <v>1137</v>
      </c>
      <c r="K1101" s="9">
        <f t="shared" si="276"/>
        <v>302</v>
      </c>
      <c r="L1101" s="9" t="str">
        <f t="shared" si="275"/>
        <v>F</v>
      </c>
      <c r="M1101" s="9" t="str">
        <f t="shared" si="274"/>
        <v>Input!F302</v>
      </c>
      <c r="N1101" s="9">
        <f>_xlfn.XLOOKUP(F1101,'Raw Data'!$I$4:$I$5000,'Raw Data'!$E$4:$E$5000,100,0)</f>
        <v>100</v>
      </c>
      <c r="O1101" s="9" t="str">
        <f>IF(N1101=0,_xlfn.XLOOKUP(F1101,'Raw Data'!$I$4:$I$5000,'Raw Data'!$H$4:$H$5000,"",0),"")</f>
        <v/>
      </c>
      <c r="P1101" s="9" t="str" cm="1">
        <f t="array" aca="1" ref="P1101" ca="1">IF(INDIRECT(M1101) = "","",INDIRECT(M1101))</f>
        <v/>
      </c>
      <c r="Q1101" s="359" t="s">
        <v>4381</v>
      </c>
    </row>
    <row r="1102" spans="1:17" x14ac:dyDescent="0.35">
      <c r="A1102" s="694" t="s">
        <v>4236</v>
      </c>
      <c r="E1102" t="str">
        <f>_xlfn.XLOOKUP(F1102,'Raw Data'!$I$4:$I$5000,'Raw Data'!$D$4:$D$5000,"*** Mnemonic not found ***",0)</f>
        <v>*** Mnemonic not found ***</v>
      </c>
      <c r="F1102" t="str">
        <f t="shared" si="273"/>
        <v>SUCMRUR4SFJERG5_LESS1__</v>
      </c>
      <c r="H1102" s="9" t="s">
        <v>1137</v>
      </c>
      <c r="K1102" s="9">
        <f t="shared" si="276"/>
        <v>302</v>
      </c>
      <c r="L1102" s="9" t="str">
        <f t="shared" si="275"/>
        <v>G</v>
      </c>
      <c r="M1102" s="9" t="str">
        <f t="shared" si="274"/>
        <v>Input!G302</v>
      </c>
      <c r="N1102" s="9">
        <f>_xlfn.XLOOKUP(F1102,'Raw Data'!$I$4:$I$5000,'Raw Data'!$E$4:$E$5000,100,0)</f>
        <v>100</v>
      </c>
      <c r="O1102" s="9" t="str">
        <f>IF(N1102=0,_xlfn.XLOOKUP(F1102,'Raw Data'!$I$4:$I$5000,'Raw Data'!$H$4:$H$5000,"",0),"")</f>
        <v/>
      </c>
      <c r="P1102" s="9" t="str" cm="1">
        <f t="array" aca="1" ref="P1102" ca="1">IF(INDIRECT(M1102) = "","",INDIRECT(M1102))</f>
        <v/>
      </c>
      <c r="Q1102" s="359" t="s">
        <v>4381</v>
      </c>
    </row>
    <row r="1103" spans="1:17" x14ac:dyDescent="0.35">
      <c r="A1103" s="694" t="s">
        <v>4237</v>
      </c>
      <c r="E1103" t="str">
        <f>_xlfn.XLOOKUP(F1103,'Raw Data'!$I$4:$I$5000,'Raw Data'!$D$4:$D$5000,"*** Mnemonic not found ***",0)</f>
        <v>*** Mnemonic not found ***</v>
      </c>
      <c r="F1103" t="str">
        <f t="shared" si="273"/>
        <v>SUCMRUR4SFJERG6_LESS1__</v>
      </c>
      <c r="H1103" s="9" t="s">
        <v>1137</v>
      </c>
      <c r="K1103" s="9">
        <f t="shared" si="276"/>
        <v>302</v>
      </c>
      <c r="L1103" s="9" t="str">
        <f t="shared" si="275"/>
        <v>H</v>
      </c>
      <c r="M1103" s="9" t="str">
        <f t="shared" si="274"/>
        <v>Input!H302</v>
      </c>
      <c r="N1103" s="9">
        <f>_xlfn.XLOOKUP(F1103,'Raw Data'!$I$4:$I$5000,'Raw Data'!$E$4:$E$5000,100,0)</f>
        <v>100</v>
      </c>
      <c r="O1103" s="9" t="str">
        <f>IF(N1103=0,_xlfn.XLOOKUP(F1103,'Raw Data'!$I$4:$I$5000,'Raw Data'!$H$4:$H$5000,"",0),"")</f>
        <v/>
      </c>
      <c r="P1103" s="9" t="str" cm="1">
        <f t="array" aca="1" ref="P1103" ca="1">IF(INDIRECT(M1103) = "","",INDIRECT(M1103))</f>
        <v/>
      </c>
      <c r="Q1103" s="359" t="s">
        <v>4381</v>
      </c>
    </row>
    <row r="1104" spans="1:17" x14ac:dyDescent="0.35">
      <c r="A1104" s="694" t="s">
        <v>4238</v>
      </c>
      <c r="E1104" t="str">
        <f>_xlfn.XLOOKUP(F1104,'Raw Data'!$I$4:$I$5000,'Raw Data'!$D$4:$D$5000,"*** Mnemonic not found ***",0)</f>
        <v>*** Mnemonic not found ***</v>
      </c>
      <c r="F1104" t="str">
        <f t="shared" si="273"/>
        <v>SUCMRUR4SFJERG7_LESS1__</v>
      </c>
      <c r="H1104" s="9" t="s">
        <v>1137</v>
      </c>
      <c r="K1104" s="9">
        <f t="shared" si="276"/>
        <v>302</v>
      </c>
      <c r="L1104" s="9" t="str">
        <f t="shared" si="275"/>
        <v>I</v>
      </c>
      <c r="M1104" s="9" t="str">
        <f t="shared" si="274"/>
        <v>Input!I302</v>
      </c>
      <c r="N1104" s="9">
        <f>_xlfn.XLOOKUP(F1104,'Raw Data'!$I$4:$I$5000,'Raw Data'!$E$4:$E$5000,100,0)</f>
        <v>100</v>
      </c>
      <c r="O1104" s="9" t="str">
        <f>IF(N1104=0,_xlfn.XLOOKUP(F1104,'Raw Data'!$I$4:$I$5000,'Raw Data'!$H$4:$H$5000,"",0),"")</f>
        <v/>
      </c>
      <c r="P1104" s="9" t="str" cm="1">
        <f t="array" aca="1" ref="P1104" ca="1">IF(INDIRECT(M1104) = "","",INDIRECT(M1104))</f>
        <v/>
      </c>
      <c r="Q1104" s="359" t="s">
        <v>4381</v>
      </c>
    </row>
    <row r="1105" spans="1:17" x14ac:dyDescent="0.35">
      <c r="A1105" s="694" t="s">
        <v>4239</v>
      </c>
      <c r="E1105" t="str">
        <f>_xlfn.XLOOKUP(F1105,'Raw Data'!$I$4:$I$5000,'Raw Data'!$D$4:$D$5000,"*** Mnemonic not found ***",0)</f>
        <v>*** Mnemonic not found ***</v>
      </c>
      <c r="F1105" t="str">
        <f t="shared" si="273"/>
        <v>SUCMRUR4SFJERG8_LESS1__</v>
      </c>
      <c r="H1105" s="9" t="s">
        <v>1137</v>
      </c>
      <c r="K1105" s="9">
        <f t="shared" si="276"/>
        <v>302</v>
      </c>
      <c r="L1105" s="9" t="str">
        <f t="shared" si="275"/>
        <v>J</v>
      </c>
      <c r="M1105" s="9" t="str">
        <f t="shared" si="274"/>
        <v>Input!J302</v>
      </c>
      <c r="N1105" s="9">
        <f>_xlfn.XLOOKUP(F1105,'Raw Data'!$I$4:$I$5000,'Raw Data'!$E$4:$E$5000,100,0)</f>
        <v>100</v>
      </c>
      <c r="O1105" s="9" t="str">
        <f>IF(N1105=0,_xlfn.XLOOKUP(F1105,'Raw Data'!$I$4:$I$5000,'Raw Data'!$H$4:$H$5000,"",0),"")</f>
        <v/>
      </c>
      <c r="P1105" s="9" t="str" cm="1">
        <f t="array" aca="1" ref="P1105" ca="1">IF(INDIRECT(M1105) = "","",INDIRECT(M1105))</f>
        <v/>
      </c>
      <c r="Q1105" s="359" t="s">
        <v>4381</v>
      </c>
    </row>
    <row r="1106" spans="1:17" x14ac:dyDescent="0.35">
      <c r="A1106" s="694" t="s">
        <v>4240</v>
      </c>
      <c r="E1106" t="str">
        <f>_xlfn.XLOOKUP(F1106,'Raw Data'!$I$4:$I$5000,'Raw Data'!$D$4:$D$5000,"*** Mnemonic not found ***",0)</f>
        <v>*** Mnemonic not found ***</v>
      </c>
      <c r="F1106" t="str">
        <f t="shared" si="273"/>
        <v>SUCMRUR4SFJERG9_LESS1__</v>
      </c>
      <c r="H1106" s="9" t="s">
        <v>1137</v>
      </c>
      <c r="K1106" s="9">
        <f t="shared" si="276"/>
        <v>302</v>
      </c>
      <c r="L1106" s="9" t="str">
        <f t="shared" si="275"/>
        <v>K</v>
      </c>
      <c r="M1106" s="9" t="str">
        <f t="shared" si="274"/>
        <v>Input!K302</v>
      </c>
      <c r="N1106" s="9">
        <f>_xlfn.XLOOKUP(F1106,'Raw Data'!$I$4:$I$5000,'Raw Data'!$E$4:$E$5000,100,0)</f>
        <v>100</v>
      </c>
      <c r="O1106" s="9" t="str">
        <f>IF(N1106=0,_xlfn.XLOOKUP(F1106,'Raw Data'!$I$4:$I$5000,'Raw Data'!$H$4:$H$5000,"",0),"")</f>
        <v/>
      </c>
      <c r="P1106" s="9" t="str" cm="1">
        <f t="array" aca="1" ref="P1106" ca="1">IF(INDIRECT(M1106) = "","",INDIRECT(M1106))</f>
        <v/>
      </c>
      <c r="Q1106" s="359" t="s">
        <v>4381</v>
      </c>
    </row>
    <row r="1107" spans="1:17" x14ac:dyDescent="0.35">
      <c r="A1107" s="694" t="s">
        <v>4241</v>
      </c>
      <c r="E1107" t="str">
        <f>_xlfn.XLOOKUP(F1107,'Raw Data'!$I$4:$I$5000,'Raw Data'!$D$4:$D$5000,"*** Mnemonic not found ***",0)</f>
        <v>*** Mnemonic not found ***</v>
      </c>
      <c r="F1107" t="str">
        <f t="shared" si="273"/>
        <v>SUCMRUR4SFJERG10_LESS1__</v>
      </c>
      <c r="H1107" s="9" t="s">
        <v>1137</v>
      </c>
      <c r="K1107" s="9">
        <f t="shared" si="276"/>
        <v>302</v>
      </c>
      <c r="L1107" s="9" t="str">
        <f t="shared" si="275"/>
        <v>L</v>
      </c>
      <c r="M1107" s="9" t="str">
        <f t="shared" si="274"/>
        <v>Input!L302</v>
      </c>
      <c r="N1107" s="9">
        <f>_xlfn.XLOOKUP(F1107,'Raw Data'!$I$4:$I$5000,'Raw Data'!$E$4:$E$5000,100,0)</f>
        <v>100</v>
      </c>
      <c r="O1107" s="9" t="str">
        <f>IF(N1107=0,_xlfn.XLOOKUP(F1107,'Raw Data'!$I$4:$I$5000,'Raw Data'!$H$4:$H$5000,"",0),"")</f>
        <v/>
      </c>
      <c r="P1107" s="9" t="str" cm="1">
        <f t="array" aca="1" ref="P1107" ca="1">IF(INDIRECT(M1107) = "","",INDIRECT(M1107))</f>
        <v/>
      </c>
      <c r="Q1107" s="359" t="s">
        <v>4381</v>
      </c>
    </row>
    <row r="1108" spans="1:17" x14ac:dyDescent="0.35">
      <c r="A1108" s="694" t="s">
        <v>4242</v>
      </c>
      <c r="E1108" t="str">
        <f>_xlfn.XLOOKUP(F1108,'Raw Data'!$I$4:$I$5000,'Raw Data'!$D$4:$D$5000,"*** Mnemonic not found ***",0)</f>
        <v>*** Mnemonic not found ***</v>
      </c>
      <c r="F1108" t="str">
        <f t="shared" si="273"/>
        <v>SUCMRUR4SFJERGNA_LESS1__</v>
      </c>
      <c r="H1108" s="9" t="s">
        <v>1137</v>
      </c>
      <c r="K1108" s="9">
        <f t="shared" si="276"/>
        <v>302</v>
      </c>
      <c r="L1108" s="9" t="str">
        <f t="shared" si="275"/>
        <v>M</v>
      </c>
      <c r="M1108" s="9" t="str">
        <f t="shared" si="274"/>
        <v>Input!M302</v>
      </c>
      <c r="N1108" s="9">
        <f>_xlfn.XLOOKUP(F1108,'Raw Data'!$I$4:$I$5000,'Raw Data'!$E$4:$E$5000,100,0)</f>
        <v>100</v>
      </c>
      <c r="O1108" s="9" t="str">
        <f>IF(N1108=0,_xlfn.XLOOKUP(F1108,'Raw Data'!$I$4:$I$5000,'Raw Data'!$H$4:$H$5000,"",0),"")</f>
        <v/>
      </c>
      <c r="P1108" s="9" t="str" cm="1">
        <f t="array" aca="1" ref="P1108" ca="1">IF(INDIRECT(M1108) = "","",INDIRECT(M1108))</f>
        <v/>
      </c>
      <c r="Q1108" s="359" t="s">
        <v>4381</v>
      </c>
    </row>
    <row r="1109" spans="1:17" x14ac:dyDescent="0.35">
      <c r="A1109" s="694" t="s">
        <v>4243</v>
      </c>
      <c r="E1109" t="str">
        <f>_xlfn.XLOOKUP(F1109,'Raw Data'!$I$4:$I$5000,'Raw Data'!$D$4:$D$5000,"*** Mnemonic not found ***",0)</f>
        <v>*** Mnemonic not found ***</v>
      </c>
      <c r="F1109" t="str">
        <f t="shared" si="273"/>
        <v>SUCMRUR4SFJERG1_1TO5__</v>
      </c>
      <c r="H1109" s="9" t="s">
        <v>1137</v>
      </c>
      <c r="K1109" s="9">
        <f>K1098+1</f>
        <v>303</v>
      </c>
      <c r="L1109" s="9" t="str">
        <f>L1098</f>
        <v>C</v>
      </c>
      <c r="M1109" s="9" t="str">
        <f t="shared" si="274"/>
        <v>Input!C303</v>
      </c>
      <c r="N1109" s="9">
        <f>_xlfn.XLOOKUP(F1109,'Raw Data'!$I$4:$I$5000,'Raw Data'!$E$4:$E$5000,100,0)</f>
        <v>100</v>
      </c>
      <c r="O1109" s="9" t="str">
        <f>IF(N1109=0,_xlfn.XLOOKUP(F1109,'Raw Data'!$I$4:$I$5000,'Raw Data'!$H$4:$H$5000,"",0),"")</f>
        <v/>
      </c>
      <c r="P1109" s="9" t="str" cm="1">
        <f t="array" aca="1" ref="P1109" ca="1">IF(INDIRECT(M1109) = "","",INDIRECT(M1109))</f>
        <v/>
      </c>
      <c r="Q1109" s="359" t="s">
        <v>4381</v>
      </c>
    </row>
    <row r="1110" spans="1:17" x14ac:dyDescent="0.35">
      <c r="A1110" s="694" t="s">
        <v>4244</v>
      </c>
      <c r="E1110" t="str">
        <f>_xlfn.XLOOKUP(F1110,'Raw Data'!$I$4:$I$5000,'Raw Data'!$D$4:$D$5000,"*** Mnemonic not found ***",0)</f>
        <v>*** Mnemonic not found ***</v>
      </c>
      <c r="F1110" t="str">
        <f t="shared" si="273"/>
        <v>SUCMRUR4SFJERG2_1TO5__</v>
      </c>
      <c r="H1110" s="9" t="s">
        <v>1137</v>
      </c>
      <c r="K1110" s="9">
        <f t="shared" ref="K1110:K1152" si="277">K1099+1</f>
        <v>303</v>
      </c>
      <c r="L1110" s="9" t="str">
        <f t="shared" ref="L1110:L1152" si="278">L1099</f>
        <v>D</v>
      </c>
      <c r="M1110" s="9" t="str">
        <f t="shared" si="274"/>
        <v>Input!D303</v>
      </c>
      <c r="N1110" s="9">
        <f>_xlfn.XLOOKUP(F1110,'Raw Data'!$I$4:$I$5000,'Raw Data'!$E$4:$E$5000,100,0)</f>
        <v>100</v>
      </c>
      <c r="O1110" s="9" t="str">
        <f>IF(N1110=0,_xlfn.XLOOKUP(F1110,'Raw Data'!$I$4:$I$5000,'Raw Data'!$H$4:$H$5000,"",0),"")</f>
        <v/>
      </c>
      <c r="P1110" s="9" t="str" cm="1">
        <f t="array" aca="1" ref="P1110" ca="1">IF(INDIRECT(M1110) = "","",INDIRECT(M1110))</f>
        <v/>
      </c>
      <c r="Q1110" s="359" t="s">
        <v>4381</v>
      </c>
    </row>
    <row r="1111" spans="1:17" x14ac:dyDescent="0.35">
      <c r="A1111" s="694" t="s">
        <v>4245</v>
      </c>
      <c r="E1111" t="str">
        <f>_xlfn.XLOOKUP(F1111,'Raw Data'!$I$4:$I$5000,'Raw Data'!$D$4:$D$5000,"*** Mnemonic not found ***",0)</f>
        <v>*** Mnemonic not found ***</v>
      </c>
      <c r="F1111" t="str">
        <f t="shared" si="273"/>
        <v>SUCMRUR4SFJERG3_1TO5__</v>
      </c>
      <c r="H1111" s="9" t="s">
        <v>1137</v>
      </c>
      <c r="K1111" s="9">
        <f t="shared" si="277"/>
        <v>303</v>
      </c>
      <c r="L1111" s="9" t="str">
        <f t="shared" si="278"/>
        <v>E</v>
      </c>
      <c r="M1111" s="9" t="str">
        <f t="shared" si="274"/>
        <v>Input!E303</v>
      </c>
      <c r="N1111" s="9">
        <f>_xlfn.XLOOKUP(F1111,'Raw Data'!$I$4:$I$5000,'Raw Data'!$E$4:$E$5000,100,0)</f>
        <v>100</v>
      </c>
      <c r="O1111" s="9" t="str">
        <f>IF(N1111=0,_xlfn.XLOOKUP(F1111,'Raw Data'!$I$4:$I$5000,'Raw Data'!$H$4:$H$5000,"",0),"")</f>
        <v/>
      </c>
      <c r="P1111" s="9" t="str" cm="1">
        <f t="array" aca="1" ref="P1111" ca="1">IF(INDIRECT(M1111) = "","",INDIRECT(M1111))</f>
        <v/>
      </c>
      <c r="Q1111" s="359" t="s">
        <v>4381</v>
      </c>
    </row>
    <row r="1112" spans="1:17" x14ac:dyDescent="0.35">
      <c r="A1112" s="694" t="s">
        <v>4246</v>
      </c>
      <c r="E1112" t="str">
        <f>_xlfn.XLOOKUP(F1112,'Raw Data'!$I$4:$I$5000,'Raw Data'!$D$4:$D$5000,"*** Mnemonic not found ***",0)</f>
        <v>*** Mnemonic not found ***</v>
      </c>
      <c r="F1112" t="str">
        <f t="shared" si="273"/>
        <v>SUCMRUR4SFJERG4_1TO5__</v>
      </c>
      <c r="H1112" s="9" t="s">
        <v>1137</v>
      </c>
      <c r="K1112" s="9">
        <f t="shared" si="277"/>
        <v>303</v>
      </c>
      <c r="L1112" s="9" t="str">
        <f t="shared" si="278"/>
        <v>F</v>
      </c>
      <c r="M1112" s="9" t="str">
        <f t="shared" si="274"/>
        <v>Input!F303</v>
      </c>
      <c r="N1112" s="9">
        <f>_xlfn.XLOOKUP(F1112,'Raw Data'!$I$4:$I$5000,'Raw Data'!$E$4:$E$5000,100,0)</f>
        <v>100</v>
      </c>
      <c r="O1112" s="9" t="str">
        <f>IF(N1112=0,_xlfn.XLOOKUP(F1112,'Raw Data'!$I$4:$I$5000,'Raw Data'!$H$4:$H$5000,"",0),"")</f>
        <v/>
      </c>
      <c r="P1112" s="9" t="str" cm="1">
        <f t="array" aca="1" ref="P1112" ca="1">IF(INDIRECT(M1112) = "","",INDIRECT(M1112))</f>
        <v/>
      </c>
      <c r="Q1112" s="359" t="s">
        <v>4381</v>
      </c>
    </row>
    <row r="1113" spans="1:17" x14ac:dyDescent="0.35">
      <c r="A1113" s="694" t="s">
        <v>4247</v>
      </c>
      <c r="E1113" t="str">
        <f>_xlfn.XLOOKUP(F1113,'Raw Data'!$I$4:$I$5000,'Raw Data'!$D$4:$D$5000,"*** Mnemonic not found ***",0)</f>
        <v>*** Mnemonic not found ***</v>
      </c>
      <c r="F1113" t="str">
        <f t="shared" si="273"/>
        <v>SUCMRUR4SFJERG5_1TO5__</v>
      </c>
      <c r="H1113" s="9" t="s">
        <v>1137</v>
      </c>
      <c r="K1113" s="9">
        <f t="shared" si="277"/>
        <v>303</v>
      </c>
      <c r="L1113" s="9" t="str">
        <f t="shared" si="278"/>
        <v>G</v>
      </c>
      <c r="M1113" s="9" t="str">
        <f t="shared" si="274"/>
        <v>Input!G303</v>
      </c>
      <c r="N1113" s="9">
        <f>_xlfn.XLOOKUP(F1113,'Raw Data'!$I$4:$I$5000,'Raw Data'!$E$4:$E$5000,100,0)</f>
        <v>100</v>
      </c>
      <c r="O1113" s="9" t="str">
        <f>IF(N1113=0,_xlfn.XLOOKUP(F1113,'Raw Data'!$I$4:$I$5000,'Raw Data'!$H$4:$H$5000,"",0),"")</f>
        <v/>
      </c>
      <c r="P1113" s="9" t="str" cm="1">
        <f t="array" aca="1" ref="P1113" ca="1">IF(INDIRECT(M1113) = "","",INDIRECT(M1113))</f>
        <v/>
      </c>
      <c r="Q1113" s="359" t="s">
        <v>4381</v>
      </c>
    </row>
    <row r="1114" spans="1:17" x14ac:dyDescent="0.35">
      <c r="A1114" s="694" t="s">
        <v>4248</v>
      </c>
      <c r="E1114" t="str">
        <f>_xlfn.XLOOKUP(F1114,'Raw Data'!$I$4:$I$5000,'Raw Data'!$D$4:$D$5000,"*** Mnemonic not found ***",0)</f>
        <v>*** Mnemonic not found ***</v>
      </c>
      <c r="F1114" t="str">
        <f t="shared" si="273"/>
        <v>SUCMRUR4SFJERG6_1TO5__</v>
      </c>
      <c r="H1114" s="9" t="s">
        <v>1137</v>
      </c>
      <c r="K1114" s="9">
        <f t="shared" si="277"/>
        <v>303</v>
      </c>
      <c r="L1114" s="9" t="str">
        <f t="shared" si="278"/>
        <v>H</v>
      </c>
      <c r="M1114" s="9" t="str">
        <f t="shared" si="274"/>
        <v>Input!H303</v>
      </c>
      <c r="N1114" s="9">
        <f>_xlfn.XLOOKUP(F1114,'Raw Data'!$I$4:$I$5000,'Raw Data'!$E$4:$E$5000,100,0)</f>
        <v>100</v>
      </c>
      <c r="O1114" s="9" t="str">
        <f>IF(N1114=0,_xlfn.XLOOKUP(F1114,'Raw Data'!$I$4:$I$5000,'Raw Data'!$H$4:$H$5000,"",0),"")</f>
        <v/>
      </c>
      <c r="P1114" s="9" t="str" cm="1">
        <f t="array" aca="1" ref="P1114" ca="1">IF(INDIRECT(M1114) = "","",INDIRECT(M1114))</f>
        <v/>
      </c>
      <c r="Q1114" s="359" t="s">
        <v>4381</v>
      </c>
    </row>
    <row r="1115" spans="1:17" x14ac:dyDescent="0.35">
      <c r="A1115" s="694" t="s">
        <v>4249</v>
      </c>
      <c r="E1115" t="str">
        <f>_xlfn.XLOOKUP(F1115,'Raw Data'!$I$4:$I$5000,'Raw Data'!$D$4:$D$5000,"*** Mnemonic not found ***",0)</f>
        <v>*** Mnemonic not found ***</v>
      </c>
      <c r="F1115" t="str">
        <f t="shared" si="273"/>
        <v>SUCMRUR4SFJERG7_1TO5__</v>
      </c>
      <c r="H1115" s="9" t="s">
        <v>1137</v>
      </c>
      <c r="K1115" s="9">
        <f t="shared" si="277"/>
        <v>303</v>
      </c>
      <c r="L1115" s="9" t="str">
        <f t="shared" si="278"/>
        <v>I</v>
      </c>
      <c r="M1115" s="9" t="str">
        <f t="shared" si="274"/>
        <v>Input!I303</v>
      </c>
      <c r="N1115" s="9">
        <f>_xlfn.XLOOKUP(F1115,'Raw Data'!$I$4:$I$5000,'Raw Data'!$E$4:$E$5000,100,0)</f>
        <v>100</v>
      </c>
      <c r="O1115" s="9" t="str">
        <f>IF(N1115=0,_xlfn.XLOOKUP(F1115,'Raw Data'!$I$4:$I$5000,'Raw Data'!$H$4:$H$5000,"",0),"")</f>
        <v/>
      </c>
      <c r="P1115" s="9" t="str" cm="1">
        <f t="array" aca="1" ref="P1115" ca="1">IF(INDIRECT(M1115) = "","",INDIRECT(M1115))</f>
        <v/>
      </c>
      <c r="Q1115" s="359" t="s">
        <v>4381</v>
      </c>
    </row>
    <row r="1116" spans="1:17" x14ac:dyDescent="0.35">
      <c r="A1116" s="694" t="s">
        <v>4250</v>
      </c>
      <c r="E1116" t="str">
        <f>_xlfn.XLOOKUP(F1116,'Raw Data'!$I$4:$I$5000,'Raw Data'!$D$4:$D$5000,"*** Mnemonic not found ***",0)</f>
        <v>*** Mnemonic not found ***</v>
      </c>
      <c r="F1116" t="str">
        <f t="shared" si="273"/>
        <v>SUCMRUR4SFJERG8_1TO5__</v>
      </c>
      <c r="H1116" s="9" t="s">
        <v>1137</v>
      </c>
      <c r="K1116" s="9">
        <f t="shared" si="277"/>
        <v>303</v>
      </c>
      <c r="L1116" s="9" t="str">
        <f t="shared" si="278"/>
        <v>J</v>
      </c>
      <c r="M1116" s="9" t="str">
        <f t="shared" si="274"/>
        <v>Input!J303</v>
      </c>
      <c r="N1116" s="9">
        <f>_xlfn.XLOOKUP(F1116,'Raw Data'!$I$4:$I$5000,'Raw Data'!$E$4:$E$5000,100,0)</f>
        <v>100</v>
      </c>
      <c r="O1116" s="9" t="str">
        <f>IF(N1116=0,_xlfn.XLOOKUP(F1116,'Raw Data'!$I$4:$I$5000,'Raw Data'!$H$4:$H$5000,"",0),"")</f>
        <v/>
      </c>
      <c r="P1116" s="9" t="str" cm="1">
        <f t="array" aca="1" ref="P1116" ca="1">IF(INDIRECT(M1116) = "","",INDIRECT(M1116))</f>
        <v/>
      </c>
      <c r="Q1116" s="359" t="s">
        <v>4381</v>
      </c>
    </row>
    <row r="1117" spans="1:17" x14ac:dyDescent="0.35">
      <c r="A1117" s="694" t="s">
        <v>4251</v>
      </c>
      <c r="E1117" t="str">
        <f>_xlfn.XLOOKUP(F1117,'Raw Data'!$I$4:$I$5000,'Raw Data'!$D$4:$D$5000,"*** Mnemonic not found ***",0)</f>
        <v>*** Mnemonic not found ***</v>
      </c>
      <c r="F1117" t="str">
        <f t="shared" si="273"/>
        <v>SUCMRUR4SFJERG9_1TO5__</v>
      </c>
      <c r="H1117" s="9" t="s">
        <v>1137</v>
      </c>
      <c r="K1117" s="9">
        <f t="shared" si="277"/>
        <v>303</v>
      </c>
      <c r="L1117" s="9" t="str">
        <f t="shared" si="278"/>
        <v>K</v>
      </c>
      <c r="M1117" s="9" t="str">
        <f t="shared" si="274"/>
        <v>Input!K303</v>
      </c>
      <c r="N1117" s="9">
        <f>_xlfn.XLOOKUP(F1117,'Raw Data'!$I$4:$I$5000,'Raw Data'!$E$4:$E$5000,100,0)</f>
        <v>100</v>
      </c>
      <c r="O1117" s="9" t="str">
        <f>IF(N1117=0,_xlfn.XLOOKUP(F1117,'Raw Data'!$I$4:$I$5000,'Raw Data'!$H$4:$H$5000,"",0),"")</f>
        <v/>
      </c>
      <c r="P1117" s="9" t="str" cm="1">
        <f t="array" aca="1" ref="P1117" ca="1">IF(INDIRECT(M1117) = "","",INDIRECT(M1117))</f>
        <v/>
      </c>
      <c r="Q1117" s="359" t="s">
        <v>4381</v>
      </c>
    </row>
    <row r="1118" spans="1:17" x14ac:dyDescent="0.35">
      <c r="A1118" s="694" t="s">
        <v>4252</v>
      </c>
      <c r="E1118" t="str">
        <f>_xlfn.XLOOKUP(F1118,'Raw Data'!$I$4:$I$5000,'Raw Data'!$D$4:$D$5000,"*** Mnemonic not found ***",0)</f>
        <v>*** Mnemonic not found ***</v>
      </c>
      <c r="F1118" t="str">
        <f t="shared" si="273"/>
        <v>SUCMRUR4SFJERG10_1TO5__</v>
      </c>
      <c r="H1118" s="9" t="s">
        <v>1137</v>
      </c>
      <c r="K1118" s="9">
        <f t="shared" si="277"/>
        <v>303</v>
      </c>
      <c r="L1118" s="9" t="str">
        <f t="shared" si="278"/>
        <v>L</v>
      </c>
      <c r="M1118" s="9" t="str">
        <f t="shared" si="274"/>
        <v>Input!L303</v>
      </c>
      <c r="N1118" s="9">
        <f>_xlfn.XLOOKUP(F1118,'Raw Data'!$I$4:$I$5000,'Raw Data'!$E$4:$E$5000,100,0)</f>
        <v>100</v>
      </c>
      <c r="O1118" s="9" t="str">
        <f>IF(N1118=0,_xlfn.XLOOKUP(F1118,'Raw Data'!$I$4:$I$5000,'Raw Data'!$H$4:$H$5000,"",0),"")</f>
        <v/>
      </c>
      <c r="P1118" s="9" t="str" cm="1">
        <f t="array" aca="1" ref="P1118" ca="1">IF(INDIRECT(M1118) = "","",INDIRECT(M1118))</f>
        <v/>
      </c>
      <c r="Q1118" s="359" t="s">
        <v>4381</v>
      </c>
    </row>
    <row r="1119" spans="1:17" x14ac:dyDescent="0.35">
      <c r="A1119" s="694" t="s">
        <v>4253</v>
      </c>
      <c r="E1119" t="str">
        <f>_xlfn.XLOOKUP(F1119,'Raw Data'!$I$4:$I$5000,'Raw Data'!$D$4:$D$5000,"*** Mnemonic not found ***",0)</f>
        <v>*** Mnemonic not found ***</v>
      </c>
      <c r="F1119" t="str">
        <f t="shared" si="273"/>
        <v>SUCMRUR4SFJERGNA_1TO5__</v>
      </c>
      <c r="H1119" s="9" t="s">
        <v>1137</v>
      </c>
      <c r="K1119" s="9">
        <f t="shared" si="277"/>
        <v>303</v>
      </c>
      <c r="L1119" s="9" t="str">
        <f t="shared" si="278"/>
        <v>M</v>
      </c>
      <c r="M1119" s="9" t="str">
        <f t="shared" si="274"/>
        <v>Input!M303</v>
      </c>
      <c r="N1119" s="9">
        <f>_xlfn.XLOOKUP(F1119,'Raw Data'!$I$4:$I$5000,'Raw Data'!$E$4:$E$5000,100,0)</f>
        <v>100</v>
      </c>
      <c r="O1119" s="9" t="str">
        <f>IF(N1119=0,_xlfn.XLOOKUP(F1119,'Raw Data'!$I$4:$I$5000,'Raw Data'!$H$4:$H$5000,"",0),"")</f>
        <v/>
      </c>
      <c r="P1119" s="9" t="str" cm="1">
        <f t="array" aca="1" ref="P1119" ca="1">IF(INDIRECT(M1119) = "","",INDIRECT(M1119))</f>
        <v/>
      </c>
      <c r="Q1119" s="359" t="s">
        <v>4381</v>
      </c>
    </row>
    <row r="1120" spans="1:17" x14ac:dyDescent="0.35">
      <c r="A1120" s="694" t="s">
        <v>4254</v>
      </c>
      <c r="E1120" t="str">
        <f>_xlfn.XLOOKUP(F1120,'Raw Data'!$I$4:$I$5000,'Raw Data'!$D$4:$D$5000,"*** Mnemonic not found ***",0)</f>
        <v>*** Mnemonic not found ***</v>
      </c>
      <c r="F1120" t="str">
        <f t="shared" si="273"/>
        <v>SUCMRUR4SFJERG1_5TO10__</v>
      </c>
      <c r="H1120" s="9" t="s">
        <v>1137</v>
      </c>
      <c r="K1120" s="9">
        <f t="shared" si="277"/>
        <v>304</v>
      </c>
      <c r="L1120" s="9" t="str">
        <f t="shared" si="278"/>
        <v>C</v>
      </c>
      <c r="M1120" s="9" t="str">
        <f t="shared" si="274"/>
        <v>Input!C304</v>
      </c>
      <c r="N1120" s="9">
        <f>_xlfn.XLOOKUP(F1120,'Raw Data'!$I$4:$I$5000,'Raw Data'!$E$4:$E$5000,100,0)</f>
        <v>100</v>
      </c>
      <c r="O1120" s="9" t="str">
        <f>IF(N1120=0,_xlfn.XLOOKUP(F1120,'Raw Data'!$I$4:$I$5000,'Raw Data'!$H$4:$H$5000,"",0),"")</f>
        <v/>
      </c>
      <c r="P1120" s="9" t="str" cm="1">
        <f t="array" aca="1" ref="P1120" ca="1">IF(INDIRECT(M1120) = "","",INDIRECT(M1120))</f>
        <v/>
      </c>
      <c r="Q1120" s="359" t="s">
        <v>4381</v>
      </c>
    </row>
    <row r="1121" spans="1:17" x14ac:dyDescent="0.35">
      <c r="A1121" s="694" t="s">
        <v>4255</v>
      </c>
      <c r="E1121" t="str">
        <f>_xlfn.XLOOKUP(F1121,'Raw Data'!$I$4:$I$5000,'Raw Data'!$D$4:$D$5000,"*** Mnemonic not found ***",0)</f>
        <v>*** Mnemonic not found ***</v>
      </c>
      <c r="F1121" t="str">
        <f t="shared" si="273"/>
        <v>SUCMRUR4SFJERG2_5TO10__</v>
      </c>
      <c r="H1121" s="9" t="s">
        <v>1137</v>
      </c>
      <c r="K1121" s="9">
        <f t="shared" si="277"/>
        <v>304</v>
      </c>
      <c r="L1121" s="9" t="str">
        <f t="shared" si="278"/>
        <v>D</v>
      </c>
      <c r="M1121" s="9" t="str">
        <f t="shared" si="274"/>
        <v>Input!D304</v>
      </c>
      <c r="N1121" s="9">
        <f>_xlfn.XLOOKUP(F1121,'Raw Data'!$I$4:$I$5000,'Raw Data'!$E$4:$E$5000,100,0)</f>
        <v>100</v>
      </c>
      <c r="O1121" s="9" t="str">
        <f>IF(N1121=0,_xlfn.XLOOKUP(F1121,'Raw Data'!$I$4:$I$5000,'Raw Data'!$H$4:$H$5000,"",0),"")</f>
        <v/>
      </c>
      <c r="P1121" s="9" t="str" cm="1">
        <f t="array" aca="1" ref="P1121" ca="1">IF(INDIRECT(M1121) = "","",INDIRECT(M1121))</f>
        <v/>
      </c>
      <c r="Q1121" s="359" t="s">
        <v>4381</v>
      </c>
    </row>
    <row r="1122" spans="1:17" x14ac:dyDescent="0.35">
      <c r="A1122" s="694" t="s">
        <v>4256</v>
      </c>
      <c r="E1122" t="str">
        <f>_xlfn.XLOOKUP(F1122,'Raw Data'!$I$4:$I$5000,'Raw Data'!$D$4:$D$5000,"*** Mnemonic not found ***",0)</f>
        <v>*** Mnemonic not found ***</v>
      </c>
      <c r="F1122" t="str">
        <f t="shared" si="273"/>
        <v>SUCMRUR4SFJERG3_5TO10__</v>
      </c>
      <c r="H1122" s="9" t="s">
        <v>1137</v>
      </c>
      <c r="K1122" s="9">
        <f t="shared" si="277"/>
        <v>304</v>
      </c>
      <c r="L1122" s="9" t="str">
        <f t="shared" si="278"/>
        <v>E</v>
      </c>
      <c r="M1122" s="9" t="str">
        <f t="shared" si="274"/>
        <v>Input!E304</v>
      </c>
      <c r="N1122" s="9">
        <f>_xlfn.XLOOKUP(F1122,'Raw Data'!$I$4:$I$5000,'Raw Data'!$E$4:$E$5000,100,0)</f>
        <v>100</v>
      </c>
      <c r="O1122" s="9" t="str">
        <f>IF(N1122=0,_xlfn.XLOOKUP(F1122,'Raw Data'!$I$4:$I$5000,'Raw Data'!$H$4:$H$5000,"",0),"")</f>
        <v/>
      </c>
      <c r="P1122" s="9" t="str" cm="1">
        <f t="array" aca="1" ref="P1122" ca="1">IF(INDIRECT(M1122) = "","",INDIRECT(M1122))</f>
        <v/>
      </c>
      <c r="Q1122" s="359" t="s">
        <v>4381</v>
      </c>
    </row>
    <row r="1123" spans="1:17" x14ac:dyDescent="0.35">
      <c r="A1123" s="694" t="s">
        <v>4257</v>
      </c>
      <c r="E1123" t="str">
        <f>_xlfn.XLOOKUP(F1123,'Raw Data'!$I$4:$I$5000,'Raw Data'!$D$4:$D$5000,"*** Mnemonic not found ***",0)</f>
        <v>*** Mnemonic not found ***</v>
      </c>
      <c r="F1123" t="str">
        <f t="shared" si="273"/>
        <v>SUCMRUR4SFJERG4_5TO10__</v>
      </c>
      <c r="H1123" s="9" t="s">
        <v>1137</v>
      </c>
      <c r="K1123" s="9">
        <f t="shared" si="277"/>
        <v>304</v>
      </c>
      <c r="L1123" s="9" t="str">
        <f t="shared" si="278"/>
        <v>F</v>
      </c>
      <c r="M1123" s="9" t="str">
        <f t="shared" si="274"/>
        <v>Input!F304</v>
      </c>
      <c r="N1123" s="9">
        <f>_xlfn.XLOOKUP(F1123,'Raw Data'!$I$4:$I$5000,'Raw Data'!$E$4:$E$5000,100,0)</f>
        <v>100</v>
      </c>
      <c r="O1123" s="9" t="str">
        <f>IF(N1123=0,_xlfn.XLOOKUP(F1123,'Raw Data'!$I$4:$I$5000,'Raw Data'!$H$4:$H$5000,"",0),"")</f>
        <v/>
      </c>
      <c r="P1123" s="9" t="str" cm="1">
        <f t="array" aca="1" ref="P1123" ca="1">IF(INDIRECT(M1123) = "","",INDIRECT(M1123))</f>
        <v/>
      </c>
      <c r="Q1123" s="359" t="s">
        <v>4381</v>
      </c>
    </row>
    <row r="1124" spans="1:17" x14ac:dyDescent="0.35">
      <c r="A1124" s="694" t="s">
        <v>4258</v>
      </c>
      <c r="E1124" t="str">
        <f>_xlfn.XLOOKUP(F1124,'Raw Data'!$I$4:$I$5000,'Raw Data'!$D$4:$D$5000,"*** Mnemonic not found ***",0)</f>
        <v>*** Mnemonic not found ***</v>
      </c>
      <c r="F1124" t="str">
        <f t="shared" si="273"/>
        <v>SUCMRUR4SFJERG5_5TO10__</v>
      </c>
      <c r="H1124" s="9" t="s">
        <v>1137</v>
      </c>
      <c r="K1124" s="9">
        <f t="shared" si="277"/>
        <v>304</v>
      </c>
      <c r="L1124" s="9" t="str">
        <f t="shared" si="278"/>
        <v>G</v>
      </c>
      <c r="M1124" s="9" t="str">
        <f t="shared" si="274"/>
        <v>Input!G304</v>
      </c>
      <c r="N1124" s="9">
        <f>_xlfn.XLOOKUP(F1124,'Raw Data'!$I$4:$I$5000,'Raw Data'!$E$4:$E$5000,100,0)</f>
        <v>100</v>
      </c>
      <c r="O1124" s="9" t="str">
        <f>IF(N1124=0,_xlfn.XLOOKUP(F1124,'Raw Data'!$I$4:$I$5000,'Raw Data'!$H$4:$H$5000,"",0),"")</f>
        <v/>
      </c>
      <c r="P1124" s="9" t="str" cm="1">
        <f t="array" aca="1" ref="P1124" ca="1">IF(INDIRECT(M1124) = "","",INDIRECT(M1124))</f>
        <v/>
      </c>
      <c r="Q1124" s="359" t="s">
        <v>4381</v>
      </c>
    </row>
    <row r="1125" spans="1:17" x14ac:dyDescent="0.35">
      <c r="A1125" s="694" t="s">
        <v>4259</v>
      </c>
      <c r="E1125" t="str">
        <f>_xlfn.XLOOKUP(F1125,'Raw Data'!$I$4:$I$5000,'Raw Data'!$D$4:$D$5000,"*** Mnemonic not found ***",0)</f>
        <v>*** Mnemonic not found ***</v>
      </c>
      <c r="F1125" t="str">
        <f t="shared" si="273"/>
        <v>SUCMRUR4SFJERG6_5TO10__</v>
      </c>
      <c r="H1125" s="9" t="s">
        <v>1137</v>
      </c>
      <c r="K1125" s="9">
        <f t="shared" si="277"/>
        <v>304</v>
      </c>
      <c r="L1125" s="9" t="str">
        <f t="shared" si="278"/>
        <v>H</v>
      </c>
      <c r="M1125" s="9" t="str">
        <f t="shared" si="274"/>
        <v>Input!H304</v>
      </c>
      <c r="N1125" s="9">
        <f>_xlfn.XLOOKUP(F1125,'Raw Data'!$I$4:$I$5000,'Raw Data'!$E$4:$E$5000,100,0)</f>
        <v>100</v>
      </c>
      <c r="O1125" s="9" t="str">
        <f>IF(N1125=0,_xlfn.XLOOKUP(F1125,'Raw Data'!$I$4:$I$5000,'Raw Data'!$H$4:$H$5000,"",0),"")</f>
        <v/>
      </c>
      <c r="P1125" s="9" t="str" cm="1">
        <f t="array" aca="1" ref="P1125" ca="1">IF(INDIRECT(M1125) = "","",INDIRECT(M1125))</f>
        <v/>
      </c>
      <c r="Q1125" s="359" t="s">
        <v>4381</v>
      </c>
    </row>
    <row r="1126" spans="1:17" x14ac:dyDescent="0.35">
      <c r="A1126" s="694" t="s">
        <v>4260</v>
      </c>
      <c r="E1126" t="str">
        <f>_xlfn.XLOOKUP(F1126,'Raw Data'!$I$4:$I$5000,'Raw Data'!$D$4:$D$5000,"*** Mnemonic not found ***",0)</f>
        <v>*** Mnemonic not found ***</v>
      </c>
      <c r="F1126" t="str">
        <f t="shared" si="273"/>
        <v>SUCMRUR4SFJERG7_5TO10__</v>
      </c>
      <c r="H1126" s="9" t="s">
        <v>1137</v>
      </c>
      <c r="K1126" s="9">
        <f t="shared" si="277"/>
        <v>304</v>
      </c>
      <c r="L1126" s="9" t="str">
        <f t="shared" si="278"/>
        <v>I</v>
      </c>
      <c r="M1126" s="9" t="str">
        <f t="shared" si="274"/>
        <v>Input!I304</v>
      </c>
      <c r="N1126" s="9">
        <f>_xlfn.XLOOKUP(F1126,'Raw Data'!$I$4:$I$5000,'Raw Data'!$E$4:$E$5000,100,0)</f>
        <v>100</v>
      </c>
      <c r="O1126" s="9" t="str">
        <f>IF(N1126=0,_xlfn.XLOOKUP(F1126,'Raw Data'!$I$4:$I$5000,'Raw Data'!$H$4:$H$5000,"",0),"")</f>
        <v/>
      </c>
      <c r="P1126" s="9" t="str" cm="1">
        <f t="array" aca="1" ref="P1126" ca="1">IF(INDIRECT(M1126) = "","",INDIRECT(M1126))</f>
        <v/>
      </c>
      <c r="Q1126" s="359" t="s">
        <v>4381</v>
      </c>
    </row>
    <row r="1127" spans="1:17" x14ac:dyDescent="0.35">
      <c r="A1127" s="694" t="s">
        <v>4261</v>
      </c>
      <c r="E1127" t="str">
        <f>_xlfn.XLOOKUP(F1127,'Raw Data'!$I$4:$I$5000,'Raw Data'!$D$4:$D$5000,"*** Mnemonic not found ***",0)</f>
        <v>*** Mnemonic not found ***</v>
      </c>
      <c r="F1127" t="str">
        <f t="shared" si="273"/>
        <v>SUCMRUR4SFJERG8_5TO10__</v>
      </c>
      <c r="H1127" s="9" t="s">
        <v>1137</v>
      </c>
      <c r="K1127" s="9">
        <f t="shared" si="277"/>
        <v>304</v>
      </c>
      <c r="L1127" s="9" t="str">
        <f t="shared" si="278"/>
        <v>J</v>
      </c>
      <c r="M1127" s="9" t="str">
        <f t="shared" si="274"/>
        <v>Input!J304</v>
      </c>
      <c r="N1127" s="9">
        <f>_xlfn.XLOOKUP(F1127,'Raw Data'!$I$4:$I$5000,'Raw Data'!$E$4:$E$5000,100,0)</f>
        <v>100</v>
      </c>
      <c r="O1127" s="9" t="str">
        <f>IF(N1127=0,_xlfn.XLOOKUP(F1127,'Raw Data'!$I$4:$I$5000,'Raw Data'!$H$4:$H$5000,"",0),"")</f>
        <v/>
      </c>
      <c r="P1127" s="9" t="str" cm="1">
        <f t="array" aca="1" ref="P1127" ca="1">IF(INDIRECT(M1127) = "","",INDIRECT(M1127))</f>
        <v/>
      </c>
      <c r="Q1127" s="359" t="s">
        <v>4381</v>
      </c>
    </row>
    <row r="1128" spans="1:17" x14ac:dyDescent="0.35">
      <c r="A1128" s="694" t="s">
        <v>4262</v>
      </c>
      <c r="E1128" t="str">
        <f>_xlfn.XLOOKUP(F1128,'Raw Data'!$I$4:$I$5000,'Raw Data'!$D$4:$D$5000,"*** Mnemonic not found ***",0)</f>
        <v>*** Mnemonic not found ***</v>
      </c>
      <c r="F1128" t="str">
        <f t="shared" si="273"/>
        <v>SUCMRUR4SFJERG9_5TO10__</v>
      </c>
      <c r="H1128" s="9" t="s">
        <v>1137</v>
      </c>
      <c r="K1128" s="9">
        <f t="shared" si="277"/>
        <v>304</v>
      </c>
      <c r="L1128" s="9" t="str">
        <f t="shared" si="278"/>
        <v>K</v>
      </c>
      <c r="M1128" s="9" t="str">
        <f t="shared" si="274"/>
        <v>Input!K304</v>
      </c>
      <c r="N1128" s="9">
        <f>_xlfn.XLOOKUP(F1128,'Raw Data'!$I$4:$I$5000,'Raw Data'!$E$4:$E$5000,100,0)</f>
        <v>100</v>
      </c>
      <c r="O1128" s="9" t="str">
        <f>IF(N1128=0,_xlfn.XLOOKUP(F1128,'Raw Data'!$I$4:$I$5000,'Raw Data'!$H$4:$H$5000,"",0),"")</f>
        <v/>
      </c>
      <c r="P1128" s="9" t="str" cm="1">
        <f t="array" aca="1" ref="P1128" ca="1">IF(INDIRECT(M1128) = "","",INDIRECT(M1128))</f>
        <v/>
      </c>
      <c r="Q1128" s="359" t="s">
        <v>4381</v>
      </c>
    </row>
    <row r="1129" spans="1:17" x14ac:dyDescent="0.35">
      <c r="A1129" s="694" t="s">
        <v>4263</v>
      </c>
      <c r="E1129" t="str">
        <f>_xlfn.XLOOKUP(F1129,'Raw Data'!$I$4:$I$5000,'Raw Data'!$D$4:$D$5000,"*** Mnemonic not found ***",0)</f>
        <v>*** Mnemonic not found ***</v>
      </c>
      <c r="F1129" t="str">
        <f t="shared" si="273"/>
        <v>SUCMRUR4SFJERG10_5TO10__</v>
      </c>
      <c r="H1129" s="9" t="s">
        <v>1137</v>
      </c>
      <c r="K1129" s="9">
        <f t="shared" si="277"/>
        <v>304</v>
      </c>
      <c r="L1129" s="9" t="str">
        <f t="shared" si="278"/>
        <v>L</v>
      </c>
      <c r="M1129" s="9" t="str">
        <f t="shared" si="274"/>
        <v>Input!L304</v>
      </c>
      <c r="N1129" s="9">
        <f>_xlfn.XLOOKUP(F1129,'Raw Data'!$I$4:$I$5000,'Raw Data'!$E$4:$E$5000,100,0)</f>
        <v>100</v>
      </c>
      <c r="O1129" s="9" t="str">
        <f>IF(N1129=0,_xlfn.XLOOKUP(F1129,'Raw Data'!$I$4:$I$5000,'Raw Data'!$H$4:$H$5000,"",0),"")</f>
        <v/>
      </c>
      <c r="P1129" s="9" t="str" cm="1">
        <f t="array" aca="1" ref="P1129" ca="1">IF(INDIRECT(M1129) = "","",INDIRECT(M1129))</f>
        <v/>
      </c>
      <c r="Q1129" s="359" t="s">
        <v>4381</v>
      </c>
    </row>
    <row r="1130" spans="1:17" x14ac:dyDescent="0.35">
      <c r="A1130" s="694" t="s">
        <v>4264</v>
      </c>
      <c r="E1130" t="str">
        <f>_xlfn.XLOOKUP(F1130,'Raw Data'!$I$4:$I$5000,'Raw Data'!$D$4:$D$5000,"*** Mnemonic not found ***",0)</f>
        <v>*** Mnemonic not found ***</v>
      </c>
      <c r="F1130" t="str">
        <f t="shared" si="273"/>
        <v>SUCMRUR4SFJERGNA_5TO10__</v>
      </c>
      <c r="H1130" s="9" t="s">
        <v>1137</v>
      </c>
      <c r="K1130" s="9">
        <f t="shared" si="277"/>
        <v>304</v>
      </c>
      <c r="L1130" s="9" t="str">
        <f t="shared" si="278"/>
        <v>M</v>
      </c>
      <c r="M1130" s="9" t="str">
        <f t="shared" si="274"/>
        <v>Input!M304</v>
      </c>
      <c r="N1130" s="9">
        <f>_xlfn.XLOOKUP(F1130,'Raw Data'!$I$4:$I$5000,'Raw Data'!$E$4:$E$5000,100,0)</f>
        <v>100</v>
      </c>
      <c r="O1130" s="9" t="str">
        <f>IF(N1130=0,_xlfn.XLOOKUP(F1130,'Raw Data'!$I$4:$I$5000,'Raw Data'!$H$4:$H$5000,"",0),"")</f>
        <v/>
      </c>
      <c r="P1130" s="9" t="str" cm="1">
        <f t="array" aca="1" ref="P1130" ca="1">IF(INDIRECT(M1130) = "","",INDIRECT(M1130))</f>
        <v/>
      </c>
      <c r="Q1130" s="359" t="s">
        <v>4381</v>
      </c>
    </row>
    <row r="1131" spans="1:17" x14ac:dyDescent="0.35">
      <c r="A1131" s="694" t="s">
        <v>4265</v>
      </c>
      <c r="E1131" t="str">
        <f>_xlfn.XLOOKUP(F1131,'Raw Data'!$I$4:$I$5000,'Raw Data'!$D$4:$D$5000,"*** Mnemonic not found ***",0)</f>
        <v>*** Mnemonic not found ***</v>
      </c>
      <c r="F1131" t="str">
        <f t="shared" si="273"/>
        <v>SUCMRUR4SFJERG1_10TO20__</v>
      </c>
      <c r="H1131" s="9" t="s">
        <v>1137</v>
      </c>
      <c r="K1131" s="9">
        <f t="shared" si="277"/>
        <v>305</v>
      </c>
      <c r="L1131" s="9" t="str">
        <f t="shared" si="278"/>
        <v>C</v>
      </c>
      <c r="M1131" s="9" t="str">
        <f t="shared" si="274"/>
        <v>Input!C305</v>
      </c>
      <c r="N1131" s="9">
        <f>_xlfn.XLOOKUP(F1131,'Raw Data'!$I$4:$I$5000,'Raw Data'!$E$4:$E$5000,100,0)</f>
        <v>100</v>
      </c>
      <c r="O1131" s="9" t="str">
        <f>IF(N1131=0,_xlfn.XLOOKUP(F1131,'Raw Data'!$I$4:$I$5000,'Raw Data'!$H$4:$H$5000,"",0),"")</f>
        <v/>
      </c>
      <c r="P1131" s="9" t="str" cm="1">
        <f t="array" aca="1" ref="P1131" ca="1">IF(INDIRECT(M1131) = "","",INDIRECT(M1131))</f>
        <v/>
      </c>
      <c r="Q1131" s="359" t="s">
        <v>4381</v>
      </c>
    </row>
    <row r="1132" spans="1:17" x14ac:dyDescent="0.35">
      <c r="A1132" s="694" t="s">
        <v>4266</v>
      </c>
      <c r="E1132" t="str">
        <f>_xlfn.XLOOKUP(F1132,'Raw Data'!$I$4:$I$5000,'Raw Data'!$D$4:$D$5000,"*** Mnemonic not found ***",0)</f>
        <v>*** Mnemonic not found ***</v>
      </c>
      <c r="F1132" t="str">
        <f t="shared" si="273"/>
        <v>SUCMRUR4SFJERG2_10TO20__</v>
      </c>
      <c r="H1132" s="9" t="s">
        <v>1137</v>
      </c>
      <c r="K1132" s="9">
        <f t="shared" si="277"/>
        <v>305</v>
      </c>
      <c r="L1132" s="9" t="str">
        <f t="shared" si="278"/>
        <v>D</v>
      </c>
      <c r="M1132" s="9" t="str">
        <f t="shared" si="274"/>
        <v>Input!D305</v>
      </c>
      <c r="N1132" s="9">
        <f>_xlfn.XLOOKUP(F1132,'Raw Data'!$I$4:$I$5000,'Raw Data'!$E$4:$E$5000,100,0)</f>
        <v>100</v>
      </c>
      <c r="O1132" s="9" t="str">
        <f>IF(N1132=0,_xlfn.XLOOKUP(F1132,'Raw Data'!$I$4:$I$5000,'Raw Data'!$H$4:$H$5000,"",0),"")</f>
        <v/>
      </c>
      <c r="P1132" s="9" t="str" cm="1">
        <f t="array" aca="1" ref="P1132" ca="1">IF(INDIRECT(M1132) = "","",INDIRECT(M1132))</f>
        <v/>
      </c>
      <c r="Q1132" s="359" t="s">
        <v>4381</v>
      </c>
    </row>
    <row r="1133" spans="1:17" x14ac:dyDescent="0.35">
      <c r="A1133" s="694" t="s">
        <v>4267</v>
      </c>
      <c r="E1133" t="str">
        <f>_xlfn.XLOOKUP(F1133,'Raw Data'!$I$4:$I$5000,'Raw Data'!$D$4:$D$5000,"*** Mnemonic not found ***",0)</f>
        <v>*** Mnemonic not found ***</v>
      </c>
      <c r="F1133" t="str">
        <f t="shared" si="273"/>
        <v>SUCMRUR4SFJERG3_10TO20__</v>
      </c>
      <c r="H1133" s="9" t="s">
        <v>1137</v>
      </c>
      <c r="K1133" s="9">
        <f t="shared" si="277"/>
        <v>305</v>
      </c>
      <c r="L1133" s="9" t="str">
        <f t="shared" si="278"/>
        <v>E</v>
      </c>
      <c r="M1133" s="9" t="str">
        <f t="shared" si="274"/>
        <v>Input!E305</v>
      </c>
      <c r="N1133" s="9">
        <f>_xlfn.XLOOKUP(F1133,'Raw Data'!$I$4:$I$5000,'Raw Data'!$E$4:$E$5000,100,0)</f>
        <v>100</v>
      </c>
      <c r="O1133" s="9" t="str">
        <f>IF(N1133=0,_xlfn.XLOOKUP(F1133,'Raw Data'!$I$4:$I$5000,'Raw Data'!$H$4:$H$5000,"",0),"")</f>
        <v/>
      </c>
      <c r="P1133" s="9" t="str" cm="1">
        <f t="array" aca="1" ref="P1133" ca="1">IF(INDIRECT(M1133) = "","",INDIRECT(M1133))</f>
        <v/>
      </c>
      <c r="Q1133" s="359" t="s">
        <v>4381</v>
      </c>
    </row>
    <row r="1134" spans="1:17" x14ac:dyDescent="0.35">
      <c r="A1134" s="694" t="s">
        <v>4268</v>
      </c>
      <c r="E1134" t="str">
        <f>_xlfn.XLOOKUP(F1134,'Raw Data'!$I$4:$I$5000,'Raw Data'!$D$4:$D$5000,"*** Mnemonic not found ***",0)</f>
        <v>*** Mnemonic not found ***</v>
      </c>
      <c r="F1134" t="str">
        <f t="shared" si="273"/>
        <v>SUCMRUR4SFJERG4_10TO20__</v>
      </c>
      <c r="H1134" s="9" t="s">
        <v>1137</v>
      </c>
      <c r="K1134" s="9">
        <f t="shared" si="277"/>
        <v>305</v>
      </c>
      <c r="L1134" s="9" t="str">
        <f t="shared" si="278"/>
        <v>F</v>
      </c>
      <c r="M1134" s="9" t="str">
        <f t="shared" si="274"/>
        <v>Input!F305</v>
      </c>
      <c r="N1134" s="9">
        <f>_xlfn.XLOOKUP(F1134,'Raw Data'!$I$4:$I$5000,'Raw Data'!$E$4:$E$5000,100,0)</f>
        <v>100</v>
      </c>
      <c r="O1134" s="9" t="str">
        <f>IF(N1134=0,_xlfn.XLOOKUP(F1134,'Raw Data'!$I$4:$I$5000,'Raw Data'!$H$4:$H$5000,"",0),"")</f>
        <v/>
      </c>
      <c r="P1134" s="9" t="str" cm="1">
        <f t="array" aca="1" ref="P1134" ca="1">IF(INDIRECT(M1134) = "","",INDIRECT(M1134))</f>
        <v/>
      </c>
      <c r="Q1134" s="359" t="s">
        <v>4381</v>
      </c>
    </row>
    <row r="1135" spans="1:17" x14ac:dyDescent="0.35">
      <c r="A1135" s="694" t="s">
        <v>4269</v>
      </c>
      <c r="E1135" t="str">
        <f>_xlfn.XLOOKUP(F1135,'Raw Data'!$I$4:$I$5000,'Raw Data'!$D$4:$D$5000,"*** Mnemonic not found ***",0)</f>
        <v>*** Mnemonic not found ***</v>
      </c>
      <c r="F1135" t="str">
        <f t="shared" si="273"/>
        <v>SUCMRUR4SFJERG5_10TO20__</v>
      </c>
      <c r="H1135" s="9" t="s">
        <v>1137</v>
      </c>
      <c r="K1135" s="9">
        <f t="shared" si="277"/>
        <v>305</v>
      </c>
      <c r="L1135" s="9" t="str">
        <f t="shared" si="278"/>
        <v>G</v>
      </c>
      <c r="M1135" s="9" t="str">
        <f t="shared" si="274"/>
        <v>Input!G305</v>
      </c>
      <c r="N1135" s="9">
        <f>_xlfn.XLOOKUP(F1135,'Raw Data'!$I$4:$I$5000,'Raw Data'!$E$4:$E$5000,100,0)</f>
        <v>100</v>
      </c>
      <c r="O1135" s="9" t="str">
        <f>IF(N1135=0,_xlfn.XLOOKUP(F1135,'Raw Data'!$I$4:$I$5000,'Raw Data'!$H$4:$H$5000,"",0),"")</f>
        <v/>
      </c>
      <c r="P1135" s="9" t="str" cm="1">
        <f t="array" aca="1" ref="P1135" ca="1">IF(INDIRECT(M1135) = "","",INDIRECT(M1135))</f>
        <v/>
      </c>
      <c r="Q1135" s="359" t="s">
        <v>4381</v>
      </c>
    </row>
    <row r="1136" spans="1:17" x14ac:dyDescent="0.35">
      <c r="A1136" s="694" t="s">
        <v>4270</v>
      </c>
      <c r="E1136" t="str">
        <f>_xlfn.XLOOKUP(F1136,'Raw Data'!$I$4:$I$5000,'Raw Data'!$D$4:$D$5000,"*** Mnemonic not found ***",0)</f>
        <v>*** Mnemonic not found ***</v>
      </c>
      <c r="F1136" t="str">
        <f t="shared" si="273"/>
        <v>SUCMRUR4SFJERG6_10TO20__</v>
      </c>
      <c r="H1136" s="9" t="s">
        <v>1137</v>
      </c>
      <c r="K1136" s="9">
        <f t="shared" si="277"/>
        <v>305</v>
      </c>
      <c r="L1136" s="9" t="str">
        <f t="shared" si="278"/>
        <v>H</v>
      </c>
      <c r="M1136" s="9" t="str">
        <f t="shared" si="274"/>
        <v>Input!H305</v>
      </c>
      <c r="N1136" s="9">
        <f>_xlfn.XLOOKUP(F1136,'Raw Data'!$I$4:$I$5000,'Raw Data'!$E$4:$E$5000,100,0)</f>
        <v>100</v>
      </c>
      <c r="O1136" s="9" t="str">
        <f>IF(N1136=0,_xlfn.XLOOKUP(F1136,'Raw Data'!$I$4:$I$5000,'Raw Data'!$H$4:$H$5000,"",0),"")</f>
        <v/>
      </c>
      <c r="P1136" s="9" t="str" cm="1">
        <f t="array" aca="1" ref="P1136" ca="1">IF(INDIRECT(M1136) = "","",INDIRECT(M1136))</f>
        <v/>
      </c>
      <c r="Q1136" s="359" t="s">
        <v>4381</v>
      </c>
    </row>
    <row r="1137" spans="1:17" x14ac:dyDescent="0.35">
      <c r="A1137" s="694" t="s">
        <v>4271</v>
      </c>
      <c r="E1137" t="str">
        <f>_xlfn.XLOOKUP(F1137,'Raw Data'!$I$4:$I$5000,'Raw Data'!$D$4:$D$5000,"*** Mnemonic not found ***",0)</f>
        <v>*** Mnemonic not found ***</v>
      </c>
      <c r="F1137" t="str">
        <f t="shared" si="273"/>
        <v>SUCMRUR4SFJERG7_10TO20__</v>
      </c>
      <c r="H1137" s="9" t="s">
        <v>1137</v>
      </c>
      <c r="K1137" s="9">
        <f t="shared" si="277"/>
        <v>305</v>
      </c>
      <c r="L1137" s="9" t="str">
        <f t="shared" si="278"/>
        <v>I</v>
      </c>
      <c r="M1137" s="9" t="str">
        <f t="shared" si="274"/>
        <v>Input!I305</v>
      </c>
      <c r="N1137" s="9">
        <f>_xlfn.XLOOKUP(F1137,'Raw Data'!$I$4:$I$5000,'Raw Data'!$E$4:$E$5000,100,0)</f>
        <v>100</v>
      </c>
      <c r="O1137" s="9" t="str">
        <f>IF(N1137=0,_xlfn.XLOOKUP(F1137,'Raw Data'!$I$4:$I$5000,'Raw Data'!$H$4:$H$5000,"",0),"")</f>
        <v/>
      </c>
      <c r="P1137" s="9" t="str" cm="1">
        <f t="array" aca="1" ref="P1137" ca="1">IF(INDIRECT(M1137) = "","",INDIRECT(M1137))</f>
        <v/>
      </c>
      <c r="Q1137" s="359" t="s">
        <v>4381</v>
      </c>
    </row>
    <row r="1138" spans="1:17" x14ac:dyDescent="0.35">
      <c r="A1138" s="694" t="s">
        <v>4272</v>
      </c>
      <c r="E1138" t="str">
        <f>_xlfn.XLOOKUP(F1138,'Raw Data'!$I$4:$I$5000,'Raw Data'!$D$4:$D$5000,"*** Mnemonic not found ***",0)</f>
        <v>*** Mnemonic not found ***</v>
      </c>
      <c r="F1138" t="str">
        <f t="shared" si="273"/>
        <v>SUCMRUR4SFJERG8_10TO20__</v>
      </c>
      <c r="H1138" s="9" t="s">
        <v>1137</v>
      </c>
      <c r="K1138" s="9">
        <f t="shared" si="277"/>
        <v>305</v>
      </c>
      <c r="L1138" s="9" t="str">
        <f t="shared" si="278"/>
        <v>J</v>
      </c>
      <c r="M1138" s="9" t="str">
        <f t="shared" si="274"/>
        <v>Input!J305</v>
      </c>
      <c r="N1138" s="9">
        <f>_xlfn.XLOOKUP(F1138,'Raw Data'!$I$4:$I$5000,'Raw Data'!$E$4:$E$5000,100,0)</f>
        <v>100</v>
      </c>
      <c r="O1138" s="9" t="str">
        <f>IF(N1138=0,_xlfn.XLOOKUP(F1138,'Raw Data'!$I$4:$I$5000,'Raw Data'!$H$4:$H$5000,"",0),"")</f>
        <v/>
      </c>
      <c r="P1138" s="9" t="str" cm="1">
        <f t="array" aca="1" ref="P1138" ca="1">IF(INDIRECT(M1138) = "","",INDIRECT(M1138))</f>
        <v/>
      </c>
      <c r="Q1138" s="359" t="s">
        <v>4381</v>
      </c>
    </row>
    <row r="1139" spans="1:17" x14ac:dyDescent="0.35">
      <c r="A1139" s="694" t="s">
        <v>4273</v>
      </c>
      <c r="E1139" t="str">
        <f>_xlfn.XLOOKUP(F1139,'Raw Data'!$I$4:$I$5000,'Raw Data'!$D$4:$D$5000,"*** Mnemonic not found ***",0)</f>
        <v>*** Mnemonic not found ***</v>
      </c>
      <c r="F1139" t="str">
        <f t="shared" si="273"/>
        <v>SUCMRUR4SFJERG9_10TO20__</v>
      </c>
      <c r="H1139" s="9" t="s">
        <v>1137</v>
      </c>
      <c r="K1139" s="9">
        <f t="shared" si="277"/>
        <v>305</v>
      </c>
      <c r="L1139" s="9" t="str">
        <f t="shared" si="278"/>
        <v>K</v>
      </c>
      <c r="M1139" s="9" t="str">
        <f t="shared" si="274"/>
        <v>Input!K305</v>
      </c>
      <c r="N1139" s="9">
        <f>_xlfn.XLOOKUP(F1139,'Raw Data'!$I$4:$I$5000,'Raw Data'!$E$4:$E$5000,100,0)</f>
        <v>100</v>
      </c>
      <c r="O1139" s="9" t="str">
        <f>IF(N1139=0,_xlfn.XLOOKUP(F1139,'Raw Data'!$I$4:$I$5000,'Raw Data'!$H$4:$H$5000,"",0),"")</f>
        <v/>
      </c>
      <c r="P1139" s="9" t="str" cm="1">
        <f t="array" aca="1" ref="P1139" ca="1">IF(INDIRECT(M1139) = "","",INDIRECT(M1139))</f>
        <v/>
      </c>
      <c r="Q1139" s="359" t="s">
        <v>4381</v>
      </c>
    </row>
    <row r="1140" spans="1:17" x14ac:dyDescent="0.35">
      <c r="A1140" s="694" t="s">
        <v>4274</v>
      </c>
      <c r="E1140" t="str">
        <f>_xlfn.XLOOKUP(F1140,'Raw Data'!$I$4:$I$5000,'Raw Data'!$D$4:$D$5000,"*** Mnemonic not found ***",0)</f>
        <v>*** Mnemonic not found ***</v>
      </c>
      <c r="F1140" t="str">
        <f t="shared" si="273"/>
        <v>SUCMRUR4SFJERG10_10TO20__</v>
      </c>
      <c r="H1140" s="9" t="s">
        <v>1137</v>
      </c>
      <c r="K1140" s="9">
        <f t="shared" si="277"/>
        <v>305</v>
      </c>
      <c r="L1140" s="9" t="str">
        <f t="shared" si="278"/>
        <v>L</v>
      </c>
      <c r="M1140" s="9" t="str">
        <f t="shared" si="274"/>
        <v>Input!L305</v>
      </c>
      <c r="N1140" s="9">
        <f>_xlfn.XLOOKUP(F1140,'Raw Data'!$I$4:$I$5000,'Raw Data'!$E$4:$E$5000,100,0)</f>
        <v>100</v>
      </c>
      <c r="O1140" s="9" t="str">
        <f>IF(N1140=0,_xlfn.XLOOKUP(F1140,'Raw Data'!$I$4:$I$5000,'Raw Data'!$H$4:$H$5000,"",0),"")</f>
        <v/>
      </c>
      <c r="P1140" s="9" t="str" cm="1">
        <f t="array" aca="1" ref="P1140" ca="1">IF(INDIRECT(M1140) = "","",INDIRECT(M1140))</f>
        <v/>
      </c>
      <c r="Q1140" s="359" t="s">
        <v>4381</v>
      </c>
    </row>
    <row r="1141" spans="1:17" x14ac:dyDescent="0.35">
      <c r="A1141" s="694" t="s">
        <v>4275</v>
      </c>
      <c r="E1141" t="str">
        <f>_xlfn.XLOOKUP(F1141,'Raw Data'!$I$4:$I$5000,'Raw Data'!$D$4:$D$5000,"*** Mnemonic not found ***",0)</f>
        <v>*** Mnemonic not found ***</v>
      </c>
      <c r="F1141" t="str">
        <f t="shared" si="273"/>
        <v>SUCMRUR4SFJERGNA_10TO20__</v>
      </c>
      <c r="H1141" s="9" t="s">
        <v>1137</v>
      </c>
      <c r="K1141" s="9">
        <f t="shared" si="277"/>
        <v>305</v>
      </c>
      <c r="L1141" s="9" t="str">
        <f t="shared" si="278"/>
        <v>M</v>
      </c>
      <c r="M1141" s="9" t="str">
        <f t="shared" si="274"/>
        <v>Input!M305</v>
      </c>
      <c r="N1141" s="9">
        <f>_xlfn.XLOOKUP(F1141,'Raw Data'!$I$4:$I$5000,'Raw Data'!$E$4:$E$5000,100,0)</f>
        <v>100</v>
      </c>
      <c r="O1141" s="9" t="str">
        <f>IF(N1141=0,_xlfn.XLOOKUP(F1141,'Raw Data'!$I$4:$I$5000,'Raw Data'!$H$4:$H$5000,"",0),"")</f>
        <v/>
      </c>
      <c r="P1141" s="9" t="str" cm="1">
        <f t="array" aca="1" ref="P1141" ca="1">IF(INDIRECT(M1141) = "","",INDIRECT(M1141))</f>
        <v/>
      </c>
      <c r="Q1141" s="359" t="s">
        <v>4381</v>
      </c>
    </row>
    <row r="1142" spans="1:17" x14ac:dyDescent="0.35">
      <c r="A1142" s="694" t="s">
        <v>4276</v>
      </c>
      <c r="E1142" t="str">
        <f>_xlfn.XLOOKUP(F1142,'Raw Data'!$I$4:$I$5000,'Raw Data'!$D$4:$D$5000,"*** Mnemonic not found ***",0)</f>
        <v>*** Mnemonic not found ***</v>
      </c>
      <c r="F1142" t="str">
        <f t="shared" si="273"/>
        <v>SUCMRUR4SFJERG1_GRTR20__</v>
      </c>
      <c r="H1142" s="9" t="s">
        <v>1137</v>
      </c>
      <c r="K1142" s="9">
        <f t="shared" si="277"/>
        <v>306</v>
      </c>
      <c r="L1142" s="9" t="str">
        <f t="shared" si="278"/>
        <v>C</v>
      </c>
      <c r="M1142" s="9" t="str">
        <f t="shared" si="274"/>
        <v>Input!C306</v>
      </c>
      <c r="N1142" s="9">
        <f>_xlfn.XLOOKUP(F1142,'Raw Data'!$I$4:$I$5000,'Raw Data'!$E$4:$E$5000,100,0)</f>
        <v>100</v>
      </c>
      <c r="O1142" s="9" t="str">
        <f>IF(N1142=0,_xlfn.XLOOKUP(F1142,'Raw Data'!$I$4:$I$5000,'Raw Data'!$H$4:$H$5000,"",0),"")</f>
        <v/>
      </c>
      <c r="P1142" s="9" t="str" cm="1">
        <f t="array" aca="1" ref="P1142" ca="1">IF(INDIRECT(M1142) = "","",INDIRECT(M1142))</f>
        <v/>
      </c>
      <c r="Q1142" s="359" t="s">
        <v>4381</v>
      </c>
    </row>
    <row r="1143" spans="1:17" x14ac:dyDescent="0.35">
      <c r="A1143" s="694" t="s">
        <v>4277</v>
      </c>
      <c r="E1143" t="str">
        <f>_xlfn.XLOOKUP(F1143,'Raw Data'!$I$4:$I$5000,'Raw Data'!$D$4:$D$5000,"*** Mnemonic not found ***",0)</f>
        <v>*** Mnemonic not found ***</v>
      </c>
      <c r="F1143" t="str">
        <f t="shared" si="273"/>
        <v>SUCMRUR4SFJERG2_GRTR20__</v>
      </c>
      <c r="H1143" s="9" t="s">
        <v>1137</v>
      </c>
      <c r="K1143" s="9">
        <f t="shared" si="277"/>
        <v>306</v>
      </c>
      <c r="L1143" s="9" t="str">
        <f t="shared" si="278"/>
        <v>D</v>
      </c>
      <c r="M1143" s="9" t="str">
        <f t="shared" si="274"/>
        <v>Input!D306</v>
      </c>
      <c r="N1143" s="9">
        <f>_xlfn.XLOOKUP(F1143,'Raw Data'!$I$4:$I$5000,'Raw Data'!$E$4:$E$5000,100,0)</f>
        <v>100</v>
      </c>
      <c r="O1143" s="9" t="str">
        <f>IF(N1143=0,_xlfn.XLOOKUP(F1143,'Raw Data'!$I$4:$I$5000,'Raw Data'!$H$4:$H$5000,"",0),"")</f>
        <v/>
      </c>
      <c r="P1143" s="9" t="str" cm="1">
        <f t="array" aca="1" ref="P1143" ca="1">IF(INDIRECT(M1143) = "","",INDIRECT(M1143))</f>
        <v/>
      </c>
      <c r="Q1143" s="359" t="s">
        <v>4381</v>
      </c>
    </row>
    <row r="1144" spans="1:17" x14ac:dyDescent="0.35">
      <c r="A1144" s="694" t="s">
        <v>4278</v>
      </c>
      <c r="E1144" t="str">
        <f>_xlfn.XLOOKUP(F1144,'Raw Data'!$I$4:$I$5000,'Raw Data'!$D$4:$D$5000,"*** Mnemonic not found ***",0)</f>
        <v>*** Mnemonic not found ***</v>
      </c>
      <c r="F1144" t="str">
        <f t="shared" si="273"/>
        <v>SUCMRUR4SFJERG3_GRTR20__</v>
      </c>
      <c r="H1144" s="9" t="s">
        <v>1137</v>
      </c>
      <c r="K1144" s="9">
        <f t="shared" si="277"/>
        <v>306</v>
      </c>
      <c r="L1144" s="9" t="str">
        <f t="shared" si="278"/>
        <v>E</v>
      </c>
      <c r="M1144" s="9" t="str">
        <f t="shared" si="274"/>
        <v>Input!E306</v>
      </c>
      <c r="N1144" s="9">
        <f>_xlfn.XLOOKUP(F1144,'Raw Data'!$I$4:$I$5000,'Raw Data'!$E$4:$E$5000,100,0)</f>
        <v>100</v>
      </c>
      <c r="O1144" s="9" t="str">
        <f>IF(N1144=0,_xlfn.XLOOKUP(F1144,'Raw Data'!$I$4:$I$5000,'Raw Data'!$H$4:$H$5000,"",0),"")</f>
        <v/>
      </c>
      <c r="P1144" s="9" t="str" cm="1">
        <f t="array" aca="1" ref="P1144" ca="1">IF(INDIRECT(M1144) = "","",INDIRECT(M1144))</f>
        <v/>
      </c>
      <c r="Q1144" s="359" t="s">
        <v>4381</v>
      </c>
    </row>
    <row r="1145" spans="1:17" x14ac:dyDescent="0.35">
      <c r="A1145" s="694" t="s">
        <v>4279</v>
      </c>
      <c r="E1145" t="str">
        <f>_xlfn.XLOOKUP(F1145,'Raw Data'!$I$4:$I$5000,'Raw Data'!$D$4:$D$5000,"*** Mnemonic not found ***",0)</f>
        <v>*** Mnemonic not found ***</v>
      </c>
      <c r="F1145" t="str">
        <f t="shared" si="273"/>
        <v>SUCMRUR4SFJERG4_GRTR20__</v>
      </c>
      <c r="H1145" s="9" t="s">
        <v>1137</v>
      </c>
      <c r="K1145" s="9">
        <f t="shared" si="277"/>
        <v>306</v>
      </c>
      <c r="L1145" s="9" t="str">
        <f t="shared" si="278"/>
        <v>F</v>
      </c>
      <c r="M1145" s="9" t="str">
        <f t="shared" si="274"/>
        <v>Input!F306</v>
      </c>
      <c r="N1145" s="9">
        <f>_xlfn.XLOOKUP(F1145,'Raw Data'!$I$4:$I$5000,'Raw Data'!$E$4:$E$5000,100,0)</f>
        <v>100</v>
      </c>
      <c r="O1145" s="9" t="str">
        <f>IF(N1145=0,_xlfn.XLOOKUP(F1145,'Raw Data'!$I$4:$I$5000,'Raw Data'!$H$4:$H$5000,"",0),"")</f>
        <v/>
      </c>
      <c r="P1145" s="9" t="str" cm="1">
        <f t="array" aca="1" ref="P1145" ca="1">IF(INDIRECT(M1145) = "","",INDIRECT(M1145))</f>
        <v/>
      </c>
      <c r="Q1145" s="359" t="s">
        <v>4381</v>
      </c>
    </row>
    <row r="1146" spans="1:17" x14ac:dyDescent="0.35">
      <c r="A1146" s="694" t="s">
        <v>4280</v>
      </c>
      <c r="E1146" t="str">
        <f>_xlfn.XLOOKUP(F1146,'Raw Data'!$I$4:$I$5000,'Raw Data'!$D$4:$D$5000,"*** Mnemonic not found ***",0)</f>
        <v>*** Mnemonic not found ***</v>
      </c>
      <c r="F1146" t="str">
        <f t="shared" si="273"/>
        <v>SUCMRUR4SFJERG5_GRTR20__</v>
      </c>
      <c r="H1146" s="9" t="s">
        <v>1137</v>
      </c>
      <c r="K1146" s="9">
        <f t="shared" si="277"/>
        <v>306</v>
      </c>
      <c r="L1146" s="9" t="str">
        <f t="shared" si="278"/>
        <v>G</v>
      </c>
      <c r="M1146" s="9" t="str">
        <f t="shared" si="274"/>
        <v>Input!G306</v>
      </c>
      <c r="N1146" s="9">
        <f>_xlfn.XLOOKUP(F1146,'Raw Data'!$I$4:$I$5000,'Raw Data'!$E$4:$E$5000,100,0)</f>
        <v>100</v>
      </c>
      <c r="O1146" s="9" t="str">
        <f>IF(N1146=0,_xlfn.XLOOKUP(F1146,'Raw Data'!$I$4:$I$5000,'Raw Data'!$H$4:$H$5000,"",0),"")</f>
        <v/>
      </c>
      <c r="P1146" s="9" t="str" cm="1">
        <f t="array" aca="1" ref="P1146" ca="1">IF(INDIRECT(M1146) = "","",INDIRECT(M1146))</f>
        <v/>
      </c>
      <c r="Q1146" s="359" t="s">
        <v>4381</v>
      </c>
    </row>
    <row r="1147" spans="1:17" x14ac:dyDescent="0.35">
      <c r="A1147" s="694" t="s">
        <v>4281</v>
      </c>
      <c r="E1147" t="str">
        <f>_xlfn.XLOOKUP(F1147,'Raw Data'!$I$4:$I$5000,'Raw Data'!$D$4:$D$5000,"*** Mnemonic not found ***",0)</f>
        <v>*** Mnemonic not found ***</v>
      </c>
      <c r="F1147" t="str">
        <f t="shared" si="273"/>
        <v>SUCMRUR4SFJERG6_GRTR20__</v>
      </c>
      <c r="H1147" s="9" t="s">
        <v>1137</v>
      </c>
      <c r="K1147" s="9">
        <f t="shared" si="277"/>
        <v>306</v>
      </c>
      <c r="L1147" s="9" t="str">
        <f t="shared" si="278"/>
        <v>H</v>
      </c>
      <c r="M1147" s="9" t="str">
        <f t="shared" si="274"/>
        <v>Input!H306</v>
      </c>
      <c r="N1147" s="9">
        <f>_xlfn.XLOOKUP(F1147,'Raw Data'!$I$4:$I$5000,'Raw Data'!$E$4:$E$5000,100,0)</f>
        <v>100</v>
      </c>
      <c r="O1147" s="9" t="str">
        <f>IF(N1147=0,_xlfn.XLOOKUP(F1147,'Raw Data'!$I$4:$I$5000,'Raw Data'!$H$4:$H$5000,"",0),"")</f>
        <v/>
      </c>
      <c r="P1147" s="9" t="str" cm="1">
        <f t="array" aca="1" ref="P1147" ca="1">IF(INDIRECT(M1147) = "","",INDIRECT(M1147))</f>
        <v/>
      </c>
      <c r="Q1147" s="359" t="s">
        <v>4381</v>
      </c>
    </row>
    <row r="1148" spans="1:17" x14ac:dyDescent="0.35">
      <c r="A1148" s="694" t="s">
        <v>4282</v>
      </c>
      <c r="E1148" t="str">
        <f>_xlfn.XLOOKUP(F1148,'Raw Data'!$I$4:$I$5000,'Raw Data'!$D$4:$D$5000,"*** Mnemonic not found ***",0)</f>
        <v>*** Mnemonic not found ***</v>
      </c>
      <c r="F1148" t="str">
        <f t="shared" si="273"/>
        <v>SUCMRUR4SFJERG7_GRTR20__</v>
      </c>
      <c r="H1148" s="9" t="s">
        <v>1137</v>
      </c>
      <c r="K1148" s="9">
        <f t="shared" si="277"/>
        <v>306</v>
      </c>
      <c r="L1148" s="9" t="str">
        <f t="shared" si="278"/>
        <v>I</v>
      </c>
      <c r="M1148" s="9" t="str">
        <f t="shared" si="274"/>
        <v>Input!I306</v>
      </c>
      <c r="N1148" s="9">
        <f>_xlfn.XLOOKUP(F1148,'Raw Data'!$I$4:$I$5000,'Raw Data'!$E$4:$E$5000,100,0)</f>
        <v>100</v>
      </c>
      <c r="O1148" s="9" t="str">
        <f>IF(N1148=0,_xlfn.XLOOKUP(F1148,'Raw Data'!$I$4:$I$5000,'Raw Data'!$H$4:$H$5000,"",0),"")</f>
        <v/>
      </c>
      <c r="P1148" s="9" t="str" cm="1">
        <f t="array" aca="1" ref="P1148" ca="1">IF(INDIRECT(M1148) = "","",INDIRECT(M1148))</f>
        <v/>
      </c>
      <c r="Q1148" s="359" t="s">
        <v>4381</v>
      </c>
    </row>
    <row r="1149" spans="1:17" x14ac:dyDescent="0.35">
      <c r="A1149" s="694" t="s">
        <v>4283</v>
      </c>
      <c r="E1149" t="str">
        <f>_xlfn.XLOOKUP(F1149,'Raw Data'!$I$4:$I$5000,'Raw Data'!$D$4:$D$5000,"*** Mnemonic not found ***",0)</f>
        <v>*** Mnemonic not found ***</v>
      </c>
      <c r="F1149" t="str">
        <f t="shared" si="273"/>
        <v>SUCMRUR4SFJERG8_GRTR20__</v>
      </c>
      <c r="H1149" s="9" t="s">
        <v>1137</v>
      </c>
      <c r="K1149" s="9">
        <f t="shared" si="277"/>
        <v>306</v>
      </c>
      <c r="L1149" s="9" t="str">
        <f t="shared" si="278"/>
        <v>J</v>
      </c>
      <c r="M1149" s="9" t="str">
        <f t="shared" si="274"/>
        <v>Input!J306</v>
      </c>
      <c r="N1149" s="9">
        <f>_xlfn.XLOOKUP(F1149,'Raw Data'!$I$4:$I$5000,'Raw Data'!$E$4:$E$5000,100,0)</f>
        <v>100</v>
      </c>
      <c r="O1149" s="9" t="str">
        <f>IF(N1149=0,_xlfn.XLOOKUP(F1149,'Raw Data'!$I$4:$I$5000,'Raw Data'!$H$4:$H$5000,"",0),"")</f>
        <v/>
      </c>
      <c r="P1149" s="9" t="str" cm="1">
        <f t="array" aca="1" ref="P1149" ca="1">IF(INDIRECT(M1149) = "","",INDIRECT(M1149))</f>
        <v/>
      </c>
      <c r="Q1149" s="359" t="s">
        <v>4381</v>
      </c>
    </row>
    <row r="1150" spans="1:17" x14ac:dyDescent="0.35">
      <c r="A1150" s="694" t="s">
        <v>4284</v>
      </c>
      <c r="E1150" t="str">
        <f>_xlfn.XLOOKUP(F1150,'Raw Data'!$I$4:$I$5000,'Raw Data'!$D$4:$D$5000,"*** Mnemonic not found ***",0)</f>
        <v>*** Mnemonic not found ***</v>
      </c>
      <c r="F1150" t="str">
        <f t="shared" si="273"/>
        <v>SUCMRUR4SFJERG9_GRTR20__</v>
      </c>
      <c r="H1150" s="9" t="s">
        <v>1137</v>
      </c>
      <c r="K1150" s="9">
        <f t="shared" si="277"/>
        <v>306</v>
      </c>
      <c r="L1150" s="9" t="str">
        <f t="shared" si="278"/>
        <v>K</v>
      </c>
      <c r="M1150" s="9" t="str">
        <f t="shared" si="274"/>
        <v>Input!K306</v>
      </c>
      <c r="N1150" s="9">
        <f>_xlfn.XLOOKUP(F1150,'Raw Data'!$I$4:$I$5000,'Raw Data'!$E$4:$E$5000,100,0)</f>
        <v>100</v>
      </c>
      <c r="O1150" s="9" t="str">
        <f>IF(N1150=0,_xlfn.XLOOKUP(F1150,'Raw Data'!$I$4:$I$5000,'Raw Data'!$H$4:$H$5000,"",0),"")</f>
        <v/>
      </c>
      <c r="P1150" s="9" t="str" cm="1">
        <f t="array" aca="1" ref="P1150" ca="1">IF(INDIRECT(M1150) = "","",INDIRECT(M1150))</f>
        <v/>
      </c>
      <c r="Q1150" s="359" t="s">
        <v>4381</v>
      </c>
    </row>
    <row r="1151" spans="1:17" x14ac:dyDescent="0.35">
      <c r="A1151" s="694" t="s">
        <v>4285</v>
      </c>
      <c r="E1151" t="str">
        <f>_xlfn.XLOOKUP(F1151,'Raw Data'!$I$4:$I$5000,'Raw Data'!$D$4:$D$5000,"*** Mnemonic not found ***",0)</f>
        <v>*** Mnemonic not found ***</v>
      </c>
      <c r="F1151" t="str">
        <f t="shared" si="273"/>
        <v>SUCMRUR4SFJERG10_GRTR20__</v>
      </c>
      <c r="H1151" s="9" t="s">
        <v>1137</v>
      </c>
      <c r="K1151" s="9">
        <f t="shared" si="277"/>
        <v>306</v>
      </c>
      <c r="L1151" s="9" t="str">
        <f t="shared" si="278"/>
        <v>L</v>
      </c>
      <c r="M1151" s="9" t="str">
        <f t="shared" si="274"/>
        <v>Input!L306</v>
      </c>
      <c r="N1151" s="9">
        <f>_xlfn.XLOOKUP(F1151,'Raw Data'!$I$4:$I$5000,'Raw Data'!$E$4:$E$5000,100,0)</f>
        <v>100</v>
      </c>
      <c r="O1151" s="9" t="str">
        <f>IF(N1151=0,_xlfn.XLOOKUP(F1151,'Raw Data'!$I$4:$I$5000,'Raw Data'!$H$4:$H$5000,"",0),"")</f>
        <v/>
      </c>
      <c r="P1151" s="9" t="str" cm="1">
        <f t="array" aca="1" ref="P1151" ca="1">IF(INDIRECT(M1151) = "","",INDIRECT(M1151))</f>
        <v/>
      </c>
      <c r="Q1151" s="359" t="s">
        <v>4381</v>
      </c>
    </row>
    <row r="1152" spans="1:17" x14ac:dyDescent="0.35">
      <c r="A1152" s="694" t="s">
        <v>4286</v>
      </c>
      <c r="E1152" t="str">
        <f>_xlfn.XLOOKUP(F1152,'Raw Data'!$I$4:$I$5000,'Raw Data'!$D$4:$D$5000,"*** Mnemonic not found ***",0)</f>
        <v>*** Mnemonic not found ***</v>
      </c>
      <c r="F1152" t="str">
        <f t="shared" si="273"/>
        <v>SUCMRUR4SFJERGNA_GRTR20__</v>
      </c>
      <c r="H1152" s="9" t="s">
        <v>1137</v>
      </c>
      <c r="K1152" s="9">
        <f t="shared" si="277"/>
        <v>306</v>
      </c>
      <c r="L1152" s="9" t="str">
        <f t="shared" si="278"/>
        <v>M</v>
      </c>
      <c r="M1152" s="9" t="str">
        <f t="shared" si="274"/>
        <v>Input!M306</v>
      </c>
      <c r="N1152" s="9">
        <f>_xlfn.XLOOKUP(F1152,'Raw Data'!$I$4:$I$5000,'Raw Data'!$E$4:$E$5000,100,0)</f>
        <v>100</v>
      </c>
      <c r="O1152" s="9" t="str">
        <f>IF(N1152=0,_xlfn.XLOOKUP(F1152,'Raw Data'!$I$4:$I$5000,'Raw Data'!$H$4:$H$5000,"",0),"")</f>
        <v/>
      </c>
      <c r="P1152" s="9" t="str" cm="1">
        <f t="array" aca="1" ref="P1152" ca="1">IF(INDIRECT(M1152) = "","",INDIRECT(M1152))</f>
        <v/>
      </c>
      <c r="Q1152" s="359" t="s">
        <v>4381</v>
      </c>
    </row>
    <row r="1153" spans="1:17" x14ac:dyDescent="0.35">
      <c r="A1153" t="s">
        <v>3740</v>
      </c>
      <c r="E1153" t="str">
        <f>_xlfn.XLOOKUP(F1153,'Raw Data'!$I$4:$I$5000,'Raw Data'!$D$4:$D$5000,"*** Mnemonic not found ***",0)</f>
        <v>*** Mnemonic not found ***</v>
      </c>
      <c r="F1153" t="str">
        <f t="shared" si="273"/>
        <v>ADJICMERGNFC1__</v>
      </c>
      <c r="G1153" t="s">
        <v>240</v>
      </c>
      <c r="H1153" s="9" t="s">
        <v>1137</v>
      </c>
      <c r="I1153" s="289" cm="1">
        <f t="array" ref="I1153">ROW(section_erg_to_rtg_map)</f>
        <v>309</v>
      </c>
      <c r="J1153" s="9">
        <v>5</v>
      </c>
      <c r="K1153" s="9">
        <f>I1153+J1153</f>
        <v>314</v>
      </c>
      <c r="L1153" s="9" t="s">
        <v>1121</v>
      </c>
      <c r="M1153" s="9" t="str">
        <f t="shared" si="262"/>
        <v>Input!C314</v>
      </c>
      <c r="N1153" s="9">
        <f>_xlfn.XLOOKUP(F1153,'Raw Data'!$I$4:$I$5000,'Raw Data'!$E$4:$E$5000,100,0)</f>
        <v>100</v>
      </c>
      <c r="O1153" s="9" t="str">
        <f>IF(N1153=0,_xlfn.XLOOKUP(F1153,'Raw Data'!$I$4:$I$5000,'Raw Data'!$H$4:$H$5000,"",0),"")</f>
        <v/>
      </c>
      <c r="P1153" s="9" cm="1">
        <f t="array" aca="1" ref="P1153" ca="1">IF(INDIRECT(M1153) = "","",INDIRECT(M1153))</f>
        <v>0</v>
      </c>
      <c r="Q1153" s="359" t="s">
        <v>4381</v>
      </c>
    </row>
    <row r="1154" spans="1:17" x14ac:dyDescent="0.35">
      <c r="A1154" t="s">
        <v>3741</v>
      </c>
      <c r="E1154" t="str">
        <f>_xlfn.XLOOKUP(F1154,'Raw Data'!$I$4:$I$5000,'Raw Data'!$D$4:$D$5000,"*** Mnemonic not found ***",0)</f>
        <v>*** Mnemonic not found ***</v>
      </c>
      <c r="F1154" t="str">
        <f t="shared" si="273"/>
        <v>ADJICMERGNFC2__</v>
      </c>
      <c r="H1154" s="9" t="s">
        <v>1137</v>
      </c>
      <c r="K1154" s="9">
        <f>K1153</f>
        <v>314</v>
      </c>
      <c r="L1154" s="9" t="s">
        <v>1123</v>
      </c>
      <c r="M1154" s="9" t="str">
        <f t="shared" si="262"/>
        <v>Input!D314</v>
      </c>
      <c r="N1154" s="9">
        <f>_xlfn.XLOOKUP(F1154,'Raw Data'!$I$4:$I$5000,'Raw Data'!$E$4:$E$5000,100,0)</f>
        <v>100</v>
      </c>
      <c r="O1154" s="9" t="str">
        <f>IF(N1154=0,_xlfn.XLOOKUP(F1154,'Raw Data'!$I$4:$I$5000,'Raw Data'!$H$4:$H$5000,"",0),"")</f>
        <v/>
      </c>
      <c r="P1154" s="9" cm="1">
        <f t="array" aca="1" ref="P1154" ca="1">IF(INDIRECT(M1154) = "","",INDIRECT(M1154))</f>
        <v>0</v>
      </c>
      <c r="Q1154" s="359" t="s">
        <v>4381</v>
      </c>
    </row>
    <row r="1155" spans="1:17" x14ac:dyDescent="0.35">
      <c r="A1155" t="s">
        <v>3742</v>
      </c>
      <c r="E1155" t="str">
        <f>_xlfn.XLOOKUP(F1155,'Raw Data'!$I$4:$I$5000,'Raw Data'!$D$4:$D$5000,"*** Mnemonic not found ***",0)</f>
        <v>*** Mnemonic not found ***</v>
      </c>
      <c r="F1155" t="str">
        <f t="shared" si="273"/>
        <v>ADJICMERGNFC3__</v>
      </c>
      <c r="H1155" s="9" t="s">
        <v>1137</v>
      </c>
      <c r="K1155" s="9">
        <f t="shared" ref="K1155:K1162" si="279">K1154</f>
        <v>314</v>
      </c>
      <c r="L1155" s="9" t="s">
        <v>1122</v>
      </c>
      <c r="M1155" s="9" t="str">
        <f t="shared" si="262"/>
        <v>Input!E314</v>
      </c>
      <c r="N1155" s="9">
        <f>_xlfn.XLOOKUP(F1155,'Raw Data'!$I$4:$I$5000,'Raw Data'!$E$4:$E$5000,100,0)</f>
        <v>100</v>
      </c>
      <c r="O1155" s="9" t="str">
        <f>IF(N1155=0,_xlfn.XLOOKUP(F1155,'Raw Data'!$I$4:$I$5000,'Raw Data'!$H$4:$H$5000,"",0),"")</f>
        <v/>
      </c>
      <c r="P1155" s="9" cm="1">
        <f t="array" aca="1" ref="P1155" ca="1">IF(INDIRECT(M1155) = "","",INDIRECT(M1155))</f>
        <v>0</v>
      </c>
      <c r="Q1155" s="359" t="s">
        <v>4381</v>
      </c>
    </row>
    <row r="1156" spans="1:17" x14ac:dyDescent="0.35">
      <c r="A1156" t="s">
        <v>3743</v>
      </c>
      <c r="E1156" t="str">
        <f>_xlfn.XLOOKUP(F1156,'Raw Data'!$I$4:$I$5000,'Raw Data'!$D$4:$D$5000,"*** Mnemonic not found ***",0)</f>
        <v>*** Mnemonic not found ***</v>
      </c>
      <c r="F1156" t="str">
        <f t="shared" si="273"/>
        <v>ADJICMERGNFC4__</v>
      </c>
      <c r="H1156" s="9" t="s">
        <v>1137</v>
      </c>
      <c r="K1156" s="9">
        <f t="shared" si="279"/>
        <v>314</v>
      </c>
      <c r="L1156" s="9" t="s">
        <v>1124</v>
      </c>
      <c r="M1156" s="9" t="str">
        <f t="shared" si="262"/>
        <v>Input!F314</v>
      </c>
      <c r="N1156" s="9">
        <f>_xlfn.XLOOKUP(F1156,'Raw Data'!$I$4:$I$5000,'Raw Data'!$E$4:$E$5000,100,0)</f>
        <v>100</v>
      </c>
      <c r="O1156" s="9" t="str">
        <f>IF(N1156=0,_xlfn.XLOOKUP(F1156,'Raw Data'!$I$4:$I$5000,'Raw Data'!$H$4:$H$5000,"",0),"")</f>
        <v/>
      </c>
      <c r="P1156" s="9" cm="1">
        <f t="array" aca="1" ref="P1156" ca="1">IF(INDIRECT(M1156) = "","",INDIRECT(M1156))</f>
        <v>0</v>
      </c>
      <c r="Q1156" s="359" t="s">
        <v>4381</v>
      </c>
    </row>
    <row r="1157" spans="1:17" x14ac:dyDescent="0.35">
      <c r="A1157" t="s">
        <v>3744</v>
      </c>
      <c r="E1157" t="str">
        <f>_xlfn.XLOOKUP(F1157,'Raw Data'!$I$4:$I$5000,'Raw Data'!$D$4:$D$5000,"*** Mnemonic not found ***",0)</f>
        <v>*** Mnemonic not found ***</v>
      </c>
      <c r="F1157" t="str">
        <f t="shared" ref="F1157:F1220" si="280">CONCATENATE(A1157,"_",B1157,"_",D1157)</f>
        <v>ADJICMERGNFC5__</v>
      </c>
      <c r="H1157" s="9" t="s">
        <v>1137</v>
      </c>
      <c r="K1157" s="9">
        <f t="shared" si="279"/>
        <v>314</v>
      </c>
      <c r="L1157" s="9" t="s">
        <v>1145</v>
      </c>
      <c r="M1157" s="9" t="str">
        <f t="shared" si="262"/>
        <v>Input!G314</v>
      </c>
      <c r="N1157" s="9">
        <f>_xlfn.XLOOKUP(F1157,'Raw Data'!$I$4:$I$5000,'Raw Data'!$E$4:$E$5000,100,0)</f>
        <v>100</v>
      </c>
      <c r="O1157" s="9" t="str">
        <f>IF(N1157=0,_xlfn.XLOOKUP(F1157,'Raw Data'!$I$4:$I$5000,'Raw Data'!$H$4:$H$5000,"",0),"")</f>
        <v/>
      </c>
      <c r="P1157" s="9" cm="1">
        <f t="array" aca="1" ref="P1157" ca="1">IF(INDIRECT(M1157) = "","",INDIRECT(M1157))</f>
        <v>0</v>
      </c>
      <c r="Q1157" s="359" t="s">
        <v>4381</v>
      </c>
    </row>
    <row r="1158" spans="1:17" x14ac:dyDescent="0.35">
      <c r="A1158" t="s">
        <v>3745</v>
      </c>
      <c r="E1158" t="str">
        <f>_xlfn.XLOOKUP(F1158,'Raw Data'!$I$4:$I$5000,'Raw Data'!$D$4:$D$5000,"*** Mnemonic not found ***",0)</f>
        <v>*** Mnemonic not found ***</v>
      </c>
      <c r="F1158" t="str">
        <f t="shared" si="280"/>
        <v>ADJICMERGNFC6__</v>
      </c>
      <c r="H1158" s="9" t="s">
        <v>1137</v>
      </c>
      <c r="K1158" s="9">
        <f t="shared" si="279"/>
        <v>314</v>
      </c>
      <c r="L1158" s="9" t="s">
        <v>1144</v>
      </c>
      <c r="M1158" s="9" t="str">
        <f t="shared" si="262"/>
        <v>Input!H314</v>
      </c>
      <c r="N1158" s="9">
        <f>_xlfn.XLOOKUP(F1158,'Raw Data'!$I$4:$I$5000,'Raw Data'!$E$4:$E$5000,100,0)</f>
        <v>100</v>
      </c>
      <c r="O1158" s="9" t="str">
        <f>IF(N1158=0,_xlfn.XLOOKUP(F1158,'Raw Data'!$I$4:$I$5000,'Raw Data'!$H$4:$H$5000,"",0),"")</f>
        <v/>
      </c>
      <c r="P1158" s="9" cm="1">
        <f t="array" aca="1" ref="P1158" ca="1">IF(INDIRECT(M1158) = "","",INDIRECT(M1158))</f>
        <v>0</v>
      </c>
      <c r="Q1158" s="359" t="s">
        <v>4381</v>
      </c>
    </row>
    <row r="1159" spans="1:17" x14ac:dyDescent="0.35">
      <c r="A1159" t="s">
        <v>3746</v>
      </c>
      <c r="E1159" t="str">
        <f>_xlfn.XLOOKUP(F1159,'Raw Data'!$I$4:$I$5000,'Raw Data'!$D$4:$D$5000,"*** Mnemonic not found ***",0)</f>
        <v>*** Mnemonic not found ***</v>
      </c>
      <c r="F1159" t="str">
        <f t="shared" si="280"/>
        <v>ADJICMERGNFC7__</v>
      </c>
      <c r="H1159" s="9" t="s">
        <v>1137</v>
      </c>
      <c r="K1159" s="9">
        <f t="shared" si="279"/>
        <v>314</v>
      </c>
      <c r="L1159" s="9" t="s">
        <v>1375</v>
      </c>
      <c r="M1159" s="9" t="str">
        <f t="shared" si="262"/>
        <v>Input!I314</v>
      </c>
      <c r="N1159" s="9">
        <f>_xlfn.XLOOKUP(F1159,'Raw Data'!$I$4:$I$5000,'Raw Data'!$E$4:$E$5000,100,0)</f>
        <v>100</v>
      </c>
      <c r="O1159" s="9" t="str">
        <f>IF(N1159=0,_xlfn.XLOOKUP(F1159,'Raw Data'!$I$4:$I$5000,'Raw Data'!$H$4:$H$5000,"",0),"")</f>
        <v/>
      </c>
      <c r="P1159" s="9" cm="1">
        <f t="array" aca="1" ref="P1159" ca="1">IF(INDIRECT(M1159) = "","",INDIRECT(M1159))</f>
        <v>0</v>
      </c>
      <c r="Q1159" s="359" t="s">
        <v>4381</v>
      </c>
    </row>
    <row r="1160" spans="1:17" x14ac:dyDescent="0.35">
      <c r="A1160" t="s">
        <v>3747</v>
      </c>
      <c r="E1160" t="str">
        <f>_xlfn.XLOOKUP(F1160,'Raw Data'!$I$4:$I$5000,'Raw Data'!$D$4:$D$5000,"*** Mnemonic not found ***",0)</f>
        <v>*** Mnemonic not found ***</v>
      </c>
      <c r="F1160" t="str">
        <f t="shared" si="280"/>
        <v>ADJICMERGNFC8__</v>
      </c>
      <c r="H1160" s="9" t="s">
        <v>1137</v>
      </c>
      <c r="K1160" s="9">
        <f t="shared" si="279"/>
        <v>314</v>
      </c>
      <c r="L1160" s="9" t="s">
        <v>1376</v>
      </c>
      <c r="M1160" s="9" t="str">
        <f t="shared" si="262"/>
        <v>Input!J314</v>
      </c>
      <c r="N1160" s="9">
        <f>_xlfn.XLOOKUP(F1160,'Raw Data'!$I$4:$I$5000,'Raw Data'!$E$4:$E$5000,100,0)</f>
        <v>100</v>
      </c>
      <c r="O1160" s="9" t="str">
        <f>IF(N1160=0,_xlfn.XLOOKUP(F1160,'Raw Data'!$I$4:$I$5000,'Raw Data'!$H$4:$H$5000,"",0),"")</f>
        <v/>
      </c>
      <c r="P1160" s="9" cm="1">
        <f t="array" aca="1" ref="P1160" ca="1">IF(INDIRECT(M1160) = "","",INDIRECT(M1160))</f>
        <v>0</v>
      </c>
      <c r="Q1160" s="359" t="s">
        <v>4381</v>
      </c>
    </row>
    <row r="1161" spans="1:17" x14ac:dyDescent="0.35">
      <c r="A1161" t="s">
        <v>3748</v>
      </c>
      <c r="E1161" t="str">
        <f>_xlfn.XLOOKUP(F1161,'Raw Data'!$I$4:$I$5000,'Raw Data'!$D$4:$D$5000,"*** Mnemonic not found ***",0)</f>
        <v>*** Mnemonic not found ***</v>
      </c>
      <c r="F1161" t="str">
        <f t="shared" si="280"/>
        <v>ADJICMERGNFC9__</v>
      </c>
      <c r="H1161" s="9" t="s">
        <v>1137</v>
      </c>
      <c r="K1161" s="9">
        <f t="shared" si="279"/>
        <v>314</v>
      </c>
      <c r="L1161" s="9" t="s">
        <v>1377</v>
      </c>
      <c r="M1161" s="9" t="str">
        <f t="shared" si="262"/>
        <v>Input!K314</v>
      </c>
      <c r="N1161" s="9">
        <f>_xlfn.XLOOKUP(F1161,'Raw Data'!$I$4:$I$5000,'Raw Data'!$E$4:$E$5000,100,0)</f>
        <v>100</v>
      </c>
      <c r="O1161" s="9" t="str">
        <f>IF(N1161=0,_xlfn.XLOOKUP(F1161,'Raw Data'!$I$4:$I$5000,'Raw Data'!$H$4:$H$5000,"",0),"")</f>
        <v/>
      </c>
      <c r="P1161" s="9" cm="1">
        <f t="array" aca="1" ref="P1161" ca="1">IF(INDIRECT(M1161) = "","",INDIRECT(M1161))</f>
        <v>0</v>
      </c>
      <c r="Q1161" s="359" t="s">
        <v>4381</v>
      </c>
    </row>
    <row r="1162" spans="1:17" x14ac:dyDescent="0.35">
      <c r="A1162" t="s">
        <v>3749</v>
      </c>
      <c r="E1162" t="str">
        <f>_xlfn.XLOOKUP(F1162,'Raw Data'!$I$4:$I$5000,'Raw Data'!$D$4:$D$5000,"*** Mnemonic not found ***",0)</f>
        <v>*** Mnemonic not found ***</v>
      </c>
      <c r="F1162" t="str">
        <f t="shared" si="280"/>
        <v>ADJICMERGNFC10__</v>
      </c>
      <c r="H1162" s="9" t="s">
        <v>1137</v>
      </c>
      <c r="K1162" s="9">
        <f t="shared" si="279"/>
        <v>314</v>
      </c>
      <c r="L1162" s="9" t="s">
        <v>1378</v>
      </c>
      <c r="M1162" s="9" t="str">
        <f t="shared" si="262"/>
        <v>Input!L314</v>
      </c>
      <c r="N1162" s="9">
        <f>_xlfn.XLOOKUP(F1162,'Raw Data'!$I$4:$I$5000,'Raw Data'!$E$4:$E$5000,100,0)</f>
        <v>100</v>
      </c>
      <c r="O1162" s="9" t="str">
        <f>IF(N1162=0,_xlfn.XLOOKUP(F1162,'Raw Data'!$I$4:$I$5000,'Raw Data'!$H$4:$H$5000,"",0),"")</f>
        <v/>
      </c>
      <c r="P1162" s="9" cm="1">
        <f t="array" aca="1" ref="P1162" ca="1">IF(INDIRECT(M1162) = "","",INDIRECT(M1162))</f>
        <v>0</v>
      </c>
      <c r="Q1162" s="359" t="s">
        <v>4381</v>
      </c>
    </row>
    <row r="1163" spans="1:17" x14ac:dyDescent="0.35">
      <c r="A1163" t="s">
        <v>3750</v>
      </c>
      <c r="E1163" t="str">
        <f>_xlfn.XLOOKUP(F1163,'Raw Data'!$I$4:$I$5000,'Raw Data'!$D$4:$D$5000,"*** Mnemonic not found ***",0)</f>
        <v>*** Mnemonic not found ***</v>
      </c>
      <c r="F1163" t="str">
        <f t="shared" si="280"/>
        <v>ADJICMERGFIN1__</v>
      </c>
      <c r="H1163" s="9" t="s">
        <v>1137</v>
      </c>
      <c r="K1163" s="9">
        <f>K1153+4</f>
        <v>318</v>
      </c>
      <c r="L1163" s="9" t="str">
        <f>L1153</f>
        <v>C</v>
      </c>
      <c r="M1163" s="9" t="str">
        <f t="shared" si="262"/>
        <v>Input!C318</v>
      </c>
      <c r="N1163" s="9">
        <f>_xlfn.XLOOKUP(F1163,'Raw Data'!$I$4:$I$5000,'Raw Data'!$E$4:$E$5000,100,0)</f>
        <v>100</v>
      </c>
      <c r="O1163" s="9" t="str">
        <f>IF(N1163=0,_xlfn.XLOOKUP(F1163,'Raw Data'!$I$4:$I$5000,'Raw Data'!$H$4:$H$5000,"",0),"")</f>
        <v/>
      </c>
      <c r="P1163" s="9" cm="1">
        <f t="array" aca="1" ref="P1163" ca="1">IF(INDIRECT(M1163) = "","",INDIRECT(M1163))</f>
        <v>0</v>
      </c>
      <c r="Q1163" s="359" t="s">
        <v>4381</v>
      </c>
    </row>
    <row r="1164" spans="1:17" x14ac:dyDescent="0.35">
      <c r="A1164" t="s">
        <v>3751</v>
      </c>
      <c r="E1164" t="str">
        <f>_xlfn.XLOOKUP(F1164,'Raw Data'!$I$4:$I$5000,'Raw Data'!$D$4:$D$5000,"*** Mnemonic not found ***",0)</f>
        <v>*** Mnemonic not found ***</v>
      </c>
      <c r="F1164" t="str">
        <f t="shared" si="280"/>
        <v>ADJICMERGFIN2__</v>
      </c>
      <c r="H1164" s="9" t="s">
        <v>1137</v>
      </c>
      <c r="K1164" s="9">
        <f>K1163</f>
        <v>318</v>
      </c>
      <c r="L1164" s="9" t="str">
        <f t="shared" ref="L1164:L1212" si="281">L1154</f>
        <v>D</v>
      </c>
      <c r="M1164" s="9" t="str">
        <f t="shared" si="262"/>
        <v>Input!D318</v>
      </c>
      <c r="N1164" s="9">
        <f>_xlfn.XLOOKUP(F1164,'Raw Data'!$I$4:$I$5000,'Raw Data'!$E$4:$E$5000,100,0)</f>
        <v>100</v>
      </c>
      <c r="O1164" s="9" t="str">
        <f>IF(N1164=0,_xlfn.XLOOKUP(F1164,'Raw Data'!$I$4:$I$5000,'Raw Data'!$H$4:$H$5000,"",0),"")</f>
        <v/>
      </c>
      <c r="P1164" s="9" cm="1">
        <f t="array" aca="1" ref="P1164" ca="1">IF(INDIRECT(M1164) = "","",INDIRECT(M1164))</f>
        <v>0</v>
      </c>
      <c r="Q1164" s="359" t="s">
        <v>4381</v>
      </c>
    </row>
    <row r="1165" spans="1:17" x14ac:dyDescent="0.35">
      <c r="A1165" t="s">
        <v>3752</v>
      </c>
      <c r="E1165" t="str">
        <f>_xlfn.XLOOKUP(F1165,'Raw Data'!$I$4:$I$5000,'Raw Data'!$D$4:$D$5000,"*** Mnemonic not found ***",0)</f>
        <v>*** Mnemonic not found ***</v>
      </c>
      <c r="F1165" t="str">
        <f t="shared" si="280"/>
        <v>ADJICMERGFIN3__</v>
      </c>
      <c r="H1165" s="9" t="s">
        <v>1137</v>
      </c>
      <c r="K1165" s="9">
        <f t="shared" ref="K1165:K1172" si="282">K1164</f>
        <v>318</v>
      </c>
      <c r="L1165" s="9" t="str">
        <f t="shared" si="281"/>
        <v>E</v>
      </c>
      <c r="M1165" s="9" t="str">
        <f t="shared" si="262"/>
        <v>Input!E318</v>
      </c>
      <c r="N1165" s="9">
        <f>_xlfn.XLOOKUP(F1165,'Raw Data'!$I$4:$I$5000,'Raw Data'!$E$4:$E$5000,100,0)</f>
        <v>100</v>
      </c>
      <c r="O1165" s="9" t="str">
        <f>IF(N1165=0,_xlfn.XLOOKUP(F1165,'Raw Data'!$I$4:$I$5000,'Raw Data'!$H$4:$H$5000,"",0),"")</f>
        <v/>
      </c>
      <c r="P1165" s="9" cm="1">
        <f t="array" aca="1" ref="P1165" ca="1">IF(INDIRECT(M1165) = "","",INDIRECT(M1165))</f>
        <v>0</v>
      </c>
      <c r="Q1165" s="359" t="s">
        <v>4381</v>
      </c>
    </row>
    <row r="1166" spans="1:17" x14ac:dyDescent="0.35">
      <c r="A1166" t="s">
        <v>3753</v>
      </c>
      <c r="E1166" t="str">
        <f>_xlfn.XLOOKUP(F1166,'Raw Data'!$I$4:$I$5000,'Raw Data'!$D$4:$D$5000,"*** Mnemonic not found ***",0)</f>
        <v>*** Mnemonic not found ***</v>
      </c>
      <c r="F1166" t="str">
        <f t="shared" si="280"/>
        <v>ADJICMERGFIN4__</v>
      </c>
      <c r="H1166" s="9" t="s">
        <v>1137</v>
      </c>
      <c r="K1166" s="9">
        <f t="shared" si="282"/>
        <v>318</v>
      </c>
      <c r="L1166" s="9" t="str">
        <f t="shared" si="281"/>
        <v>F</v>
      </c>
      <c r="M1166" s="9" t="str">
        <f t="shared" si="262"/>
        <v>Input!F318</v>
      </c>
      <c r="N1166" s="9">
        <f>_xlfn.XLOOKUP(F1166,'Raw Data'!$I$4:$I$5000,'Raw Data'!$E$4:$E$5000,100,0)</f>
        <v>100</v>
      </c>
      <c r="O1166" s="9" t="str">
        <f>IF(N1166=0,_xlfn.XLOOKUP(F1166,'Raw Data'!$I$4:$I$5000,'Raw Data'!$H$4:$H$5000,"",0),"")</f>
        <v/>
      </c>
      <c r="P1166" s="9" cm="1">
        <f t="array" aca="1" ref="P1166" ca="1">IF(INDIRECT(M1166) = "","",INDIRECT(M1166))</f>
        <v>0</v>
      </c>
      <c r="Q1166" s="359" t="s">
        <v>4381</v>
      </c>
    </row>
    <row r="1167" spans="1:17" x14ac:dyDescent="0.35">
      <c r="A1167" t="s">
        <v>3754</v>
      </c>
      <c r="E1167" t="str">
        <f>_xlfn.XLOOKUP(F1167,'Raw Data'!$I$4:$I$5000,'Raw Data'!$D$4:$D$5000,"*** Mnemonic not found ***",0)</f>
        <v>*** Mnemonic not found ***</v>
      </c>
      <c r="F1167" t="str">
        <f t="shared" si="280"/>
        <v>ADJICMERGFIN5__</v>
      </c>
      <c r="H1167" s="9" t="s">
        <v>1137</v>
      </c>
      <c r="K1167" s="9">
        <f t="shared" si="282"/>
        <v>318</v>
      </c>
      <c r="L1167" s="9" t="str">
        <f t="shared" si="281"/>
        <v>G</v>
      </c>
      <c r="M1167" s="9" t="str">
        <f t="shared" si="262"/>
        <v>Input!G318</v>
      </c>
      <c r="N1167" s="9">
        <f>_xlfn.XLOOKUP(F1167,'Raw Data'!$I$4:$I$5000,'Raw Data'!$E$4:$E$5000,100,0)</f>
        <v>100</v>
      </c>
      <c r="O1167" s="9" t="str">
        <f>IF(N1167=0,_xlfn.XLOOKUP(F1167,'Raw Data'!$I$4:$I$5000,'Raw Data'!$H$4:$H$5000,"",0),"")</f>
        <v/>
      </c>
      <c r="P1167" s="9" cm="1">
        <f t="array" aca="1" ref="P1167" ca="1">IF(INDIRECT(M1167) = "","",INDIRECT(M1167))</f>
        <v>0</v>
      </c>
      <c r="Q1167" s="359" t="s">
        <v>4381</v>
      </c>
    </row>
    <row r="1168" spans="1:17" x14ac:dyDescent="0.35">
      <c r="A1168" t="s">
        <v>3755</v>
      </c>
      <c r="E1168" t="str">
        <f>_xlfn.XLOOKUP(F1168,'Raw Data'!$I$4:$I$5000,'Raw Data'!$D$4:$D$5000,"*** Mnemonic not found ***",0)</f>
        <v>*** Mnemonic not found ***</v>
      </c>
      <c r="F1168" t="str">
        <f t="shared" si="280"/>
        <v>ADJICMERGFIN6__</v>
      </c>
      <c r="H1168" s="9" t="s">
        <v>1137</v>
      </c>
      <c r="K1168" s="9">
        <f t="shared" si="282"/>
        <v>318</v>
      </c>
      <c r="L1168" s="9" t="str">
        <f t="shared" si="281"/>
        <v>H</v>
      </c>
      <c r="M1168" s="9" t="str">
        <f t="shared" si="262"/>
        <v>Input!H318</v>
      </c>
      <c r="N1168" s="9">
        <f>_xlfn.XLOOKUP(F1168,'Raw Data'!$I$4:$I$5000,'Raw Data'!$E$4:$E$5000,100,0)</f>
        <v>100</v>
      </c>
      <c r="O1168" s="9" t="str">
        <f>IF(N1168=0,_xlfn.XLOOKUP(F1168,'Raw Data'!$I$4:$I$5000,'Raw Data'!$H$4:$H$5000,"",0),"")</f>
        <v/>
      </c>
      <c r="P1168" s="9" cm="1">
        <f t="array" aca="1" ref="P1168" ca="1">IF(INDIRECT(M1168) = "","",INDIRECT(M1168))</f>
        <v>0</v>
      </c>
      <c r="Q1168" s="359" t="s">
        <v>4381</v>
      </c>
    </row>
    <row r="1169" spans="1:17" x14ac:dyDescent="0.35">
      <c r="A1169" t="s">
        <v>3756</v>
      </c>
      <c r="E1169" t="str">
        <f>_xlfn.XLOOKUP(F1169,'Raw Data'!$I$4:$I$5000,'Raw Data'!$D$4:$D$5000,"*** Mnemonic not found ***",0)</f>
        <v>*** Mnemonic not found ***</v>
      </c>
      <c r="F1169" t="str">
        <f t="shared" si="280"/>
        <v>ADJICMERGFIN7__</v>
      </c>
      <c r="H1169" s="9" t="s">
        <v>1137</v>
      </c>
      <c r="K1169" s="9">
        <f t="shared" si="282"/>
        <v>318</v>
      </c>
      <c r="L1169" s="9" t="str">
        <f t="shared" si="281"/>
        <v>I</v>
      </c>
      <c r="M1169" s="9" t="str">
        <f t="shared" si="262"/>
        <v>Input!I318</v>
      </c>
      <c r="N1169" s="9">
        <f>_xlfn.XLOOKUP(F1169,'Raw Data'!$I$4:$I$5000,'Raw Data'!$E$4:$E$5000,100,0)</f>
        <v>100</v>
      </c>
      <c r="O1169" s="9" t="str">
        <f>IF(N1169=0,_xlfn.XLOOKUP(F1169,'Raw Data'!$I$4:$I$5000,'Raw Data'!$H$4:$H$5000,"",0),"")</f>
        <v/>
      </c>
      <c r="P1169" s="9" cm="1">
        <f t="array" aca="1" ref="P1169" ca="1">IF(INDIRECT(M1169) = "","",INDIRECT(M1169))</f>
        <v>0</v>
      </c>
      <c r="Q1169" s="359" t="s">
        <v>4381</v>
      </c>
    </row>
    <row r="1170" spans="1:17" x14ac:dyDescent="0.35">
      <c r="A1170" t="s">
        <v>3757</v>
      </c>
      <c r="E1170" t="str">
        <f>_xlfn.XLOOKUP(F1170,'Raw Data'!$I$4:$I$5000,'Raw Data'!$D$4:$D$5000,"*** Mnemonic not found ***",0)</f>
        <v>*** Mnemonic not found ***</v>
      </c>
      <c r="F1170" t="str">
        <f t="shared" si="280"/>
        <v>ADJICMERGFIN8__</v>
      </c>
      <c r="H1170" s="9" t="s">
        <v>1137</v>
      </c>
      <c r="K1170" s="9">
        <f t="shared" si="282"/>
        <v>318</v>
      </c>
      <c r="L1170" s="9" t="str">
        <f t="shared" si="281"/>
        <v>J</v>
      </c>
      <c r="M1170" s="9" t="str">
        <f t="shared" si="262"/>
        <v>Input!J318</v>
      </c>
      <c r="N1170" s="9">
        <f>_xlfn.XLOOKUP(F1170,'Raw Data'!$I$4:$I$5000,'Raw Data'!$E$4:$E$5000,100,0)</f>
        <v>100</v>
      </c>
      <c r="O1170" s="9" t="str">
        <f>IF(N1170=0,_xlfn.XLOOKUP(F1170,'Raw Data'!$I$4:$I$5000,'Raw Data'!$H$4:$H$5000,"",0),"")</f>
        <v/>
      </c>
      <c r="P1170" s="9" cm="1">
        <f t="array" aca="1" ref="P1170" ca="1">IF(INDIRECT(M1170) = "","",INDIRECT(M1170))</f>
        <v>0</v>
      </c>
      <c r="Q1170" s="359" t="s">
        <v>4381</v>
      </c>
    </row>
    <row r="1171" spans="1:17" x14ac:dyDescent="0.35">
      <c r="A1171" t="s">
        <v>3758</v>
      </c>
      <c r="E1171" t="str">
        <f>_xlfn.XLOOKUP(F1171,'Raw Data'!$I$4:$I$5000,'Raw Data'!$D$4:$D$5000,"*** Mnemonic not found ***",0)</f>
        <v>*** Mnemonic not found ***</v>
      </c>
      <c r="F1171" t="str">
        <f t="shared" si="280"/>
        <v>ADJICMERGFIN9__</v>
      </c>
      <c r="H1171" s="9" t="s">
        <v>1137</v>
      </c>
      <c r="K1171" s="9">
        <f t="shared" si="282"/>
        <v>318</v>
      </c>
      <c r="L1171" s="9" t="str">
        <f t="shared" si="281"/>
        <v>K</v>
      </c>
      <c r="M1171" s="9" t="str">
        <f t="shared" si="262"/>
        <v>Input!K318</v>
      </c>
      <c r="N1171" s="9">
        <f>_xlfn.XLOOKUP(F1171,'Raw Data'!$I$4:$I$5000,'Raw Data'!$E$4:$E$5000,100,0)</f>
        <v>100</v>
      </c>
      <c r="O1171" s="9" t="str">
        <f>IF(N1171=0,_xlfn.XLOOKUP(F1171,'Raw Data'!$I$4:$I$5000,'Raw Data'!$H$4:$H$5000,"",0),"")</f>
        <v/>
      </c>
      <c r="P1171" s="9" cm="1">
        <f t="array" aca="1" ref="P1171" ca="1">IF(INDIRECT(M1171) = "","",INDIRECT(M1171))</f>
        <v>0</v>
      </c>
      <c r="Q1171" s="359" t="s">
        <v>4381</v>
      </c>
    </row>
    <row r="1172" spans="1:17" x14ac:dyDescent="0.35">
      <c r="A1172" t="s">
        <v>3759</v>
      </c>
      <c r="E1172" t="str">
        <f>_xlfn.XLOOKUP(F1172,'Raw Data'!$I$4:$I$5000,'Raw Data'!$D$4:$D$5000,"*** Mnemonic not found ***",0)</f>
        <v>*** Mnemonic not found ***</v>
      </c>
      <c r="F1172" t="str">
        <f t="shared" si="280"/>
        <v>ADJICMERGFIN10__</v>
      </c>
      <c r="H1172" s="9" t="s">
        <v>1137</v>
      </c>
      <c r="K1172" s="9">
        <f t="shared" si="282"/>
        <v>318</v>
      </c>
      <c r="L1172" s="9" t="str">
        <f t="shared" si="281"/>
        <v>L</v>
      </c>
      <c r="M1172" s="9" t="str">
        <f t="shared" si="262"/>
        <v>Input!L318</v>
      </c>
      <c r="N1172" s="9">
        <f>_xlfn.XLOOKUP(F1172,'Raw Data'!$I$4:$I$5000,'Raw Data'!$E$4:$E$5000,100,0)</f>
        <v>100</v>
      </c>
      <c r="O1172" s="9" t="str">
        <f>IF(N1172=0,_xlfn.XLOOKUP(F1172,'Raw Data'!$I$4:$I$5000,'Raw Data'!$H$4:$H$5000,"",0),"")</f>
        <v/>
      </c>
      <c r="P1172" s="9" cm="1">
        <f t="array" aca="1" ref="P1172" ca="1">IF(INDIRECT(M1172) = "","",INDIRECT(M1172))</f>
        <v>0</v>
      </c>
      <c r="Q1172" s="359" t="s">
        <v>4381</v>
      </c>
    </row>
    <row r="1173" spans="1:17" x14ac:dyDescent="0.35">
      <c r="A1173" t="s">
        <v>3760</v>
      </c>
      <c r="E1173" t="str">
        <f>_xlfn.XLOOKUP(F1173,'Raw Data'!$I$4:$I$5000,'Raw Data'!$D$4:$D$5000,"*** Mnemonic not found ***",0)</f>
        <v>*** Mnemonic not found ***</v>
      </c>
      <c r="F1173" t="str">
        <f t="shared" si="280"/>
        <v>ADJICMERGSOV1__</v>
      </c>
      <c r="H1173" s="9" t="s">
        <v>1137</v>
      </c>
      <c r="K1173" s="9">
        <f>K1163+4</f>
        <v>322</v>
      </c>
      <c r="L1173" s="9" t="str">
        <f t="shared" si="281"/>
        <v>C</v>
      </c>
      <c r="M1173" s="9" t="str">
        <f t="shared" si="262"/>
        <v>Input!C322</v>
      </c>
      <c r="N1173" s="9">
        <f>_xlfn.XLOOKUP(F1173,'Raw Data'!$I$4:$I$5000,'Raw Data'!$E$4:$E$5000,100,0)</f>
        <v>100</v>
      </c>
      <c r="O1173" s="9" t="str">
        <f>IF(N1173=0,_xlfn.XLOOKUP(F1173,'Raw Data'!$I$4:$I$5000,'Raw Data'!$H$4:$H$5000,"",0),"")</f>
        <v/>
      </c>
      <c r="P1173" s="9" cm="1">
        <f t="array" aca="1" ref="P1173" ca="1">IF(INDIRECT(M1173) = "","",INDIRECT(M1173))</f>
        <v>0</v>
      </c>
      <c r="Q1173" s="359" t="s">
        <v>4381</v>
      </c>
    </row>
    <row r="1174" spans="1:17" x14ac:dyDescent="0.35">
      <c r="A1174" t="s">
        <v>3761</v>
      </c>
      <c r="E1174" t="str">
        <f>_xlfn.XLOOKUP(F1174,'Raw Data'!$I$4:$I$5000,'Raw Data'!$D$4:$D$5000,"*** Mnemonic not found ***",0)</f>
        <v>*** Mnemonic not found ***</v>
      </c>
      <c r="F1174" t="str">
        <f t="shared" si="280"/>
        <v>ADJICMERGSOV2__</v>
      </c>
      <c r="H1174" s="9" t="s">
        <v>1137</v>
      </c>
      <c r="K1174" s="9">
        <f>K1173</f>
        <v>322</v>
      </c>
      <c r="L1174" s="9" t="str">
        <f t="shared" si="281"/>
        <v>D</v>
      </c>
      <c r="M1174" s="9" t="str">
        <f t="shared" si="262"/>
        <v>Input!D322</v>
      </c>
      <c r="N1174" s="9">
        <f>_xlfn.XLOOKUP(F1174,'Raw Data'!$I$4:$I$5000,'Raw Data'!$E$4:$E$5000,100,0)</f>
        <v>100</v>
      </c>
      <c r="O1174" s="9" t="str">
        <f>IF(N1174=0,_xlfn.XLOOKUP(F1174,'Raw Data'!$I$4:$I$5000,'Raw Data'!$H$4:$H$5000,"",0),"")</f>
        <v/>
      </c>
      <c r="P1174" s="9" cm="1">
        <f t="array" aca="1" ref="P1174" ca="1">IF(INDIRECT(M1174) = "","",INDIRECT(M1174))</f>
        <v>0</v>
      </c>
      <c r="Q1174" s="359" t="s">
        <v>4381</v>
      </c>
    </row>
    <row r="1175" spans="1:17" x14ac:dyDescent="0.35">
      <c r="A1175" t="s">
        <v>3762</v>
      </c>
      <c r="E1175" t="str">
        <f>_xlfn.XLOOKUP(F1175,'Raw Data'!$I$4:$I$5000,'Raw Data'!$D$4:$D$5000,"*** Mnemonic not found ***",0)</f>
        <v>*** Mnemonic not found ***</v>
      </c>
      <c r="F1175" t="str">
        <f t="shared" si="280"/>
        <v>ADJICMERGSOV3__</v>
      </c>
      <c r="H1175" s="9" t="s">
        <v>1137</v>
      </c>
      <c r="K1175" s="9">
        <f t="shared" ref="K1175:K1182" si="283">K1174</f>
        <v>322</v>
      </c>
      <c r="L1175" s="9" t="str">
        <f t="shared" si="281"/>
        <v>E</v>
      </c>
      <c r="M1175" s="9" t="str">
        <f t="shared" si="262"/>
        <v>Input!E322</v>
      </c>
      <c r="N1175" s="9">
        <f>_xlfn.XLOOKUP(F1175,'Raw Data'!$I$4:$I$5000,'Raw Data'!$E$4:$E$5000,100,0)</f>
        <v>100</v>
      </c>
      <c r="O1175" s="9" t="str">
        <f>IF(N1175=0,_xlfn.XLOOKUP(F1175,'Raw Data'!$I$4:$I$5000,'Raw Data'!$H$4:$H$5000,"",0),"")</f>
        <v/>
      </c>
      <c r="P1175" s="9" cm="1">
        <f t="array" aca="1" ref="P1175" ca="1">IF(INDIRECT(M1175) = "","",INDIRECT(M1175))</f>
        <v>0</v>
      </c>
      <c r="Q1175" s="359" t="s">
        <v>4381</v>
      </c>
    </row>
    <row r="1176" spans="1:17" x14ac:dyDescent="0.35">
      <c r="A1176" t="s">
        <v>3763</v>
      </c>
      <c r="E1176" t="str">
        <f>_xlfn.XLOOKUP(F1176,'Raw Data'!$I$4:$I$5000,'Raw Data'!$D$4:$D$5000,"*** Mnemonic not found ***",0)</f>
        <v>*** Mnemonic not found ***</v>
      </c>
      <c r="F1176" t="str">
        <f t="shared" si="280"/>
        <v>ADJICMERGSOV4__</v>
      </c>
      <c r="H1176" s="9" t="s">
        <v>1137</v>
      </c>
      <c r="K1176" s="9">
        <f t="shared" si="283"/>
        <v>322</v>
      </c>
      <c r="L1176" s="9" t="str">
        <f t="shared" si="281"/>
        <v>F</v>
      </c>
      <c r="M1176" s="9" t="str">
        <f t="shared" si="262"/>
        <v>Input!F322</v>
      </c>
      <c r="N1176" s="9">
        <f>_xlfn.XLOOKUP(F1176,'Raw Data'!$I$4:$I$5000,'Raw Data'!$E$4:$E$5000,100,0)</f>
        <v>100</v>
      </c>
      <c r="O1176" s="9" t="str">
        <f>IF(N1176=0,_xlfn.XLOOKUP(F1176,'Raw Data'!$I$4:$I$5000,'Raw Data'!$H$4:$H$5000,"",0),"")</f>
        <v/>
      </c>
      <c r="P1176" s="9" cm="1">
        <f t="array" aca="1" ref="P1176" ca="1">IF(INDIRECT(M1176) = "","",INDIRECT(M1176))</f>
        <v>0</v>
      </c>
      <c r="Q1176" s="359" t="s">
        <v>4381</v>
      </c>
    </row>
    <row r="1177" spans="1:17" x14ac:dyDescent="0.35">
      <c r="A1177" t="s">
        <v>3764</v>
      </c>
      <c r="E1177" t="str">
        <f>_xlfn.XLOOKUP(F1177,'Raw Data'!$I$4:$I$5000,'Raw Data'!$D$4:$D$5000,"*** Mnemonic not found ***",0)</f>
        <v>*** Mnemonic not found ***</v>
      </c>
      <c r="F1177" t="str">
        <f t="shared" si="280"/>
        <v>ADJICMERGSOV5__</v>
      </c>
      <c r="H1177" s="9" t="s">
        <v>1137</v>
      </c>
      <c r="K1177" s="9">
        <f t="shared" si="283"/>
        <v>322</v>
      </c>
      <c r="L1177" s="9" t="str">
        <f t="shared" si="281"/>
        <v>G</v>
      </c>
      <c r="M1177" s="9" t="str">
        <f t="shared" si="262"/>
        <v>Input!G322</v>
      </c>
      <c r="N1177" s="9">
        <f>_xlfn.XLOOKUP(F1177,'Raw Data'!$I$4:$I$5000,'Raw Data'!$E$4:$E$5000,100,0)</f>
        <v>100</v>
      </c>
      <c r="O1177" s="9" t="str">
        <f>IF(N1177=0,_xlfn.XLOOKUP(F1177,'Raw Data'!$I$4:$I$5000,'Raw Data'!$H$4:$H$5000,"",0),"")</f>
        <v/>
      </c>
      <c r="P1177" s="9" cm="1">
        <f t="array" aca="1" ref="P1177" ca="1">IF(INDIRECT(M1177) = "","",INDIRECT(M1177))</f>
        <v>0</v>
      </c>
      <c r="Q1177" s="359" t="s">
        <v>4381</v>
      </c>
    </row>
    <row r="1178" spans="1:17" x14ac:dyDescent="0.35">
      <c r="A1178" t="s">
        <v>3765</v>
      </c>
      <c r="E1178" t="str">
        <f>_xlfn.XLOOKUP(F1178,'Raw Data'!$I$4:$I$5000,'Raw Data'!$D$4:$D$5000,"*** Mnemonic not found ***",0)</f>
        <v>*** Mnemonic not found ***</v>
      </c>
      <c r="F1178" t="str">
        <f t="shared" si="280"/>
        <v>ADJICMERGSOV6__</v>
      </c>
      <c r="H1178" s="9" t="s">
        <v>1137</v>
      </c>
      <c r="K1178" s="9">
        <f t="shared" si="283"/>
        <v>322</v>
      </c>
      <c r="L1178" s="9" t="str">
        <f t="shared" si="281"/>
        <v>H</v>
      </c>
      <c r="M1178" s="9" t="str">
        <f t="shared" si="262"/>
        <v>Input!H322</v>
      </c>
      <c r="N1178" s="9">
        <f>_xlfn.XLOOKUP(F1178,'Raw Data'!$I$4:$I$5000,'Raw Data'!$E$4:$E$5000,100,0)</f>
        <v>100</v>
      </c>
      <c r="O1178" s="9" t="str">
        <f>IF(N1178=0,_xlfn.XLOOKUP(F1178,'Raw Data'!$I$4:$I$5000,'Raw Data'!$H$4:$H$5000,"",0),"")</f>
        <v/>
      </c>
      <c r="P1178" s="9" cm="1">
        <f t="array" aca="1" ref="P1178" ca="1">IF(INDIRECT(M1178) = "","",INDIRECT(M1178))</f>
        <v>0</v>
      </c>
      <c r="Q1178" s="359" t="s">
        <v>4381</v>
      </c>
    </row>
    <row r="1179" spans="1:17" x14ac:dyDescent="0.35">
      <c r="A1179" t="s">
        <v>3766</v>
      </c>
      <c r="E1179" t="str">
        <f>_xlfn.XLOOKUP(F1179,'Raw Data'!$I$4:$I$5000,'Raw Data'!$D$4:$D$5000,"*** Mnemonic not found ***",0)</f>
        <v>*** Mnemonic not found ***</v>
      </c>
      <c r="F1179" t="str">
        <f t="shared" si="280"/>
        <v>ADJICMERGSOV7__</v>
      </c>
      <c r="H1179" s="9" t="s">
        <v>1137</v>
      </c>
      <c r="K1179" s="9">
        <f t="shared" si="283"/>
        <v>322</v>
      </c>
      <c r="L1179" s="9" t="str">
        <f t="shared" si="281"/>
        <v>I</v>
      </c>
      <c r="M1179" s="9" t="str">
        <f t="shared" si="262"/>
        <v>Input!I322</v>
      </c>
      <c r="N1179" s="9">
        <f>_xlfn.XLOOKUP(F1179,'Raw Data'!$I$4:$I$5000,'Raw Data'!$E$4:$E$5000,100,0)</f>
        <v>100</v>
      </c>
      <c r="O1179" s="9" t="str">
        <f>IF(N1179=0,_xlfn.XLOOKUP(F1179,'Raw Data'!$I$4:$I$5000,'Raw Data'!$H$4:$H$5000,"",0),"")</f>
        <v/>
      </c>
      <c r="P1179" s="9" cm="1">
        <f t="array" aca="1" ref="P1179" ca="1">IF(INDIRECT(M1179) = "","",INDIRECT(M1179))</f>
        <v>0</v>
      </c>
      <c r="Q1179" s="359" t="s">
        <v>4381</v>
      </c>
    </row>
    <row r="1180" spans="1:17" x14ac:dyDescent="0.35">
      <c r="A1180" t="s">
        <v>3767</v>
      </c>
      <c r="E1180" t="str">
        <f>_xlfn.XLOOKUP(F1180,'Raw Data'!$I$4:$I$5000,'Raw Data'!$D$4:$D$5000,"*** Mnemonic not found ***",0)</f>
        <v>*** Mnemonic not found ***</v>
      </c>
      <c r="F1180" t="str">
        <f t="shared" si="280"/>
        <v>ADJICMERGSOV8__</v>
      </c>
      <c r="H1180" s="9" t="s">
        <v>1137</v>
      </c>
      <c r="K1180" s="9">
        <f t="shared" si="283"/>
        <v>322</v>
      </c>
      <c r="L1180" s="9" t="str">
        <f t="shared" si="281"/>
        <v>J</v>
      </c>
      <c r="M1180" s="9" t="str">
        <f t="shared" si="262"/>
        <v>Input!J322</v>
      </c>
      <c r="N1180" s="9">
        <f>_xlfn.XLOOKUP(F1180,'Raw Data'!$I$4:$I$5000,'Raw Data'!$E$4:$E$5000,100,0)</f>
        <v>100</v>
      </c>
      <c r="O1180" s="9" t="str">
        <f>IF(N1180=0,_xlfn.XLOOKUP(F1180,'Raw Data'!$I$4:$I$5000,'Raw Data'!$H$4:$H$5000,"",0),"")</f>
        <v/>
      </c>
      <c r="P1180" s="9" cm="1">
        <f t="array" aca="1" ref="P1180" ca="1">IF(INDIRECT(M1180) = "","",INDIRECT(M1180))</f>
        <v>0</v>
      </c>
      <c r="Q1180" s="359" t="s">
        <v>4381</v>
      </c>
    </row>
    <row r="1181" spans="1:17" x14ac:dyDescent="0.35">
      <c r="A1181" t="s">
        <v>3768</v>
      </c>
      <c r="E1181" t="str">
        <f>_xlfn.XLOOKUP(F1181,'Raw Data'!$I$4:$I$5000,'Raw Data'!$D$4:$D$5000,"*** Mnemonic not found ***",0)</f>
        <v>*** Mnemonic not found ***</v>
      </c>
      <c r="F1181" t="str">
        <f t="shared" si="280"/>
        <v>ADJICMERGSOV9__</v>
      </c>
      <c r="H1181" s="9" t="s">
        <v>1137</v>
      </c>
      <c r="K1181" s="9">
        <f t="shared" si="283"/>
        <v>322</v>
      </c>
      <c r="L1181" s="9" t="str">
        <f t="shared" si="281"/>
        <v>K</v>
      </c>
      <c r="M1181" s="9" t="str">
        <f t="shared" si="262"/>
        <v>Input!K322</v>
      </c>
      <c r="N1181" s="9">
        <f>_xlfn.XLOOKUP(F1181,'Raw Data'!$I$4:$I$5000,'Raw Data'!$E$4:$E$5000,100,0)</f>
        <v>100</v>
      </c>
      <c r="O1181" s="9" t="str">
        <f>IF(N1181=0,_xlfn.XLOOKUP(F1181,'Raw Data'!$I$4:$I$5000,'Raw Data'!$H$4:$H$5000,"",0),"")</f>
        <v/>
      </c>
      <c r="P1181" s="9" cm="1">
        <f t="array" aca="1" ref="P1181" ca="1">IF(INDIRECT(M1181) = "","",INDIRECT(M1181))</f>
        <v>0</v>
      </c>
      <c r="Q1181" s="359" t="s">
        <v>4381</v>
      </c>
    </row>
    <row r="1182" spans="1:17" x14ac:dyDescent="0.35">
      <c r="A1182" t="s">
        <v>3769</v>
      </c>
      <c r="E1182" t="str">
        <f>_xlfn.XLOOKUP(F1182,'Raw Data'!$I$4:$I$5000,'Raw Data'!$D$4:$D$5000,"*** Mnemonic not found ***",0)</f>
        <v>*** Mnemonic not found ***</v>
      </c>
      <c r="F1182" t="str">
        <f t="shared" si="280"/>
        <v>ADJICMERGSOV10__</v>
      </c>
      <c r="H1182" s="9" t="s">
        <v>1137</v>
      </c>
      <c r="K1182" s="9">
        <f t="shared" si="283"/>
        <v>322</v>
      </c>
      <c r="L1182" s="9" t="str">
        <f t="shared" si="281"/>
        <v>L</v>
      </c>
      <c r="M1182" s="9" t="str">
        <f t="shared" si="262"/>
        <v>Input!L322</v>
      </c>
      <c r="N1182" s="9">
        <f>_xlfn.XLOOKUP(F1182,'Raw Data'!$I$4:$I$5000,'Raw Data'!$E$4:$E$5000,100,0)</f>
        <v>100</v>
      </c>
      <c r="O1182" s="9" t="str">
        <f>IF(N1182=0,_xlfn.XLOOKUP(F1182,'Raw Data'!$I$4:$I$5000,'Raw Data'!$H$4:$H$5000,"",0),"")</f>
        <v/>
      </c>
      <c r="P1182" s="9" cm="1">
        <f t="array" aca="1" ref="P1182" ca="1">IF(INDIRECT(M1182) = "","",INDIRECT(M1182))</f>
        <v>0</v>
      </c>
      <c r="Q1182" s="359" t="s">
        <v>4381</v>
      </c>
    </row>
    <row r="1183" spans="1:17" x14ac:dyDescent="0.35">
      <c r="A1183" t="s">
        <v>3770</v>
      </c>
      <c r="E1183" t="str">
        <f>_xlfn.XLOOKUP(F1183,'Raw Data'!$I$4:$I$5000,'Raw Data'!$D$4:$D$5000,"*** Mnemonic not found ***",0)</f>
        <v>*** Mnemonic not found ***</v>
      </c>
      <c r="F1183" t="str">
        <f t="shared" si="280"/>
        <v>ADJICMERGSF1__</v>
      </c>
      <c r="H1183" s="9" t="s">
        <v>1137</v>
      </c>
      <c r="K1183" s="9">
        <f>K1173+4</f>
        <v>326</v>
      </c>
      <c r="L1183" s="9" t="str">
        <f t="shared" si="281"/>
        <v>C</v>
      </c>
      <c r="M1183" s="9" t="str">
        <f t="shared" si="262"/>
        <v>Input!C326</v>
      </c>
      <c r="N1183" s="9">
        <f>_xlfn.XLOOKUP(F1183,'Raw Data'!$I$4:$I$5000,'Raw Data'!$E$4:$E$5000,100,0)</f>
        <v>100</v>
      </c>
      <c r="O1183" s="9" t="str">
        <f>IF(N1183=0,_xlfn.XLOOKUP(F1183,'Raw Data'!$I$4:$I$5000,'Raw Data'!$H$4:$H$5000,"",0),"")</f>
        <v/>
      </c>
      <c r="P1183" s="9" cm="1">
        <f t="array" aca="1" ref="P1183" ca="1">IF(INDIRECT(M1183) = "","",INDIRECT(M1183))</f>
        <v>0</v>
      </c>
      <c r="Q1183" s="359" t="s">
        <v>4381</v>
      </c>
    </row>
    <row r="1184" spans="1:17" x14ac:dyDescent="0.35">
      <c r="A1184" t="s">
        <v>3771</v>
      </c>
      <c r="E1184" t="str">
        <f>_xlfn.XLOOKUP(F1184,'Raw Data'!$I$4:$I$5000,'Raw Data'!$D$4:$D$5000,"*** Mnemonic not found ***",0)</f>
        <v>*** Mnemonic not found ***</v>
      </c>
      <c r="F1184" t="str">
        <f t="shared" si="280"/>
        <v>ADJICMERGSF2__</v>
      </c>
      <c r="H1184" s="9" t="s">
        <v>1137</v>
      </c>
      <c r="K1184" s="9">
        <f>K1183</f>
        <v>326</v>
      </c>
      <c r="L1184" s="9" t="str">
        <f t="shared" si="281"/>
        <v>D</v>
      </c>
      <c r="M1184" s="9" t="str">
        <f t="shared" si="262"/>
        <v>Input!D326</v>
      </c>
      <c r="N1184" s="9">
        <f>_xlfn.XLOOKUP(F1184,'Raw Data'!$I$4:$I$5000,'Raw Data'!$E$4:$E$5000,100,0)</f>
        <v>100</v>
      </c>
      <c r="O1184" s="9" t="str">
        <f>IF(N1184=0,_xlfn.XLOOKUP(F1184,'Raw Data'!$I$4:$I$5000,'Raw Data'!$H$4:$H$5000,"",0),"")</f>
        <v/>
      </c>
      <c r="P1184" s="9" cm="1">
        <f t="array" aca="1" ref="P1184" ca="1">IF(INDIRECT(M1184) = "","",INDIRECT(M1184))</f>
        <v>0</v>
      </c>
      <c r="Q1184" s="359" t="s">
        <v>4381</v>
      </c>
    </row>
    <row r="1185" spans="1:17" x14ac:dyDescent="0.35">
      <c r="A1185" t="s">
        <v>3772</v>
      </c>
      <c r="E1185" t="str">
        <f>_xlfn.XLOOKUP(F1185,'Raw Data'!$I$4:$I$5000,'Raw Data'!$D$4:$D$5000,"*** Mnemonic not found ***",0)</f>
        <v>*** Mnemonic not found ***</v>
      </c>
      <c r="F1185" t="str">
        <f t="shared" si="280"/>
        <v>ADJICMERGSF3__</v>
      </c>
      <c r="H1185" s="9" t="s">
        <v>1137</v>
      </c>
      <c r="K1185" s="9">
        <f t="shared" ref="K1185:K1192" si="284">K1184</f>
        <v>326</v>
      </c>
      <c r="L1185" s="9" t="str">
        <f t="shared" si="281"/>
        <v>E</v>
      </c>
      <c r="M1185" s="9" t="str">
        <f t="shared" si="262"/>
        <v>Input!E326</v>
      </c>
      <c r="N1185" s="9">
        <f>_xlfn.XLOOKUP(F1185,'Raw Data'!$I$4:$I$5000,'Raw Data'!$E$4:$E$5000,100,0)</f>
        <v>100</v>
      </c>
      <c r="O1185" s="9" t="str">
        <f>IF(N1185=0,_xlfn.XLOOKUP(F1185,'Raw Data'!$I$4:$I$5000,'Raw Data'!$H$4:$H$5000,"",0),"")</f>
        <v/>
      </c>
      <c r="P1185" s="9" cm="1">
        <f t="array" aca="1" ref="P1185" ca="1">IF(INDIRECT(M1185) = "","",INDIRECT(M1185))</f>
        <v>0</v>
      </c>
      <c r="Q1185" s="359" t="s">
        <v>4381</v>
      </c>
    </row>
    <row r="1186" spans="1:17" x14ac:dyDescent="0.35">
      <c r="A1186" t="s">
        <v>3773</v>
      </c>
      <c r="E1186" t="str">
        <f>_xlfn.XLOOKUP(F1186,'Raw Data'!$I$4:$I$5000,'Raw Data'!$D$4:$D$5000,"*** Mnemonic not found ***",0)</f>
        <v>*** Mnemonic not found ***</v>
      </c>
      <c r="F1186" t="str">
        <f t="shared" si="280"/>
        <v>ADJICMERGSF4__</v>
      </c>
      <c r="H1186" s="9" t="s">
        <v>1137</v>
      </c>
      <c r="K1186" s="9">
        <f t="shared" si="284"/>
        <v>326</v>
      </c>
      <c r="L1186" s="9" t="str">
        <f t="shared" si="281"/>
        <v>F</v>
      </c>
      <c r="M1186" s="9" t="str">
        <f t="shared" si="262"/>
        <v>Input!F326</v>
      </c>
      <c r="N1186" s="9">
        <f>_xlfn.XLOOKUP(F1186,'Raw Data'!$I$4:$I$5000,'Raw Data'!$E$4:$E$5000,100,0)</f>
        <v>100</v>
      </c>
      <c r="O1186" s="9" t="str">
        <f>IF(N1186=0,_xlfn.XLOOKUP(F1186,'Raw Data'!$I$4:$I$5000,'Raw Data'!$H$4:$H$5000,"",0),"")</f>
        <v/>
      </c>
      <c r="P1186" s="9" cm="1">
        <f t="array" aca="1" ref="P1186" ca="1">IF(INDIRECT(M1186) = "","",INDIRECT(M1186))</f>
        <v>0</v>
      </c>
      <c r="Q1186" s="359" t="s">
        <v>4381</v>
      </c>
    </row>
    <row r="1187" spans="1:17" x14ac:dyDescent="0.35">
      <c r="A1187" t="s">
        <v>3774</v>
      </c>
      <c r="E1187" t="str">
        <f>_xlfn.XLOOKUP(F1187,'Raw Data'!$I$4:$I$5000,'Raw Data'!$D$4:$D$5000,"*** Mnemonic not found ***",0)</f>
        <v>*** Mnemonic not found ***</v>
      </c>
      <c r="F1187" t="str">
        <f t="shared" si="280"/>
        <v>ADJICMERGSF5__</v>
      </c>
      <c r="H1187" s="9" t="s">
        <v>1137</v>
      </c>
      <c r="K1187" s="9">
        <f t="shared" si="284"/>
        <v>326</v>
      </c>
      <c r="L1187" s="9" t="str">
        <f t="shared" si="281"/>
        <v>G</v>
      </c>
      <c r="M1187" s="9" t="str">
        <f t="shared" si="262"/>
        <v>Input!G326</v>
      </c>
      <c r="N1187" s="9">
        <f>_xlfn.XLOOKUP(F1187,'Raw Data'!$I$4:$I$5000,'Raw Data'!$E$4:$E$5000,100,0)</f>
        <v>100</v>
      </c>
      <c r="O1187" s="9" t="str">
        <f>IF(N1187=0,_xlfn.XLOOKUP(F1187,'Raw Data'!$I$4:$I$5000,'Raw Data'!$H$4:$H$5000,"",0),"")</f>
        <v/>
      </c>
      <c r="P1187" s="9" cm="1">
        <f t="array" aca="1" ref="P1187" ca="1">IF(INDIRECT(M1187) = "","",INDIRECT(M1187))</f>
        <v>0</v>
      </c>
      <c r="Q1187" s="359" t="s">
        <v>4381</v>
      </c>
    </row>
    <row r="1188" spans="1:17" x14ac:dyDescent="0.35">
      <c r="A1188" t="s">
        <v>3775</v>
      </c>
      <c r="E1188" t="str">
        <f>_xlfn.XLOOKUP(F1188,'Raw Data'!$I$4:$I$5000,'Raw Data'!$D$4:$D$5000,"*** Mnemonic not found ***",0)</f>
        <v>*** Mnemonic not found ***</v>
      </c>
      <c r="F1188" t="str">
        <f t="shared" si="280"/>
        <v>ADJICMERGSF6__</v>
      </c>
      <c r="H1188" s="9" t="s">
        <v>1137</v>
      </c>
      <c r="K1188" s="9">
        <f t="shared" si="284"/>
        <v>326</v>
      </c>
      <c r="L1188" s="9" t="str">
        <f t="shared" si="281"/>
        <v>H</v>
      </c>
      <c r="M1188" s="9" t="str">
        <f t="shared" si="262"/>
        <v>Input!H326</v>
      </c>
      <c r="N1188" s="9">
        <f>_xlfn.XLOOKUP(F1188,'Raw Data'!$I$4:$I$5000,'Raw Data'!$E$4:$E$5000,100,0)</f>
        <v>100</v>
      </c>
      <c r="O1188" s="9" t="str">
        <f>IF(N1188=0,_xlfn.XLOOKUP(F1188,'Raw Data'!$I$4:$I$5000,'Raw Data'!$H$4:$H$5000,"",0),"")</f>
        <v/>
      </c>
      <c r="P1188" s="9" cm="1">
        <f t="array" aca="1" ref="P1188" ca="1">IF(INDIRECT(M1188) = "","",INDIRECT(M1188))</f>
        <v>0</v>
      </c>
      <c r="Q1188" s="359" t="s">
        <v>4381</v>
      </c>
    </row>
    <row r="1189" spans="1:17" x14ac:dyDescent="0.35">
      <c r="A1189" t="s">
        <v>3776</v>
      </c>
      <c r="E1189" t="str">
        <f>_xlfn.XLOOKUP(F1189,'Raw Data'!$I$4:$I$5000,'Raw Data'!$D$4:$D$5000,"*** Mnemonic not found ***",0)</f>
        <v>*** Mnemonic not found ***</v>
      </c>
      <c r="F1189" t="str">
        <f t="shared" si="280"/>
        <v>ADJICMERGSF7__</v>
      </c>
      <c r="H1189" s="9" t="s">
        <v>1137</v>
      </c>
      <c r="K1189" s="9">
        <f t="shared" si="284"/>
        <v>326</v>
      </c>
      <c r="L1189" s="9" t="str">
        <f t="shared" si="281"/>
        <v>I</v>
      </c>
      <c r="M1189" s="9" t="str">
        <f t="shared" si="262"/>
        <v>Input!I326</v>
      </c>
      <c r="N1189" s="9">
        <f>_xlfn.XLOOKUP(F1189,'Raw Data'!$I$4:$I$5000,'Raw Data'!$E$4:$E$5000,100,0)</f>
        <v>100</v>
      </c>
      <c r="O1189" s="9" t="str">
        <f>IF(N1189=0,_xlfn.XLOOKUP(F1189,'Raw Data'!$I$4:$I$5000,'Raw Data'!$H$4:$H$5000,"",0),"")</f>
        <v/>
      </c>
      <c r="P1189" s="9" cm="1">
        <f t="array" aca="1" ref="P1189" ca="1">IF(INDIRECT(M1189) = "","",INDIRECT(M1189))</f>
        <v>0</v>
      </c>
      <c r="Q1189" s="359" t="s">
        <v>4381</v>
      </c>
    </row>
    <row r="1190" spans="1:17" x14ac:dyDescent="0.35">
      <c r="A1190" t="s">
        <v>3777</v>
      </c>
      <c r="E1190" t="str">
        <f>_xlfn.XLOOKUP(F1190,'Raw Data'!$I$4:$I$5000,'Raw Data'!$D$4:$D$5000,"*** Mnemonic not found ***",0)</f>
        <v>*** Mnemonic not found ***</v>
      </c>
      <c r="F1190" t="str">
        <f t="shared" si="280"/>
        <v>ADJICMERGSF8__</v>
      </c>
      <c r="H1190" s="9" t="s">
        <v>1137</v>
      </c>
      <c r="K1190" s="9">
        <f t="shared" si="284"/>
        <v>326</v>
      </c>
      <c r="L1190" s="9" t="str">
        <f t="shared" si="281"/>
        <v>J</v>
      </c>
      <c r="M1190" s="9" t="str">
        <f t="shared" si="262"/>
        <v>Input!J326</v>
      </c>
      <c r="N1190" s="9">
        <f>_xlfn.XLOOKUP(F1190,'Raw Data'!$I$4:$I$5000,'Raw Data'!$E$4:$E$5000,100,0)</f>
        <v>100</v>
      </c>
      <c r="O1190" s="9" t="str">
        <f>IF(N1190=0,_xlfn.XLOOKUP(F1190,'Raw Data'!$I$4:$I$5000,'Raw Data'!$H$4:$H$5000,"",0),"")</f>
        <v/>
      </c>
      <c r="P1190" s="9" cm="1">
        <f t="array" aca="1" ref="P1190" ca="1">IF(INDIRECT(M1190) = "","",INDIRECT(M1190))</f>
        <v>0</v>
      </c>
      <c r="Q1190" s="359" t="s">
        <v>4381</v>
      </c>
    </row>
    <row r="1191" spans="1:17" x14ac:dyDescent="0.35">
      <c r="A1191" t="s">
        <v>3778</v>
      </c>
      <c r="E1191" t="str">
        <f>_xlfn.XLOOKUP(F1191,'Raw Data'!$I$4:$I$5000,'Raw Data'!$D$4:$D$5000,"*** Mnemonic not found ***",0)</f>
        <v>*** Mnemonic not found ***</v>
      </c>
      <c r="F1191" t="str">
        <f t="shared" si="280"/>
        <v>ADJICMERGSF9__</v>
      </c>
      <c r="H1191" s="9" t="s">
        <v>1137</v>
      </c>
      <c r="K1191" s="9">
        <f t="shared" si="284"/>
        <v>326</v>
      </c>
      <c r="L1191" s="9" t="str">
        <f t="shared" si="281"/>
        <v>K</v>
      </c>
      <c r="M1191" s="9" t="str">
        <f t="shared" si="262"/>
        <v>Input!K326</v>
      </c>
      <c r="N1191" s="9">
        <f>_xlfn.XLOOKUP(F1191,'Raw Data'!$I$4:$I$5000,'Raw Data'!$E$4:$E$5000,100,0)</f>
        <v>100</v>
      </c>
      <c r="O1191" s="9" t="str">
        <f>IF(N1191=0,_xlfn.XLOOKUP(F1191,'Raw Data'!$I$4:$I$5000,'Raw Data'!$H$4:$H$5000,"",0),"")</f>
        <v/>
      </c>
      <c r="P1191" s="9" cm="1">
        <f t="array" aca="1" ref="P1191" ca="1">IF(INDIRECT(M1191) = "","",INDIRECT(M1191))</f>
        <v>0</v>
      </c>
      <c r="Q1191" s="359" t="s">
        <v>4381</v>
      </c>
    </row>
    <row r="1192" spans="1:17" x14ac:dyDescent="0.35">
      <c r="A1192" t="s">
        <v>3779</v>
      </c>
      <c r="E1192" t="str">
        <f>_xlfn.XLOOKUP(F1192,'Raw Data'!$I$4:$I$5000,'Raw Data'!$D$4:$D$5000,"*** Mnemonic not found ***",0)</f>
        <v>*** Mnemonic not found ***</v>
      </c>
      <c r="F1192" t="str">
        <f t="shared" si="280"/>
        <v>ADJICMERGSF10__</v>
      </c>
      <c r="H1192" s="9" t="s">
        <v>1137</v>
      </c>
      <c r="K1192" s="9">
        <f t="shared" si="284"/>
        <v>326</v>
      </c>
      <c r="L1192" s="9" t="str">
        <f t="shared" si="281"/>
        <v>L</v>
      </c>
      <c r="M1192" s="9" t="str">
        <f t="shared" si="262"/>
        <v>Input!L326</v>
      </c>
      <c r="N1192" s="9">
        <f>_xlfn.XLOOKUP(F1192,'Raw Data'!$I$4:$I$5000,'Raw Data'!$E$4:$E$5000,100,0)</f>
        <v>100</v>
      </c>
      <c r="O1192" s="9" t="str">
        <f>IF(N1192=0,_xlfn.XLOOKUP(F1192,'Raw Data'!$I$4:$I$5000,'Raw Data'!$H$4:$H$5000,"",0),"")</f>
        <v/>
      </c>
      <c r="P1192" s="9" cm="1">
        <f t="array" aca="1" ref="P1192" ca="1">IF(INDIRECT(M1192) = "","",INDIRECT(M1192))</f>
        <v>0</v>
      </c>
      <c r="Q1192" s="359" t="s">
        <v>4381</v>
      </c>
    </row>
    <row r="1193" spans="1:17" x14ac:dyDescent="0.35">
      <c r="A1193" s="694" t="s">
        <v>4287</v>
      </c>
      <c r="E1193" t="str">
        <f>_xlfn.XLOOKUP(F1193,'Raw Data'!$I$4:$I$5000,'Raw Data'!$D$4:$D$5000,"*** Mnemonic not found ***",0)</f>
        <v>*** Mnemonic not found ***</v>
      </c>
      <c r="F1193" t="str">
        <f t="shared" si="280"/>
        <v>ADJICMERGSFM1__</v>
      </c>
      <c r="H1193" s="9" t="s">
        <v>1137</v>
      </c>
      <c r="K1193" s="9">
        <f>K1183+4</f>
        <v>330</v>
      </c>
      <c r="L1193" s="9" t="str">
        <f t="shared" si="281"/>
        <v>C</v>
      </c>
      <c r="M1193" s="9" t="str">
        <f t="shared" ref="M1193:M1202" si="285">CONCATENATE(H1193,"!",L1193,K1193)</f>
        <v>Input!C330</v>
      </c>
      <c r="N1193" s="9">
        <f>_xlfn.XLOOKUP(F1193,'Raw Data'!$I$4:$I$5000,'Raw Data'!$E$4:$E$5000,100,0)</f>
        <v>100</v>
      </c>
      <c r="O1193" s="9" t="str">
        <f>IF(N1193=0,_xlfn.XLOOKUP(F1193,'Raw Data'!$I$4:$I$5000,'Raw Data'!$H$4:$H$5000,"",0),"")</f>
        <v/>
      </c>
      <c r="P1193" s="9" cm="1">
        <f t="array" aca="1" ref="P1193" ca="1">IF(INDIRECT(M1193) = "","",INDIRECT(M1193))</f>
        <v>0</v>
      </c>
      <c r="Q1193" s="359" t="s">
        <v>4381</v>
      </c>
    </row>
    <row r="1194" spans="1:17" x14ac:dyDescent="0.35">
      <c r="A1194" s="694" t="s">
        <v>4288</v>
      </c>
      <c r="E1194" t="str">
        <f>_xlfn.XLOOKUP(F1194,'Raw Data'!$I$4:$I$5000,'Raw Data'!$D$4:$D$5000,"*** Mnemonic not found ***",0)</f>
        <v>*** Mnemonic not found ***</v>
      </c>
      <c r="F1194" t="str">
        <f t="shared" si="280"/>
        <v>ADJICMERGSFM2__</v>
      </c>
      <c r="H1194" s="9" t="s">
        <v>1137</v>
      </c>
      <c r="K1194" s="9">
        <f>K1193</f>
        <v>330</v>
      </c>
      <c r="L1194" s="9" t="str">
        <f t="shared" si="281"/>
        <v>D</v>
      </c>
      <c r="M1194" s="9" t="str">
        <f t="shared" si="285"/>
        <v>Input!D330</v>
      </c>
      <c r="N1194" s="9">
        <f>_xlfn.XLOOKUP(F1194,'Raw Data'!$I$4:$I$5000,'Raw Data'!$E$4:$E$5000,100,0)</f>
        <v>100</v>
      </c>
      <c r="O1194" s="9" t="str">
        <f>IF(N1194=0,_xlfn.XLOOKUP(F1194,'Raw Data'!$I$4:$I$5000,'Raw Data'!$H$4:$H$5000,"",0),"")</f>
        <v/>
      </c>
      <c r="P1194" s="9" cm="1">
        <f t="array" aca="1" ref="P1194" ca="1">IF(INDIRECT(M1194) = "","",INDIRECT(M1194))</f>
        <v>0</v>
      </c>
      <c r="Q1194" s="359" t="s">
        <v>4381</v>
      </c>
    </row>
    <row r="1195" spans="1:17" x14ac:dyDescent="0.35">
      <c r="A1195" s="694" t="s">
        <v>4289</v>
      </c>
      <c r="E1195" t="str">
        <f>_xlfn.XLOOKUP(F1195,'Raw Data'!$I$4:$I$5000,'Raw Data'!$D$4:$D$5000,"*** Mnemonic not found ***",0)</f>
        <v>*** Mnemonic not found ***</v>
      </c>
      <c r="F1195" t="str">
        <f t="shared" si="280"/>
        <v>ADJICMERGSFM3__</v>
      </c>
      <c r="H1195" s="9" t="s">
        <v>1137</v>
      </c>
      <c r="K1195" s="9">
        <f t="shared" ref="K1195:K1202" si="286">K1194</f>
        <v>330</v>
      </c>
      <c r="L1195" s="9" t="str">
        <f t="shared" si="281"/>
        <v>E</v>
      </c>
      <c r="M1195" s="9" t="str">
        <f t="shared" si="285"/>
        <v>Input!E330</v>
      </c>
      <c r="N1195" s="9">
        <f>_xlfn.XLOOKUP(F1195,'Raw Data'!$I$4:$I$5000,'Raw Data'!$E$4:$E$5000,100,0)</f>
        <v>100</v>
      </c>
      <c r="O1195" s="9" t="str">
        <f>IF(N1195=0,_xlfn.XLOOKUP(F1195,'Raw Data'!$I$4:$I$5000,'Raw Data'!$H$4:$H$5000,"",0),"")</f>
        <v/>
      </c>
      <c r="P1195" s="9" cm="1">
        <f t="array" aca="1" ref="P1195" ca="1">IF(INDIRECT(M1195) = "","",INDIRECT(M1195))</f>
        <v>0</v>
      </c>
      <c r="Q1195" s="359" t="s">
        <v>4381</v>
      </c>
    </row>
    <row r="1196" spans="1:17" x14ac:dyDescent="0.35">
      <c r="A1196" s="694" t="s">
        <v>4290</v>
      </c>
      <c r="E1196" t="str">
        <f>_xlfn.XLOOKUP(F1196,'Raw Data'!$I$4:$I$5000,'Raw Data'!$D$4:$D$5000,"*** Mnemonic not found ***",0)</f>
        <v>*** Mnemonic not found ***</v>
      </c>
      <c r="F1196" t="str">
        <f t="shared" si="280"/>
        <v>ADJICMERGSFM4__</v>
      </c>
      <c r="H1196" s="9" t="s">
        <v>1137</v>
      </c>
      <c r="K1196" s="9">
        <f t="shared" si="286"/>
        <v>330</v>
      </c>
      <c r="L1196" s="9" t="str">
        <f t="shared" si="281"/>
        <v>F</v>
      </c>
      <c r="M1196" s="9" t="str">
        <f t="shared" si="285"/>
        <v>Input!F330</v>
      </c>
      <c r="N1196" s="9">
        <f>_xlfn.XLOOKUP(F1196,'Raw Data'!$I$4:$I$5000,'Raw Data'!$E$4:$E$5000,100,0)</f>
        <v>100</v>
      </c>
      <c r="O1196" s="9" t="str">
        <f>IF(N1196=0,_xlfn.XLOOKUP(F1196,'Raw Data'!$I$4:$I$5000,'Raw Data'!$H$4:$H$5000,"",0),"")</f>
        <v/>
      </c>
      <c r="P1196" s="9" cm="1">
        <f t="array" aca="1" ref="P1196" ca="1">IF(INDIRECT(M1196) = "","",INDIRECT(M1196))</f>
        <v>0</v>
      </c>
      <c r="Q1196" s="359" t="s">
        <v>4381</v>
      </c>
    </row>
    <row r="1197" spans="1:17" x14ac:dyDescent="0.35">
      <c r="A1197" s="694" t="s">
        <v>4291</v>
      </c>
      <c r="E1197" t="str">
        <f>_xlfn.XLOOKUP(F1197,'Raw Data'!$I$4:$I$5000,'Raw Data'!$D$4:$D$5000,"*** Mnemonic not found ***",0)</f>
        <v>*** Mnemonic not found ***</v>
      </c>
      <c r="F1197" t="str">
        <f t="shared" si="280"/>
        <v>ADJICMERGSFM5__</v>
      </c>
      <c r="H1197" s="9" t="s">
        <v>1137</v>
      </c>
      <c r="K1197" s="9">
        <f t="shared" si="286"/>
        <v>330</v>
      </c>
      <c r="L1197" s="9" t="str">
        <f t="shared" si="281"/>
        <v>G</v>
      </c>
      <c r="M1197" s="9" t="str">
        <f t="shared" si="285"/>
        <v>Input!G330</v>
      </c>
      <c r="N1197" s="9">
        <f>_xlfn.XLOOKUP(F1197,'Raw Data'!$I$4:$I$5000,'Raw Data'!$E$4:$E$5000,100,0)</f>
        <v>100</v>
      </c>
      <c r="O1197" s="9" t="str">
        <f>IF(N1197=0,_xlfn.XLOOKUP(F1197,'Raw Data'!$I$4:$I$5000,'Raw Data'!$H$4:$H$5000,"",0),"")</f>
        <v/>
      </c>
      <c r="P1197" s="9" cm="1">
        <f t="array" aca="1" ref="P1197" ca="1">IF(INDIRECT(M1197) = "","",INDIRECT(M1197))</f>
        <v>0</v>
      </c>
      <c r="Q1197" s="359" t="s">
        <v>4381</v>
      </c>
    </row>
    <row r="1198" spans="1:17" x14ac:dyDescent="0.35">
      <c r="A1198" s="694" t="s">
        <v>4292</v>
      </c>
      <c r="E1198" t="str">
        <f>_xlfn.XLOOKUP(F1198,'Raw Data'!$I$4:$I$5000,'Raw Data'!$D$4:$D$5000,"*** Mnemonic not found ***",0)</f>
        <v>*** Mnemonic not found ***</v>
      </c>
      <c r="F1198" t="str">
        <f t="shared" si="280"/>
        <v>ADJICMERGSFM6__</v>
      </c>
      <c r="H1198" s="9" t="s">
        <v>1137</v>
      </c>
      <c r="K1198" s="9">
        <f t="shared" si="286"/>
        <v>330</v>
      </c>
      <c r="L1198" s="9" t="str">
        <f t="shared" si="281"/>
        <v>H</v>
      </c>
      <c r="M1198" s="9" t="str">
        <f t="shared" si="285"/>
        <v>Input!H330</v>
      </c>
      <c r="N1198" s="9">
        <f>_xlfn.XLOOKUP(F1198,'Raw Data'!$I$4:$I$5000,'Raw Data'!$E$4:$E$5000,100,0)</f>
        <v>100</v>
      </c>
      <c r="O1198" s="9" t="str">
        <f>IF(N1198=0,_xlfn.XLOOKUP(F1198,'Raw Data'!$I$4:$I$5000,'Raw Data'!$H$4:$H$5000,"",0),"")</f>
        <v/>
      </c>
      <c r="P1198" s="9" cm="1">
        <f t="array" aca="1" ref="P1198" ca="1">IF(INDIRECT(M1198) = "","",INDIRECT(M1198))</f>
        <v>0</v>
      </c>
      <c r="Q1198" s="359" t="s">
        <v>4381</v>
      </c>
    </row>
    <row r="1199" spans="1:17" x14ac:dyDescent="0.35">
      <c r="A1199" s="694" t="s">
        <v>4293</v>
      </c>
      <c r="E1199" t="str">
        <f>_xlfn.XLOOKUP(F1199,'Raw Data'!$I$4:$I$5000,'Raw Data'!$D$4:$D$5000,"*** Mnemonic not found ***",0)</f>
        <v>*** Mnemonic not found ***</v>
      </c>
      <c r="F1199" t="str">
        <f t="shared" si="280"/>
        <v>ADJICMERGSFM7__</v>
      </c>
      <c r="H1199" s="9" t="s">
        <v>1137</v>
      </c>
      <c r="K1199" s="9">
        <f t="shared" si="286"/>
        <v>330</v>
      </c>
      <c r="L1199" s="9" t="str">
        <f t="shared" si="281"/>
        <v>I</v>
      </c>
      <c r="M1199" s="9" t="str">
        <f t="shared" si="285"/>
        <v>Input!I330</v>
      </c>
      <c r="N1199" s="9">
        <f>_xlfn.XLOOKUP(F1199,'Raw Data'!$I$4:$I$5000,'Raw Data'!$E$4:$E$5000,100,0)</f>
        <v>100</v>
      </c>
      <c r="O1199" s="9" t="str">
        <f>IF(N1199=0,_xlfn.XLOOKUP(F1199,'Raw Data'!$I$4:$I$5000,'Raw Data'!$H$4:$H$5000,"",0),"")</f>
        <v/>
      </c>
      <c r="P1199" s="9" cm="1">
        <f t="array" aca="1" ref="P1199" ca="1">IF(INDIRECT(M1199) = "","",INDIRECT(M1199))</f>
        <v>0</v>
      </c>
      <c r="Q1199" s="359" t="s">
        <v>4381</v>
      </c>
    </row>
    <row r="1200" spans="1:17" x14ac:dyDescent="0.35">
      <c r="A1200" s="694" t="s">
        <v>4294</v>
      </c>
      <c r="E1200" t="str">
        <f>_xlfn.XLOOKUP(F1200,'Raw Data'!$I$4:$I$5000,'Raw Data'!$D$4:$D$5000,"*** Mnemonic not found ***",0)</f>
        <v>*** Mnemonic not found ***</v>
      </c>
      <c r="F1200" t="str">
        <f t="shared" si="280"/>
        <v>ADJICMERGSFM8__</v>
      </c>
      <c r="H1200" s="9" t="s">
        <v>1137</v>
      </c>
      <c r="K1200" s="9">
        <f t="shared" si="286"/>
        <v>330</v>
      </c>
      <c r="L1200" s="9" t="str">
        <f t="shared" si="281"/>
        <v>J</v>
      </c>
      <c r="M1200" s="9" t="str">
        <f t="shared" si="285"/>
        <v>Input!J330</v>
      </c>
      <c r="N1200" s="9">
        <f>_xlfn.XLOOKUP(F1200,'Raw Data'!$I$4:$I$5000,'Raw Data'!$E$4:$E$5000,100,0)</f>
        <v>100</v>
      </c>
      <c r="O1200" s="9" t="str">
        <f>IF(N1200=0,_xlfn.XLOOKUP(F1200,'Raw Data'!$I$4:$I$5000,'Raw Data'!$H$4:$H$5000,"",0),"")</f>
        <v/>
      </c>
      <c r="P1200" s="9" cm="1">
        <f t="array" aca="1" ref="P1200" ca="1">IF(INDIRECT(M1200) = "","",INDIRECT(M1200))</f>
        <v>0</v>
      </c>
      <c r="Q1200" s="359" t="s">
        <v>4381</v>
      </c>
    </row>
    <row r="1201" spans="1:17" x14ac:dyDescent="0.35">
      <c r="A1201" s="694" t="s">
        <v>4295</v>
      </c>
      <c r="E1201" t="str">
        <f>_xlfn.XLOOKUP(F1201,'Raw Data'!$I$4:$I$5000,'Raw Data'!$D$4:$D$5000,"*** Mnemonic not found ***",0)</f>
        <v>*** Mnemonic not found ***</v>
      </c>
      <c r="F1201" t="str">
        <f t="shared" si="280"/>
        <v>ADJICMERGSFM9__</v>
      </c>
      <c r="H1201" s="9" t="s">
        <v>1137</v>
      </c>
      <c r="K1201" s="9">
        <f t="shared" si="286"/>
        <v>330</v>
      </c>
      <c r="L1201" s="9" t="str">
        <f t="shared" si="281"/>
        <v>K</v>
      </c>
      <c r="M1201" s="9" t="str">
        <f t="shared" si="285"/>
        <v>Input!K330</v>
      </c>
      <c r="N1201" s="9">
        <f>_xlfn.XLOOKUP(F1201,'Raw Data'!$I$4:$I$5000,'Raw Data'!$E$4:$E$5000,100,0)</f>
        <v>100</v>
      </c>
      <c r="O1201" s="9" t="str">
        <f>IF(N1201=0,_xlfn.XLOOKUP(F1201,'Raw Data'!$I$4:$I$5000,'Raw Data'!$H$4:$H$5000,"",0),"")</f>
        <v/>
      </c>
      <c r="P1201" s="9" cm="1">
        <f t="array" aca="1" ref="P1201" ca="1">IF(INDIRECT(M1201) = "","",INDIRECT(M1201))</f>
        <v>0</v>
      </c>
      <c r="Q1201" s="359" t="s">
        <v>4381</v>
      </c>
    </row>
    <row r="1202" spans="1:17" x14ac:dyDescent="0.35">
      <c r="A1202" s="694" t="s">
        <v>4296</v>
      </c>
      <c r="E1202" t="str">
        <f>_xlfn.XLOOKUP(F1202,'Raw Data'!$I$4:$I$5000,'Raw Data'!$D$4:$D$5000,"*** Mnemonic not found ***",0)</f>
        <v>*** Mnemonic not found ***</v>
      </c>
      <c r="F1202" t="str">
        <f t="shared" si="280"/>
        <v>ADJICMERGSFM10__</v>
      </c>
      <c r="H1202" s="9" t="s">
        <v>1137</v>
      </c>
      <c r="K1202" s="9">
        <f t="shared" si="286"/>
        <v>330</v>
      </c>
      <c r="L1202" s="9" t="str">
        <f t="shared" si="281"/>
        <v>L</v>
      </c>
      <c r="M1202" s="9" t="str">
        <f t="shared" si="285"/>
        <v>Input!L330</v>
      </c>
      <c r="N1202" s="9">
        <f>_xlfn.XLOOKUP(F1202,'Raw Data'!$I$4:$I$5000,'Raw Data'!$E$4:$E$5000,100,0)</f>
        <v>100</v>
      </c>
      <c r="O1202" s="9" t="str">
        <f>IF(N1202=0,_xlfn.XLOOKUP(F1202,'Raw Data'!$I$4:$I$5000,'Raw Data'!$H$4:$H$5000,"",0),"")</f>
        <v/>
      </c>
      <c r="P1202" s="9" cm="1">
        <f t="array" aca="1" ref="P1202" ca="1">IF(INDIRECT(M1202) = "","",INDIRECT(M1202))</f>
        <v>0</v>
      </c>
      <c r="Q1202" s="359" t="s">
        <v>4381</v>
      </c>
    </row>
    <row r="1203" spans="1:17" x14ac:dyDescent="0.35">
      <c r="A1203" s="694" t="s">
        <v>4297</v>
      </c>
      <c r="E1203" t="str">
        <f>_xlfn.XLOOKUP(F1203,'Raw Data'!$I$4:$I$5000,'Raw Data'!$D$4:$D$5000,"*** Mnemonic not found ***",0)</f>
        <v>*** Mnemonic not found ***</v>
      </c>
      <c r="F1203" t="str">
        <f t="shared" si="280"/>
        <v>ADJICMERGSFJ1__</v>
      </c>
      <c r="H1203" s="9" t="s">
        <v>1137</v>
      </c>
      <c r="K1203" s="9">
        <f>K1193+4</f>
        <v>334</v>
      </c>
      <c r="L1203" s="9" t="str">
        <f t="shared" si="281"/>
        <v>C</v>
      </c>
      <c r="M1203" s="9" t="str">
        <f t="shared" ref="M1203:M1212" si="287">CONCATENATE(H1203,"!",L1203,K1203)</f>
        <v>Input!C334</v>
      </c>
      <c r="N1203" s="9">
        <f>_xlfn.XLOOKUP(F1203,'Raw Data'!$I$4:$I$5000,'Raw Data'!$E$4:$E$5000,100,0)</f>
        <v>100</v>
      </c>
      <c r="O1203" s="9" t="str">
        <f>IF(N1203=0,_xlfn.XLOOKUP(F1203,'Raw Data'!$I$4:$I$5000,'Raw Data'!$H$4:$H$5000,"",0),"")</f>
        <v/>
      </c>
      <c r="P1203" s="9" cm="1">
        <f t="array" aca="1" ref="P1203" ca="1">IF(INDIRECT(M1203) = "","",INDIRECT(M1203))</f>
        <v>0</v>
      </c>
      <c r="Q1203" s="359" t="s">
        <v>4381</v>
      </c>
    </row>
    <row r="1204" spans="1:17" x14ac:dyDescent="0.35">
      <c r="A1204" s="694" t="s">
        <v>4298</v>
      </c>
      <c r="E1204" t="str">
        <f>_xlfn.XLOOKUP(F1204,'Raw Data'!$I$4:$I$5000,'Raw Data'!$D$4:$D$5000,"*** Mnemonic not found ***",0)</f>
        <v>*** Mnemonic not found ***</v>
      </c>
      <c r="F1204" t="str">
        <f t="shared" si="280"/>
        <v>ADJICMERGSFJ2__</v>
      </c>
      <c r="H1204" s="9" t="s">
        <v>1137</v>
      </c>
      <c r="K1204" s="9">
        <f>K1203</f>
        <v>334</v>
      </c>
      <c r="L1204" s="9" t="str">
        <f t="shared" si="281"/>
        <v>D</v>
      </c>
      <c r="M1204" s="9" t="str">
        <f t="shared" si="287"/>
        <v>Input!D334</v>
      </c>
      <c r="N1204" s="9">
        <f>_xlfn.XLOOKUP(F1204,'Raw Data'!$I$4:$I$5000,'Raw Data'!$E$4:$E$5000,100,0)</f>
        <v>100</v>
      </c>
      <c r="O1204" s="9" t="str">
        <f>IF(N1204=0,_xlfn.XLOOKUP(F1204,'Raw Data'!$I$4:$I$5000,'Raw Data'!$H$4:$H$5000,"",0),"")</f>
        <v/>
      </c>
      <c r="P1204" s="9" cm="1">
        <f t="array" aca="1" ref="P1204" ca="1">IF(INDIRECT(M1204) = "","",INDIRECT(M1204))</f>
        <v>0</v>
      </c>
      <c r="Q1204" s="359" t="s">
        <v>4381</v>
      </c>
    </row>
    <row r="1205" spans="1:17" x14ac:dyDescent="0.35">
      <c r="A1205" s="694" t="s">
        <v>4299</v>
      </c>
      <c r="E1205" t="str">
        <f>_xlfn.XLOOKUP(F1205,'Raw Data'!$I$4:$I$5000,'Raw Data'!$D$4:$D$5000,"*** Mnemonic not found ***",0)</f>
        <v>*** Mnemonic not found ***</v>
      </c>
      <c r="F1205" t="str">
        <f t="shared" si="280"/>
        <v>ADJICMERGSFJ3__</v>
      </c>
      <c r="H1205" s="9" t="s">
        <v>1137</v>
      </c>
      <c r="K1205" s="9">
        <f t="shared" ref="K1205:K1212" si="288">K1204</f>
        <v>334</v>
      </c>
      <c r="L1205" s="9" t="str">
        <f t="shared" si="281"/>
        <v>E</v>
      </c>
      <c r="M1205" s="9" t="str">
        <f t="shared" si="287"/>
        <v>Input!E334</v>
      </c>
      <c r="N1205" s="9">
        <f>_xlfn.XLOOKUP(F1205,'Raw Data'!$I$4:$I$5000,'Raw Data'!$E$4:$E$5000,100,0)</f>
        <v>100</v>
      </c>
      <c r="O1205" s="9" t="str">
        <f>IF(N1205=0,_xlfn.XLOOKUP(F1205,'Raw Data'!$I$4:$I$5000,'Raw Data'!$H$4:$H$5000,"",0),"")</f>
        <v/>
      </c>
      <c r="P1205" s="9" cm="1">
        <f t="array" aca="1" ref="P1205" ca="1">IF(INDIRECT(M1205) = "","",INDIRECT(M1205))</f>
        <v>0</v>
      </c>
      <c r="Q1205" s="359" t="s">
        <v>4381</v>
      </c>
    </row>
    <row r="1206" spans="1:17" x14ac:dyDescent="0.35">
      <c r="A1206" s="694" t="s">
        <v>4300</v>
      </c>
      <c r="E1206" t="str">
        <f>_xlfn.XLOOKUP(F1206,'Raw Data'!$I$4:$I$5000,'Raw Data'!$D$4:$D$5000,"*** Mnemonic not found ***",0)</f>
        <v>*** Mnemonic not found ***</v>
      </c>
      <c r="F1206" t="str">
        <f t="shared" si="280"/>
        <v>ADJICMERGSFJ4__</v>
      </c>
      <c r="H1206" s="9" t="s">
        <v>1137</v>
      </c>
      <c r="K1206" s="9">
        <f t="shared" si="288"/>
        <v>334</v>
      </c>
      <c r="L1206" s="9" t="str">
        <f t="shared" si="281"/>
        <v>F</v>
      </c>
      <c r="M1206" s="9" t="str">
        <f t="shared" si="287"/>
        <v>Input!F334</v>
      </c>
      <c r="N1206" s="9">
        <f>_xlfn.XLOOKUP(F1206,'Raw Data'!$I$4:$I$5000,'Raw Data'!$E$4:$E$5000,100,0)</f>
        <v>100</v>
      </c>
      <c r="O1206" s="9" t="str">
        <f>IF(N1206=0,_xlfn.XLOOKUP(F1206,'Raw Data'!$I$4:$I$5000,'Raw Data'!$H$4:$H$5000,"",0),"")</f>
        <v/>
      </c>
      <c r="P1206" s="9" cm="1">
        <f t="array" aca="1" ref="P1206" ca="1">IF(INDIRECT(M1206) = "","",INDIRECT(M1206))</f>
        <v>0</v>
      </c>
      <c r="Q1206" s="359" t="s">
        <v>4381</v>
      </c>
    </row>
    <row r="1207" spans="1:17" x14ac:dyDescent="0.35">
      <c r="A1207" s="694" t="s">
        <v>4301</v>
      </c>
      <c r="E1207" t="str">
        <f>_xlfn.XLOOKUP(F1207,'Raw Data'!$I$4:$I$5000,'Raw Data'!$D$4:$D$5000,"*** Mnemonic not found ***",0)</f>
        <v>*** Mnemonic not found ***</v>
      </c>
      <c r="F1207" t="str">
        <f t="shared" si="280"/>
        <v>ADJICMERGSFJ5__</v>
      </c>
      <c r="H1207" s="9" t="s">
        <v>1137</v>
      </c>
      <c r="K1207" s="9">
        <f t="shared" si="288"/>
        <v>334</v>
      </c>
      <c r="L1207" s="9" t="str">
        <f t="shared" si="281"/>
        <v>G</v>
      </c>
      <c r="M1207" s="9" t="str">
        <f t="shared" si="287"/>
        <v>Input!G334</v>
      </c>
      <c r="N1207" s="9">
        <f>_xlfn.XLOOKUP(F1207,'Raw Data'!$I$4:$I$5000,'Raw Data'!$E$4:$E$5000,100,0)</f>
        <v>100</v>
      </c>
      <c r="O1207" s="9" t="str">
        <f>IF(N1207=0,_xlfn.XLOOKUP(F1207,'Raw Data'!$I$4:$I$5000,'Raw Data'!$H$4:$H$5000,"",0),"")</f>
        <v/>
      </c>
      <c r="P1207" s="9" cm="1">
        <f t="array" aca="1" ref="P1207" ca="1">IF(INDIRECT(M1207) = "","",INDIRECT(M1207))</f>
        <v>0</v>
      </c>
      <c r="Q1207" s="359" t="s">
        <v>4381</v>
      </c>
    </row>
    <row r="1208" spans="1:17" x14ac:dyDescent="0.35">
      <c r="A1208" s="694" t="s">
        <v>4302</v>
      </c>
      <c r="E1208" t="str">
        <f>_xlfn.XLOOKUP(F1208,'Raw Data'!$I$4:$I$5000,'Raw Data'!$D$4:$D$5000,"*** Mnemonic not found ***",0)</f>
        <v>*** Mnemonic not found ***</v>
      </c>
      <c r="F1208" t="str">
        <f t="shared" si="280"/>
        <v>ADJICMERGSFJ6__</v>
      </c>
      <c r="H1208" s="9" t="s">
        <v>1137</v>
      </c>
      <c r="K1208" s="9">
        <f t="shared" si="288"/>
        <v>334</v>
      </c>
      <c r="L1208" s="9" t="str">
        <f t="shared" si="281"/>
        <v>H</v>
      </c>
      <c r="M1208" s="9" t="str">
        <f t="shared" si="287"/>
        <v>Input!H334</v>
      </c>
      <c r="N1208" s="9">
        <f>_xlfn.XLOOKUP(F1208,'Raw Data'!$I$4:$I$5000,'Raw Data'!$E$4:$E$5000,100,0)</f>
        <v>100</v>
      </c>
      <c r="O1208" s="9" t="str">
        <f>IF(N1208=0,_xlfn.XLOOKUP(F1208,'Raw Data'!$I$4:$I$5000,'Raw Data'!$H$4:$H$5000,"",0),"")</f>
        <v/>
      </c>
      <c r="P1208" s="9" cm="1">
        <f t="array" aca="1" ref="P1208" ca="1">IF(INDIRECT(M1208) = "","",INDIRECT(M1208))</f>
        <v>0</v>
      </c>
      <c r="Q1208" s="359" t="s">
        <v>4381</v>
      </c>
    </row>
    <row r="1209" spans="1:17" x14ac:dyDescent="0.35">
      <c r="A1209" s="694" t="s">
        <v>4303</v>
      </c>
      <c r="E1209" t="str">
        <f>_xlfn.XLOOKUP(F1209,'Raw Data'!$I$4:$I$5000,'Raw Data'!$D$4:$D$5000,"*** Mnemonic not found ***",0)</f>
        <v>*** Mnemonic not found ***</v>
      </c>
      <c r="F1209" t="str">
        <f t="shared" si="280"/>
        <v>ADJICMERGSFJ7__</v>
      </c>
      <c r="H1209" s="9" t="s">
        <v>1137</v>
      </c>
      <c r="K1209" s="9">
        <f t="shared" si="288"/>
        <v>334</v>
      </c>
      <c r="L1209" s="9" t="str">
        <f t="shared" si="281"/>
        <v>I</v>
      </c>
      <c r="M1209" s="9" t="str">
        <f t="shared" si="287"/>
        <v>Input!I334</v>
      </c>
      <c r="N1209" s="9">
        <f>_xlfn.XLOOKUP(F1209,'Raw Data'!$I$4:$I$5000,'Raw Data'!$E$4:$E$5000,100,0)</f>
        <v>100</v>
      </c>
      <c r="O1209" s="9" t="str">
        <f>IF(N1209=0,_xlfn.XLOOKUP(F1209,'Raw Data'!$I$4:$I$5000,'Raw Data'!$H$4:$H$5000,"",0),"")</f>
        <v/>
      </c>
      <c r="P1209" s="9" cm="1">
        <f t="array" aca="1" ref="P1209" ca="1">IF(INDIRECT(M1209) = "","",INDIRECT(M1209))</f>
        <v>0</v>
      </c>
      <c r="Q1209" s="359" t="s">
        <v>4381</v>
      </c>
    </row>
    <row r="1210" spans="1:17" x14ac:dyDescent="0.35">
      <c r="A1210" s="694" t="s">
        <v>4304</v>
      </c>
      <c r="E1210" t="str">
        <f>_xlfn.XLOOKUP(F1210,'Raw Data'!$I$4:$I$5000,'Raw Data'!$D$4:$D$5000,"*** Mnemonic not found ***",0)</f>
        <v>*** Mnemonic not found ***</v>
      </c>
      <c r="F1210" t="str">
        <f t="shared" si="280"/>
        <v>ADJICMERGSFJ8__</v>
      </c>
      <c r="H1210" s="9" t="s">
        <v>1137</v>
      </c>
      <c r="K1210" s="9">
        <f t="shared" si="288"/>
        <v>334</v>
      </c>
      <c r="L1210" s="9" t="str">
        <f t="shared" si="281"/>
        <v>J</v>
      </c>
      <c r="M1210" s="9" t="str">
        <f t="shared" si="287"/>
        <v>Input!J334</v>
      </c>
      <c r="N1210" s="9">
        <f>_xlfn.XLOOKUP(F1210,'Raw Data'!$I$4:$I$5000,'Raw Data'!$E$4:$E$5000,100,0)</f>
        <v>100</v>
      </c>
      <c r="O1210" s="9" t="str">
        <f>IF(N1210=0,_xlfn.XLOOKUP(F1210,'Raw Data'!$I$4:$I$5000,'Raw Data'!$H$4:$H$5000,"",0),"")</f>
        <v/>
      </c>
      <c r="P1210" s="9" cm="1">
        <f t="array" aca="1" ref="P1210" ca="1">IF(INDIRECT(M1210) = "","",INDIRECT(M1210))</f>
        <v>0</v>
      </c>
      <c r="Q1210" s="359" t="s">
        <v>4381</v>
      </c>
    </row>
    <row r="1211" spans="1:17" x14ac:dyDescent="0.35">
      <c r="A1211" s="694" t="s">
        <v>4305</v>
      </c>
      <c r="E1211" t="str">
        <f>_xlfn.XLOOKUP(F1211,'Raw Data'!$I$4:$I$5000,'Raw Data'!$D$4:$D$5000,"*** Mnemonic not found ***",0)</f>
        <v>*** Mnemonic not found ***</v>
      </c>
      <c r="F1211" t="str">
        <f t="shared" si="280"/>
        <v>ADJICMERGSFJ9__</v>
      </c>
      <c r="H1211" s="9" t="s">
        <v>1137</v>
      </c>
      <c r="K1211" s="9">
        <f t="shared" si="288"/>
        <v>334</v>
      </c>
      <c r="L1211" s="9" t="str">
        <f t="shared" si="281"/>
        <v>K</v>
      </c>
      <c r="M1211" s="9" t="str">
        <f t="shared" si="287"/>
        <v>Input!K334</v>
      </c>
      <c r="N1211" s="9">
        <f>_xlfn.XLOOKUP(F1211,'Raw Data'!$I$4:$I$5000,'Raw Data'!$E$4:$E$5000,100,0)</f>
        <v>100</v>
      </c>
      <c r="O1211" s="9" t="str">
        <f>IF(N1211=0,_xlfn.XLOOKUP(F1211,'Raw Data'!$I$4:$I$5000,'Raw Data'!$H$4:$H$5000,"",0),"")</f>
        <v/>
      </c>
      <c r="P1211" s="9" cm="1">
        <f t="array" aca="1" ref="P1211" ca="1">IF(INDIRECT(M1211) = "","",INDIRECT(M1211))</f>
        <v>0</v>
      </c>
      <c r="Q1211" s="359" t="s">
        <v>4381</v>
      </c>
    </row>
    <row r="1212" spans="1:17" x14ac:dyDescent="0.35">
      <c r="A1212" s="694" t="s">
        <v>4306</v>
      </c>
      <c r="E1212" t="str">
        <f>_xlfn.XLOOKUP(F1212,'Raw Data'!$I$4:$I$5000,'Raw Data'!$D$4:$D$5000,"*** Mnemonic not found ***",0)</f>
        <v>*** Mnemonic not found ***</v>
      </c>
      <c r="F1212" t="str">
        <f t="shared" si="280"/>
        <v>ADJICMERGSFJ10__</v>
      </c>
      <c r="H1212" s="9" t="s">
        <v>1137</v>
      </c>
      <c r="K1212" s="9">
        <f t="shared" si="288"/>
        <v>334</v>
      </c>
      <c r="L1212" s="9" t="str">
        <f t="shared" si="281"/>
        <v>L</v>
      </c>
      <c r="M1212" s="9" t="str">
        <f t="shared" si="287"/>
        <v>Input!L334</v>
      </c>
      <c r="N1212" s="9">
        <f>_xlfn.XLOOKUP(F1212,'Raw Data'!$I$4:$I$5000,'Raw Data'!$E$4:$E$5000,100,0)</f>
        <v>100</v>
      </c>
      <c r="O1212" s="9" t="str">
        <f>IF(N1212=0,_xlfn.XLOOKUP(F1212,'Raw Data'!$I$4:$I$5000,'Raw Data'!$H$4:$H$5000,"",0),"")</f>
        <v/>
      </c>
      <c r="P1212" s="9" cm="1">
        <f t="array" aca="1" ref="P1212" ca="1">IF(INDIRECT(M1212) = "","",INDIRECT(M1212))</f>
        <v>0</v>
      </c>
      <c r="Q1212" s="359" t="s">
        <v>4381</v>
      </c>
    </row>
    <row r="1213" spans="1:17" x14ac:dyDescent="0.35">
      <c r="A1213" t="s">
        <v>2880</v>
      </c>
      <c r="E1213" t="str">
        <f>_xlfn.XLOOKUP(F1213,'Raw Data'!$I$4:$I$5000,'Raw Data'!$D$4:$D$5000,"*** Mnemonic not found ***",0)</f>
        <v>*** Mnemonic not found ***</v>
      </c>
      <c r="F1213" t="str">
        <f t="shared" si="280"/>
        <v>SUCMGTTOTRATEDBNDS__</v>
      </c>
      <c r="H1213" s="9" t="s">
        <v>1137</v>
      </c>
      <c r="K1213" s="9">
        <f>K1212+6</f>
        <v>340</v>
      </c>
      <c r="L1213" s="9" t="s">
        <v>1124</v>
      </c>
      <c r="M1213" s="9" t="str">
        <f t="shared" si="262"/>
        <v>Input!F340</v>
      </c>
      <c r="N1213" s="9">
        <f>_xlfn.XLOOKUP(F1213,'Raw Data'!$I$4:$I$5000,'Raw Data'!$E$4:$E$5000,100,0)</f>
        <v>100</v>
      </c>
      <c r="O1213" s="9" t="str">
        <f>IF(N1213=0,_xlfn.XLOOKUP(F1213,'Raw Data'!$I$4:$I$5000,'Raw Data'!$H$4:$H$5000,"",0),"")</f>
        <v/>
      </c>
      <c r="P1213" s="9" t="str" cm="1">
        <f t="array" aca="1" ref="P1213" ca="1">IF(INDIRECT(M1213) = "","",INDIRECT(M1213))</f>
        <v/>
      </c>
      <c r="Q1213" s="359" t="s">
        <v>4381</v>
      </c>
    </row>
    <row r="1214" spans="1:17" x14ac:dyDescent="0.35">
      <c r="A1214" t="s">
        <v>1973</v>
      </c>
      <c r="E1214" t="str">
        <f>_xlfn.XLOOKUP(F1214,'Raw Data'!$I$4:$I$5000,'Raw Data'!$D$4:$D$5000,"*** Mnemonic not found ***",0)</f>
        <v>*** Mnemonic not found ***</v>
      </c>
      <c r="F1214" t="str">
        <f t="shared" si="280"/>
        <v>SUCMEQHOLDGR1LIST__</v>
      </c>
      <c r="G1214" t="s">
        <v>2192</v>
      </c>
      <c r="H1214" s="9" t="s">
        <v>1137</v>
      </c>
      <c r="I1214" s="289">
        <f>ROW(section_equity)</f>
        <v>343</v>
      </c>
      <c r="J1214" s="9">
        <v>3</v>
      </c>
      <c r="K1214" s="9">
        <f>I1214+J1214</f>
        <v>346</v>
      </c>
      <c r="L1214" s="9" t="s">
        <v>1124</v>
      </c>
      <c r="M1214" s="9" t="str">
        <f t="shared" si="262"/>
        <v>Input!F346</v>
      </c>
      <c r="N1214" s="9">
        <f>_xlfn.XLOOKUP(F1214,'Raw Data'!$I$4:$I$5000,'Raw Data'!$E$4:$E$5000,100,0)</f>
        <v>100</v>
      </c>
      <c r="O1214" s="9" t="str">
        <f>IF(N1214=0,_xlfn.XLOOKUP(F1214,'Raw Data'!$I$4:$I$5000,'Raw Data'!$H$4:$H$5000,"",0),"")</f>
        <v/>
      </c>
      <c r="P1214" s="9" t="str" cm="1">
        <f t="array" aca="1" ref="P1214" ca="1">IF(INDIRECT(M1214) = "","",INDIRECT(M1214))</f>
        <v/>
      </c>
      <c r="Q1214" s="359" t="s">
        <v>4381</v>
      </c>
    </row>
    <row r="1215" spans="1:17" x14ac:dyDescent="0.35">
      <c r="A1215" t="s">
        <v>1977</v>
      </c>
      <c r="E1215" t="str">
        <f>_xlfn.XLOOKUP(F1215,'Raw Data'!$I$4:$I$5000,'Raw Data'!$D$4:$D$5000,"*** Mnemonic not found ***",0)</f>
        <v>*** Mnemonic not found ***</v>
      </c>
      <c r="F1215" t="str">
        <f t="shared" si="280"/>
        <v>SUCMEQHOLDGR2LIST__</v>
      </c>
      <c r="H1215" s="9" t="s">
        <v>1137</v>
      </c>
      <c r="K1215" s="9">
        <f>K1214+1</f>
        <v>347</v>
      </c>
      <c r="L1215" s="9" t="str">
        <f>L1214</f>
        <v>F</v>
      </c>
      <c r="M1215" s="9" t="str">
        <f t="shared" si="262"/>
        <v>Input!F347</v>
      </c>
      <c r="N1215" s="9">
        <f>_xlfn.XLOOKUP(F1215,'Raw Data'!$I$4:$I$5000,'Raw Data'!$E$4:$E$5000,100,0)</f>
        <v>100</v>
      </c>
      <c r="O1215" s="9" t="str">
        <f>IF(N1215=0,_xlfn.XLOOKUP(F1215,'Raw Data'!$I$4:$I$5000,'Raw Data'!$H$4:$H$5000,"",0),"")</f>
        <v/>
      </c>
      <c r="P1215" s="9" t="str" cm="1">
        <f t="array" aca="1" ref="P1215" ca="1">IF(INDIRECT(M1215) = "","",INDIRECT(M1215))</f>
        <v/>
      </c>
      <c r="Q1215" s="359" t="s">
        <v>4381</v>
      </c>
    </row>
    <row r="1216" spans="1:17" x14ac:dyDescent="0.35">
      <c r="A1216" t="s">
        <v>1981</v>
      </c>
      <c r="E1216" t="str">
        <f>_xlfn.XLOOKUP(F1216,'Raw Data'!$I$4:$I$5000,'Raw Data'!$D$4:$D$5000,"*** Mnemonic not found ***",0)</f>
        <v>*** Mnemonic not found ***</v>
      </c>
      <c r="F1216" t="str">
        <f t="shared" si="280"/>
        <v>SUCMEQHOLDGR3LIST__</v>
      </c>
      <c r="H1216" s="9" t="s">
        <v>1137</v>
      </c>
      <c r="K1216" s="9">
        <f t="shared" ref="K1216:K1217" si="289">K1215+1</f>
        <v>348</v>
      </c>
      <c r="L1216" s="9" t="str">
        <f t="shared" ref="L1216:L1217" si="290">L1215</f>
        <v>F</v>
      </c>
      <c r="M1216" s="9" t="str">
        <f t="shared" si="262"/>
        <v>Input!F348</v>
      </c>
      <c r="N1216" s="9">
        <f>_xlfn.XLOOKUP(F1216,'Raw Data'!$I$4:$I$5000,'Raw Data'!$E$4:$E$5000,100,0)</f>
        <v>100</v>
      </c>
      <c r="O1216" s="9" t="str">
        <f>IF(N1216=0,_xlfn.XLOOKUP(F1216,'Raw Data'!$I$4:$I$5000,'Raw Data'!$H$4:$H$5000,"",0),"")</f>
        <v/>
      </c>
      <c r="P1216" s="9" t="str" cm="1">
        <f t="array" aca="1" ref="P1216" ca="1">IF(INDIRECT(M1216) = "","",INDIRECT(M1216))</f>
        <v/>
      </c>
      <c r="Q1216" s="359" t="s">
        <v>4381</v>
      </c>
    </row>
    <row r="1217" spans="1:18" x14ac:dyDescent="0.35">
      <c r="A1217" t="s">
        <v>1985</v>
      </c>
      <c r="E1217" t="str">
        <f>_xlfn.XLOOKUP(F1217,'Raw Data'!$I$4:$I$5000,'Raw Data'!$D$4:$D$5000,"*** Mnemonic not found ***",0)</f>
        <v>*** Mnemonic not found ***</v>
      </c>
      <c r="F1217" t="str">
        <f t="shared" si="280"/>
        <v>SUCMEQHOLDGR4LIST__</v>
      </c>
      <c r="H1217" s="9" t="s">
        <v>1137</v>
      </c>
      <c r="K1217" s="9">
        <f t="shared" si="289"/>
        <v>349</v>
      </c>
      <c r="L1217" s="9" t="str">
        <f t="shared" si="290"/>
        <v>F</v>
      </c>
      <c r="M1217" s="9" t="str">
        <f t="shared" si="262"/>
        <v>Input!F349</v>
      </c>
      <c r="N1217" s="9">
        <f>_xlfn.XLOOKUP(F1217,'Raw Data'!$I$4:$I$5000,'Raw Data'!$E$4:$E$5000,100,0)</f>
        <v>100</v>
      </c>
      <c r="O1217" s="9" t="str">
        <f>IF(N1217=0,_xlfn.XLOOKUP(F1217,'Raw Data'!$I$4:$I$5000,'Raw Data'!$H$4:$H$5000,"",0),"")</f>
        <v/>
      </c>
      <c r="P1217" s="9" t="str" cm="1">
        <f t="array" aca="1" ref="P1217" ca="1">IF(INDIRECT(M1217) = "","",INDIRECT(M1217))</f>
        <v/>
      </c>
      <c r="Q1217" s="359" t="s">
        <v>4381</v>
      </c>
    </row>
    <row r="1218" spans="1:18" x14ac:dyDescent="0.35">
      <c r="A1218" t="s">
        <v>1974</v>
      </c>
      <c r="E1218" t="str">
        <f>_xlfn.XLOOKUP(F1218,'Raw Data'!$I$4:$I$5000,'Raw Data'!$D$4:$D$5000,"*** Mnemonic not found ***",0)</f>
        <v>*** Mnemonic not found ***</v>
      </c>
      <c r="F1218" t="str">
        <f t="shared" si="280"/>
        <v>SUCMEQHOLDGR1UNLIST__</v>
      </c>
      <c r="H1218" s="9" t="s">
        <v>1137</v>
      </c>
      <c r="K1218" s="9">
        <f>K1214</f>
        <v>346</v>
      </c>
      <c r="L1218" s="9" t="s">
        <v>1145</v>
      </c>
      <c r="M1218" s="9" t="str">
        <f t="shared" si="262"/>
        <v>Input!G346</v>
      </c>
      <c r="N1218" s="9">
        <f>_xlfn.XLOOKUP(F1218,'Raw Data'!$I$4:$I$5000,'Raw Data'!$E$4:$E$5000,100,0)</f>
        <v>100</v>
      </c>
      <c r="O1218" s="9" t="str">
        <f>IF(N1218=0,_xlfn.XLOOKUP(F1218,'Raw Data'!$I$4:$I$5000,'Raw Data'!$H$4:$H$5000,"",0),"")</f>
        <v/>
      </c>
      <c r="P1218" s="9" t="str" cm="1">
        <f t="array" aca="1" ref="P1218" ca="1">IF(INDIRECT(M1218) = "","",INDIRECT(M1218))</f>
        <v/>
      </c>
      <c r="Q1218" s="359" t="s">
        <v>4381</v>
      </c>
    </row>
    <row r="1219" spans="1:18" x14ac:dyDescent="0.35">
      <c r="A1219" t="s">
        <v>1978</v>
      </c>
      <c r="E1219" t="str">
        <f>_xlfn.XLOOKUP(F1219,'Raw Data'!$I$4:$I$5000,'Raw Data'!$D$4:$D$5000,"*** Mnemonic not found ***",0)</f>
        <v>*** Mnemonic not found ***</v>
      </c>
      <c r="F1219" t="str">
        <f t="shared" si="280"/>
        <v>SUCMEQHOLDGR2UNLIST__</v>
      </c>
      <c r="H1219" s="9" t="s">
        <v>1137</v>
      </c>
      <c r="K1219" s="9">
        <f>K1218+1</f>
        <v>347</v>
      </c>
      <c r="L1219" s="9" t="str">
        <f>L1218</f>
        <v>G</v>
      </c>
      <c r="M1219" s="9" t="str">
        <f t="shared" si="262"/>
        <v>Input!G347</v>
      </c>
      <c r="N1219" s="9">
        <f>_xlfn.XLOOKUP(F1219,'Raw Data'!$I$4:$I$5000,'Raw Data'!$E$4:$E$5000,100,0)</f>
        <v>100</v>
      </c>
      <c r="O1219" s="9" t="str">
        <f>IF(N1219=0,_xlfn.XLOOKUP(F1219,'Raw Data'!$I$4:$I$5000,'Raw Data'!$H$4:$H$5000,"",0),"")</f>
        <v/>
      </c>
      <c r="P1219" s="9" t="str" cm="1">
        <f t="array" aca="1" ref="P1219" ca="1">IF(INDIRECT(M1219) = "","",INDIRECT(M1219))</f>
        <v/>
      </c>
      <c r="Q1219" s="359" t="s">
        <v>4381</v>
      </c>
    </row>
    <row r="1220" spans="1:18" x14ac:dyDescent="0.35">
      <c r="A1220" t="s">
        <v>1982</v>
      </c>
      <c r="E1220" t="str">
        <f>_xlfn.XLOOKUP(F1220,'Raw Data'!$I$4:$I$5000,'Raw Data'!$D$4:$D$5000,"*** Mnemonic not found ***",0)</f>
        <v>*** Mnemonic not found ***</v>
      </c>
      <c r="F1220" t="str">
        <f t="shared" si="280"/>
        <v>SUCMEQHOLDGR3UNLIST__</v>
      </c>
      <c r="H1220" s="9" t="s">
        <v>1137</v>
      </c>
      <c r="K1220" s="9">
        <f t="shared" ref="K1220:K1221" si="291">K1219+1</f>
        <v>348</v>
      </c>
      <c r="L1220" s="9" t="str">
        <f t="shared" ref="L1220:L1221" si="292">L1219</f>
        <v>G</v>
      </c>
      <c r="M1220" s="9" t="str">
        <f t="shared" si="262"/>
        <v>Input!G348</v>
      </c>
      <c r="N1220" s="9">
        <f>_xlfn.XLOOKUP(F1220,'Raw Data'!$I$4:$I$5000,'Raw Data'!$E$4:$E$5000,100,0)</f>
        <v>100</v>
      </c>
      <c r="O1220" s="9" t="str">
        <f>IF(N1220=0,_xlfn.XLOOKUP(F1220,'Raw Data'!$I$4:$I$5000,'Raw Data'!$H$4:$H$5000,"",0),"")</f>
        <v/>
      </c>
      <c r="P1220" s="9" t="str" cm="1">
        <f t="array" aca="1" ref="P1220" ca="1">IF(INDIRECT(M1220) = "","",INDIRECT(M1220))</f>
        <v/>
      </c>
      <c r="Q1220" s="359" t="s">
        <v>4381</v>
      </c>
    </row>
    <row r="1221" spans="1:18" x14ac:dyDescent="0.35">
      <c r="A1221" t="s">
        <v>1986</v>
      </c>
      <c r="E1221" t="str">
        <f>_xlfn.XLOOKUP(F1221,'Raw Data'!$I$4:$I$5000,'Raw Data'!$D$4:$D$5000,"*** Mnemonic not found ***",0)</f>
        <v>*** Mnemonic not found ***</v>
      </c>
      <c r="F1221" t="str">
        <f t="shared" ref="F1221:F1286" si="293">CONCATENATE(A1221,"_",B1221,"_",D1221)</f>
        <v>SUCMEQHOLDGR4UNLIST__</v>
      </c>
      <c r="H1221" s="9" t="s">
        <v>1137</v>
      </c>
      <c r="K1221" s="9">
        <f t="shared" si="291"/>
        <v>349</v>
      </c>
      <c r="L1221" s="9" t="str">
        <f t="shared" si="292"/>
        <v>G</v>
      </c>
      <c r="M1221" s="9" t="str">
        <f t="shared" si="262"/>
        <v>Input!G349</v>
      </c>
      <c r="N1221" s="9">
        <f>_xlfn.XLOOKUP(F1221,'Raw Data'!$I$4:$I$5000,'Raw Data'!$E$4:$E$5000,100,0)</f>
        <v>100</v>
      </c>
      <c r="O1221" s="9" t="str">
        <f>IF(N1221=0,_xlfn.XLOOKUP(F1221,'Raw Data'!$I$4:$I$5000,'Raw Data'!$H$4:$H$5000,"",0),"")</f>
        <v/>
      </c>
      <c r="P1221" s="9" t="str" cm="1">
        <f t="array" aca="1" ref="P1221" ca="1">IF(INDIRECT(M1221) = "","",INDIRECT(M1221))</f>
        <v/>
      </c>
      <c r="Q1221" s="359" t="s">
        <v>4381</v>
      </c>
    </row>
    <row r="1222" spans="1:18" x14ac:dyDescent="0.35">
      <c r="A1222" t="s">
        <v>1975</v>
      </c>
      <c r="E1222" t="str">
        <f>_xlfn.XLOOKUP(F1222,'Raw Data'!$I$4:$I$5000,'Raw Data'!$D$4:$D$5000,"*** Mnemonic not found ***",0)</f>
        <v>*** Mnemonic not found ***</v>
      </c>
      <c r="F1222" t="str">
        <f t="shared" si="293"/>
        <v>SUCMEQHOLDINVGR1LIST__</v>
      </c>
      <c r="H1222" s="9" t="s">
        <v>1137</v>
      </c>
      <c r="K1222" s="9">
        <f>K1218</f>
        <v>346</v>
      </c>
      <c r="L1222" s="9" t="s">
        <v>1144</v>
      </c>
      <c r="M1222" s="9" t="str">
        <f t="shared" si="262"/>
        <v>Input!H346</v>
      </c>
      <c r="N1222" s="9">
        <f>_xlfn.XLOOKUP(F1222,'Raw Data'!$I$4:$I$5000,'Raw Data'!$E$4:$E$5000,100,0)</f>
        <v>100</v>
      </c>
      <c r="O1222" s="9" t="str">
        <f>IF(N1222=0,_xlfn.XLOOKUP(F1222,'Raw Data'!$I$4:$I$5000,'Raw Data'!$H$4:$H$5000,"",0),"")</f>
        <v/>
      </c>
      <c r="P1222" s="9" t="str" cm="1">
        <f t="array" aca="1" ref="P1222" ca="1">IF(INDIRECT(M1222) = "","",INDIRECT(M1222))</f>
        <v/>
      </c>
      <c r="Q1222" s="359" t="s">
        <v>4381</v>
      </c>
    </row>
    <row r="1223" spans="1:18" x14ac:dyDescent="0.35">
      <c r="A1223" t="s">
        <v>1979</v>
      </c>
      <c r="E1223" t="str">
        <f>_xlfn.XLOOKUP(F1223,'Raw Data'!$I$4:$I$5000,'Raw Data'!$D$4:$D$5000,"*** Mnemonic not found ***",0)</f>
        <v>*** Mnemonic not found ***</v>
      </c>
      <c r="F1223" t="str">
        <f t="shared" si="293"/>
        <v>SUCMEQHOLDINVGR2LIST__</v>
      </c>
      <c r="H1223" s="9" t="s">
        <v>1137</v>
      </c>
      <c r="K1223" s="9">
        <f>K1222+1</f>
        <v>347</v>
      </c>
      <c r="L1223" s="9" t="str">
        <f>L1222</f>
        <v>H</v>
      </c>
      <c r="M1223" s="9" t="str">
        <f t="shared" si="262"/>
        <v>Input!H347</v>
      </c>
      <c r="N1223" s="9">
        <f>_xlfn.XLOOKUP(F1223,'Raw Data'!$I$4:$I$5000,'Raw Data'!$E$4:$E$5000,100,0)</f>
        <v>100</v>
      </c>
      <c r="O1223" s="9" t="str">
        <f>IF(N1223=0,_xlfn.XLOOKUP(F1223,'Raw Data'!$I$4:$I$5000,'Raw Data'!$H$4:$H$5000,"",0),"")</f>
        <v/>
      </c>
      <c r="P1223" s="9" t="str" cm="1">
        <f t="array" aca="1" ref="P1223" ca="1">IF(INDIRECT(M1223) = "","",INDIRECT(M1223))</f>
        <v/>
      </c>
      <c r="Q1223" s="359" t="s">
        <v>4381</v>
      </c>
    </row>
    <row r="1224" spans="1:18" x14ac:dyDescent="0.35">
      <c r="A1224" t="s">
        <v>1983</v>
      </c>
      <c r="E1224" t="str">
        <f>_xlfn.XLOOKUP(F1224,'Raw Data'!$I$4:$I$5000,'Raw Data'!$D$4:$D$5000,"*** Mnemonic not found ***",0)</f>
        <v>*** Mnemonic not found ***</v>
      </c>
      <c r="F1224" t="str">
        <f t="shared" si="293"/>
        <v>SUCMEQHOLDINVGR3LIST__</v>
      </c>
      <c r="H1224" s="9" t="s">
        <v>1137</v>
      </c>
      <c r="K1224" s="9">
        <f t="shared" ref="K1224:K1225" si="294">K1223+1</f>
        <v>348</v>
      </c>
      <c r="L1224" s="9" t="str">
        <f t="shared" ref="L1224:L1225" si="295">L1223</f>
        <v>H</v>
      </c>
      <c r="M1224" s="9" t="str">
        <f t="shared" si="262"/>
        <v>Input!H348</v>
      </c>
      <c r="N1224" s="9">
        <f>_xlfn.XLOOKUP(F1224,'Raw Data'!$I$4:$I$5000,'Raw Data'!$E$4:$E$5000,100,0)</f>
        <v>100</v>
      </c>
      <c r="O1224" s="9" t="str">
        <f>IF(N1224=0,_xlfn.XLOOKUP(F1224,'Raw Data'!$I$4:$I$5000,'Raw Data'!$H$4:$H$5000,"",0),"")</f>
        <v/>
      </c>
      <c r="P1224" s="9" t="str" cm="1">
        <f t="array" aca="1" ref="P1224" ca="1">IF(INDIRECT(M1224) = "","",INDIRECT(M1224))</f>
        <v/>
      </c>
      <c r="Q1224" s="359" t="s">
        <v>4381</v>
      </c>
    </row>
    <row r="1225" spans="1:18" x14ac:dyDescent="0.35">
      <c r="A1225" t="s">
        <v>1987</v>
      </c>
      <c r="E1225" t="str">
        <f>_xlfn.XLOOKUP(F1225,'Raw Data'!$I$4:$I$5000,'Raw Data'!$D$4:$D$5000,"*** Mnemonic not found ***",0)</f>
        <v>*** Mnemonic not found ***</v>
      </c>
      <c r="F1225" t="str">
        <f t="shared" si="293"/>
        <v>SUCMEQHOLDINVGR4LIST__</v>
      </c>
      <c r="H1225" s="9" t="s">
        <v>1137</v>
      </c>
      <c r="K1225" s="9">
        <f t="shared" si="294"/>
        <v>349</v>
      </c>
      <c r="L1225" s="9" t="str">
        <f t="shared" si="295"/>
        <v>H</v>
      </c>
      <c r="M1225" s="9" t="str">
        <f t="shared" si="262"/>
        <v>Input!H349</v>
      </c>
      <c r="N1225" s="9">
        <f>_xlfn.XLOOKUP(F1225,'Raw Data'!$I$4:$I$5000,'Raw Data'!$E$4:$E$5000,100,0)</f>
        <v>100</v>
      </c>
      <c r="O1225" s="9" t="str">
        <f>IF(N1225=0,_xlfn.XLOOKUP(F1225,'Raw Data'!$I$4:$I$5000,'Raw Data'!$H$4:$H$5000,"",0),"")</f>
        <v/>
      </c>
      <c r="P1225" s="9" t="str" cm="1">
        <f t="array" aca="1" ref="P1225" ca="1">IF(INDIRECT(M1225) = "","",INDIRECT(M1225))</f>
        <v/>
      </c>
      <c r="Q1225" s="359" t="s">
        <v>4381</v>
      </c>
    </row>
    <row r="1226" spans="1:18" x14ac:dyDescent="0.35">
      <c r="A1226" t="s">
        <v>1976</v>
      </c>
      <c r="E1226" t="str">
        <f>_xlfn.XLOOKUP(F1226,'Raw Data'!$I$4:$I$5000,'Raw Data'!$D$4:$D$5000,"*** Mnemonic not found ***",0)</f>
        <v>*** Mnemonic not found ***</v>
      </c>
      <c r="F1226" t="str">
        <f t="shared" si="293"/>
        <v>SUCMEQHOLDINVGR1UNLIST__</v>
      </c>
      <c r="H1226" s="9" t="s">
        <v>1137</v>
      </c>
      <c r="K1226" s="9">
        <f>K1222</f>
        <v>346</v>
      </c>
      <c r="L1226" s="9" t="s">
        <v>1375</v>
      </c>
      <c r="M1226" s="9" t="str">
        <f t="shared" si="262"/>
        <v>Input!I346</v>
      </c>
      <c r="N1226" s="9">
        <f>_xlfn.XLOOKUP(F1226,'Raw Data'!$I$4:$I$5000,'Raw Data'!$E$4:$E$5000,100,0)</f>
        <v>100</v>
      </c>
      <c r="O1226" s="9" t="str">
        <f>IF(N1226=0,_xlfn.XLOOKUP(F1226,'Raw Data'!$I$4:$I$5000,'Raw Data'!$H$4:$H$5000,"",0),"")</f>
        <v/>
      </c>
      <c r="P1226" s="9" t="str" cm="1">
        <f t="array" aca="1" ref="P1226" ca="1">IF(INDIRECT(M1226) = "","",INDIRECT(M1226))</f>
        <v/>
      </c>
      <c r="Q1226" s="359" t="s">
        <v>4381</v>
      </c>
    </row>
    <row r="1227" spans="1:18" x14ac:dyDescent="0.35">
      <c r="A1227" t="s">
        <v>1980</v>
      </c>
      <c r="E1227" t="str">
        <f>_xlfn.XLOOKUP(F1227,'Raw Data'!$I$4:$I$5000,'Raw Data'!$D$4:$D$5000,"*** Mnemonic not found ***",0)</f>
        <v>*** Mnemonic not found ***</v>
      </c>
      <c r="F1227" t="str">
        <f t="shared" si="293"/>
        <v>SUCMEQHOLDINVGR2UNLIST__</v>
      </c>
      <c r="H1227" s="9" t="s">
        <v>1137</v>
      </c>
      <c r="K1227" s="9">
        <f>K1226+1</f>
        <v>347</v>
      </c>
      <c r="L1227" s="9" t="str">
        <f>L1226</f>
        <v>I</v>
      </c>
      <c r="M1227" s="9" t="str">
        <f t="shared" si="262"/>
        <v>Input!I347</v>
      </c>
      <c r="N1227" s="9">
        <f>_xlfn.XLOOKUP(F1227,'Raw Data'!$I$4:$I$5000,'Raw Data'!$E$4:$E$5000,100,0)</f>
        <v>100</v>
      </c>
      <c r="O1227" s="9" t="str">
        <f>IF(N1227=0,_xlfn.XLOOKUP(F1227,'Raw Data'!$I$4:$I$5000,'Raw Data'!$H$4:$H$5000,"",0),"")</f>
        <v/>
      </c>
      <c r="P1227" s="9" t="str" cm="1">
        <f t="array" aca="1" ref="P1227" ca="1">IF(INDIRECT(M1227) = "","",INDIRECT(M1227))</f>
        <v/>
      </c>
      <c r="Q1227" s="359" t="s">
        <v>4381</v>
      </c>
    </row>
    <row r="1228" spans="1:18" x14ac:dyDescent="0.35">
      <c r="A1228" t="s">
        <v>1984</v>
      </c>
      <c r="E1228" t="str">
        <f>_xlfn.XLOOKUP(F1228,'Raw Data'!$I$4:$I$5000,'Raw Data'!$D$4:$D$5000,"*** Mnemonic not found ***",0)</f>
        <v>*** Mnemonic not found ***</v>
      </c>
      <c r="F1228" t="str">
        <f t="shared" si="293"/>
        <v>SUCMEQHOLDINVGR3UNLIST__</v>
      </c>
      <c r="H1228" s="9" t="s">
        <v>1137</v>
      </c>
      <c r="K1228" s="9">
        <f t="shared" ref="K1228:K1231" si="296">K1227+1</f>
        <v>348</v>
      </c>
      <c r="L1228" s="9" t="str">
        <f t="shared" ref="L1228:L1229" si="297">L1227</f>
        <v>I</v>
      </c>
      <c r="M1228" s="9" t="str">
        <f t="shared" si="262"/>
        <v>Input!I348</v>
      </c>
      <c r="N1228" s="9">
        <f>_xlfn.XLOOKUP(F1228,'Raw Data'!$I$4:$I$5000,'Raw Data'!$E$4:$E$5000,100,0)</f>
        <v>100</v>
      </c>
      <c r="O1228" s="9" t="str">
        <f>IF(N1228=0,_xlfn.XLOOKUP(F1228,'Raw Data'!$I$4:$I$5000,'Raw Data'!$H$4:$H$5000,"",0),"")</f>
        <v/>
      </c>
      <c r="P1228" s="9" t="str" cm="1">
        <f t="array" aca="1" ref="P1228" ca="1">IF(INDIRECT(M1228) = "","",INDIRECT(M1228))</f>
        <v/>
      </c>
      <c r="Q1228" s="359" t="s">
        <v>4381</v>
      </c>
    </row>
    <row r="1229" spans="1:18" x14ac:dyDescent="0.35">
      <c r="A1229" t="s">
        <v>1988</v>
      </c>
      <c r="E1229" t="str">
        <f>_xlfn.XLOOKUP(F1229,'Raw Data'!$I$4:$I$5000,'Raw Data'!$D$4:$D$5000,"*** Mnemonic not found ***",0)</f>
        <v>*** Mnemonic not found ***</v>
      </c>
      <c r="F1229" t="str">
        <f t="shared" si="293"/>
        <v>SUCMEQHOLDINVGR4UNLIST__</v>
      </c>
      <c r="H1229" s="9" t="s">
        <v>1137</v>
      </c>
      <c r="K1229" s="9">
        <f t="shared" si="296"/>
        <v>349</v>
      </c>
      <c r="L1229" s="9" t="str">
        <f t="shared" si="297"/>
        <v>I</v>
      </c>
      <c r="M1229" s="9" t="str">
        <f t="shared" si="262"/>
        <v>Input!I349</v>
      </c>
      <c r="N1229" s="9">
        <f>_xlfn.XLOOKUP(F1229,'Raw Data'!$I$4:$I$5000,'Raw Data'!$E$4:$E$5000,100,0)</f>
        <v>100</v>
      </c>
      <c r="O1229" s="9" t="str">
        <f>IF(N1229=0,_xlfn.XLOOKUP(F1229,'Raw Data'!$I$4:$I$5000,'Raw Data'!$H$4:$H$5000,"",0),"")</f>
        <v/>
      </c>
      <c r="P1229" s="9" t="str" cm="1">
        <f t="array" aca="1" ref="P1229" ca="1">IF(INDIRECT(M1229) = "","",INDIRECT(M1229))</f>
        <v/>
      </c>
      <c r="Q1229" s="359" t="s">
        <v>4381</v>
      </c>
    </row>
    <row r="1230" spans="1:18" x14ac:dyDescent="0.35">
      <c r="A1230" s="694" t="s">
        <v>4491</v>
      </c>
      <c r="E1230" t="str">
        <f>_xlfn.XLOOKUP(F1230,'Raw Data'!$I$4:$I$5000,'Raw Data'!$D$4:$D$5000,"*** Mnemonic not found ***",0)</f>
        <v>*** Mnemonic not found ***</v>
      </c>
      <c r="F1230" t="str">
        <f t="shared" ref="F1230:F1231" si="298">CONCATENATE(A1230,"_",B1230,"_",D1230)</f>
        <v>SUCMEQINFRACAT1__</v>
      </c>
      <c r="H1230" s="9" t="s">
        <v>1137</v>
      </c>
      <c r="K1230" s="9">
        <f>K1226</f>
        <v>346</v>
      </c>
      <c r="L1230" s="9" t="s">
        <v>1378</v>
      </c>
      <c r="M1230" s="9" t="str">
        <f t="shared" ref="M1230:M1231" si="299">CONCATENATE(H1230,"!",L1230,K1230)</f>
        <v>Input!L346</v>
      </c>
      <c r="N1230" s="9">
        <f>_xlfn.XLOOKUP(F1230,'Raw Data'!$I$4:$I$5000,'Raw Data'!$E$4:$E$5000,100,0)</f>
        <v>100</v>
      </c>
      <c r="O1230" s="9" t="str">
        <f>IF(N1230=0,_xlfn.XLOOKUP(F1230,'Raw Data'!$I$4:$I$5000,'Raw Data'!$H$4:$H$5000,"",0),"")</f>
        <v/>
      </c>
      <c r="P1230" s="9" t="str" cm="1">
        <f t="array" aca="1" ref="P1230" ca="1">IF(INDIRECT(M1230) = "","",INDIRECT(M1230))</f>
        <v/>
      </c>
      <c r="Q1230" s="359" t="s">
        <v>4381</v>
      </c>
      <c r="R1230" t="s">
        <v>4411</v>
      </c>
    </row>
    <row r="1231" spans="1:18" x14ac:dyDescent="0.35">
      <c r="A1231" s="694" t="s">
        <v>4492</v>
      </c>
      <c r="E1231" t="str">
        <f>_xlfn.XLOOKUP(F1231,'Raw Data'!$I$4:$I$5000,'Raw Data'!$D$4:$D$5000,"*** Mnemonic not found ***",0)</f>
        <v>*** Mnemonic not found ***</v>
      </c>
      <c r="F1231" t="str">
        <f t="shared" si="298"/>
        <v>SUCMEQINFRACAT2__</v>
      </c>
      <c r="H1231" s="9" t="s">
        <v>1137</v>
      </c>
      <c r="K1231" s="9">
        <f t="shared" si="296"/>
        <v>347</v>
      </c>
      <c r="L1231" s="9" t="str">
        <f>L1230</f>
        <v>L</v>
      </c>
      <c r="M1231" s="9" t="str">
        <f t="shared" si="299"/>
        <v>Input!L347</v>
      </c>
      <c r="N1231" s="9">
        <f>_xlfn.XLOOKUP(F1231,'Raw Data'!$I$4:$I$5000,'Raw Data'!$E$4:$E$5000,100,0)</f>
        <v>100</v>
      </c>
      <c r="O1231" s="9" t="str">
        <f>IF(N1231=0,_xlfn.XLOOKUP(F1231,'Raw Data'!$I$4:$I$5000,'Raw Data'!$H$4:$H$5000,"",0),"")</f>
        <v/>
      </c>
      <c r="P1231" s="9" t="str" cm="1">
        <f t="array" aca="1" ref="P1231" ca="1">IF(INDIRECT(M1231) = "","",INDIRECT(M1231))</f>
        <v/>
      </c>
      <c r="Q1231" s="359" t="s">
        <v>4381</v>
      </c>
      <c r="R1231" t="s">
        <v>4412</v>
      </c>
    </row>
    <row r="1232" spans="1:18" x14ac:dyDescent="0.35">
      <c r="A1232" t="s">
        <v>1989</v>
      </c>
      <c r="E1232" t="str">
        <f>_xlfn.XLOOKUP(F1232,'Raw Data'!$I$4:$I$5000,'Raw Data'!$D$4:$D$5000,"*** Mnemonic not found ***",0)</f>
        <v>*** Mnemonic not found ***</v>
      </c>
      <c r="F1232" t="str">
        <f t="shared" si="293"/>
        <v>SUCMTOTEQHOLD__</v>
      </c>
      <c r="H1232" s="9" t="s">
        <v>1137</v>
      </c>
      <c r="K1232" s="9">
        <f>K1229+2</f>
        <v>351</v>
      </c>
      <c r="L1232" s="9" t="str">
        <f>L1214</f>
        <v>F</v>
      </c>
      <c r="M1232" s="9" t="str">
        <f t="shared" si="262"/>
        <v>Input!F351</v>
      </c>
      <c r="N1232" s="9">
        <f>_xlfn.XLOOKUP(F1232,'Raw Data'!$I$4:$I$5000,'Raw Data'!$E$4:$E$5000,100,0)</f>
        <v>100</v>
      </c>
      <c r="O1232" s="9" t="str">
        <f>IF(N1232=0,_xlfn.XLOOKUP(F1232,'Raw Data'!$I$4:$I$5000,'Raw Data'!$H$4:$H$5000,"",0),"")</f>
        <v/>
      </c>
      <c r="P1232" s="9" t="str" cm="1">
        <f t="array" aca="1" ref="P1232" ca="1">IF(INDIRECT(M1232) = "","",INDIRECT(M1232))</f>
        <v/>
      </c>
      <c r="Q1232" s="359" t="s">
        <v>4381</v>
      </c>
    </row>
    <row r="1233" spans="1:17" x14ac:dyDescent="0.35">
      <c r="A1233" t="s">
        <v>1990</v>
      </c>
      <c r="E1233" t="str">
        <f>_xlfn.XLOOKUP(F1233,'Raw Data'!$I$4:$I$5000,'Raw Data'!$D$4:$D$5000,"*** Mnemonic not found ***",0)</f>
        <v>*** Mnemonic not found ***</v>
      </c>
      <c r="F1233" t="str">
        <f t="shared" si="293"/>
        <v>SUCMREINVPROPGR1__</v>
      </c>
      <c r="G1233" t="s">
        <v>338</v>
      </c>
      <c r="H1233" s="9" t="s">
        <v>1137</v>
      </c>
      <c r="I1233" s="289">
        <f>ROW(section_real_estate)</f>
        <v>354</v>
      </c>
      <c r="J1233" s="9">
        <v>3</v>
      </c>
      <c r="K1233" s="9">
        <f>I1233+J1233</f>
        <v>357</v>
      </c>
      <c r="L1233" s="9" t="s">
        <v>1124</v>
      </c>
      <c r="M1233" s="9" t="str">
        <f t="shared" si="262"/>
        <v>Input!F357</v>
      </c>
      <c r="N1233" s="9">
        <f>_xlfn.XLOOKUP(F1233,'Raw Data'!$I$4:$I$5000,'Raw Data'!$E$4:$E$5000,100,0)</f>
        <v>100</v>
      </c>
      <c r="O1233" s="9" t="str">
        <f>IF(N1233=0,_xlfn.XLOOKUP(F1233,'Raw Data'!$I$4:$I$5000,'Raw Data'!$H$4:$H$5000,"",0),"")</f>
        <v/>
      </c>
      <c r="P1233" s="9" t="str" cm="1">
        <f t="array" aca="1" ref="P1233" ca="1">IF(INDIRECT(M1233) = "","",INDIRECT(M1233))</f>
        <v/>
      </c>
      <c r="Q1233" s="359" t="s">
        <v>4381</v>
      </c>
    </row>
    <row r="1234" spans="1:17" x14ac:dyDescent="0.35">
      <c r="A1234" t="s">
        <v>1992</v>
      </c>
      <c r="E1234" t="str">
        <f>_xlfn.XLOOKUP(F1234,'Raw Data'!$I$4:$I$5000,'Raw Data'!$D$4:$D$5000,"*** Mnemonic not found ***",0)</f>
        <v>*** Mnemonic not found ***</v>
      </c>
      <c r="F1234" t="str">
        <f t="shared" si="293"/>
        <v>SUCMREINVPROPGR2__</v>
      </c>
      <c r="H1234" s="9" t="s">
        <v>1137</v>
      </c>
      <c r="K1234" s="9">
        <f>K1233+1</f>
        <v>358</v>
      </c>
      <c r="L1234" s="9" t="str">
        <f>L1233</f>
        <v>F</v>
      </c>
      <c r="M1234" s="9" t="str">
        <f t="shared" si="262"/>
        <v>Input!F358</v>
      </c>
      <c r="N1234" s="9">
        <f>_xlfn.XLOOKUP(F1234,'Raw Data'!$I$4:$I$5000,'Raw Data'!$E$4:$E$5000,100,0)</f>
        <v>100</v>
      </c>
      <c r="O1234" s="9" t="str">
        <f>IF(N1234=0,_xlfn.XLOOKUP(F1234,'Raw Data'!$I$4:$I$5000,'Raw Data'!$H$4:$H$5000,"",0),"")</f>
        <v/>
      </c>
      <c r="P1234" s="9" t="str" cm="1">
        <f t="array" aca="1" ref="P1234" ca="1">IF(INDIRECT(M1234) = "","",INDIRECT(M1234))</f>
        <v/>
      </c>
      <c r="Q1234" s="359" t="s">
        <v>4381</v>
      </c>
    </row>
    <row r="1235" spans="1:17" x14ac:dyDescent="0.35">
      <c r="A1235" t="s">
        <v>1994</v>
      </c>
      <c r="E1235" t="str">
        <f>_xlfn.XLOOKUP(F1235,'Raw Data'!$I$4:$I$5000,'Raw Data'!$D$4:$D$5000,"*** Mnemonic not found ***",0)</f>
        <v>*** Mnemonic not found ***</v>
      </c>
      <c r="F1235" t="str">
        <f t="shared" si="293"/>
        <v>SUCMREINVPROPGR3__</v>
      </c>
      <c r="H1235" s="9" t="s">
        <v>1137</v>
      </c>
      <c r="K1235" s="9">
        <f t="shared" ref="K1235:K1236" si="300">K1234+1</f>
        <v>359</v>
      </c>
      <c r="L1235" s="9" t="str">
        <f t="shared" ref="L1235:L1236" si="301">L1234</f>
        <v>F</v>
      </c>
      <c r="M1235" s="9" t="str">
        <f t="shared" si="262"/>
        <v>Input!F359</v>
      </c>
      <c r="N1235" s="9">
        <f>_xlfn.XLOOKUP(F1235,'Raw Data'!$I$4:$I$5000,'Raw Data'!$E$4:$E$5000,100,0)</f>
        <v>100</v>
      </c>
      <c r="O1235" s="9" t="str">
        <f>IF(N1235=0,_xlfn.XLOOKUP(F1235,'Raw Data'!$I$4:$I$5000,'Raw Data'!$H$4:$H$5000,"",0),"")</f>
        <v/>
      </c>
      <c r="P1235" s="9" t="str" cm="1">
        <f t="array" aca="1" ref="P1235" ca="1">IF(INDIRECT(M1235) = "","",INDIRECT(M1235))</f>
        <v/>
      </c>
      <c r="Q1235" s="359" t="s">
        <v>4381</v>
      </c>
    </row>
    <row r="1236" spans="1:17" x14ac:dyDescent="0.35">
      <c r="A1236" t="s">
        <v>1996</v>
      </c>
      <c r="E1236" t="str">
        <f>_xlfn.XLOOKUP(F1236,'Raw Data'!$I$4:$I$5000,'Raw Data'!$D$4:$D$5000,"*** Mnemonic not found ***",0)</f>
        <v>*** Mnemonic not found ***</v>
      </c>
      <c r="F1236" t="str">
        <f t="shared" si="293"/>
        <v>SUCMREINVPROPGR4__</v>
      </c>
      <c r="H1236" s="9" t="s">
        <v>1137</v>
      </c>
      <c r="K1236" s="9">
        <f t="shared" si="300"/>
        <v>360</v>
      </c>
      <c r="L1236" s="9" t="str">
        <f t="shared" si="301"/>
        <v>F</v>
      </c>
      <c r="M1236" s="9" t="str">
        <f t="shared" si="262"/>
        <v>Input!F360</v>
      </c>
      <c r="N1236" s="9">
        <f>_xlfn.XLOOKUP(F1236,'Raw Data'!$I$4:$I$5000,'Raw Data'!$E$4:$E$5000,100,0)</f>
        <v>100</v>
      </c>
      <c r="O1236" s="9" t="str">
        <f>IF(N1236=0,_xlfn.XLOOKUP(F1236,'Raw Data'!$I$4:$I$5000,'Raw Data'!$H$4:$H$5000,"",0),"")</f>
        <v/>
      </c>
      <c r="P1236" s="9" t="str" cm="1">
        <f t="array" aca="1" ref="P1236" ca="1">IF(INDIRECT(M1236) = "","",INDIRECT(M1236))</f>
        <v/>
      </c>
      <c r="Q1236" s="359" t="s">
        <v>4381</v>
      </c>
    </row>
    <row r="1237" spans="1:17" x14ac:dyDescent="0.35">
      <c r="A1237" t="s">
        <v>1991</v>
      </c>
      <c r="E1237" t="str">
        <f>_xlfn.XLOOKUP(F1237,'Raw Data'!$I$4:$I$5000,'Raw Data'!$D$4:$D$5000,"*** Mnemonic not found ***",0)</f>
        <v>*** Mnemonic not found ***</v>
      </c>
      <c r="F1237" t="str">
        <f t="shared" si="293"/>
        <v>SUCMREOWNOCCGR1__</v>
      </c>
      <c r="H1237" s="9" t="s">
        <v>1137</v>
      </c>
      <c r="K1237" s="9">
        <f>K1233</f>
        <v>357</v>
      </c>
      <c r="L1237" s="9" t="s">
        <v>1145</v>
      </c>
      <c r="M1237" s="9" t="str">
        <f t="shared" si="262"/>
        <v>Input!G357</v>
      </c>
      <c r="N1237" s="9">
        <f>_xlfn.XLOOKUP(F1237,'Raw Data'!$I$4:$I$5000,'Raw Data'!$E$4:$E$5000,100,0)</f>
        <v>100</v>
      </c>
      <c r="O1237" s="9" t="str">
        <f>IF(N1237=0,_xlfn.XLOOKUP(F1237,'Raw Data'!$I$4:$I$5000,'Raw Data'!$H$4:$H$5000,"",0),"")</f>
        <v/>
      </c>
      <c r="P1237" s="9" t="str" cm="1">
        <f t="array" aca="1" ref="P1237" ca="1">IF(INDIRECT(M1237) = "","",INDIRECT(M1237))</f>
        <v/>
      </c>
      <c r="Q1237" s="359" t="s">
        <v>4381</v>
      </c>
    </row>
    <row r="1238" spans="1:17" x14ac:dyDescent="0.35">
      <c r="A1238" t="s">
        <v>1993</v>
      </c>
      <c r="E1238" t="str">
        <f>_xlfn.XLOOKUP(F1238,'Raw Data'!$I$4:$I$5000,'Raw Data'!$D$4:$D$5000,"*** Mnemonic not found ***",0)</f>
        <v>*** Mnemonic not found ***</v>
      </c>
      <c r="F1238" t="str">
        <f t="shared" si="293"/>
        <v>SUCMREOWNOCCGR2__</v>
      </c>
      <c r="H1238" s="9" t="s">
        <v>1137</v>
      </c>
      <c r="K1238" s="9">
        <f>K1237+1</f>
        <v>358</v>
      </c>
      <c r="L1238" s="9" t="str">
        <f>L1237</f>
        <v>G</v>
      </c>
      <c r="M1238" s="9" t="str">
        <f t="shared" si="262"/>
        <v>Input!G358</v>
      </c>
      <c r="N1238" s="9">
        <f>_xlfn.XLOOKUP(F1238,'Raw Data'!$I$4:$I$5000,'Raw Data'!$E$4:$E$5000,100,0)</f>
        <v>100</v>
      </c>
      <c r="O1238" s="9" t="str">
        <f>IF(N1238=0,_xlfn.XLOOKUP(F1238,'Raw Data'!$I$4:$I$5000,'Raw Data'!$H$4:$H$5000,"",0),"")</f>
        <v/>
      </c>
      <c r="P1238" s="9" t="str" cm="1">
        <f t="array" aca="1" ref="P1238" ca="1">IF(INDIRECT(M1238) = "","",INDIRECT(M1238))</f>
        <v/>
      </c>
      <c r="Q1238" s="359" t="s">
        <v>4381</v>
      </c>
    </row>
    <row r="1239" spans="1:17" x14ac:dyDescent="0.35">
      <c r="A1239" t="s">
        <v>1995</v>
      </c>
      <c r="E1239" t="str">
        <f>_xlfn.XLOOKUP(F1239,'Raw Data'!$I$4:$I$5000,'Raw Data'!$D$4:$D$5000,"*** Mnemonic not found ***",0)</f>
        <v>*** Mnemonic not found ***</v>
      </c>
      <c r="F1239" t="str">
        <f t="shared" si="293"/>
        <v>SUCMREOWNOCCGR3__</v>
      </c>
      <c r="H1239" s="9" t="s">
        <v>1137</v>
      </c>
      <c r="K1239" s="9">
        <f t="shared" ref="K1239:K1240" si="302">K1238+1</f>
        <v>359</v>
      </c>
      <c r="L1239" s="9" t="str">
        <f t="shared" ref="L1239:L1240" si="303">L1238</f>
        <v>G</v>
      </c>
      <c r="M1239" s="9" t="str">
        <f t="shared" si="262"/>
        <v>Input!G359</v>
      </c>
      <c r="N1239" s="9">
        <f>_xlfn.XLOOKUP(F1239,'Raw Data'!$I$4:$I$5000,'Raw Data'!$E$4:$E$5000,100,0)</f>
        <v>100</v>
      </c>
      <c r="O1239" s="9" t="str">
        <f>IF(N1239=0,_xlfn.XLOOKUP(F1239,'Raw Data'!$I$4:$I$5000,'Raw Data'!$H$4:$H$5000,"",0),"")</f>
        <v/>
      </c>
      <c r="P1239" s="9" t="str" cm="1">
        <f t="array" aca="1" ref="P1239" ca="1">IF(INDIRECT(M1239) = "","",INDIRECT(M1239))</f>
        <v/>
      </c>
      <c r="Q1239" s="359" t="s">
        <v>4381</v>
      </c>
    </row>
    <row r="1240" spans="1:17" x14ac:dyDescent="0.35">
      <c r="A1240" t="s">
        <v>1997</v>
      </c>
      <c r="E1240" t="str">
        <f>_xlfn.XLOOKUP(F1240,'Raw Data'!$I$4:$I$5000,'Raw Data'!$D$4:$D$5000,"*** Mnemonic not found ***",0)</f>
        <v>*** Mnemonic not found ***</v>
      </c>
      <c r="F1240" t="str">
        <f t="shared" si="293"/>
        <v>SUCMREOWNOCCGR4__</v>
      </c>
      <c r="H1240" s="9" t="s">
        <v>1137</v>
      </c>
      <c r="K1240" s="9">
        <f t="shared" si="302"/>
        <v>360</v>
      </c>
      <c r="L1240" s="9" t="str">
        <f t="shared" si="303"/>
        <v>G</v>
      </c>
      <c r="M1240" s="9" t="str">
        <f t="shared" si="262"/>
        <v>Input!G360</v>
      </c>
      <c r="N1240" s="9">
        <f>_xlfn.XLOOKUP(F1240,'Raw Data'!$I$4:$I$5000,'Raw Data'!$E$4:$E$5000,100,0)</f>
        <v>100</v>
      </c>
      <c r="O1240" s="9" t="str">
        <f>IF(N1240=0,_xlfn.XLOOKUP(F1240,'Raw Data'!$I$4:$I$5000,'Raw Data'!$H$4:$H$5000,"",0),"")</f>
        <v/>
      </c>
      <c r="P1240" s="9" t="str" cm="1">
        <f t="array" aca="1" ref="P1240" ca="1">IF(INDIRECT(M1240) = "","",INDIRECT(M1240))</f>
        <v/>
      </c>
      <c r="Q1240" s="359" t="s">
        <v>4381</v>
      </c>
    </row>
    <row r="1241" spans="1:17" x14ac:dyDescent="0.35">
      <c r="A1241" t="s">
        <v>1998</v>
      </c>
      <c r="E1241" t="str">
        <f>_xlfn.XLOOKUP(F1241,'Raw Data'!$I$4:$I$5000,'Raw Data'!$D$4:$D$5000,"*** Mnemonic not found ***",0)</f>
        <v>*** Mnemonic not found ***</v>
      </c>
      <c r="F1241" t="str">
        <f t="shared" si="293"/>
        <v>SUCMREHOLDTOT__</v>
      </c>
      <c r="H1241" s="9" t="s">
        <v>1137</v>
      </c>
      <c r="K1241" s="9">
        <f>K1240+2</f>
        <v>362</v>
      </c>
      <c r="L1241" s="9" t="str">
        <f>L1233</f>
        <v>F</v>
      </c>
      <c r="M1241" s="9" t="str">
        <f t="shared" si="262"/>
        <v>Input!F362</v>
      </c>
      <c r="N1241" s="9">
        <f>_xlfn.XLOOKUP(F1241,'Raw Data'!$I$4:$I$5000,'Raw Data'!$E$4:$E$5000,100,0)</f>
        <v>100</v>
      </c>
      <c r="O1241" s="9" t="str">
        <f>IF(N1241=0,_xlfn.XLOOKUP(F1241,'Raw Data'!$I$4:$I$5000,'Raw Data'!$H$4:$H$5000,"",0),"")</f>
        <v/>
      </c>
      <c r="P1241" s="9" t="str" cm="1">
        <f t="array" aca="1" ref="P1241" ca="1">IF(INDIRECT(M1241) = "","",INDIRECT(M1241))</f>
        <v/>
      </c>
      <c r="Q1241" s="359" t="s">
        <v>4381</v>
      </c>
    </row>
    <row r="1242" spans="1:17" x14ac:dyDescent="0.35">
      <c r="A1242" t="s">
        <v>1999</v>
      </c>
      <c r="E1242" t="str">
        <f>_xlfn.XLOOKUP(F1242,'Raw Data'!$I$4:$I$5000,'Raw Data'!$D$4:$D$5000,"*** Mnemonic not found ***",0)</f>
        <v>*** Mnemonic not found ***</v>
      </c>
      <c r="F1242" t="str">
        <f t="shared" si="293"/>
        <v>SUCMCMIG14XLESS60__</v>
      </c>
      <c r="G1242" t="s">
        <v>2193</v>
      </c>
      <c r="H1242" s="9" t="s">
        <v>1137</v>
      </c>
      <c r="I1242" s="289">
        <f>ROW(section_other_invested_assets)</f>
        <v>365</v>
      </c>
      <c r="J1242" s="9">
        <v>6</v>
      </c>
      <c r="K1242" s="9">
        <f>I1242+J1242</f>
        <v>371</v>
      </c>
      <c r="L1242" s="9" t="s">
        <v>1124</v>
      </c>
      <c r="M1242" s="9" t="str">
        <f t="shared" si="262"/>
        <v>Input!F371</v>
      </c>
      <c r="N1242" s="9">
        <f>_xlfn.XLOOKUP(F1242,'Raw Data'!$I$4:$I$5000,'Raw Data'!$E$4:$E$5000,100,0)</f>
        <v>100</v>
      </c>
      <c r="O1242" s="9" t="str">
        <f>IF(N1242=0,_xlfn.XLOOKUP(F1242,'Raw Data'!$I$4:$I$5000,'Raw Data'!$H$4:$H$5000,"",0),"")</f>
        <v/>
      </c>
      <c r="P1242" s="9" t="str" cm="1">
        <f t="array" aca="1" ref="P1242" ca="1">IF(INDIRECT(M1242) = "","",INDIRECT(M1242))</f>
        <v/>
      </c>
      <c r="Q1242" s="359" t="s">
        <v>4381</v>
      </c>
    </row>
    <row r="1243" spans="1:17" x14ac:dyDescent="0.35">
      <c r="A1243" t="s">
        <v>2005</v>
      </c>
      <c r="E1243" t="str">
        <f>_xlfn.XLOOKUP(F1243,'Raw Data'!$I$4:$I$5000,'Raw Data'!$D$4:$D$5000,"*** Mnemonic not found ***",0)</f>
        <v>*** Mnemonic not found ***</v>
      </c>
      <c r="F1243" t="str">
        <f t="shared" si="293"/>
        <v>SUCMCMIGS14X60_80__</v>
      </c>
      <c r="H1243" s="9" t="s">
        <v>1137</v>
      </c>
      <c r="K1243" s="9">
        <f>K1242+1</f>
        <v>372</v>
      </c>
      <c r="L1243" s="9" t="str">
        <f>L1242</f>
        <v>F</v>
      </c>
      <c r="M1243" s="9" t="str">
        <f t="shared" si="262"/>
        <v>Input!F372</v>
      </c>
      <c r="N1243" s="9">
        <f>_xlfn.XLOOKUP(F1243,'Raw Data'!$I$4:$I$5000,'Raw Data'!$E$4:$E$5000,100,0)</f>
        <v>100</v>
      </c>
      <c r="O1243" s="9" t="str">
        <f>IF(N1243=0,_xlfn.XLOOKUP(F1243,'Raw Data'!$I$4:$I$5000,'Raw Data'!$H$4:$H$5000,"",0),"")</f>
        <v/>
      </c>
      <c r="P1243" s="9" t="str" cm="1">
        <f t="array" aca="1" ref="P1243" ca="1">IF(INDIRECT(M1243) = "","",INDIRECT(M1243))</f>
        <v/>
      </c>
      <c r="Q1243" s="359" t="s">
        <v>4381</v>
      </c>
    </row>
    <row r="1244" spans="1:17" x14ac:dyDescent="0.35">
      <c r="A1244" t="s">
        <v>2011</v>
      </c>
      <c r="E1244" t="str">
        <f>_xlfn.XLOOKUP(F1244,'Raw Data'!$I$4:$I$5000,'Raw Data'!$D$4:$D$5000,"*** Mnemonic not found ***",0)</f>
        <v>*** Mnemonic not found ***</v>
      </c>
      <c r="F1244" t="str">
        <f t="shared" si="293"/>
        <v>SUCMCMIGS14XGREAT80__</v>
      </c>
      <c r="H1244" s="9" t="s">
        <v>1137</v>
      </c>
      <c r="K1244" s="9">
        <f t="shared" ref="K1244" si="304">K1243+1</f>
        <v>373</v>
      </c>
      <c r="L1244" s="9" t="str">
        <f t="shared" ref="L1244" si="305">L1243</f>
        <v>F</v>
      </c>
      <c r="M1244" s="9" t="str">
        <f t="shared" si="262"/>
        <v>Input!F373</v>
      </c>
      <c r="N1244" s="9">
        <f>_xlfn.XLOOKUP(F1244,'Raw Data'!$I$4:$I$5000,'Raw Data'!$E$4:$E$5000,100,0)</f>
        <v>100</v>
      </c>
      <c r="O1244" s="9" t="str">
        <f>IF(N1244=0,_xlfn.XLOOKUP(F1244,'Raw Data'!$I$4:$I$5000,'Raw Data'!$H$4:$H$5000,"",0),"")</f>
        <v/>
      </c>
      <c r="P1244" s="9" t="str" cm="1">
        <f t="array" aca="1" ref="P1244" ca="1">IF(INDIRECT(M1244) = "","",INDIRECT(M1244))</f>
        <v/>
      </c>
      <c r="Q1244" s="359" t="s">
        <v>4381</v>
      </c>
    </row>
    <row r="1245" spans="1:17" x14ac:dyDescent="0.35">
      <c r="A1245" t="s">
        <v>2000</v>
      </c>
      <c r="E1245" t="str">
        <f>_xlfn.XLOOKUP(F1245,'Raw Data'!$I$4:$I$5000,'Raw Data'!$D$4:$D$5000,"*** Mnemonic not found ***",0)</f>
        <v>*** Mnemonic not found ***</v>
      </c>
      <c r="F1245" t="str">
        <f t="shared" si="293"/>
        <v>SUCMCMIG11_14XLESS60__</v>
      </c>
      <c r="H1245" s="9" t="s">
        <v>1137</v>
      </c>
      <c r="K1245" s="9">
        <f>K1242</f>
        <v>371</v>
      </c>
      <c r="L1245" s="9" t="s">
        <v>1145</v>
      </c>
      <c r="M1245" s="9" t="str">
        <f t="shared" si="262"/>
        <v>Input!G371</v>
      </c>
      <c r="N1245" s="9">
        <f>_xlfn.XLOOKUP(F1245,'Raw Data'!$I$4:$I$5000,'Raw Data'!$E$4:$E$5000,100,0)</f>
        <v>100</v>
      </c>
      <c r="O1245" s="9" t="str">
        <f>IF(N1245=0,_xlfn.XLOOKUP(F1245,'Raw Data'!$I$4:$I$5000,'Raw Data'!$H$4:$H$5000,"",0),"")</f>
        <v/>
      </c>
      <c r="P1245" s="9" t="str" cm="1">
        <f t="array" aca="1" ref="P1245" ca="1">IF(INDIRECT(M1245) = "","",INDIRECT(M1245))</f>
        <v/>
      </c>
      <c r="Q1245" s="359" t="s">
        <v>4381</v>
      </c>
    </row>
    <row r="1246" spans="1:17" x14ac:dyDescent="0.35">
      <c r="A1246" t="s">
        <v>2006</v>
      </c>
      <c r="E1246" t="str">
        <f>_xlfn.XLOOKUP(F1246,'Raw Data'!$I$4:$I$5000,'Raw Data'!$D$4:$D$5000,"*** Mnemonic not found ***",0)</f>
        <v>*** Mnemonic not found ***</v>
      </c>
      <c r="F1246" t="str">
        <f t="shared" si="293"/>
        <v>SUCMCMIGS11_14X60_80__</v>
      </c>
      <c r="H1246" s="9" t="s">
        <v>1137</v>
      </c>
      <c r="K1246" s="9">
        <f>K1245+1</f>
        <v>372</v>
      </c>
      <c r="L1246" s="9" t="str">
        <f>L1245</f>
        <v>G</v>
      </c>
      <c r="M1246" s="9" t="str">
        <f t="shared" si="262"/>
        <v>Input!G372</v>
      </c>
      <c r="N1246" s="9">
        <f>_xlfn.XLOOKUP(F1246,'Raw Data'!$I$4:$I$5000,'Raw Data'!$E$4:$E$5000,100,0)</f>
        <v>100</v>
      </c>
      <c r="O1246" s="9" t="str">
        <f>IF(N1246=0,_xlfn.XLOOKUP(F1246,'Raw Data'!$I$4:$I$5000,'Raw Data'!$H$4:$H$5000,"",0),"")</f>
        <v/>
      </c>
      <c r="P1246" s="9" t="str" cm="1">
        <f t="array" aca="1" ref="P1246" ca="1">IF(INDIRECT(M1246) = "","",INDIRECT(M1246))</f>
        <v/>
      </c>
      <c r="Q1246" s="359" t="s">
        <v>4381</v>
      </c>
    </row>
    <row r="1247" spans="1:17" x14ac:dyDescent="0.35">
      <c r="A1247" t="s">
        <v>2012</v>
      </c>
      <c r="E1247" t="str">
        <f>_xlfn.XLOOKUP(F1247,'Raw Data'!$I$4:$I$5000,'Raw Data'!$D$4:$D$5000,"*** Mnemonic not found ***",0)</f>
        <v>*** Mnemonic not found ***</v>
      </c>
      <c r="F1247" t="str">
        <f t="shared" si="293"/>
        <v>SUCMCMIGS11_14XGREAT80__</v>
      </c>
      <c r="H1247" s="9" t="s">
        <v>1137</v>
      </c>
      <c r="K1247" s="9">
        <f t="shared" ref="K1247" si="306">K1246+1</f>
        <v>373</v>
      </c>
      <c r="L1247" s="9" t="str">
        <f t="shared" ref="L1247" si="307">L1246</f>
        <v>G</v>
      </c>
      <c r="M1247" s="9" t="str">
        <f t="shared" si="262"/>
        <v>Input!G373</v>
      </c>
      <c r="N1247" s="9">
        <f>_xlfn.XLOOKUP(F1247,'Raw Data'!$I$4:$I$5000,'Raw Data'!$E$4:$E$5000,100,0)</f>
        <v>100</v>
      </c>
      <c r="O1247" s="9" t="str">
        <f>IF(N1247=0,_xlfn.XLOOKUP(F1247,'Raw Data'!$I$4:$I$5000,'Raw Data'!$H$4:$H$5000,"",0),"")</f>
        <v/>
      </c>
      <c r="P1247" s="9" t="str" cm="1">
        <f t="array" aca="1" ref="P1247" ca="1">IF(INDIRECT(M1247) = "","",INDIRECT(M1247))</f>
        <v/>
      </c>
      <c r="Q1247" s="359" t="s">
        <v>4381</v>
      </c>
    </row>
    <row r="1248" spans="1:17" x14ac:dyDescent="0.35">
      <c r="A1248" t="s">
        <v>2001</v>
      </c>
      <c r="E1248" t="str">
        <f>_xlfn.XLOOKUP(F1248,'Raw Data'!$I$4:$I$5000,'Raw Data'!$D$4:$D$5000,"*** Mnemonic not found ***",0)</f>
        <v>*** Mnemonic not found ***</v>
      </c>
      <c r="F1248" t="str">
        <f t="shared" si="293"/>
        <v>SUCMCMIG11XLESS60__</v>
      </c>
      <c r="H1248" s="9" t="s">
        <v>1137</v>
      </c>
      <c r="K1248" s="9">
        <f>K1245</f>
        <v>371</v>
      </c>
      <c r="L1248" s="9" t="s">
        <v>1144</v>
      </c>
      <c r="M1248" s="9" t="str">
        <f t="shared" si="262"/>
        <v>Input!H371</v>
      </c>
      <c r="N1248" s="9">
        <f>_xlfn.XLOOKUP(F1248,'Raw Data'!$I$4:$I$5000,'Raw Data'!$E$4:$E$5000,100,0)</f>
        <v>100</v>
      </c>
      <c r="O1248" s="9" t="str">
        <f>IF(N1248=0,_xlfn.XLOOKUP(F1248,'Raw Data'!$I$4:$I$5000,'Raw Data'!$H$4:$H$5000,"",0),"")</f>
        <v/>
      </c>
      <c r="P1248" s="9" t="str" cm="1">
        <f t="array" aca="1" ref="P1248" ca="1">IF(INDIRECT(M1248) = "","",INDIRECT(M1248))</f>
        <v/>
      </c>
      <c r="Q1248" s="359" t="s">
        <v>4381</v>
      </c>
    </row>
    <row r="1249" spans="1:17" x14ac:dyDescent="0.35">
      <c r="A1249" t="s">
        <v>2007</v>
      </c>
      <c r="E1249" t="str">
        <f>_xlfn.XLOOKUP(F1249,'Raw Data'!$I$4:$I$5000,'Raw Data'!$D$4:$D$5000,"*** Mnemonic not found ***",0)</f>
        <v>*** Mnemonic not found ***</v>
      </c>
      <c r="F1249" t="str">
        <f t="shared" si="293"/>
        <v>SUCMCMIGS11X60_80__</v>
      </c>
      <c r="H1249" s="9" t="s">
        <v>1137</v>
      </c>
      <c r="K1249" s="9">
        <f>K1248+1</f>
        <v>372</v>
      </c>
      <c r="L1249" s="9" t="str">
        <f>L1248</f>
        <v>H</v>
      </c>
      <c r="M1249" s="9" t="str">
        <f t="shared" si="262"/>
        <v>Input!H372</v>
      </c>
      <c r="N1249" s="9">
        <f>_xlfn.XLOOKUP(F1249,'Raw Data'!$I$4:$I$5000,'Raw Data'!$E$4:$E$5000,100,0)</f>
        <v>100</v>
      </c>
      <c r="O1249" s="9" t="str">
        <f>IF(N1249=0,_xlfn.XLOOKUP(F1249,'Raw Data'!$I$4:$I$5000,'Raw Data'!$H$4:$H$5000,"",0),"")</f>
        <v/>
      </c>
      <c r="P1249" s="9" t="str" cm="1">
        <f t="array" aca="1" ref="P1249" ca="1">IF(INDIRECT(M1249) = "","",INDIRECT(M1249))</f>
        <v/>
      </c>
      <c r="Q1249" s="359" t="s">
        <v>4381</v>
      </c>
    </row>
    <row r="1250" spans="1:17" x14ac:dyDescent="0.35">
      <c r="A1250" t="s">
        <v>2013</v>
      </c>
      <c r="E1250" t="str">
        <f>_xlfn.XLOOKUP(F1250,'Raw Data'!$I$4:$I$5000,'Raw Data'!$D$4:$D$5000,"*** Mnemonic not found ***",0)</f>
        <v>*** Mnemonic not found ***</v>
      </c>
      <c r="F1250" t="str">
        <f t="shared" si="293"/>
        <v>SUCMCMIGS11XGREAT80__</v>
      </c>
      <c r="H1250" s="9" t="s">
        <v>1137</v>
      </c>
      <c r="K1250" s="9">
        <f t="shared" ref="K1250" si="308">K1249+1</f>
        <v>373</v>
      </c>
      <c r="L1250" s="9" t="str">
        <f t="shared" ref="L1250" si="309">L1249</f>
        <v>H</v>
      </c>
      <c r="M1250" s="9" t="str">
        <f t="shared" si="262"/>
        <v>Input!H373</v>
      </c>
      <c r="N1250" s="9">
        <f>_xlfn.XLOOKUP(F1250,'Raw Data'!$I$4:$I$5000,'Raw Data'!$E$4:$E$5000,100,0)</f>
        <v>100</v>
      </c>
      <c r="O1250" s="9" t="str">
        <f>IF(N1250=0,_xlfn.XLOOKUP(F1250,'Raw Data'!$I$4:$I$5000,'Raw Data'!$H$4:$H$5000,"",0),"")</f>
        <v/>
      </c>
      <c r="P1250" s="9" t="str" cm="1">
        <f t="array" aca="1" ref="P1250" ca="1">IF(INDIRECT(M1250) = "","",INDIRECT(M1250))</f>
        <v/>
      </c>
      <c r="Q1250" s="359" t="s">
        <v>4381</v>
      </c>
    </row>
    <row r="1251" spans="1:17" x14ac:dyDescent="0.35">
      <c r="A1251" t="s">
        <v>2002</v>
      </c>
      <c r="E1251" t="str">
        <f>_xlfn.XLOOKUP(F1251,'Raw Data'!$I$4:$I$5000,'Raw Data'!$D$4:$D$5000,"*** Mnemonic not found ***",0)</f>
        <v>*** Mnemonic not found ***</v>
      </c>
      <c r="F1251" t="str">
        <f t="shared" si="293"/>
        <v>SUCMCMIGDELINQLESS60__</v>
      </c>
      <c r="H1251" s="9" t="s">
        <v>1137</v>
      </c>
      <c r="K1251" s="9">
        <f>K1248</f>
        <v>371</v>
      </c>
      <c r="L1251" s="9" t="s">
        <v>1375</v>
      </c>
      <c r="M1251" s="9" t="str">
        <f t="shared" si="262"/>
        <v>Input!I371</v>
      </c>
      <c r="N1251" s="9">
        <f>_xlfn.XLOOKUP(F1251,'Raw Data'!$I$4:$I$5000,'Raw Data'!$E$4:$E$5000,100,0)</f>
        <v>100</v>
      </c>
      <c r="O1251" s="9" t="str">
        <f>IF(N1251=0,_xlfn.XLOOKUP(F1251,'Raw Data'!$I$4:$I$5000,'Raw Data'!$H$4:$H$5000,"",0),"")</f>
        <v/>
      </c>
      <c r="P1251" s="9" t="str" cm="1">
        <f t="array" aca="1" ref="P1251" ca="1">IF(INDIRECT(M1251) = "","",INDIRECT(M1251))</f>
        <v/>
      </c>
      <c r="Q1251" s="359" t="s">
        <v>4381</v>
      </c>
    </row>
    <row r="1252" spans="1:17" x14ac:dyDescent="0.35">
      <c r="A1252" t="s">
        <v>2008</v>
      </c>
      <c r="E1252" t="str">
        <f>_xlfn.XLOOKUP(F1252,'Raw Data'!$I$4:$I$5000,'Raw Data'!$D$4:$D$5000,"*** Mnemonic not found ***",0)</f>
        <v>*** Mnemonic not found ***</v>
      </c>
      <c r="F1252" t="str">
        <f t="shared" si="293"/>
        <v>SUCMCMIGSDELINQ60_80__</v>
      </c>
      <c r="H1252" s="9" t="s">
        <v>1137</v>
      </c>
      <c r="K1252" s="9">
        <f>K1251+1</f>
        <v>372</v>
      </c>
      <c r="L1252" s="9" t="str">
        <f>L1251</f>
        <v>I</v>
      </c>
      <c r="M1252" s="9" t="str">
        <f t="shared" si="262"/>
        <v>Input!I372</v>
      </c>
      <c r="N1252" s="9">
        <f>_xlfn.XLOOKUP(F1252,'Raw Data'!$I$4:$I$5000,'Raw Data'!$E$4:$E$5000,100,0)</f>
        <v>100</v>
      </c>
      <c r="O1252" s="9" t="str">
        <f>IF(N1252=0,_xlfn.XLOOKUP(F1252,'Raw Data'!$I$4:$I$5000,'Raw Data'!$H$4:$H$5000,"",0),"")</f>
        <v/>
      </c>
      <c r="P1252" s="9" t="str" cm="1">
        <f t="array" aca="1" ref="P1252" ca="1">IF(INDIRECT(M1252) = "","",INDIRECT(M1252))</f>
        <v/>
      </c>
      <c r="Q1252" s="359" t="s">
        <v>4381</v>
      </c>
    </row>
    <row r="1253" spans="1:17" x14ac:dyDescent="0.35">
      <c r="A1253" t="s">
        <v>2014</v>
      </c>
      <c r="E1253" t="str">
        <f>_xlfn.XLOOKUP(F1253,'Raw Data'!$I$4:$I$5000,'Raw Data'!$D$4:$D$5000,"*** Mnemonic not found ***",0)</f>
        <v>*** Mnemonic not found ***</v>
      </c>
      <c r="F1253" t="str">
        <f t="shared" si="293"/>
        <v>SUCMCMIGSDELINQGREAT80__</v>
      </c>
      <c r="H1253" s="9" t="s">
        <v>1137</v>
      </c>
      <c r="K1253" s="9">
        <f t="shared" ref="K1253" si="310">K1252+1</f>
        <v>373</v>
      </c>
      <c r="L1253" s="9" t="str">
        <f t="shared" ref="L1253" si="311">L1252</f>
        <v>I</v>
      </c>
      <c r="M1253" s="9" t="str">
        <f t="shared" si="262"/>
        <v>Input!I373</v>
      </c>
      <c r="N1253" s="9">
        <f>_xlfn.XLOOKUP(F1253,'Raw Data'!$I$4:$I$5000,'Raw Data'!$E$4:$E$5000,100,0)</f>
        <v>100</v>
      </c>
      <c r="O1253" s="9" t="str">
        <f>IF(N1253=0,_xlfn.XLOOKUP(F1253,'Raw Data'!$I$4:$I$5000,'Raw Data'!$H$4:$H$5000,"",0),"")</f>
        <v/>
      </c>
      <c r="P1253" s="9" t="str" cm="1">
        <f t="array" aca="1" ref="P1253" ca="1">IF(INDIRECT(M1253) = "","",INDIRECT(M1253))</f>
        <v/>
      </c>
      <c r="Q1253" s="359" t="s">
        <v>4381</v>
      </c>
    </row>
    <row r="1254" spans="1:17" x14ac:dyDescent="0.35">
      <c r="A1254" t="s">
        <v>2003</v>
      </c>
      <c r="E1254" t="str">
        <f>_xlfn.XLOOKUP(F1254,'Raw Data'!$I$4:$I$5000,'Raw Data'!$D$4:$D$5000,"*** Mnemonic not found ***",0)</f>
        <v>*** Mnemonic not found ***</v>
      </c>
      <c r="F1254" t="str">
        <f t="shared" si="293"/>
        <v>SUCMCMIGFORECLLESS60__</v>
      </c>
      <c r="H1254" s="9" t="s">
        <v>1137</v>
      </c>
      <c r="K1254" s="9">
        <f>K1251</f>
        <v>371</v>
      </c>
      <c r="L1254" s="9" t="s">
        <v>1376</v>
      </c>
      <c r="M1254" s="9" t="str">
        <f t="shared" si="262"/>
        <v>Input!J371</v>
      </c>
      <c r="N1254" s="9">
        <f>_xlfn.XLOOKUP(F1254,'Raw Data'!$I$4:$I$5000,'Raw Data'!$E$4:$E$5000,100,0)</f>
        <v>100</v>
      </c>
      <c r="O1254" s="9" t="str">
        <f>IF(N1254=0,_xlfn.XLOOKUP(F1254,'Raw Data'!$I$4:$I$5000,'Raw Data'!$H$4:$H$5000,"",0),"")</f>
        <v/>
      </c>
      <c r="P1254" s="9" t="str" cm="1">
        <f t="array" aca="1" ref="P1254" ca="1">IF(INDIRECT(M1254) = "","",INDIRECT(M1254))</f>
        <v/>
      </c>
      <c r="Q1254" s="359" t="s">
        <v>4381</v>
      </c>
    </row>
    <row r="1255" spans="1:17" x14ac:dyDescent="0.35">
      <c r="A1255" t="s">
        <v>2009</v>
      </c>
      <c r="E1255" t="str">
        <f>_xlfn.XLOOKUP(F1255,'Raw Data'!$I$4:$I$5000,'Raw Data'!$D$4:$D$5000,"*** Mnemonic not found ***",0)</f>
        <v>*** Mnemonic not found ***</v>
      </c>
      <c r="F1255" t="str">
        <f t="shared" si="293"/>
        <v>SUCMCMIGSFORECL60_80__</v>
      </c>
      <c r="H1255" s="9" t="s">
        <v>1137</v>
      </c>
      <c r="K1255" s="9">
        <f>K1254+1</f>
        <v>372</v>
      </c>
      <c r="L1255" s="9" t="str">
        <f>L1254</f>
        <v>J</v>
      </c>
      <c r="M1255" s="9" t="str">
        <f t="shared" si="262"/>
        <v>Input!J372</v>
      </c>
      <c r="N1255" s="9">
        <f>_xlfn.XLOOKUP(F1255,'Raw Data'!$I$4:$I$5000,'Raw Data'!$E$4:$E$5000,100,0)</f>
        <v>100</v>
      </c>
      <c r="O1255" s="9" t="str">
        <f>IF(N1255=0,_xlfn.XLOOKUP(F1255,'Raw Data'!$I$4:$I$5000,'Raw Data'!$H$4:$H$5000,"",0),"")</f>
        <v/>
      </c>
      <c r="P1255" s="9" t="str" cm="1">
        <f t="array" aca="1" ref="P1255" ca="1">IF(INDIRECT(M1255) = "","",INDIRECT(M1255))</f>
        <v/>
      </c>
      <c r="Q1255" s="359" t="s">
        <v>4381</v>
      </c>
    </row>
    <row r="1256" spans="1:17" x14ac:dyDescent="0.35">
      <c r="A1256" t="s">
        <v>2015</v>
      </c>
      <c r="E1256" t="str">
        <f>_xlfn.XLOOKUP(F1256,'Raw Data'!$I$4:$I$5000,'Raw Data'!$D$4:$D$5000,"*** Mnemonic not found ***",0)</f>
        <v>*** Mnemonic not found ***</v>
      </c>
      <c r="F1256" t="str">
        <f t="shared" si="293"/>
        <v>SUCMCMIGSFORECLGREAT80__</v>
      </c>
      <c r="H1256" s="9" t="s">
        <v>1137</v>
      </c>
      <c r="K1256" s="9">
        <f t="shared" ref="K1256" si="312">K1255+1</f>
        <v>373</v>
      </c>
      <c r="L1256" s="9" t="str">
        <f t="shared" ref="L1256" si="313">L1255</f>
        <v>J</v>
      </c>
      <c r="M1256" s="9" t="str">
        <f t="shared" si="262"/>
        <v>Input!J373</v>
      </c>
      <c r="N1256" s="9">
        <f>_xlfn.XLOOKUP(F1256,'Raw Data'!$I$4:$I$5000,'Raw Data'!$E$4:$E$5000,100,0)</f>
        <v>100</v>
      </c>
      <c r="O1256" s="9" t="str">
        <f>IF(N1256=0,_xlfn.XLOOKUP(F1256,'Raw Data'!$I$4:$I$5000,'Raw Data'!$H$4:$H$5000,"",0),"")</f>
        <v/>
      </c>
      <c r="P1256" s="9" t="str" cm="1">
        <f t="array" aca="1" ref="P1256" ca="1">IF(INDIRECT(M1256) = "","",INDIRECT(M1256))</f>
        <v/>
      </c>
      <c r="Q1256" s="359" t="s">
        <v>4381</v>
      </c>
    </row>
    <row r="1257" spans="1:17" x14ac:dyDescent="0.35">
      <c r="A1257" t="s">
        <v>2004</v>
      </c>
      <c r="E1257" t="str">
        <f>_xlfn.XLOOKUP(F1257,'Raw Data'!$I$4:$I$5000,'Raw Data'!$D$4:$D$5000,"*** Mnemonic not found ***",0)</f>
        <v>*** Mnemonic not found ***</v>
      </c>
      <c r="F1257" t="str">
        <f t="shared" si="293"/>
        <v>SUCMCMIGCONSTRLESS60__</v>
      </c>
      <c r="H1257" s="9" t="s">
        <v>1137</v>
      </c>
      <c r="K1257" s="9">
        <f>K1254</f>
        <v>371</v>
      </c>
      <c r="L1257" s="9" t="s">
        <v>1377</v>
      </c>
      <c r="M1257" s="9" t="str">
        <f t="shared" si="262"/>
        <v>Input!K371</v>
      </c>
      <c r="N1257" s="9">
        <f>_xlfn.XLOOKUP(F1257,'Raw Data'!$I$4:$I$5000,'Raw Data'!$E$4:$E$5000,100,0)</f>
        <v>100</v>
      </c>
      <c r="O1257" s="9" t="str">
        <f>IF(N1257=0,_xlfn.XLOOKUP(F1257,'Raw Data'!$I$4:$I$5000,'Raw Data'!$H$4:$H$5000,"",0),"")</f>
        <v/>
      </c>
      <c r="P1257" s="9" t="str" cm="1">
        <f t="array" aca="1" ref="P1257" ca="1">IF(INDIRECT(M1257) = "","",INDIRECT(M1257))</f>
        <v/>
      </c>
      <c r="Q1257" s="359" t="s">
        <v>4381</v>
      </c>
    </row>
    <row r="1258" spans="1:17" x14ac:dyDescent="0.35">
      <c r="A1258" t="s">
        <v>2010</v>
      </c>
      <c r="E1258" t="str">
        <f>_xlfn.XLOOKUP(F1258,'Raw Data'!$I$4:$I$5000,'Raw Data'!$D$4:$D$5000,"*** Mnemonic not found ***",0)</f>
        <v>*** Mnemonic not found ***</v>
      </c>
      <c r="F1258" t="str">
        <f t="shared" si="293"/>
        <v>SUCMCMIGSCONSTR60_80__</v>
      </c>
      <c r="H1258" s="9" t="s">
        <v>1137</v>
      </c>
      <c r="K1258" s="9">
        <f>K1257+1</f>
        <v>372</v>
      </c>
      <c r="L1258" s="9" t="str">
        <f>L1257</f>
        <v>K</v>
      </c>
      <c r="M1258" s="9" t="str">
        <f t="shared" si="262"/>
        <v>Input!K372</v>
      </c>
      <c r="N1258" s="9">
        <f>_xlfn.XLOOKUP(F1258,'Raw Data'!$I$4:$I$5000,'Raw Data'!$E$4:$E$5000,100,0)</f>
        <v>100</v>
      </c>
      <c r="O1258" s="9" t="str">
        <f>IF(N1258=0,_xlfn.XLOOKUP(F1258,'Raw Data'!$I$4:$I$5000,'Raw Data'!$H$4:$H$5000,"",0),"")</f>
        <v/>
      </c>
      <c r="P1258" s="9" t="str" cm="1">
        <f t="array" aca="1" ref="P1258" ca="1">IF(INDIRECT(M1258) = "","",INDIRECT(M1258))</f>
        <v/>
      </c>
      <c r="Q1258" s="359" t="s">
        <v>4381</v>
      </c>
    </row>
    <row r="1259" spans="1:17" x14ac:dyDescent="0.35">
      <c r="A1259" t="s">
        <v>2016</v>
      </c>
      <c r="E1259" t="str">
        <f>_xlfn.XLOOKUP(F1259,'Raw Data'!$I$4:$I$5000,'Raw Data'!$D$4:$D$5000,"*** Mnemonic not found ***",0)</f>
        <v>*** Mnemonic not found ***</v>
      </c>
      <c r="F1259" t="str">
        <f t="shared" si="293"/>
        <v>SUCMCMIGSCONSTRGREAT80__</v>
      </c>
      <c r="H1259" s="9" t="s">
        <v>1137</v>
      </c>
      <c r="K1259" s="9">
        <f t="shared" ref="K1259" si="314">K1258+1</f>
        <v>373</v>
      </c>
      <c r="L1259" s="9" t="str">
        <f t="shared" ref="L1259" si="315">L1258</f>
        <v>K</v>
      </c>
      <c r="M1259" s="9" t="str">
        <f t="shared" si="262"/>
        <v>Input!K373</v>
      </c>
      <c r="N1259" s="9">
        <f>_xlfn.XLOOKUP(F1259,'Raw Data'!$I$4:$I$5000,'Raw Data'!$E$4:$E$5000,100,0)</f>
        <v>100</v>
      </c>
      <c r="O1259" s="9" t="str">
        <f>IF(N1259=0,_xlfn.XLOOKUP(F1259,'Raw Data'!$I$4:$I$5000,'Raw Data'!$H$4:$H$5000,"",0),"")</f>
        <v/>
      </c>
      <c r="P1259" s="9" t="str" cm="1">
        <f t="array" aca="1" ref="P1259" ca="1">IF(INDIRECT(M1259) = "","",INDIRECT(M1259))</f>
        <v/>
      </c>
      <c r="Q1259" s="359" t="s">
        <v>4381</v>
      </c>
    </row>
    <row r="1260" spans="1:17" x14ac:dyDescent="0.35">
      <c r="A1260" t="s">
        <v>2017</v>
      </c>
      <c r="E1260" t="str">
        <f>_xlfn.XLOOKUP(F1260,'Raw Data'!$I$4:$I$5000,'Raw Data'!$D$4:$D$5000,"*** Mnemonic not found ***",0)</f>
        <v>*** Mnemonic not found ***</v>
      </c>
      <c r="F1260" t="str">
        <f t="shared" si="293"/>
        <v>SUCMCMPERFORMLESS60__</v>
      </c>
      <c r="G1260" t="s">
        <v>2194</v>
      </c>
      <c r="H1260" s="9" t="s">
        <v>1137</v>
      </c>
      <c r="I1260" s="289">
        <f>ROW(section_other_invested_assets)</f>
        <v>365</v>
      </c>
      <c r="J1260" s="9">
        <v>12</v>
      </c>
      <c r="K1260" s="9">
        <f>I1260+J1260</f>
        <v>377</v>
      </c>
      <c r="L1260" s="9" t="s">
        <v>1124</v>
      </c>
      <c r="M1260" s="9" t="str">
        <f t="shared" si="262"/>
        <v>Input!F377</v>
      </c>
      <c r="N1260" s="9">
        <f>_xlfn.XLOOKUP(F1260,'Raw Data'!$I$4:$I$5000,'Raw Data'!$E$4:$E$5000,100,0)</f>
        <v>100</v>
      </c>
      <c r="O1260" s="9" t="str">
        <f>IF(N1260=0,_xlfn.XLOOKUP(F1260,'Raw Data'!$I$4:$I$5000,'Raw Data'!$H$4:$H$5000,"",0),"")</f>
        <v/>
      </c>
      <c r="P1260" s="9" t="str" cm="1">
        <f t="array" aca="1" ref="P1260" ca="1">IF(INDIRECT(M1260) = "","",INDIRECT(M1260))</f>
        <v/>
      </c>
      <c r="Q1260" s="359" t="s">
        <v>4381</v>
      </c>
    </row>
    <row r="1261" spans="1:17" x14ac:dyDescent="0.35">
      <c r="A1261" t="s">
        <v>2019</v>
      </c>
      <c r="E1261" t="str">
        <f>_xlfn.XLOOKUP(F1261,'Raw Data'!$I$4:$I$5000,'Raw Data'!$D$4:$D$5000,"*** Mnemonic not found ***",0)</f>
        <v>*** Mnemonic not found ***</v>
      </c>
      <c r="F1261" t="str">
        <f t="shared" si="293"/>
        <v>SUCMCMPERFORM60_80__</v>
      </c>
      <c r="H1261" s="9" t="s">
        <v>1137</v>
      </c>
      <c r="K1261" s="9">
        <f>K1260+1</f>
        <v>378</v>
      </c>
      <c r="L1261" s="9" t="str">
        <f>L1260</f>
        <v>F</v>
      </c>
      <c r="M1261" s="9" t="str">
        <f t="shared" si="262"/>
        <v>Input!F378</v>
      </c>
      <c r="N1261" s="9">
        <f>_xlfn.XLOOKUP(F1261,'Raw Data'!$I$4:$I$5000,'Raw Data'!$E$4:$E$5000,100,0)</f>
        <v>100</v>
      </c>
      <c r="O1261" s="9" t="str">
        <f>IF(N1261=0,_xlfn.XLOOKUP(F1261,'Raw Data'!$I$4:$I$5000,'Raw Data'!$H$4:$H$5000,"",0),"")</f>
        <v/>
      </c>
      <c r="P1261" s="9" t="str" cm="1">
        <f t="array" aca="1" ref="P1261" ca="1">IF(INDIRECT(M1261) = "","",INDIRECT(M1261))</f>
        <v/>
      </c>
      <c r="Q1261" s="359" t="s">
        <v>4381</v>
      </c>
    </row>
    <row r="1262" spans="1:17" x14ac:dyDescent="0.35">
      <c r="A1262" t="s">
        <v>2021</v>
      </c>
      <c r="E1262" t="str">
        <f>_xlfn.XLOOKUP(F1262,'Raw Data'!$I$4:$I$5000,'Raw Data'!$D$4:$D$5000,"*** Mnemonic not found ***",0)</f>
        <v>*** Mnemonic not found ***</v>
      </c>
      <c r="F1262" t="str">
        <f t="shared" si="293"/>
        <v>SUCMCMPERFORMGREAT80__</v>
      </c>
      <c r="H1262" s="9" t="s">
        <v>1137</v>
      </c>
      <c r="K1262" s="9">
        <f t="shared" ref="K1262" si="316">K1261+1</f>
        <v>379</v>
      </c>
      <c r="L1262" s="9" t="str">
        <f t="shared" ref="L1262" si="317">L1261</f>
        <v>F</v>
      </c>
      <c r="M1262" s="9" t="str">
        <f t="shared" si="262"/>
        <v>Input!F379</v>
      </c>
      <c r="N1262" s="9">
        <f>_xlfn.XLOOKUP(F1262,'Raw Data'!$I$4:$I$5000,'Raw Data'!$E$4:$E$5000,100,0)</f>
        <v>100</v>
      </c>
      <c r="O1262" s="9" t="str">
        <f>IF(N1262=0,_xlfn.XLOOKUP(F1262,'Raw Data'!$I$4:$I$5000,'Raw Data'!$H$4:$H$5000,"",0),"")</f>
        <v/>
      </c>
      <c r="P1262" s="9" t="str" cm="1">
        <f t="array" aca="1" ref="P1262" ca="1">IF(INDIRECT(M1262) = "","",INDIRECT(M1262))</f>
        <v/>
      </c>
      <c r="Q1262" s="359" t="s">
        <v>4381</v>
      </c>
    </row>
    <row r="1263" spans="1:17" x14ac:dyDescent="0.35">
      <c r="A1263" t="s">
        <v>2018</v>
      </c>
      <c r="E1263" t="str">
        <f>_xlfn.XLOOKUP(F1263,'Raw Data'!$I$4:$I$5000,'Raw Data'!$D$4:$D$5000,"*** Mnemonic not found ***",0)</f>
        <v>*** Mnemonic not found ***</v>
      </c>
      <c r="F1263" t="str">
        <f t="shared" si="293"/>
        <v>SUCMCMNONPERLESS60__</v>
      </c>
      <c r="H1263" s="9" t="s">
        <v>1137</v>
      </c>
      <c r="K1263" s="9">
        <f>K1260</f>
        <v>377</v>
      </c>
      <c r="L1263" s="9" t="s">
        <v>1145</v>
      </c>
      <c r="M1263" s="9" t="str">
        <f t="shared" si="262"/>
        <v>Input!G377</v>
      </c>
      <c r="N1263" s="9">
        <f>_xlfn.XLOOKUP(F1263,'Raw Data'!$I$4:$I$5000,'Raw Data'!$E$4:$E$5000,100,0)</f>
        <v>100</v>
      </c>
      <c r="O1263" s="9" t="str">
        <f>IF(N1263=0,_xlfn.XLOOKUP(F1263,'Raw Data'!$I$4:$I$5000,'Raw Data'!$H$4:$H$5000,"",0),"")</f>
        <v/>
      </c>
      <c r="P1263" s="9" t="str" cm="1">
        <f t="array" aca="1" ref="P1263" ca="1">IF(INDIRECT(M1263) = "","",INDIRECT(M1263))</f>
        <v/>
      </c>
      <c r="Q1263" s="359" t="s">
        <v>4381</v>
      </c>
    </row>
    <row r="1264" spans="1:17" x14ac:dyDescent="0.35">
      <c r="A1264" t="s">
        <v>2020</v>
      </c>
      <c r="E1264" t="str">
        <f>_xlfn.XLOOKUP(F1264,'Raw Data'!$I$4:$I$5000,'Raw Data'!$D$4:$D$5000,"*** Mnemonic not found ***",0)</f>
        <v>*** Mnemonic not found ***</v>
      </c>
      <c r="F1264" t="str">
        <f t="shared" si="293"/>
        <v>SUCMCMNONPER60_80__</v>
      </c>
      <c r="H1264" s="9" t="s">
        <v>1137</v>
      </c>
      <c r="K1264" s="9">
        <f>K1263+1</f>
        <v>378</v>
      </c>
      <c r="L1264" s="9" t="str">
        <f>L1263</f>
        <v>G</v>
      </c>
      <c r="M1264" s="9" t="str">
        <f t="shared" si="262"/>
        <v>Input!G378</v>
      </c>
      <c r="N1264" s="9">
        <f>_xlfn.XLOOKUP(F1264,'Raw Data'!$I$4:$I$5000,'Raw Data'!$E$4:$E$5000,100,0)</f>
        <v>100</v>
      </c>
      <c r="O1264" s="9" t="str">
        <f>IF(N1264=0,_xlfn.XLOOKUP(F1264,'Raw Data'!$I$4:$I$5000,'Raw Data'!$H$4:$H$5000,"",0),"")</f>
        <v/>
      </c>
      <c r="P1264" s="9" t="str" cm="1">
        <f t="array" aca="1" ref="P1264" ca="1">IF(INDIRECT(M1264) = "","",INDIRECT(M1264))</f>
        <v/>
      </c>
      <c r="Q1264" s="359" t="s">
        <v>4381</v>
      </c>
    </row>
    <row r="1265" spans="1:17" x14ac:dyDescent="0.35">
      <c r="A1265" t="s">
        <v>2022</v>
      </c>
      <c r="E1265" t="str">
        <f>_xlfn.XLOOKUP(F1265,'Raw Data'!$I$4:$I$5000,'Raw Data'!$D$4:$D$5000,"*** Mnemonic not found ***",0)</f>
        <v>*** Mnemonic not found ***</v>
      </c>
      <c r="F1265" t="str">
        <f t="shared" si="293"/>
        <v>SUCMCMNONPERGREAT80__</v>
      </c>
      <c r="H1265" s="9" t="s">
        <v>1137</v>
      </c>
      <c r="K1265" s="9">
        <f t="shared" ref="K1265" si="318">K1264+1</f>
        <v>379</v>
      </c>
      <c r="L1265" s="9" t="str">
        <f t="shared" ref="L1265" si="319">L1264</f>
        <v>G</v>
      </c>
      <c r="M1265" s="9" t="str">
        <f t="shared" si="262"/>
        <v>Input!G379</v>
      </c>
      <c r="N1265" s="9">
        <f>_xlfn.XLOOKUP(F1265,'Raw Data'!$I$4:$I$5000,'Raw Data'!$E$4:$E$5000,100,0)</f>
        <v>100</v>
      </c>
      <c r="O1265" s="9" t="str">
        <f>IF(N1265=0,_xlfn.XLOOKUP(F1265,'Raw Data'!$I$4:$I$5000,'Raw Data'!$H$4:$H$5000,"",0),"")</f>
        <v/>
      </c>
      <c r="P1265" s="9" t="str" cm="1">
        <f t="array" aca="1" ref="P1265" ca="1">IF(INDIRECT(M1265) = "","",INDIRECT(M1265))</f>
        <v/>
      </c>
      <c r="Q1265" s="359" t="s">
        <v>4381</v>
      </c>
    </row>
    <row r="1266" spans="1:17" x14ac:dyDescent="0.35">
      <c r="A1266" t="s">
        <v>2023</v>
      </c>
      <c r="E1266" t="str">
        <f>_xlfn.XLOOKUP(F1266,'Raw Data'!$I$4:$I$5000,'Raw Data'!$D$4:$D$5000,"*** Mnemonic not found ***",0)</f>
        <v>*** Mnemonic not found ***</v>
      </c>
      <c r="F1266" t="str">
        <f t="shared" si="293"/>
        <v>SUCMOTCDERIV__</v>
      </c>
      <c r="G1266" t="s">
        <v>2195</v>
      </c>
      <c r="H1266" s="9" t="s">
        <v>1137</v>
      </c>
      <c r="I1266" s="289">
        <f>ROW(section_other_invested_assets)</f>
        <v>365</v>
      </c>
      <c r="J1266" s="9">
        <v>17</v>
      </c>
      <c r="K1266" s="9">
        <f>I1266+J1266</f>
        <v>382</v>
      </c>
      <c r="L1266" s="9" t="s">
        <v>1124</v>
      </c>
      <c r="M1266" s="9" t="str">
        <f t="shared" si="262"/>
        <v>Input!F382</v>
      </c>
      <c r="N1266" s="9">
        <f>_xlfn.XLOOKUP(F1266,'Raw Data'!$I$4:$I$5000,'Raw Data'!$E$4:$E$5000,100,0)</f>
        <v>100</v>
      </c>
      <c r="O1266" s="9" t="str">
        <f>IF(N1266=0,_xlfn.XLOOKUP(F1266,'Raw Data'!$I$4:$I$5000,'Raw Data'!$H$4:$H$5000,"",0),"")</f>
        <v/>
      </c>
      <c r="P1266" s="9" t="str" cm="1">
        <f t="array" aca="1" ref="P1266" ca="1">IF(INDIRECT(M1266) = "","",INDIRECT(M1266))</f>
        <v/>
      </c>
      <c r="Q1266" s="359" t="s">
        <v>4381</v>
      </c>
    </row>
    <row r="1267" spans="1:17" x14ac:dyDescent="0.35">
      <c r="A1267" t="s">
        <v>2024</v>
      </c>
      <c r="E1267" t="str">
        <f>_xlfn.XLOOKUP(F1267,'Raw Data'!$I$4:$I$5000,'Raw Data'!$D$4:$D$5000,"*** Mnemonic not found ***",0)</f>
        <v>*** Mnemonic not found ***</v>
      </c>
      <c r="F1267" t="str">
        <f t="shared" si="293"/>
        <v>SUCMBANKDEPA__</v>
      </c>
      <c r="H1267" s="9" t="s">
        <v>1137</v>
      </c>
      <c r="I1267" s="289">
        <f>ROW(section_other_invested_assets)</f>
        <v>365</v>
      </c>
      <c r="J1267" s="9">
        <v>20</v>
      </c>
      <c r="K1267" s="9">
        <f>I1267+J1267</f>
        <v>385</v>
      </c>
      <c r="L1267" s="9" t="str">
        <f>L1266</f>
        <v>F</v>
      </c>
      <c r="M1267" s="9" t="str">
        <f t="shared" ref="M1267:M1331" si="320">CONCATENATE(H1267,"!",L1267,K1267)</f>
        <v>Input!F385</v>
      </c>
      <c r="N1267" s="9">
        <f>_xlfn.XLOOKUP(F1267,'Raw Data'!$I$4:$I$5000,'Raw Data'!$E$4:$E$5000,100,0)</f>
        <v>100</v>
      </c>
      <c r="O1267" s="9" t="str">
        <f>IF(N1267=0,_xlfn.XLOOKUP(F1267,'Raw Data'!$I$4:$I$5000,'Raw Data'!$H$4:$H$5000,"",0),"")</f>
        <v/>
      </c>
      <c r="P1267" s="9" t="str" cm="1">
        <f t="array" aca="1" ref="P1267" ca="1">IF(INDIRECT(M1267) = "","",INDIRECT(M1267))</f>
        <v/>
      </c>
      <c r="Q1267" s="359" t="s">
        <v>4381</v>
      </c>
    </row>
    <row r="1268" spans="1:17" x14ac:dyDescent="0.35">
      <c r="A1268" t="s">
        <v>2025</v>
      </c>
      <c r="E1268" t="str">
        <f>_xlfn.XLOOKUP(F1268,'Raw Data'!$I$4:$I$5000,'Raw Data'!$D$4:$D$5000,"*** Mnemonic not found ***",0)</f>
        <v>*** Mnemonic not found ***</v>
      </c>
      <c r="F1268" t="str">
        <f t="shared" si="293"/>
        <v>SUCMBANKDEPBBB__</v>
      </c>
      <c r="H1268" s="9" t="s">
        <v>1137</v>
      </c>
      <c r="K1268" s="9">
        <f>K1267+1</f>
        <v>386</v>
      </c>
      <c r="L1268" s="9" t="str">
        <f>L1267</f>
        <v>F</v>
      </c>
      <c r="M1268" s="9" t="str">
        <f t="shared" si="320"/>
        <v>Input!F386</v>
      </c>
      <c r="N1268" s="9">
        <f>_xlfn.XLOOKUP(F1268,'Raw Data'!$I$4:$I$5000,'Raw Data'!$E$4:$E$5000,100,0)</f>
        <v>100</v>
      </c>
      <c r="O1268" s="9" t="str">
        <f>IF(N1268=0,_xlfn.XLOOKUP(F1268,'Raw Data'!$I$4:$I$5000,'Raw Data'!$H$4:$H$5000,"",0),"")</f>
        <v/>
      </c>
      <c r="P1268" s="9" t="str" cm="1">
        <f t="array" aca="1" ref="P1268" ca="1">IF(INDIRECT(M1268) = "","",INDIRECT(M1268))</f>
        <v/>
      </c>
      <c r="Q1268" s="359" t="s">
        <v>4381</v>
      </c>
    </row>
    <row r="1269" spans="1:17" x14ac:dyDescent="0.35">
      <c r="A1269" t="s">
        <v>2026</v>
      </c>
      <c r="E1269" t="str">
        <f>_xlfn.XLOOKUP(F1269,'Raw Data'!$I$4:$I$5000,'Raw Data'!$D$4:$D$5000,"*** Mnemonic not found ***",0)</f>
        <v>*** Mnemonic not found ***</v>
      </c>
      <c r="F1269" t="str">
        <f t="shared" si="293"/>
        <v>SUCMBANKDEPBB__</v>
      </c>
      <c r="H1269" s="9" t="s">
        <v>1137</v>
      </c>
      <c r="K1269" s="9">
        <f t="shared" ref="K1269:K1270" si="321">K1268+1</f>
        <v>387</v>
      </c>
      <c r="L1269" s="9" t="str">
        <f t="shared" ref="L1269:L1280" si="322">L1268</f>
        <v>F</v>
      </c>
      <c r="M1269" s="9" t="str">
        <f t="shared" si="320"/>
        <v>Input!F387</v>
      </c>
      <c r="N1269" s="9">
        <f>_xlfn.XLOOKUP(F1269,'Raw Data'!$I$4:$I$5000,'Raw Data'!$E$4:$E$5000,100,0)</f>
        <v>100</v>
      </c>
      <c r="O1269" s="9" t="str">
        <f>IF(N1269=0,_xlfn.XLOOKUP(F1269,'Raw Data'!$I$4:$I$5000,'Raw Data'!$H$4:$H$5000,"",0),"")</f>
        <v/>
      </c>
      <c r="P1269" s="9" t="str" cm="1">
        <f t="array" aca="1" ref="P1269" ca="1">IF(INDIRECT(M1269) = "","",INDIRECT(M1269))</f>
        <v/>
      </c>
      <c r="Q1269" s="359" t="s">
        <v>4381</v>
      </c>
    </row>
    <row r="1270" spans="1:17" x14ac:dyDescent="0.35">
      <c r="A1270" t="s">
        <v>2027</v>
      </c>
      <c r="E1270" t="str">
        <f>_xlfn.XLOOKUP(F1270,'Raw Data'!$I$4:$I$5000,'Raw Data'!$D$4:$D$5000,"*** Mnemonic not found ***",0)</f>
        <v>*** Mnemonic not found ***</v>
      </c>
      <c r="F1270" t="str">
        <f t="shared" si="293"/>
        <v>SUCMBANKDEPCCC__</v>
      </c>
      <c r="H1270" s="9" t="s">
        <v>1137</v>
      </c>
      <c r="K1270" s="9">
        <f t="shared" si="321"/>
        <v>388</v>
      </c>
      <c r="L1270" s="9" t="str">
        <f t="shared" si="322"/>
        <v>F</v>
      </c>
      <c r="M1270" s="9" t="str">
        <f t="shared" si="320"/>
        <v>Input!F388</v>
      </c>
      <c r="N1270" s="9">
        <f>_xlfn.XLOOKUP(F1270,'Raw Data'!$I$4:$I$5000,'Raw Data'!$E$4:$E$5000,100,0)</f>
        <v>100</v>
      </c>
      <c r="O1270" s="9" t="str">
        <f>IF(N1270=0,_xlfn.XLOOKUP(F1270,'Raw Data'!$I$4:$I$5000,'Raw Data'!$H$4:$H$5000,"",0),"")</f>
        <v/>
      </c>
      <c r="P1270" s="9" t="str" cm="1">
        <f t="array" aca="1" ref="P1270" ca="1">IF(INDIRECT(M1270) = "","",INDIRECT(M1270))</f>
        <v/>
      </c>
      <c r="Q1270" s="359" t="s">
        <v>4381</v>
      </c>
    </row>
    <row r="1271" spans="1:17" x14ac:dyDescent="0.35">
      <c r="A1271" t="s">
        <v>2028</v>
      </c>
      <c r="E1271" t="str">
        <f>_xlfn.XLOOKUP(F1271,'Raw Data'!$I$4:$I$5000,'Raw Data'!$D$4:$D$5000,"*** Mnemonic not found ***",0)</f>
        <v>*** Mnemonic not found ***</v>
      </c>
      <c r="F1271" t="str">
        <f t="shared" si="293"/>
        <v>SUCMBANKDEPCED__</v>
      </c>
      <c r="H1271" s="9" t="s">
        <v>1137</v>
      </c>
      <c r="I1271" s="289">
        <f>ROW(section_other_invested_assets)</f>
        <v>365</v>
      </c>
      <c r="J1271" s="9">
        <v>25</v>
      </c>
      <c r="K1271" s="9">
        <f>I1271+J1271</f>
        <v>390</v>
      </c>
      <c r="L1271" s="9" t="str">
        <f t="shared" si="322"/>
        <v>F</v>
      </c>
      <c r="M1271" s="9" t="str">
        <f t="shared" si="320"/>
        <v>Input!F390</v>
      </c>
      <c r="N1271" s="9">
        <f>_xlfn.XLOOKUP(F1271,'Raw Data'!$I$4:$I$5000,'Raw Data'!$E$4:$E$5000,100,0)</f>
        <v>100</v>
      </c>
      <c r="O1271" s="9" t="str">
        <f>IF(N1271=0,_xlfn.XLOOKUP(F1271,'Raw Data'!$I$4:$I$5000,'Raw Data'!$H$4:$H$5000,"",0),"")</f>
        <v/>
      </c>
      <c r="P1271" s="9" t="str" cm="1">
        <f t="array" aca="1" ref="P1271" ca="1">IF(INDIRECT(M1271) = "","",INDIRECT(M1271))</f>
        <v/>
      </c>
      <c r="Q1271" s="359" t="s">
        <v>4381</v>
      </c>
    </row>
    <row r="1272" spans="1:17" x14ac:dyDescent="0.35">
      <c r="A1272" t="s">
        <v>2029</v>
      </c>
      <c r="E1272" t="str">
        <f>_xlfn.XLOOKUP(F1272,'Raw Data'!$I$4:$I$5000,'Raw Data'!$D$4:$D$5000,"*** Mnemonic not found ***",0)</f>
        <v>*** Mnemonic not found ***</v>
      </c>
      <c r="F1272" t="str">
        <f t="shared" si="293"/>
        <v>SUCMTOTINVASST__</v>
      </c>
      <c r="H1272" s="9" t="s">
        <v>1137</v>
      </c>
      <c r="I1272" s="289">
        <f>ROW(section_other_invested_assets)</f>
        <v>365</v>
      </c>
      <c r="J1272" s="9">
        <v>27</v>
      </c>
      <c r="K1272" s="9">
        <f>I1272+J1272</f>
        <v>392</v>
      </c>
      <c r="L1272" s="9" t="str">
        <f t="shared" si="322"/>
        <v>F</v>
      </c>
      <c r="M1272" s="9" t="str">
        <f t="shared" si="320"/>
        <v>Input!F392</v>
      </c>
      <c r="N1272" s="9">
        <f>_xlfn.XLOOKUP(F1272,'Raw Data'!$I$4:$I$5000,'Raw Data'!$E$4:$E$5000,100,0)</f>
        <v>100</v>
      </c>
      <c r="O1272" s="9" t="str">
        <f>IF(N1272=0,_xlfn.XLOOKUP(F1272,'Raw Data'!$I$4:$I$5000,'Raw Data'!$H$4:$H$5000,"",0),"")</f>
        <v/>
      </c>
      <c r="P1272" s="9" t="str" cm="1">
        <f t="array" aca="1" ref="P1272" ca="1">IF(INDIRECT(M1272) = "","",INDIRECT(M1272))</f>
        <v/>
      </c>
      <c r="Q1272" s="359" t="s">
        <v>4381</v>
      </c>
    </row>
    <row r="1273" spans="1:17" x14ac:dyDescent="0.35">
      <c r="A1273" t="s">
        <v>2196</v>
      </c>
      <c r="E1273" t="str">
        <f>_xlfn.XLOOKUP(F1273,'Raw Data'!$I$4:$I$5000,'Raw Data'!$D$4:$D$5000,"*** Mnemonic not found ***",0)</f>
        <v>*** Mnemonic not found ***</v>
      </c>
      <c r="F1273" t="str">
        <f t="shared" si="293"/>
        <v>SUCMSPRRDUEAAA__</v>
      </c>
      <c r="G1273" t="s">
        <v>2251</v>
      </c>
      <c r="H1273" s="9" t="s">
        <v>1137</v>
      </c>
      <c r="I1273" s="289">
        <f>ROW(section_non_invested_assets)</f>
        <v>395</v>
      </c>
      <c r="J1273" s="9">
        <v>4</v>
      </c>
      <c r="K1273" s="9">
        <f t="shared" ref="K1273" si="323">I1273+J1273</f>
        <v>399</v>
      </c>
      <c r="L1273" s="9" t="str">
        <f t="shared" si="322"/>
        <v>F</v>
      </c>
      <c r="M1273" s="9" t="str">
        <f t="shared" si="320"/>
        <v>Input!F399</v>
      </c>
      <c r="N1273" s="9">
        <f>_xlfn.XLOOKUP(F1273,'Raw Data'!$I$4:$I$5000,'Raw Data'!$E$4:$E$5000,100,0)</f>
        <v>100</v>
      </c>
      <c r="O1273" s="9" t="str">
        <f>IF(N1273=0,_xlfn.XLOOKUP(F1273,'Raw Data'!$I$4:$I$5000,'Raw Data'!$H$4:$H$5000,"",0),"")</f>
        <v/>
      </c>
      <c r="P1273" s="9" t="str" cm="1">
        <f t="array" aca="1" ref="P1273" ca="1">IF(INDIRECT(M1273) = "","",INDIRECT(M1273))</f>
        <v/>
      </c>
      <c r="Q1273" s="359" t="s">
        <v>4381</v>
      </c>
    </row>
    <row r="1274" spans="1:17" x14ac:dyDescent="0.35">
      <c r="A1274" t="s">
        <v>2197</v>
      </c>
      <c r="E1274" t="str">
        <f>_xlfn.XLOOKUP(F1274,'Raw Data'!$I$4:$I$5000,'Raw Data'!$D$4:$D$5000,"*** Mnemonic not found ***",0)</f>
        <v>*** Mnemonic not found ***</v>
      </c>
      <c r="F1274" t="str">
        <f t="shared" si="293"/>
        <v>SUCMSPRRDUEAA__</v>
      </c>
      <c r="H1274" s="9" t="s">
        <v>1137</v>
      </c>
      <c r="K1274" s="9">
        <f>K1273+1</f>
        <v>400</v>
      </c>
      <c r="L1274" s="9" t="str">
        <f t="shared" si="322"/>
        <v>F</v>
      </c>
      <c r="M1274" s="9" t="str">
        <f t="shared" si="320"/>
        <v>Input!F400</v>
      </c>
      <c r="N1274" s="9">
        <f>_xlfn.XLOOKUP(F1274,'Raw Data'!$I$4:$I$5000,'Raw Data'!$E$4:$E$5000,100,0)</f>
        <v>100</v>
      </c>
      <c r="O1274" s="9" t="str">
        <f>IF(N1274=0,_xlfn.XLOOKUP(F1274,'Raw Data'!$I$4:$I$5000,'Raw Data'!$H$4:$H$5000,"",0),"")</f>
        <v/>
      </c>
      <c r="P1274" s="9" t="str" cm="1">
        <f t="array" aca="1" ref="P1274" ca="1">IF(INDIRECT(M1274) = "","",INDIRECT(M1274))</f>
        <v/>
      </c>
      <c r="Q1274" s="359" t="s">
        <v>4381</v>
      </c>
    </row>
    <row r="1275" spans="1:17" x14ac:dyDescent="0.35">
      <c r="A1275" t="s">
        <v>2198</v>
      </c>
      <c r="E1275" t="str">
        <f>_xlfn.XLOOKUP(F1275,'Raw Data'!$I$4:$I$5000,'Raw Data'!$D$4:$D$5000,"*** Mnemonic not found ***",0)</f>
        <v>*** Mnemonic not found ***</v>
      </c>
      <c r="F1275" t="str">
        <f t="shared" si="293"/>
        <v>SUCMSPRRDUEA__</v>
      </c>
      <c r="H1275" s="9" t="s">
        <v>1137</v>
      </c>
      <c r="K1275" s="9">
        <f t="shared" ref="K1275:K1280" si="324">K1274+1</f>
        <v>401</v>
      </c>
      <c r="L1275" s="9" t="str">
        <f t="shared" si="322"/>
        <v>F</v>
      </c>
      <c r="M1275" s="9" t="str">
        <f t="shared" si="320"/>
        <v>Input!F401</v>
      </c>
      <c r="N1275" s="9">
        <f>_xlfn.XLOOKUP(F1275,'Raw Data'!$I$4:$I$5000,'Raw Data'!$E$4:$E$5000,100,0)</f>
        <v>100</v>
      </c>
      <c r="O1275" s="9" t="str">
        <f>IF(N1275=0,_xlfn.XLOOKUP(F1275,'Raw Data'!$I$4:$I$5000,'Raw Data'!$H$4:$H$5000,"",0),"")</f>
        <v/>
      </c>
      <c r="P1275" s="9" t="str" cm="1">
        <f t="array" aca="1" ref="P1275" ca="1">IF(INDIRECT(M1275) = "","",INDIRECT(M1275))</f>
        <v/>
      </c>
      <c r="Q1275" s="359" t="s">
        <v>4381</v>
      </c>
    </row>
    <row r="1276" spans="1:17" x14ac:dyDescent="0.35">
      <c r="A1276" t="s">
        <v>2199</v>
      </c>
      <c r="E1276" t="str">
        <f>_xlfn.XLOOKUP(F1276,'Raw Data'!$I$4:$I$5000,'Raw Data'!$D$4:$D$5000,"*** Mnemonic not found ***",0)</f>
        <v>*** Mnemonic not found ***</v>
      </c>
      <c r="F1276" t="str">
        <f t="shared" si="293"/>
        <v>SUCMSPRRDUEBBB__</v>
      </c>
      <c r="H1276" s="9" t="s">
        <v>1137</v>
      </c>
      <c r="K1276" s="9">
        <f t="shared" si="324"/>
        <v>402</v>
      </c>
      <c r="L1276" s="9" t="str">
        <f t="shared" si="322"/>
        <v>F</v>
      </c>
      <c r="M1276" s="9" t="str">
        <f t="shared" si="320"/>
        <v>Input!F402</v>
      </c>
      <c r="N1276" s="9">
        <f>_xlfn.XLOOKUP(F1276,'Raw Data'!$I$4:$I$5000,'Raw Data'!$E$4:$E$5000,100,0)</f>
        <v>100</v>
      </c>
      <c r="O1276" s="9" t="str">
        <f>IF(N1276=0,_xlfn.XLOOKUP(F1276,'Raw Data'!$I$4:$I$5000,'Raw Data'!$H$4:$H$5000,"",0),"")</f>
        <v/>
      </c>
      <c r="P1276" s="9" t="str" cm="1">
        <f t="array" aca="1" ref="P1276" ca="1">IF(INDIRECT(M1276) = "","",INDIRECT(M1276))</f>
        <v/>
      </c>
      <c r="Q1276" s="359" t="s">
        <v>4381</v>
      </c>
    </row>
    <row r="1277" spans="1:17" x14ac:dyDescent="0.35">
      <c r="A1277" t="s">
        <v>2200</v>
      </c>
      <c r="E1277" t="str">
        <f>_xlfn.XLOOKUP(F1277,'Raw Data'!$I$4:$I$5000,'Raw Data'!$D$4:$D$5000,"*** Mnemonic not found ***",0)</f>
        <v>*** Mnemonic not found ***</v>
      </c>
      <c r="F1277" t="str">
        <f t="shared" si="293"/>
        <v>SUCMSPRRDUEBB__</v>
      </c>
      <c r="H1277" s="9" t="s">
        <v>1137</v>
      </c>
      <c r="K1277" s="9">
        <f t="shared" si="324"/>
        <v>403</v>
      </c>
      <c r="L1277" s="9" t="str">
        <f t="shared" si="322"/>
        <v>F</v>
      </c>
      <c r="M1277" s="9" t="str">
        <f t="shared" si="320"/>
        <v>Input!F403</v>
      </c>
      <c r="N1277" s="9">
        <f>_xlfn.XLOOKUP(F1277,'Raw Data'!$I$4:$I$5000,'Raw Data'!$E$4:$E$5000,100,0)</f>
        <v>100</v>
      </c>
      <c r="O1277" s="9" t="str">
        <f>IF(N1277=0,_xlfn.XLOOKUP(F1277,'Raw Data'!$I$4:$I$5000,'Raw Data'!$H$4:$H$5000,"",0),"")</f>
        <v/>
      </c>
      <c r="P1277" s="9" t="str" cm="1">
        <f t="array" aca="1" ref="P1277" ca="1">IF(INDIRECT(M1277) = "","",INDIRECT(M1277))</f>
        <v/>
      </c>
      <c r="Q1277" s="359" t="s">
        <v>4381</v>
      </c>
    </row>
    <row r="1278" spans="1:17" x14ac:dyDescent="0.35">
      <c r="A1278" t="s">
        <v>2201</v>
      </c>
      <c r="E1278" t="str">
        <f>_xlfn.XLOOKUP(F1278,'Raw Data'!$I$4:$I$5000,'Raw Data'!$D$4:$D$5000,"*** Mnemonic not found ***",0)</f>
        <v>*** Mnemonic not found ***</v>
      </c>
      <c r="F1278" t="str">
        <f t="shared" si="293"/>
        <v>SUCMSPRRDUEB__</v>
      </c>
      <c r="H1278" s="9" t="s">
        <v>1137</v>
      </c>
      <c r="K1278" s="9">
        <f t="shared" si="324"/>
        <v>404</v>
      </c>
      <c r="L1278" s="9" t="str">
        <f t="shared" si="322"/>
        <v>F</v>
      </c>
      <c r="M1278" s="9" t="str">
        <f t="shared" si="320"/>
        <v>Input!F404</v>
      </c>
      <c r="N1278" s="9">
        <f>_xlfn.XLOOKUP(F1278,'Raw Data'!$I$4:$I$5000,'Raw Data'!$E$4:$E$5000,100,0)</f>
        <v>100</v>
      </c>
      <c r="O1278" s="9" t="str">
        <f>IF(N1278=0,_xlfn.XLOOKUP(F1278,'Raw Data'!$I$4:$I$5000,'Raw Data'!$H$4:$H$5000,"",0),"")</f>
        <v/>
      </c>
      <c r="P1278" s="9" t="str" cm="1">
        <f t="array" aca="1" ref="P1278" ca="1">IF(INDIRECT(M1278) = "","",INDIRECT(M1278))</f>
        <v/>
      </c>
      <c r="Q1278" s="359" t="s">
        <v>4381</v>
      </c>
    </row>
    <row r="1279" spans="1:17" x14ac:dyDescent="0.35">
      <c r="A1279" t="s">
        <v>2202</v>
      </c>
      <c r="E1279" t="str">
        <f>_xlfn.XLOOKUP(F1279,'Raw Data'!$I$4:$I$5000,'Raw Data'!$D$4:$D$5000,"*** Mnemonic not found ***",0)</f>
        <v>*** Mnemonic not found ***</v>
      </c>
      <c r="F1279" t="str">
        <f t="shared" si="293"/>
        <v>SUCMSPRRDUECCC__</v>
      </c>
      <c r="H1279" s="9" t="s">
        <v>1137</v>
      </c>
      <c r="K1279" s="9">
        <f t="shared" si="324"/>
        <v>405</v>
      </c>
      <c r="L1279" s="9" t="str">
        <f t="shared" si="322"/>
        <v>F</v>
      </c>
      <c r="M1279" s="9" t="str">
        <f t="shared" si="320"/>
        <v>Input!F405</v>
      </c>
      <c r="N1279" s="9">
        <f>_xlfn.XLOOKUP(F1279,'Raw Data'!$I$4:$I$5000,'Raw Data'!$E$4:$E$5000,100,0)</f>
        <v>100</v>
      </c>
      <c r="O1279" s="9" t="str">
        <f>IF(N1279=0,_xlfn.XLOOKUP(F1279,'Raw Data'!$I$4:$I$5000,'Raw Data'!$H$4:$H$5000,"",0),"")</f>
        <v/>
      </c>
      <c r="P1279" s="9" t="str" cm="1">
        <f t="array" aca="1" ref="P1279" ca="1">IF(INDIRECT(M1279) = "","",INDIRECT(M1279))</f>
        <v/>
      </c>
      <c r="Q1279" s="359" t="s">
        <v>4381</v>
      </c>
    </row>
    <row r="1280" spans="1:17" x14ac:dyDescent="0.35">
      <c r="A1280" t="s">
        <v>2203</v>
      </c>
      <c r="E1280" t="str">
        <f>_xlfn.XLOOKUP(F1280,'Raw Data'!$I$4:$I$5000,'Raw Data'!$D$4:$D$5000,"*** Mnemonic not found ***",0)</f>
        <v>*** Mnemonic not found ***</v>
      </c>
      <c r="F1280" t="str">
        <f t="shared" si="293"/>
        <v>SUCMSPRRDUED__</v>
      </c>
      <c r="H1280" s="9" t="s">
        <v>1137</v>
      </c>
      <c r="K1280" s="9">
        <f t="shared" si="324"/>
        <v>406</v>
      </c>
      <c r="L1280" s="9" t="str">
        <f t="shared" si="322"/>
        <v>F</v>
      </c>
      <c r="M1280" s="9" t="str">
        <f t="shared" si="320"/>
        <v>Input!F406</v>
      </c>
      <c r="N1280" s="9">
        <f>_xlfn.XLOOKUP(F1280,'Raw Data'!$I$4:$I$5000,'Raw Data'!$E$4:$E$5000,100,0)</f>
        <v>100</v>
      </c>
      <c r="O1280" s="9" t="str">
        <f>IF(N1280=0,_xlfn.XLOOKUP(F1280,'Raw Data'!$I$4:$I$5000,'Raw Data'!$H$4:$H$5000,"",0),"")</f>
        <v/>
      </c>
      <c r="P1280" s="9" t="str" cm="1">
        <f t="array" aca="1" ref="P1280" ca="1">IF(INDIRECT(M1280) = "","",INDIRECT(M1280))</f>
        <v/>
      </c>
      <c r="Q1280" s="359" t="s">
        <v>4381</v>
      </c>
    </row>
    <row r="1281" spans="1:17" x14ac:dyDescent="0.35">
      <c r="A1281" t="s">
        <v>2204</v>
      </c>
      <c r="E1281" t="str">
        <f>_xlfn.XLOOKUP(F1281,'Raw Data'!$I$4:$I$5000,'Raw Data'!$D$4:$D$5000,"*** Mnemonic not found ***",0)</f>
        <v>*** Mnemonic not found ***</v>
      </c>
      <c r="F1281" t="str">
        <f t="shared" si="293"/>
        <v>SUCMSPRROSIBNRAAA__</v>
      </c>
      <c r="H1281" s="9" t="s">
        <v>1137</v>
      </c>
      <c r="I1281" s="289">
        <f>ROW(section_non_invested_assets)</f>
        <v>395</v>
      </c>
      <c r="J1281" s="9">
        <f>J1273</f>
        <v>4</v>
      </c>
      <c r="K1281" s="9">
        <f t="shared" ref="K1281" si="325">I1281+J1281</f>
        <v>399</v>
      </c>
      <c r="L1281" s="9" t="s">
        <v>1145</v>
      </c>
      <c r="M1281" s="9" t="str">
        <f t="shared" si="320"/>
        <v>Input!G399</v>
      </c>
      <c r="N1281" s="9">
        <f>_xlfn.XLOOKUP(F1281,'Raw Data'!$I$4:$I$5000,'Raw Data'!$E$4:$E$5000,100,0)</f>
        <v>100</v>
      </c>
      <c r="O1281" s="9" t="str">
        <f>IF(N1281=0,_xlfn.XLOOKUP(F1281,'Raw Data'!$I$4:$I$5000,'Raw Data'!$H$4:$H$5000,"",0),"")</f>
        <v/>
      </c>
      <c r="P1281" s="9" t="str" cm="1">
        <f t="array" aca="1" ref="P1281" ca="1">IF(INDIRECT(M1281) = "","",INDIRECT(M1281))</f>
        <v/>
      </c>
      <c r="Q1281" s="359" t="s">
        <v>4381</v>
      </c>
    </row>
    <row r="1282" spans="1:17" x14ac:dyDescent="0.35">
      <c r="A1282" t="s">
        <v>2205</v>
      </c>
      <c r="E1282" t="str">
        <f>_xlfn.XLOOKUP(F1282,'Raw Data'!$I$4:$I$5000,'Raw Data'!$D$4:$D$5000,"*** Mnemonic not found ***",0)</f>
        <v>*** Mnemonic not found ***</v>
      </c>
      <c r="F1282" t="str">
        <f t="shared" si="293"/>
        <v>SUCMSPRROSIBNRAA__</v>
      </c>
      <c r="H1282" s="9" t="s">
        <v>1137</v>
      </c>
      <c r="K1282" s="9">
        <f>K1281+1</f>
        <v>400</v>
      </c>
      <c r="L1282" s="9" t="str">
        <f t="shared" ref="L1282:L1288" si="326">L1281</f>
        <v>G</v>
      </c>
      <c r="M1282" s="9" t="str">
        <f t="shared" si="320"/>
        <v>Input!G400</v>
      </c>
      <c r="N1282" s="9">
        <f>_xlfn.XLOOKUP(F1282,'Raw Data'!$I$4:$I$5000,'Raw Data'!$E$4:$E$5000,100,0)</f>
        <v>100</v>
      </c>
      <c r="O1282" s="9" t="str">
        <f>IF(N1282=0,_xlfn.XLOOKUP(F1282,'Raw Data'!$I$4:$I$5000,'Raw Data'!$H$4:$H$5000,"",0),"")</f>
        <v/>
      </c>
      <c r="P1282" s="9" t="str" cm="1">
        <f t="array" aca="1" ref="P1282" ca="1">IF(INDIRECT(M1282) = "","",INDIRECT(M1282))</f>
        <v/>
      </c>
      <c r="Q1282" s="359" t="s">
        <v>4381</v>
      </c>
    </row>
    <row r="1283" spans="1:17" x14ac:dyDescent="0.35">
      <c r="A1283" t="s">
        <v>2206</v>
      </c>
      <c r="E1283" t="str">
        <f>_xlfn.XLOOKUP(F1283,'Raw Data'!$I$4:$I$5000,'Raw Data'!$D$4:$D$5000,"*** Mnemonic not found ***",0)</f>
        <v>*** Mnemonic not found ***</v>
      </c>
      <c r="F1283" t="str">
        <f t="shared" si="293"/>
        <v>SUCMSPRROSIBNRA__</v>
      </c>
      <c r="H1283" s="9" t="s">
        <v>1137</v>
      </c>
      <c r="K1283" s="9">
        <f t="shared" ref="K1283:K1288" si="327">K1282+1</f>
        <v>401</v>
      </c>
      <c r="L1283" s="9" t="str">
        <f t="shared" si="326"/>
        <v>G</v>
      </c>
      <c r="M1283" s="9" t="str">
        <f t="shared" si="320"/>
        <v>Input!G401</v>
      </c>
      <c r="N1283" s="9">
        <f>_xlfn.XLOOKUP(F1283,'Raw Data'!$I$4:$I$5000,'Raw Data'!$E$4:$E$5000,100,0)</f>
        <v>100</v>
      </c>
      <c r="O1283" s="9" t="str">
        <f>IF(N1283=0,_xlfn.XLOOKUP(F1283,'Raw Data'!$I$4:$I$5000,'Raw Data'!$H$4:$H$5000,"",0),"")</f>
        <v/>
      </c>
      <c r="P1283" s="9" t="str" cm="1">
        <f t="array" aca="1" ref="P1283" ca="1">IF(INDIRECT(M1283) = "","",INDIRECT(M1283))</f>
        <v/>
      </c>
      <c r="Q1283" s="359" t="s">
        <v>4381</v>
      </c>
    </row>
    <row r="1284" spans="1:17" x14ac:dyDescent="0.35">
      <c r="A1284" t="s">
        <v>2207</v>
      </c>
      <c r="E1284" t="str">
        <f>_xlfn.XLOOKUP(F1284,'Raw Data'!$I$4:$I$5000,'Raw Data'!$D$4:$D$5000,"*** Mnemonic not found ***",0)</f>
        <v>*** Mnemonic not found ***</v>
      </c>
      <c r="F1284" t="str">
        <f t="shared" si="293"/>
        <v>SUCMSPRROSIBNRBBB__</v>
      </c>
      <c r="H1284" s="9" t="s">
        <v>1137</v>
      </c>
      <c r="K1284" s="9">
        <f t="shared" si="327"/>
        <v>402</v>
      </c>
      <c r="L1284" s="9" t="str">
        <f t="shared" si="326"/>
        <v>G</v>
      </c>
      <c r="M1284" s="9" t="str">
        <f t="shared" si="320"/>
        <v>Input!G402</v>
      </c>
      <c r="N1284" s="9">
        <f>_xlfn.XLOOKUP(F1284,'Raw Data'!$I$4:$I$5000,'Raw Data'!$E$4:$E$5000,100,0)</f>
        <v>100</v>
      </c>
      <c r="O1284" s="9" t="str">
        <f>IF(N1284=0,_xlfn.XLOOKUP(F1284,'Raw Data'!$I$4:$I$5000,'Raw Data'!$H$4:$H$5000,"",0),"")</f>
        <v/>
      </c>
      <c r="P1284" s="9" t="str" cm="1">
        <f t="array" aca="1" ref="P1284" ca="1">IF(INDIRECT(M1284) = "","",INDIRECT(M1284))</f>
        <v/>
      </c>
      <c r="Q1284" s="359" t="s">
        <v>4381</v>
      </c>
    </row>
    <row r="1285" spans="1:17" x14ac:dyDescent="0.35">
      <c r="A1285" t="s">
        <v>2208</v>
      </c>
      <c r="E1285" t="str">
        <f>_xlfn.XLOOKUP(F1285,'Raw Data'!$I$4:$I$5000,'Raw Data'!$D$4:$D$5000,"*** Mnemonic not found ***",0)</f>
        <v>*** Mnemonic not found ***</v>
      </c>
      <c r="F1285" t="str">
        <f t="shared" si="293"/>
        <v>SUCMSPRROSIBNRBB__</v>
      </c>
      <c r="H1285" s="9" t="s">
        <v>1137</v>
      </c>
      <c r="K1285" s="9">
        <f t="shared" si="327"/>
        <v>403</v>
      </c>
      <c r="L1285" s="9" t="str">
        <f t="shared" si="326"/>
        <v>G</v>
      </c>
      <c r="M1285" s="9" t="str">
        <f t="shared" si="320"/>
        <v>Input!G403</v>
      </c>
      <c r="N1285" s="9">
        <f>_xlfn.XLOOKUP(F1285,'Raw Data'!$I$4:$I$5000,'Raw Data'!$E$4:$E$5000,100,0)</f>
        <v>100</v>
      </c>
      <c r="O1285" s="9" t="str">
        <f>IF(N1285=0,_xlfn.XLOOKUP(F1285,'Raw Data'!$I$4:$I$5000,'Raw Data'!$H$4:$H$5000,"",0),"")</f>
        <v/>
      </c>
      <c r="P1285" s="9" t="str" cm="1">
        <f t="array" aca="1" ref="P1285" ca="1">IF(INDIRECT(M1285) = "","",INDIRECT(M1285))</f>
        <v/>
      </c>
      <c r="Q1285" s="359" t="s">
        <v>4381</v>
      </c>
    </row>
    <row r="1286" spans="1:17" x14ac:dyDescent="0.35">
      <c r="A1286" t="s">
        <v>2209</v>
      </c>
      <c r="E1286" t="str">
        <f>_xlfn.XLOOKUP(F1286,'Raw Data'!$I$4:$I$5000,'Raw Data'!$D$4:$D$5000,"*** Mnemonic not found ***",0)</f>
        <v>*** Mnemonic not found ***</v>
      </c>
      <c r="F1286" t="str">
        <f t="shared" si="293"/>
        <v>SUCMSPRROSIBNRB__</v>
      </c>
      <c r="H1286" s="9" t="s">
        <v>1137</v>
      </c>
      <c r="K1286" s="9">
        <f t="shared" si="327"/>
        <v>404</v>
      </c>
      <c r="L1286" s="9" t="str">
        <f t="shared" si="326"/>
        <v>G</v>
      </c>
      <c r="M1286" s="9" t="str">
        <f t="shared" si="320"/>
        <v>Input!G404</v>
      </c>
      <c r="N1286" s="9">
        <f>_xlfn.XLOOKUP(F1286,'Raw Data'!$I$4:$I$5000,'Raw Data'!$E$4:$E$5000,100,0)</f>
        <v>100</v>
      </c>
      <c r="O1286" s="9" t="str">
        <f>IF(N1286=0,_xlfn.XLOOKUP(F1286,'Raw Data'!$I$4:$I$5000,'Raw Data'!$H$4:$H$5000,"",0),"")</f>
        <v/>
      </c>
      <c r="P1286" s="9" t="str" cm="1">
        <f t="array" aca="1" ref="P1286" ca="1">IF(INDIRECT(M1286) = "","",INDIRECT(M1286))</f>
        <v/>
      </c>
      <c r="Q1286" s="359" t="s">
        <v>4381</v>
      </c>
    </row>
    <row r="1287" spans="1:17" x14ac:dyDescent="0.35">
      <c r="A1287" t="s">
        <v>2210</v>
      </c>
      <c r="E1287" t="str">
        <f>_xlfn.XLOOKUP(F1287,'Raw Data'!$I$4:$I$5000,'Raw Data'!$D$4:$D$5000,"*** Mnemonic not found ***",0)</f>
        <v>*** Mnemonic not found ***</v>
      </c>
      <c r="F1287" t="str">
        <f t="shared" ref="F1287:F1350" si="328">CONCATENATE(A1287,"_",B1287,"_",D1287)</f>
        <v>SUCMSPRROSIBNRCCC__</v>
      </c>
      <c r="H1287" s="9" t="s">
        <v>1137</v>
      </c>
      <c r="K1287" s="9">
        <f t="shared" si="327"/>
        <v>405</v>
      </c>
      <c r="L1287" s="9" t="str">
        <f t="shared" si="326"/>
        <v>G</v>
      </c>
      <c r="M1287" s="9" t="str">
        <f t="shared" si="320"/>
        <v>Input!G405</v>
      </c>
      <c r="N1287" s="9">
        <f>_xlfn.XLOOKUP(F1287,'Raw Data'!$I$4:$I$5000,'Raw Data'!$E$4:$E$5000,100,0)</f>
        <v>100</v>
      </c>
      <c r="O1287" s="9" t="str">
        <f>IF(N1287=0,_xlfn.XLOOKUP(F1287,'Raw Data'!$I$4:$I$5000,'Raw Data'!$H$4:$H$5000,"",0),"")</f>
        <v/>
      </c>
      <c r="P1287" s="9" t="str" cm="1">
        <f t="array" aca="1" ref="P1287" ca="1">IF(INDIRECT(M1287) = "","",INDIRECT(M1287))</f>
        <v/>
      </c>
      <c r="Q1287" s="359" t="s">
        <v>4381</v>
      </c>
    </row>
    <row r="1288" spans="1:17" x14ac:dyDescent="0.35">
      <c r="A1288" t="s">
        <v>2211</v>
      </c>
      <c r="E1288" t="str">
        <f>_xlfn.XLOOKUP(F1288,'Raw Data'!$I$4:$I$5000,'Raw Data'!$D$4:$D$5000,"*** Mnemonic not found ***",0)</f>
        <v>*** Mnemonic not found ***</v>
      </c>
      <c r="F1288" t="str">
        <f t="shared" si="328"/>
        <v>SUCMSPRROSIBNRD__</v>
      </c>
      <c r="H1288" s="9" t="s">
        <v>1137</v>
      </c>
      <c r="K1288" s="9">
        <f t="shared" si="327"/>
        <v>406</v>
      </c>
      <c r="L1288" s="9" t="str">
        <f t="shared" si="326"/>
        <v>G</v>
      </c>
      <c r="M1288" s="9" t="str">
        <f t="shared" si="320"/>
        <v>Input!G406</v>
      </c>
      <c r="N1288" s="9">
        <f>_xlfn.XLOOKUP(F1288,'Raw Data'!$I$4:$I$5000,'Raw Data'!$E$4:$E$5000,100,0)</f>
        <v>100</v>
      </c>
      <c r="O1288" s="9" t="str">
        <f>IF(N1288=0,_xlfn.XLOOKUP(F1288,'Raw Data'!$I$4:$I$5000,'Raw Data'!$H$4:$H$5000,"",0),"")</f>
        <v/>
      </c>
      <c r="P1288" s="9" t="str" cm="1">
        <f t="array" aca="1" ref="P1288" ca="1">IF(INDIRECT(M1288) = "","",INDIRECT(M1288))</f>
        <v/>
      </c>
      <c r="Q1288" s="359" t="s">
        <v>4381</v>
      </c>
    </row>
    <row r="1289" spans="1:17" x14ac:dyDescent="0.35">
      <c r="A1289" t="s">
        <v>2212</v>
      </c>
      <c r="E1289" t="str">
        <f>_xlfn.XLOOKUP(F1289,'Raw Data'!$I$4:$I$5000,'Raw Data'!$D$4:$D$5000,"*** Mnemonic not found ***",0)</f>
        <v>*** Mnemonic not found ***</v>
      </c>
      <c r="F1289" t="str">
        <f t="shared" si="328"/>
        <v>SUCMSPRRLOCREINAAA__</v>
      </c>
      <c r="H1289" s="9" t="s">
        <v>1137</v>
      </c>
      <c r="I1289" s="289">
        <f>ROW(section_non_invested_assets)</f>
        <v>395</v>
      </c>
      <c r="J1289" s="9">
        <f>J1281</f>
        <v>4</v>
      </c>
      <c r="K1289" s="9">
        <f t="shared" ref="K1289" si="329">I1289+J1289</f>
        <v>399</v>
      </c>
      <c r="L1289" s="9" t="s">
        <v>1144</v>
      </c>
      <c r="M1289" s="9" t="str">
        <f t="shared" si="320"/>
        <v>Input!H399</v>
      </c>
      <c r="N1289" s="9">
        <f>_xlfn.XLOOKUP(F1289,'Raw Data'!$I$4:$I$5000,'Raw Data'!$E$4:$E$5000,100,0)</f>
        <v>100</v>
      </c>
      <c r="O1289" s="9" t="str">
        <f>IF(N1289=0,_xlfn.XLOOKUP(F1289,'Raw Data'!$I$4:$I$5000,'Raw Data'!$H$4:$H$5000,"",0),"")</f>
        <v/>
      </c>
      <c r="P1289" s="9" t="str" cm="1">
        <f t="array" aca="1" ref="P1289" ca="1">IF(INDIRECT(M1289) = "","",INDIRECT(M1289))</f>
        <v/>
      </c>
      <c r="Q1289" s="359" t="s">
        <v>4381</v>
      </c>
    </row>
    <row r="1290" spans="1:17" x14ac:dyDescent="0.35">
      <c r="A1290" t="s">
        <v>2213</v>
      </c>
      <c r="E1290" t="str">
        <f>_xlfn.XLOOKUP(F1290,'Raw Data'!$I$4:$I$5000,'Raw Data'!$D$4:$D$5000,"*** Mnemonic not found ***",0)</f>
        <v>*** Mnemonic not found ***</v>
      </c>
      <c r="F1290" t="str">
        <f t="shared" si="328"/>
        <v>SUCMSPRRLOCREINAA__</v>
      </c>
      <c r="H1290" s="9" t="s">
        <v>1137</v>
      </c>
      <c r="K1290" s="9">
        <f>K1289+1</f>
        <v>400</v>
      </c>
      <c r="L1290" s="9" t="str">
        <f t="shared" ref="L1290:L1296" si="330">L1289</f>
        <v>H</v>
      </c>
      <c r="M1290" s="9" t="str">
        <f t="shared" si="320"/>
        <v>Input!H400</v>
      </c>
      <c r="N1290" s="9">
        <f>_xlfn.XLOOKUP(F1290,'Raw Data'!$I$4:$I$5000,'Raw Data'!$E$4:$E$5000,100,0)</f>
        <v>100</v>
      </c>
      <c r="O1290" s="9" t="str">
        <f>IF(N1290=0,_xlfn.XLOOKUP(F1290,'Raw Data'!$I$4:$I$5000,'Raw Data'!$H$4:$H$5000,"",0),"")</f>
        <v/>
      </c>
      <c r="P1290" s="9" t="str" cm="1">
        <f t="array" aca="1" ref="P1290" ca="1">IF(INDIRECT(M1290) = "","",INDIRECT(M1290))</f>
        <v/>
      </c>
      <c r="Q1290" s="359" t="s">
        <v>4381</v>
      </c>
    </row>
    <row r="1291" spans="1:17" x14ac:dyDescent="0.35">
      <c r="A1291" t="s">
        <v>2214</v>
      </c>
      <c r="E1291" t="str">
        <f>_xlfn.XLOOKUP(F1291,'Raw Data'!$I$4:$I$5000,'Raw Data'!$D$4:$D$5000,"*** Mnemonic not found ***",0)</f>
        <v>*** Mnemonic not found ***</v>
      </c>
      <c r="F1291" t="str">
        <f t="shared" si="328"/>
        <v>SUCMSPRRLOCREINA__</v>
      </c>
      <c r="H1291" s="9" t="s">
        <v>1137</v>
      </c>
      <c r="K1291" s="9">
        <f t="shared" ref="K1291:K1296" si="331">K1290+1</f>
        <v>401</v>
      </c>
      <c r="L1291" s="9" t="str">
        <f t="shared" si="330"/>
        <v>H</v>
      </c>
      <c r="M1291" s="9" t="str">
        <f t="shared" si="320"/>
        <v>Input!H401</v>
      </c>
      <c r="N1291" s="9">
        <f>_xlfn.XLOOKUP(F1291,'Raw Data'!$I$4:$I$5000,'Raw Data'!$E$4:$E$5000,100,0)</f>
        <v>100</v>
      </c>
      <c r="O1291" s="9" t="str">
        <f>IF(N1291=0,_xlfn.XLOOKUP(F1291,'Raw Data'!$I$4:$I$5000,'Raw Data'!$H$4:$H$5000,"",0),"")</f>
        <v/>
      </c>
      <c r="P1291" s="9" t="str" cm="1">
        <f t="array" aca="1" ref="P1291" ca="1">IF(INDIRECT(M1291) = "","",INDIRECT(M1291))</f>
        <v/>
      </c>
      <c r="Q1291" s="359" t="s">
        <v>4381</v>
      </c>
    </row>
    <row r="1292" spans="1:17" x14ac:dyDescent="0.35">
      <c r="A1292" t="s">
        <v>2215</v>
      </c>
      <c r="E1292" t="str">
        <f>_xlfn.XLOOKUP(F1292,'Raw Data'!$I$4:$I$5000,'Raw Data'!$D$4:$D$5000,"*** Mnemonic not found ***",0)</f>
        <v>*** Mnemonic not found ***</v>
      </c>
      <c r="F1292" t="str">
        <f t="shared" si="328"/>
        <v>SUCMSPRRLOCREINBBB__</v>
      </c>
      <c r="H1292" s="9" t="s">
        <v>1137</v>
      </c>
      <c r="K1292" s="9">
        <f t="shared" si="331"/>
        <v>402</v>
      </c>
      <c r="L1292" s="9" t="str">
        <f t="shared" si="330"/>
        <v>H</v>
      </c>
      <c r="M1292" s="9" t="str">
        <f t="shared" si="320"/>
        <v>Input!H402</v>
      </c>
      <c r="N1292" s="9">
        <f>_xlfn.XLOOKUP(F1292,'Raw Data'!$I$4:$I$5000,'Raw Data'!$E$4:$E$5000,100,0)</f>
        <v>100</v>
      </c>
      <c r="O1292" s="9" t="str">
        <f>IF(N1292=0,_xlfn.XLOOKUP(F1292,'Raw Data'!$I$4:$I$5000,'Raw Data'!$H$4:$H$5000,"",0),"")</f>
        <v/>
      </c>
      <c r="P1292" s="9" t="str" cm="1">
        <f t="array" aca="1" ref="P1292" ca="1">IF(INDIRECT(M1292) = "","",INDIRECT(M1292))</f>
        <v/>
      </c>
      <c r="Q1292" s="359" t="s">
        <v>4381</v>
      </c>
    </row>
    <row r="1293" spans="1:17" x14ac:dyDescent="0.35">
      <c r="A1293" t="s">
        <v>2216</v>
      </c>
      <c r="E1293" t="str">
        <f>_xlfn.XLOOKUP(F1293,'Raw Data'!$I$4:$I$5000,'Raw Data'!$D$4:$D$5000,"*** Mnemonic not found ***",0)</f>
        <v>*** Mnemonic not found ***</v>
      </c>
      <c r="F1293" t="str">
        <f t="shared" si="328"/>
        <v>SUCMSPRRLOCREINBB__</v>
      </c>
      <c r="H1293" s="9" t="s">
        <v>1137</v>
      </c>
      <c r="K1293" s="9">
        <f t="shared" si="331"/>
        <v>403</v>
      </c>
      <c r="L1293" s="9" t="str">
        <f t="shared" si="330"/>
        <v>H</v>
      </c>
      <c r="M1293" s="9" t="str">
        <f t="shared" si="320"/>
        <v>Input!H403</v>
      </c>
      <c r="N1293" s="9">
        <f>_xlfn.XLOOKUP(F1293,'Raw Data'!$I$4:$I$5000,'Raw Data'!$E$4:$E$5000,100,0)</f>
        <v>100</v>
      </c>
      <c r="O1293" s="9" t="str">
        <f>IF(N1293=0,_xlfn.XLOOKUP(F1293,'Raw Data'!$I$4:$I$5000,'Raw Data'!$H$4:$H$5000,"",0),"")</f>
        <v/>
      </c>
      <c r="P1293" s="9" t="str" cm="1">
        <f t="array" aca="1" ref="P1293" ca="1">IF(INDIRECT(M1293) = "","",INDIRECT(M1293))</f>
        <v/>
      </c>
      <c r="Q1293" s="359" t="s">
        <v>4381</v>
      </c>
    </row>
    <row r="1294" spans="1:17" x14ac:dyDescent="0.35">
      <c r="A1294" t="s">
        <v>2217</v>
      </c>
      <c r="E1294" t="str">
        <f>_xlfn.XLOOKUP(F1294,'Raw Data'!$I$4:$I$5000,'Raw Data'!$D$4:$D$5000,"*** Mnemonic not found ***",0)</f>
        <v>*** Mnemonic not found ***</v>
      </c>
      <c r="F1294" t="str">
        <f t="shared" si="328"/>
        <v>SUCMSPRRLOCREINB__</v>
      </c>
      <c r="H1294" s="9" t="s">
        <v>1137</v>
      </c>
      <c r="K1294" s="9">
        <f t="shared" si="331"/>
        <v>404</v>
      </c>
      <c r="L1294" s="9" t="str">
        <f t="shared" si="330"/>
        <v>H</v>
      </c>
      <c r="M1294" s="9" t="str">
        <f t="shared" si="320"/>
        <v>Input!H404</v>
      </c>
      <c r="N1294" s="9">
        <f>_xlfn.XLOOKUP(F1294,'Raw Data'!$I$4:$I$5000,'Raw Data'!$E$4:$E$5000,100,0)</f>
        <v>100</v>
      </c>
      <c r="O1294" s="9" t="str">
        <f>IF(N1294=0,_xlfn.XLOOKUP(F1294,'Raw Data'!$I$4:$I$5000,'Raw Data'!$H$4:$H$5000,"",0),"")</f>
        <v/>
      </c>
      <c r="P1294" s="9" t="str" cm="1">
        <f t="array" aca="1" ref="P1294" ca="1">IF(INDIRECT(M1294) = "","",INDIRECT(M1294))</f>
        <v/>
      </c>
      <c r="Q1294" s="359" t="s">
        <v>4381</v>
      </c>
    </row>
    <row r="1295" spans="1:17" x14ac:dyDescent="0.35">
      <c r="A1295" t="s">
        <v>2218</v>
      </c>
      <c r="E1295" t="str">
        <f>_xlfn.XLOOKUP(F1295,'Raw Data'!$I$4:$I$5000,'Raw Data'!$D$4:$D$5000,"*** Mnemonic not found ***",0)</f>
        <v>*** Mnemonic not found ***</v>
      </c>
      <c r="F1295" t="str">
        <f t="shared" si="328"/>
        <v>SUCMSPRRLOCREINCCC__</v>
      </c>
      <c r="H1295" s="9" t="s">
        <v>1137</v>
      </c>
      <c r="K1295" s="9">
        <f t="shared" si="331"/>
        <v>405</v>
      </c>
      <c r="L1295" s="9" t="str">
        <f t="shared" si="330"/>
        <v>H</v>
      </c>
      <c r="M1295" s="9" t="str">
        <f t="shared" si="320"/>
        <v>Input!H405</v>
      </c>
      <c r="N1295" s="9">
        <f>_xlfn.XLOOKUP(F1295,'Raw Data'!$I$4:$I$5000,'Raw Data'!$E$4:$E$5000,100,0)</f>
        <v>100</v>
      </c>
      <c r="O1295" s="9" t="str">
        <f>IF(N1295=0,_xlfn.XLOOKUP(F1295,'Raw Data'!$I$4:$I$5000,'Raw Data'!$H$4:$H$5000,"",0),"")</f>
        <v/>
      </c>
      <c r="P1295" s="9" t="str" cm="1">
        <f t="array" aca="1" ref="P1295" ca="1">IF(INDIRECT(M1295) = "","",INDIRECT(M1295))</f>
        <v/>
      </c>
      <c r="Q1295" s="359" t="s">
        <v>4381</v>
      </c>
    </row>
    <row r="1296" spans="1:17" x14ac:dyDescent="0.35">
      <c r="A1296" t="s">
        <v>2219</v>
      </c>
      <c r="E1296" t="str">
        <f>_xlfn.XLOOKUP(F1296,'Raw Data'!$I$4:$I$5000,'Raw Data'!$D$4:$D$5000,"*** Mnemonic not found ***",0)</f>
        <v>*** Mnemonic not found ***</v>
      </c>
      <c r="F1296" t="str">
        <f t="shared" si="328"/>
        <v>SUCMSPRRLOCREIND__</v>
      </c>
      <c r="H1296" s="9" t="s">
        <v>1137</v>
      </c>
      <c r="K1296" s="9">
        <f t="shared" si="331"/>
        <v>406</v>
      </c>
      <c r="L1296" s="9" t="str">
        <f t="shared" si="330"/>
        <v>H</v>
      </c>
      <c r="M1296" s="9" t="str">
        <f t="shared" si="320"/>
        <v>Input!H406</v>
      </c>
      <c r="N1296" s="9">
        <f>_xlfn.XLOOKUP(F1296,'Raw Data'!$I$4:$I$5000,'Raw Data'!$E$4:$E$5000,100,0)</f>
        <v>100</v>
      </c>
      <c r="O1296" s="9" t="str">
        <f>IF(N1296=0,_xlfn.XLOOKUP(F1296,'Raw Data'!$I$4:$I$5000,'Raw Data'!$H$4:$H$5000,"",0),"")</f>
        <v/>
      </c>
      <c r="P1296" s="9" t="str" cm="1">
        <f t="array" aca="1" ref="P1296" ca="1">IF(INDIRECT(M1296) = "","",INDIRECT(M1296))</f>
        <v/>
      </c>
      <c r="Q1296" s="359" t="s">
        <v>4381</v>
      </c>
    </row>
    <row r="1297" spans="1:17" x14ac:dyDescent="0.35">
      <c r="A1297" t="s">
        <v>2220</v>
      </c>
      <c r="E1297" t="str">
        <f>_xlfn.XLOOKUP(F1297,'Raw Data'!$I$4:$I$5000,'Raw Data'!$D$4:$D$5000,"*** Mnemonic not found ***",0)</f>
        <v>*** Mnemonic not found ***</v>
      </c>
      <c r="F1297" t="str">
        <f t="shared" si="328"/>
        <v>SUCMALTRRDUEAAA__</v>
      </c>
      <c r="G1297" t="s">
        <v>2251</v>
      </c>
      <c r="H1297" s="9" t="s">
        <v>1137</v>
      </c>
      <c r="I1297" s="289">
        <f>ROW(section_non_invested_assets)</f>
        <v>395</v>
      </c>
      <c r="J1297" s="9">
        <v>15</v>
      </c>
      <c r="K1297" s="9">
        <f t="shared" ref="K1297" si="332">I1297+J1297</f>
        <v>410</v>
      </c>
      <c r="L1297" s="9" t="s">
        <v>1124</v>
      </c>
      <c r="M1297" s="9" t="str">
        <f t="shared" si="320"/>
        <v>Input!F410</v>
      </c>
      <c r="N1297" s="9">
        <f>_xlfn.XLOOKUP(F1297,'Raw Data'!$I$4:$I$5000,'Raw Data'!$E$4:$E$5000,100,0)</f>
        <v>100</v>
      </c>
      <c r="O1297" s="9" t="str">
        <f>IF(N1297=0,_xlfn.XLOOKUP(F1297,'Raw Data'!$I$4:$I$5000,'Raw Data'!$H$4:$H$5000,"",0),"")</f>
        <v/>
      </c>
      <c r="P1297" s="9" t="str" cm="1">
        <f t="array" aca="1" ref="P1297" ca="1">IF(INDIRECT(M1297) = "","",INDIRECT(M1297))</f>
        <v/>
      </c>
      <c r="Q1297" s="359" t="s">
        <v>4381</v>
      </c>
    </row>
    <row r="1298" spans="1:17" x14ac:dyDescent="0.35">
      <c r="A1298" t="s">
        <v>2221</v>
      </c>
      <c r="E1298" t="str">
        <f>_xlfn.XLOOKUP(F1298,'Raw Data'!$I$4:$I$5000,'Raw Data'!$D$4:$D$5000,"*** Mnemonic not found ***",0)</f>
        <v>*** Mnemonic not found ***</v>
      </c>
      <c r="F1298" t="str">
        <f t="shared" si="328"/>
        <v>SUCMALTRRDUEAA__</v>
      </c>
      <c r="H1298" s="9" t="s">
        <v>1137</v>
      </c>
      <c r="K1298" s="9">
        <f>K1297+1</f>
        <v>411</v>
      </c>
      <c r="L1298" s="9" t="str">
        <f t="shared" ref="L1298:L1304" si="333">L1297</f>
        <v>F</v>
      </c>
      <c r="M1298" s="9" t="str">
        <f t="shared" si="320"/>
        <v>Input!F411</v>
      </c>
      <c r="N1298" s="9">
        <f>_xlfn.XLOOKUP(F1298,'Raw Data'!$I$4:$I$5000,'Raw Data'!$E$4:$E$5000,100,0)</f>
        <v>100</v>
      </c>
      <c r="O1298" s="9" t="str">
        <f>IF(N1298=0,_xlfn.XLOOKUP(F1298,'Raw Data'!$I$4:$I$5000,'Raw Data'!$H$4:$H$5000,"",0),"")</f>
        <v/>
      </c>
      <c r="P1298" s="9" t="str" cm="1">
        <f t="array" aca="1" ref="P1298" ca="1">IF(INDIRECT(M1298) = "","",INDIRECT(M1298))</f>
        <v/>
      </c>
      <c r="Q1298" s="359" t="s">
        <v>4381</v>
      </c>
    </row>
    <row r="1299" spans="1:17" x14ac:dyDescent="0.35">
      <c r="A1299" t="s">
        <v>2222</v>
      </c>
      <c r="E1299" t="str">
        <f>_xlfn.XLOOKUP(F1299,'Raw Data'!$I$4:$I$5000,'Raw Data'!$D$4:$D$5000,"*** Mnemonic not found ***",0)</f>
        <v>*** Mnemonic not found ***</v>
      </c>
      <c r="F1299" t="str">
        <f t="shared" si="328"/>
        <v>SUCMALTRRDUEA__</v>
      </c>
      <c r="H1299" s="9" t="s">
        <v>1137</v>
      </c>
      <c r="K1299" s="9">
        <f t="shared" ref="K1299:K1304" si="334">K1298+1</f>
        <v>412</v>
      </c>
      <c r="L1299" s="9" t="str">
        <f t="shared" si="333"/>
        <v>F</v>
      </c>
      <c r="M1299" s="9" t="str">
        <f t="shared" si="320"/>
        <v>Input!F412</v>
      </c>
      <c r="N1299" s="9">
        <f>_xlfn.XLOOKUP(F1299,'Raw Data'!$I$4:$I$5000,'Raw Data'!$E$4:$E$5000,100,0)</f>
        <v>100</v>
      </c>
      <c r="O1299" s="9" t="str">
        <f>IF(N1299=0,_xlfn.XLOOKUP(F1299,'Raw Data'!$I$4:$I$5000,'Raw Data'!$H$4:$H$5000,"",0),"")</f>
        <v/>
      </c>
      <c r="P1299" s="9" t="str" cm="1">
        <f t="array" aca="1" ref="P1299" ca="1">IF(INDIRECT(M1299) = "","",INDIRECT(M1299))</f>
        <v/>
      </c>
      <c r="Q1299" s="359" t="s">
        <v>4381</v>
      </c>
    </row>
    <row r="1300" spans="1:17" x14ac:dyDescent="0.35">
      <c r="A1300" t="s">
        <v>2223</v>
      </c>
      <c r="E1300" t="str">
        <f>_xlfn.XLOOKUP(F1300,'Raw Data'!$I$4:$I$5000,'Raw Data'!$D$4:$D$5000,"*** Mnemonic not found ***",0)</f>
        <v>*** Mnemonic not found ***</v>
      </c>
      <c r="F1300" t="str">
        <f t="shared" si="328"/>
        <v>SUCMALTRRDUEBBB__</v>
      </c>
      <c r="H1300" s="9" t="s">
        <v>1137</v>
      </c>
      <c r="K1300" s="9">
        <f t="shared" si="334"/>
        <v>413</v>
      </c>
      <c r="L1300" s="9" t="str">
        <f t="shared" si="333"/>
        <v>F</v>
      </c>
      <c r="M1300" s="9" t="str">
        <f t="shared" si="320"/>
        <v>Input!F413</v>
      </c>
      <c r="N1300" s="9">
        <f>_xlfn.XLOOKUP(F1300,'Raw Data'!$I$4:$I$5000,'Raw Data'!$E$4:$E$5000,100,0)</f>
        <v>100</v>
      </c>
      <c r="O1300" s="9" t="str">
        <f>IF(N1300=0,_xlfn.XLOOKUP(F1300,'Raw Data'!$I$4:$I$5000,'Raw Data'!$H$4:$H$5000,"",0),"")</f>
        <v/>
      </c>
      <c r="P1300" s="9" t="str" cm="1">
        <f t="array" aca="1" ref="P1300" ca="1">IF(INDIRECT(M1300) = "","",INDIRECT(M1300))</f>
        <v/>
      </c>
      <c r="Q1300" s="359" t="s">
        <v>4381</v>
      </c>
    </row>
    <row r="1301" spans="1:17" x14ac:dyDescent="0.35">
      <c r="A1301" t="s">
        <v>2224</v>
      </c>
      <c r="E1301" t="str">
        <f>_xlfn.XLOOKUP(F1301,'Raw Data'!$I$4:$I$5000,'Raw Data'!$D$4:$D$5000,"*** Mnemonic not found ***",0)</f>
        <v>*** Mnemonic not found ***</v>
      </c>
      <c r="F1301" t="str">
        <f t="shared" si="328"/>
        <v>SUCMALTRRDUEBB__</v>
      </c>
      <c r="H1301" s="9" t="s">
        <v>1137</v>
      </c>
      <c r="K1301" s="9">
        <f t="shared" si="334"/>
        <v>414</v>
      </c>
      <c r="L1301" s="9" t="str">
        <f t="shared" si="333"/>
        <v>F</v>
      </c>
      <c r="M1301" s="9" t="str">
        <f t="shared" si="320"/>
        <v>Input!F414</v>
      </c>
      <c r="N1301" s="9">
        <f>_xlfn.XLOOKUP(F1301,'Raw Data'!$I$4:$I$5000,'Raw Data'!$E$4:$E$5000,100,0)</f>
        <v>100</v>
      </c>
      <c r="O1301" s="9" t="str">
        <f>IF(N1301=0,_xlfn.XLOOKUP(F1301,'Raw Data'!$I$4:$I$5000,'Raw Data'!$H$4:$H$5000,"",0),"")</f>
        <v/>
      </c>
      <c r="P1301" s="9" t="str" cm="1">
        <f t="array" aca="1" ref="P1301" ca="1">IF(INDIRECT(M1301) = "","",INDIRECT(M1301))</f>
        <v/>
      </c>
      <c r="Q1301" s="359" t="s">
        <v>4381</v>
      </c>
    </row>
    <row r="1302" spans="1:17" x14ac:dyDescent="0.35">
      <c r="A1302" t="s">
        <v>2225</v>
      </c>
      <c r="E1302" t="str">
        <f>_xlfn.XLOOKUP(F1302,'Raw Data'!$I$4:$I$5000,'Raw Data'!$D$4:$D$5000,"*** Mnemonic not found ***",0)</f>
        <v>*** Mnemonic not found ***</v>
      </c>
      <c r="F1302" t="str">
        <f t="shared" si="328"/>
        <v>SUCMALTRRDUEB__</v>
      </c>
      <c r="H1302" s="9" t="s">
        <v>1137</v>
      </c>
      <c r="K1302" s="9">
        <f t="shared" si="334"/>
        <v>415</v>
      </c>
      <c r="L1302" s="9" t="str">
        <f t="shared" si="333"/>
        <v>F</v>
      </c>
      <c r="M1302" s="9" t="str">
        <f t="shared" si="320"/>
        <v>Input!F415</v>
      </c>
      <c r="N1302" s="9">
        <f>_xlfn.XLOOKUP(F1302,'Raw Data'!$I$4:$I$5000,'Raw Data'!$E$4:$E$5000,100,0)</f>
        <v>100</v>
      </c>
      <c r="O1302" s="9" t="str">
        <f>IF(N1302=0,_xlfn.XLOOKUP(F1302,'Raw Data'!$I$4:$I$5000,'Raw Data'!$H$4:$H$5000,"",0),"")</f>
        <v/>
      </c>
      <c r="P1302" s="9" t="str" cm="1">
        <f t="array" aca="1" ref="P1302" ca="1">IF(INDIRECT(M1302) = "","",INDIRECT(M1302))</f>
        <v/>
      </c>
      <c r="Q1302" s="359" t="s">
        <v>4381</v>
      </c>
    </row>
    <row r="1303" spans="1:17" x14ac:dyDescent="0.35">
      <c r="A1303" t="s">
        <v>2226</v>
      </c>
      <c r="E1303" t="str">
        <f>_xlfn.XLOOKUP(F1303,'Raw Data'!$I$4:$I$5000,'Raw Data'!$D$4:$D$5000,"*** Mnemonic not found ***",0)</f>
        <v>*** Mnemonic not found ***</v>
      </c>
      <c r="F1303" t="str">
        <f t="shared" si="328"/>
        <v>SUCMALTRRDUECCC__</v>
      </c>
      <c r="H1303" s="9" t="s">
        <v>1137</v>
      </c>
      <c r="K1303" s="9">
        <f t="shared" si="334"/>
        <v>416</v>
      </c>
      <c r="L1303" s="9" t="str">
        <f t="shared" si="333"/>
        <v>F</v>
      </c>
      <c r="M1303" s="9" t="str">
        <f t="shared" si="320"/>
        <v>Input!F416</v>
      </c>
      <c r="N1303" s="9">
        <f>_xlfn.XLOOKUP(F1303,'Raw Data'!$I$4:$I$5000,'Raw Data'!$E$4:$E$5000,100,0)</f>
        <v>100</v>
      </c>
      <c r="O1303" s="9" t="str">
        <f>IF(N1303=0,_xlfn.XLOOKUP(F1303,'Raw Data'!$I$4:$I$5000,'Raw Data'!$H$4:$H$5000,"",0),"")</f>
        <v/>
      </c>
      <c r="P1303" s="9" t="str" cm="1">
        <f t="array" aca="1" ref="P1303" ca="1">IF(INDIRECT(M1303) = "","",INDIRECT(M1303))</f>
        <v/>
      </c>
      <c r="Q1303" s="359" t="s">
        <v>4381</v>
      </c>
    </row>
    <row r="1304" spans="1:17" x14ac:dyDescent="0.35">
      <c r="A1304" t="s">
        <v>2227</v>
      </c>
      <c r="E1304" t="str">
        <f>_xlfn.XLOOKUP(F1304,'Raw Data'!$I$4:$I$5000,'Raw Data'!$D$4:$D$5000,"*** Mnemonic not found ***",0)</f>
        <v>*** Mnemonic not found ***</v>
      </c>
      <c r="F1304" t="str">
        <f t="shared" si="328"/>
        <v>SUCMALTRRDUED__</v>
      </c>
      <c r="H1304" s="9" t="s">
        <v>1137</v>
      </c>
      <c r="K1304" s="9">
        <f t="shared" si="334"/>
        <v>417</v>
      </c>
      <c r="L1304" s="9" t="str">
        <f t="shared" si="333"/>
        <v>F</v>
      </c>
      <c r="M1304" s="9" t="str">
        <f t="shared" si="320"/>
        <v>Input!F417</v>
      </c>
      <c r="N1304" s="9">
        <f>_xlfn.XLOOKUP(F1304,'Raw Data'!$I$4:$I$5000,'Raw Data'!$E$4:$E$5000,100,0)</f>
        <v>100</v>
      </c>
      <c r="O1304" s="9" t="str">
        <f>IF(N1304=0,_xlfn.XLOOKUP(F1304,'Raw Data'!$I$4:$I$5000,'Raw Data'!$H$4:$H$5000,"",0),"")</f>
        <v/>
      </c>
      <c r="P1304" s="9" t="str" cm="1">
        <f t="array" aca="1" ref="P1304" ca="1">IF(INDIRECT(M1304) = "","",INDIRECT(M1304))</f>
        <v/>
      </c>
      <c r="Q1304" s="359" t="s">
        <v>4381</v>
      </c>
    </row>
    <row r="1305" spans="1:17" x14ac:dyDescent="0.35">
      <c r="A1305" t="s">
        <v>2228</v>
      </c>
      <c r="E1305" t="str">
        <f>_xlfn.XLOOKUP(F1305,'Raw Data'!$I$4:$I$5000,'Raw Data'!$D$4:$D$5000,"*** Mnemonic not found ***",0)</f>
        <v>*** Mnemonic not found ***</v>
      </c>
      <c r="F1305" t="str">
        <f t="shared" si="328"/>
        <v>SUCMALTRROSIBNRAAA__</v>
      </c>
      <c r="H1305" s="9" t="s">
        <v>1137</v>
      </c>
      <c r="I1305" s="289">
        <f>ROW(section_non_invested_assets)</f>
        <v>395</v>
      </c>
      <c r="J1305" s="9">
        <f>J1297</f>
        <v>15</v>
      </c>
      <c r="K1305" s="9">
        <f t="shared" ref="K1305" si="335">I1305+J1305</f>
        <v>410</v>
      </c>
      <c r="L1305" s="9" t="s">
        <v>1145</v>
      </c>
      <c r="M1305" s="9" t="str">
        <f t="shared" si="320"/>
        <v>Input!G410</v>
      </c>
      <c r="N1305" s="9">
        <f>_xlfn.XLOOKUP(F1305,'Raw Data'!$I$4:$I$5000,'Raw Data'!$E$4:$E$5000,100,0)</f>
        <v>100</v>
      </c>
      <c r="O1305" s="9" t="str">
        <f>IF(N1305=0,_xlfn.XLOOKUP(F1305,'Raw Data'!$I$4:$I$5000,'Raw Data'!$H$4:$H$5000,"",0),"")</f>
        <v/>
      </c>
      <c r="P1305" s="9" t="str" cm="1">
        <f t="array" aca="1" ref="P1305" ca="1">IF(INDIRECT(M1305) = "","",INDIRECT(M1305))</f>
        <v/>
      </c>
      <c r="Q1305" s="359" t="s">
        <v>4381</v>
      </c>
    </row>
    <row r="1306" spans="1:17" x14ac:dyDescent="0.35">
      <c r="A1306" t="s">
        <v>2229</v>
      </c>
      <c r="E1306" t="str">
        <f>_xlfn.XLOOKUP(F1306,'Raw Data'!$I$4:$I$5000,'Raw Data'!$D$4:$D$5000,"*** Mnemonic not found ***",0)</f>
        <v>*** Mnemonic not found ***</v>
      </c>
      <c r="F1306" t="str">
        <f t="shared" si="328"/>
        <v>SUCMALTRROSIBNRAA__</v>
      </c>
      <c r="H1306" s="9" t="s">
        <v>1137</v>
      </c>
      <c r="K1306" s="9">
        <f>K1305+1</f>
        <v>411</v>
      </c>
      <c r="L1306" s="9" t="str">
        <f t="shared" ref="L1306:L1312" si="336">L1305</f>
        <v>G</v>
      </c>
      <c r="M1306" s="9" t="str">
        <f t="shared" si="320"/>
        <v>Input!G411</v>
      </c>
      <c r="N1306" s="9">
        <f>_xlfn.XLOOKUP(F1306,'Raw Data'!$I$4:$I$5000,'Raw Data'!$E$4:$E$5000,100,0)</f>
        <v>100</v>
      </c>
      <c r="O1306" s="9" t="str">
        <f>IF(N1306=0,_xlfn.XLOOKUP(F1306,'Raw Data'!$I$4:$I$5000,'Raw Data'!$H$4:$H$5000,"",0),"")</f>
        <v/>
      </c>
      <c r="P1306" s="9" t="str" cm="1">
        <f t="array" aca="1" ref="P1306" ca="1">IF(INDIRECT(M1306) = "","",INDIRECT(M1306))</f>
        <v/>
      </c>
      <c r="Q1306" s="359" t="s">
        <v>4381</v>
      </c>
    </row>
    <row r="1307" spans="1:17" x14ac:dyDescent="0.35">
      <c r="A1307" t="s">
        <v>2230</v>
      </c>
      <c r="E1307" t="str">
        <f>_xlfn.XLOOKUP(F1307,'Raw Data'!$I$4:$I$5000,'Raw Data'!$D$4:$D$5000,"*** Mnemonic not found ***",0)</f>
        <v>*** Mnemonic not found ***</v>
      </c>
      <c r="F1307" t="str">
        <f t="shared" si="328"/>
        <v>SUCMALTRROSIBNRA__</v>
      </c>
      <c r="H1307" s="9" t="s">
        <v>1137</v>
      </c>
      <c r="K1307" s="9">
        <f t="shared" ref="K1307:K1312" si="337">K1306+1</f>
        <v>412</v>
      </c>
      <c r="L1307" s="9" t="str">
        <f t="shared" si="336"/>
        <v>G</v>
      </c>
      <c r="M1307" s="9" t="str">
        <f t="shared" si="320"/>
        <v>Input!G412</v>
      </c>
      <c r="N1307" s="9">
        <f>_xlfn.XLOOKUP(F1307,'Raw Data'!$I$4:$I$5000,'Raw Data'!$E$4:$E$5000,100,0)</f>
        <v>100</v>
      </c>
      <c r="O1307" s="9" t="str">
        <f>IF(N1307=0,_xlfn.XLOOKUP(F1307,'Raw Data'!$I$4:$I$5000,'Raw Data'!$H$4:$H$5000,"",0),"")</f>
        <v/>
      </c>
      <c r="P1307" s="9" t="str" cm="1">
        <f t="array" aca="1" ref="P1307" ca="1">IF(INDIRECT(M1307) = "","",INDIRECT(M1307))</f>
        <v/>
      </c>
      <c r="Q1307" s="359" t="s">
        <v>4381</v>
      </c>
    </row>
    <row r="1308" spans="1:17" x14ac:dyDescent="0.35">
      <c r="A1308" t="s">
        <v>2231</v>
      </c>
      <c r="E1308" t="str">
        <f>_xlfn.XLOOKUP(F1308,'Raw Data'!$I$4:$I$5000,'Raw Data'!$D$4:$D$5000,"*** Mnemonic not found ***",0)</f>
        <v>*** Mnemonic not found ***</v>
      </c>
      <c r="F1308" t="str">
        <f t="shared" si="328"/>
        <v>SUCMALTRROSIBNRBBB__</v>
      </c>
      <c r="H1308" s="9" t="s">
        <v>1137</v>
      </c>
      <c r="K1308" s="9">
        <f t="shared" si="337"/>
        <v>413</v>
      </c>
      <c r="L1308" s="9" t="str">
        <f t="shared" si="336"/>
        <v>G</v>
      </c>
      <c r="M1308" s="9" t="str">
        <f t="shared" si="320"/>
        <v>Input!G413</v>
      </c>
      <c r="N1308" s="9">
        <f>_xlfn.XLOOKUP(F1308,'Raw Data'!$I$4:$I$5000,'Raw Data'!$E$4:$E$5000,100,0)</f>
        <v>100</v>
      </c>
      <c r="O1308" s="9" t="str">
        <f>IF(N1308=0,_xlfn.XLOOKUP(F1308,'Raw Data'!$I$4:$I$5000,'Raw Data'!$H$4:$H$5000,"",0),"")</f>
        <v/>
      </c>
      <c r="P1308" s="9" t="str" cm="1">
        <f t="array" aca="1" ref="P1308" ca="1">IF(INDIRECT(M1308) = "","",INDIRECT(M1308))</f>
        <v/>
      </c>
      <c r="Q1308" s="359" t="s">
        <v>4381</v>
      </c>
    </row>
    <row r="1309" spans="1:17" x14ac:dyDescent="0.35">
      <c r="A1309" t="s">
        <v>2232</v>
      </c>
      <c r="E1309" t="str">
        <f>_xlfn.XLOOKUP(F1309,'Raw Data'!$I$4:$I$5000,'Raw Data'!$D$4:$D$5000,"*** Mnemonic not found ***",0)</f>
        <v>*** Mnemonic not found ***</v>
      </c>
      <c r="F1309" t="str">
        <f t="shared" si="328"/>
        <v>SUCMALTRROSIBNRBB__</v>
      </c>
      <c r="H1309" s="9" t="s">
        <v>1137</v>
      </c>
      <c r="K1309" s="9">
        <f t="shared" si="337"/>
        <v>414</v>
      </c>
      <c r="L1309" s="9" t="str">
        <f t="shared" si="336"/>
        <v>G</v>
      </c>
      <c r="M1309" s="9" t="str">
        <f t="shared" si="320"/>
        <v>Input!G414</v>
      </c>
      <c r="N1309" s="9">
        <f>_xlfn.XLOOKUP(F1309,'Raw Data'!$I$4:$I$5000,'Raw Data'!$E$4:$E$5000,100,0)</f>
        <v>100</v>
      </c>
      <c r="O1309" s="9" t="str">
        <f>IF(N1309=0,_xlfn.XLOOKUP(F1309,'Raw Data'!$I$4:$I$5000,'Raw Data'!$H$4:$H$5000,"",0),"")</f>
        <v/>
      </c>
      <c r="P1309" s="9" t="str" cm="1">
        <f t="array" aca="1" ref="P1309" ca="1">IF(INDIRECT(M1309) = "","",INDIRECT(M1309))</f>
        <v/>
      </c>
      <c r="Q1309" s="359" t="s">
        <v>4381</v>
      </c>
    </row>
    <row r="1310" spans="1:17" x14ac:dyDescent="0.35">
      <c r="A1310" t="s">
        <v>2233</v>
      </c>
      <c r="E1310" t="str">
        <f>_xlfn.XLOOKUP(F1310,'Raw Data'!$I$4:$I$5000,'Raw Data'!$D$4:$D$5000,"*** Mnemonic not found ***",0)</f>
        <v>*** Mnemonic not found ***</v>
      </c>
      <c r="F1310" t="str">
        <f t="shared" si="328"/>
        <v>SUCMALTRROSIBNRB__</v>
      </c>
      <c r="H1310" s="9" t="s">
        <v>1137</v>
      </c>
      <c r="K1310" s="9">
        <f t="shared" si="337"/>
        <v>415</v>
      </c>
      <c r="L1310" s="9" t="str">
        <f t="shared" si="336"/>
        <v>G</v>
      </c>
      <c r="M1310" s="9" t="str">
        <f t="shared" si="320"/>
        <v>Input!G415</v>
      </c>
      <c r="N1310" s="9">
        <f>_xlfn.XLOOKUP(F1310,'Raw Data'!$I$4:$I$5000,'Raw Data'!$E$4:$E$5000,100,0)</f>
        <v>100</v>
      </c>
      <c r="O1310" s="9" t="str">
        <f>IF(N1310=0,_xlfn.XLOOKUP(F1310,'Raw Data'!$I$4:$I$5000,'Raw Data'!$H$4:$H$5000,"",0),"")</f>
        <v/>
      </c>
      <c r="P1310" s="9" t="str" cm="1">
        <f t="array" aca="1" ref="P1310" ca="1">IF(INDIRECT(M1310) = "","",INDIRECT(M1310))</f>
        <v/>
      </c>
      <c r="Q1310" s="359" t="s">
        <v>4381</v>
      </c>
    </row>
    <row r="1311" spans="1:17" x14ac:dyDescent="0.35">
      <c r="A1311" t="s">
        <v>2234</v>
      </c>
      <c r="E1311" t="str">
        <f>_xlfn.XLOOKUP(F1311,'Raw Data'!$I$4:$I$5000,'Raw Data'!$D$4:$D$5000,"*** Mnemonic not found ***",0)</f>
        <v>*** Mnemonic not found ***</v>
      </c>
      <c r="F1311" t="str">
        <f t="shared" si="328"/>
        <v>SUCMALTRROSIBNRCCC__</v>
      </c>
      <c r="H1311" s="9" t="s">
        <v>1137</v>
      </c>
      <c r="K1311" s="9">
        <f t="shared" si="337"/>
        <v>416</v>
      </c>
      <c r="L1311" s="9" t="str">
        <f t="shared" si="336"/>
        <v>G</v>
      </c>
      <c r="M1311" s="9" t="str">
        <f t="shared" si="320"/>
        <v>Input!G416</v>
      </c>
      <c r="N1311" s="9">
        <f>_xlfn.XLOOKUP(F1311,'Raw Data'!$I$4:$I$5000,'Raw Data'!$E$4:$E$5000,100,0)</f>
        <v>100</v>
      </c>
      <c r="O1311" s="9" t="str">
        <f>IF(N1311=0,_xlfn.XLOOKUP(F1311,'Raw Data'!$I$4:$I$5000,'Raw Data'!$H$4:$H$5000,"",0),"")</f>
        <v/>
      </c>
      <c r="P1311" s="9" t="str" cm="1">
        <f t="array" aca="1" ref="P1311" ca="1">IF(INDIRECT(M1311) = "","",INDIRECT(M1311))</f>
        <v/>
      </c>
      <c r="Q1311" s="359" t="s">
        <v>4381</v>
      </c>
    </row>
    <row r="1312" spans="1:17" x14ac:dyDescent="0.35">
      <c r="A1312" t="s">
        <v>2235</v>
      </c>
      <c r="E1312" t="str">
        <f>_xlfn.XLOOKUP(F1312,'Raw Data'!$I$4:$I$5000,'Raw Data'!$D$4:$D$5000,"*** Mnemonic not found ***",0)</f>
        <v>*** Mnemonic not found ***</v>
      </c>
      <c r="F1312" t="str">
        <f t="shared" si="328"/>
        <v>SUCMALTRROSIBNRD__</v>
      </c>
      <c r="H1312" s="9" t="s">
        <v>1137</v>
      </c>
      <c r="K1312" s="9">
        <f t="shared" si="337"/>
        <v>417</v>
      </c>
      <c r="L1312" s="9" t="str">
        <f t="shared" si="336"/>
        <v>G</v>
      </c>
      <c r="M1312" s="9" t="str">
        <f t="shared" si="320"/>
        <v>Input!G417</v>
      </c>
      <c r="N1312" s="9">
        <f>_xlfn.XLOOKUP(F1312,'Raw Data'!$I$4:$I$5000,'Raw Data'!$E$4:$E$5000,100,0)</f>
        <v>100</v>
      </c>
      <c r="O1312" s="9" t="str">
        <f>IF(N1312=0,_xlfn.XLOOKUP(F1312,'Raw Data'!$I$4:$I$5000,'Raw Data'!$H$4:$H$5000,"",0),"")</f>
        <v/>
      </c>
      <c r="P1312" s="9" t="str" cm="1">
        <f t="array" aca="1" ref="P1312" ca="1">IF(INDIRECT(M1312) = "","",INDIRECT(M1312))</f>
        <v/>
      </c>
      <c r="Q1312" s="359" t="s">
        <v>4381</v>
      </c>
    </row>
    <row r="1313" spans="1:18" x14ac:dyDescent="0.35">
      <c r="A1313" t="s">
        <v>2236</v>
      </c>
      <c r="E1313" t="str">
        <f>_xlfn.XLOOKUP(F1313,'Raw Data'!$I$4:$I$5000,'Raw Data'!$D$4:$D$5000,"*** Mnemonic not found ***",0)</f>
        <v>*** Mnemonic not found ***</v>
      </c>
      <c r="F1313" t="str">
        <f t="shared" si="328"/>
        <v>SUCMALTRRLOCREINAAA__</v>
      </c>
      <c r="H1313" s="9" t="s">
        <v>1137</v>
      </c>
      <c r="I1313" s="289">
        <f>ROW(section_non_invested_assets)</f>
        <v>395</v>
      </c>
      <c r="J1313" s="9">
        <f>J1305</f>
        <v>15</v>
      </c>
      <c r="K1313" s="9">
        <f t="shared" ref="K1313" si="338">I1313+J1313</f>
        <v>410</v>
      </c>
      <c r="L1313" s="9" t="s">
        <v>1144</v>
      </c>
      <c r="M1313" s="9" t="str">
        <f t="shared" si="320"/>
        <v>Input!H410</v>
      </c>
      <c r="N1313" s="9">
        <f>_xlfn.XLOOKUP(F1313,'Raw Data'!$I$4:$I$5000,'Raw Data'!$E$4:$E$5000,100,0)</f>
        <v>100</v>
      </c>
      <c r="O1313" s="9" t="str">
        <f>IF(N1313=0,_xlfn.XLOOKUP(F1313,'Raw Data'!$I$4:$I$5000,'Raw Data'!$H$4:$H$5000,"",0),"")</f>
        <v/>
      </c>
      <c r="P1313" s="9" t="str" cm="1">
        <f t="array" aca="1" ref="P1313" ca="1">IF(INDIRECT(M1313) = "","",INDIRECT(M1313))</f>
        <v/>
      </c>
      <c r="Q1313" s="359" t="s">
        <v>4381</v>
      </c>
    </row>
    <row r="1314" spans="1:18" x14ac:dyDescent="0.35">
      <c r="A1314" t="s">
        <v>2237</v>
      </c>
      <c r="E1314" t="str">
        <f>_xlfn.XLOOKUP(F1314,'Raw Data'!$I$4:$I$5000,'Raw Data'!$D$4:$D$5000,"*** Mnemonic not found ***",0)</f>
        <v>*** Mnemonic not found ***</v>
      </c>
      <c r="F1314" t="str">
        <f t="shared" si="328"/>
        <v>SUCMALTRRLOCREINAA__</v>
      </c>
      <c r="H1314" s="9" t="s">
        <v>1137</v>
      </c>
      <c r="K1314" s="9">
        <f>K1313+1</f>
        <v>411</v>
      </c>
      <c r="L1314" s="9" t="str">
        <f t="shared" ref="L1314:L1319" si="339">L1313</f>
        <v>H</v>
      </c>
      <c r="M1314" s="9" t="str">
        <f t="shared" si="320"/>
        <v>Input!H411</v>
      </c>
      <c r="N1314" s="9">
        <f>_xlfn.XLOOKUP(F1314,'Raw Data'!$I$4:$I$5000,'Raw Data'!$E$4:$E$5000,100,0)</f>
        <v>100</v>
      </c>
      <c r="O1314" s="9" t="str">
        <f>IF(N1314=0,_xlfn.XLOOKUP(F1314,'Raw Data'!$I$4:$I$5000,'Raw Data'!$H$4:$H$5000,"",0),"")</f>
        <v/>
      </c>
      <c r="P1314" s="9" t="str" cm="1">
        <f t="array" aca="1" ref="P1314" ca="1">IF(INDIRECT(M1314) = "","",INDIRECT(M1314))</f>
        <v/>
      </c>
      <c r="Q1314" s="359" t="s">
        <v>4381</v>
      </c>
    </row>
    <row r="1315" spans="1:18" x14ac:dyDescent="0.35">
      <c r="A1315" t="s">
        <v>2238</v>
      </c>
      <c r="E1315" t="str">
        <f>_xlfn.XLOOKUP(F1315,'Raw Data'!$I$4:$I$5000,'Raw Data'!$D$4:$D$5000,"*** Mnemonic not found ***",0)</f>
        <v>*** Mnemonic not found ***</v>
      </c>
      <c r="F1315" t="str">
        <f t="shared" si="328"/>
        <v>SUCMALTRRLOCREINA__</v>
      </c>
      <c r="H1315" s="9" t="s">
        <v>1137</v>
      </c>
      <c r="K1315" s="9">
        <f t="shared" ref="K1315:K1320" si="340">K1314+1</f>
        <v>412</v>
      </c>
      <c r="L1315" s="9" t="str">
        <f t="shared" si="339"/>
        <v>H</v>
      </c>
      <c r="M1315" s="9" t="str">
        <f t="shared" si="320"/>
        <v>Input!H412</v>
      </c>
      <c r="N1315" s="9">
        <f>_xlfn.XLOOKUP(F1315,'Raw Data'!$I$4:$I$5000,'Raw Data'!$E$4:$E$5000,100,0)</f>
        <v>100</v>
      </c>
      <c r="O1315" s="9" t="str">
        <f>IF(N1315=0,_xlfn.XLOOKUP(F1315,'Raw Data'!$I$4:$I$5000,'Raw Data'!$H$4:$H$5000,"",0),"")</f>
        <v/>
      </c>
      <c r="P1315" s="9" t="str" cm="1">
        <f t="array" aca="1" ref="P1315" ca="1">IF(INDIRECT(M1315) = "","",INDIRECT(M1315))</f>
        <v/>
      </c>
      <c r="Q1315" s="359" t="s">
        <v>4381</v>
      </c>
    </row>
    <row r="1316" spans="1:18" x14ac:dyDescent="0.35">
      <c r="A1316" t="s">
        <v>2239</v>
      </c>
      <c r="E1316" t="str">
        <f>_xlfn.XLOOKUP(F1316,'Raw Data'!$I$4:$I$5000,'Raw Data'!$D$4:$D$5000,"*** Mnemonic not found ***",0)</f>
        <v>*** Mnemonic not found ***</v>
      </c>
      <c r="F1316" t="str">
        <f t="shared" si="328"/>
        <v>SUCMALTRRLOCREINBBB__</v>
      </c>
      <c r="H1316" s="9" t="s">
        <v>1137</v>
      </c>
      <c r="K1316" s="9">
        <f t="shared" si="340"/>
        <v>413</v>
      </c>
      <c r="L1316" s="9" t="str">
        <f t="shared" si="339"/>
        <v>H</v>
      </c>
      <c r="M1316" s="9" t="str">
        <f t="shared" si="320"/>
        <v>Input!H413</v>
      </c>
      <c r="N1316" s="9">
        <f>_xlfn.XLOOKUP(F1316,'Raw Data'!$I$4:$I$5000,'Raw Data'!$E$4:$E$5000,100,0)</f>
        <v>100</v>
      </c>
      <c r="O1316" s="9" t="str">
        <f>IF(N1316=0,_xlfn.XLOOKUP(F1316,'Raw Data'!$I$4:$I$5000,'Raw Data'!$H$4:$H$5000,"",0),"")</f>
        <v/>
      </c>
      <c r="P1316" s="9" t="str" cm="1">
        <f t="array" aca="1" ref="P1316" ca="1">IF(INDIRECT(M1316) = "","",INDIRECT(M1316))</f>
        <v/>
      </c>
      <c r="Q1316" s="359" t="s">
        <v>4381</v>
      </c>
    </row>
    <row r="1317" spans="1:18" x14ac:dyDescent="0.35">
      <c r="A1317" t="s">
        <v>2240</v>
      </c>
      <c r="E1317" t="str">
        <f>_xlfn.XLOOKUP(F1317,'Raw Data'!$I$4:$I$5000,'Raw Data'!$D$4:$D$5000,"*** Mnemonic not found ***",0)</f>
        <v>*** Mnemonic not found ***</v>
      </c>
      <c r="F1317" t="str">
        <f t="shared" si="328"/>
        <v>SUCMALTRRLOCREINBB__</v>
      </c>
      <c r="H1317" s="9" t="s">
        <v>1137</v>
      </c>
      <c r="K1317" s="9">
        <f t="shared" si="340"/>
        <v>414</v>
      </c>
      <c r="L1317" s="9" t="str">
        <f t="shared" si="339"/>
        <v>H</v>
      </c>
      <c r="M1317" s="9" t="str">
        <f t="shared" si="320"/>
        <v>Input!H414</v>
      </c>
      <c r="N1317" s="9">
        <f>_xlfn.XLOOKUP(F1317,'Raw Data'!$I$4:$I$5000,'Raw Data'!$E$4:$E$5000,100,0)</f>
        <v>100</v>
      </c>
      <c r="O1317" s="9" t="str">
        <f>IF(N1317=0,_xlfn.XLOOKUP(F1317,'Raw Data'!$I$4:$I$5000,'Raw Data'!$H$4:$H$5000,"",0),"")</f>
        <v/>
      </c>
      <c r="P1317" s="9" t="str" cm="1">
        <f t="array" aca="1" ref="P1317" ca="1">IF(INDIRECT(M1317) = "","",INDIRECT(M1317))</f>
        <v/>
      </c>
      <c r="Q1317" s="359" t="s">
        <v>4381</v>
      </c>
    </row>
    <row r="1318" spans="1:18" x14ac:dyDescent="0.35">
      <c r="A1318" t="s">
        <v>2241</v>
      </c>
      <c r="E1318" t="str">
        <f>_xlfn.XLOOKUP(F1318,'Raw Data'!$I$4:$I$5000,'Raw Data'!$D$4:$D$5000,"*** Mnemonic not found ***",0)</f>
        <v>*** Mnemonic not found ***</v>
      </c>
      <c r="F1318" t="str">
        <f t="shared" si="328"/>
        <v>SUCMALTRRLOCREINB__</v>
      </c>
      <c r="H1318" s="9" t="s">
        <v>1137</v>
      </c>
      <c r="K1318" s="9">
        <f t="shared" si="340"/>
        <v>415</v>
      </c>
      <c r="L1318" s="9" t="str">
        <f t="shared" si="339"/>
        <v>H</v>
      </c>
      <c r="M1318" s="9" t="str">
        <f t="shared" si="320"/>
        <v>Input!H415</v>
      </c>
      <c r="N1318" s="9">
        <f>_xlfn.XLOOKUP(F1318,'Raw Data'!$I$4:$I$5000,'Raw Data'!$E$4:$E$5000,100,0)</f>
        <v>100</v>
      </c>
      <c r="O1318" s="9" t="str">
        <f>IF(N1318=0,_xlfn.XLOOKUP(F1318,'Raw Data'!$I$4:$I$5000,'Raw Data'!$H$4:$H$5000,"",0),"")</f>
        <v/>
      </c>
      <c r="P1318" s="9" t="str" cm="1">
        <f t="array" aca="1" ref="P1318" ca="1">IF(INDIRECT(M1318) = "","",INDIRECT(M1318))</f>
        <v/>
      </c>
      <c r="Q1318" s="359" t="s">
        <v>4381</v>
      </c>
    </row>
    <row r="1319" spans="1:18" x14ac:dyDescent="0.35">
      <c r="A1319" t="s">
        <v>2242</v>
      </c>
      <c r="E1319" t="str">
        <f>_xlfn.XLOOKUP(F1319,'Raw Data'!$I$4:$I$5000,'Raw Data'!$D$4:$D$5000,"*** Mnemonic not found ***",0)</f>
        <v>*** Mnemonic not found ***</v>
      </c>
      <c r="F1319" t="str">
        <f t="shared" si="328"/>
        <v>SUCMALTRRLOCREINCCC__</v>
      </c>
      <c r="H1319" s="9" t="s">
        <v>1137</v>
      </c>
      <c r="K1319" s="9">
        <f t="shared" si="340"/>
        <v>416</v>
      </c>
      <c r="L1319" s="9" t="str">
        <f t="shared" si="339"/>
        <v>H</v>
      </c>
      <c r="M1319" s="9" t="str">
        <f t="shared" si="320"/>
        <v>Input!H416</v>
      </c>
      <c r="N1319" s="9">
        <f>_xlfn.XLOOKUP(F1319,'Raw Data'!$I$4:$I$5000,'Raw Data'!$E$4:$E$5000,100,0)</f>
        <v>100</v>
      </c>
      <c r="O1319" s="9" t="str">
        <f>IF(N1319=0,_xlfn.XLOOKUP(F1319,'Raw Data'!$I$4:$I$5000,'Raw Data'!$H$4:$H$5000,"",0),"")</f>
        <v/>
      </c>
      <c r="P1319" s="9" t="str" cm="1">
        <f t="array" aca="1" ref="P1319" ca="1">IF(INDIRECT(M1319) = "","",INDIRECT(M1319))</f>
        <v/>
      </c>
      <c r="Q1319" s="359" t="s">
        <v>4381</v>
      </c>
    </row>
    <row r="1320" spans="1:18" x14ac:dyDescent="0.35">
      <c r="A1320" t="s">
        <v>2243</v>
      </c>
      <c r="E1320" t="str">
        <f>_xlfn.XLOOKUP(F1320,'Raw Data'!$I$4:$I$5000,'Raw Data'!$D$4:$D$5000,"*** Mnemonic not found ***",0)</f>
        <v>*** Mnemonic not found ***</v>
      </c>
      <c r="F1320" t="str">
        <f t="shared" si="328"/>
        <v>SUCMALTRRLOCREIND__</v>
      </c>
      <c r="H1320" s="9" t="s">
        <v>1137</v>
      </c>
      <c r="K1320" s="9">
        <f t="shared" si="340"/>
        <v>417</v>
      </c>
      <c r="L1320" s="9" t="str">
        <f>L1319</f>
        <v>H</v>
      </c>
      <c r="M1320" s="9" t="str">
        <f t="shared" si="320"/>
        <v>Input!H417</v>
      </c>
      <c r="N1320" s="9">
        <f>_xlfn.XLOOKUP(F1320,'Raw Data'!$I$4:$I$5000,'Raw Data'!$E$4:$E$5000,100,0)</f>
        <v>100</v>
      </c>
      <c r="O1320" s="9" t="str">
        <f>IF(N1320=0,_xlfn.XLOOKUP(F1320,'Raw Data'!$I$4:$I$5000,'Raw Data'!$H$4:$H$5000,"",0),"")</f>
        <v/>
      </c>
      <c r="P1320" s="9" t="str" cm="1">
        <f t="array" aca="1" ref="P1320" ca="1">IF(INDIRECT(M1320) = "","",INDIRECT(M1320))</f>
        <v/>
      </c>
      <c r="Q1320" s="359" t="s">
        <v>4381</v>
      </c>
    </row>
    <row r="1321" spans="1:18" x14ac:dyDescent="0.35">
      <c r="A1321" t="s">
        <v>2244</v>
      </c>
      <c r="E1321" t="str">
        <f>_xlfn.XLOOKUP(F1321,'Raw Data'!$I$4:$I$5000,'Raw Data'!$D$4:$D$5000,"*** Mnemonic not found ***",0)</f>
        <v>*** Mnemonic not found ***</v>
      </c>
      <c r="F1321" t="str">
        <f t="shared" si="328"/>
        <v>SUCMRRINSREC__</v>
      </c>
      <c r="G1321" t="s">
        <v>2253</v>
      </c>
      <c r="H1321" s="9" t="s">
        <v>1137</v>
      </c>
      <c r="I1321" s="289">
        <f>ROW(section_non_invested_assets)</f>
        <v>395</v>
      </c>
      <c r="J1321" s="9">
        <v>25</v>
      </c>
      <c r="K1321" s="9">
        <f t="shared" ref="K1321" si="341">I1321+J1321</f>
        <v>420</v>
      </c>
      <c r="L1321" s="9" t="s">
        <v>1124</v>
      </c>
      <c r="M1321" s="9" t="str">
        <f t="shared" si="320"/>
        <v>Input!F420</v>
      </c>
      <c r="N1321" s="9">
        <f>_xlfn.XLOOKUP(F1321,'Raw Data'!$I$4:$I$5000,'Raw Data'!$E$4:$E$5000,100,0)</f>
        <v>100</v>
      </c>
      <c r="O1321" s="9" t="str">
        <f>IF(N1321=0,_xlfn.XLOOKUP(F1321,'Raw Data'!$I$4:$I$5000,'Raw Data'!$H$4:$H$5000,"",0),"")</f>
        <v/>
      </c>
      <c r="P1321" s="9" t="str" cm="1">
        <f t="array" aca="1" ref="P1321" ca="1">IF(INDIRECT(M1321) = "","",INDIRECT(M1321))</f>
        <v/>
      </c>
      <c r="Q1321" s="359" t="s">
        <v>4381</v>
      </c>
    </row>
    <row r="1322" spans="1:18" x14ac:dyDescent="0.35">
      <c r="A1322" t="s">
        <v>2245</v>
      </c>
      <c r="E1322" t="str">
        <f>_xlfn.XLOOKUP(F1322,'Raw Data'!$I$4:$I$5000,'Raw Data'!$D$4:$D$5000,"*** Mnemonic not found ***",0)</f>
        <v>*** Mnemonic not found ***</v>
      </c>
      <c r="F1322" t="str">
        <f t="shared" si="328"/>
        <v>SUCMRRLEASE__</v>
      </c>
      <c r="H1322" s="9" t="s">
        <v>1137</v>
      </c>
      <c r="K1322" s="9">
        <f>K1321+1</f>
        <v>421</v>
      </c>
      <c r="L1322" s="9" t="str">
        <f t="shared" ref="L1322:L1341" si="342">L1321</f>
        <v>F</v>
      </c>
      <c r="M1322" s="9" t="str">
        <f t="shared" si="320"/>
        <v>Input!F421</v>
      </c>
      <c r="N1322" s="9">
        <f>_xlfn.XLOOKUP(F1322,'Raw Data'!$I$4:$I$5000,'Raw Data'!$E$4:$E$5000,100,0)</f>
        <v>100</v>
      </c>
      <c r="O1322" s="9" t="str">
        <f>IF(N1322=0,_xlfn.XLOOKUP(F1322,'Raw Data'!$I$4:$I$5000,'Raw Data'!$H$4:$H$5000,"",0),"")</f>
        <v/>
      </c>
      <c r="P1322" s="9" t="str" cm="1">
        <f t="array" aca="1" ref="P1322" ca="1">IF(INDIRECT(M1322) = "","",INDIRECT(M1322))</f>
        <v/>
      </c>
      <c r="Q1322" s="359" t="s">
        <v>4381</v>
      </c>
    </row>
    <row r="1323" spans="1:18" x14ac:dyDescent="0.35">
      <c r="A1323" t="s">
        <v>2246</v>
      </c>
      <c r="E1323" t="str">
        <f>_xlfn.XLOOKUP(F1323,'Raw Data'!$I$4:$I$5000,'Raw Data'!$D$4:$D$5000,"*** Mnemonic not found ***",0)</f>
        <v>*** Mnemonic not found ***</v>
      </c>
      <c r="F1323" t="str">
        <f t="shared" si="328"/>
        <v>SUCMRRASOASC__</v>
      </c>
      <c r="H1323" s="9" t="s">
        <v>1137</v>
      </c>
      <c r="K1323" s="9">
        <f t="shared" ref="K1323:K1324" si="343">K1322+1</f>
        <v>422</v>
      </c>
      <c r="L1323" s="9" t="str">
        <f t="shared" si="342"/>
        <v>F</v>
      </c>
      <c r="M1323" s="9" t="str">
        <f t="shared" si="320"/>
        <v>Input!F422</v>
      </c>
      <c r="N1323" s="9">
        <f>_xlfn.XLOOKUP(F1323,'Raw Data'!$I$4:$I$5000,'Raw Data'!$E$4:$E$5000,100,0)</f>
        <v>100</v>
      </c>
      <c r="O1323" s="9" t="str">
        <f>IF(N1323=0,_xlfn.XLOOKUP(F1323,'Raw Data'!$I$4:$I$5000,'Raw Data'!$H$4:$H$5000,"",0),"")</f>
        <v/>
      </c>
      <c r="P1323" s="9" t="str" cm="1">
        <f t="array" aca="1" ref="P1323" ca="1">IF(INDIRECT(M1323) = "","",INDIRECT(M1323))</f>
        <v/>
      </c>
      <c r="Q1323" s="359" t="s">
        <v>4381</v>
      </c>
    </row>
    <row r="1324" spans="1:18" x14ac:dyDescent="0.35">
      <c r="A1324" s="694" t="s">
        <v>4493</v>
      </c>
      <c r="E1324" t="str">
        <f>_xlfn.XLOOKUP(F1324,'Raw Data'!$I$4:$I$5000,'Raw Data'!$D$4:$D$5000,"*** Mnemonic not found ***",0)</f>
        <v>*** Mnemonic not found ***</v>
      </c>
      <c r="F1324" t="str">
        <f t="shared" si="328"/>
        <v>SUCMRROTH__</v>
      </c>
      <c r="H1324" s="9" t="s">
        <v>1137</v>
      </c>
      <c r="K1324" s="9">
        <f t="shared" si="343"/>
        <v>423</v>
      </c>
      <c r="L1324" s="9" t="str">
        <f t="shared" si="342"/>
        <v>F</v>
      </c>
      <c r="M1324" s="9" t="str">
        <f t="shared" ref="M1324" si="344">CONCATENATE(H1324,"!",L1324,K1324)</f>
        <v>Input!F423</v>
      </c>
      <c r="N1324" s="9">
        <f>_xlfn.XLOOKUP(F1324,'Raw Data'!$I$4:$I$5000,'Raw Data'!$E$4:$E$5000,100,0)</f>
        <v>100</v>
      </c>
      <c r="O1324" s="9" t="str">
        <f>IF(N1324=0,_xlfn.XLOOKUP(F1324,'Raw Data'!$I$4:$I$5000,'Raw Data'!$H$4:$H$5000,"",0),"")</f>
        <v/>
      </c>
      <c r="P1324" s="9" t="str" cm="1">
        <f t="array" aca="1" ref="P1324" ca="1">IF(INDIRECT(M1324) = "","",INDIRECT(M1324))</f>
        <v/>
      </c>
      <c r="Q1324" s="359" t="s">
        <v>4381</v>
      </c>
      <c r="R1324" t="s">
        <v>4307</v>
      </c>
    </row>
    <row r="1325" spans="1:18" x14ac:dyDescent="0.35">
      <c r="A1325" t="s">
        <v>2247</v>
      </c>
      <c r="E1325" t="str">
        <f>_xlfn.XLOOKUP(F1325,'Raw Data'!$I$4:$I$5000,'Raw Data'!$D$4:$D$5000,"*** Mnemonic not found ***",0)</f>
        <v>*** Mnemonic not found ***</v>
      </c>
      <c r="F1325" t="str">
        <f t="shared" si="328"/>
        <v>SUCMRROTHASST__</v>
      </c>
      <c r="G1325" t="s">
        <v>2254</v>
      </c>
      <c r="H1325" s="9" t="s">
        <v>1137</v>
      </c>
      <c r="K1325" s="9">
        <f>K1324+1</f>
        <v>424</v>
      </c>
      <c r="L1325" s="9" t="str">
        <f t="shared" si="342"/>
        <v>F</v>
      </c>
      <c r="M1325" s="9" t="str">
        <f t="shared" si="320"/>
        <v>Input!F424</v>
      </c>
      <c r="N1325" s="9">
        <f>_xlfn.XLOOKUP(F1325,'Raw Data'!$I$4:$I$5000,'Raw Data'!$E$4:$E$5000,100,0)</f>
        <v>100</v>
      </c>
      <c r="O1325" s="9" t="str">
        <f>IF(N1325=0,_xlfn.XLOOKUP(F1325,'Raw Data'!$I$4:$I$5000,'Raw Data'!$H$4:$H$5000,"",0),"")</f>
        <v/>
      </c>
      <c r="P1325" s="9" t="str" cm="1">
        <f t="array" aca="1" ref="P1325" ca="1">IF(INDIRECT(M1325) = "","",INDIRECT(M1325))</f>
        <v/>
      </c>
      <c r="Q1325" s="359" t="s">
        <v>4381</v>
      </c>
    </row>
    <row r="1326" spans="1:18" x14ac:dyDescent="0.35">
      <c r="A1326" t="s">
        <v>2248</v>
      </c>
      <c r="E1326" t="str">
        <f>_xlfn.XLOOKUP(F1326,'Raw Data'!$I$4:$I$5000,'Raw Data'!$D$4:$D$5000,"*** Mnemonic not found ***",0)</f>
        <v>*** Mnemonic not found ***</v>
      </c>
      <c r="F1326" t="str">
        <f t="shared" si="328"/>
        <v>SUCMRRDEFTAX__</v>
      </c>
      <c r="G1326" t="s">
        <v>2255</v>
      </c>
      <c r="H1326" s="9" t="s">
        <v>1137</v>
      </c>
      <c r="K1326" s="9">
        <f>K1325+3</f>
        <v>427</v>
      </c>
      <c r="L1326" s="9" t="str">
        <f t="shared" si="342"/>
        <v>F</v>
      </c>
      <c r="M1326" s="9" t="str">
        <f t="shared" si="320"/>
        <v>Input!F427</v>
      </c>
      <c r="N1326" s="9">
        <f>_xlfn.XLOOKUP(F1326,'Raw Data'!$I$4:$I$5000,'Raw Data'!$E$4:$E$5000,100,0)</f>
        <v>100</v>
      </c>
      <c r="O1326" s="9" t="str">
        <f>IF(N1326=0,_xlfn.XLOOKUP(F1326,'Raw Data'!$I$4:$I$5000,'Raw Data'!$H$4:$H$5000,"",0),"")</f>
        <v/>
      </c>
      <c r="P1326" s="9" t="str" cm="1">
        <f t="array" aca="1" ref="P1326" ca="1">IF(INDIRECT(M1326) = "","",INDIRECT(M1326))</f>
        <v/>
      </c>
      <c r="Q1326" s="359" t="s">
        <v>4381</v>
      </c>
    </row>
    <row r="1327" spans="1:18" x14ac:dyDescent="0.35">
      <c r="A1327" t="s">
        <v>2249</v>
      </c>
      <c r="E1327" t="str">
        <f>_xlfn.XLOOKUP(F1327,'Raw Data'!$I$4:$I$5000,'Raw Data'!$D$4:$D$5000,"*** Mnemonic not found ***",0)</f>
        <v>*** Mnemonic not found ***</v>
      </c>
      <c r="F1327" t="str">
        <f t="shared" si="328"/>
        <v>SUCMRREXASST__</v>
      </c>
      <c r="H1327" s="9" t="s">
        <v>1137</v>
      </c>
      <c r="K1327" s="9">
        <f>K1326+1</f>
        <v>428</v>
      </c>
      <c r="L1327" s="9" t="str">
        <f t="shared" si="342"/>
        <v>F</v>
      </c>
      <c r="M1327" s="9" t="str">
        <f t="shared" si="320"/>
        <v>Input!F428</v>
      </c>
      <c r="N1327" s="9">
        <f>_xlfn.XLOOKUP(F1327,'Raw Data'!$I$4:$I$5000,'Raw Data'!$E$4:$E$5000,100,0)</f>
        <v>100</v>
      </c>
      <c r="O1327" s="9" t="str">
        <f>IF(N1327=0,_xlfn.XLOOKUP(F1327,'Raw Data'!$I$4:$I$5000,'Raw Data'!$H$4:$H$5000,"",0),"")</f>
        <v/>
      </c>
      <c r="P1327" s="9" t="str" cm="1">
        <f t="array" aca="1" ref="P1327" ca="1">IF(INDIRECT(M1327) = "","",INDIRECT(M1327))</f>
        <v/>
      </c>
      <c r="Q1327" s="359" t="s">
        <v>4381</v>
      </c>
    </row>
    <row r="1328" spans="1:18" x14ac:dyDescent="0.35">
      <c r="A1328" t="s">
        <v>2250</v>
      </c>
      <c r="E1328" t="str">
        <f>_xlfn.XLOOKUP(F1328,'Raw Data'!$I$4:$I$5000,'Raw Data'!$D$4:$D$5000,"*** Mnemonic not found ***",0)</f>
        <v>*** Mnemonic not found ***</v>
      </c>
      <c r="F1328" t="str">
        <f t="shared" si="328"/>
        <v>SUCMTOTBSASST__</v>
      </c>
      <c r="G1328" t="s">
        <v>970</v>
      </c>
      <c r="H1328" s="9" t="s">
        <v>1137</v>
      </c>
      <c r="K1328" s="9">
        <f>K1327+4</f>
        <v>432</v>
      </c>
      <c r="L1328" s="9" t="str">
        <f t="shared" si="342"/>
        <v>F</v>
      </c>
      <c r="M1328" s="9" t="str">
        <f t="shared" si="320"/>
        <v>Input!F432</v>
      </c>
      <c r="N1328" s="9">
        <f>_xlfn.XLOOKUP(F1328,'Raw Data'!$I$4:$I$5000,'Raw Data'!$E$4:$E$5000,100,0)</f>
        <v>100</v>
      </c>
      <c r="O1328" s="9" t="str">
        <f>IF(N1328=0,_xlfn.XLOOKUP(F1328,'Raw Data'!$I$4:$I$5000,'Raw Data'!$H$4:$H$5000,"",0),"")</f>
        <v/>
      </c>
      <c r="P1328" s="9" t="str" cm="1">
        <f t="array" aca="1" ref="P1328" ca="1">IF(INDIRECT(M1328) = "","",INDIRECT(M1328))</f>
        <v/>
      </c>
      <c r="Q1328" s="359" t="s">
        <v>4381</v>
      </c>
    </row>
    <row r="1329" spans="1:17" x14ac:dyDescent="0.35">
      <c r="A1329" t="s">
        <v>2256</v>
      </c>
      <c r="B1329" t="s">
        <v>2271</v>
      </c>
      <c r="C1329" t="s">
        <v>978</v>
      </c>
      <c r="E1329" t="str">
        <f>_xlfn.XLOOKUP(F1329,'Raw Data'!$I$4:$I$5000,'Raw Data'!$D$4:$D$5000,"*** Mnemonic not found ***",0)</f>
        <v>*** Mnemonic not found ***</v>
      </c>
      <c r="F1329" t="str">
        <f t="shared" si="328"/>
        <v>SUCMPROPORRSK_EMEA_LIA_</v>
      </c>
      <c r="G1329" t="s">
        <v>2259</v>
      </c>
      <c r="H1329" s="9" t="s">
        <v>1137</v>
      </c>
      <c r="I1329" s="289">
        <f>ROW(section_non_life_prem)</f>
        <v>437</v>
      </c>
      <c r="J1329" s="9">
        <v>4</v>
      </c>
      <c r="K1329" s="9">
        <f>I1329+J1329</f>
        <v>441</v>
      </c>
      <c r="L1329" s="9" t="str">
        <f t="shared" si="342"/>
        <v>F</v>
      </c>
      <c r="M1329" s="9" t="str">
        <f t="shared" si="320"/>
        <v>Input!F441</v>
      </c>
      <c r="N1329" s="9">
        <f>_xlfn.XLOOKUP(F1329,'Raw Data'!$I$4:$I$5000,'Raw Data'!$E$4:$E$5000,100,0)</f>
        <v>100</v>
      </c>
      <c r="O1329" s="9" t="str">
        <f>IF(N1329=0,_xlfn.XLOOKUP(F1329,'Raw Data'!$I$4:$I$5000,'Raw Data'!$H$4:$H$5000,"",0),"")</f>
        <v/>
      </c>
      <c r="P1329" s="9" t="str" cm="1">
        <f t="array" aca="1" ref="P1329" ca="1">IF(INDIRECT(M1329) = "","",INDIRECT(M1329))</f>
        <v/>
      </c>
      <c r="Q1329" s="359" t="s">
        <v>4381</v>
      </c>
    </row>
    <row r="1330" spans="1:17" x14ac:dyDescent="0.35">
      <c r="A1330" t="s">
        <v>2256</v>
      </c>
      <c r="B1330" t="s">
        <v>2272</v>
      </c>
      <c r="C1330" t="s">
        <v>979</v>
      </c>
      <c r="E1330" t="str">
        <f>_xlfn.XLOOKUP(F1330,'Raw Data'!$I$4:$I$5000,'Raw Data'!$D$4:$D$5000,"*** Mnemonic not found ***",0)</f>
        <v>*** Mnemonic not found ***</v>
      </c>
      <c r="F1330" t="str">
        <f t="shared" si="328"/>
        <v>SUCMPROPORRSK_EMEA_WCP_</v>
      </c>
      <c r="H1330" s="9" t="s">
        <v>1137</v>
      </c>
      <c r="K1330" s="9">
        <f>K1329+1</f>
        <v>442</v>
      </c>
      <c r="L1330" s="9" t="str">
        <f t="shared" si="342"/>
        <v>F</v>
      </c>
      <c r="M1330" s="9" t="str">
        <f t="shared" si="320"/>
        <v>Input!F442</v>
      </c>
      <c r="N1330" s="9">
        <f>_xlfn.XLOOKUP(F1330,'Raw Data'!$I$4:$I$5000,'Raw Data'!$E$4:$E$5000,100,0)</f>
        <v>100</v>
      </c>
      <c r="O1330" s="9" t="str">
        <f>IF(N1330=0,_xlfn.XLOOKUP(F1330,'Raw Data'!$I$4:$I$5000,'Raw Data'!$H$4:$H$5000,"",0),"")</f>
        <v/>
      </c>
      <c r="P1330" s="9" t="str" cm="1">
        <f t="array" aca="1" ref="P1330" ca="1">IF(INDIRECT(M1330) = "","",INDIRECT(M1330))</f>
        <v/>
      </c>
      <c r="Q1330" s="359" t="s">
        <v>4381</v>
      </c>
    </row>
    <row r="1331" spans="1:17" x14ac:dyDescent="0.35">
      <c r="A1331" t="s">
        <v>2256</v>
      </c>
      <c r="B1331" t="s">
        <v>2273</v>
      </c>
      <c r="C1331" t="s">
        <v>980</v>
      </c>
      <c r="E1331" t="str">
        <f>_xlfn.XLOOKUP(F1331,'Raw Data'!$I$4:$I$5000,'Raw Data'!$D$4:$D$5000,"*** Mnemonic not found ***",0)</f>
        <v>*** Mnemonic not found ***</v>
      </c>
      <c r="F1331" t="str">
        <f t="shared" si="328"/>
        <v>SUCMPROPORRSK_EMEA_FIR_</v>
      </c>
      <c r="H1331" s="9" t="s">
        <v>1137</v>
      </c>
      <c r="K1331" s="9">
        <f t="shared" ref="K1331:K1342" si="345">K1330+1</f>
        <v>443</v>
      </c>
      <c r="L1331" s="9" t="str">
        <f t="shared" si="342"/>
        <v>F</v>
      </c>
      <c r="M1331" s="9" t="str">
        <f t="shared" si="320"/>
        <v>Input!F443</v>
      </c>
      <c r="N1331" s="9">
        <f>_xlfn.XLOOKUP(F1331,'Raw Data'!$I$4:$I$5000,'Raw Data'!$E$4:$E$5000,100,0)</f>
        <v>100</v>
      </c>
      <c r="O1331" s="9" t="str">
        <f>IF(N1331=0,_xlfn.XLOOKUP(F1331,'Raw Data'!$I$4:$I$5000,'Raw Data'!$H$4:$H$5000,"",0),"")</f>
        <v/>
      </c>
      <c r="P1331" s="9" t="str" cm="1">
        <f t="array" aca="1" ref="P1331" ca="1">IF(INDIRECT(M1331) = "","",INDIRECT(M1331))</f>
        <v/>
      </c>
      <c r="Q1331" s="359" t="s">
        <v>4381</v>
      </c>
    </row>
    <row r="1332" spans="1:17" x14ac:dyDescent="0.35">
      <c r="A1332" t="s">
        <v>2256</v>
      </c>
      <c r="B1332" t="s">
        <v>2274</v>
      </c>
      <c r="C1332" t="s">
        <v>981</v>
      </c>
      <c r="E1332" t="str">
        <f>_xlfn.XLOOKUP(F1332,'Raw Data'!$I$4:$I$5000,'Raw Data'!$D$4:$D$5000,"*** Mnemonic not found ***",0)</f>
        <v>*** Mnemonic not found ***</v>
      </c>
      <c r="F1332" t="str">
        <f t="shared" si="328"/>
        <v>SUCMPROPORRSK_EMEA_ALB_</v>
      </c>
      <c r="H1332" s="9" t="s">
        <v>1137</v>
      </c>
      <c r="K1332" s="9">
        <f t="shared" si="345"/>
        <v>444</v>
      </c>
      <c r="L1332" s="9" t="str">
        <f t="shared" si="342"/>
        <v>F</v>
      </c>
      <c r="M1332" s="9" t="str">
        <f t="shared" ref="M1332:M1398" si="346">CONCATENATE(H1332,"!",L1332,K1332)</f>
        <v>Input!F444</v>
      </c>
      <c r="N1332" s="9">
        <f>_xlfn.XLOOKUP(F1332,'Raw Data'!$I$4:$I$5000,'Raw Data'!$E$4:$E$5000,100,0)</f>
        <v>100</v>
      </c>
      <c r="O1332" s="9" t="str">
        <f>IF(N1332=0,_xlfn.XLOOKUP(F1332,'Raw Data'!$I$4:$I$5000,'Raw Data'!$H$4:$H$5000,"",0),"")</f>
        <v/>
      </c>
      <c r="P1332" s="9" t="str" cm="1">
        <f t="array" aca="1" ref="P1332" ca="1">IF(INDIRECT(M1332) = "","",INDIRECT(M1332))</f>
        <v/>
      </c>
      <c r="Q1332" s="359" t="s">
        <v>4381</v>
      </c>
    </row>
    <row r="1333" spans="1:17" x14ac:dyDescent="0.35">
      <c r="A1333" t="s">
        <v>2256</v>
      </c>
      <c r="B1333" t="s">
        <v>2275</v>
      </c>
      <c r="C1333" t="s">
        <v>982</v>
      </c>
      <c r="E1333" t="str">
        <f>_xlfn.XLOOKUP(F1333,'Raw Data'!$I$4:$I$5000,'Raw Data'!$D$4:$D$5000,"*** Mnemonic not found ***",0)</f>
        <v>*** Mnemonic not found ***</v>
      </c>
      <c r="F1333" t="str">
        <f t="shared" si="328"/>
        <v>SUCMPROPORRSK_EMEA_OTHM_</v>
      </c>
      <c r="H1333" s="9" t="s">
        <v>1137</v>
      </c>
      <c r="K1333" s="9">
        <f t="shared" si="345"/>
        <v>445</v>
      </c>
      <c r="L1333" s="9" t="str">
        <f t="shared" si="342"/>
        <v>F</v>
      </c>
      <c r="M1333" s="9" t="str">
        <f t="shared" si="346"/>
        <v>Input!F445</v>
      </c>
      <c r="N1333" s="9">
        <f>_xlfn.XLOOKUP(F1333,'Raw Data'!$I$4:$I$5000,'Raw Data'!$E$4:$E$5000,100,0)</f>
        <v>100</v>
      </c>
      <c r="O1333" s="9" t="str">
        <f>IF(N1333=0,_xlfn.XLOOKUP(F1333,'Raw Data'!$I$4:$I$5000,'Raw Data'!$H$4:$H$5000,"",0),"")</f>
        <v/>
      </c>
      <c r="P1333" s="9" t="str" cm="1">
        <f t="array" aca="1" ref="P1333" ca="1">IF(INDIRECT(M1333) = "","",INDIRECT(M1333))</f>
        <v/>
      </c>
      <c r="Q1333" s="359" t="s">
        <v>4381</v>
      </c>
    </row>
    <row r="1334" spans="1:17" x14ac:dyDescent="0.35">
      <c r="A1334" t="s">
        <v>2256</v>
      </c>
      <c r="B1334" t="s">
        <v>2276</v>
      </c>
      <c r="C1334" t="s">
        <v>983</v>
      </c>
      <c r="E1334" t="str">
        <f>_xlfn.XLOOKUP(F1334,'Raw Data'!$I$4:$I$5000,'Raw Data'!$D$4:$D$5000,"*** Mnemonic not found ***",0)</f>
        <v>*** Mnemonic not found ***</v>
      </c>
      <c r="F1334" t="str">
        <f t="shared" si="328"/>
        <v>SUCMPROPORRSK_EMEA_CRDS_</v>
      </c>
      <c r="H1334" s="9" t="s">
        <v>1137</v>
      </c>
      <c r="K1334" s="9">
        <f t="shared" si="345"/>
        <v>446</v>
      </c>
      <c r="L1334" s="9" t="str">
        <f t="shared" si="342"/>
        <v>F</v>
      </c>
      <c r="M1334" s="9" t="str">
        <f t="shared" si="346"/>
        <v>Input!F446</v>
      </c>
      <c r="N1334" s="9">
        <f>_xlfn.XLOOKUP(F1334,'Raw Data'!$I$4:$I$5000,'Raw Data'!$E$4:$E$5000,100,0)</f>
        <v>100</v>
      </c>
      <c r="O1334" s="9" t="str">
        <f>IF(N1334=0,_xlfn.XLOOKUP(F1334,'Raw Data'!$I$4:$I$5000,'Raw Data'!$H$4:$H$5000,"",0),"")</f>
        <v/>
      </c>
      <c r="P1334" s="9" t="str" cm="1">
        <f t="array" aca="1" ref="P1334" ca="1">IF(INDIRECT(M1334) = "","",INDIRECT(M1334))</f>
        <v/>
      </c>
      <c r="Q1334" s="359" t="s">
        <v>4381</v>
      </c>
    </row>
    <row r="1335" spans="1:17" x14ac:dyDescent="0.35">
      <c r="A1335" t="s">
        <v>2256</v>
      </c>
      <c r="B1335" t="s">
        <v>2277</v>
      </c>
      <c r="C1335" t="s">
        <v>984</v>
      </c>
      <c r="E1335" t="str">
        <f>_xlfn.XLOOKUP(F1335,'Raw Data'!$I$4:$I$5000,'Raw Data'!$D$4:$D$5000,"*** Mnemonic not found ***",0)</f>
        <v>*** Mnemonic not found ***</v>
      </c>
      <c r="F1335" t="str">
        <f t="shared" si="328"/>
        <v>SUCMPROPORRSK_EMEA_MSFL_</v>
      </c>
      <c r="H1335" s="9" t="s">
        <v>1137</v>
      </c>
      <c r="K1335" s="9">
        <f t="shared" si="345"/>
        <v>447</v>
      </c>
      <c r="L1335" s="9" t="str">
        <f t="shared" si="342"/>
        <v>F</v>
      </c>
      <c r="M1335" s="9" t="str">
        <f t="shared" si="346"/>
        <v>Input!F447</v>
      </c>
      <c r="N1335" s="9">
        <f>_xlfn.XLOOKUP(F1335,'Raw Data'!$I$4:$I$5000,'Raw Data'!$E$4:$E$5000,100,0)</f>
        <v>100</v>
      </c>
      <c r="O1335" s="9" t="str">
        <f>IF(N1335=0,_xlfn.XLOOKUP(F1335,'Raw Data'!$I$4:$I$5000,'Raw Data'!$H$4:$H$5000,"",0),"")</f>
        <v/>
      </c>
      <c r="P1335" s="9" t="str" cm="1">
        <f t="array" aca="1" ref="P1335" ca="1">IF(INDIRECT(M1335) = "","",INDIRECT(M1335))</f>
        <v/>
      </c>
      <c r="Q1335" s="359" t="s">
        <v>4381</v>
      </c>
    </row>
    <row r="1336" spans="1:17" x14ac:dyDescent="0.35">
      <c r="A1336" t="s">
        <v>2256</v>
      </c>
      <c r="B1336" t="s">
        <v>2278</v>
      </c>
      <c r="C1336" t="s">
        <v>985</v>
      </c>
      <c r="E1336" t="str">
        <f>_xlfn.XLOOKUP(F1336,'Raw Data'!$I$4:$I$5000,'Raw Data'!$D$4:$D$5000,"*** Mnemonic not found ***",0)</f>
        <v>*** Mnemonic not found ***</v>
      </c>
      <c r="F1336" t="str">
        <f t="shared" si="328"/>
        <v>SUCMPROPORRSK_EMEA_HMEI_</v>
      </c>
      <c r="H1336" s="9" t="s">
        <v>1137</v>
      </c>
      <c r="K1336" s="9">
        <f t="shared" si="345"/>
        <v>448</v>
      </c>
      <c r="L1336" s="9" t="str">
        <f t="shared" si="342"/>
        <v>F</v>
      </c>
      <c r="M1336" s="9" t="str">
        <f t="shared" si="346"/>
        <v>Input!F448</v>
      </c>
      <c r="N1336" s="9">
        <f>_xlfn.XLOOKUP(F1336,'Raw Data'!$I$4:$I$5000,'Raw Data'!$E$4:$E$5000,100,0)</f>
        <v>100</v>
      </c>
      <c r="O1336" s="9" t="str">
        <f>IF(N1336=0,_xlfn.XLOOKUP(F1336,'Raw Data'!$I$4:$I$5000,'Raw Data'!$H$4:$H$5000,"",0),"")</f>
        <v/>
      </c>
      <c r="P1336" s="9" t="str" cm="1">
        <f t="array" aca="1" ref="P1336" ca="1">IF(INDIRECT(M1336) = "","",INDIRECT(M1336))</f>
        <v/>
      </c>
      <c r="Q1336" s="359" t="s">
        <v>4381</v>
      </c>
    </row>
    <row r="1337" spans="1:17" x14ac:dyDescent="0.35">
      <c r="A1337" t="s">
        <v>2256</v>
      </c>
      <c r="B1337" t="s">
        <v>2279</v>
      </c>
      <c r="C1337" t="s">
        <v>986</v>
      </c>
      <c r="E1337" t="str">
        <f>_xlfn.XLOOKUP(F1337,'Raw Data'!$I$4:$I$5000,'Raw Data'!$D$4:$D$5000,"*** Mnemonic not found ***",0)</f>
        <v>*** Mnemonic not found ***</v>
      </c>
      <c r="F1337" t="str">
        <f t="shared" si="328"/>
        <v>SUCMPROPORRSK_EMEA_MAVT_</v>
      </c>
      <c r="H1337" s="9" t="s">
        <v>1137</v>
      </c>
      <c r="K1337" s="9">
        <f t="shared" si="345"/>
        <v>449</v>
      </c>
      <c r="L1337" s="9" t="str">
        <f t="shared" si="342"/>
        <v>F</v>
      </c>
      <c r="M1337" s="9" t="str">
        <f t="shared" si="346"/>
        <v>Input!F449</v>
      </c>
      <c r="N1337" s="9">
        <f>_xlfn.XLOOKUP(F1337,'Raw Data'!$I$4:$I$5000,'Raw Data'!$E$4:$E$5000,100,0)</f>
        <v>100</v>
      </c>
      <c r="O1337" s="9" t="str">
        <f>IF(N1337=0,_xlfn.XLOOKUP(F1337,'Raw Data'!$I$4:$I$5000,'Raw Data'!$H$4:$H$5000,"",0),"")</f>
        <v/>
      </c>
      <c r="P1337" s="9" t="str" cm="1">
        <f t="array" aca="1" ref="P1337" ca="1">IF(INDIRECT(M1337) = "","",INDIRECT(M1337))</f>
        <v/>
      </c>
      <c r="Q1337" s="359" t="s">
        <v>4381</v>
      </c>
    </row>
    <row r="1338" spans="1:17" x14ac:dyDescent="0.35">
      <c r="A1338" s="694" t="s">
        <v>2256</v>
      </c>
      <c r="B1338" s="694" t="s">
        <v>4308</v>
      </c>
      <c r="C1338" s="694" t="s">
        <v>4130</v>
      </c>
      <c r="E1338" t="str">
        <f>_xlfn.XLOOKUP(F1338,'Raw Data'!$I$4:$I$5000,'Raw Data'!$D$4:$D$5000,"*** Mnemonic not found ***",0)</f>
        <v>*** Mnemonic not found ***</v>
      </c>
      <c r="F1338" t="str">
        <f t="shared" si="328"/>
        <v>SUCMPROPORRSK_EMEA_MPIN_</v>
      </c>
      <c r="H1338" s="9" t="s">
        <v>1137</v>
      </c>
      <c r="K1338" s="9">
        <f t="shared" si="345"/>
        <v>450</v>
      </c>
      <c r="L1338" s="9" t="str">
        <f t="shared" si="342"/>
        <v>F</v>
      </c>
      <c r="M1338" s="9" t="str">
        <f t="shared" ref="M1338" si="347">CONCATENATE(H1338,"!",L1338,K1338)</f>
        <v>Input!F450</v>
      </c>
      <c r="N1338" s="9">
        <f>_xlfn.XLOOKUP(F1338,'Raw Data'!$I$4:$I$5000,'Raw Data'!$E$4:$E$5000,100,0)</f>
        <v>100</v>
      </c>
      <c r="O1338" s="9" t="str">
        <f>IF(N1338=0,_xlfn.XLOOKUP(F1338,'Raw Data'!$I$4:$I$5000,'Raw Data'!$H$4:$H$5000,"",0),"")</f>
        <v/>
      </c>
      <c r="P1338" s="9" t="str" cm="1">
        <f t="array" aca="1" ref="P1338" ca="1">IF(INDIRECT(M1338) = "","",INDIRECT(M1338))</f>
        <v/>
      </c>
      <c r="Q1338" s="359" t="s">
        <v>4381</v>
      </c>
    </row>
    <row r="1339" spans="1:17" x14ac:dyDescent="0.35">
      <c r="A1339" t="s">
        <v>2256</v>
      </c>
      <c r="B1339" t="s">
        <v>2280</v>
      </c>
      <c r="C1339" t="s">
        <v>381</v>
      </c>
      <c r="E1339" t="str">
        <f>_xlfn.XLOOKUP(F1339,'Raw Data'!$I$4:$I$5000,'Raw Data'!$D$4:$D$5000,"*** Mnemonic not found ***",0)</f>
        <v>*** Mnemonic not found ***</v>
      </c>
      <c r="F1339" t="str">
        <f t="shared" si="328"/>
        <v>SUCMPROPORRSK_EMEA_ASST_</v>
      </c>
      <c r="H1339" s="9" t="s">
        <v>1137</v>
      </c>
      <c r="K1339" s="9">
        <f>K1338+1</f>
        <v>451</v>
      </c>
      <c r="L1339" s="9" t="str">
        <f t="shared" si="342"/>
        <v>F</v>
      </c>
      <c r="M1339" s="9" t="str">
        <f t="shared" si="346"/>
        <v>Input!F451</v>
      </c>
      <c r="N1339" s="9">
        <f>_xlfn.XLOOKUP(F1339,'Raw Data'!$I$4:$I$5000,'Raw Data'!$E$4:$E$5000,100,0)</f>
        <v>100</v>
      </c>
      <c r="O1339" s="9" t="str">
        <f>IF(N1339=0,_xlfn.XLOOKUP(F1339,'Raw Data'!$I$4:$I$5000,'Raw Data'!$H$4:$H$5000,"",0),"")</f>
        <v/>
      </c>
      <c r="P1339" s="9" t="str" cm="1">
        <f t="array" aca="1" ref="P1339" ca="1">IF(INDIRECT(M1339) = "","",INDIRECT(M1339))</f>
        <v/>
      </c>
      <c r="Q1339" s="359" t="s">
        <v>4381</v>
      </c>
    </row>
    <row r="1340" spans="1:17" x14ac:dyDescent="0.35">
      <c r="A1340" t="s">
        <v>2256</v>
      </c>
      <c r="B1340" t="s">
        <v>2281</v>
      </c>
      <c r="C1340" t="s">
        <v>987</v>
      </c>
      <c r="E1340" t="str">
        <f>_xlfn.XLOOKUP(F1340,'Raw Data'!$I$4:$I$5000,'Raw Data'!$D$4:$D$5000,"*** Mnemonic not found ***",0)</f>
        <v>*** Mnemonic not found ***</v>
      </c>
      <c r="F1340" t="str">
        <f t="shared" si="328"/>
        <v>SUCMPROPORRSK_EMEA_INPR_</v>
      </c>
      <c r="H1340" s="9" t="s">
        <v>1137</v>
      </c>
      <c r="K1340" s="9">
        <f t="shared" si="345"/>
        <v>452</v>
      </c>
      <c r="L1340" s="9" t="str">
        <f t="shared" si="342"/>
        <v>F</v>
      </c>
      <c r="M1340" s="9" t="str">
        <f t="shared" si="346"/>
        <v>Input!F452</v>
      </c>
      <c r="N1340" s="9">
        <f>_xlfn.XLOOKUP(F1340,'Raw Data'!$I$4:$I$5000,'Raw Data'!$E$4:$E$5000,100,0)</f>
        <v>100</v>
      </c>
      <c r="O1340" s="9" t="str">
        <f>IF(N1340=0,_xlfn.XLOOKUP(F1340,'Raw Data'!$I$4:$I$5000,'Raw Data'!$H$4:$H$5000,"",0),"")</f>
        <v/>
      </c>
      <c r="P1340" s="9" t="str" cm="1">
        <f t="array" aca="1" ref="P1340" ca="1">IF(INDIRECT(M1340) = "","",INDIRECT(M1340))</f>
        <v/>
      </c>
      <c r="Q1340" s="359" t="s">
        <v>4381</v>
      </c>
    </row>
    <row r="1341" spans="1:17" x14ac:dyDescent="0.35">
      <c r="A1341" t="s">
        <v>2256</v>
      </c>
      <c r="B1341" t="s">
        <v>2282</v>
      </c>
      <c r="C1341" t="s">
        <v>988</v>
      </c>
      <c r="E1341" t="str">
        <f>_xlfn.XLOOKUP(F1341,'Raw Data'!$I$4:$I$5000,'Raw Data'!$D$4:$D$5000,"*** Mnemonic not found ***",0)</f>
        <v>*** Mnemonic not found ***</v>
      </c>
      <c r="F1341" t="str">
        <f t="shared" si="328"/>
        <v>SUCMPROPORRSK_EMEA_LEGEX_</v>
      </c>
      <c r="H1341" s="9" t="s">
        <v>1137</v>
      </c>
      <c r="K1341" s="9">
        <f t="shared" si="345"/>
        <v>453</v>
      </c>
      <c r="L1341" s="9" t="str">
        <f t="shared" si="342"/>
        <v>F</v>
      </c>
      <c r="M1341" s="9" t="str">
        <f t="shared" si="346"/>
        <v>Input!F453</v>
      </c>
      <c r="N1341" s="9">
        <f>_xlfn.XLOOKUP(F1341,'Raw Data'!$I$4:$I$5000,'Raw Data'!$E$4:$E$5000,100,0)</f>
        <v>100</v>
      </c>
      <c r="O1341" s="9" t="str">
        <f>IF(N1341=0,_xlfn.XLOOKUP(F1341,'Raw Data'!$I$4:$I$5000,'Raw Data'!$H$4:$H$5000,"",0),"")</f>
        <v/>
      </c>
      <c r="P1341" s="9" t="str" cm="1">
        <f t="array" aca="1" ref="P1341" ca="1">IF(INDIRECT(M1341) = "","",INDIRECT(M1341))</f>
        <v/>
      </c>
      <c r="Q1341" s="359" t="s">
        <v>4381</v>
      </c>
    </row>
    <row r="1342" spans="1:17" x14ac:dyDescent="0.35">
      <c r="A1342" t="s">
        <v>2256</v>
      </c>
      <c r="B1342" s="217" t="s">
        <v>2283</v>
      </c>
      <c r="C1342" s="217" t="s">
        <v>262</v>
      </c>
      <c r="E1342" t="str">
        <f>_xlfn.XLOOKUP(F1342,'Raw Data'!$I$4:$I$5000,'Raw Data'!$D$4:$D$5000,"*** Mnemonic not found ***",0)</f>
        <v>*** Mnemonic not found ***</v>
      </c>
      <c r="F1342" t="str">
        <f t="shared" si="328"/>
        <v>SUCMPROPORRSK_EMEA_OCAH_</v>
      </c>
      <c r="H1342" s="9" t="s">
        <v>1137</v>
      </c>
      <c r="K1342" s="9">
        <f t="shared" si="345"/>
        <v>454</v>
      </c>
      <c r="L1342" s="9" t="str">
        <f>L1341</f>
        <v>F</v>
      </c>
      <c r="M1342" s="9" t="str">
        <f t="shared" si="346"/>
        <v>Input!F454</v>
      </c>
      <c r="N1342" s="9">
        <f>_xlfn.XLOOKUP(F1342,'Raw Data'!$I$4:$I$5000,'Raw Data'!$E$4:$E$5000,100,0)</f>
        <v>100</v>
      </c>
      <c r="O1342" s="9" t="str">
        <f>IF(N1342=0,_xlfn.XLOOKUP(F1342,'Raw Data'!$I$4:$I$5000,'Raw Data'!$H$4:$H$5000,"",0),"")</f>
        <v/>
      </c>
      <c r="P1342" s="9" t="str" cm="1">
        <f t="array" aca="1" ref="P1342" ca="1">IF(INDIRECT(M1342) = "","",INDIRECT(M1342))</f>
        <v/>
      </c>
      <c r="Q1342" s="359" t="s">
        <v>4381</v>
      </c>
    </row>
    <row r="1343" spans="1:17" x14ac:dyDescent="0.35">
      <c r="A1343" t="s">
        <v>2257</v>
      </c>
      <c r="B1343" t="s">
        <v>2271</v>
      </c>
      <c r="C1343" t="s">
        <v>978</v>
      </c>
      <c r="E1343" t="str">
        <f>_xlfn.XLOOKUP(F1343,'Raw Data'!$I$4:$I$5000,'Raw Data'!$D$4:$D$5000,"*** Mnemonic not found ***",0)</f>
        <v>*** Mnemonic not found ***</v>
      </c>
      <c r="F1343" t="str">
        <f t="shared" si="328"/>
        <v>SUCMNONPROPORRSK_EMEA_LIA_</v>
      </c>
      <c r="H1343" s="9" t="s">
        <v>1137</v>
      </c>
      <c r="I1343" s="289">
        <f>ROW(section_non_life_prem)</f>
        <v>437</v>
      </c>
      <c r="J1343" s="9">
        <f>J1329</f>
        <v>4</v>
      </c>
      <c r="K1343" s="9">
        <f>I1343+J1343</f>
        <v>441</v>
      </c>
      <c r="L1343" s="9" t="s">
        <v>1145</v>
      </c>
      <c r="M1343" s="9" t="str">
        <f t="shared" si="346"/>
        <v>Input!G441</v>
      </c>
      <c r="N1343" s="9">
        <f>_xlfn.XLOOKUP(F1343,'Raw Data'!$I$4:$I$5000,'Raw Data'!$E$4:$E$5000,100,0)</f>
        <v>100</v>
      </c>
      <c r="O1343" s="9" t="str">
        <f>IF(N1343=0,_xlfn.XLOOKUP(F1343,'Raw Data'!$I$4:$I$5000,'Raw Data'!$H$4:$H$5000,"",0),"")</f>
        <v/>
      </c>
      <c r="P1343" s="9" t="str" cm="1">
        <f t="array" aca="1" ref="P1343" ca="1">IF(INDIRECT(M1343) = "","",INDIRECT(M1343))</f>
        <v/>
      </c>
      <c r="Q1343" s="359" t="s">
        <v>4381</v>
      </c>
    </row>
    <row r="1344" spans="1:17" x14ac:dyDescent="0.35">
      <c r="A1344" t="s">
        <v>2257</v>
      </c>
      <c r="B1344" t="s">
        <v>2272</v>
      </c>
      <c r="C1344" t="s">
        <v>979</v>
      </c>
      <c r="E1344" t="str">
        <f>_xlfn.XLOOKUP(F1344,'Raw Data'!$I$4:$I$5000,'Raw Data'!$D$4:$D$5000,"*** Mnemonic not found ***",0)</f>
        <v>*** Mnemonic not found ***</v>
      </c>
      <c r="F1344" t="str">
        <f t="shared" si="328"/>
        <v>SUCMNONPROPORRSK_EMEA_WCP_</v>
      </c>
      <c r="H1344" s="9" t="s">
        <v>1137</v>
      </c>
      <c r="K1344" s="9">
        <f>K1343+1</f>
        <v>442</v>
      </c>
      <c r="L1344" s="9" t="str">
        <f t="shared" ref="L1344:L1355" si="348">L1343</f>
        <v>G</v>
      </c>
      <c r="M1344" s="9" t="str">
        <f t="shared" si="346"/>
        <v>Input!G442</v>
      </c>
      <c r="N1344" s="9">
        <f>_xlfn.XLOOKUP(F1344,'Raw Data'!$I$4:$I$5000,'Raw Data'!$E$4:$E$5000,100,0)</f>
        <v>100</v>
      </c>
      <c r="O1344" s="9" t="str">
        <f>IF(N1344=0,_xlfn.XLOOKUP(F1344,'Raw Data'!$I$4:$I$5000,'Raw Data'!$H$4:$H$5000,"",0),"")</f>
        <v/>
      </c>
      <c r="P1344" s="9" t="str" cm="1">
        <f t="array" aca="1" ref="P1344" ca="1">IF(INDIRECT(M1344) = "","",INDIRECT(M1344))</f>
        <v/>
      </c>
      <c r="Q1344" s="359" t="s">
        <v>4381</v>
      </c>
    </row>
    <row r="1345" spans="1:17" x14ac:dyDescent="0.35">
      <c r="A1345" t="s">
        <v>2257</v>
      </c>
      <c r="B1345" t="s">
        <v>2273</v>
      </c>
      <c r="C1345" t="s">
        <v>980</v>
      </c>
      <c r="E1345" t="str">
        <f>_xlfn.XLOOKUP(F1345,'Raw Data'!$I$4:$I$5000,'Raw Data'!$D$4:$D$5000,"*** Mnemonic not found ***",0)</f>
        <v>*** Mnemonic not found ***</v>
      </c>
      <c r="F1345" t="str">
        <f t="shared" si="328"/>
        <v>SUCMNONPROPORRSK_EMEA_FIR_</v>
      </c>
      <c r="H1345" s="9" t="s">
        <v>1137</v>
      </c>
      <c r="K1345" s="9">
        <f t="shared" ref="K1345:K1356" si="349">K1344+1</f>
        <v>443</v>
      </c>
      <c r="L1345" s="9" t="str">
        <f t="shared" si="348"/>
        <v>G</v>
      </c>
      <c r="M1345" s="9" t="str">
        <f t="shared" si="346"/>
        <v>Input!G443</v>
      </c>
      <c r="N1345" s="9">
        <f>_xlfn.XLOOKUP(F1345,'Raw Data'!$I$4:$I$5000,'Raw Data'!$E$4:$E$5000,100,0)</f>
        <v>100</v>
      </c>
      <c r="O1345" s="9" t="str">
        <f>IF(N1345=0,_xlfn.XLOOKUP(F1345,'Raw Data'!$I$4:$I$5000,'Raw Data'!$H$4:$H$5000,"",0),"")</f>
        <v/>
      </c>
      <c r="P1345" s="9" t="str" cm="1">
        <f t="array" aca="1" ref="P1345" ca="1">IF(INDIRECT(M1345) = "","",INDIRECT(M1345))</f>
        <v/>
      </c>
      <c r="Q1345" s="359" t="s">
        <v>4381</v>
      </c>
    </row>
    <row r="1346" spans="1:17" x14ac:dyDescent="0.35">
      <c r="A1346" t="s">
        <v>2257</v>
      </c>
      <c r="B1346" t="s">
        <v>2274</v>
      </c>
      <c r="C1346" t="s">
        <v>981</v>
      </c>
      <c r="E1346" t="str">
        <f>_xlfn.XLOOKUP(F1346,'Raw Data'!$I$4:$I$5000,'Raw Data'!$D$4:$D$5000,"*** Mnemonic not found ***",0)</f>
        <v>*** Mnemonic not found ***</v>
      </c>
      <c r="F1346" t="str">
        <f t="shared" si="328"/>
        <v>SUCMNONPROPORRSK_EMEA_ALB_</v>
      </c>
      <c r="H1346" s="9" t="s">
        <v>1137</v>
      </c>
      <c r="K1346" s="9">
        <f t="shared" si="349"/>
        <v>444</v>
      </c>
      <c r="L1346" s="9" t="str">
        <f t="shared" si="348"/>
        <v>G</v>
      </c>
      <c r="M1346" s="9" t="str">
        <f t="shared" si="346"/>
        <v>Input!G444</v>
      </c>
      <c r="N1346" s="9">
        <f>_xlfn.XLOOKUP(F1346,'Raw Data'!$I$4:$I$5000,'Raw Data'!$E$4:$E$5000,100,0)</f>
        <v>100</v>
      </c>
      <c r="O1346" s="9" t="str">
        <f>IF(N1346=0,_xlfn.XLOOKUP(F1346,'Raw Data'!$I$4:$I$5000,'Raw Data'!$H$4:$H$5000,"",0),"")</f>
        <v/>
      </c>
      <c r="P1346" s="9" t="str" cm="1">
        <f t="array" aca="1" ref="P1346" ca="1">IF(INDIRECT(M1346) = "","",INDIRECT(M1346))</f>
        <v/>
      </c>
      <c r="Q1346" s="359" t="s">
        <v>4381</v>
      </c>
    </row>
    <row r="1347" spans="1:17" x14ac:dyDescent="0.35">
      <c r="A1347" t="s">
        <v>2257</v>
      </c>
      <c r="B1347" t="s">
        <v>2275</v>
      </c>
      <c r="C1347" t="s">
        <v>982</v>
      </c>
      <c r="E1347" t="str">
        <f>_xlfn.XLOOKUP(F1347,'Raw Data'!$I$4:$I$5000,'Raw Data'!$D$4:$D$5000,"*** Mnemonic not found ***",0)</f>
        <v>*** Mnemonic not found ***</v>
      </c>
      <c r="F1347" t="str">
        <f t="shared" si="328"/>
        <v>SUCMNONPROPORRSK_EMEA_OTHM_</v>
      </c>
      <c r="H1347" s="9" t="s">
        <v>1137</v>
      </c>
      <c r="K1347" s="9">
        <f t="shared" si="349"/>
        <v>445</v>
      </c>
      <c r="L1347" s="9" t="str">
        <f t="shared" si="348"/>
        <v>G</v>
      </c>
      <c r="M1347" s="9" t="str">
        <f t="shared" si="346"/>
        <v>Input!G445</v>
      </c>
      <c r="N1347" s="9">
        <f>_xlfn.XLOOKUP(F1347,'Raw Data'!$I$4:$I$5000,'Raw Data'!$E$4:$E$5000,100,0)</f>
        <v>100</v>
      </c>
      <c r="O1347" s="9" t="str">
        <f>IF(N1347=0,_xlfn.XLOOKUP(F1347,'Raw Data'!$I$4:$I$5000,'Raw Data'!$H$4:$H$5000,"",0),"")</f>
        <v/>
      </c>
      <c r="P1347" s="9" t="str" cm="1">
        <f t="array" aca="1" ref="P1347" ca="1">IF(INDIRECT(M1347) = "","",INDIRECT(M1347))</f>
        <v/>
      </c>
      <c r="Q1347" s="359" t="s">
        <v>4381</v>
      </c>
    </row>
    <row r="1348" spans="1:17" x14ac:dyDescent="0.35">
      <c r="A1348" t="s">
        <v>2257</v>
      </c>
      <c r="B1348" t="s">
        <v>2276</v>
      </c>
      <c r="C1348" t="s">
        <v>983</v>
      </c>
      <c r="E1348" t="str">
        <f>_xlfn.XLOOKUP(F1348,'Raw Data'!$I$4:$I$5000,'Raw Data'!$D$4:$D$5000,"*** Mnemonic not found ***",0)</f>
        <v>*** Mnemonic not found ***</v>
      </c>
      <c r="F1348" t="str">
        <f t="shared" si="328"/>
        <v>SUCMNONPROPORRSK_EMEA_CRDS_</v>
      </c>
      <c r="H1348" s="9" t="s">
        <v>1137</v>
      </c>
      <c r="K1348" s="9">
        <f t="shared" si="349"/>
        <v>446</v>
      </c>
      <c r="L1348" s="9" t="str">
        <f t="shared" si="348"/>
        <v>G</v>
      </c>
      <c r="M1348" s="9" t="str">
        <f t="shared" si="346"/>
        <v>Input!G446</v>
      </c>
      <c r="N1348" s="9">
        <f>_xlfn.XLOOKUP(F1348,'Raw Data'!$I$4:$I$5000,'Raw Data'!$E$4:$E$5000,100,0)</f>
        <v>100</v>
      </c>
      <c r="O1348" s="9" t="str">
        <f>IF(N1348=0,_xlfn.XLOOKUP(F1348,'Raw Data'!$I$4:$I$5000,'Raw Data'!$H$4:$H$5000,"",0),"")</f>
        <v/>
      </c>
      <c r="P1348" s="9" t="str" cm="1">
        <f t="array" aca="1" ref="P1348" ca="1">IF(INDIRECT(M1348) = "","",INDIRECT(M1348))</f>
        <v/>
      </c>
      <c r="Q1348" s="359" t="s">
        <v>4381</v>
      </c>
    </row>
    <row r="1349" spans="1:17" x14ac:dyDescent="0.35">
      <c r="A1349" t="s">
        <v>2257</v>
      </c>
      <c r="B1349" t="s">
        <v>2277</v>
      </c>
      <c r="C1349" t="s">
        <v>984</v>
      </c>
      <c r="E1349" t="str">
        <f>_xlfn.XLOOKUP(F1349,'Raw Data'!$I$4:$I$5000,'Raw Data'!$D$4:$D$5000,"*** Mnemonic not found ***",0)</f>
        <v>*** Mnemonic not found ***</v>
      </c>
      <c r="F1349" t="str">
        <f t="shared" si="328"/>
        <v>SUCMNONPROPORRSK_EMEA_MSFL_</v>
      </c>
      <c r="H1349" s="9" t="s">
        <v>1137</v>
      </c>
      <c r="K1349" s="9">
        <f t="shared" si="349"/>
        <v>447</v>
      </c>
      <c r="L1349" s="9" t="str">
        <f t="shared" si="348"/>
        <v>G</v>
      </c>
      <c r="M1349" s="9" t="str">
        <f t="shared" si="346"/>
        <v>Input!G447</v>
      </c>
      <c r="N1349" s="9">
        <f>_xlfn.XLOOKUP(F1349,'Raw Data'!$I$4:$I$5000,'Raw Data'!$E$4:$E$5000,100,0)</f>
        <v>100</v>
      </c>
      <c r="O1349" s="9" t="str">
        <f>IF(N1349=0,_xlfn.XLOOKUP(F1349,'Raw Data'!$I$4:$I$5000,'Raw Data'!$H$4:$H$5000,"",0),"")</f>
        <v/>
      </c>
      <c r="P1349" s="9" t="str" cm="1">
        <f t="array" aca="1" ref="P1349" ca="1">IF(INDIRECT(M1349) = "","",INDIRECT(M1349))</f>
        <v/>
      </c>
      <c r="Q1349" s="359" t="s">
        <v>4381</v>
      </c>
    </row>
    <row r="1350" spans="1:17" x14ac:dyDescent="0.35">
      <c r="A1350" t="s">
        <v>2257</v>
      </c>
      <c r="B1350" t="s">
        <v>2278</v>
      </c>
      <c r="C1350" t="s">
        <v>985</v>
      </c>
      <c r="E1350" t="str">
        <f>_xlfn.XLOOKUP(F1350,'Raw Data'!$I$4:$I$5000,'Raw Data'!$D$4:$D$5000,"*** Mnemonic not found ***",0)</f>
        <v>*** Mnemonic not found ***</v>
      </c>
      <c r="F1350" t="str">
        <f t="shared" si="328"/>
        <v>SUCMNONPROPORRSK_EMEA_HMEI_</v>
      </c>
      <c r="H1350" s="9" t="s">
        <v>1137</v>
      </c>
      <c r="K1350" s="9">
        <f t="shared" si="349"/>
        <v>448</v>
      </c>
      <c r="L1350" s="9" t="str">
        <f t="shared" si="348"/>
        <v>G</v>
      </c>
      <c r="M1350" s="9" t="str">
        <f t="shared" si="346"/>
        <v>Input!G448</v>
      </c>
      <c r="N1350" s="9">
        <f>_xlfn.XLOOKUP(F1350,'Raw Data'!$I$4:$I$5000,'Raw Data'!$E$4:$E$5000,100,0)</f>
        <v>100</v>
      </c>
      <c r="O1350" s="9" t="str">
        <f>IF(N1350=0,_xlfn.XLOOKUP(F1350,'Raw Data'!$I$4:$I$5000,'Raw Data'!$H$4:$H$5000,"",0),"")</f>
        <v/>
      </c>
      <c r="P1350" s="9" t="str" cm="1">
        <f t="array" aca="1" ref="P1350" ca="1">IF(INDIRECT(M1350) = "","",INDIRECT(M1350))</f>
        <v/>
      </c>
      <c r="Q1350" s="359" t="s">
        <v>4381</v>
      </c>
    </row>
    <row r="1351" spans="1:17" x14ac:dyDescent="0.35">
      <c r="A1351" t="s">
        <v>2257</v>
      </c>
      <c r="B1351" t="s">
        <v>2279</v>
      </c>
      <c r="C1351" t="s">
        <v>986</v>
      </c>
      <c r="E1351" t="str">
        <f>_xlfn.XLOOKUP(F1351,'Raw Data'!$I$4:$I$5000,'Raw Data'!$D$4:$D$5000,"*** Mnemonic not found ***",0)</f>
        <v>*** Mnemonic not found ***</v>
      </c>
      <c r="F1351" t="str">
        <f t="shared" ref="F1351:F1414" si="350">CONCATENATE(A1351,"_",B1351,"_",D1351)</f>
        <v>SUCMNONPROPORRSK_EMEA_MAVT_</v>
      </c>
      <c r="H1351" s="9" t="s">
        <v>1137</v>
      </c>
      <c r="K1351" s="9">
        <f t="shared" si="349"/>
        <v>449</v>
      </c>
      <c r="L1351" s="9" t="str">
        <f t="shared" si="348"/>
        <v>G</v>
      </c>
      <c r="M1351" s="9" t="str">
        <f t="shared" si="346"/>
        <v>Input!G449</v>
      </c>
      <c r="N1351" s="9">
        <f>_xlfn.XLOOKUP(F1351,'Raw Data'!$I$4:$I$5000,'Raw Data'!$E$4:$E$5000,100,0)</f>
        <v>100</v>
      </c>
      <c r="O1351" s="9" t="str">
        <f>IF(N1351=0,_xlfn.XLOOKUP(F1351,'Raw Data'!$I$4:$I$5000,'Raw Data'!$H$4:$H$5000,"",0),"")</f>
        <v/>
      </c>
      <c r="P1351" s="9" t="str" cm="1">
        <f t="array" aca="1" ref="P1351" ca="1">IF(INDIRECT(M1351) = "","",INDIRECT(M1351))</f>
        <v/>
      </c>
      <c r="Q1351" s="359" t="s">
        <v>4381</v>
      </c>
    </row>
    <row r="1352" spans="1:17" x14ac:dyDescent="0.35">
      <c r="A1352" s="694" t="s">
        <v>2257</v>
      </c>
      <c r="B1352" s="694" t="s">
        <v>4308</v>
      </c>
      <c r="C1352" s="694" t="s">
        <v>4130</v>
      </c>
      <c r="E1352" t="str">
        <f>_xlfn.XLOOKUP(F1352,'Raw Data'!$I$4:$I$5000,'Raw Data'!$D$4:$D$5000,"*** Mnemonic not found ***",0)</f>
        <v>*** Mnemonic not found ***</v>
      </c>
      <c r="F1352" t="str">
        <f t="shared" si="350"/>
        <v>SUCMNONPROPORRSK_EMEA_MPIN_</v>
      </c>
      <c r="H1352" s="9" t="s">
        <v>1137</v>
      </c>
      <c r="K1352" s="9">
        <f t="shared" si="349"/>
        <v>450</v>
      </c>
      <c r="L1352" s="9" t="str">
        <f t="shared" si="348"/>
        <v>G</v>
      </c>
      <c r="M1352" s="9" t="str">
        <f t="shared" ref="M1352" si="351">CONCATENATE(H1352,"!",L1352,K1352)</f>
        <v>Input!G450</v>
      </c>
      <c r="N1352" s="9">
        <f>_xlfn.XLOOKUP(F1352,'Raw Data'!$I$4:$I$5000,'Raw Data'!$E$4:$E$5000,100,0)</f>
        <v>100</v>
      </c>
      <c r="O1352" s="9" t="str">
        <f>IF(N1352=0,_xlfn.XLOOKUP(F1352,'Raw Data'!$I$4:$I$5000,'Raw Data'!$H$4:$H$5000,"",0),"")</f>
        <v/>
      </c>
      <c r="P1352" s="9" t="str" cm="1">
        <f t="array" aca="1" ref="P1352" ca="1">IF(INDIRECT(M1352) = "","",INDIRECT(M1352))</f>
        <v/>
      </c>
      <c r="Q1352" s="359" t="s">
        <v>4381</v>
      </c>
    </row>
    <row r="1353" spans="1:17" x14ac:dyDescent="0.35">
      <c r="A1353" t="s">
        <v>2257</v>
      </c>
      <c r="B1353" t="s">
        <v>2280</v>
      </c>
      <c r="C1353" t="s">
        <v>381</v>
      </c>
      <c r="E1353" t="str">
        <f>_xlfn.XLOOKUP(F1353,'Raw Data'!$I$4:$I$5000,'Raw Data'!$D$4:$D$5000,"*** Mnemonic not found ***",0)</f>
        <v>*** Mnemonic not found ***</v>
      </c>
      <c r="F1353" t="str">
        <f t="shared" si="350"/>
        <v>SUCMNONPROPORRSK_EMEA_ASST_</v>
      </c>
      <c r="H1353" s="9" t="s">
        <v>1137</v>
      </c>
      <c r="K1353" s="9">
        <f>K1352+1</f>
        <v>451</v>
      </c>
      <c r="L1353" s="9" t="str">
        <f>L1352</f>
        <v>G</v>
      </c>
      <c r="M1353" s="9" t="str">
        <f t="shared" si="346"/>
        <v>Input!G451</v>
      </c>
      <c r="N1353" s="9">
        <f>_xlfn.XLOOKUP(F1353,'Raw Data'!$I$4:$I$5000,'Raw Data'!$E$4:$E$5000,100,0)</f>
        <v>100</v>
      </c>
      <c r="O1353" s="9" t="str">
        <f>IF(N1353=0,_xlfn.XLOOKUP(F1353,'Raw Data'!$I$4:$I$5000,'Raw Data'!$H$4:$H$5000,"",0),"")</f>
        <v/>
      </c>
      <c r="P1353" s="9" t="str" cm="1">
        <f t="array" aca="1" ref="P1353" ca="1">IF(INDIRECT(M1353) = "","",INDIRECT(M1353))</f>
        <v/>
      </c>
      <c r="Q1353" s="359" t="s">
        <v>4381</v>
      </c>
    </row>
    <row r="1354" spans="1:17" x14ac:dyDescent="0.35">
      <c r="A1354" t="s">
        <v>2257</v>
      </c>
      <c r="B1354" t="s">
        <v>2281</v>
      </c>
      <c r="C1354" t="s">
        <v>987</v>
      </c>
      <c r="E1354" t="str">
        <f>_xlfn.XLOOKUP(F1354,'Raw Data'!$I$4:$I$5000,'Raw Data'!$D$4:$D$5000,"*** Mnemonic not found ***",0)</f>
        <v>*** Mnemonic not found ***</v>
      </c>
      <c r="F1354" t="str">
        <f t="shared" si="350"/>
        <v>SUCMNONPROPORRSK_EMEA_INPR_</v>
      </c>
      <c r="H1354" s="9" t="s">
        <v>1137</v>
      </c>
      <c r="K1354" s="9">
        <f t="shared" si="349"/>
        <v>452</v>
      </c>
      <c r="L1354" s="9" t="str">
        <f t="shared" si="348"/>
        <v>G</v>
      </c>
      <c r="M1354" s="9" t="str">
        <f t="shared" si="346"/>
        <v>Input!G452</v>
      </c>
      <c r="N1354" s="9">
        <f>_xlfn.XLOOKUP(F1354,'Raw Data'!$I$4:$I$5000,'Raw Data'!$E$4:$E$5000,100,0)</f>
        <v>100</v>
      </c>
      <c r="O1354" s="9" t="str">
        <f>IF(N1354=0,_xlfn.XLOOKUP(F1354,'Raw Data'!$I$4:$I$5000,'Raw Data'!$H$4:$H$5000,"",0),"")</f>
        <v/>
      </c>
      <c r="P1354" s="9" t="str" cm="1">
        <f t="array" aca="1" ref="P1354" ca="1">IF(INDIRECT(M1354) = "","",INDIRECT(M1354))</f>
        <v/>
      </c>
      <c r="Q1354" s="359" t="s">
        <v>4381</v>
      </c>
    </row>
    <row r="1355" spans="1:17" x14ac:dyDescent="0.35">
      <c r="A1355" t="s">
        <v>2257</v>
      </c>
      <c r="B1355" t="s">
        <v>2282</v>
      </c>
      <c r="C1355" t="s">
        <v>988</v>
      </c>
      <c r="E1355" t="str">
        <f>_xlfn.XLOOKUP(F1355,'Raw Data'!$I$4:$I$5000,'Raw Data'!$D$4:$D$5000,"*** Mnemonic not found ***",0)</f>
        <v>*** Mnemonic not found ***</v>
      </c>
      <c r="F1355" t="str">
        <f t="shared" si="350"/>
        <v>SUCMNONPROPORRSK_EMEA_LEGEX_</v>
      </c>
      <c r="H1355" s="9" t="s">
        <v>1137</v>
      </c>
      <c r="K1355" s="9">
        <f t="shared" si="349"/>
        <v>453</v>
      </c>
      <c r="L1355" s="9" t="str">
        <f t="shared" si="348"/>
        <v>G</v>
      </c>
      <c r="M1355" s="9" t="str">
        <f t="shared" si="346"/>
        <v>Input!G453</v>
      </c>
      <c r="N1355" s="9">
        <f>_xlfn.XLOOKUP(F1355,'Raw Data'!$I$4:$I$5000,'Raw Data'!$E$4:$E$5000,100,0)</f>
        <v>100</v>
      </c>
      <c r="O1355" s="9" t="str">
        <f>IF(N1355=0,_xlfn.XLOOKUP(F1355,'Raw Data'!$I$4:$I$5000,'Raw Data'!$H$4:$H$5000,"",0),"")</f>
        <v/>
      </c>
      <c r="P1355" s="9" t="str" cm="1">
        <f t="array" aca="1" ref="P1355" ca="1">IF(INDIRECT(M1355) = "","",INDIRECT(M1355))</f>
        <v/>
      </c>
      <c r="Q1355" s="359" t="s">
        <v>4381</v>
      </c>
    </row>
    <row r="1356" spans="1:17" x14ac:dyDescent="0.35">
      <c r="A1356" t="s">
        <v>2257</v>
      </c>
      <c r="B1356" s="217" t="s">
        <v>2283</v>
      </c>
      <c r="C1356" s="217" t="s">
        <v>262</v>
      </c>
      <c r="E1356" t="str">
        <f>_xlfn.XLOOKUP(F1356,'Raw Data'!$I$4:$I$5000,'Raw Data'!$D$4:$D$5000,"*** Mnemonic not found ***",0)</f>
        <v>*** Mnemonic not found ***</v>
      </c>
      <c r="F1356" t="str">
        <f t="shared" si="350"/>
        <v>SUCMNONPROPORRSK_EMEA_OCAH_</v>
      </c>
      <c r="H1356" s="9" t="s">
        <v>1137</v>
      </c>
      <c r="K1356" s="9">
        <f t="shared" si="349"/>
        <v>454</v>
      </c>
      <c r="L1356" s="9" t="str">
        <f>L1355</f>
        <v>G</v>
      </c>
      <c r="M1356" s="9" t="str">
        <f t="shared" si="346"/>
        <v>Input!G454</v>
      </c>
      <c r="N1356" s="9">
        <f>_xlfn.XLOOKUP(F1356,'Raw Data'!$I$4:$I$5000,'Raw Data'!$E$4:$E$5000,100,0)</f>
        <v>100</v>
      </c>
      <c r="O1356" s="9" t="str">
        <f>IF(N1356=0,_xlfn.XLOOKUP(F1356,'Raw Data'!$I$4:$I$5000,'Raw Data'!$H$4:$H$5000,"",0),"")</f>
        <v/>
      </c>
      <c r="P1356" s="9" t="str" cm="1">
        <f t="array" aca="1" ref="P1356" ca="1">IF(INDIRECT(M1356) = "","",INDIRECT(M1356))</f>
        <v/>
      </c>
      <c r="Q1356" s="359" t="s">
        <v>4381</v>
      </c>
    </row>
    <row r="1357" spans="1:17" x14ac:dyDescent="0.35">
      <c r="A1357" t="s">
        <v>2260</v>
      </c>
      <c r="B1357" t="s">
        <v>2284</v>
      </c>
      <c r="C1357" t="s">
        <v>379</v>
      </c>
      <c r="E1357" t="str">
        <f>_xlfn.XLOOKUP(F1357,'Raw Data'!$I$4:$I$5000,'Raw Data'!$D$4:$D$5000,"*** Mnemonic not found ***",0)</f>
        <v>*** Mnemonic not found ***</v>
      </c>
      <c r="F1357" t="str">
        <f t="shared" si="350"/>
        <v>SUCMPROPORRSK_US_EWCP_</v>
      </c>
      <c r="G1357" t="s">
        <v>2258</v>
      </c>
      <c r="H1357" s="9" t="s">
        <v>1137</v>
      </c>
      <c r="I1357" s="289">
        <f>ROW(section_non_life_prem)</f>
        <v>437</v>
      </c>
      <c r="J1357" s="9">
        <v>19</v>
      </c>
      <c r="K1357" s="9">
        <f>I1357+J1357</f>
        <v>456</v>
      </c>
      <c r="L1357" s="9" t="s">
        <v>1124</v>
      </c>
      <c r="M1357" s="9" t="str">
        <f t="shared" si="346"/>
        <v>Input!F456</v>
      </c>
      <c r="N1357" s="9">
        <f>_xlfn.XLOOKUP(F1357,'Raw Data'!$I$4:$I$5000,'Raw Data'!$E$4:$E$5000,100,0)</f>
        <v>100</v>
      </c>
      <c r="O1357" s="9" t="str">
        <f>IF(N1357=0,_xlfn.XLOOKUP(F1357,'Raw Data'!$I$4:$I$5000,'Raw Data'!$H$4:$H$5000,"",0),"")</f>
        <v/>
      </c>
      <c r="P1357" s="9" t="str" cm="1">
        <f t="array" aca="1" ref="P1357" ca="1">IF(INDIRECT(M1357) = "","",INDIRECT(M1357))</f>
        <v/>
      </c>
      <c r="Q1357" s="359" t="s">
        <v>4381</v>
      </c>
    </row>
    <row r="1358" spans="1:17" x14ac:dyDescent="0.35">
      <c r="A1358" t="s">
        <v>2260</v>
      </c>
      <c r="B1358" t="s">
        <v>2285</v>
      </c>
      <c r="C1358" t="s">
        <v>402</v>
      </c>
      <c r="E1358" t="str">
        <f>_xlfn.XLOOKUP(F1358,'Raw Data'!$I$4:$I$5000,'Raw Data'!$D$4:$D$5000,"*** Mnemonic not found ***",0)</f>
        <v>*** Mnemonic not found ***</v>
      </c>
      <c r="F1358" t="str">
        <f t="shared" si="350"/>
        <v>SUCMPROPORRSK_US_MEC_</v>
      </c>
      <c r="H1358" s="9" t="s">
        <v>1137</v>
      </c>
      <c r="K1358" s="9">
        <f>K1357+1</f>
        <v>457</v>
      </c>
      <c r="L1358" s="9" t="str">
        <f t="shared" ref="L1358:L1392" si="352">L1357</f>
        <v>F</v>
      </c>
      <c r="M1358" s="9" t="str">
        <f t="shared" si="346"/>
        <v>Input!F457</v>
      </c>
      <c r="N1358" s="9">
        <f>_xlfn.XLOOKUP(F1358,'Raw Data'!$I$4:$I$5000,'Raw Data'!$E$4:$E$5000,100,0)</f>
        <v>100</v>
      </c>
      <c r="O1358" s="9" t="str">
        <f>IF(N1358=0,_xlfn.XLOOKUP(F1358,'Raw Data'!$I$4:$I$5000,'Raw Data'!$H$4:$H$5000,"",0),"")</f>
        <v/>
      </c>
      <c r="P1358" s="9" t="str" cm="1">
        <f t="array" aca="1" ref="P1358" ca="1">IF(INDIRECT(M1358) = "","",INDIRECT(M1358))</f>
        <v/>
      </c>
      <c r="Q1358" s="359" t="s">
        <v>4381</v>
      </c>
    </row>
    <row r="1359" spans="1:17" x14ac:dyDescent="0.35">
      <c r="A1359" t="s">
        <v>2260</v>
      </c>
      <c r="B1359" t="s">
        <v>2286</v>
      </c>
      <c r="C1359" t="s">
        <v>401</v>
      </c>
      <c r="E1359" t="str">
        <f>_xlfn.XLOOKUP(F1359,'Raw Data'!$I$4:$I$5000,'Raw Data'!$D$4:$D$5000,"*** Mnemonic not found ***",0)</f>
        <v>*** Mnemonic not found ***</v>
      </c>
      <c r="F1359" t="str">
        <f t="shared" si="350"/>
        <v>SUCMPROPORRSK_US_MEO_</v>
      </c>
      <c r="H1359" s="9" t="s">
        <v>1137</v>
      </c>
      <c r="K1359" s="9">
        <f t="shared" ref="K1359:K1393" si="353">K1358+1</f>
        <v>458</v>
      </c>
      <c r="L1359" s="9" t="str">
        <f t="shared" si="352"/>
        <v>F</v>
      </c>
      <c r="M1359" s="9" t="str">
        <f t="shared" si="346"/>
        <v>Input!F458</v>
      </c>
      <c r="N1359" s="9">
        <f>_xlfn.XLOOKUP(F1359,'Raw Data'!$I$4:$I$5000,'Raw Data'!$E$4:$E$5000,100,0)</f>
        <v>100</v>
      </c>
      <c r="O1359" s="9" t="str">
        <f>IF(N1359=0,_xlfn.XLOOKUP(F1359,'Raw Data'!$I$4:$I$5000,'Raw Data'!$H$4:$H$5000,"",0),"")</f>
        <v/>
      </c>
      <c r="P1359" s="9" t="str" cm="1">
        <f t="array" aca="1" ref="P1359" ca="1">IF(INDIRECT(M1359) = "","",INDIRECT(M1359))</f>
        <v/>
      </c>
      <c r="Q1359" s="359" t="s">
        <v>4381</v>
      </c>
    </row>
    <row r="1360" spans="1:17" x14ac:dyDescent="0.35">
      <c r="A1360" t="s">
        <v>2260</v>
      </c>
      <c r="B1360" t="s">
        <v>2287</v>
      </c>
      <c r="C1360" t="s">
        <v>404</v>
      </c>
      <c r="E1360" t="str">
        <f>_xlfn.XLOOKUP(F1360,'Raw Data'!$I$4:$I$5000,'Raw Data'!$D$4:$D$5000,"*** Mnemonic not found ***",0)</f>
        <v>*** Mnemonic not found ***</v>
      </c>
      <c r="F1360" t="str">
        <f t="shared" si="350"/>
        <v>SUCMPROPORRSK_US_OLC_</v>
      </c>
      <c r="H1360" s="9" t="s">
        <v>1137</v>
      </c>
      <c r="K1360" s="9">
        <f t="shared" si="353"/>
        <v>459</v>
      </c>
      <c r="L1360" s="9" t="str">
        <f t="shared" si="352"/>
        <v>F</v>
      </c>
      <c r="M1360" s="9" t="str">
        <f t="shared" si="346"/>
        <v>Input!F459</v>
      </c>
      <c r="N1360" s="9">
        <f>_xlfn.XLOOKUP(F1360,'Raw Data'!$I$4:$I$5000,'Raw Data'!$E$4:$E$5000,100,0)</f>
        <v>100</v>
      </c>
      <c r="O1360" s="9" t="str">
        <f>IF(N1360=0,_xlfn.XLOOKUP(F1360,'Raw Data'!$I$4:$I$5000,'Raw Data'!$H$4:$H$5000,"",0),"")</f>
        <v/>
      </c>
      <c r="P1360" s="9" t="str" cm="1">
        <f t="array" aca="1" ref="P1360" ca="1">IF(INDIRECT(M1360) = "","",INDIRECT(M1360))</f>
        <v/>
      </c>
      <c r="Q1360" s="359" t="s">
        <v>4381</v>
      </c>
    </row>
    <row r="1361" spans="1:17" x14ac:dyDescent="0.35">
      <c r="A1361" t="s">
        <v>2260</v>
      </c>
      <c r="B1361" t="s">
        <v>2288</v>
      </c>
      <c r="C1361" t="s">
        <v>403</v>
      </c>
      <c r="E1361" t="str">
        <f>_xlfn.XLOOKUP(F1361,'Raw Data'!$I$4:$I$5000,'Raw Data'!$D$4:$D$5000,"*** Mnemonic not found ***",0)</f>
        <v>*** Mnemonic not found ***</v>
      </c>
      <c r="F1361" t="str">
        <f t="shared" si="350"/>
        <v>SUCMPROPORRSK_US_OLO_</v>
      </c>
      <c r="H1361" s="9" t="s">
        <v>1137</v>
      </c>
      <c r="K1361" s="9">
        <f t="shared" si="353"/>
        <v>460</v>
      </c>
      <c r="L1361" s="9" t="str">
        <f t="shared" si="352"/>
        <v>F</v>
      </c>
      <c r="M1361" s="9" t="str">
        <f t="shared" si="346"/>
        <v>Input!F460</v>
      </c>
      <c r="N1361" s="9">
        <f>_xlfn.XLOOKUP(F1361,'Raw Data'!$I$4:$I$5000,'Raw Data'!$E$4:$E$5000,100,0)</f>
        <v>100</v>
      </c>
      <c r="O1361" s="9" t="str">
        <f>IF(N1361=0,_xlfn.XLOOKUP(F1361,'Raw Data'!$I$4:$I$5000,'Raw Data'!$H$4:$H$5000,"",0),"")</f>
        <v/>
      </c>
      <c r="P1361" s="9" t="str" cm="1">
        <f t="array" aca="1" ref="P1361" ca="1">IF(INDIRECT(M1361) = "","",INDIRECT(M1361))</f>
        <v/>
      </c>
      <c r="Q1361" s="359" t="s">
        <v>4381</v>
      </c>
    </row>
    <row r="1362" spans="1:17" x14ac:dyDescent="0.35">
      <c r="A1362" t="s">
        <v>2260</v>
      </c>
      <c r="B1362" t="s">
        <v>2289</v>
      </c>
      <c r="C1362" t="s">
        <v>406</v>
      </c>
      <c r="E1362" t="str">
        <f>_xlfn.XLOOKUP(F1362,'Raw Data'!$I$4:$I$5000,'Raw Data'!$D$4:$D$5000,"*** Mnemonic not found ***",0)</f>
        <v>*** Mnemonic not found ***</v>
      </c>
      <c r="F1362" t="str">
        <f t="shared" si="350"/>
        <v>SUCMPROPORRSK_US_PLC_</v>
      </c>
      <c r="H1362" s="9" t="s">
        <v>1137</v>
      </c>
      <c r="K1362" s="9">
        <f t="shared" si="353"/>
        <v>461</v>
      </c>
      <c r="L1362" s="9" t="str">
        <f t="shared" si="352"/>
        <v>F</v>
      </c>
      <c r="M1362" s="9" t="str">
        <f t="shared" si="346"/>
        <v>Input!F461</v>
      </c>
      <c r="N1362" s="9">
        <f>_xlfn.XLOOKUP(F1362,'Raw Data'!$I$4:$I$5000,'Raw Data'!$E$4:$E$5000,100,0)</f>
        <v>100</v>
      </c>
      <c r="O1362" s="9" t="str">
        <f>IF(N1362=0,_xlfn.XLOOKUP(F1362,'Raw Data'!$I$4:$I$5000,'Raw Data'!$H$4:$H$5000,"",0),"")</f>
        <v/>
      </c>
      <c r="P1362" s="9" t="str" cm="1">
        <f t="array" aca="1" ref="P1362" ca="1">IF(INDIRECT(M1362) = "","",INDIRECT(M1362))</f>
        <v/>
      </c>
      <c r="Q1362" s="359" t="s">
        <v>4381</v>
      </c>
    </row>
    <row r="1363" spans="1:17" x14ac:dyDescent="0.35">
      <c r="A1363" t="s">
        <v>2260</v>
      </c>
      <c r="B1363" t="s">
        <v>2290</v>
      </c>
      <c r="C1363" t="s">
        <v>405</v>
      </c>
      <c r="E1363" t="str">
        <f>_xlfn.XLOOKUP(F1363,'Raw Data'!$I$4:$I$5000,'Raw Data'!$D$4:$D$5000,"*** Mnemonic not found ***",0)</f>
        <v>*** Mnemonic not found ***</v>
      </c>
      <c r="F1363" t="str">
        <f t="shared" si="350"/>
        <v>SUCMPROPORRSK_US_PLO_</v>
      </c>
      <c r="H1363" s="9" t="s">
        <v>1137</v>
      </c>
      <c r="K1363" s="9">
        <f t="shared" si="353"/>
        <v>462</v>
      </c>
      <c r="L1363" s="9" t="str">
        <f t="shared" si="352"/>
        <v>F</v>
      </c>
      <c r="M1363" s="9" t="str">
        <f t="shared" si="346"/>
        <v>Input!F462</v>
      </c>
      <c r="N1363" s="9">
        <f>_xlfn.XLOOKUP(F1363,'Raw Data'!$I$4:$I$5000,'Raw Data'!$E$4:$E$5000,100,0)</f>
        <v>100</v>
      </c>
      <c r="O1363" s="9" t="str">
        <f>IF(N1363=0,_xlfn.XLOOKUP(F1363,'Raw Data'!$I$4:$I$5000,'Raw Data'!$H$4:$H$5000,"",0),"")</f>
        <v/>
      </c>
      <c r="P1363" s="9" t="str" cm="1">
        <f t="array" aca="1" ref="P1363" ca="1">IF(INDIRECT(M1363) = "","",INDIRECT(M1363))</f>
        <v/>
      </c>
      <c r="Q1363" s="359" t="s">
        <v>4381</v>
      </c>
    </row>
    <row r="1364" spans="1:17" x14ac:dyDescent="0.35">
      <c r="A1364" t="s">
        <v>2260</v>
      </c>
      <c r="B1364" t="s">
        <v>2272</v>
      </c>
      <c r="C1364" t="s">
        <v>979</v>
      </c>
      <c r="E1364" t="str">
        <f>_xlfn.XLOOKUP(F1364,'Raw Data'!$I$4:$I$5000,'Raw Data'!$D$4:$D$5000,"*** Mnemonic not found ***",0)</f>
        <v>*** Mnemonic not found ***</v>
      </c>
      <c r="F1364" t="str">
        <f t="shared" si="350"/>
        <v>SUCMPROPORRSK_US_WCP_</v>
      </c>
      <c r="H1364" s="9" t="s">
        <v>1137</v>
      </c>
      <c r="K1364" s="9">
        <f t="shared" si="353"/>
        <v>463</v>
      </c>
      <c r="L1364" s="9" t="str">
        <f t="shared" si="352"/>
        <v>F</v>
      </c>
      <c r="M1364" s="9" t="str">
        <f t="shared" si="346"/>
        <v>Input!F463</v>
      </c>
      <c r="N1364" s="9">
        <f>_xlfn.XLOOKUP(F1364,'Raw Data'!$I$4:$I$5000,'Raw Data'!$E$4:$E$5000,100,0)</f>
        <v>100</v>
      </c>
      <c r="O1364" s="9" t="str">
        <f>IF(N1364=0,_xlfn.XLOOKUP(F1364,'Raw Data'!$I$4:$I$5000,'Raw Data'!$H$4:$H$5000,"",0),"")</f>
        <v/>
      </c>
      <c r="P1364" s="9" t="str" cm="1">
        <f t="array" aca="1" ref="P1364" ca="1">IF(INDIRECT(M1364) = "","",INDIRECT(M1364))</f>
        <v/>
      </c>
      <c r="Q1364" s="359" t="s">
        <v>4381</v>
      </c>
    </row>
    <row r="1365" spans="1:17" x14ac:dyDescent="0.35">
      <c r="A1365" t="s">
        <v>2260</v>
      </c>
      <c r="B1365" t="s">
        <v>2291</v>
      </c>
      <c r="C1365" t="s">
        <v>989</v>
      </c>
      <c r="E1365" t="str">
        <f>_xlfn.XLOOKUP(F1365,'Raw Data'!$I$4:$I$5000,'Raw Data'!$D$4:$D$5000,"*** Mnemonic not found ***",0)</f>
        <v>*** Mnemonic not found ***</v>
      </c>
      <c r="F1365" t="str">
        <f t="shared" si="350"/>
        <v>SUCMPROPORRSK_US_BLM_</v>
      </c>
      <c r="H1365" s="9" t="s">
        <v>1137</v>
      </c>
      <c r="K1365" s="9">
        <f t="shared" si="353"/>
        <v>464</v>
      </c>
      <c r="L1365" s="9" t="str">
        <f t="shared" si="352"/>
        <v>F</v>
      </c>
      <c r="M1365" s="9" t="str">
        <f t="shared" si="346"/>
        <v>Input!F464</v>
      </c>
      <c r="N1365" s="9">
        <f>_xlfn.XLOOKUP(F1365,'Raw Data'!$I$4:$I$5000,'Raw Data'!$E$4:$E$5000,100,0)</f>
        <v>100</v>
      </c>
      <c r="O1365" s="9" t="str">
        <f>IF(N1365=0,_xlfn.XLOOKUP(F1365,'Raw Data'!$I$4:$I$5000,'Raw Data'!$H$4:$H$5000,"",0),"")</f>
        <v/>
      </c>
      <c r="P1365" s="9" t="str" cm="1">
        <f t="array" aca="1" ref="P1365" ca="1">IF(INDIRECT(M1365) = "","",INDIRECT(M1365))</f>
        <v/>
      </c>
      <c r="Q1365" s="359" t="s">
        <v>4381</v>
      </c>
    </row>
    <row r="1366" spans="1:17" x14ac:dyDescent="0.35">
      <c r="A1366" t="s">
        <v>2260</v>
      </c>
      <c r="B1366" t="s">
        <v>2292</v>
      </c>
      <c r="C1366" t="s">
        <v>378</v>
      </c>
      <c r="E1366" t="str">
        <f>_xlfn.XLOOKUP(F1366,'Raw Data'!$I$4:$I$5000,'Raw Data'!$D$4:$D$5000,"*** Mnemonic not found ***",0)</f>
        <v>*** Mnemonic not found ***</v>
      </c>
      <c r="F1366" t="str">
        <f t="shared" si="350"/>
        <v>SUCMPROPORRSK_US_CMP_</v>
      </c>
      <c r="H1366" s="9" t="s">
        <v>1137</v>
      </c>
      <c r="K1366" s="9">
        <f t="shared" si="353"/>
        <v>465</v>
      </c>
      <c r="L1366" s="9" t="str">
        <f t="shared" si="352"/>
        <v>F</v>
      </c>
      <c r="M1366" s="9" t="str">
        <f t="shared" si="346"/>
        <v>Input!F465</v>
      </c>
      <c r="N1366" s="9">
        <f>_xlfn.XLOOKUP(F1366,'Raw Data'!$I$4:$I$5000,'Raw Data'!$E$4:$E$5000,100,0)</f>
        <v>100</v>
      </c>
      <c r="O1366" s="9" t="str">
        <f>IF(N1366=0,_xlfn.XLOOKUP(F1366,'Raw Data'!$I$4:$I$5000,'Raw Data'!$H$4:$H$5000,"",0),"")</f>
        <v/>
      </c>
      <c r="P1366" s="9" t="str" cm="1">
        <f t="array" aca="1" ref="P1366" ca="1">IF(INDIRECT(M1366) = "","",INDIRECT(M1366))</f>
        <v/>
      </c>
      <c r="Q1366" s="359" t="s">
        <v>4381</v>
      </c>
    </row>
    <row r="1367" spans="1:17" x14ac:dyDescent="0.35">
      <c r="A1367" t="s">
        <v>2260</v>
      </c>
      <c r="B1367" t="s">
        <v>2293</v>
      </c>
      <c r="C1367" t="s">
        <v>961</v>
      </c>
      <c r="E1367" t="str">
        <f>_xlfn.XLOOKUP(F1367,'Raw Data'!$I$4:$I$5000,'Raw Data'!$D$4:$D$5000,"*** Mnemonic not found ***",0)</f>
        <v>*** Mnemonic not found ***</v>
      </c>
      <c r="F1367" t="str">
        <f t="shared" si="350"/>
        <v>SUCMPROPORRSK_US_HFM_</v>
      </c>
      <c r="H1367" s="9" t="s">
        <v>1137</v>
      </c>
      <c r="K1367" s="9">
        <f t="shared" si="353"/>
        <v>466</v>
      </c>
      <c r="L1367" s="9" t="str">
        <f t="shared" si="352"/>
        <v>F</v>
      </c>
      <c r="M1367" s="9" t="str">
        <f t="shared" si="346"/>
        <v>Input!F466</v>
      </c>
      <c r="N1367" s="9">
        <f>_xlfn.XLOOKUP(F1367,'Raw Data'!$I$4:$I$5000,'Raw Data'!$E$4:$E$5000,100,0)</f>
        <v>100</v>
      </c>
      <c r="O1367" s="9" t="str">
        <f>IF(N1367=0,_xlfn.XLOOKUP(F1367,'Raw Data'!$I$4:$I$5000,'Raw Data'!$H$4:$H$5000,"",0),"")</f>
        <v/>
      </c>
      <c r="P1367" s="9" t="str" cm="1">
        <f t="array" aca="1" ref="P1367" ca="1">IF(INDIRECT(M1367) = "","",INDIRECT(M1367))</f>
        <v/>
      </c>
      <c r="Q1367" s="359" t="s">
        <v>4381</v>
      </c>
    </row>
    <row r="1368" spans="1:17" x14ac:dyDescent="0.35">
      <c r="A1368" t="s">
        <v>2260</v>
      </c>
      <c r="B1368" t="s">
        <v>2294</v>
      </c>
      <c r="C1368" t="s">
        <v>4143</v>
      </c>
      <c r="E1368" t="str">
        <f>_xlfn.XLOOKUP(F1368,'Raw Data'!$I$4:$I$5000,'Raw Data'!$D$4:$D$5000,"*** Mnemonic not found ***",0)</f>
        <v>*** Mnemonic not found ***</v>
      </c>
      <c r="F1368" t="str">
        <f t="shared" si="350"/>
        <v>SUCMPROPORRSK_US_SPP_</v>
      </c>
      <c r="H1368" s="9" t="s">
        <v>1137</v>
      </c>
      <c r="K1368" s="9">
        <f t="shared" si="353"/>
        <v>467</v>
      </c>
      <c r="L1368" s="9" t="str">
        <f t="shared" si="352"/>
        <v>F</v>
      </c>
      <c r="M1368" s="9" t="str">
        <f t="shared" si="346"/>
        <v>Input!F467</v>
      </c>
      <c r="N1368" s="9">
        <f>_xlfn.XLOOKUP(F1368,'Raw Data'!$I$4:$I$5000,'Raw Data'!$E$4:$E$5000,100,0)</f>
        <v>100</v>
      </c>
      <c r="O1368" s="9" t="str">
        <f>IF(N1368=0,_xlfn.XLOOKUP(F1368,'Raw Data'!$I$4:$I$5000,'Raw Data'!$H$4:$H$5000,"",0),"")</f>
        <v/>
      </c>
      <c r="P1368" s="9" t="str" cm="1">
        <f t="array" aca="1" ref="P1368" ca="1">IF(INDIRECT(M1368) = "","",INDIRECT(M1368))</f>
        <v/>
      </c>
      <c r="Q1368" s="359" t="s">
        <v>4381</v>
      </c>
    </row>
    <row r="1369" spans="1:17" x14ac:dyDescent="0.35">
      <c r="A1369" t="s">
        <v>2260</v>
      </c>
      <c r="B1369" t="s">
        <v>2295</v>
      </c>
      <c r="C1369" t="s">
        <v>990</v>
      </c>
      <c r="E1369" t="str">
        <f>_xlfn.XLOOKUP(F1369,'Raw Data'!$I$4:$I$5000,'Raw Data'!$D$4:$D$5000,"*** Mnemonic not found ***",0)</f>
        <v>*** Mnemonic not found ***</v>
      </c>
      <c r="F1369" t="str">
        <f t="shared" si="350"/>
        <v>SUCMPROPORRSK_US_APB_</v>
      </c>
      <c r="H1369" s="9" t="s">
        <v>1137</v>
      </c>
      <c r="K1369" s="9">
        <f t="shared" si="353"/>
        <v>468</v>
      </c>
      <c r="L1369" s="9" t="str">
        <f t="shared" si="352"/>
        <v>F</v>
      </c>
      <c r="M1369" s="9" t="str">
        <f t="shared" si="346"/>
        <v>Input!F468</v>
      </c>
      <c r="N1369" s="9">
        <f>_xlfn.XLOOKUP(F1369,'Raw Data'!$I$4:$I$5000,'Raw Data'!$E$4:$E$5000,100,0)</f>
        <v>100</v>
      </c>
      <c r="O1369" s="9" t="str">
        <f>IF(N1369=0,_xlfn.XLOOKUP(F1369,'Raw Data'!$I$4:$I$5000,'Raw Data'!$H$4:$H$5000,"",0),"")</f>
        <v/>
      </c>
      <c r="P1369" s="9" t="str" cm="1">
        <f t="array" aca="1" ref="P1369" ca="1">IF(INDIRECT(M1369) = "","",INDIRECT(M1369))</f>
        <v/>
      </c>
      <c r="Q1369" s="359" t="s">
        <v>4381</v>
      </c>
    </row>
    <row r="1370" spans="1:17" x14ac:dyDescent="0.35">
      <c r="A1370" t="s">
        <v>2260</v>
      </c>
      <c r="B1370" t="s">
        <v>2296</v>
      </c>
      <c r="C1370" t="s">
        <v>400</v>
      </c>
      <c r="E1370" t="str">
        <f>_xlfn.XLOOKUP(F1370,'Raw Data'!$I$4:$I$5000,'Raw Data'!$D$4:$D$5000,"*** Mnemonic not found ***",0)</f>
        <v>*** Mnemonic not found ***</v>
      </c>
      <c r="F1370" t="str">
        <f t="shared" si="350"/>
        <v>SUCMPROPORRSK_US_CAL_</v>
      </c>
      <c r="H1370" s="9" t="s">
        <v>1137</v>
      </c>
      <c r="K1370" s="9">
        <f t="shared" si="353"/>
        <v>469</v>
      </c>
      <c r="L1370" s="9" t="str">
        <f t="shared" si="352"/>
        <v>F</v>
      </c>
      <c r="M1370" s="9" t="str">
        <f t="shared" si="346"/>
        <v>Input!F469</v>
      </c>
      <c r="N1370" s="9">
        <f>_xlfn.XLOOKUP(F1370,'Raw Data'!$I$4:$I$5000,'Raw Data'!$E$4:$E$5000,100,0)</f>
        <v>100</v>
      </c>
      <c r="O1370" s="9" t="str">
        <f>IF(N1370=0,_xlfn.XLOOKUP(F1370,'Raw Data'!$I$4:$I$5000,'Raw Data'!$H$4:$H$5000,"",0),"")</f>
        <v/>
      </c>
      <c r="P1370" s="9" t="str" cm="1">
        <f t="array" aca="1" ref="P1370" ca="1">IF(INDIRECT(M1370) = "","",INDIRECT(M1370))</f>
        <v/>
      </c>
      <c r="Q1370" s="359" t="s">
        <v>4381</v>
      </c>
    </row>
    <row r="1371" spans="1:17" x14ac:dyDescent="0.35">
      <c r="A1371" t="s">
        <v>2260</v>
      </c>
      <c r="B1371" t="s">
        <v>2297</v>
      </c>
      <c r="C1371" t="s">
        <v>991</v>
      </c>
      <c r="E1371" t="str">
        <f>_xlfn.XLOOKUP(F1371,'Raw Data'!$I$4:$I$5000,'Raw Data'!$D$4:$D$5000,"*** Mnemonic not found ***",0)</f>
        <v>*** Mnemonic not found ***</v>
      </c>
      <c r="F1371" t="str">
        <f t="shared" si="350"/>
        <v>SUCMPROPORRSK_US_PPA_</v>
      </c>
      <c r="H1371" s="9" t="s">
        <v>1137</v>
      </c>
      <c r="K1371" s="9">
        <f t="shared" si="353"/>
        <v>470</v>
      </c>
      <c r="L1371" s="9" t="str">
        <f t="shared" si="352"/>
        <v>F</v>
      </c>
      <c r="M1371" s="9" t="str">
        <f t="shared" si="346"/>
        <v>Input!F470</v>
      </c>
      <c r="N1371" s="9">
        <f>_xlfn.XLOOKUP(F1371,'Raw Data'!$I$4:$I$5000,'Raw Data'!$E$4:$E$5000,100,0)</f>
        <v>100</v>
      </c>
      <c r="O1371" s="9" t="str">
        <f>IF(N1371=0,_xlfn.XLOOKUP(F1371,'Raw Data'!$I$4:$I$5000,'Raw Data'!$H$4:$H$5000,"",0),"")</f>
        <v/>
      </c>
      <c r="P1371" s="9" t="str" cm="1">
        <f t="array" aca="1" ref="P1371" ca="1">IF(INDIRECT(M1371) = "","",INDIRECT(M1371))</f>
        <v/>
      </c>
      <c r="Q1371" s="359" t="s">
        <v>4381</v>
      </c>
    </row>
    <row r="1372" spans="1:17" x14ac:dyDescent="0.35">
      <c r="A1372" t="s">
        <v>2260</v>
      </c>
      <c r="B1372" t="s">
        <v>2298</v>
      </c>
      <c r="C1372" t="s">
        <v>374</v>
      </c>
      <c r="E1372" t="str">
        <f>_xlfn.XLOOKUP(F1372,'Raw Data'!$I$4:$I$5000,'Raw Data'!$D$4:$D$5000,"*** Mnemonic not found ***",0)</f>
        <v>*** Mnemonic not found ***</v>
      </c>
      <c r="F1372" t="str">
        <f t="shared" si="350"/>
        <v>SUCMPROPORRSK_US_CRD_</v>
      </c>
      <c r="H1372" s="9" t="s">
        <v>1137</v>
      </c>
      <c r="K1372" s="9">
        <f t="shared" si="353"/>
        <v>471</v>
      </c>
      <c r="L1372" s="9" t="str">
        <f t="shared" si="352"/>
        <v>F</v>
      </c>
      <c r="M1372" s="9" t="str">
        <f t="shared" si="346"/>
        <v>Input!F471</v>
      </c>
      <c r="N1372" s="9">
        <f>_xlfn.XLOOKUP(F1372,'Raw Data'!$I$4:$I$5000,'Raw Data'!$E$4:$E$5000,100,0)</f>
        <v>100</v>
      </c>
      <c r="O1372" s="9" t="str">
        <f>IF(N1372=0,_xlfn.XLOOKUP(F1372,'Raw Data'!$I$4:$I$5000,'Raw Data'!$H$4:$H$5000,"",0),"")</f>
        <v/>
      </c>
      <c r="P1372" s="9" t="str" cm="1">
        <f t="array" aca="1" ref="P1372" ca="1">IF(INDIRECT(M1372) = "","",INDIRECT(M1372))</f>
        <v/>
      </c>
      <c r="Q1372" s="359" t="s">
        <v>4381</v>
      </c>
    </row>
    <row r="1373" spans="1:17" x14ac:dyDescent="0.35">
      <c r="A1373" t="s">
        <v>2260</v>
      </c>
      <c r="B1373" t="s">
        <v>2299</v>
      </c>
      <c r="C1373" t="s">
        <v>399</v>
      </c>
      <c r="E1373" t="str">
        <f>_xlfn.XLOOKUP(F1373,'Raw Data'!$I$4:$I$5000,'Raw Data'!$D$4:$D$5000,"*** Mnemonic not found ***",0)</f>
        <v>*** Mnemonic not found ***</v>
      </c>
      <c r="F1373" t="str">
        <f t="shared" si="350"/>
        <v>SUCMPROPORRSK_US_FIDSUR_</v>
      </c>
      <c r="H1373" s="9" t="s">
        <v>1137</v>
      </c>
      <c r="K1373" s="9">
        <f t="shared" si="353"/>
        <v>472</v>
      </c>
      <c r="L1373" s="9" t="str">
        <f t="shared" si="352"/>
        <v>F</v>
      </c>
      <c r="M1373" s="9" t="str">
        <f t="shared" si="346"/>
        <v>Input!F472</v>
      </c>
      <c r="N1373" s="9">
        <f>_xlfn.XLOOKUP(F1373,'Raw Data'!$I$4:$I$5000,'Raw Data'!$E$4:$E$5000,100,0)</f>
        <v>100</v>
      </c>
      <c r="O1373" s="9" t="str">
        <f>IF(N1373=0,_xlfn.XLOOKUP(F1373,'Raw Data'!$I$4:$I$5000,'Raw Data'!$H$4:$H$5000,"",0),"")</f>
        <v/>
      </c>
      <c r="P1373" s="9" t="str" cm="1">
        <f t="array" aca="1" ref="P1373" ca="1">IF(INDIRECT(M1373) = "","",INDIRECT(M1373))</f>
        <v/>
      </c>
      <c r="Q1373" s="359" t="s">
        <v>4381</v>
      </c>
    </row>
    <row r="1374" spans="1:17" x14ac:dyDescent="0.35">
      <c r="A1374" t="s">
        <v>2260</v>
      </c>
      <c r="B1374" t="s">
        <v>2300</v>
      </c>
      <c r="C1374" t="s">
        <v>992</v>
      </c>
      <c r="E1374" t="str">
        <f>_xlfn.XLOOKUP(F1374,'Raw Data'!$I$4:$I$5000,'Raw Data'!$D$4:$D$5000,"*** Mnemonic not found ***",0)</f>
        <v>*** Mnemonic not found ***</v>
      </c>
      <c r="F1374" t="str">
        <f t="shared" si="350"/>
        <v>SUCMPROPORRSK_US_FIG_</v>
      </c>
      <c r="H1374" s="9" t="s">
        <v>1137</v>
      </c>
      <c r="K1374" s="9">
        <f t="shared" si="353"/>
        <v>473</v>
      </c>
      <c r="L1374" s="9" t="str">
        <f t="shared" si="352"/>
        <v>F</v>
      </c>
      <c r="M1374" s="9" t="str">
        <f t="shared" si="346"/>
        <v>Input!F473</v>
      </c>
      <c r="N1374" s="9">
        <f>_xlfn.XLOOKUP(F1374,'Raw Data'!$I$4:$I$5000,'Raw Data'!$E$4:$E$5000,100,0)</f>
        <v>100</v>
      </c>
      <c r="O1374" s="9" t="str">
        <f>IF(N1374=0,_xlfn.XLOOKUP(F1374,'Raw Data'!$I$4:$I$5000,'Raw Data'!$H$4:$H$5000,"",0),"")</f>
        <v/>
      </c>
      <c r="P1374" s="9" t="str" cm="1">
        <f t="array" aca="1" ref="P1374" ca="1">IF(INDIRECT(M1374) = "","",INDIRECT(M1374))</f>
        <v/>
      </c>
      <c r="Q1374" s="359" t="s">
        <v>4381</v>
      </c>
    </row>
    <row r="1375" spans="1:17" x14ac:dyDescent="0.35">
      <c r="A1375" t="s">
        <v>2260</v>
      </c>
      <c r="B1375" t="s">
        <v>2302</v>
      </c>
      <c r="C1375" t="s">
        <v>993</v>
      </c>
      <c r="E1375" t="str">
        <f>_xlfn.XLOOKUP(F1375,'Raw Data'!$I$4:$I$5000,'Raw Data'!$D$4:$D$5000,"*** Mnemonic not found ***",0)</f>
        <v>*** Mnemonic not found ***</v>
      </c>
      <c r="F1375" t="str">
        <f t="shared" si="350"/>
        <v>SUCMPROPORRSK_US_STPR_</v>
      </c>
      <c r="H1375" s="9" t="s">
        <v>1137</v>
      </c>
      <c r="K1375" s="9">
        <f t="shared" si="353"/>
        <v>474</v>
      </c>
      <c r="L1375" s="9" t="str">
        <f t="shared" si="352"/>
        <v>F</v>
      </c>
      <c r="M1375" s="9" t="str">
        <f t="shared" si="346"/>
        <v>Input!F474</v>
      </c>
      <c r="N1375" s="9">
        <f>_xlfn.XLOOKUP(F1375,'Raw Data'!$I$4:$I$5000,'Raw Data'!$E$4:$E$5000,100,0)</f>
        <v>100</v>
      </c>
      <c r="O1375" s="9" t="str">
        <f>IF(N1375=0,_xlfn.XLOOKUP(F1375,'Raw Data'!$I$4:$I$5000,'Raw Data'!$H$4:$H$5000,"",0),"")</f>
        <v/>
      </c>
      <c r="P1375" s="9" t="str" cm="1">
        <f t="array" aca="1" ref="P1375" ca="1">IF(INDIRECT(M1375) = "","",INDIRECT(M1375))</f>
        <v/>
      </c>
      <c r="Q1375" s="359" t="s">
        <v>4381</v>
      </c>
    </row>
    <row r="1376" spans="1:17" x14ac:dyDescent="0.35">
      <c r="A1376" t="s">
        <v>2260</v>
      </c>
      <c r="B1376" t="s">
        <v>2303</v>
      </c>
      <c r="C1376" t="s">
        <v>994</v>
      </c>
      <c r="E1376" t="str">
        <f>_xlfn.XLOOKUP(F1376,'Raw Data'!$I$4:$I$5000,'Raw Data'!$D$4:$D$5000,"*** Mnemonic not found ***",0)</f>
        <v>*** Mnemonic not found ***</v>
      </c>
      <c r="F1376" t="str">
        <f t="shared" si="350"/>
        <v>SUCMPROPORRSK_US_AAH_</v>
      </c>
      <c r="H1376" s="9" t="s">
        <v>1137</v>
      </c>
      <c r="K1376" s="9">
        <f t="shared" si="353"/>
        <v>475</v>
      </c>
      <c r="L1376" s="9" t="str">
        <f t="shared" si="352"/>
        <v>F</v>
      </c>
      <c r="M1376" s="9" t="str">
        <f t="shared" si="346"/>
        <v>Input!F475</v>
      </c>
      <c r="N1376" s="9">
        <f>_xlfn.XLOOKUP(F1376,'Raw Data'!$I$4:$I$5000,'Raw Data'!$E$4:$E$5000,100,0)</f>
        <v>100</v>
      </c>
      <c r="O1376" s="9" t="str">
        <f>IF(N1376=0,_xlfn.XLOOKUP(F1376,'Raw Data'!$I$4:$I$5000,'Raw Data'!$H$4:$H$5000,"",0),"")</f>
        <v/>
      </c>
      <c r="P1376" s="9" t="str" cm="1">
        <f t="array" aca="1" ref="P1376" ca="1">IF(INDIRECT(M1376) = "","",INDIRECT(M1376))</f>
        <v/>
      </c>
      <c r="Q1376" s="359" t="s">
        <v>4381</v>
      </c>
    </row>
    <row r="1377" spans="1:17" x14ac:dyDescent="0.35">
      <c r="A1377" t="s">
        <v>2260</v>
      </c>
      <c r="B1377" t="s">
        <v>2304</v>
      </c>
      <c r="C1377" t="s">
        <v>1029</v>
      </c>
      <c r="E1377" t="str">
        <f>_xlfn.XLOOKUP(F1377,'Raw Data'!$I$4:$I$5000,'Raw Data'!$D$4:$D$5000,"*** Mnemonic not found ***",0)</f>
        <v>*** Mnemonic not found ***</v>
      </c>
      <c r="F1377" t="str">
        <f t="shared" si="350"/>
        <v>SUCMPROPORRSK_US_ADSADC_</v>
      </c>
      <c r="H1377" s="9" t="s">
        <v>1137</v>
      </c>
      <c r="K1377" s="9">
        <f t="shared" si="353"/>
        <v>476</v>
      </c>
      <c r="L1377" s="9" t="str">
        <f t="shared" si="352"/>
        <v>F</v>
      </c>
      <c r="M1377" s="9" t="str">
        <f t="shared" si="346"/>
        <v>Input!F476</v>
      </c>
      <c r="N1377" s="9">
        <f>_xlfn.XLOOKUP(F1377,'Raw Data'!$I$4:$I$5000,'Raw Data'!$E$4:$E$5000,100,0)</f>
        <v>100</v>
      </c>
      <c r="O1377" s="9" t="str">
        <f>IF(N1377=0,_xlfn.XLOOKUP(F1377,'Raw Data'!$I$4:$I$5000,'Raw Data'!$H$4:$H$5000,"",0),"")</f>
        <v/>
      </c>
      <c r="P1377" s="9" t="str" cm="1">
        <f t="array" aca="1" ref="P1377" ca="1">IF(INDIRECT(M1377) = "","",INDIRECT(M1377))</f>
        <v/>
      </c>
      <c r="Q1377" s="359" t="s">
        <v>4381</v>
      </c>
    </row>
    <row r="1378" spans="1:17" x14ac:dyDescent="0.35">
      <c r="A1378" t="s">
        <v>2260</v>
      </c>
      <c r="B1378" t="s">
        <v>2305</v>
      </c>
      <c r="C1378" t="s">
        <v>1025</v>
      </c>
      <c r="E1378" t="str">
        <f>_xlfn.XLOOKUP(F1378,'Raw Data'!$I$4:$I$5000,'Raw Data'!$D$4:$D$5000,"*** Mnemonic not found ***",0)</f>
        <v>*** Mnemonic not found ***</v>
      </c>
      <c r="F1378" t="str">
        <f t="shared" si="350"/>
        <v>SUCMPROPORRSK_US_FLRS_</v>
      </c>
      <c r="H1378" s="9" t="s">
        <v>1137</v>
      </c>
      <c r="K1378" s="9">
        <f t="shared" si="353"/>
        <v>477</v>
      </c>
      <c r="L1378" s="9" t="str">
        <f t="shared" si="352"/>
        <v>F</v>
      </c>
      <c r="M1378" s="9" t="str">
        <f t="shared" si="346"/>
        <v>Input!F477</v>
      </c>
      <c r="N1378" s="9">
        <f>_xlfn.XLOOKUP(F1378,'Raw Data'!$I$4:$I$5000,'Raw Data'!$E$4:$E$5000,100,0)</f>
        <v>100</v>
      </c>
      <c r="O1378" s="9" t="str">
        <f>IF(N1378=0,_xlfn.XLOOKUP(F1378,'Raw Data'!$I$4:$I$5000,'Raw Data'!$H$4:$H$5000,"",0),"")</f>
        <v/>
      </c>
      <c r="P1378" s="9" t="str" cm="1">
        <f t="array" aca="1" ref="P1378" ca="1">IF(INDIRECT(M1378) = "","",INDIRECT(M1378))</f>
        <v/>
      </c>
      <c r="Q1378" s="359" t="s">
        <v>4381</v>
      </c>
    </row>
    <row r="1379" spans="1:17" x14ac:dyDescent="0.35">
      <c r="A1379" t="s">
        <v>2260</v>
      </c>
      <c r="B1379" t="s">
        <v>2306</v>
      </c>
      <c r="C1379" t="s">
        <v>1026</v>
      </c>
      <c r="E1379" t="str">
        <f>_xlfn.XLOOKUP(F1379,'Raw Data'!$I$4:$I$5000,'Raw Data'!$D$4:$D$5000,"*** Mnemonic not found ***",0)</f>
        <v>*** Mnemonic not found ***</v>
      </c>
      <c r="F1379" t="str">
        <f t="shared" si="350"/>
        <v>SUCMPROPORRSK_US_DENVIS_</v>
      </c>
      <c r="H1379" s="9" t="s">
        <v>1137</v>
      </c>
      <c r="K1379" s="9">
        <f t="shared" si="353"/>
        <v>478</v>
      </c>
      <c r="L1379" s="9" t="str">
        <f t="shared" si="352"/>
        <v>F</v>
      </c>
      <c r="M1379" s="9" t="str">
        <f t="shared" si="346"/>
        <v>Input!F478</v>
      </c>
      <c r="N1379" s="9">
        <f>_xlfn.XLOOKUP(F1379,'Raw Data'!$I$4:$I$5000,'Raw Data'!$E$4:$E$5000,100,0)</f>
        <v>100</v>
      </c>
      <c r="O1379" s="9" t="str">
        <f>IF(N1379=0,_xlfn.XLOOKUP(F1379,'Raw Data'!$I$4:$I$5000,'Raw Data'!$H$4:$H$5000,"",0),"")</f>
        <v/>
      </c>
      <c r="P1379" s="9" t="str" cm="1">
        <f t="array" aca="1" ref="P1379" ca="1">IF(INDIRECT(M1379) = "","",INDIRECT(M1379))</f>
        <v/>
      </c>
      <c r="Q1379" s="359" t="s">
        <v>4381</v>
      </c>
    </row>
    <row r="1380" spans="1:17" x14ac:dyDescent="0.35">
      <c r="A1380" t="s">
        <v>2260</v>
      </c>
      <c r="B1380" t="s">
        <v>2307</v>
      </c>
      <c r="C1380" t="s">
        <v>995</v>
      </c>
      <c r="E1380" t="str">
        <f>_xlfn.XLOOKUP(F1380,'Raw Data'!$I$4:$I$5000,'Raw Data'!$D$4:$D$5000,"*** Mnemonic not found ***",0)</f>
        <v>*** Mnemonic not found ***</v>
      </c>
      <c r="F1380" t="str">
        <f t="shared" si="350"/>
        <v>SUCMPROPORRSK_US_FEP_</v>
      </c>
      <c r="H1380" s="9" t="s">
        <v>1137</v>
      </c>
      <c r="K1380" s="9">
        <f t="shared" si="353"/>
        <v>479</v>
      </c>
      <c r="L1380" s="9" t="str">
        <f t="shared" si="352"/>
        <v>F</v>
      </c>
      <c r="M1380" s="9" t="str">
        <f t="shared" si="346"/>
        <v>Input!F479</v>
      </c>
      <c r="N1380" s="9">
        <f>_xlfn.XLOOKUP(F1380,'Raw Data'!$I$4:$I$5000,'Raw Data'!$E$4:$E$5000,100,0)</f>
        <v>100</v>
      </c>
      <c r="O1380" s="9" t="str">
        <f>IF(N1380=0,_xlfn.XLOOKUP(F1380,'Raw Data'!$I$4:$I$5000,'Raw Data'!$H$4:$H$5000,"",0),"")</f>
        <v/>
      </c>
      <c r="P1380" s="9" t="str" cm="1">
        <f t="array" aca="1" ref="P1380" ca="1">IF(INDIRECT(M1380) = "","",INDIRECT(M1380))</f>
        <v/>
      </c>
      <c r="Q1380" s="359" t="s">
        <v>4381</v>
      </c>
    </row>
    <row r="1381" spans="1:17" x14ac:dyDescent="0.35">
      <c r="A1381" t="s">
        <v>2260</v>
      </c>
      <c r="B1381" t="s">
        <v>2308</v>
      </c>
      <c r="C1381" t="s">
        <v>4162</v>
      </c>
      <c r="E1381" t="str">
        <f>_xlfn.XLOOKUP(F1381,'Raw Data'!$I$4:$I$5000,'Raw Data'!$D$4:$D$5000,"*** Mnemonic not found ***",0)</f>
        <v>*** Mnemonic not found ***</v>
      </c>
      <c r="F1381" t="str">
        <f t="shared" si="350"/>
        <v>SUCMPROPORRSK_US_HMDO_</v>
      </c>
      <c r="H1381" s="9" t="s">
        <v>1137</v>
      </c>
      <c r="K1381" s="9">
        <f t="shared" si="353"/>
        <v>480</v>
      </c>
      <c r="L1381" s="9" t="str">
        <f t="shared" si="352"/>
        <v>F</v>
      </c>
      <c r="M1381" s="9" t="str">
        <f t="shared" si="346"/>
        <v>Input!F480</v>
      </c>
      <c r="N1381" s="9">
        <f>_xlfn.XLOOKUP(F1381,'Raw Data'!$I$4:$I$5000,'Raw Data'!$E$4:$E$5000,100,0)</f>
        <v>100</v>
      </c>
      <c r="O1381" s="9" t="str">
        <f>IF(N1381=0,_xlfn.XLOOKUP(F1381,'Raw Data'!$I$4:$I$5000,'Raw Data'!$H$4:$H$5000,"",0),"")</f>
        <v/>
      </c>
      <c r="P1381" s="9" t="str" cm="1">
        <f t="array" aca="1" ref="P1381" ca="1">IF(INDIRECT(M1381) = "","",INDIRECT(M1381))</f>
        <v/>
      </c>
      <c r="Q1381" s="359" t="s">
        <v>4381</v>
      </c>
    </row>
    <row r="1382" spans="1:17" x14ac:dyDescent="0.35">
      <c r="A1382" t="s">
        <v>2260</v>
      </c>
      <c r="B1382" t="s">
        <v>2309</v>
      </c>
      <c r="C1382" t="s">
        <v>3058</v>
      </c>
      <c r="E1382" t="str">
        <f>_xlfn.XLOOKUP(F1382,'Raw Data'!$I$4:$I$5000,'Raw Data'!$D$4:$D$5000,"*** Mnemonic not found ***",0)</f>
        <v>*** Mnemonic not found ***</v>
      </c>
      <c r="F1382" t="str">
        <f t="shared" si="350"/>
        <v>SUCMPROPORRSK_US_MDMID_</v>
      </c>
      <c r="H1382" s="9" t="s">
        <v>1137</v>
      </c>
      <c r="K1382" s="9">
        <f t="shared" si="353"/>
        <v>481</v>
      </c>
      <c r="L1382" s="9" t="str">
        <f t="shared" si="352"/>
        <v>F</v>
      </c>
      <c r="M1382" s="9" t="str">
        <f t="shared" si="346"/>
        <v>Input!F481</v>
      </c>
      <c r="N1382" s="9">
        <f>_xlfn.XLOOKUP(F1382,'Raw Data'!$I$4:$I$5000,'Raw Data'!$E$4:$E$5000,100,0)</f>
        <v>100</v>
      </c>
      <c r="O1382" s="9" t="str">
        <f>IF(N1382=0,_xlfn.XLOOKUP(F1382,'Raw Data'!$I$4:$I$5000,'Raw Data'!$H$4:$H$5000,"",0),"")</f>
        <v/>
      </c>
      <c r="P1382" s="9" t="str" cm="1">
        <f t="array" aca="1" ref="P1382" ca="1">IF(INDIRECT(M1382) = "","",INDIRECT(M1382))</f>
        <v/>
      </c>
      <c r="Q1382" s="359" t="s">
        <v>4381</v>
      </c>
    </row>
    <row r="1383" spans="1:17" x14ac:dyDescent="0.35">
      <c r="A1383" t="s">
        <v>2260</v>
      </c>
      <c r="B1383" t="s">
        <v>2310</v>
      </c>
      <c r="C1383" t="s">
        <v>3059</v>
      </c>
      <c r="E1383" t="str">
        <f>_xlfn.XLOOKUP(F1383,'Raw Data'!$I$4:$I$5000,'Raw Data'!$D$4:$D$5000,"*** Mnemonic not found ***",0)</f>
        <v>*** Mnemonic not found ***</v>
      </c>
      <c r="F1383" t="str">
        <f t="shared" si="350"/>
        <v>SUCMPROPORRSK_US_MEDDO_</v>
      </c>
      <c r="H1383" s="9" t="s">
        <v>1137</v>
      </c>
      <c r="K1383" s="9">
        <f t="shared" si="353"/>
        <v>482</v>
      </c>
      <c r="L1383" s="9" t="str">
        <f t="shared" si="352"/>
        <v>F</v>
      </c>
      <c r="M1383" s="9" t="str">
        <f t="shared" si="346"/>
        <v>Input!F482</v>
      </c>
      <c r="N1383" s="9">
        <f>_xlfn.XLOOKUP(F1383,'Raw Data'!$I$4:$I$5000,'Raw Data'!$E$4:$E$5000,100,0)</f>
        <v>100</v>
      </c>
      <c r="O1383" s="9" t="str">
        <f>IF(N1383=0,_xlfn.XLOOKUP(F1383,'Raw Data'!$I$4:$I$5000,'Raw Data'!$H$4:$H$5000,"",0),"")</f>
        <v/>
      </c>
      <c r="P1383" s="9" t="str" cm="1">
        <f t="array" aca="1" ref="P1383" ca="1">IF(INDIRECT(M1383) = "","",INDIRECT(M1383))</f>
        <v/>
      </c>
      <c r="Q1383" s="359" t="s">
        <v>4381</v>
      </c>
    </row>
    <row r="1384" spans="1:17" x14ac:dyDescent="0.35">
      <c r="A1384" t="s">
        <v>2260</v>
      </c>
      <c r="B1384" t="s">
        <v>2311</v>
      </c>
      <c r="C1384" t="s">
        <v>3060</v>
      </c>
      <c r="E1384" t="str">
        <f>_xlfn.XLOOKUP(F1384,'Raw Data'!$I$4:$I$5000,'Raw Data'!$D$4:$D$5000,"*** Mnemonic not found ***",0)</f>
        <v>*** Mnemonic not found ***</v>
      </c>
      <c r="F1384" t="str">
        <f t="shared" si="350"/>
        <v>SUCMPROPORRSK_US_MEDDRO_</v>
      </c>
      <c r="H1384" s="9" t="s">
        <v>1137</v>
      </c>
      <c r="K1384" s="9">
        <f t="shared" si="353"/>
        <v>483</v>
      </c>
      <c r="L1384" s="9" t="str">
        <f t="shared" si="352"/>
        <v>F</v>
      </c>
      <c r="M1384" s="9" t="str">
        <f t="shared" si="346"/>
        <v>Input!F483</v>
      </c>
      <c r="N1384" s="9">
        <f>_xlfn.XLOOKUP(F1384,'Raw Data'!$I$4:$I$5000,'Raw Data'!$E$4:$E$5000,100,0)</f>
        <v>100</v>
      </c>
      <c r="O1384" s="9" t="str">
        <f>IF(N1384=0,_xlfn.XLOOKUP(F1384,'Raw Data'!$I$4:$I$5000,'Raw Data'!$H$4:$H$5000,"",0),"")</f>
        <v/>
      </c>
      <c r="P1384" s="9" t="str" cm="1">
        <f t="array" aca="1" ref="P1384" ca="1">IF(INDIRECT(M1384) = "","",INDIRECT(M1384))</f>
        <v/>
      </c>
      <c r="Q1384" s="359" t="s">
        <v>4381</v>
      </c>
    </row>
    <row r="1385" spans="1:17" x14ac:dyDescent="0.35">
      <c r="A1385" t="s">
        <v>2260</v>
      </c>
      <c r="B1385" t="s">
        <v>2312</v>
      </c>
      <c r="C1385" t="s">
        <v>3061</v>
      </c>
      <c r="E1385" t="str">
        <f>_xlfn.XLOOKUP(F1385,'Raw Data'!$I$4:$I$5000,'Raw Data'!$D$4:$D$5000,"*** Mnemonic not found ***",0)</f>
        <v>*** Mnemonic not found ***</v>
      </c>
      <c r="F1385" t="str">
        <f t="shared" si="350"/>
        <v>SUCMPROPORRSK_US_MEDDRR_</v>
      </c>
      <c r="H1385" s="9" t="s">
        <v>1137</v>
      </c>
      <c r="K1385" s="9">
        <f t="shared" si="353"/>
        <v>484</v>
      </c>
      <c r="L1385" s="9" t="str">
        <f t="shared" si="352"/>
        <v>F</v>
      </c>
      <c r="M1385" s="9" t="str">
        <f t="shared" si="346"/>
        <v>Input!F484</v>
      </c>
      <c r="N1385" s="9">
        <f>_xlfn.XLOOKUP(F1385,'Raw Data'!$I$4:$I$5000,'Raw Data'!$E$4:$E$5000,100,0)</f>
        <v>100</v>
      </c>
      <c r="O1385" s="9" t="str">
        <f>IF(N1385=0,_xlfn.XLOOKUP(F1385,'Raw Data'!$I$4:$I$5000,'Raw Data'!$H$4:$H$5000,"",0),"")</f>
        <v/>
      </c>
      <c r="P1385" s="9" t="str" cm="1">
        <f t="array" aca="1" ref="P1385" ca="1">IF(INDIRECT(M1385) = "","",INDIRECT(M1385))</f>
        <v/>
      </c>
      <c r="Q1385" s="359" t="s">
        <v>4381</v>
      </c>
    </row>
    <row r="1386" spans="1:17" x14ac:dyDescent="0.35">
      <c r="A1386" t="s">
        <v>2260</v>
      </c>
      <c r="B1386" t="s">
        <v>2313</v>
      </c>
      <c r="C1386" t="s">
        <v>962</v>
      </c>
      <c r="E1386" t="str">
        <f>_xlfn.XLOOKUP(F1386,'Raw Data'!$I$4:$I$5000,'Raw Data'!$D$4:$D$5000,"*** Mnemonic not found ***",0)</f>
        <v>*** Mnemonic not found ***</v>
      </c>
      <c r="F1386" t="str">
        <f t="shared" si="350"/>
        <v>SUCMPROPORRSK_US_MDS_</v>
      </c>
      <c r="H1386" s="9" t="s">
        <v>1137</v>
      </c>
      <c r="K1386" s="9">
        <f t="shared" si="353"/>
        <v>485</v>
      </c>
      <c r="L1386" s="9" t="str">
        <f t="shared" si="352"/>
        <v>F</v>
      </c>
      <c r="M1386" s="9" t="str">
        <f t="shared" si="346"/>
        <v>Input!F485</v>
      </c>
      <c r="N1386" s="9">
        <f>_xlfn.XLOOKUP(F1386,'Raw Data'!$I$4:$I$5000,'Raw Data'!$E$4:$E$5000,100,0)</f>
        <v>100</v>
      </c>
      <c r="O1386" s="9" t="str">
        <f>IF(N1386=0,_xlfn.XLOOKUP(F1386,'Raw Data'!$I$4:$I$5000,'Raw Data'!$H$4:$H$5000,"",0),"")</f>
        <v/>
      </c>
      <c r="P1386" s="9" t="str" cm="1">
        <f t="array" aca="1" ref="P1386" ca="1">IF(INDIRECT(M1386) = "","",INDIRECT(M1386))</f>
        <v/>
      </c>
      <c r="Q1386" s="359" t="s">
        <v>4381</v>
      </c>
    </row>
    <row r="1387" spans="1:17" x14ac:dyDescent="0.35">
      <c r="A1387" t="s">
        <v>2260</v>
      </c>
      <c r="B1387" t="s">
        <v>2314</v>
      </c>
      <c r="C1387" t="s">
        <v>4105</v>
      </c>
      <c r="E1387" t="str">
        <f>_xlfn.XLOOKUP(F1387,'Raw Data'!$I$4:$I$5000,'Raw Data'!$D$4:$D$5000,"*** Mnemonic not found ***",0)</f>
        <v>*** Mnemonic not found ***</v>
      </c>
      <c r="F1387" t="str">
        <f t="shared" si="350"/>
        <v>SUCMPROPORRSK_US_OLBF_</v>
      </c>
      <c r="H1387" s="9" t="s">
        <v>1137</v>
      </c>
      <c r="K1387" s="9">
        <f t="shared" si="353"/>
        <v>486</v>
      </c>
      <c r="L1387" s="9" t="str">
        <f t="shared" si="352"/>
        <v>F</v>
      </c>
      <c r="M1387" s="9" t="str">
        <f t="shared" si="346"/>
        <v>Input!F486</v>
      </c>
      <c r="N1387" s="9">
        <f>_xlfn.XLOOKUP(F1387,'Raw Data'!$I$4:$I$5000,'Raw Data'!$E$4:$E$5000,100,0)</f>
        <v>100</v>
      </c>
      <c r="O1387" s="9" t="str">
        <f>IF(N1387=0,_xlfn.XLOOKUP(F1387,'Raw Data'!$I$4:$I$5000,'Raw Data'!$H$4:$H$5000,"",0),"")</f>
        <v/>
      </c>
      <c r="P1387" s="9" t="str" cm="1">
        <f t="array" aca="1" ref="P1387" ca="1">IF(INDIRECT(M1387) = "","",INDIRECT(M1387))</f>
        <v/>
      </c>
      <c r="Q1387" s="359" t="s">
        <v>4381</v>
      </c>
    </row>
    <row r="1388" spans="1:17" x14ac:dyDescent="0.35">
      <c r="A1388" t="s">
        <v>2260</v>
      </c>
      <c r="B1388" t="s">
        <v>2315</v>
      </c>
      <c r="C1388" t="s">
        <v>377</v>
      </c>
      <c r="E1388" t="str">
        <f>_xlfn.XLOOKUP(F1388,'Raw Data'!$I$4:$I$5000,'Raw Data'!$D$4:$D$5000,"*** Mnemonic not found ***",0)</f>
        <v>*** Mnemonic not found ***</v>
      </c>
      <c r="F1388" t="str">
        <f t="shared" si="350"/>
        <v>SUCMPROPORRSK_US_AIR_</v>
      </c>
      <c r="H1388" s="9" t="s">
        <v>1137</v>
      </c>
      <c r="K1388" s="9">
        <f t="shared" si="353"/>
        <v>487</v>
      </c>
      <c r="L1388" s="9" t="str">
        <f t="shared" si="352"/>
        <v>F</v>
      </c>
      <c r="M1388" s="9" t="str">
        <f t="shared" si="346"/>
        <v>Input!F487</v>
      </c>
      <c r="N1388" s="9">
        <f>_xlfn.XLOOKUP(F1388,'Raw Data'!$I$4:$I$5000,'Raw Data'!$E$4:$E$5000,100,0)</f>
        <v>100</v>
      </c>
      <c r="O1388" s="9" t="str">
        <f>IF(N1388=0,_xlfn.XLOOKUP(F1388,'Raw Data'!$I$4:$I$5000,'Raw Data'!$H$4:$H$5000,"",0),"")</f>
        <v/>
      </c>
      <c r="P1388" s="9" t="str" cm="1">
        <f t="array" aca="1" ref="P1388" ca="1">IF(INDIRECT(M1388) = "","",INDIRECT(M1388))</f>
        <v/>
      </c>
      <c r="Q1388" s="359" t="s">
        <v>4381</v>
      </c>
    </row>
    <row r="1389" spans="1:17" x14ac:dyDescent="0.35">
      <c r="A1389" s="694" t="s">
        <v>2260</v>
      </c>
      <c r="B1389" s="694" t="s">
        <v>4308</v>
      </c>
      <c r="C1389" s="694" t="s">
        <v>4130</v>
      </c>
      <c r="E1389" t="str">
        <f>_xlfn.XLOOKUP(F1389,'Raw Data'!$I$4:$I$5000,'Raw Data'!$D$4:$D$5000,"*** Mnemonic not found ***",0)</f>
        <v>*** Mnemonic not found ***</v>
      </c>
      <c r="F1389" t="str">
        <f t="shared" si="350"/>
        <v>SUCMPROPORRSK_US_MPIN_</v>
      </c>
      <c r="H1389" s="9" t="s">
        <v>1137</v>
      </c>
      <c r="K1389" s="9">
        <f t="shared" si="353"/>
        <v>488</v>
      </c>
      <c r="L1389" s="9" t="str">
        <f t="shared" si="352"/>
        <v>F</v>
      </c>
      <c r="M1389" s="9" t="str">
        <f t="shared" ref="M1389" si="354">CONCATENATE(H1389,"!",L1389,K1389)</f>
        <v>Input!F488</v>
      </c>
      <c r="N1389" s="9">
        <f>_xlfn.XLOOKUP(F1389,'Raw Data'!$I$4:$I$5000,'Raw Data'!$E$4:$E$5000,100,0)</f>
        <v>100</v>
      </c>
      <c r="O1389" s="9" t="str">
        <f>IF(N1389=0,_xlfn.XLOOKUP(F1389,'Raw Data'!$I$4:$I$5000,'Raw Data'!$H$4:$H$5000,"",0),"")</f>
        <v/>
      </c>
      <c r="P1389" s="9" t="str" cm="1">
        <f t="array" aca="1" ref="P1389" ca="1">IF(INDIRECT(M1389) = "","",INDIRECT(M1389))</f>
        <v/>
      </c>
      <c r="Q1389" s="359" t="s">
        <v>4381</v>
      </c>
    </row>
    <row r="1390" spans="1:17" x14ac:dyDescent="0.35">
      <c r="A1390" t="s">
        <v>2260</v>
      </c>
      <c r="B1390" t="s">
        <v>2316</v>
      </c>
      <c r="C1390" t="s">
        <v>996</v>
      </c>
      <c r="E1390" t="str">
        <f>_xlfn.XLOOKUP(F1390,'Raw Data'!$I$4:$I$5000,'Raw Data'!$D$4:$D$5000,"*** Mnemonic not found ***",0)</f>
        <v>*** Mnemonic not found ***</v>
      </c>
      <c r="F1390" t="str">
        <f t="shared" si="350"/>
        <v>SUCMPROPORRSK_US_OCM_</v>
      </c>
      <c r="H1390" s="9" t="s">
        <v>1137</v>
      </c>
      <c r="K1390" s="9">
        <f t="shared" si="353"/>
        <v>489</v>
      </c>
      <c r="L1390" s="9" t="str">
        <f t="shared" si="352"/>
        <v>F</v>
      </c>
      <c r="M1390" s="9" t="str">
        <f t="shared" ref="M1390" si="355">CONCATENATE(H1390,"!",L1390,K1390)</f>
        <v>Input!F489</v>
      </c>
      <c r="N1390" s="9">
        <f>_xlfn.XLOOKUP(F1390,'Raw Data'!$I$4:$I$5000,'Raw Data'!$E$4:$E$5000,100,0)</f>
        <v>100</v>
      </c>
      <c r="O1390" s="9" t="str">
        <f>IF(N1390=0,_xlfn.XLOOKUP(F1390,'Raw Data'!$I$4:$I$5000,'Raw Data'!$H$4:$H$5000,"",0),"")</f>
        <v/>
      </c>
      <c r="P1390" s="9" t="str" cm="1">
        <f t="array" aca="1" ref="P1390" ca="1">IF(INDIRECT(M1390) = "","",INDIRECT(M1390))</f>
        <v/>
      </c>
      <c r="Q1390" s="359" t="s">
        <v>4381</v>
      </c>
    </row>
    <row r="1391" spans="1:17" x14ac:dyDescent="0.35">
      <c r="A1391" t="s">
        <v>2260</v>
      </c>
      <c r="B1391" t="s">
        <v>2301</v>
      </c>
      <c r="C1391" t="s">
        <v>385</v>
      </c>
      <c r="E1391" t="str">
        <f>_xlfn.XLOOKUP(F1391,'Raw Data'!$I$4:$I$5000,'Raw Data'!$D$4:$D$5000,"*** Mnemonic not found ***",0)</f>
        <v>*** Mnemonic not found ***</v>
      </c>
      <c r="F1391" t="str">
        <f t="shared" si="350"/>
        <v>SUCMPROPORRSK_US_TITLE_</v>
      </c>
      <c r="H1391" s="9" t="s">
        <v>1137</v>
      </c>
      <c r="K1391" s="9">
        <f>K1390+1</f>
        <v>490</v>
      </c>
      <c r="L1391" s="9" t="str">
        <f>L1390</f>
        <v>F</v>
      </c>
      <c r="M1391" s="9" t="str">
        <f t="shared" si="346"/>
        <v>Input!F490</v>
      </c>
      <c r="N1391" s="9">
        <f>_xlfn.XLOOKUP(F1391,'Raw Data'!$I$4:$I$5000,'Raw Data'!$E$4:$E$5000,100,0)</f>
        <v>100</v>
      </c>
      <c r="O1391" s="9" t="str">
        <f>IF(N1391=0,_xlfn.XLOOKUP(F1391,'Raw Data'!$I$4:$I$5000,'Raw Data'!$H$4:$H$5000,"",0),"")</f>
        <v/>
      </c>
      <c r="P1391" s="9" t="str" cm="1">
        <f t="array" aca="1" ref="P1391" ca="1">IF(INDIRECT(M1391) = "","",INDIRECT(M1391))</f>
        <v/>
      </c>
      <c r="Q1391" s="359" t="s">
        <v>4381</v>
      </c>
    </row>
    <row r="1392" spans="1:17" x14ac:dyDescent="0.35">
      <c r="A1392" t="s">
        <v>2260</v>
      </c>
      <c r="B1392" t="s">
        <v>2317</v>
      </c>
      <c r="C1392" t="s">
        <v>380</v>
      </c>
      <c r="E1392" t="str">
        <f>_xlfn.XLOOKUP(F1392,'Raw Data'!$I$4:$I$5000,'Raw Data'!$D$4:$D$5000,"*** Mnemonic not found ***",0)</f>
        <v>*** Mnemonic not found ***</v>
      </c>
      <c r="F1392" t="str">
        <f t="shared" si="350"/>
        <v>SUCMPROPORRSK_US_WAR_</v>
      </c>
      <c r="H1392" s="9" t="s">
        <v>1137</v>
      </c>
      <c r="K1392" s="9">
        <f t="shared" si="353"/>
        <v>491</v>
      </c>
      <c r="L1392" s="9" t="str">
        <f t="shared" si="352"/>
        <v>F</v>
      </c>
      <c r="M1392" s="9" t="str">
        <f t="shared" si="346"/>
        <v>Input!F491</v>
      </c>
      <c r="N1392" s="9">
        <f>_xlfn.XLOOKUP(F1392,'Raw Data'!$I$4:$I$5000,'Raw Data'!$E$4:$E$5000,100,0)</f>
        <v>100</v>
      </c>
      <c r="O1392" s="9" t="str">
        <f>IF(N1392=0,_xlfn.XLOOKUP(F1392,'Raw Data'!$I$4:$I$5000,'Raw Data'!$H$4:$H$5000,"",0),"")</f>
        <v/>
      </c>
      <c r="P1392" s="9" t="str" cm="1">
        <f t="array" aca="1" ref="P1392" ca="1">IF(INDIRECT(M1392) = "","",INDIRECT(M1392))</f>
        <v/>
      </c>
      <c r="Q1392" s="359" t="s">
        <v>4381</v>
      </c>
    </row>
    <row r="1393" spans="1:17" x14ac:dyDescent="0.35">
      <c r="A1393" t="s">
        <v>2260</v>
      </c>
      <c r="B1393" s="217" t="s">
        <v>2283</v>
      </c>
      <c r="C1393" s="217" t="s">
        <v>262</v>
      </c>
      <c r="E1393" t="str">
        <f>_xlfn.XLOOKUP(F1393,'Raw Data'!$I$4:$I$5000,'Raw Data'!$D$4:$D$5000,"*** Mnemonic not found ***",0)</f>
        <v>*** Mnemonic not found ***</v>
      </c>
      <c r="F1393" t="str">
        <f t="shared" si="350"/>
        <v>SUCMPROPORRSK_US_OCAH_</v>
      </c>
      <c r="H1393" s="9" t="s">
        <v>1137</v>
      </c>
      <c r="K1393" s="9">
        <f t="shared" si="353"/>
        <v>492</v>
      </c>
      <c r="L1393" s="9" t="str">
        <f>L1392</f>
        <v>F</v>
      </c>
      <c r="M1393" s="9" t="str">
        <f t="shared" si="346"/>
        <v>Input!F492</v>
      </c>
      <c r="N1393" s="9">
        <f>_xlfn.XLOOKUP(F1393,'Raw Data'!$I$4:$I$5000,'Raw Data'!$E$4:$E$5000,100,0)</f>
        <v>100</v>
      </c>
      <c r="O1393" s="9" t="str">
        <f>IF(N1393=0,_xlfn.XLOOKUP(F1393,'Raw Data'!$I$4:$I$5000,'Raw Data'!$H$4:$H$5000,"",0),"")</f>
        <v/>
      </c>
      <c r="P1393" s="9" t="str" cm="1">
        <f t="array" aca="1" ref="P1393" ca="1">IF(INDIRECT(M1393) = "","",INDIRECT(M1393))</f>
        <v/>
      </c>
      <c r="Q1393" s="359" t="s">
        <v>4381</v>
      </c>
    </row>
    <row r="1394" spans="1:17" x14ac:dyDescent="0.35">
      <c r="A1394" t="s">
        <v>2261</v>
      </c>
      <c r="B1394" t="s">
        <v>2284</v>
      </c>
      <c r="C1394" t="s">
        <v>379</v>
      </c>
      <c r="E1394" t="str">
        <f>_xlfn.XLOOKUP(F1394,'Raw Data'!$I$4:$I$5000,'Raw Data'!$D$4:$D$5000,"*** Mnemonic not found ***",0)</f>
        <v>*** Mnemonic not found ***</v>
      </c>
      <c r="F1394" t="str">
        <f t="shared" si="350"/>
        <v>SUCMNONPROPORRSK_US_EWCP_</v>
      </c>
      <c r="H1394" s="9" t="s">
        <v>1137</v>
      </c>
      <c r="I1394" s="289">
        <f>ROW(section_non_life_prem)</f>
        <v>437</v>
      </c>
      <c r="J1394" s="9">
        <f>J1357</f>
        <v>19</v>
      </c>
      <c r="K1394" s="9">
        <f>I1394+J1394</f>
        <v>456</v>
      </c>
      <c r="L1394" s="9" t="s">
        <v>1145</v>
      </c>
      <c r="M1394" s="9" t="str">
        <f t="shared" si="346"/>
        <v>Input!G456</v>
      </c>
      <c r="N1394" s="9">
        <f>_xlfn.XLOOKUP(F1394,'Raw Data'!$I$4:$I$5000,'Raw Data'!$E$4:$E$5000,100,0)</f>
        <v>100</v>
      </c>
      <c r="O1394" s="9" t="str">
        <f>IF(N1394=0,_xlfn.XLOOKUP(F1394,'Raw Data'!$I$4:$I$5000,'Raw Data'!$H$4:$H$5000,"",0),"")</f>
        <v/>
      </c>
      <c r="P1394" s="9" t="str" cm="1">
        <f t="array" aca="1" ref="P1394" ca="1">IF(INDIRECT(M1394) = "","",INDIRECT(M1394))</f>
        <v/>
      </c>
      <c r="Q1394" s="359" t="s">
        <v>4381</v>
      </c>
    </row>
    <row r="1395" spans="1:17" x14ac:dyDescent="0.35">
      <c r="A1395" t="s">
        <v>2261</v>
      </c>
      <c r="B1395" t="s">
        <v>2285</v>
      </c>
      <c r="C1395" t="s">
        <v>402</v>
      </c>
      <c r="E1395" t="str">
        <f>_xlfn.XLOOKUP(F1395,'Raw Data'!$I$4:$I$5000,'Raw Data'!$D$4:$D$5000,"*** Mnemonic not found ***",0)</f>
        <v>*** Mnemonic not found ***</v>
      </c>
      <c r="F1395" t="str">
        <f t="shared" si="350"/>
        <v>SUCMNONPROPORRSK_US_MEC_</v>
      </c>
      <c r="H1395" s="9" t="s">
        <v>1137</v>
      </c>
      <c r="K1395" s="9">
        <f>K1394+1</f>
        <v>457</v>
      </c>
      <c r="L1395" s="9" t="str">
        <f>L1394</f>
        <v>G</v>
      </c>
      <c r="M1395" s="9" t="str">
        <f t="shared" si="346"/>
        <v>Input!G457</v>
      </c>
      <c r="N1395" s="9">
        <f>_xlfn.XLOOKUP(F1395,'Raw Data'!$I$4:$I$5000,'Raw Data'!$E$4:$E$5000,100,0)</f>
        <v>100</v>
      </c>
      <c r="O1395" s="9" t="str">
        <f>IF(N1395=0,_xlfn.XLOOKUP(F1395,'Raw Data'!$I$4:$I$5000,'Raw Data'!$H$4:$H$5000,"",0),"")</f>
        <v/>
      </c>
      <c r="P1395" s="9" t="str" cm="1">
        <f t="array" aca="1" ref="P1395" ca="1">IF(INDIRECT(M1395) = "","",INDIRECT(M1395))</f>
        <v/>
      </c>
      <c r="Q1395" s="359" t="s">
        <v>4381</v>
      </c>
    </row>
    <row r="1396" spans="1:17" x14ac:dyDescent="0.35">
      <c r="A1396" t="s">
        <v>2261</v>
      </c>
      <c r="B1396" t="s">
        <v>2286</v>
      </c>
      <c r="C1396" t="s">
        <v>401</v>
      </c>
      <c r="E1396" t="str">
        <f>_xlfn.XLOOKUP(F1396,'Raw Data'!$I$4:$I$5000,'Raw Data'!$D$4:$D$5000,"*** Mnemonic not found ***",0)</f>
        <v>*** Mnemonic not found ***</v>
      </c>
      <c r="F1396" t="str">
        <f t="shared" si="350"/>
        <v>SUCMNONPROPORRSK_US_MEO_</v>
      </c>
      <c r="H1396" s="9" t="s">
        <v>1137</v>
      </c>
      <c r="K1396" s="9">
        <f t="shared" ref="K1396:K1430" si="356">K1395+1</f>
        <v>458</v>
      </c>
      <c r="L1396" s="9" t="str">
        <f t="shared" ref="L1396:L1430" si="357">L1395</f>
        <v>G</v>
      </c>
      <c r="M1396" s="9" t="str">
        <f t="shared" si="346"/>
        <v>Input!G458</v>
      </c>
      <c r="N1396" s="9">
        <f>_xlfn.XLOOKUP(F1396,'Raw Data'!$I$4:$I$5000,'Raw Data'!$E$4:$E$5000,100,0)</f>
        <v>100</v>
      </c>
      <c r="O1396" s="9" t="str">
        <f>IF(N1396=0,_xlfn.XLOOKUP(F1396,'Raw Data'!$I$4:$I$5000,'Raw Data'!$H$4:$H$5000,"",0),"")</f>
        <v/>
      </c>
      <c r="P1396" s="9" t="str" cm="1">
        <f t="array" aca="1" ref="P1396" ca="1">IF(INDIRECT(M1396) = "","",INDIRECT(M1396))</f>
        <v/>
      </c>
      <c r="Q1396" s="359" t="s">
        <v>4381</v>
      </c>
    </row>
    <row r="1397" spans="1:17" x14ac:dyDescent="0.35">
      <c r="A1397" t="s">
        <v>2261</v>
      </c>
      <c r="B1397" t="s">
        <v>2287</v>
      </c>
      <c r="C1397" t="s">
        <v>404</v>
      </c>
      <c r="E1397" t="str">
        <f>_xlfn.XLOOKUP(F1397,'Raw Data'!$I$4:$I$5000,'Raw Data'!$D$4:$D$5000,"*** Mnemonic not found ***",0)</f>
        <v>*** Mnemonic not found ***</v>
      </c>
      <c r="F1397" t="str">
        <f t="shared" si="350"/>
        <v>SUCMNONPROPORRSK_US_OLC_</v>
      </c>
      <c r="H1397" s="9" t="s">
        <v>1137</v>
      </c>
      <c r="K1397" s="9">
        <f t="shared" si="356"/>
        <v>459</v>
      </c>
      <c r="L1397" s="9" t="str">
        <f t="shared" si="357"/>
        <v>G</v>
      </c>
      <c r="M1397" s="9" t="str">
        <f t="shared" si="346"/>
        <v>Input!G459</v>
      </c>
      <c r="N1397" s="9">
        <f>_xlfn.XLOOKUP(F1397,'Raw Data'!$I$4:$I$5000,'Raw Data'!$E$4:$E$5000,100,0)</f>
        <v>100</v>
      </c>
      <c r="O1397" s="9" t="str">
        <f>IF(N1397=0,_xlfn.XLOOKUP(F1397,'Raw Data'!$I$4:$I$5000,'Raw Data'!$H$4:$H$5000,"",0),"")</f>
        <v/>
      </c>
      <c r="P1397" s="9" t="str" cm="1">
        <f t="array" aca="1" ref="P1397" ca="1">IF(INDIRECT(M1397) = "","",INDIRECT(M1397))</f>
        <v/>
      </c>
      <c r="Q1397" s="359" t="s">
        <v>4381</v>
      </c>
    </row>
    <row r="1398" spans="1:17" x14ac:dyDescent="0.35">
      <c r="A1398" t="s">
        <v>2261</v>
      </c>
      <c r="B1398" t="s">
        <v>2288</v>
      </c>
      <c r="C1398" t="s">
        <v>403</v>
      </c>
      <c r="E1398" t="str">
        <f>_xlfn.XLOOKUP(F1398,'Raw Data'!$I$4:$I$5000,'Raw Data'!$D$4:$D$5000,"*** Mnemonic not found ***",0)</f>
        <v>*** Mnemonic not found ***</v>
      </c>
      <c r="F1398" t="str">
        <f t="shared" si="350"/>
        <v>SUCMNONPROPORRSK_US_OLO_</v>
      </c>
      <c r="H1398" s="9" t="s">
        <v>1137</v>
      </c>
      <c r="K1398" s="9">
        <f t="shared" si="356"/>
        <v>460</v>
      </c>
      <c r="L1398" s="9" t="str">
        <f t="shared" si="357"/>
        <v>G</v>
      </c>
      <c r="M1398" s="9" t="str">
        <f t="shared" si="346"/>
        <v>Input!G460</v>
      </c>
      <c r="N1398" s="9">
        <f>_xlfn.XLOOKUP(F1398,'Raw Data'!$I$4:$I$5000,'Raw Data'!$E$4:$E$5000,100,0)</f>
        <v>100</v>
      </c>
      <c r="O1398" s="9" t="str">
        <f>IF(N1398=0,_xlfn.XLOOKUP(F1398,'Raw Data'!$I$4:$I$5000,'Raw Data'!$H$4:$H$5000,"",0),"")</f>
        <v/>
      </c>
      <c r="P1398" s="9" t="str" cm="1">
        <f t="array" aca="1" ref="P1398" ca="1">IF(INDIRECT(M1398) = "","",INDIRECT(M1398))</f>
        <v/>
      </c>
      <c r="Q1398" s="359" t="s">
        <v>4381</v>
      </c>
    </row>
    <row r="1399" spans="1:17" x14ac:dyDescent="0.35">
      <c r="A1399" t="s">
        <v>2261</v>
      </c>
      <c r="B1399" t="s">
        <v>2289</v>
      </c>
      <c r="C1399" t="s">
        <v>406</v>
      </c>
      <c r="E1399" t="str">
        <f>_xlfn.XLOOKUP(F1399,'Raw Data'!$I$4:$I$5000,'Raw Data'!$D$4:$D$5000,"*** Mnemonic not found ***",0)</f>
        <v>*** Mnemonic not found ***</v>
      </c>
      <c r="F1399" t="str">
        <f t="shared" si="350"/>
        <v>SUCMNONPROPORRSK_US_PLC_</v>
      </c>
      <c r="H1399" s="9" t="s">
        <v>1137</v>
      </c>
      <c r="K1399" s="9">
        <f t="shared" si="356"/>
        <v>461</v>
      </c>
      <c r="L1399" s="9" t="str">
        <f t="shared" si="357"/>
        <v>G</v>
      </c>
      <c r="M1399" s="9" t="str">
        <f t="shared" ref="M1399:M1465" si="358">CONCATENATE(H1399,"!",L1399,K1399)</f>
        <v>Input!G461</v>
      </c>
      <c r="N1399" s="9">
        <f>_xlfn.XLOOKUP(F1399,'Raw Data'!$I$4:$I$5000,'Raw Data'!$E$4:$E$5000,100,0)</f>
        <v>100</v>
      </c>
      <c r="O1399" s="9" t="str">
        <f>IF(N1399=0,_xlfn.XLOOKUP(F1399,'Raw Data'!$I$4:$I$5000,'Raw Data'!$H$4:$H$5000,"",0),"")</f>
        <v/>
      </c>
      <c r="P1399" s="9" t="str" cm="1">
        <f t="array" aca="1" ref="P1399" ca="1">IF(INDIRECT(M1399) = "","",INDIRECT(M1399))</f>
        <v/>
      </c>
      <c r="Q1399" s="359" t="s">
        <v>4381</v>
      </c>
    </row>
    <row r="1400" spans="1:17" x14ac:dyDescent="0.35">
      <c r="A1400" t="s">
        <v>2261</v>
      </c>
      <c r="B1400" t="s">
        <v>2290</v>
      </c>
      <c r="C1400" t="s">
        <v>405</v>
      </c>
      <c r="E1400" t="str">
        <f>_xlfn.XLOOKUP(F1400,'Raw Data'!$I$4:$I$5000,'Raw Data'!$D$4:$D$5000,"*** Mnemonic not found ***",0)</f>
        <v>*** Mnemonic not found ***</v>
      </c>
      <c r="F1400" t="str">
        <f t="shared" si="350"/>
        <v>SUCMNONPROPORRSK_US_PLO_</v>
      </c>
      <c r="H1400" s="9" t="s">
        <v>1137</v>
      </c>
      <c r="K1400" s="9">
        <f t="shared" si="356"/>
        <v>462</v>
      </c>
      <c r="L1400" s="9" t="str">
        <f t="shared" si="357"/>
        <v>G</v>
      </c>
      <c r="M1400" s="9" t="str">
        <f t="shared" si="358"/>
        <v>Input!G462</v>
      </c>
      <c r="N1400" s="9">
        <f>_xlfn.XLOOKUP(F1400,'Raw Data'!$I$4:$I$5000,'Raw Data'!$E$4:$E$5000,100,0)</f>
        <v>100</v>
      </c>
      <c r="O1400" s="9" t="str">
        <f>IF(N1400=0,_xlfn.XLOOKUP(F1400,'Raw Data'!$I$4:$I$5000,'Raw Data'!$H$4:$H$5000,"",0),"")</f>
        <v/>
      </c>
      <c r="P1400" s="9" t="str" cm="1">
        <f t="array" aca="1" ref="P1400" ca="1">IF(INDIRECT(M1400) = "","",INDIRECT(M1400))</f>
        <v/>
      </c>
      <c r="Q1400" s="359" t="s">
        <v>4381</v>
      </c>
    </row>
    <row r="1401" spans="1:17" x14ac:dyDescent="0.35">
      <c r="A1401" t="s">
        <v>2261</v>
      </c>
      <c r="B1401" t="s">
        <v>2272</v>
      </c>
      <c r="C1401" t="s">
        <v>979</v>
      </c>
      <c r="E1401" t="str">
        <f>_xlfn.XLOOKUP(F1401,'Raw Data'!$I$4:$I$5000,'Raw Data'!$D$4:$D$5000,"*** Mnemonic not found ***",0)</f>
        <v>*** Mnemonic not found ***</v>
      </c>
      <c r="F1401" t="str">
        <f t="shared" si="350"/>
        <v>SUCMNONPROPORRSK_US_WCP_</v>
      </c>
      <c r="H1401" s="9" t="s">
        <v>1137</v>
      </c>
      <c r="K1401" s="9">
        <f t="shared" si="356"/>
        <v>463</v>
      </c>
      <c r="L1401" s="9" t="str">
        <f t="shared" si="357"/>
        <v>G</v>
      </c>
      <c r="M1401" s="9" t="str">
        <f t="shared" si="358"/>
        <v>Input!G463</v>
      </c>
      <c r="N1401" s="9">
        <f>_xlfn.XLOOKUP(F1401,'Raw Data'!$I$4:$I$5000,'Raw Data'!$E$4:$E$5000,100,0)</f>
        <v>100</v>
      </c>
      <c r="O1401" s="9" t="str">
        <f>IF(N1401=0,_xlfn.XLOOKUP(F1401,'Raw Data'!$I$4:$I$5000,'Raw Data'!$H$4:$H$5000,"",0),"")</f>
        <v/>
      </c>
      <c r="P1401" s="9" t="str" cm="1">
        <f t="array" aca="1" ref="P1401" ca="1">IF(INDIRECT(M1401) = "","",INDIRECT(M1401))</f>
        <v/>
      </c>
      <c r="Q1401" s="359" t="s">
        <v>4381</v>
      </c>
    </row>
    <row r="1402" spans="1:17" x14ac:dyDescent="0.35">
      <c r="A1402" t="s">
        <v>2261</v>
      </c>
      <c r="B1402" t="s">
        <v>2291</v>
      </c>
      <c r="C1402" t="s">
        <v>989</v>
      </c>
      <c r="E1402" t="str">
        <f>_xlfn.XLOOKUP(F1402,'Raw Data'!$I$4:$I$5000,'Raw Data'!$D$4:$D$5000,"*** Mnemonic not found ***",0)</f>
        <v>*** Mnemonic not found ***</v>
      </c>
      <c r="F1402" t="str">
        <f t="shared" si="350"/>
        <v>SUCMNONPROPORRSK_US_BLM_</v>
      </c>
      <c r="H1402" s="9" t="s">
        <v>1137</v>
      </c>
      <c r="K1402" s="9">
        <f t="shared" si="356"/>
        <v>464</v>
      </c>
      <c r="L1402" s="9" t="str">
        <f t="shared" si="357"/>
        <v>G</v>
      </c>
      <c r="M1402" s="9" t="str">
        <f t="shared" si="358"/>
        <v>Input!G464</v>
      </c>
      <c r="N1402" s="9">
        <f>_xlfn.XLOOKUP(F1402,'Raw Data'!$I$4:$I$5000,'Raw Data'!$E$4:$E$5000,100,0)</f>
        <v>100</v>
      </c>
      <c r="O1402" s="9" t="str">
        <f>IF(N1402=0,_xlfn.XLOOKUP(F1402,'Raw Data'!$I$4:$I$5000,'Raw Data'!$H$4:$H$5000,"",0),"")</f>
        <v/>
      </c>
      <c r="P1402" s="9" t="str" cm="1">
        <f t="array" aca="1" ref="P1402" ca="1">IF(INDIRECT(M1402) = "","",INDIRECT(M1402))</f>
        <v/>
      </c>
      <c r="Q1402" s="359" t="s">
        <v>4381</v>
      </c>
    </row>
    <row r="1403" spans="1:17" x14ac:dyDescent="0.35">
      <c r="A1403" t="s">
        <v>2261</v>
      </c>
      <c r="B1403" t="s">
        <v>2292</v>
      </c>
      <c r="C1403" t="s">
        <v>378</v>
      </c>
      <c r="E1403" t="str">
        <f>_xlfn.XLOOKUP(F1403,'Raw Data'!$I$4:$I$5000,'Raw Data'!$D$4:$D$5000,"*** Mnemonic not found ***",0)</f>
        <v>*** Mnemonic not found ***</v>
      </c>
      <c r="F1403" t="str">
        <f t="shared" si="350"/>
        <v>SUCMNONPROPORRSK_US_CMP_</v>
      </c>
      <c r="H1403" s="9" t="s">
        <v>1137</v>
      </c>
      <c r="K1403" s="9">
        <f t="shared" si="356"/>
        <v>465</v>
      </c>
      <c r="L1403" s="9" t="str">
        <f t="shared" si="357"/>
        <v>G</v>
      </c>
      <c r="M1403" s="9" t="str">
        <f t="shared" si="358"/>
        <v>Input!G465</v>
      </c>
      <c r="N1403" s="9">
        <f>_xlfn.XLOOKUP(F1403,'Raw Data'!$I$4:$I$5000,'Raw Data'!$E$4:$E$5000,100,0)</f>
        <v>100</v>
      </c>
      <c r="O1403" s="9" t="str">
        <f>IF(N1403=0,_xlfn.XLOOKUP(F1403,'Raw Data'!$I$4:$I$5000,'Raw Data'!$H$4:$H$5000,"",0),"")</f>
        <v/>
      </c>
      <c r="P1403" s="9" t="str" cm="1">
        <f t="array" aca="1" ref="P1403" ca="1">IF(INDIRECT(M1403) = "","",INDIRECT(M1403))</f>
        <v/>
      </c>
      <c r="Q1403" s="359" t="s">
        <v>4381</v>
      </c>
    </row>
    <row r="1404" spans="1:17" x14ac:dyDescent="0.35">
      <c r="A1404" t="s">
        <v>2261</v>
      </c>
      <c r="B1404" t="s">
        <v>2293</v>
      </c>
      <c r="C1404" t="s">
        <v>961</v>
      </c>
      <c r="E1404" t="str">
        <f>_xlfn.XLOOKUP(F1404,'Raw Data'!$I$4:$I$5000,'Raw Data'!$D$4:$D$5000,"*** Mnemonic not found ***",0)</f>
        <v>*** Mnemonic not found ***</v>
      </c>
      <c r="F1404" t="str">
        <f t="shared" si="350"/>
        <v>SUCMNONPROPORRSK_US_HFM_</v>
      </c>
      <c r="H1404" s="9" t="s">
        <v>1137</v>
      </c>
      <c r="K1404" s="9">
        <f t="shared" si="356"/>
        <v>466</v>
      </c>
      <c r="L1404" s="9" t="str">
        <f t="shared" si="357"/>
        <v>G</v>
      </c>
      <c r="M1404" s="9" t="str">
        <f t="shared" si="358"/>
        <v>Input!G466</v>
      </c>
      <c r="N1404" s="9">
        <f>_xlfn.XLOOKUP(F1404,'Raw Data'!$I$4:$I$5000,'Raw Data'!$E$4:$E$5000,100,0)</f>
        <v>100</v>
      </c>
      <c r="O1404" s="9" t="str">
        <f>IF(N1404=0,_xlfn.XLOOKUP(F1404,'Raw Data'!$I$4:$I$5000,'Raw Data'!$H$4:$H$5000,"",0),"")</f>
        <v/>
      </c>
      <c r="P1404" s="9" t="str" cm="1">
        <f t="array" aca="1" ref="P1404" ca="1">IF(INDIRECT(M1404) = "","",INDIRECT(M1404))</f>
        <v/>
      </c>
      <c r="Q1404" s="359" t="s">
        <v>4381</v>
      </c>
    </row>
    <row r="1405" spans="1:17" x14ac:dyDescent="0.35">
      <c r="A1405" t="s">
        <v>2261</v>
      </c>
      <c r="B1405" t="s">
        <v>2294</v>
      </c>
      <c r="C1405" t="s">
        <v>4143</v>
      </c>
      <c r="E1405" t="str">
        <f>_xlfn.XLOOKUP(F1405,'Raw Data'!$I$4:$I$5000,'Raw Data'!$D$4:$D$5000,"*** Mnemonic not found ***",0)</f>
        <v>*** Mnemonic not found ***</v>
      </c>
      <c r="F1405" t="str">
        <f t="shared" si="350"/>
        <v>SUCMNONPROPORRSK_US_SPP_</v>
      </c>
      <c r="H1405" s="9" t="s">
        <v>1137</v>
      </c>
      <c r="K1405" s="9">
        <f t="shared" si="356"/>
        <v>467</v>
      </c>
      <c r="L1405" s="9" t="str">
        <f t="shared" si="357"/>
        <v>G</v>
      </c>
      <c r="M1405" s="9" t="str">
        <f t="shared" si="358"/>
        <v>Input!G467</v>
      </c>
      <c r="N1405" s="9">
        <f>_xlfn.XLOOKUP(F1405,'Raw Data'!$I$4:$I$5000,'Raw Data'!$E$4:$E$5000,100,0)</f>
        <v>100</v>
      </c>
      <c r="O1405" s="9" t="str">
        <f>IF(N1405=0,_xlfn.XLOOKUP(F1405,'Raw Data'!$I$4:$I$5000,'Raw Data'!$H$4:$H$5000,"",0),"")</f>
        <v/>
      </c>
      <c r="P1405" s="9" t="str" cm="1">
        <f t="array" aca="1" ref="P1405" ca="1">IF(INDIRECT(M1405) = "","",INDIRECT(M1405))</f>
        <v/>
      </c>
      <c r="Q1405" s="359" t="s">
        <v>4381</v>
      </c>
    </row>
    <row r="1406" spans="1:17" x14ac:dyDescent="0.35">
      <c r="A1406" t="s">
        <v>2261</v>
      </c>
      <c r="B1406" t="s">
        <v>2295</v>
      </c>
      <c r="C1406" t="s">
        <v>990</v>
      </c>
      <c r="E1406" t="str">
        <f>_xlfn.XLOOKUP(F1406,'Raw Data'!$I$4:$I$5000,'Raw Data'!$D$4:$D$5000,"*** Mnemonic not found ***",0)</f>
        <v>*** Mnemonic not found ***</v>
      </c>
      <c r="F1406" t="str">
        <f t="shared" si="350"/>
        <v>SUCMNONPROPORRSK_US_APB_</v>
      </c>
      <c r="H1406" s="9" t="s">
        <v>1137</v>
      </c>
      <c r="K1406" s="9">
        <f t="shared" si="356"/>
        <v>468</v>
      </c>
      <c r="L1406" s="9" t="str">
        <f t="shared" si="357"/>
        <v>G</v>
      </c>
      <c r="M1406" s="9" t="str">
        <f t="shared" si="358"/>
        <v>Input!G468</v>
      </c>
      <c r="N1406" s="9">
        <f>_xlfn.XLOOKUP(F1406,'Raw Data'!$I$4:$I$5000,'Raw Data'!$E$4:$E$5000,100,0)</f>
        <v>100</v>
      </c>
      <c r="O1406" s="9" t="str">
        <f>IF(N1406=0,_xlfn.XLOOKUP(F1406,'Raw Data'!$I$4:$I$5000,'Raw Data'!$H$4:$H$5000,"",0),"")</f>
        <v/>
      </c>
      <c r="P1406" s="9" t="str" cm="1">
        <f t="array" aca="1" ref="P1406" ca="1">IF(INDIRECT(M1406) = "","",INDIRECT(M1406))</f>
        <v/>
      </c>
      <c r="Q1406" s="359" t="s">
        <v>4381</v>
      </c>
    </row>
    <row r="1407" spans="1:17" x14ac:dyDescent="0.35">
      <c r="A1407" t="s">
        <v>2261</v>
      </c>
      <c r="B1407" t="s">
        <v>2296</v>
      </c>
      <c r="C1407" t="s">
        <v>400</v>
      </c>
      <c r="E1407" t="str">
        <f>_xlfn.XLOOKUP(F1407,'Raw Data'!$I$4:$I$5000,'Raw Data'!$D$4:$D$5000,"*** Mnemonic not found ***",0)</f>
        <v>*** Mnemonic not found ***</v>
      </c>
      <c r="F1407" t="str">
        <f t="shared" si="350"/>
        <v>SUCMNONPROPORRSK_US_CAL_</v>
      </c>
      <c r="H1407" s="9" t="s">
        <v>1137</v>
      </c>
      <c r="K1407" s="9">
        <f t="shared" si="356"/>
        <v>469</v>
      </c>
      <c r="L1407" s="9" t="str">
        <f t="shared" si="357"/>
        <v>G</v>
      </c>
      <c r="M1407" s="9" t="str">
        <f t="shared" si="358"/>
        <v>Input!G469</v>
      </c>
      <c r="N1407" s="9">
        <f>_xlfn.XLOOKUP(F1407,'Raw Data'!$I$4:$I$5000,'Raw Data'!$E$4:$E$5000,100,0)</f>
        <v>100</v>
      </c>
      <c r="O1407" s="9" t="str">
        <f>IF(N1407=0,_xlfn.XLOOKUP(F1407,'Raw Data'!$I$4:$I$5000,'Raw Data'!$H$4:$H$5000,"",0),"")</f>
        <v/>
      </c>
      <c r="P1407" s="9" t="str" cm="1">
        <f t="array" aca="1" ref="P1407" ca="1">IF(INDIRECT(M1407) = "","",INDIRECT(M1407))</f>
        <v/>
      </c>
      <c r="Q1407" s="359" t="s">
        <v>4381</v>
      </c>
    </row>
    <row r="1408" spans="1:17" x14ac:dyDescent="0.35">
      <c r="A1408" t="s">
        <v>2261</v>
      </c>
      <c r="B1408" t="s">
        <v>2297</v>
      </c>
      <c r="C1408" t="s">
        <v>991</v>
      </c>
      <c r="E1408" t="str">
        <f>_xlfn.XLOOKUP(F1408,'Raw Data'!$I$4:$I$5000,'Raw Data'!$D$4:$D$5000,"*** Mnemonic not found ***",0)</f>
        <v>*** Mnemonic not found ***</v>
      </c>
      <c r="F1408" t="str">
        <f t="shared" si="350"/>
        <v>SUCMNONPROPORRSK_US_PPA_</v>
      </c>
      <c r="H1408" s="9" t="s">
        <v>1137</v>
      </c>
      <c r="K1408" s="9">
        <f t="shared" si="356"/>
        <v>470</v>
      </c>
      <c r="L1408" s="9" t="str">
        <f t="shared" si="357"/>
        <v>G</v>
      </c>
      <c r="M1408" s="9" t="str">
        <f t="shared" si="358"/>
        <v>Input!G470</v>
      </c>
      <c r="N1408" s="9">
        <f>_xlfn.XLOOKUP(F1408,'Raw Data'!$I$4:$I$5000,'Raw Data'!$E$4:$E$5000,100,0)</f>
        <v>100</v>
      </c>
      <c r="O1408" s="9" t="str">
        <f>IF(N1408=0,_xlfn.XLOOKUP(F1408,'Raw Data'!$I$4:$I$5000,'Raw Data'!$H$4:$H$5000,"",0),"")</f>
        <v/>
      </c>
      <c r="P1408" s="9" t="str" cm="1">
        <f t="array" aca="1" ref="P1408" ca="1">IF(INDIRECT(M1408) = "","",INDIRECT(M1408))</f>
        <v/>
      </c>
      <c r="Q1408" s="359" t="s">
        <v>4381</v>
      </c>
    </row>
    <row r="1409" spans="1:17" x14ac:dyDescent="0.35">
      <c r="A1409" t="s">
        <v>2261</v>
      </c>
      <c r="B1409" t="s">
        <v>2298</v>
      </c>
      <c r="C1409" t="s">
        <v>374</v>
      </c>
      <c r="E1409" t="str">
        <f>_xlfn.XLOOKUP(F1409,'Raw Data'!$I$4:$I$5000,'Raw Data'!$D$4:$D$5000,"*** Mnemonic not found ***",0)</f>
        <v>*** Mnemonic not found ***</v>
      </c>
      <c r="F1409" t="str">
        <f t="shared" si="350"/>
        <v>SUCMNONPROPORRSK_US_CRD_</v>
      </c>
      <c r="H1409" s="9" t="s">
        <v>1137</v>
      </c>
      <c r="K1409" s="9">
        <f t="shared" si="356"/>
        <v>471</v>
      </c>
      <c r="L1409" s="9" t="str">
        <f t="shared" si="357"/>
        <v>G</v>
      </c>
      <c r="M1409" s="9" t="str">
        <f t="shared" si="358"/>
        <v>Input!G471</v>
      </c>
      <c r="N1409" s="9">
        <f>_xlfn.XLOOKUP(F1409,'Raw Data'!$I$4:$I$5000,'Raw Data'!$E$4:$E$5000,100,0)</f>
        <v>100</v>
      </c>
      <c r="O1409" s="9" t="str">
        <f>IF(N1409=0,_xlfn.XLOOKUP(F1409,'Raw Data'!$I$4:$I$5000,'Raw Data'!$H$4:$H$5000,"",0),"")</f>
        <v/>
      </c>
      <c r="P1409" s="9" t="str" cm="1">
        <f t="array" aca="1" ref="P1409" ca="1">IF(INDIRECT(M1409) = "","",INDIRECT(M1409))</f>
        <v/>
      </c>
      <c r="Q1409" s="359" t="s">
        <v>4381</v>
      </c>
    </row>
    <row r="1410" spans="1:17" x14ac:dyDescent="0.35">
      <c r="A1410" t="s">
        <v>2261</v>
      </c>
      <c r="B1410" t="s">
        <v>2299</v>
      </c>
      <c r="C1410" t="s">
        <v>399</v>
      </c>
      <c r="E1410" t="str">
        <f>_xlfn.XLOOKUP(F1410,'Raw Data'!$I$4:$I$5000,'Raw Data'!$D$4:$D$5000,"*** Mnemonic not found ***",0)</f>
        <v>*** Mnemonic not found ***</v>
      </c>
      <c r="F1410" t="str">
        <f t="shared" si="350"/>
        <v>SUCMNONPROPORRSK_US_FIDSUR_</v>
      </c>
      <c r="H1410" s="9" t="s">
        <v>1137</v>
      </c>
      <c r="K1410" s="9">
        <f t="shared" si="356"/>
        <v>472</v>
      </c>
      <c r="L1410" s="9" t="str">
        <f t="shared" si="357"/>
        <v>G</v>
      </c>
      <c r="M1410" s="9" t="str">
        <f t="shared" si="358"/>
        <v>Input!G472</v>
      </c>
      <c r="N1410" s="9">
        <f>_xlfn.XLOOKUP(F1410,'Raw Data'!$I$4:$I$5000,'Raw Data'!$E$4:$E$5000,100,0)</f>
        <v>100</v>
      </c>
      <c r="O1410" s="9" t="str">
        <f>IF(N1410=0,_xlfn.XLOOKUP(F1410,'Raw Data'!$I$4:$I$5000,'Raw Data'!$H$4:$H$5000,"",0),"")</f>
        <v/>
      </c>
      <c r="P1410" s="9" t="str" cm="1">
        <f t="array" aca="1" ref="P1410" ca="1">IF(INDIRECT(M1410) = "","",INDIRECT(M1410))</f>
        <v/>
      </c>
      <c r="Q1410" s="359" t="s">
        <v>4381</v>
      </c>
    </row>
    <row r="1411" spans="1:17" x14ac:dyDescent="0.35">
      <c r="A1411" t="s">
        <v>2261</v>
      </c>
      <c r="B1411" t="s">
        <v>2300</v>
      </c>
      <c r="C1411" t="s">
        <v>992</v>
      </c>
      <c r="E1411" t="str">
        <f>_xlfn.XLOOKUP(F1411,'Raw Data'!$I$4:$I$5000,'Raw Data'!$D$4:$D$5000,"*** Mnemonic not found ***",0)</f>
        <v>*** Mnemonic not found ***</v>
      </c>
      <c r="F1411" t="str">
        <f t="shared" si="350"/>
        <v>SUCMNONPROPORRSK_US_FIG_</v>
      </c>
      <c r="H1411" s="9" t="s">
        <v>1137</v>
      </c>
      <c r="K1411" s="9">
        <f t="shared" si="356"/>
        <v>473</v>
      </c>
      <c r="L1411" s="9" t="str">
        <f t="shared" si="357"/>
        <v>G</v>
      </c>
      <c r="M1411" s="9" t="str">
        <f t="shared" si="358"/>
        <v>Input!G473</v>
      </c>
      <c r="N1411" s="9">
        <f>_xlfn.XLOOKUP(F1411,'Raw Data'!$I$4:$I$5000,'Raw Data'!$E$4:$E$5000,100,0)</f>
        <v>100</v>
      </c>
      <c r="O1411" s="9" t="str">
        <f>IF(N1411=0,_xlfn.XLOOKUP(F1411,'Raw Data'!$I$4:$I$5000,'Raw Data'!$H$4:$H$5000,"",0),"")</f>
        <v/>
      </c>
      <c r="P1411" s="9" t="str" cm="1">
        <f t="array" aca="1" ref="P1411" ca="1">IF(INDIRECT(M1411) = "","",INDIRECT(M1411))</f>
        <v/>
      </c>
      <c r="Q1411" s="359" t="s">
        <v>4381</v>
      </c>
    </row>
    <row r="1412" spans="1:17" x14ac:dyDescent="0.35">
      <c r="A1412" t="s">
        <v>2261</v>
      </c>
      <c r="B1412" t="s">
        <v>2302</v>
      </c>
      <c r="C1412" t="s">
        <v>993</v>
      </c>
      <c r="E1412" t="str">
        <f>_xlfn.XLOOKUP(F1412,'Raw Data'!$I$4:$I$5000,'Raw Data'!$D$4:$D$5000,"*** Mnemonic not found ***",0)</f>
        <v>*** Mnemonic not found ***</v>
      </c>
      <c r="F1412" t="str">
        <f t="shared" si="350"/>
        <v>SUCMNONPROPORRSK_US_STPR_</v>
      </c>
      <c r="H1412" s="9" t="s">
        <v>1137</v>
      </c>
      <c r="K1412" s="9">
        <f t="shared" si="356"/>
        <v>474</v>
      </c>
      <c r="L1412" s="9" t="str">
        <f t="shared" si="357"/>
        <v>G</v>
      </c>
      <c r="M1412" s="9" t="str">
        <f t="shared" si="358"/>
        <v>Input!G474</v>
      </c>
      <c r="N1412" s="9">
        <f>_xlfn.XLOOKUP(F1412,'Raw Data'!$I$4:$I$5000,'Raw Data'!$E$4:$E$5000,100,0)</f>
        <v>100</v>
      </c>
      <c r="O1412" s="9" t="str">
        <f>IF(N1412=0,_xlfn.XLOOKUP(F1412,'Raw Data'!$I$4:$I$5000,'Raw Data'!$H$4:$H$5000,"",0),"")</f>
        <v/>
      </c>
      <c r="P1412" s="9" t="str" cm="1">
        <f t="array" aca="1" ref="P1412" ca="1">IF(INDIRECT(M1412) = "","",INDIRECT(M1412))</f>
        <v/>
      </c>
      <c r="Q1412" s="359" t="s">
        <v>4381</v>
      </c>
    </row>
    <row r="1413" spans="1:17" x14ac:dyDescent="0.35">
      <c r="A1413" t="s">
        <v>2261</v>
      </c>
      <c r="B1413" t="s">
        <v>2303</v>
      </c>
      <c r="C1413" t="s">
        <v>994</v>
      </c>
      <c r="E1413" t="str">
        <f>_xlfn.XLOOKUP(F1413,'Raw Data'!$I$4:$I$5000,'Raw Data'!$D$4:$D$5000,"*** Mnemonic not found ***",0)</f>
        <v>*** Mnemonic not found ***</v>
      </c>
      <c r="F1413" t="str">
        <f t="shared" si="350"/>
        <v>SUCMNONPROPORRSK_US_AAH_</v>
      </c>
      <c r="H1413" s="9" t="s">
        <v>1137</v>
      </c>
      <c r="K1413" s="9">
        <f t="shared" si="356"/>
        <v>475</v>
      </c>
      <c r="L1413" s="9" t="str">
        <f t="shared" si="357"/>
        <v>G</v>
      </c>
      <c r="M1413" s="9" t="str">
        <f t="shared" si="358"/>
        <v>Input!G475</v>
      </c>
      <c r="N1413" s="9">
        <f>_xlfn.XLOOKUP(F1413,'Raw Data'!$I$4:$I$5000,'Raw Data'!$E$4:$E$5000,100,0)</f>
        <v>100</v>
      </c>
      <c r="O1413" s="9" t="str">
        <f>IF(N1413=0,_xlfn.XLOOKUP(F1413,'Raw Data'!$I$4:$I$5000,'Raw Data'!$H$4:$H$5000,"",0),"")</f>
        <v/>
      </c>
      <c r="P1413" s="9" t="str" cm="1">
        <f t="array" aca="1" ref="P1413" ca="1">IF(INDIRECT(M1413) = "","",INDIRECT(M1413))</f>
        <v/>
      </c>
      <c r="Q1413" s="359" t="s">
        <v>4381</v>
      </c>
    </row>
    <row r="1414" spans="1:17" x14ac:dyDescent="0.35">
      <c r="A1414" t="s">
        <v>2261</v>
      </c>
      <c r="B1414" t="s">
        <v>2304</v>
      </c>
      <c r="C1414" t="s">
        <v>1029</v>
      </c>
      <c r="E1414" t="str">
        <f>_xlfn.XLOOKUP(F1414,'Raw Data'!$I$4:$I$5000,'Raw Data'!$D$4:$D$5000,"*** Mnemonic not found ***",0)</f>
        <v>*** Mnemonic not found ***</v>
      </c>
      <c r="F1414" t="str">
        <f t="shared" si="350"/>
        <v>SUCMNONPROPORRSK_US_ADSADC_</v>
      </c>
      <c r="H1414" s="9" t="s">
        <v>1137</v>
      </c>
      <c r="K1414" s="9">
        <f t="shared" si="356"/>
        <v>476</v>
      </c>
      <c r="L1414" s="9" t="str">
        <f t="shared" si="357"/>
        <v>G</v>
      </c>
      <c r="M1414" s="9" t="str">
        <f t="shared" si="358"/>
        <v>Input!G476</v>
      </c>
      <c r="N1414" s="9">
        <f>_xlfn.XLOOKUP(F1414,'Raw Data'!$I$4:$I$5000,'Raw Data'!$E$4:$E$5000,100,0)</f>
        <v>100</v>
      </c>
      <c r="O1414" s="9" t="str">
        <f>IF(N1414=0,_xlfn.XLOOKUP(F1414,'Raw Data'!$I$4:$I$5000,'Raw Data'!$H$4:$H$5000,"",0),"")</f>
        <v/>
      </c>
      <c r="P1414" s="9" t="str" cm="1">
        <f t="array" aca="1" ref="P1414" ca="1">IF(INDIRECT(M1414) = "","",INDIRECT(M1414))</f>
        <v/>
      </c>
      <c r="Q1414" s="359" t="s">
        <v>4381</v>
      </c>
    </row>
    <row r="1415" spans="1:17" x14ac:dyDescent="0.35">
      <c r="A1415" t="s">
        <v>2261</v>
      </c>
      <c r="B1415" t="s">
        <v>2305</v>
      </c>
      <c r="C1415" t="s">
        <v>1025</v>
      </c>
      <c r="E1415" t="str">
        <f>_xlfn.XLOOKUP(F1415,'Raw Data'!$I$4:$I$5000,'Raw Data'!$D$4:$D$5000,"*** Mnemonic not found ***",0)</f>
        <v>*** Mnemonic not found ***</v>
      </c>
      <c r="F1415" t="str">
        <f t="shared" ref="F1415:F1478" si="359">CONCATENATE(A1415,"_",B1415,"_",D1415)</f>
        <v>SUCMNONPROPORRSK_US_FLRS_</v>
      </c>
      <c r="H1415" s="9" t="s">
        <v>1137</v>
      </c>
      <c r="K1415" s="9">
        <f t="shared" si="356"/>
        <v>477</v>
      </c>
      <c r="L1415" s="9" t="str">
        <f t="shared" si="357"/>
        <v>G</v>
      </c>
      <c r="M1415" s="9" t="str">
        <f t="shared" si="358"/>
        <v>Input!G477</v>
      </c>
      <c r="N1415" s="9">
        <f>_xlfn.XLOOKUP(F1415,'Raw Data'!$I$4:$I$5000,'Raw Data'!$E$4:$E$5000,100,0)</f>
        <v>100</v>
      </c>
      <c r="O1415" s="9" t="str">
        <f>IF(N1415=0,_xlfn.XLOOKUP(F1415,'Raw Data'!$I$4:$I$5000,'Raw Data'!$H$4:$H$5000,"",0),"")</f>
        <v/>
      </c>
      <c r="P1415" s="9" t="str" cm="1">
        <f t="array" aca="1" ref="P1415" ca="1">IF(INDIRECT(M1415) = "","",INDIRECT(M1415))</f>
        <v/>
      </c>
      <c r="Q1415" s="359" t="s">
        <v>4381</v>
      </c>
    </row>
    <row r="1416" spans="1:17" x14ac:dyDescent="0.35">
      <c r="A1416" t="s">
        <v>2261</v>
      </c>
      <c r="B1416" t="s">
        <v>2306</v>
      </c>
      <c r="C1416" t="s">
        <v>1026</v>
      </c>
      <c r="E1416" t="str">
        <f>_xlfn.XLOOKUP(F1416,'Raw Data'!$I$4:$I$5000,'Raw Data'!$D$4:$D$5000,"*** Mnemonic not found ***",0)</f>
        <v>*** Mnemonic not found ***</v>
      </c>
      <c r="F1416" t="str">
        <f t="shared" si="359"/>
        <v>SUCMNONPROPORRSK_US_DENVIS_</v>
      </c>
      <c r="H1416" s="9" t="s">
        <v>1137</v>
      </c>
      <c r="K1416" s="9">
        <f t="shared" si="356"/>
        <v>478</v>
      </c>
      <c r="L1416" s="9" t="str">
        <f t="shared" si="357"/>
        <v>G</v>
      </c>
      <c r="M1416" s="9" t="str">
        <f t="shared" si="358"/>
        <v>Input!G478</v>
      </c>
      <c r="N1416" s="9">
        <f>_xlfn.XLOOKUP(F1416,'Raw Data'!$I$4:$I$5000,'Raw Data'!$E$4:$E$5000,100,0)</f>
        <v>100</v>
      </c>
      <c r="O1416" s="9" t="str">
        <f>IF(N1416=0,_xlfn.XLOOKUP(F1416,'Raw Data'!$I$4:$I$5000,'Raw Data'!$H$4:$H$5000,"",0),"")</f>
        <v/>
      </c>
      <c r="P1416" s="9" t="str" cm="1">
        <f t="array" aca="1" ref="P1416" ca="1">IF(INDIRECT(M1416) = "","",INDIRECT(M1416))</f>
        <v/>
      </c>
      <c r="Q1416" s="359" t="s">
        <v>4381</v>
      </c>
    </row>
    <row r="1417" spans="1:17" x14ac:dyDescent="0.35">
      <c r="A1417" t="s">
        <v>2261</v>
      </c>
      <c r="B1417" t="s">
        <v>2307</v>
      </c>
      <c r="C1417" t="s">
        <v>995</v>
      </c>
      <c r="E1417" t="str">
        <f>_xlfn.XLOOKUP(F1417,'Raw Data'!$I$4:$I$5000,'Raw Data'!$D$4:$D$5000,"*** Mnemonic not found ***",0)</f>
        <v>*** Mnemonic not found ***</v>
      </c>
      <c r="F1417" t="str">
        <f t="shared" si="359"/>
        <v>SUCMNONPROPORRSK_US_FEP_</v>
      </c>
      <c r="H1417" s="9" t="s">
        <v>1137</v>
      </c>
      <c r="K1417" s="9">
        <f t="shared" si="356"/>
        <v>479</v>
      </c>
      <c r="L1417" s="9" t="str">
        <f t="shared" si="357"/>
        <v>G</v>
      </c>
      <c r="M1417" s="9" t="str">
        <f t="shared" si="358"/>
        <v>Input!G479</v>
      </c>
      <c r="N1417" s="9">
        <f>_xlfn.XLOOKUP(F1417,'Raw Data'!$I$4:$I$5000,'Raw Data'!$E$4:$E$5000,100,0)</f>
        <v>100</v>
      </c>
      <c r="O1417" s="9" t="str">
        <f>IF(N1417=0,_xlfn.XLOOKUP(F1417,'Raw Data'!$I$4:$I$5000,'Raw Data'!$H$4:$H$5000,"",0),"")</f>
        <v/>
      </c>
      <c r="P1417" s="9" t="str" cm="1">
        <f t="array" aca="1" ref="P1417" ca="1">IF(INDIRECT(M1417) = "","",INDIRECT(M1417))</f>
        <v/>
      </c>
      <c r="Q1417" s="359" t="s">
        <v>4381</v>
      </c>
    </row>
    <row r="1418" spans="1:17" x14ac:dyDescent="0.35">
      <c r="A1418" t="s">
        <v>2261</v>
      </c>
      <c r="B1418" t="s">
        <v>2308</v>
      </c>
      <c r="C1418" t="s">
        <v>4162</v>
      </c>
      <c r="E1418" t="str">
        <f>_xlfn.XLOOKUP(F1418,'Raw Data'!$I$4:$I$5000,'Raw Data'!$D$4:$D$5000,"*** Mnemonic not found ***",0)</f>
        <v>*** Mnemonic not found ***</v>
      </c>
      <c r="F1418" t="str">
        <f t="shared" si="359"/>
        <v>SUCMNONPROPORRSK_US_HMDO_</v>
      </c>
      <c r="H1418" s="9" t="s">
        <v>1137</v>
      </c>
      <c r="K1418" s="9">
        <f t="shared" si="356"/>
        <v>480</v>
      </c>
      <c r="L1418" s="9" t="str">
        <f t="shared" si="357"/>
        <v>G</v>
      </c>
      <c r="M1418" s="9" t="str">
        <f t="shared" si="358"/>
        <v>Input!G480</v>
      </c>
      <c r="N1418" s="9">
        <f>_xlfn.XLOOKUP(F1418,'Raw Data'!$I$4:$I$5000,'Raw Data'!$E$4:$E$5000,100,0)</f>
        <v>100</v>
      </c>
      <c r="O1418" s="9" t="str">
        <f>IF(N1418=0,_xlfn.XLOOKUP(F1418,'Raw Data'!$I$4:$I$5000,'Raw Data'!$H$4:$H$5000,"",0),"")</f>
        <v/>
      </c>
      <c r="P1418" s="9" t="str" cm="1">
        <f t="array" aca="1" ref="P1418" ca="1">IF(INDIRECT(M1418) = "","",INDIRECT(M1418))</f>
        <v/>
      </c>
      <c r="Q1418" s="359" t="s">
        <v>4381</v>
      </c>
    </row>
    <row r="1419" spans="1:17" x14ac:dyDescent="0.35">
      <c r="A1419" t="s">
        <v>2261</v>
      </c>
      <c r="B1419" t="s">
        <v>2309</v>
      </c>
      <c r="C1419" t="s">
        <v>3058</v>
      </c>
      <c r="E1419" t="str">
        <f>_xlfn.XLOOKUP(F1419,'Raw Data'!$I$4:$I$5000,'Raw Data'!$D$4:$D$5000,"*** Mnemonic not found ***",0)</f>
        <v>*** Mnemonic not found ***</v>
      </c>
      <c r="F1419" t="str">
        <f t="shared" si="359"/>
        <v>SUCMNONPROPORRSK_US_MDMID_</v>
      </c>
      <c r="H1419" s="9" t="s">
        <v>1137</v>
      </c>
      <c r="K1419" s="9">
        <f t="shared" si="356"/>
        <v>481</v>
      </c>
      <c r="L1419" s="9" t="str">
        <f t="shared" si="357"/>
        <v>G</v>
      </c>
      <c r="M1419" s="9" t="str">
        <f t="shared" si="358"/>
        <v>Input!G481</v>
      </c>
      <c r="N1419" s="9">
        <f>_xlfn.XLOOKUP(F1419,'Raw Data'!$I$4:$I$5000,'Raw Data'!$E$4:$E$5000,100,0)</f>
        <v>100</v>
      </c>
      <c r="O1419" s="9" t="str">
        <f>IF(N1419=0,_xlfn.XLOOKUP(F1419,'Raw Data'!$I$4:$I$5000,'Raw Data'!$H$4:$H$5000,"",0),"")</f>
        <v/>
      </c>
      <c r="P1419" s="9" t="str" cm="1">
        <f t="array" aca="1" ref="P1419" ca="1">IF(INDIRECT(M1419) = "","",INDIRECT(M1419))</f>
        <v/>
      </c>
      <c r="Q1419" s="359" t="s">
        <v>4381</v>
      </c>
    </row>
    <row r="1420" spans="1:17" x14ac:dyDescent="0.35">
      <c r="A1420" t="s">
        <v>2261</v>
      </c>
      <c r="B1420" t="s">
        <v>2310</v>
      </c>
      <c r="C1420" t="s">
        <v>3059</v>
      </c>
      <c r="E1420" t="str">
        <f>_xlfn.XLOOKUP(F1420,'Raw Data'!$I$4:$I$5000,'Raw Data'!$D$4:$D$5000,"*** Mnemonic not found ***",0)</f>
        <v>*** Mnemonic not found ***</v>
      </c>
      <c r="F1420" t="str">
        <f t="shared" si="359"/>
        <v>SUCMNONPROPORRSK_US_MEDDO_</v>
      </c>
      <c r="H1420" s="9" t="s">
        <v>1137</v>
      </c>
      <c r="K1420" s="9">
        <f t="shared" si="356"/>
        <v>482</v>
      </c>
      <c r="L1420" s="9" t="str">
        <f t="shared" si="357"/>
        <v>G</v>
      </c>
      <c r="M1420" s="9" t="str">
        <f t="shared" si="358"/>
        <v>Input!G482</v>
      </c>
      <c r="N1420" s="9">
        <f>_xlfn.XLOOKUP(F1420,'Raw Data'!$I$4:$I$5000,'Raw Data'!$E$4:$E$5000,100,0)</f>
        <v>100</v>
      </c>
      <c r="O1420" s="9" t="str">
        <f>IF(N1420=0,_xlfn.XLOOKUP(F1420,'Raw Data'!$I$4:$I$5000,'Raw Data'!$H$4:$H$5000,"",0),"")</f>
        <v/>
      </c>
      <c r="P1420" s="9" t="str" cm="1">
        <f t="array" aca="1" ref="P1420" ca="1">IF(INDIRECT(M1420) = "","",INDIRECT(M1420))</f>
        <v/>
      </c>
      <c r="Q1420" s="359" t="s">
        <v>4381</v>
      </c>
    </row>
    <row r="1421" spans="1:17" x14ac:dyDescent="0.35">
      <c r="A1421" t="s">
        <v>2261</v>
      </c>
      <c r="B1421" t="s">
        <v>2311</v>
      </c>
      <c r="C1421" t="s">
        <v>3060</v>
      </c>
      <c r="E1421" t="str">
        <f>_xlfn.XLOOKUP(F1421,'Raw Data'!$I$4:$I$5000,'Raw Data'!$D$4:$D$5000,"*** Mnemonic not found ***",0)</f>
        <v>*** Mnemonic not found ***</v>
      </c>
      <c r="F1421" t="str">
        <f t="shared" si="359"/>
        <v>SUCMNONPROPORRSK_US_MEDDRO_</v>
      </c>
      <c r="H1421" s="9" t="s">
        <v>1137</v>
      </c>
      <c r="K1421" s="9">
        <f t="shared" si="356"/>
        <v>483</v>
      </c>
      <c r="L1421" s="9" t="str">
        <f t="shared" si="357"/>
        <v>G</v>
      </c>
      <c r="M1421" s="9" t="str">
        <f t="shared" si="358"/>
        <v>Input!G483</v>
      </c>
      <c r="N1421" s="9">
        <f>_xlfn.XLOOKUP(F1421,'Raw Data'!$I$4:$I$5000,'Raw Data'!$E$4:$E$5000,100,0)</f>
        <v>100</v>
      </c>
      <c r="O1421" s="9" t="str">
        <f>IF(N1421=0,_xlfn.XLOOKUP(F1421,'Raw Data'!$I$4:$I$5000,'Raw Data'!$H$4:$H$5000,"",0),"")</f>
        <v/>
      </c>
      <c r="P1421" s="9" t="str" cm="1">
        <f t="array" aca="1" ref="P1421" ca="1">IF(INDIRECT(M1421) = "","",INDIRECT(M1421))</f>
        <v/>
      </c>
      <c r="Q1421" s="359" t="s">
        <v>4381</v>
      </c>
    </row>
    <row r="1422" spans="1:17" x14ac:dyDescent="0.35">
      <c r="A1422" t="s">
        <v>2261</v>
      </c>
      <c r="B1422" t="s">
        <v>2312</v>
      </c>
      <c r="C1422" t="s">
        <v>3061</v>
      </c>
      <c r="E1422" t="str">
        <f>_xlfn.XLOOKUP(F1422,'Raw Data'!$I$4:$I$5000,'Raw Data'!$D$4:$D$5000,"*** Mnemonic not found ***",0)</f>
        <v>*** Mnemonic not found ***</v>
      </c>
      <c r="F1422" t="str">
        <f t="shared" si="359"/>
        <v>SUCMNONPROPORRSK_US_MEDDRR_</v>
      </c>
      <c r="H1422" s="9" t="s">
        <v>1137</v>
      </c>
      <c r="K1422" s="9">
        <f t="shared" si="356"/>
        <v>484</v>
      </c>
      <c r="L1422" s="9" t="str">
        <f t="shared" si="357"/>
        <v>G</v>
      </c>
      <c r="M1422" s="9" t="str">
        <f t="shared" si="358"/>
        <v>Input!G484</v>
      </c>
      <c r="N1422" s="9">
        <f>_xlfn.XLOOKUP(F1422,'Raw Data'!$I$4:$I$5000,'Raw Data'!$E$4:$E$5000,100,0)</f>
        <v>100</v>
      </c>
      <c r="O1422" s="9" t="str">
        <f>IF(N1422=0,_xlfn.XLOOKUP(F1422,'Raw Data'!$I$4:$I$5000,'Raw Data'!$H$4:$H$5000,"",0),"")</f>
        <v/>
      </c>
      <c r="P1422" s="9" t="str" cm="1">
        <f t="array" aca="1" ref="P1422" ca="1">IF(INDIRECT(M1422) = "","",INDIRECT(M1422))</f>
        <v/>
      </c>
      <c r="Q1422" s="359" t="s">
        <v>4381</v>
      </c>
    </row>
    <row r="1423" spans="1:17" x14ac:dyDescent="0.35">
      <c r="A1423" t="s">
        <v>2261</v>
      </c>
      <c r="B1423" t="s">
        <v>2313</v>
      </c>
      <c r="C1423" t="s">
        <v>962</v>
      </c>
      <c r="E1423" t="str">
        <f>_xlfn.XLOOKUP(F1423,'Raw Data'!$I$4:$I$5000,'Raw Data'!$D$4:$D$5000,"*** Mnemonic not found ***",0)</f>
        <v>*** Mnemonic not found ***</v>
      </c>
      <c r="F1423" t="str">
        <f t="shared" si="359"/>
        <v>SUCMNONPROPORRSK_US_MDS_</v>
      </c>
      <c r="H1423" s="9" t="s">
        <v>1137</v>
      </c>
      <c r="K1423" s="9">
        <f t="shared" si="356"/>
        <v>485</v>
      </c>
      <c r="L1423" s="9" t="str">
        <f t="shared" si="357"/>
        <v>G</v>
      </c>
      <c r="M1423" s="9" t="str">
        <f t="shared" si="358"/>
        <v>Input!G485</v>
      </c>
      <c r="N1423" s="9">
        <f>_xlfn.XLOOKUP(F1423,'Raw Data'!$I$4:$I$5000,'Raw Data'!$E$4:$E$5000,100,0)</f>
        <v>100</v>
      </c>
      <c r="O1423" s="9" t="str">
        <f>IF(N1423=0,_xlfn.XLOOKUP(F1423,'Raw Data'!$I$4:$I$5000,'Raw Data'!$H$4:$H$5000,"",0),"")</f>
        <v/>
      </c>
      <c r="P1423" s="9" t="str" cm="1">
        <f t="array" aca="1" ref="P1423" ca="1">IF(INDIRECT(M1423) = "","",INDIRECT(M1423))</f>
        <v/>
      </c>
      <c r="Q1423" s="359" t="s">
        <v>4381</v>
      </c>
    </row>
    <row r="1424" spans="1:17" x14ac:dyDescent="0.35">
      <c r="A1424" t="s">
        <v>2261</v>
      </c>
      <c r="B1424" t="s">
        <v>2314</v>
      </c>
      <c r="C1424" t="s">
        <v>4105</v>
      </c>
      <c r="E1424" t="str">
        <f>_xlfn.XLOOKUP(F1424,'Raw Data'!$I$4:$I$5000,'Raw Data'!$D$4:$D$5000,"*** Mnemonic not found ***",0)</f>
        <v>*** Mnemonic not found ***</v>
      </c>
      <c r="F1424" t="str">
        <f t="shared" si="359"/>
        <v>SUCMNONPROPORRSK_US_OLBF_</v>
      </c>
      <c r="H1424" s="9" t="s">
        <v>1137</v>
      </c>
      <c r="K1424" s="9">
        <f t="shared" si="356"/>
        <v>486</v>
      </c>
      <c r="L1424" s="9" t="str">
        <f t="shared" si="357"/>
        <v>G</v>
      </c>
      <c r="M1424" s="9" t="str">
        <f t="shared" si="358"/>
        <v>Input!G486</v>
      </c>
      <c r="N1424" s="9">
        <f>_xlfn.XLOOKUP(F1424,'Raw Data'!$I$4:$I$5000,'Raw Data'!$E$4:$E$5000,100,0)</f>
        <v>100</v>
      </c>
      <c r="O1424" s="9" t="str">
        <f>IF(N1424=0,_xlfn.XLOOKUP(F1424,'Raw Data'!$I$4:$I$5000,'Raw Data'!$H$4:$H$5000,"",0),"")</f>
        <v/>
      </c>
      <c r="P1424" s="9" t="str" cm="1">
        <f t="array" aca="1" ref="P1424" ca="1">IF(INDIRECT(M1424) = "","",INDIRECT(M1424))</f>
        <v/>
      </c>
      <c r="Q1424" s="359" t="s">
        <v>4381</v>
      </c>
    </row>
    <row r="1425" spans="1:17" x14ac:dyDescent="0.35">
      <c r="A1425" t="s">
        <v>2261</v>
      </c>
      <c r="B1425" t="s">
        <v>2315</v>
      </c>
      <c r="C1425" t="s">
        <v>377</v>
      </c>
      <c r="E1425" t="str">
        <f>_xlfn.XLOOKUP(F1425,'Raw Data'!$I$4:$I$5000,'Raw Data'!$D$4:$D$5000,"*** Mnemonic not found ***",0)</f>
        <v>*** Mnemonic not found ***</v>
      </c>
      <c r="F1425" t="str">
        <f t="shared" si="359"/>
        <v>SUCMNONPROPORRSK_US_AIR_</v>
      </c>
      <c r="H1425" s="9" t="s">
        <v>1137</v>
      </c>
      <c r="K1425" s="9">
        <f t="shared" si="356"/>
        <v>487</v>
      </c>
      <c r="L1425" s="9" t="str">
        <f t="shared" si="357"/>
        <v>G</v>
      </c>
      <c r="M1425" s="9" t="str">
        <f t="shared" si="358"/>
        <v>Input!G487</v>
      </c>
      <c r="N1425" s="9">
        <f>_xlfn.XLOOKUP(F1425,'Raw Data'!$I$4:$I$5000,'Raw Data'!$E$4:$E$5000,100,0)</f>
        <v>100</v>
      </c>
      <c r="O1425" s="9" t="str">
        <f>IF(N1425=0,_xlfn.XLOOKUP(F1425,'Raw Data'!$I$4:$I$5000,'Raw Data'!$H$4:$H$5000,"",0),"")</f>
        <v/>
      </c>
      <c r="P1425" s="9" t="str" cm="1">
        <f t="array" aca="1" ref="P1425" ca="1">IF(INDIRECT(M1425) = "","",INDIRECT(M1425))</f>
        <v/>
      </c>
      <c r="Q1425" s="359" t="s">
        <v>4381</v>
      </c>
    </row>
    <row r="1426" spans="1:17" x14ac:dyDescent="0.35">
      <c r="A1426" s="694" t="s">
        <v>2261</v>
      </c>
      <c r="B1426" t="s">
        <v>4308</v>
      </c>
      <c r="C1426" t="s">
        <v>4130</v>
      </c>
      <c r="E1426" t="str">
        <f>_xlfn.XLOOKUP(F1426,'Raw Data'!$I$4:$I$5000,'Raw Data'!$D$4:$D$5000,"*** Mnemonic not found ***",0)</f>
        <v>*** Mnemonic not found ***</v>
      </c>
      <c r="F1426" t="str">
        <f t="shared" si="359"/>
        <v>SUCMNONPROPORRSK_US_MPIN_</v>
      </c>
      <c r="H1426" s="9" t="s">
        <v>1137</v>
      </c>
      <c r="K1426" s="9">
        <f t="shared" si="356"/>
        <v>488</v>
      </c>
      <c r="L1426" s="9" t="str">
        <f t="shared" si="357"/>
        <v>G</v>
      </c>
      <c r="M1426" s="9" t="str">
        <f t="shared" si="358"/>
        <v>Input!G488</v>
      </c>
      <c r="N1426" s="9">
        <f>_xlfn.XLOOKUP(F1426,'Raw Data'!$I$4:$I$5000,'Raw Data'!$E$4:$E$5000,100,0)</f>
        <v>100</v>
      </c>
      <c r="O1426" s="9" t="str">
        <f>IF(N1426=0,_xlfn.XLOOKUP(F1426,'Raw Data'!$I$4:$I$5000,'Raw Data'!$H$4:$H$5000,"",0),"")</f>
        <v/>
      </c>
      <c r="P1426" s="9" t="str" cm="1">
        <f t="array" aca="1" ref="P1426" ca="1">IF(INDIRECT(M1426) = "","",INDIRECT(M1426))</f>
        <v/>
      </c>
      <c r="Q1426" s="359" t="s">
        <v>4381</v>
      </c>
    </row>
    <row r="1427" spans="1:17" x14ac:dyDescent="0.35">
      <c r="A1427" t="s">
        <v>2261</v>
      </c>
      <c r="B1427" t="s">
        <v>2316</v>
      </c>
      <c r="C1427" t="s">
        <v>996</v>
      </c>
      <c r="E1427" t="str">
        <f>_xlfn.XLOOKUP(F1427,'Raw Data'!$I$4:$I$5000,'Raw Data'!$D$4:$D$5000,"*** Mnemonic not found ***",0)</f>
        <v>*** Mnemonic not found ***</v>
      </c>
      <c r="F1427" t="str">
        <f t="shared" si="359"/>
        <v>SUCMNONPROPORRSK_US_OCM_</v>
      </c>
      <c r="H1427" s="9" t="s">
        <v>1137</v>
      </c>
      <c r="K1427" s="9">
        <f t="shared" si="356"/>
        <v>489</v>
      </c>
      <c r="L1427" s="9" t="str">
        <f t="shared" si="357"/>
        <v>G</v>
      </c>
      <c r="M1427" s="9" t="str">
        <f t="shared" ref="M1427" si="360">CONCATENATE(H1427,"!",L1427,K1427)</f>
        <v>Input!G489</v>
      </c>
      <c r="N1427" s="9">
        <f>_xlfn.XLOOKUP(F1427,'Raw Data'!$I$4:$I$5000,'Raw Data'!$E$4:$E$5000,100,0)</f>
        <v>100</v>
      </c>
      <c r="O1427" s="9" t="str">
        <f>IF(N1427=0,_xlfn.XLOOKUP(F1427,'Raw Data'!$I$4:$I$5000,'Raw Data'!$H$4:$H$5000,"",0),"")</f>
        <v/>
      </c>
      <c r="P1427" s="9" t="str" cm="1">
        <f t="array" aca="1" ref="P1427" ca="1">IF(INDIRECT(M1427) = "","",INDIRECT(M1427))</f>
        <v/>
      </c>
      <c r="Q1427" s="359" t="s">
        <v>4381</v>
      </c>
    </row>
    <row r="1428" spans="1:17" x14ac:dyDescent="0.35">
      <c r="A1428" t="s">
        <v>2261</v>
      </c>
      <c r="B1428" t="s">
        <v>2301</v>
      </c>
      <c r="C1428" t="s">
        <v>385</v>
      </c>
      <c r="E1428" t="str">
        <f>_xlfn.XLOOKUP(F1428,'Raw Data'!$I$4:$I$5000,'Raw Data'!$D$4:$D$5000,"*** Mnemonic not found ***",0)</f>
        <v>*** Mnemonic not found ***</v>
      </c>
      <c r="F1428" t="str">
        <f t="shared" si="359"/>
        <v>SUCMNONPROPORRSK_US_TITLE_</v>
      </c>
      <c r="H1428" s="9" t="s">
        <v>1137</v>
      </c>
      <c r="K1428" s="9">
        <f>K1427+1</f>
        <v>490</v>
      </c>
      <c r="L1428" s="9" t="str">
        <f>L1427</f>
        <v>G</v>
      </c>
      <c r="M1428" s="9" t="str">
        <f t="shared" si="358"/>
        <v>Input!G490</v>
      </c>
      <c r="N1428" s="9">
        <f>_xlfn.XLOOKUP(F1428,'Raw Data'!$I$4:$I$5000,'Raw Data'!$E$4:$E$5000,100,0)</f>
        <v>100</v>
      </c>
      <c r="O1428" s="9" t="str">
        <f>IF(N1428=0,_xlfn.XLOOKUP(F1428,'Raw Data'!$I$4:$I$5000,'Raw Data'!$H$4:$H$5000,"",0),"")</f>
        <v/>
      </c>
      <c r="P1428" s="9" t="str" cm="1">
        <f t="array" aca="1" ref="P1428" ca="1">IF(INDIRECT(M1428) = "","",INDIRECT(M1428))</f>
        <v/>
      </c>
      <c r="Q1428" s="359" t="s">
        <v>4381</v>
      </c>
    </row>
    <row r="1429" spans="1:17" x14ac:dyDescent="0.35">
      <c r="A1429" t="s">
        <v>2261</v>
      </c>
      <c r="B1429" t="s">
        <v>2317</v>
      </c>
      <c r="C1429" t="s">
        <v>380</v>
      </c>
      <c r="E1429" t="str">
        <f>_xlfn.XLOOKUP(F1429,'Raw Data'!$I$4:$I$5000,'Raw Data'!$D$4:$D$5000,"*** Mnemonic not found ***",0)</f>
        <v>*** Mnemonic not found ***</v>
      </c>
      <c r="F1429" t="str">
        <f t="shared" si="359"/>
        <v>SUCMNONPROPORRSK_US_WAR_</v>
      </c>
      <c r="H1429" s="9" t="s">
        <v>1137</v>
      </c>
      <c r="K1429" s="9">
        <f t="shared" si="356"/>
        <v>491</v>
      </c>
      <c r="L1429" s="9" t="str">
        <f t="shared" si="357"/>
        <v>G</v>
      </c>
      <c r="M1429" s="9" t="str">
        <f t="shared" si="358"/>
        <v>Input!G491</v>
      </c>
      <c r="N1429" s="9">
        <f>_xlfn.XLOOKUP(F1429,'Raw Data'!$I$4:$I$5000,'Raw Data'!$E$4:$E$5000,100,0)</f>
        <v>100</v>
      </c>
      <c r="O1429" s="9" t="str">
        <f>IF(N1429=0,_xlfn.XLOOKUP(F1429,'Raw Data'!$I$4:$I$5000,'Raw Data'!$H$4:$H$5000,"",0),"")</f>
        <v/>
      </c>
      <c r="P1429" s="9" t="str" cm="1">
        <f t="array" aca="1" ref="P1429" ca="1">IF(INDIRECT(M1429) = "","",INDIRECT(M1429))</f>
        <v/>
      </c>
      <c r="Q1429" s="359" t="s">
        <v>4381</v>
      </c>
    </row>
    <row r="1430" spans="1:17" x14ac:dyDescent="0.35">
      <c r="A1430" t="s">
        <v>2261</v>
      </c>
      <c r="B1430" t="s">
        <v>2283</v>
      </c>
      <c r="C1430" t="s">
        <v>262</v>
      </c>
      <c r="E1430" t="str">
        <f>_xlfn.XLOOKUP(F1430,'Raw Data'!$I$4:$I$5000,'Raw Data'!$D$4:$D$5000,"*** Mnemonic not found ***",0)</f>
        <v>*** Mnemonic not found ***</v>
      </c>
      <c r="F1430" t="str">
        <f t="shared" si="359"/>
        <v>SUCMNONPROPORRSK_US_OCAH_</v>
      </c>
      <c r="H1430" s="9" t="s">
        <v>1137</v>
      </c>
      <c r="K1430" s="9">
        <f t="shared" si="356"/>
        <v>492</v>
      </c>
      <c r="L1430" s="9" t="str">
        <f t="shared" si="357"/>
        <v>G</v>
      </c>
      <c r="M1430" s="9" t="str">
        <f t="shared" si="358"/>
        <v>Input!G492</v>
      </c>
      <c r="N1430" s="9">
        <f>_xlfn.XLOOKUP(F1430,'Raw Data'!$I$4:$I$5000,'Raw Data'!$E$4:$E$5000,100,0)</f>
        <v>100</v>
      </c>
      <c r="O1430" s="9" t="str">
        <f>IF(N1430=0,_xlfn.XLOOKUP(F1430,'Raw Data'!$I$4:$I$5000,'Raw Data'!$H$4:$H$5000,"",0),"")</f>
        <v/>
      </c>
      <c r="P1430" s="9" t="str" cm="1">
        <f t="array" aca="1" ref="P1430" ca="1">IF(INDIRECT(M1430) = "","",INDIRECT(M1430))</f>
        <v/>
      </c>
      <c r="Q1430" s="359" t="s">
        <v>4381</v>
      </c>
    </row>
    <row r="1431" spans="1:17" x14ac:dyDescent="0.35">
      <c r="A1431" t="s">
        <v>2262</v>
      </c>
      <c r="B1431" t="s">
        <v>2271</v>
      </c>
      <c r="C1431" t="s">
        <v>260</v>
      </c>
      <c r="E1431" t="str">
        <f>_xlfn.XLOOKUP(F1431,'Raw Data'!$I$4:$I$5000,'Raw Data'!$D$4:$D$5000,"*** Mnemonic not found ***",0)</f>
        <v>*** Mnemonic not found ***</v>
      </c>
      <c r="F1431" t="str">
        <f t="shared" si="359"/>
        <v>SUCMPROPORRSK_CN_LIA_</v>
      </c>
      <c r="G1431" t="s">
        <v>2264</v>
      </c>
      <c r="H1431" s="9" t="s">
        <v>1137</v>
      </c>
      <c r="I1431" s="289">
        <f>ROW(section_non_life_prem)</f>
        <v>437</v>
      </c>
      <c r="J1431" s="9">
        <v>57</v>
      </c>
      <c r="K1431" s="9">
        <f>I1431+J1431</f>
        <v>494</v>
      </c>
      <c r="L1431" s="9" t="s">
        <v>1124</v>
      </c>
      <c r="M1431" s="9" t="str">
        <f t="shared" si="358"/>
        <v>Input!F494</v>
      </c>
      <c r="N1431" s="9">
        <f>_xlfn.XLOOKUP(F1431,'Raw Data'!$I$4:$I$5000,'Raw Data'!$E$4:$E$5000,100,0)</f>
        <v>100</v>
      </c>
      <c r="O1431" s="9" t="str">
        <f>IF(N1431=0,_xlfn.XLOOKUP(F1431,'Raw Data'!$I$4:$I$5000,'Raw Data'!$H$4:$H$5000,"",0),"")</f>
        <v/>
      </c>
      <c r="P1431" s="9" t="str" cm="1">
        <f t="array" aca="1" ref="P1431" ca="1">IF(INDIRECT(M1431) = "","",INDIRECT(M1431))</f>
        <v/>
      </c>
      <c r="Q1431" s="359" t="s">
        <v>4381</v>
      </c>
    </row>
    <row r="1432" spans="1:17" x14ac:dyDescent="0.35">
      <c r="A1432" t="s">
        <v>2262</v>
      </c>
      <c r="B1432" t="s">
        <v>2291</v>
      </c>
      <c r="C1432" t="s">
        <v>989</v>
      </c>
      <c r="E1432" t="str">
        <f>_xlfn.XLOOKUP(F1432,'Raw Data'!$I$4:$I$5000,'Raw Data'!$D$4:$D$5000,"*** Mnemonic not found ***",0)</f>
        <v>*** Mnemonic not found ***</v>
      </c>
      <c r="F1432" t="str">
        <f t="shared" si="359"/>
        <v>SUCMPROPORRSK_CN_BLM_</v>
      </c>
      <c r="H1432" s="9" t="s">
        <v>1137</v>
      </c>
      <c r="K1432" s="9">
        <f>K1431+1</f>
        <v>495</v>
      </c>
      <c r="L1432" s="9" t="str">
        <f>L1431</f>
        <v>F</v>
      </c>
      <c r="M1432" s="9" t="str">
        <f t="shared" si="358"/>
        <v>Input!F495</v>
      </c>
      <c r="N1432" s="9">
        <f>_xlfn.XLOOKUP(F1432,'Raw Data'!$I$4:$I$5000,'Raw Data'!$E$4:$E$5000,100,0)</f>
        <v>100</v>
      </c>
      <c r="O1432" s="9" t="str">
        <f>IF(N1432=0,_xlfn.XLOOKUP(F1432,'Raw Data'!$I$4:$I$5000,'Raw Data'!$H$4:$H$5000,"",0),"")</f>
        <v/>
      </c>
      <c r="P1432" s="9" t="str" cm="1">
        <f t="array" aca="1" ref="P1432" ca="1">IF(INDIRECT(M1432) = "","",INDIRECT(M1432))</f>
        <v/>
      </c>
      <c r="Q1432" s="359" t="s">
        <v>4381</v>
      </c>
    </row>
    <row r="1433" spans="1:17" x14ac:dyDescent="0.35">
      <c r="A1433" t="s">
        <v>2262</v>
      </c>
      <c r="B1433" t="s">
        <v>2318</v>
      </c>
      <c r="C1433" t="s">
        <v>997</v>
      </c>
      <c r="E1433" t="str">
        <f>_xlfn.XLOOKUP(F1433,'Raw Data'!$I$4:$I$5000,'Raw Data'!$D$4:$D$5000,"*** Mnemonic not found ***",0)</f>
        <v>*** Mnemonic not found ***</v>
      </c>
      <c r="F1433" t="str">
        <f t="shared" si="359"/>
        <v>SUCMPROPORRSK_CN_CMPR_</v>
      </c>
      <c r="H1433" s="9" t="s">
        <v>1137</v>
      </c>
      <c r="K1433" s="9">
        <f t="shared" ref="K1433:K1452" si="361">K1432+1</f>
        <v>496</v>
      </c>
      <c r="L1433" s="9" t="str">
        <f t="shared" ref="L1433:L1452" si="362">L1432</f>
        <v>F</v>
      </c>
      <c r="M1433" s="9" t="str">
        <f t="shared" si="358"/>
        <v>Input!F496</v>
      </c>
      <c r="N1433" s="9">
        <f>_xlfn.XLOOKUP(F1433,'Raw Data'!$I$4:$I$5000,'Raw Data'!$E$4:$E$5000,100,0)</f>
        <v>100</v>
      </c>
      <c r="O1433" s="9" t="str">
        <f>IF(N1433=0,_xlfn.XLOOKUP(F1433,'Raw Data'!$I$4:$I$5000,'Raw Data'!$H$4:$H$5000,"",0),"")</f>
        <v/>
      </c>
      <c r="P1433" s="9" t="str" cm="1">
        <f t="array" aca="1" ref="P1433" ca="1">IF(INDIRECT(M1433) = "","",INDIRECT(M1433))</f>
        <v/>
      </c>
      <c r="Q1433" s="359" t="s">
        <v>4381</v>
      </c>
    </row>
    <row r="1434" spans="1:17" x14ac:dyDescent="0.35">
      <c r="A1434" t="s">
        <v>2262</v>
      </c>
      <c r="B1434" t="s">
        <v>2319</v>
      </c>
      <c r="C1434" t="s">
        <v>383</v>
      </c>
      <c r="E1434" t="str">
        <f>_xlfn.XLOOKUP(F1434,'Raw Data'!$I$4:$I$5000,'Raw Data'!$D$4:$D$5000,"*** Mnemonic not found ***",0)</f>
        <v>*** Mnemonic not found ***</v>
      </c>
      <c r="F1434" t="str">
        <f t="shared" si="359"/>
        <v>SUCMPROPORRSK_CN_HAIL_</v>
      </c>
      <c r="H1434" s="9" t="s">
        <v>1137</v>
      </c>
      <c r="K1434" s="9">
        <f t="shared" si="361"/>
        <v>497</v>
      </c>
      <c r="L1434" s="9" t="str">
        <f t="shared" si="362"/>
        <v>F</v>
      </c>
      <c r="M1434" s="9" t="str">
        <f t="shared" si="358"/>
        <v>Input!F497</v>
      </c>
      <c r="N1434" s="9">
        <f>_xlfn.XLOOKUP(F1434,'Raw Data'!$I$4:$I$5000,'Raw Data'!$E$4:$E$5000,100,0)</f>
        <v>100</v>
      </c>
      <c r="O1434" s="9" t="str">
        <f>IF(N1434=0,_xlfn.XLOOKUP(F1434,'Raw Data'!$I$4:$I$5000,'Raw Data'!$H$4:$H$5000,"",0),"")</f>
        <v/>
      </c>
      <c r="P1434" s="9" t="str" cm="1">
        <f t="array" aca="1" ref="P1434" ca="1">IF(INDIRECT(M1434) = "","",INDIRECT(M1434))</f>
        <v/>
      </c>
      <c r="Q1434" s="359" t="s">
        <v>4381</v>
      </c>
    </row>
    <row r="1435" spans="1:17" x14ac:dyDescent="0.35">
      <c r="A1435" t="s">
        <v>2262</v>
      </c>
      <c r="B1435" t="s">
        <v>2320</v>
      </c>
      <c r="C1435" t="s">
        <v>998</v>
      </c>
      <c r="E1435" t="str">
        <f>_xlfn.XLOOKUP(F1435,'Raw Data'!$I$4:$I$5000,'Raw Data'!$D$4:$D$5000,"*** Mnemonic not found ***",0)</f>
        <v>*** Mnemonic not found ***</v>
      </c>
      <c r="F1435" t="str">
        <f t="shared" si="359"/>
        <v>SUCMPROPORRSK_CN_PPR_</v>
      </c>
      <c r="H1435" s="9" t="s">
        <v>1137</v>
      </c>
      <c r="K1435" s="9">
        <f t="shared" si="361"/>
        <v>498</v>
      </c>
      <c r="L1435" s="9" t="str">
        <f t="shared" si="362"/>
        <v>F</v>
      </c>
      <c r="M1435" s="9" t="str">
        <f t="shared" si="358"/>
        <v>Input!F498</v>
      </c>
      <c r="N1435" s="9">
        <f>_xlfn.XLOOKUP(F1435,'Raw Data'!$I$4:$I$5000,'Raw Data'!$E$4:$E$5000,100,0)</f>
        <v>100</v>
      </c>
      <c r="O1435" s="9" t="str">
        <f>IF(N1435=0,_xlfn.XLOOKUP(F1435,'Raw Data'!$I$4:$I$5000,'Raw Data'!$H$4:$H$5000,"",0),"")</f>
        <v/>
      </c>
      <c r="P1435" s="9" t="str" cm="1">
        <f t="array" aca="1" ref="P1435" ca="1">IF(INDIRECT(M1435) = "","",INDIRECT(M1435))</f>
        <v/>
      </c>
      <c r="Q1435" s="359" t="s">
        <v>4381</v>
      </c>
    </row>
    <row r="1436" spans="1:17" x14ac:dyDescent="0.35">
      <c r="A1436" t="s">
        <v>2262</v>
      </c>
      <c r="B1436" t="s">
        <v>2274</v>
      </c>
      <c r="C1436" t="s">
        <v>999</v>
      </c>
      <c r="E1436" t="str">
        <f>_xlfn.XLOOKUP(F1436,'Raw Data'!$I$4:$I$5000,'Raw Data'!$D$4:$D$5000,"*** Mnemonic not found ***",0)</f>
        <v>*** Mnemonic not found ***</v>
      </c>
      <c r="F1436" t="str">
        <f t="shared" si="359"/>
        <v>SUCMPROPORRSK_CN_ALB_</v>
      </c>
      <c r="H1436" s="9" t="s">
        <v>1137</v>
      </c>
      <c r="K1436" s="9">
        <f t="shared" si="361"/>
        <v>499</v>
      </c>
      <c r="L1436" s="9" t="str">
        <f t="shared" si="362"/>
        <v>F</v>
      </c>
      <c r="M1436" s="9" t="str">
        <f t="shared" si="358"/>
        <v>Input!F499</v>
      </c>
      <c r="N1436" s="9">
        <f>_xlfn.XLOOKUP(F1436,'Raw Data'!$I$4:$I$5000,'Raw Data'!$E$4:$E$5000,100,0)</f>
        <v>100</v>
      </c>
      <c r="O1436" s="9" t="str">
        <f>IF(N1436=0,_xlfn.XLOOKUP(F1436,'Raw Data'!$I$4:$I$5000,'Raw Data'!$H$4:$H$5000,"",0),"")</f>
        <v/>
      </c>
      <c r="P1436" s="9" t="str" cm="1">
        <f t="array" aca="1" ref="P1436" ca="1">IF(INDIRECT(M1436) = "","",INDIRECT(M1436))</f>
        <v/>
      </c>
      <c r="Q1436" s="359" t="s">
        <v>4381</v>
      </c>
    </row>
    <row r="1437" spans="1:17" x14ac:dyDescent="0.35">
      <c r="A1437" t="s">
        <v>2262</v>
      </c>
      <c r="B1437" t="s">
        <v>2321</v>
      </c>
      <c r="C1437" t="s">
        <v>1000</v>
      </c>
      <c r="E1437" t="str">
        <f>_xlfn.XLOOKUP(F1437,'Raw Data'!$I$4:$I$5000,'Raw Data'!$D$4:$D$5000,"*** Mnemonic not found ***",0)</f>
        <v>*** Mnemonic not found ***</v>
      </c>
      <c r="F1437" t="str">
        <f t="shared" si="359"/>
        <v>SUCMPROPORRSK_CN_ATOTH_</v>
      </c>
      <c r="H1437" s="9" t="s">
        <v>1137</v>
      </c>
      <c r="K1437" s="9">
        <f t="shared" si="361"/>
        <v>500</v>
      </c>
      <c r="L1437" s="9" t="str">
        <f t="shared" si="362"/>
        <v>F</v>
      </c>
      <c r="M1437" s="9" t="str">
        <f t="shared" si="358"/>
        <v>Input!F500</v>
      </c>
      <c r="N1437" s="9">
        <f>_xlfn.XLOOKUP(F1437,'Raw Data'!$I$4:$I$5000,'Raw Data'!$E$4:$E$5000,100,0)</f>
        <v>100</v>
      </c>
      <c r="O1437" s="9" t="str">
        <f>IF(N1437=0,_xlfn.XLOOKUP(F1437,'Raw Data'!$I$4:$I$5000,'Raw Data'!$H$4:$H$5000,"",0),"")</f>
        <v/>
      </c>
      <c r="P1437" s="9" t="str" cm="1">
        <f t="array" aca="1" ref="P1437" ca="1">IF(INDIRECT(M1437) = "","",INDIRECT(M1437))</f>
        <v/>
      </c>
      <c r="Q1437" s="359" t="s">
        <v>4381</v>
      </c>
    </row>
    <row r="1438" spans="1:17" x14ac:dyDescent="0.35">
      <c r="A1438" t="s">
        <v>2262</v>
      </c>
      <c r="B1438" t="s">
        <v>2322</v>
      </c>
      <c r="C1438" t="s">
        <v>1001</v>
      </c>
      <c r="E1438" t="str">
        <f>_xlfn.XLOOKUP(F1438,'Raw Data'!$I$4:$I$5000,'Raw Data'!$D$4:$D$5000,"*** Mnemonic not found ***",0)</f>
        <v>*** Mnemonic not found ***</v>
      </c>
      <c r="F1438" t="str">
        <f t="shared" si="359"/>
        <v>SUCMPROPORRSK_CN_ATPAC_</v>
      </c>
      <c r="H1438" s="9" t="s">
        <v>1137</v>
      </c>
      <c r="K1438" s="9">
        <f t="shared" si="361"/>
        <v>501</v>
      </c>
      <c r="L1438" s="9" t="str">
        <f t="shared" si="362"/>
        <v>F</v>
      </c>
      <c r="M1438" s="9" t="str">
        <f t="shared" si="358"/>
        <v>Input!F501</v>
      </c>
      <c r="N1438" s="9">
        <f>_xlfn.XLOOKUP(F1438,'Raw Data'!$I$4:$I$5000,'Raw Data'!$E$4:$E$5000,100,0)</f>
        <v>100</v>
      </c>
      <c r="O1438" s="9" t="str">
        <f>IF(N1438=0,_xlfn.XLOOKUP(F1438,'Raw Data'!$I$4:$I$5000,'Raw Data'!$H$4:$H$5000,"",0),"")</f>
        <v/>
      </c>
      <c r="P1438" s="9" t="str" cm="1">
        <f t="array" aca="1" ref="P1438" ca="1">IF(INDIRECT(M1438) = "","",INDIRECT(M1438))</f>
        <v/>
      </c>
      <c r="Q1438" s="359" t="s">
        <v>4381</v>
      </c>
    </row>
    <row r="1439" spans="1:17" x14ac:dyDescent="0.35">
      <c r="A1439" t="s">
        <v>2262</v>
      </c>
      <c r="B1439" t="s">
        <v>2298</v>
      </c>
      <c r="C1439" t="s">
        <v>374</v>
      </c>
      <c r="E1439" t="str">
        <f>_xlfn.XLOOKUP(F1439,'Raw Data'!$I$4:$I$5000,'Raw Data'!$D$4:$D$5000,"*** Mnemonic not found ***",0)</f>
        <v>*** Mnemonic not found ***</v>
      </c>
      <c r="F1439" t="str">
        <f t="shared" si="359"/>
        <v>SUCMPROPORRSK_CN_CRD_</v>
      </c>
      <c r="H1439" s="9" t="s">
        <v>1137</v>
      </c>
      <c r="K1439" s="9">
        <f t="shared" si="361"/>
        <v>502</v>
      </c>
      <c r="L1439" s="9" t="str">
        <f t="shared" si="362"/>
        <v>F</v>
      </c>
      <c r="M1439" s="9" t="str">
        <f t="shared" si="358"/>
        <v>Input!F502</v>
      </c>
      <c r="N1439" s="9">
        <f>_xlfn.XLOOKUP(F1439,'Raw Data'!$I$4:$I$5000,'Raw Data'!$E$4:$E$5000,100,0)</f>
        <v>100</v>
      </c>
      <c r="O1439" s="9" t="str">
        <f>IF(N1439=0,_xlfn.XLOOKUP(F1439,'Raw Data'!$I$4:$I$5000,'Raw Data'!$H$4:$H$5000,"",0),"")</f>
        <v/>
      </c>
      <c r="P1439" s="9" t="str" cm="1">
        <f t="array" aca="1" ref="P1439" ca="1">IF(INDIRECT(M1439) = "","",INDIRECT(M1439))</f>
        <v/>
      </c>
      <c r="Q1439" s="359" t="s">
        <v>4381</v>
      </c>
    </row>
    <row r="1440" spans="1:17" x14ac:dyDescent="0.35">
      <c r="A1440" t="s">
        <v>2262</v>
      </c>
      <c r="B1440" t="s">
        <v>2323</v>
      </c>
      <c r="C1440" t="s">
        <v>1002</v>
      </c>
      <c r="E1440" t="str">
        <f>_xlfn.XLOOKUP(F1440,'Raw Data'!$I$4:$I$5000,'Raw Data'!$D$4:$D$5000,"*** Mnemonic not found ***",0)</f>
        <v>*** Mnemonic not found ***</v>
      </c>
      <c r="F1440" t="str">
        <f t="shared" si="359"/>
        <v>SUCMPROPORRSK_CN_CRPR_</v>
      </c>
      <c r="H1440" s="9" t="s">
        <v>1137</v>
      </c>
      <c r="K1440" s="9">
        <f t="shared" si="361"/>
        <v>503</v>
      </c>
      <c r="L1440" s="9" t="str">
        <f t="shared" si="362"/>
        <v>F</v>
      </c>
      <c r="M1440" s="9" t="str">
        <f t="shared" si="358"/>
        <v>Input!F503</v>
      </c>
      <c r="N1440" s="9">
        <f>_xlfn.XLOOKUP(F1440,'Raw Data'!$I$4:$I$5000,'Raw Data'!$E$4:$E$5000,100,0)</f>
        <v>100</v>
      </c>
      <c r="O1440" s="9" t="str">
        <f>IF(N1440=0,_xlfn.XLOOKUP(F1440,'Raw Data'!$I$4:$I$5000,'Raw Data'!$H$4:$H$5000,"",0),"")</f>
        <v/>
      </c>
      <c r="P1440" s="9" t="str" cm="1">
        <f t="array" aca="1" ref="P1440" ca="1">IF(INDIRECT(M1440) = "","",INDIRECT(M1440))</f>
        <v/>
      </c>
      <c r="Q1440" s="359" t="s">
        <v>4381</v>
      </c>
    </row>
    <row r="1441" spans="1:17" x14ac:dyDescent="0.35">
      <c r="A1441" t="s">
        <v>2262</v>
      </c>
      <c r="B1441" t="s">
        <v>2324</v>
      </c>
      <c r="C1441" t="s">
        <v>375</v>
      </c>
      <c r="E1441" t="str">
        <f>_xlfn.XLOOKUP(F1441,'Raw Data'!$I$4:$I$5000,'Raw Data'!$D$4:$D$5000,"*** Mnemonic not found ***",0)</f>
        <v>*** Mnemonic not found ***</v>
      </c>
      <c r="F1441" t="str">
        <f t="shared" si="359"/>
        <v>SUCMPROPORRSK_CN_FID_</v>
      </c>
      <c r="H1441" s="9" t="s">
        <v>1137</v>
      </c>
      <c r="K1441" s="9">
        <f t="shared" si="361"/>
        <v>504</v>
      </c>
      <c r="L1441" s="9" t="str">
        <f t="shared" si="362"/>
        <v>F</v>
      </c>
      <c r="M1441" s="9" t="str">
        <f t="shared" si="358"/>
        <v>Input!F504</v>
      </c>
      <c r="N1441" s="9">
        <f>_xlfn.XLOOKUP(F1441,'Raw Data'!$I$4:$I$5000,'Raw Data'!$E$4:$E$5000,100,0)</f>
        <v>100</v>
      </c>
      <c r="O1441" s="9" t="str">
        <f>IF(N1441=0,_xlfn.XLOOKUP(F1441,'Raw Data'!$I$4:$I$5000,'Raw Data'!$H$4:$H$5000,"",0),"")</f>
        <v/>
      </c>
      <c r="P1441" s="9" t="str" cm="1">
        <f t="array" aca="1" ref="P1441" ca="1">IF(INDIRECT(M1441) = "","",INDIRECT(M1441))</f>
        <v/>
      </c>
      <c r="Q1441" s="359" t="s">
        <v>4381</v>
      </c>
    </row>
    <row r="1442" spans="1:17" x14ac:dyDescent="0.35">
      <c r="A1442" t="s">
        <v>2262</v>
      </c>
      <c r="B1442" t="s">
        <v>2325</v>
      </c>
      <c r="C1442" t="s">
        <v>376</v>
      </c>
      <c r="E1442" t="str">
        <f>_xlfn.XLOOKUP(F1442,'Raw Data'!$I$4:$I$5000,'Raw Data'!$D$4:$D$5000,"*** Mnemonic not found ***",0)</f>
        <v>*** Mnemonic not found ***</v>
      </c>
      <c r="F1442" t="str">
        <f t="shared" si="359"/>
        <v>SUCMPROPORRSK_CN_SUR_</v>
      </c>
      <c r="H1442" s="9" t="s">
        <v>1137</v>
      </c>
      <c r="K1442" s="9">
        <f t="shared" si="361"/>
        <v>505</v>
      </c>
      <c r="L1442" s="9" t="str">
        <f t="shared" si="362"/>
        <v>F</v>
      </c>
      <c r="M1442" s="9" t="str">
        <f t="shared" si="358"/>
        <v>Input!F505</v>
      </c>
      <c r="N1442" s="9">
        <f>_xlfn.XLOOKUP(F1442,'Raw Data'!$I$4:$I$5000,'Raw Data'!$E$4:$E$5000,100,0)</f>
        <v>100</v>
      </c>
      <c r="O1442" s="9" t="str">
        <f>IF(N1442=0,_xlfn.XLOOKUP(F1442,'Raw Data'!$I$4:$I$5000,'Raw Data'!$H$4:$H$5000,"",0),"")</f>
        <v/>
      </c>
      <c r="P1442" s="9" t="str" cm="1">
        <f t="array" aca="1" ref="P1442" ca="1">IF(INDIRECT(M1442) = "","",INDIRECT(M1442))</f>
        <v/>
      </c>
      <c r="Q1442" s="359" t="s">
        <v>4381</v>
      </c>
    </row>
    <row r="1443" spans="1:17" x14ac:dyDescent="0.35">
      <c r="A1443" t="s">
        <v>2262</v>
      </c>
      <c r="B1443" t="s">
        <v>2326</v>
      </c>
      <c r="C1443" t="s">
        <v>4144</v>
      </c>
      <c r="E1443" t="str">
        <f>_xlfn.XLOOKUP(F1443,'Raw Data'!$I$4:$I$5000,'Raw Data'!$D$4:$D$5000,"*** Mnemonic not found ***",0)</f>
        <v>*** Mnemonic not found ***</v>
      </c>
      <c r="F1443" t="str">
        <f t="shared" si="359"/>
        <v>SUCMPROPORRSK_CN_ACSK_</v>
      </c>
      <c r="H1443" s="9" t="s">
        <v>1137</v>
      </c>
      <c r="K1443" s="9">
        <f t="shared" si="361"/>
        <v>506</v>
      </c>
      <c r="L1443" s="9" t="str">
        <f t="shared" si="362"/>
        <v>F</v>
      </c>
      <c r="M1443" s="9" t="str">
        <f t="shared" si="358"/>
        <v>Input!F506</v>
      </c>
      <c r="N1443" s="9">
        <f>_xlfn.XLOOKUP(F1443,'Raw Data'!$I$4:$I$5000,'Raw Data'!$E$4:$E$5000,100,0)</f>
        <v>100</v>
      </c>
      <c r="O1443" s="9" t="str">
        <f>IF(N1443=0,_xlfn.XLOOKUP(F1443,'Raw Data'!$I$4:$I$5000,'Raw Data'!$H$4:$H$5000,"",0),"")</f>
        <v/>
      </c>
      <c r="P1443" s="9" t="str" cm="1">
        <f t="array" aca="1" ref="P1443" ca="1">IF(INDIRECT(M1443) = "","",INDIRECT(M1443))</f>
        <v/>
      </c>
      <c r="Q1443" s="359" t="s">
        <v>4381</v>
      </c>
    </row>
    <row r="1444" spans="1:17" x14ac:dyDescent="0.35">
      <c r="A1444" s="694" t="s">
        <v>2262</v>
      </c>
      <c r="B1444" s="694" t="s">
        <v>4309</v>
      </c>
      <c r="C1444" s="694" t="s">
        <v>4094</v>
      </c>
      <c r="E1444" t="str">
        <f>_xlfn.XLOOKUP(F1444,'Raw Data'!$I$4:$I$5000,'Raw Data'!$D$4:$D$5000,"*** Mnemonic not found ***",0)</f>
        <v>*** Mnemonic not found ***</v>
      </c>
      <c r="F1444" t="str">
        <f t="shared" si="359"/>
        <v>SUCMPROPORRSK_CN_SUPH_</v>
      </c>
      <c r="H1444" s="9" t="s">
        <v>1137</v>
      </c>
      <c r="K1444" s="9">
        <f t="shared" si="361"/>
        <v>507</v>
      </c>
      <c r="L1444" s="9" t="str">
        <f t="shared" si="362"/>
        <v>F</v>
      </c>
      <c r="M1444" s="9" t="str">
        <f t="shared" si="358"/>
        <v>Input!F507</v>
      </c>
      <c r="N1444" s="9">
        <f>_xlfn.XLOOKUP(F1444,'Raw Data'!$I$4:$I$5000,'Raw Data'!$E$4:$E$5000,100,0)</f>
        <v>100</v>
      </c>
      <c r="O1444" s="9" t="str">
        <f>IF(N1444=0,_xlfn.XLOOKUP(F1444,'Raw Data'!$I$4:$I$5000,'Raw Data'!$H$4:$H$5000,"",0),"")</f>
        <v/>
      </c>
      <c r="P1444" s="9" t="str" cm="1">
        <f t="array" aca="1" ref="P1444" ca="1">IF(INDIRECT(M1444) = "","",INDIRECT(M1444))</f>
        <v/>
      </c>
      <c r="Q1444" s="359" t="s">
        <v>4381</v>
      </c>
    </row>
    <row r="1445" spans="1:17" x14ac:dyDescent="0.35">
      <c r="A1445" t="s">
        <v>2262</v>
      </c>
      <c r="B1445" t="s">
        <v>2315</v>
      </c>
      <c r="C1445" t="s">
        <v>377</v>
      </c>
      <c r="E1445" t="str">
        <f>_xlfn.XLOOKUP(F1445,'Raw Data'!$I$4:$I$5000,'Raw Data'!$D$4:$D$5000,"*** Mnemonic not found ***",0)</f>
        <v>*** Mnemonic not found ***</v>
      </c>
      <c r="F1445" t="str">
        <f t="shared" si="359"/>
        <v>SUCMPROPORRSK_CN_AIR_</v>
      </c>
      <c r="H1445" s="9" t="s">
        <v>1137</v>
      </c>
      <c r="K1445" s="9">
        <f t="shared" si="361"/>
        <v>508</v>
      </c>
      <c r="L1445" s="9" t="str">
        <f t="shared" si="362"/>
        <v>F</v>
      </c>
      <c r="M1445" s="9" t="str">
        <f t="shared" ref="M1445" si="363">CONCATENATE(H1445,"!",L1445,K1445)</f>
        <v>Input!F508</v>
      </c>
      <c r="N1445" s="9">
        <f>_xlfn.XLOOKUP(F1445,'Raw Data'!$I$4:$I$5000,'Raw Data'!$E$4:$E$5000,100,0)</f>
        <v>100</v>
      </c>
      <c r="O1445" s="9" t="str">
        <f>IF(N1445=0,_xlfn.XLOOKUP(F1445,'Raw Data'!$I$4:$I$5000,'Raw Data'!$H$4:$H$5000,"",0),"")</f>
        <v/>
      </c>
      <c r="P1445" s="9" t="str" cm="1">
        <f t="array" aca="1" ref="P1445" ca="1">IF(INDIRECT(M1445) = "","",INDIRECT(M1445))</f>
        <v/>
      </c>
      <c r="Q1445" s="359" t="s">
        <v>4381</v>
      </c>
    </row>
    <row r="1446" spans="1:17" x14ac:dyDescent="0.35">
      <c r="A1446" t="s">
        <v>2262</v>
      </c>
      <c r="B1446" t="s">
        <v>2316</v>
      </c>
      <c r="C1446" t="s">
        <v>384</v>
      </c>
      <c r="E1446" t="str">
        <f>_xlfn.XLOOKUP(F1446,'Raw Data'!$I$4:$I$5000,'Raw Data'!$D$4:$D$5000,"*** Mnemonic not found ***",0)</f>
        <v>*** Mnemonic not found ***</v>
      </c>
      <c r="F1446" t="str">
        <f t="shared" si="359"/>
        <v>SUCMPROPORRSK_CN_OCM_</v>
      </c>
      <c r="H1446" s="9" t="s">
        <v>1137</v>
      </c>
      <c r="K1446" s="9">
        <f>K1445+1</f>
        <v>509</v>
      </c>
      <c r="L1446" s="9" t="str">
        <f>L1445</f>
        <v>F</v>
      </c>
      <c r="M1446" s="9" t="str">
        <f t="shared" si="358"/>
        <v>Input!F509</v>
      </c>
      <c r="N1446" s="9">
        <f>_xlfn.XLOOKUP(F1446,'Raw Data'!$I$4:$I$5000,'Raw Data'!$E$4:$E$5000,100,0)</f>
        <v>100</v>
      </c>
      <c r="O1446" s="9" t="str">
        <f>IF(N1446=0,_xlfn.XLOOKUP(F1446,'Raw Data'!$I$4:$I$5000,'Raw Data'!$H$4:$H$5000,"",0),"")</f>
        <v/>
      </c>
      <c r="P1446" s="9" t="str" cm="1">
        <f t="array" aca="1" ref="P1446" ca="1">IF(INDIRECT(M1446) = "","",INDIRECT(M1446))</f>
        <v/>
      </c>
      <c r="Q1446" s="359" t="s">
        <v>4381</v>
      </c>
    </row>
    <row r="1447" spans="1:17" x14ac:dyDescent="0.35">
      <c r="A1447" s="694" t="s">
        <v>2262</v>
      </c>
      <c r="B1447" s="694" t="s">
        <v>4308</v>
      </c>
      <c r="C1447" s="694" t="s">
        <v>4130</v>
      </c>
      <c r="E1447" t="str">
        <f>_xlfn.XLOOKUP(F1447,'Raw Data'!$I$4:$I$5000,'Raw Data'!$D$4:$D$5000,"*** Mnemonic not found ***",0)</f>
        <v>*** Mnemonic not found ***</v>
      </c>
      <c r="F1447" t="str">
        <f t="shared" si="359"/>
        <v>SUCMPROPORRSK_CN_MPIN_</v>
      </c>
      <c r="H1447" s="9" t="s">
        <v>1137</v>
      </c>
      <c r="K1447" s="9">
        <f t="shared" si="361"/>
        <v>510</v>
      </c>
      <c r="L1447" s="9" t="str">
        <f t="shared" si="362"/>
        <v>F</v>
      </c>
      <c r="M1447" s="9" t="str">
        <f t="shared" si="358"/>
        <v>Input!F510</v>
      </c>
      <c r="N1447" s="9">
        <f>_xlfn.XLOOKUP(F1447,'Raw Data'!$I$4:$I$5000,'Raw Data'!$E$4:$E$5000,100,0)</f>
        <v>100</v>
      </c>
      <c r="O1447" s="9" t="str">
        <f>IF(N1447=0,_xlfn.XLOOKUP(F1447,'Raw Data'!$I$4:$I$5000,'Raw Data'!$H$4:$H$5000,"",0),"")</f>
        <v/>
      </c>
      <c r="P1447" s="9" t="str" cm="1">
        <f t="array" aca="1" ref="P1447" ca="1">IF(INDIRECT(M1447) = "","",INDIRECT(M1447))</f>
        <v/>
      </c>
      <c r="Q1447" s="359" t="s">
        <v>4381</v>
      </c>
    </row>
    <row r="1448" spans="1:17" x14ac:dyDescent="0.35">
      <c r="A1448" t="s">
        <v>2262</v>
      </c>
      <c r="B1448" t="s">
        <v>2282</v>
      </c>
      <c r="C1448" t="s">
        <v>988</v>
      </c>
      <c r="E1448" t="str">
        <f>_xlfn.XLOOKUP(F1448,'Raw Data'!$I$4:$I$5000,'Raw Data'!$D$4:$D$5000,"*** Mnemonic not found ***",0)</f>
        <v>*** Mnemonic not found ***</v>
      </c>
      <c r="F1448" t="str">
        <f t="shared" si="359"/>
        <v>SUCMPROPORRSK_CN_LEGEX_</v>
      </c>
      <c r="H1448" s="9" t="s">
        <v>1137</v>
      </c>
      <c r="K1448" s="9">
        <f t="shared" si="361"/>
        <v>511</v>
      </c>
      <c r="L1448" s="9" t="str">
        <f t="shared" si="362"/>
        <v>F</v>
      </c>
      <c r="M1448" s="9" t="str">
        <f t="shared" ref="M1448" si="364">CONCATENATE(H1448,"!",L1448,K1448)</f>
        <v>Input!F511</v>
      </c>
      <c r="N1448" s="9">
        <f>_xlfn.XLOOKUP(F1448,'Raw Data'!$I$4:$I$5000,'Raw Data'!$E$4:$E$5000,100,0)</f>
        <v>100</v>
      </c>
      <c r="O1448" s="9" t="str">
        <f>IF(N1448=0,_xlfn.XLOOKUP(F1448,'Raw Data'!$I$4:$I$5000,'Raw Data'!$H$4:$H$5000,"",0),"")</f>
        <v/>
      </c>
      <c r="P1448" s="9" t="str" cm="1">
        <f t="array" aca="1" ref="P1448" ca="1">IF(INDIRECT(M1448) = "","",INDIRECT(M1448))</f>
        <v/>
      </c>
      <c r="Q1448" s="359" t="s">
        <v>4381</v>
      </c>
    </row>
    <row r="1449" spans="1:17" x14ac:dyDescent="0.35">
      <c r="A1449" t="s">
        <v>2262</v>
      </c>
      <c r="B1449" t="s">
        <v>2327</v>
      </c>
      <c r="C1449" t="s">
        <v>1003</v>
      </c>
      <c r="E1449" t="str">
        <f>_xlfn.XLOOKUP(F1449,'Raw Data'!$I$4:$I$5000,'Raw Data'!$D$4:$D$5000,"*** Mnemonic not found ***",0)</f>
        <v>*** Mnemonic not found ***</v>
      </c>
      <c r="F1449" t="str">
        <f t="shared" si="359"/>
        <v>SUCMPROPORRSK_CN_OAPR_</v>
      </c>
      <c r="H1449" s="9" t="s">
        <v>1137</v>
      </c>
      <c r="K1449" s="9">
        <f>K1448+1</f>
        <v>512</v>
      </c>
      <c r="L1449" s="9" t="str">
        <f>L1448</f>
        <v>F</v>
      </c>
      <c r="M1449" s="9" t="str">
        <f t="shared" si="358"/>
        <v>Input!F512</v>
      </c>
      <c r="N1449" s="9">
        <f>_xlfn.XLOOKUP(F1449,'Raw Data'!$I$4:$I$5000,'Raw Data'!$E$4:$E$5000,100,0)</f>
        <v>100</v>
      </c>
      <c r="O1449" s="9" t="str">
        <f>IF(N1449=0,_xlfn.XLOOKUP(F1449,'Raw Data'!$I$4:$I$5000,'Raw Data'!$H$4:$H$5000,"",0),"")</f>
        <v/>
      </c>
      <c r="P1449" s="9" t="str" cm="1">
        <f t="array" aca="1" ref="P1449" ca="1">IF(INDIRECT(M1449) = "","",INDIRECT(M1449))</f>
        <v/>
      </c>
      <c r="Q1449" s="359" t="s">
        <v>4381</v>
      </c>
    </row>
    <row r="1450" spans="1:17" x14ac:dyDescent="0.35">
      <c r="A1450" t="s">
        <v>2262</v>
      </c>
      <c r="B1450" t="s">
        <v>2301</v>
      </c>
      <c r="C1450" t="s">
        <v>385</v>
      </c>
      <c r="E1450" t="str">
        <f>_xlfn.XLOOKUP(F1450,'Raw Data'!$I$4:$I$5000,'Raw Data'!$D$4:$D$5000,"*** Mnemonic not found ***",0)</f>
        <v>*** Mnemonic not found ***</v>
      </c>
      <c r="F1450" t="str">
        <f t="shared" si="359"/>
        <v>SUCMPROPORRSK_CN_TITLE_</v>
      </c>
      <c r="H1450" s="9" t="s">
        <v>1137</v>
      </c>
      <c r="K1450" s="9">
        <f t="shared" si="361"/>
        <v>513</v>
      </c>
      <c r="L1450" s="9" t="str">
        <f t="shared" si="362"/>
        <v>F</v>
      </c>
      <c r="M1450" s="9" t="str">
        <f t="shared" si="358"/>
        <v>Input!F513</v>
      </c>
      <c r="N1450" s="9">
        <f>_xlfn.XLOOKUP(F1450,'Raw Data'!$I$4:$I$5000,'Raw Data'!$E$4:$E$5000,100,0)</f>
        <v>100</v>
      </c>
      <c r="O1450" s="9" t="str">
        <f>IF(N1450=0,_xlfn.XLOOKUP(F1450,'Raw Data'!$I$4:$I$5000,'Raw Data'!$H$4:$H$5000,"",0),"")</f>
        <v/>
      </c>
      <c r="P1450" s="9" t="str" cm="1">
        <f t="array" aca="1" ref="P1450" ca="1">IF(INDIRECT(M1450) = "","",INDIRECT(M1450))</f>
        <v/>
      </c>
      <c r="Q1450" s="359" t="s">
        <v>4381</v>
      </c>
    </row>
    <row r="1451" spans="1:17" x14ac:dyDescent="0.35">
      <c r="A1451" t="s">
        <v>2262</v>
      </c>
      <c r="B1451" t="s">
        <v>2317</v>
      </c>
      <c r="C1451" t="s">
        <v>380</v>
      </c>
      <c r="E1451" t="str">
        <f>_xlfn.XLOOKUP(F1451,'Raw Data'!$I$4:$I$5000,'Raw Data'!$D$4:$D$5000,"*** Mnemonic not found ***",0)</f>
        <v>*** Mnemonic not found ***</v>
      </c>
      <c r="F1451" t="str">
        <f t="shared" si="359"/>
        <v>SUCMPROPORRSK_CN_WAR_</v>
      </c>
      <c r="H1451" s="9" t="s">
        <v>1137</v>
      </c>
      <c r="K1451" s="9">
        <f t="shared" si="361"/>
        <v>514</v>
      </c>
      <c r="L1451" s="9" t="str">
        <f t="shared" si="362"/>
        <v>F</v>
      </c>
      <c r="M1451" s="9" t="str">
        <f t="shared" si="358"/>
        <v>Input!F514</v>
      </c>
      <c r="N1451" s="9">
        <f>_xlfn.XLOOKUP(F1451,'Raw Data'!$I$4:$I$5000,'Raw Data'!$E$4:$E$5000,100,0)</f>
        <v>100</v>
      </c>
      <c r="O1451" s="9" t="str">
        <f>IF(N1451=0,_xlfn.XLOOKUP(F1451,'Raw Data'!$I$4:$I$5000,'Raw Data'!$H$4:$H$5000,"",0),"")</f>
        <v/>
      </c>
      <c r="P1451" s="9" t="str" cm="1">
        <f t="array" aca="1" ref="P1451" ca="1">IF(INDIRECT(M1451) = "","",INDIRECT(M1451))</f>
        <v/>
      </c>
      <c r="Q1451" s="359" t="s">
        <v>4381</v>
      </c>
    </row>
    <row r="1452" spans="1:17" x14ac:dyDescent="0.35">
      <c r="A1452" t="s">
        <v>2262</v>
      </c>
      <c r="B1452" s="217" t="s">
        <v>2283</v>
      </c>
      <c r="C1452" s="217" t="s">
        <v>262</v>
      </c>
      <c r="E1452" t="str">
        <f>_xlfn.XLOOKUP(F1452,'Raw Data'!$I$4:$I$5000,'Raw Data'!$D$4:$D$5000,"*** Mnemonic not found ***",0)</f>
        <v>*** Mnemonic not found ***</v>
      </c>
      <c r="F1452" t="str">
        <f t="shared" si="359"/>
        <v>SUCMPROPORRSK_CN_OCAH_</v>
      </c>
      <c r="H1452" s="9" t="s">
        <v>1137</v>
      </c>
      <c r="K1452" s="9">
        <f t="shared" si="361"/>
        <v>515</v>
      </c>
      <c r="L1452" s="9" t="str">
        <f t="shared" si="362"/>
        <v>F</v>
      </c>
      <c r="M1452" s="9" t="str">
        <f t="shared" si="358"/>
        <v>Input!F515</v>
      </c>
      <c r="N1452" s="9">
        <f>_xlfn.XLOOKUP(F1452,'Raw Data'!$I$4:$I$5000,'Raw Data'!$E$4:$E$5000,100,0)</f>
        <v>100</v>
      </c>
      <c r="O1452" s="9" t="str">
        <f>IF(N1452=0,_xlfn.XLOOKUP(F1452,'Raw Data'!$I$4:$I$5000,'Raw Data'!$H$4:$H$5000,"",0),"")</f>
        <v/>
      </c>
      <c r="P1452" s="9" t="str" cm="1">
        <f t="array" aca="1" ref="P1452" ca="1">IF(INDIRECT(M1452) = "","",INDIRECT(M1452))</f>
        <v/>
      </c>
      <c r="Q1452" s="359" t="s">
        <v>4381</v>
      </c>
    </row>
    <row r="1453" spans="1:17" x14ac:dyDescent="0.35">
      <c r="A1453" t="s">
        <v>2263</v>
      </c>
      <c r="B1453" t="s">
        <v>2271</v>
      </c>
      <c r="C1453" t="s">
        <v>260</v>
      </c>
      <c r="E1453" t="str">
        <f>_xlfn.XLOOKUP(F1453,'Raw Data'!$I$4:$I$5000,'Raw Data'!$D$4:$D$5000,"*** Mnemonic not found ***",0)</f>
        <v>*** Mnemonic not found ***</v>
      </c>
      <c r="F1453" t="str">
        <f t="shared" si="359"/>
        <v>SUCMNONPROPORRSK_CN_LIA_</v>
      </c>
      <c r="H1453" s="9" t="s">
        <v>1137</v>
      </c>
      <c r="I1453" s="289">
        <f>ROW(section_non_life_prem)</f>
        <v>437</v>
      </c>
      <c r="J1453" s="9">
        <f>J1431</f>
        <v>57</v>
      </c>
      <c r="K1453" s="9">
        <f>I1453+J1453</f>
        <v>494</v>
      </c>
      <c r="L1453" s="9" t="s">
        <v>1145</v>
      </c>
      <c r="M1453" s="9" t="str">
        <f t="shared" si="358"/>
        <v>Input!G494</v>
      </c>
      <c r="N1453" s="9">
        <f>_xlfn.XLOOKUP(F1453,'Raw Data'!$I$4:$I$5000,'Raw Data'!$E$4:$E$5000,100,0)</f>
        <v>100</v>
      </c>
      <c r="O1453" s="9" t="str">
        <f>IF(N1453=0,_xlfn.XLOOKUP(F1453,'Raw Data'!$I$4:$I$5000,'Raw Data'!$H$4:$H$5000,"",0),"")</f>
        <v/>
      </c>
      <c r="P1453" s="9" t="str" cm="1">
        <f t="array" aca="1" ref="P1453" ca="1">IF(INDIRECT(M1453) = "","",INDIRECT(M1453))</f>
        <v/>
      </c>
      <c r="Q1453" s="359" t="s">
        <v>4381</v>
      </c>
    </row>
    <row r="1454" spans="1:17" x14ac:dyDescent="0.35">
      <c r="A1454" t="s">
        <v>2263</v>
      </c>
      <c r="B1454" t="s">
        <v>2291</v>
      </c>
      <c r="C1454" t="s">
        <v>989</v>
      </c>
      <c r="E1454" t="str">
        <f>_xlfn.XLOOKUP(F1454,'Raw Data'!$I$4:$I$5000,'Raw Data'!$D$4:$D$5000,"*** Mnemonic not found ***",0)</f>
        <v>*** Mnemonic not found ***</v>
      </c>
      <c r="F1454" t="str">
        <f t="shared" si="359"/>
        <v>SUCMNONPROPORRSK_CN_BLM_</v>
      </c>
      <c r="H1454" s="9" t="s">
        <v>1137</v>
      </c>
      <c r="K1454" s="9">
        <f>K1453+1</f>
        <v>495</v>
      </c>
      <c r="L1454" s="9" t="str">
        <f>L1453</f>
        <v>G</v>
      </c>
      <c r="M1454" s="9" t="str">
        <f t="shared" si="358"/>
        <v>Input!G495</v>
      </c>
      <c r="N1454" s="9">
        <f>_xlfn.XLOOKUP(F1454,'Raw Data'!$I$4:$I$5000,'Raw Data'!$E$4:$E$5000,100,0)</f>
        <v>100</v>
      </c>
      <c r="O1454" s="9" t="str">
        <f>IF(N1454=0,_xlfn.XLOOKUP(F1454,'Raw Data'!$I$4:$I$5000,'Raw Data'!$H$4:$H$5000,"",0),"")</f>
        <v/>
      </c>
      <c r="P1454" s="9" t="str" cm="1">
        <f t="array" aca="1" ref="P1454" ca="1">IF(INDIRECT(M1454) = "","",INDIRECT(M1454))</f>
        <v/>
      </c>
      <c r="Q1454" s="359" t="s">
        <v>4381</v>
      </c>
    </row>
    <row r="1455" spans="1:17" x14ac:dyDescent="0.35">
      <c r="A1455" t="s">
        <v>2263</v>
      </c>
      <c r="B1455" t="s">
        <v>2318</v>
      </c>
      <c r="C1455" t="s">
        <v>997</v>
      </c>
      <c r="E1455" t="str">
        <f>_xlfn.XLOOKUP(F1455,'Raw Data'!$I$4:$I$5000,'Raw Data'!$D$4:$D$5000,"*** Mnemonic not found ***",0)</f>
        <v>*** Mnemonic not found ***</v>
      </c>
      <c r="F1455" t="str">
        <f t="shared" si="359"/>
        <v>SUCMNONPROPORRSK_CN_CMPR_</v>
      </c>
      <c r="H1455" s="9" t="s">
        <v>1137</v>
      </c>
      <c r="K1455" s="9">
        <f t="shared" ref="K1455:K1474" si="365">K1454+1</f>
        <v>496</v>
      </c>
      <c r="L1455" s="9" t="str">
        <f t="shared" ref="L1455:L1474" si="366">L1454</f>
        <v>G</v>
      </c>
      <c r="M1455" s="9" t="str">
        <f t="shared" si="358"/>
        <v>Input!G496</v>
      </c>
      <c r="N1455" s="9">
        <f>_xlfn.XLOOKUP(F1455,'Raw Data'!$I$4:$I$5000,'Raw Data'!$E$4:$E$5000,100,0)</f>
        <v>100</v>
      </c>
      <c r="O1455" s="9" t="str">
        <f>IF(N1455=0,_xlfn.XLOOKUP(F1455,'Raw Data'!$I$4:$I$5000,'Raw Data'!$H$4:$H$5000,"",0),"")</f>
        <v/>
      </c>
      <c r="P1455" s="9" t="str" cm="1">
        <f t="array" aca="1" ref="P1455" ca="1">IF(INDIRECT(M1455) = "","",INDIRECT(M1455))</f>
        <v/>
      </c>
      <c r="Q1455" s="359" t="s">
        <v>4381</v>
      </c>
    </row>
    <row r="1456" spans="1:17" x14ac:dyDescent="0.35">
      <c r="A1456" t="s">
        <v>2263</v>
      </c>
      <c r="B1456" t="s">
        <v>2319</v>
      </c>
      <c r="C1456" t="s">
        <v>383</v>
      </c>
      <c r="E1456" t="str">
        <f>_xlfn.XLOOKUP(F1456,'Raw Data'!$I$4:$I$5000,'Raw Data'!$D$4:$D$5000,"*** Mnemonic not found ***",0)</f>
        <v>*** Mnemonic not found ***</v>
      </c>
      <c r="F1456" t="str">
        <f t="shared" si="359"/>
        <v>SUCMNONPROPORRSK_CN_HAIL_</v>
      </c>
      <c r="H1456" s="9" t="s">
        <v>1137</v>
      </c>
      <c r="K1456" s="9">
        <f t="shared" si="365"/>
        <v>497</v>
      </c>
      <c r="L1456" s="9" t="str">
        <f t="shared" si="366"/>
        <v>G</v>
      </c>
      <c r="M1456" s="9" t="str">
        <f t="shared" si="358"/>
        <v>Input!G497</v>
      </c>
      <c r="N1456" s="9">
        <f>_xlfn.XLOOKUP(F1456,'Raw Data'!$I$4:$I$5000,'Raw Data'!$E$4:$E$5000,100,0)</f>
        <v>100</v>
      </c>
      <c r="O1456" s="9" t="str">
        <f>IF(N1456=0,_xlfn.XLOOKUP(F1456,'Raw Data'!$I$4:$I$5000,'Raw Data'!$H$4:$H$5000,"",0),"")</f>
        <v/>
      </c>
      <c r="P1456" s="9" t="str" cm="1">
        <f t="array" aca="1" ref="P1456" ca="1">IF(INDIRECT(M1456) = "","",INDIRECT(M1456))</f>
        <v/>
      </c>
      <c r="Q1456" s="359" t="s">
        <v>4381</v>
      </c>
    </row>
    <row r="1457" spans="1:17" x14ac:dyDescent="0.35">
      <c r="A1457" t="s">
        <v>2263</v>
      </c>
      <c r="B1457" t="s">
        <v>2320</v>
      </c>
      <c r="C1457" t="s">
        <v>998</v>
      </c>
      <c r="E1457" t="str">
        <f>_xlfn.XLOOKUP(F1457,'Raw Data'!$I$4:$I$5000,'Raw Data'!$D$4:$D$5000,"*** Mnemonic not found ***",0)</f>
        <v>*** Mnemonic not found ***</v>
      </c>
      <c r="F1457" t="str">
        <f t="shared" si="359"/>
        <v>SUCMNONPROPORRSK_CN_PPR_</v>
      </c>
      <c r="H1457" s="9" t="s">
        <v>1137</v>
      </c>
      <c r="K1457" s="9">
        <f t="shared" si="365"/>
        <v>498</v>
      </c>
      <c r="L1457" s="9" t="str">
        <f t="shared" si="366"/>
        <v>G</v>
      </c>
      <c r="M1457" s="9" t="str">
        <f t="shared" si="358"/>
        <v>Input!G498</v>
      </c>
      <c r="N1457" s="9">
        <f>_xlfn.XLOOKUP(F1457,'Raw Data'!$I$4:$I$5000,'Raw Data'!$E$4:$E$5000,100,0)</f>
        <v>100</v>
      </c>
      <c r="O1457" s="9" t="str">
        <f>IF(N1457=0,_xlfn.XLOOKUP(F1457,'Raw Data'!$I$4:$I$5000,'Raw Data'!$H$4:$H$5000,"",0),"")</f>
        <v/>
      </c>
      <c r="P1457" s="9" t="str" cm="1">
        <f t="array" aca="1" ref="P1457" ca="1">IF(INDIRECT(M1457) = "","",INDIRECT(M1457))</f>
        <v/>
      </c>
      <c r="Q1457" s="359" t="s">
        <v>4381</v>
      </c>
    </row>
    <row r="1458" spans="1:17" x14ac:dyDescent="0.35">
      <c r="A1458" t="s">
        <v>2263</v>
      </c>
      <c r="B1458" t="s">
        <v>2274</v>
      </c>
      <c r="C1458" t="s">
        <v>999</v>
      </c>
      <c r="E1458" t="str">
        <f>_xlfn.XLOOKUP(F1458,'Raw Data'!$I$4:$I$5000,'Raw Data'!$D$4:$D$5000,"*** Mnemonic not found ***",0)</f>
        <v>*** Mnemonic not found ***</v>
      </c>
      <c r="F1458" t="str">
        <f t="shared" si="359"/>
        <v>SUCMNONPROPORRSK_CN_ALB_</v>
      </c>
      <c r="H1458" s="9" t="s">
        <v>1137</v>
      </c>
      <c r="K1458" s="9">
        <f t="shared" si="365"/>
        <v>499</v>
      </c>
      <c r="L1458" s="9" t="str">
        <f t="shared" si="366"/>
        <v>G</v>
      </c>
      <c r="M1458" s="9" t="str">
        <f t="shared" si="358"/>
        <v>Input!G499</v>
      </c>
      <c r="N1458" s="9">
        <f>_xlfn.XLOOKUP(F1458,'Raw Data'!$I$4:$I$5000,'Raw Data'!$E$4:$E$5000,100,0)</f>
        <v>100</v>
      </c>
      <c r="O1458" s="9" t="str">
        <f>IF(N1458=0,_xlfn.XLOOKUP(F1458,'Raw Data'!$I$4:$I$5000,'Raw Data'!$H$4:$H$5000,"",0),"")</f>
        <v/>
      </c>
      <c r="P1458" s="9" t="str" cm="1">
        <f t="array" aca="1" ref="P1458" ca="1">IF(INDIRECT(M1458) = "","",INDIRECT(M1458))</f>
        <v/>
      </c>
      <c r="Q1458" s="359" t="s">
        <v>4381</v>
      </c>
    </row>
    <row r="1459" spans="1:17" x14ac:dyDescent="0.35">
      <c r="A1459" t="s">
        <v>2263</v>
      </c>
      <c r="B1459" t="s">
        <v>2321</v>
      </c>
      <c r="C1459" t="s">
        <v>1000</v>
      </c>
      <c r="E1459" t="str">
        <f>_xlfn.XLOOKUP(F1459,'Raw Data'!$I$4:$I$5000,'Raw Data'!$D$4:$D$5000,"*** Mnemonic not found ***",0)</f>
        <v>*** Mnemonic not found ***</v>
      </c>
      <c r="F1459" t="str">
        <f t="shared" si="359"/>
        <v>SUCMNONPROPORRSK_CN_ATOTH_</v>
      </c>
      <c r="H1459" s="9" t="s">
        <v>1137</v>
      </c>
      <c r="K1459" s="9">
        <f t="shared" si="365"/>
        <v>500</v>
      </c>
      <c r="L1459" s="9" t="str">
        <f t="shared" si="366"/>
        <v>G</v>
      </c>
      <c r="M1459" s="9" t="str">
        <f t="shared" si="358"/>
        <v>Input!G500</v>
      </c>
      <c r="N1459" s="9">
        <f>_xlfn.XLOOKUP(F1459,'Raw Data'!$I$4:$I$5000,'Raw Data'!$E$4:$E$5000,100,0)</f>
        <v>100</v>
      </c>
      <c r="O1459" s="9" t="str">
        <f>IF(N1459=0,_xlfn.XLOOKUP(F1459,'Raw Data'!$I$4:$I$5000,'Raw Data'!$H$4:$H$5000,"",0),"")</f>
        <v/>
      </c>
      <c r="P1459" s="9" t="str" cm="1">
        <f t="array" aca="1" ref="P1459" ca="1">IF(INDIRECT(M1459) = "","",INDIRECT(M1459))</f>
        <v/>
      </c>
      <c r="Q1459" s="359" t="s">
        <v>4381</v>
      </c>
    </row>
    <row r="1460" spans="1:17" x14ac:dyDescent="0.35">
      <c r="A1460" t="s">
        <v>2263</v>
      </c>
      <c r="B1460" t="s">
        <v>2322</v>
      </c>
      <c r="C1460" t="s">
        <v>1001</v>
      </c>
      <c r="E1460" t="str">
        <f>_xlfn.XLOOKUP(F1460,'Raw Data'!$I$4:$I$5000,'Raw Data'!$D$4:$D$5000,"*** Mnemonic not found ***",0)</f>
        <v>*** Mnemonic not found ***</v>
      </c>
      <c r="F1460" t="str">
        <f t="shared" si="359"/>
        <v>SUCMNONPROPORRSK_CN_ATPAC_</v>
      </c>
      <c r="H1460" s="9" t="s">
        <v>1137</v>
      </c>
      <c r="K1460" s="9">
        <f t="shared" si="365"/>
        <v>501</v>
      </c>
      <c r="L1460" s="9" t="str">
        <f t="shared" si="366"/>
        <v>G</v>
      </c>
      <c r="M1460" s="9" t="str">
        <f t="shared" si="358"/>
        <v>Input!G501</v>
      </c>
      <c r="N1460" s="9">
        <f>_xlfn.XLOOKUP(F1460,'Raw Data'!$I$4:$I$5000,'Raw Data'!$E$4:$E$5000,100,0)</f>
        <v>100</v>
      </c>
      <c r="O1460" s="9" t="str">
        <f>IF(N1460=0,_xlfn.XLOOKUP(F1460,'Raw Data'!$I$4:$I$5000,'Raw Data'!$H$4:$H$5000,"",0),"")</f>
        <v/>
      </c>
      <c r="P1460" s="9" t="str" cm="1">
        <f t="array" aca="1" ref="P1460" ca="1">IF(INDIRECT(M1460) = "","",INDIRECT(M1460))</f>
        <v/>
      </c>
      <c r="Q1460" s="359" t="s">
        <v>4381</v>
      </c>
    </row>
    <row r="1461" spans="1:17" x14ac:dyDescent="0.35">
      <c r="A1461" t="s">
        <v>2263</v>
      </c>
      <c r="B1461" t="s">
        <v>2298</v>
      </c>
      <c r="C1461" t="s">
        <v>374</v>
      </c>
      <c r="E1461" t="str">
        <f>_xlfn.XLOOKUP(F1461,'Raw Data'!$I$4:$I$5000,'Raw Data'!$D$4:$D$5000,"*** Mnemonic not found ***",0)</f>
        <v>*** Mnemonic not found ***</v>
      </c>
      <c r="F1461" t="str">
        <f t="shared" si="359"/>
        <v>SUCMNONPROPORRSK_CN_CRD_</v>
      </c>
      <c r="H1461" s="9" t="s">
        <v>1137</v>
      </c>
      <c r="K1461" s="9">
        <f t="shared" si="365"/>
        <v>502</v>
      </c>
      <c r="L1461" s="9" t="str">
        <f t="shared" si="366"/>
        <v>G</v>
      </c>
      <c r="M1461" s="9" t="str">
        <f t="shared" si="358"/>
        <v>Input!G502</v>
      </c>
      <c r="N1461" s="9">
        <f>_xlfn.XLOOKUP(F1461,'Raw Data'!$I$4:$I$5000,'Raw Data'!$E$4:$E$5000,100,0)</f>
        <v>100</v>
      </c>
      <c r="O1461" s="9" t="str">
        <f>IF(N1461=0,_xlfn.XLOOKUP(F1461,'Raw Data'!$I$4:$I$5000,'Raw Data'!$H$4:$H$5000,"",0),"")</f>
        <v/>
      </c>
      <c r="P1461" s="9" t="str" cm="1">
        <f t="array" aca="1" ref="P1461" ca="1">IF(INDIRECT(M1461) = "","",INDIRECT(M1461))</f>
        <v/>
      </c>
      <c r="Q1461" s="359" t="s">
        <v>4381</v>
      </c>
    </row>
    <row r="1462" spans="1:17" x14ac:dyDescent="0.35">
      <c r="A1462" t="s">
        <v>2263</v>
      </c>
      <c r="B1462" t="s">
        <v>2323</v>
      </c>
      <c r="C1462" t="s">
        <v>1002</v>
      </c>
      <c r="E1462" t="str">
        <f>_xlfn.XLOOKUP(F1462,'Raw Data'!$I$4:$I$5000,'Raw Data'!$D$4:$D$5000,"*** Mnemonic not found ***",0)</f>
        <v>*** Mnemonic not found ***</v>
      </c>
      <c r="F1462" t="str">
        <f t="shared" si="359"/>
        <v>SUCMNONPROPORRSK_CN_CRPR_</v>
      </c>
      <c r="H1462" s="9" t="s">
        <v>1137</v>
      </c>
      <c r="K1462" s="9">
        <f t="shared" si="365"/>
        <v>503</v>
      </c>
      <c r="L1462" s="9" t="str">
        <f t="shared" si="366"/>
        <v>G</v>
      </c>
      <c r="M1462" s="9" t="str">
        <f t="shared" si="358"/>
        <v>Input!G503</v>
      </c>
      <c r="N1462" s="9">
        <f>_xlfn.XLOOKUP(F1462,'Raw Data'!$I$4:$I$5000,'Raw Data'!$E$4:$E$5000,100,0)</f>
        <v>100</v>
      </c>
      <c r="O1462" s="9" t="str">
        <f>IF(N1462=0,_xlfn.XLOOKUP(F1462,'Raw Data'!$I$4:$I$5000,'Raw Data'!$H$4:$H$5000,"",0),"")</f>
        <v/>
      </c>
      <c r="P1462" s="9" t="str" cm="1">
        <f t="array" aca="1" ref="P1462" ca="1">IF(INDIRECT(M1462) = "","",INDIRECT(M1462))</f>
        <v/>
      </c>
      <c r="Q1462" s="359" t="s">
        <v>4381</v>
      </c>
    </row>
    <row r="1463" spans="1:17" x14ac:dyDescent="0.35">
      <c r="A1463" t="s">
        <v>2263</v>
      </c>
      <c r="B1463" t="s">
        <v>2324</v>
      </c>
      <c r="C1463" t="s">
        <v>375</v>
      </c>
      <c r="E1463" t="str">
        <f>_xlfn.XLOOKUP(F1463,'Raw Data'!$I$4:$I$5000,'Raw Data'!$D$4:$D$5000,"*** Mnemonic not found ***",0)</f>
        <v>*** Mnemonic not found ***</v>
      </c>
      <c r="F1463" t="str">
        <f t="shared" si="359"/>
        <v>SUCMNONPROPORRSK_CN_FID_</v>
      </c>
      <c r="H1463" s="9" t="s">
        <v>1137</v>
      </c>
      <c r="K1463" s="9">
        <f t="shared" si="365"/>
        <v>504</v>
      </c>
      <c r="L1463" s="9" t="str">
        <f t="shared" si="366"/>
        <v>G</v>
      </c>
      <c r="M1463" s="9" t="str">
        <f t="shared" si="358"/>
        <v>Input!G504</v>
      </c>
      <c r="N1463" s="9">
        <f>_xlfn.XLOOKUP(F1463,'Raw Data'!$I$4:$I$5000,'Raw Data'!$E$4:$E$5000,100,0)</f>
        <v>100</v>
      </c>
      <c r="O1463" s="9" t="str">
        <f>IF(N1463=0,_xlfn.XLOOKUP(F1463,'Raw Data'!$I$4:$I$5000,'Raw Data'!$H$4:$H$5000,"",0),"")</f>
        <v/>
      </c>
      <c r="P1463" s="9" t="str" cm="1">
        <f t="array" aca="1" ref="P1463" ca="1">IF(INDIRECT(M1463) = "","",INDIRECT(M1463))</f>
        <v/>
      </c>
      <c r="Q1463" s="359" t="s">
        <v>4381</v>
      </c>
    </row>
    <row r="1464" spans="1:17" x14ac:dyDescent="0.35">
      <c r="A1464" t="s">
        <v>2263</v>
      </c>
      <c r="B1464" t="s">
        <v>2325</v>
      </c>
      <c r="C1464" t="s">
        <v>376</v>
      </c>
      <c r="E1464" t="str">
        <f>_xlfn.XLOOKUP(F1464,'Raw Data'!$I$4:$I$5000,'Raw Data'!$D$4:$D$5000,"*** Mnemonic not found ***",0)</f>
        <v>*** Mnemonic not found ***</v>
      </c>
      <c r="F1464" t="str">
        <f t="shared" si="359"/>
        <v>SUCMNONPROPORRSK_CN_SUR_</v>
      </c>
      <c r="H1464" s="9" t="s">
        <v>1137</v>
      </c>
      <c r="K1464" s="9">
        <f t="shared" si="365"/>
        <v>505</v>
      </c>
      <c r="L1464" s="9" t="str">
        <f t="shared" si="366"/>
        <v>G</v>
      </c>
      <c r="M1464" s="9" t="str">
        <f t="shared" si="358"/>
        <v>Input!G505</v>
      </c>
      <c r="N1464" s="9">
        <f>_xlfn.XLOOKUP(F1464,'Raw Data'!$I$4:$I$5000,'Raw Data'!$E$4:$E$5000,100,0)</f>
        <v>100</v>
      </c>
      <c r="O1464" s="9" t="str">
        <f>IF(N1464=0,_xlfn.XLOOKUP(F1464,'Raw Data'!$I$4:$I$5000,'Raw Data'!$H$4:$H$5000,"",0),"")</f>
        <v/>
      </c>
      <c r="P1464" s="9" t="str" cm="1">
        <f t="array" aca="1" ref="P1464" ca="1">IF(INDIRECT(M1464) = "","",INDIRECT(M1464))</f>
        <v/>
      </c>
      <c r="Q1464" s="359" t="s">
        <v>4381</v>
      </c>
    </row>
    <row r="1465" spans="1:17" x14ac:dyDescent="0.35">
      <c r="A1465" t="s">
        <v>2263</v>
      </c>
      <c r="B1465" t="s">
        <v>2326</v>
      </c>
      <c r="C1465" t="s">
        <v>4144</v>
      </c>
      <c r="E1465" t="str">
        <f>_xlfn.XLOOKUP(F1465,'Raw Data'!$I$4:$I$5000,'Raw Data'!$D$4:$D$5000,"*** Mnemonic not found ***",0)</f>
        <v>*** Mnemonic not found ***</v>
      </c>
      <c r="F1465" t="str">
        <f t="shared" si="359"/>
        <v>SUCMNONPROPORRSK_CN_ACSK_</v>
      </c>
      <c r="H1465" s="9" t="s">
        <v>1137</v>
      </c>
      <c r="K1465" s="9">
        <f t="shared" si="365"/>
        <v>506</v>
      </c>
      <c r="L1465" s="9" t="str">
        <f t="shared" si="366"/>
        <v>G</v>
      </c>
      <c r="M1465" s="9" t="str">
        <f t="shared" si="358"/>
        <v>Input!G506</v>
      </c>
      <c r="N1465" s="9">
        <f>_xlfn.XLOOKUP(F1465,'Raw Data'!$I$4:$I$5000,'Raw Data'!$E$4:$E$5000,100,0)</f>
        <v>100</v>
      </c>
      <c r="O1465" s="9" t="str">
        <f>IF(N1465=0,_xlfn.XLOOKUP(F1465,'Raw Data'!$I$4:$I$5000,'Raw Data'!$H$4:$H$5000,"",0),"")</f>
        <v/>
      </c>
      <c r="P1465" s="9" t="str" cm="1">
        <f t="array" aca="1" ref="P1465" ca="1">IF(INDIRECT(M1465) = "","",INDIRECT(M1465))</f>
        <v/>
      </c>
      <c r="Q1465" s="359" t="s">
        <v>4381</v>
      </c>
    </row>
    <row r="1466" spans="1:17" x14ac:dyDescent="0.35">
      <c r="A1466" s="694" t="s">
        <v>2263</v>
      </c>
      <c r="B1466" s="694" t="s">
        <v>4309</v>
      </c>
      <c r="C1466" s="694" t="s">
        <v>4094</v>
      </c>
      <c r="E1466" t="str">
        <f>_xlfn.XLOOKUP(F1466,'Raw Data'!$I$4:$I$5000,'Raw Data'!$D$4:$D$5000,"*** Mnemonic not found ***",0)</f>
        <v>*** Mnemonic not found ***</v>
      </c>
      <c r="F1466" t="str">
        <f t="shared" si="359"/>
        <v>SUCMNONPROPORRSK_CN_SUPH_</v>
      </c>
      <c r="H1466" s="9" t="s">
        <v>1137</v>
      </c>
      <c r="K1466" s="9">
        <f t="shared" si="365"/>
        <v>507</v>
      </c>
      <c r="L1466" s="9" t="str">
        <f t="shared" si="366"/>
        <v>G</v>
      </c>
      <c r="M1466" s="9" t="str">
        <f t="shared" ref="M1466:M1536" si="367">CONCATENATE(H1466,"!",L1466,K1466)</f>
        <v>Input!G507</v>
      </c>
      <c r="N1466" s="9">
        <f>_xlfn.XLOOKUP(F1466,'Raw Data'!$I$4:$I$5000,'Raw Data'!$E$4:$E$5000,100,0)</f>
        <v>100</v>
      </c>
      <c r="O1466" s="9" t="str">
        <f>IF(N1466=0,_xlfn.XLOOKUP(F1466,'Raw Data'!$I$4:$I$5000,'Raw Data'!$H$4:$H$5000,"",0),"")</f>
        <v/>
      </c>
      <c r="P1466" s="9" t="str" cm="1">
        <f t="array" aca="1" ref="P1466" ca="1">IF(INDIRECT(M1466) = "","",INDIRECT(M1466))</f>
        <v/>
      </c>
      <c r="Q1466" s="359" t="s">
        <v>4381</v>
      </c>
    </row>
    <row r="1467" spans="1:17" x14ac:dyDescent="0.35">
      <c r="A1467" t="s">
        <v>2263</v>
      </c>
      <c r="B1467" t="s">
        <v>2315</v>
      </c>
      <c r="C1467" t="s">
        <v>377</v>
      </c>
      <c r="E1467" t="str">
        <f>_xlfn.XLOOKUP(F1467,'Raw Data'!$I$4:$I$5000,'Raw Data'!$D$4:$D$5000,"*** Mnemonic not found ***",0)</f>
        <v>*** Mnemonic not found ***</v>
      </c>
      <c r="F1467" t="str">
        <f t="shared" si="359"/>
        <v>SUCMNONPROPORRSK_CN_AIR_</v>
      </c>
      <c r="H1467" s="9" t="s">
        <v>1137</v>
      </c>
      <c r="K1467" s="9">
        <f t="shared" si="365"/>
        <v>508</v>
      </c>
      <c r="L1467" s="9" t="str">
        <f t="shared" si="366"/>
        <v>G</v>
      </c>
      <c r="M1467" s="9" t="str">
        <f t="shared" ref="M1467" si="368">CONCATENATE(H1467,"!",L1467,K1467)</f>
        <v>Input!G508</v>
      </c>
      <c r="N1467" s="9">
        <f>_xlfn.XLOOKUP(F1467,'Raw Data'!$I$4:$I$5000,'Raw Data'!$E$4:$E$5000,100,0)</f>
        <v>100</v>
      </c>
      <c r="O1467" s="9" t="str">
        <f>IF(N1467=0,_xlfn.XLOOKUP(F1467,'Raw Data'!$I$4:$I$5000,'Raw Data'!$H$4:$H$5000,"",0),"")</f>
        <v/>
      </c>
      <c r="P1467" s="9" t="str" cm="1">
        <f t="array" aca="1" ref="P1467" ca="1">IF(INDIRECT(M1467) = "","",INDIRECT(M1467))</f>
        <v/>
      </c>
      <c r="Q1467" s="359" t="s">
        <v>4381</v>
      </c>
    </row>
    <row r="1468" spans="1:17" x14ac:dyDescent="0.35">
      <c r="A1468" t="s">
        <v>2263</v>
      </c>
      <c r="B1468" t="s">
        <v>2316</v>
      </c>
      <c r="C1468" t="s">
        <v>384</v>
      </c>
      <c r="E1468" t="str">
        <f>_xlfn.XLOOKUP(F1468,'Raw Data'!$I$4:$I$5000,'Raw Data'!$D$4:$D$5000,"*** Mnemonic not found ***",0)</f>
        <v>*** Mnemonic not found ***</v>
      </c>
      <c r="F1468" t="str">
        <f t="shared" si="359"/>
        <v>SUCMNONPROPORRSK_CN_OCM_</v>
      </c>
      <c r="H1468" s="9" t="s">
        <v>1137</v>
      </c>
      <c r="K1468" s="9">
        <f>K1467+1</f>
        <v>509</v>
      </c>
      <c r="L1468" s="9" t="str">
        <f>L1467</f>
        <v>G</v>
      </c>
      <c r="M1468" s="9" t="str">
        <f t="shared" si="367"/>
        <v>Input!G509</v>
      </c>
      <c r="N1468" s="9">
        <f>_xlfn.XLOOKUP(F1468,'Raw Data'!$I$4:$I$5000,'Raw Data'!$E$4:$E$5000,100,0)</f>
        <v>100</v>
      </c>
      <c r="O1468" s="9" t="str">
        <f>IF(N1468=0,_xlfn.XLOOKUP(F1468,'Raw Data'!$I$4:$I$5000,'Raw Data'!$H$4:$H$5000,"",0),"")</f>
        <v/>
      </c>
      <c r="P1468" s="9" t="str" cm="1">
        <f t="array" aca="1" ref="P1468" ca="1">IF(INDIRECT(M1468) = "","",INDIRECT(M1468))</f>
        <v/>
      </c>
      <c r="Q1468" s="359" t="s">
        <v>4381</v>
      </c>
    </row>
    <row r="1469" spans="1:17" x14ac:dyDescent="0.35">
      <c r="A1469" s="694" t="s">
        <v>2263</v>
      </c>
      <c r="B1469" s="694" t="s">
        <v>4308</v>
      </c>
      <c r="C1469" s="694" t="s">
        <v>4130</v>
      </c>
      <c r="E1469" t="str">
        <f>_xlfn.XLOOKUP(F1469,'Raw Data'!$I$4:$I$5000,'Raw Data'!$D$4:$D$5000,"*** Mnemonic not found ***",0)</f>
        <v>*** Mnemonic not found ***</v>
      </c>
      <c r="F1469" t="str">
        <f t="shared" si="359"/>
        <v>SUCMNONPROPORRSK_CN_MPIN_</v>
      </c>
      <c r="H1469" s="9" t="s">
        <v>1137</v>
      </c>
      <c r="K1469" s="9">
        <f>K1468+1</f>
        <v>510</v>
      </c>
      <c r="L1469" s="9" t="str">
        <f>L1468</f>
        <v>G</v>
      </c>
      <c r="M1469" s="9" t="str">
        <f t="shared" si="367"/>
        <v>Input!G510</v>
      </c>
      <c r="N1469" s="9">
        <f>_xlfn.XLOOKUP(F1469,'Raw Data'!$I$4:$I$5000,'Raw Data'!$E$4:$E$5000,100,0)</f>
        <v>100</v>
      </c>
      <c r="O1469" s="9" t="str">
        <f>IF(N1469=0,_xlfn.XLOOKUP(F1469,'Raw Data'!$I$4:$I$5000,'Raw Data'!$H$4:$H$5000,"",0),"")</f>
        <v/>
      </c>
      <c r="P1469" s="9" t="str" cm="1">
        <f t="array" aca="1" ref="P1469" ca="1">IF(INDIRECT(M1469) = "","",INDIRECT(M1469))</f>
        <v/>
      </c>
      <c r="Q1469" s="359" t="s">
        <v>4381</v>
      </c>
    </row>
    <row r="1470" spans="1:17" x14ac:dyDescent="0.35">
      <c r="A1470" t="s">
        <v>2263</v>
      </c>
      <c r="B1470" t="s">
        <v>2282</v>
      </c>
      <c r="C1470" t="s">
        <v>988</v>
      </c>
      <c r="E1470" t="str">
        <f>_xlfn.XLOOKUP(F1470,'Raw Data'!$I$4:$I$5000,'Raw Data'!$D$4:$D$5000,"*** Mnemonic not found ***",0)</f>
        <v>*** Mnemonic not found ***</v>
      </c>
      <c r="F1470" t="str">
        <f t="shared" si="359"/>
        <v>SUCMNONPROPORRSK_CN_LEGEX_</v>
      </c>
      <c r="H1470" s="9" t="s">
        <v>1137</v>
      </c>
      <c r="K1470" s="9">
        <f t="shared" si="365"/>
        <v>511</v>
      </c>
      <c r="L1470" s="9" t="str">
        <f t="shared" si="366"/>
        <v>G</v>
      </c>
      <c r="M1470" s="9" t="str">
        <f t="shared" ref="M1470" si="369">CONCATENATE(H1470,"!",L1470,K1470)</f>
        <v>Input!G511</v>
      </c>
      <c r="N1470" s="9">
        <f>_xlfn.XLOOKUP(F1470,'Raw Data'!$I$4:$I$5000,'Raw Data'!$E$4:$E$5000,100,0)</f>
        <v>100</v>
      </c>
      <c r="O1470" s="9" t="str">
        <f>IF(N1470=0,_xlfn.XLOOKUP(F1470,'Raw Data'!$I$4:$I$5000,'Raw Data'!$H$4:$H$5000,"",0),"")</f>
        <v/>
      </c>
      <c r="P1470" s="9" t="str" cm="1">
        <f t="array" aca="1" ref="P1470" ca="1">IF(INDIRECT(M1470) = "","",INDIRECT(M1470))</f>
        <v/>
      </c>
      <c r="Q1470" s="359" t="s">
        <v>4381</v>
      </c>
    </row>
    <row r="1471" spans="1:17" x14ac:dyDescent="0.35">
      <c r="A1471" t="s">
        <v>2263</v>
      </c>
      <c r="B1471" t="s">
        <v>2327</v>
      </c>
      <c r="C1471" t="s">
        <v>1003</v>
      </c>
      <c r="E1471" t="str">
        <f>_xlfn.XLOOKUP(F1471,'Raw Data'!$I$4:$I$5000,'Raw Data'!$D$4:$D$5000,"*** Mnemonic not found ***",0)</f>
        <v>*** Mnemonic not found ***</v>
      </c>
      <c r="F1471" t="str">
        <f t="shared" si="359"/>
        <v>SUCMNONPROPORRSK_CN_OAPR_</v>
      </c>
      <c r="H1471" s="9" t="s">
        <v>1137</v>
      </c>
      <c r="K1471" s="9">
        <f>K1470+1</f>
        <v>512</v>
      </c>
      <c r="L1471" s="9" t="str">
        <f>L1470</f>
        <v>G</v>
      </c>
      <c r="M1471" s="9" t="str">
        <f t="shared" si="367"/>
        <v>Input!G512</v>
      </c>
      <c r="N1471" s="9">
        <f>_xlfn.XLOOKUP(F1471,'Raw Data'!$I$4:$I$5000,'Raw Data'!$E$4:$E$5000,100,0)</f>
        <v>100</v>
      </c>
      <c r="O1471" s="9" t="str">
        <f>IF(N1471=0,_xlfn.XLOOKUP(F1471,'Raw Data'!$I$4:$I$5000,'Raw Data'!$H$4:$H$5000,"",0),"")</f>
        <v/>
      </c>
      <c r="P1471" s="9" t="str" cm="1">
        <f t="array" aca="1" ref="P1471" ca="1">IF(INDIRECT(M1471) = "","",INDIRECT(M1471))</f>
        <v/>
      </c>
      <c r="Q1471" s="359" t="s">
        <v>4381</v>
      </c>
    </row>
    <row r="1472" spans="1:17" x14ac:dyDescent="0.35">
      <c r="A1472" t="s">
        <v>2263</v>
      </c>
      <c r="B1472" t="s">
        <v>2301</v>
      </c>
      <c r="C1472" t="s">
        <v>385</v>
      </c>
      <c r="E1472" t="str">
        <f>_xlfn.XLOOKUP(F1472,'Raw Data'!$I$4:$I$5000,'Raw Data'!$D$4:$D$5000,"*** Mnemonic not found ***",0)</f>
        <v>*** Mnemonic not found ***</v>
      </c>
      <c r="F1472" t="str">
        <f t="shared" si="359"/>
        <v>SUCMNONPROPORRSK_CN_TITLE_</v>
      </c>
      <c r="H1472" s="9" t="s">
        <v>1137</v>
      </c>
      <c r="K1472" s="9">
        <f t="shared" si="365"/>
        <v>513</v>
      </c>
      <c r="L1472" s="9" t="str">
        <f t="shared" si="366"/>
        <v>G</v>
      </c>
      <c r="M1472" s="9" t="str">
        <f t="shared" si="367"/>
        <v>Input!G513</v>
      </c>
      <c r="N1472" s="9">
        <f>_xlfn.XLOOKUP(F1472,'Raw Data'!$I$4:$I$5000,'Raw Data'!$E$4:$E$5000,100,0)</f>
        <v>100</v>
      </c>
      <c r="O1472" s="9" t="str">
        <f>IF(N1472=0,_xlfn.XLOOKUP(F1472,'Raw Data'!$I$4:$I$5000,'Raw Data'!$H$4:$H$5000,"",0),"")</f>
        <v/>
      </c>
      <c r="P1472" s="9" t="str" cm="1">
        <f t="array" aca="1" ref="P1472" ca="1">IF(INDIRECT(M1472) = "","",INDIRECT(M1472))</f>
        <v/>
      </c>
      <c r="Q1472" s="359" t="s">
        <v>4381</v>
      </c>
    </row>
    <row r="1473" spans="1:17" x14ac:dyDescent="0.35">
      <c r="A1473" t="s">
        <v>2263</v>
      </c>
      <c r="B1473" t="s">
        <v>2317</v>
      </c>
      <c r="C1473" t="s">
        <v>380</v>
      </c>
      <c r="E1473" t="str">
        <f>_xlfn.XLOOKUP(F1473,'Raw Data'!$I$4:$I$5000,'Raw Data'!$D$4:$D$5000,"*** Mnemonic not found ***",0)</f>
        <v>*** Mnemonic not found ***</v>
      </c>
      <c r="F1473" t="str">
        <f t="shared" si="359"/>
        <v>SUCMNONPROPORRSK_CN_WAR_</v>
      </c>
      <c r="H1473" s="9" t="s">
        <v>1137</v>
      </c>
      <c r="K1473" s="9">
        <f t="shared" si="365"/>
        <v>514</v>
      </c>
      <c r="L1473" s="9" t="str">
        <f t="shared" si="366"/>
        <v>G</v>
      </c>
      <c r="M1473" s="9" t="str">
        <f t="shared" si="367"/>
        <v>Input!G514</v>
      </c>
      <c r="N1473" s="9">
        <f>_xlfn.XLOOKUP(F1473,'Raw Data'!$I$4:$I$5000,'Raw Data'!$E$4:$E$5000,100,0)</f>
        <v>100</v>
      </c>
      <c r="O1473" s="9" t="str">
        <f>IF(N1473=0,_xlfn.XLOOKUP(F1473,'Raw Data'!$I$4:$I$5000,'Raw Data'!$H$4:$H$5000,"",0),"")</f>
        <v/>
      </c>
      <c r="P1473" s="9" t="str" cm="1">
        <f t="array" aca="1" ref="P1473" ca="1">IF(INDIRECT(M1473) = "","",INDIRECT(M1473))</f>
        <v/>
      </c>
      <c r="Q1473" s="359" t="s">
        <v>4381</v>
      </c>
    </row>
    <row r="1474" spans="1:17" x14ac:dyDescent="0.35">
      <c r="A1474" t="s">
        <v>2263</v>
      </c>
      <c r="B1474" s="217" t="s">
        <v>2283</v>
      </c>
      <c r="C1474" s="217" t="s">
        <v>262</v>
      </c>
      <c r="E1474" t="str">
        <f>_xlfn.XLOOKUP(F1474,'Raw Data'!$I$4:$I$5000,'Raw Data'!$D$4:$D$5000,"*** Mnemonic not found ***",0)</f>
        <v>*** Mnemonic not found ***</v>
      </c>
      <c r="F1474" t="str">
        <f t="shared" si="359"/>
        <v>SUCMNONPROPORRSK_CN_OCAH_</v>
      </c>
      <c r="H1474" s="9" t="s">
        <v>1137</v>
      </c>
      <c r="K1474" s="9">
        <f t="shared" si="365"/>
        <v>515</v>
      </c>
      <c r="L1474" s="9" t="str">
        <f t="shared" si="366"/>
        <v>G</v>
      </c>
      <c r="M1474" s="9" t="str">
        <f t="shared" si="367"/>
        <v>Input!G515</v>
      </c>
      <c r="N1474" s="9">
        <f>_xlfn.XLOOKUP(F1474,'Raw Data'!$I$4:$I$5000,'Raw Data'!$E$4:$E$5000,100,0)</f>
        <v>100</v>
      </c>
      <c r="O1474" s="9" t="str">
        <f>IF(N1474=0,_xlfn.XLOOKUP(F1474,'Raw Data'!$I$4:$I$5000,'Raw Data'!$H$4:$H$5000,"",0),"")</f>
        <v/>
      </c>
      <c r="P1474" s="9" t="str" cm="1">
        <f t="array" aca="1" ref="P1474" ca="1">IF(INDIRECT(M1474) = "","",INDIRECT(M1474))</f>
        <v/>
      </c>
      <c r="Q1474" s="359" t="s">
        <v>4381</v>
      </c>
    </row>
    <row r="1475" spans="1:17" x14ac:dyDescent="0.35">
      <c r="A1475" t="s">
        <v>2265</v>
      </c>
      <c r="B1475" t="s">
        <v>2328</v>
      </c>
      <c r="C1475" t="s">
        <v>1004</v>
      </c>
      <c r="E1475" t="str">
        <f>_xlfn.XLOOKUP(F1475,'Raw Data'!$I$4:$I$5000,'Raw Data'!$D$4:$D$5000,"*** Mnemonic not found ***",0)</f>
        <v>*** Mnemonic not found ***</v>
      </c>
      <c r="F1475" t="str">
        <f t="shared" si="359"/>
        <v>SUCMPROPORRSK_AP_EMLIB_</v>
      </c>
      <c r="G1475" t="s">
        <v>2267</v>
      </c>
      <c r="H1475" s="9" t="s">
        <v>1137</v>
      </c>
      <c r="I1475" s="289">
        <f>ROW(section_non_life_prem)</f>
        <v>437</v>
      </c>
      <c r="J1475" s="9">
        <v>80</v>
      </c>
      <c r="K1475" s="9">
        <f>I1475+J1475</f>
        <v>517</v>
      </c>
      <c r="L1475" s="9" t="s">
        <v>1124</v>
      </c>
      <c r="M1475" s="9" t="str">
        <f t="shared" si="367"/>
        <v>Input!F517</v>
      </c>
      <c r="N1475" s="9">
        <f>_xlfn.XLOOKUP(F1475,'Raw Data'!$I$4:$I$5000,'Raw Data'!$E$4:$E$5000,100,0)</f>
        <v>100</v>
      </c>
      <c r="O1475" s="9" t="str">
        <f>IF(N1475=0,_xlfn.XLOOKUP(F1475,'Raw Data'!$I$4:$I$5000,'Raw Data'!$H$4:$H$5000,"",0),"")</f>
        <v/>
      </c>
      <c r="P1475" s="9" t="str" cm="1">
        <f t="array" aca="1" ref="P1475" ca="1">IF(INDIRECT(M1475) = "","",INDIRECT(M1475))</f>
        <v/>
      </c>
      <c r="Q1475" s="359" t="s">
        <v>4381</v>
      </c>
    </row>
    <row r="1476" spans="1:17" x14ac:dyDescent="0.35">
      <c r="A1476" t="s">
        <v>2265</v>
      </c>
      <c r="B1476" t="s">
        <v>2271</v>
      </c>
      <c r="C1476" t="s">
        <v>978</v>
      </c>
      <c r="E1476" t="str">
        <f>_xlfn.XLOOKUP(F1476,'Raw Data'!$I$4:$I$5000,'Raw Data'!$D$4:$D$5000,"*** Mnemonic not found ***",0)</f>
        <v>*** Mnemonic not found ***</v>
      </c>
      <c r="F1476" t="str">
        <f t="shared" si="359"/>
        <v>SUCMPROPORRSK_AP_LIA_</v>
      </c>
      <c r="H1476" s="9" t="s">
        <v>1137</v>
      </c>
      <c r="K1476" s="9">
        <f>K1475+1</f>
        <v>518</v>
      </c>
      <c r="L1476" s="9" t="str">
        <f>L1475</f>
        <v>F</v>
      </c>
      <c r="M1476" s="9" t="str">
        <f t="shared" si="367"/>
        <v>Input!F518</v>
      </c>
      <c r="N1476" s="9">
        <f>_xlfn.XLOOKUP(F1476,'Raw Data'!$I$4:$I$5000,'Raw Data'!$E$4:$E$5000,100,0)</f>
        <v>100</v>
      </c>
      <c r="O1476" s="9" t="str">
        <f>IF(N1476=0,_xlfn.XLOOKUP(F1476,'Raw Data'!$I$4:$I$5000,'Raw Data'!$H$4:$H$5000,"",0),"")</f>
        <v/>
      </c>
      <c r="P1476" s="9" t="str" cm="1">
        <f t="array" aca="1" ref="P1476" ca="1">IF(INDIRECT(M1476) = "","",INDIRECT(M1476))</f>
        <v/>
      </c>
      <c r="Q1476" s="359" t="s">
        <v>4381</v>
      </c>
    </row>
    <row r="1477" spans="1:17" x14ac:dyDescent="0.35">
      <c r="A1477" t="s">
        <v>2265</v>
      </c>
      <c r="B1477" t="s">
        <v>2329</v>
      </c>
      <c r="C1477" t="s">
        <v>1005</v>
      </c>
      <c r="E1477" t="str">
        <f>_xlfn.XLOOKUP(F1477,'Raw Data'!$I$4:$I$5000,'Raw Data'!$D$4:$D$5000,"*** Mnemonic not found ***",0)</f>
        <v>*** Mnemonic not found ***</v>
      </c>
      <c r="F1477" t="str">
        <f t="shared" si="359"/>
        <v>SUCMPROPORRSK_AP_PRIND_</v>
      </c>
      <c r="H1477" s="9" t="s">
        <v>1137</v>
      </c>
      <c r="K1477" s="9">
        <f t="shared" ref="K1477:K1495" si="370">K1476+1</f>
        <v>519</v>
      </c>
      <c r="L1477" s="9" t="str">
        <f t="shared" ref="L1477:L1495" si="371">L1476</f>
        <v>F</v>
      </c>
      <c r="M1477" s="9" t="str">
        <f t="shared" si="367"/>
        <v>Input!F519</v>
      </c>
      <c r="N1477" s="9">
        <f>_xlfn.XLOOKUP(F1477,'Raw Data'!$I$4:$I$5000,'Raw Data'!$E$4:$E$5000,100,0)</f>
        <v>100</v>
      </c>
      <c r="O1477" s="9" t="str">
        <f>IF(N1477=0,_xlfn.XLOOKUP(F1477,'Raw Data'!$I$4:$I$5000,'Raw Data'!$H$4:$H$5000,"",0),"")</f>
        <v/>
      </c>
      <c r="P1477" s="9" t="str" cm="1">
        <f t="array" aca="1" ref="P1477" ca="1">IF(INDIRECT(M1477) = "","",INDIRECT(M1477))</f>
        <v/>
      </c>
      <c r="Q1477" s="359" t="s">
        <v>4381</v>
      </c>
    </row>
    <row r="1478" spans="1:17" x14ac:dyDescent="0.35">
      <c r="A1478" t="s">
        <v>2265</v>
      </c>
      <c r="B1478" t="s">
        <v>2330</v>
      </c>
      <c r="C1478" t="s">
        <v>407</v>
      </c>
      <c r="E1478" t="str">
        <f>_xlfn.XLOOKUP(F1478,'Raw Data'!$I$4:$I$5000,'Raw Data'!$D$4:$D$5000,"*** Mnemonic not found ***",0)</f>
        <v>*** Mnemonic not found ***</v>
      </c>
      <c r="F1478" t="str">
        <f t="shared" si="359"/>
        <v>SUCMPROPORRSK_AP_PAPL_</v>
      </c>
      <c r="H1478" s="9" t="s">
        <v>1137</v>
      </c>
      <c r="K1478" s="9">
        <f t="shared" si="370"/>
        <v>520</v>
      </c>
      <c r="L1478" s="9" t="str">
        <f t="shared" si="371"/>
        <v>F</v>
      </c>
      <c r="M1478" s="9" t="str">
        <f t="shared" si="367"/>
        <v>Input!F520</v>
      </c>
      <c r="N1478" s="9">
        <f>_xlfn.XLOOKUP(F1478,'Raw Data'!$I$4:$I$5000,'Raw Data'!$E$4:$E$5000,100,0)</f>
        <v>100</v>
      </c>
      <c r="O1478" s="9" t="str">
        <f>IF(N1478=0,_xlfn.XLOOKUP(F1478,'Raw Data'!$I$4:$I$5000,'Raw Data'!$H$4:$H$5000,"",0),"")</f>
        <v/>
      </c>
      <c r="P1478" s="9" t="str" cm="1">
        <f t="array" aca="1" ref="P1478" ca="1">IF(INDIRECT(M1478) = "","",INDIRECT(M1478))</f>
        <v/>
      </c>
      <c r="Q1478" s="359" t="s">
        <v>4381</v>
      </c>
    </row>
    <row r="1479" spans="1:17" x14ac:dyDescent="0.35">
      <c r="A1479" t="s">
        <v>2265</v>
      </c>
      <c r="B1479" t="s">
        <v>2318</v>
      </c>
      <c r="C1479" t="s">
        <v>997</v>
      </c>
      <c r="E1479" t="str">
        <f>_xlfn.XLOOKUP(F1479,'Raw Data'!$I$4:$I$5000,'Raw Data'!$D$4:$D$5000,"*** Mnemonic not found ***",0)</f>
        <v>*** Mnemonic not found ***</v>
      </c>
      <c r="F1479" t="str">
        <f t="shared" ref="F1479:F1542" si="372">CONCATENATE(A1479,"_",B1479,"_",D1479)</f>
        <v>SUCMPROPORRSK_AP_CMPR_</v>
      </c>
      <c r="H1479" s="9" t="s">
        <v>1137</v>
      </c>
      <c r="K1479" s="9">
        <f t="shared" si="370"/>
        <v>521</v>
      </c>
      <c r="L1479" s="9" t="str">
        <f t="shared" si="371"/>
        <v>F</v>
      </c>
      <c r="M1479" s="9" t="str">
        <f t="shared" si="367"/>
        <v>Input!F521</v>
      </c>
      <c r="N1479" s="9">
        <f>_xlfn.XLOOKUP(F1479,'Raw Data'!$I$4:$I$5000,'Raw Data'!$E$4:$E$5000,100,0)</f>
        <v>100</v>
      </c>
      <c r="O1479" s="9" t="str">
        <f>IF(N1479=0,_xlfn.XLOOKUP(F1479,'Raw Data'!$I$4:$I$5000,'Raw Data'!$H$4:$H$5000,"",0),"")</f>
        <v/>
      </c>
      <c r="P1479" s="9" t="str" cm="1">
        <f t="array" aca="1" ref="P1479" ca="1">IF(INDIRECT(M1479) = "","",INDIRECT(M1479))</f>
        <v/>
      </c>
      <c r="Q1479" s="359" t="s">
        <v>4381</v>
      </c>
    </row>
    <row r="1480" spans="1:17" x14ac:dyDescent="0.35">
      <c r="A1480" t="s">
        <v>2265</v>
      </c>
      <c r="B1480" t="s">
        <v>2331</v>
      </c>
      <c r="C1480" t="s">
        <v>1006</v>
      </c>
      <c r="E1480" t="str">
        <f>_xlfn.XLOOKUP(F1480,'Raw Data'!$I$4:$I$5000,'Raw Data'!$D$4:$D$5000,"*** Mnemonic not found ***",0)</f>
        <v>*** Mnemonic not found ***</v>
      </c>
      <c r="F1480" t="str">
        <f t="shared" si="372"/>
        <v>SUCMPROPORRSK_AP_HMP_</v>
      </c>
      <c r="H1480" s="9" t="s">
        <v>1137</v>
      </c>
      <c r="K1480" s="9">
        <f t="shared" si="370"/>
        <v>522</v>
      </c>
      <c r="L1480" s="9" t="str">
        <f t="shared" si="371"/>
        <v>F</v>
      </c>
      <c r="M1480" s="9" t="str">
        <f t="shared" si="367"/>
        <v>Input!F522</v>
      </c>
      <c r="N1480" s="9">
        <f>_xlfn.XLOOKUP(F1480,'Raw Data'!$I$4:$I$5000,'Raw Data'!$E$4:$E$5000,100,0)</f>
        <v>100</v>
      </c>
      <c r="O1480" s="9" t="str">
        <f>IF(N1480=0,_xlfn.XLOOKUP(F1480,'Raw Data'!$I$4:$I$5000,'Raw Data'!$H$4:$H$5000,"",0),"")</f>
        <v/>
      </c>
      <c r="P1480" s="9" t="str" cm="1">
        <f t="array" aca="1" ref="P1480" ca="1">IF(INDIRECT(M1480) = "","",INDIRECT(M1480))</f>
        <v/>
      </c>
      <c r="Q1480" s="359" t="s">
        <v>4381</v>
      </c>
    </row>
    <row r="1481" spans="1:17" x14ac:dyDescent="0.35">
      <c r="A1481" t="s">
        <v>2265</v>
      </c>
      <c r="B1481" t="s">
        <v>2339</v>
      </c>
      <c r="C1481" t="s">
        <v>386</v>
      </c>
      <c r="E1481" t="str">
        <f>_xlfn.XLOOKUP(F1481,'Raw Data'!$I$4:$I$5000,'Raw Data'!$D$4:$D$5000,"*** Mnemonic not found ***",0)</f>
        <v>*** Mnemonic not found ***</v>
      </c>
      <c r="F1481" t="str">
        <f t="shared" si="372"/>
        <v>SUCMPROPORRSK_AP_ENG_</v>
      </c>
      <c r="H1481" s="9" t="s">
        <v>1137</v>
      </c>
      <c r="K1481" s="9">
        <f t="shared" si="370"/>
        <v>523</v>
      </c>
      <c r="L1481" s="9" t="str">
        <f t="shared" si="371"/>
        <v>F</v>
      </c>
      <c r="M1481" s="9" t="str">
        <f t="shared" si="367"/>
        <v>Input!F523</v>
      </c>
      <c r="N1481" s="9">
        <f>_xlfn.XLOOKUP(F1481,'Raw Data'!$I$4:$I$5000,'Raw Data'!$E$4:$E$5000,100,0)</f>
        <v>100</v>
      </c>
      <c r="O1481" s="9" t="str">
        <f>IF(N1481=0,_xlfn.XLOOKUP(F1481,'Raw Data'!$I$4:$I$5000,'Raw Data'!$H$4:$H$5000,"",0),"")</f>
        <v/>
      </c>
      <c r="P1481" s="9" t="str" cm="1">
        <f t="array" aca="1" ref="P1481" ca="1">IF(INDIRECT(M1481) = "","",INDIRECT(M1481))</f>
        <v/>
      </c>
      <c r="Q1481" s="359" t="s">
        <v>4381</v>
      </c>
    </row>
    <row r="1482" spans="1:17" x14ac:dyDescent="0.35">
      <c r="A1482" t="s">
        <v>2265</v>
      </c>
      <c r="B1482" t="s">
        <v>2332</v>
      </c>
      <c r="C1482" t="s">
        <v>1027</v>
      </c>
      <c r="E1482" t="str">
        <f>_xlfn.XLOOKUP(F1482,'Raw Data'!$I$4:$I$5000,'Raw Data'!$D$4:$D$5000,"*** Mnemonic not found ***",0)</f>
        <v>*** Mnemonic not found ***</v>
      </c>
      <c r="F1482" t="str">
        <f t="shared" si="372"/>
        <v>SUCMPROPORRSK_AP_CALANZ_</v>
      </c>
      <c r="H1482" s="9" t="s">
        <v>1137</v>
      </c>
      <c r="K1482" s="9">
        <f t="shared" si="370"/>
        <v>524</v>
      </c>
      <c r="L1482" s="9" t="str">
        <f t="shared" si="371"/>
        <v>F</v>
      </c>
      <c r="M1482" s="9" t="str">
        <f t="shared" si="367"/>
        <v>Input!F524</v>
      </c>
      <c r="N1482" s="9">
        <f>_xlfn.XLOOKUP(F1482,'Raw Data'!$I$4:$I$5000,'Raw Data'!$E$4:$E$5000,100,0)</f>
        <v>100</v>
      </c>
      <c r="O1482" s="9" t="str">
        <f>IF(N1482=0,_xlfn.XLOOKUP(F1482,'Raw Data'!$I$4:$I$5000,'Raw Data'!$H$4:$H$5000,"",0),"")</f>
        <v/>
      </c>
      <c r="P1482" s="9" t="str" cm="1">
        <f t="array" aca="1" ref="P1482" ca="1">IF(INDIRECT(M1482) = "","",INDIRECT(M1482))</f>
        <v/>
      </c>
      <c r="Q1482" s="359" t="s">
        <v>4381</v>
      </c>
    </row>
    <row r="1483" spans="1:17" x14ac:dyDescent="0.35">
      <c r="A1483" t="s">
        <v>2265</v>
      </c>
      <c r="B1483" t="s">
        <v>2333</v>
      </c>
      <c r="C1483" t="s">
        <v>1028</v>
      </c>
      <c r="E1483" t="str">
        <f>_xlfn.XLOOKUP(F1483,'Raw Data'!$I$4:$I$5000,'Raw Data'!$D$4:$D$5000,"*** Mnemonic not found ***",0)</f>
        <v>*** Mnemonic not found ***</v>
      </c>
      <c r="F1483" t="str">
        <f t="shared" si="372"/>
        <v>SUCMPROPORRSK_AP_PALANZ_</v>
      </c>
      <c r="H1483" s="9" t="s">
        <v>1137</v>
      </c>
      <c r="K1483" s="9">
        <f t="shared" si="370"/>
        <v>525</v>
      </c>
      <c r="L1483" s="9" t="str">
        <f t="shared" si="371"/>
        <v>F</v>
      </c>
      <c r="M1483" s="9" t="str">
        <f t="shared" si="367"/>
        <v>Input!F525</v>
      </c>
      <c r="N1483" s="9">
        <f>_xlfn.XLOOKUP(F1483,'Raw Data'!$I$4:$I$5000,'Raw Data'!$E$4:$E$5000,100,0)</f>
        <v>100</v>
      </c>
      <c r="O1483" s="9" t="str">
        <f>IF(N1483=0,_xlfn.XLOOKUP(F1483,'Raw Data'!$I$4:$I$5000,'Raw Data'!$H$4:$H$5000,"",0),"")</f>
        <v/>
      </c>
      <c r="P1483" s="9" t="str" cm="1">
        <f t="array" aca="1" ref="P1483" ca="1">IF(INDIRECT(M1483) = "","",INDIRECT(M1483))</f>
        <v/>
      </c>
      <c r="Q1483" s="359" t="s">
        <v>4381</v>
      </c>
    </row>
    <row r="1484" spans="1:17" x14ac:dyDescent="0.35">
      <c r="A1484" t="s">
        <v>2265</v>
      </c>
      <c r="B1484" t="s">
        <v>2274</v>
      </c>
      <c r="C1484" t="s">
        <v>1007</v>
      </c>
      <c r="E1484" t="str">
        <f>_xlfn.XLOOKUP(F1484,'Raw Data'!$I$4:$I$5000,'Raw Data'!$D$4:$D$5000,"*** Mnemonic not found ***",0)</f>
        <v>*** Mnemonic not found ***</v>
      </c>
      <c r="F1484" t="str">
        <f t="shared" si="372"/>
        <v>SUCMPROPORRSK_AP_ALB_</v>
      </c>
      <c r="H1484" s="9" t="s">
        <v>1137</v>
      </c>
      <c r="K1484" s="9">
        <f t="shared" si="370"/>
        <v>526</v>
      </c>
      <c r="L1484" s="9" t="str">
        <f t="shared" si="371"/>
        <v>F</v>
      </c>
      <c r="M1484" s="9" t="str">
        <f t="shared" ref="M1484" si="373">CONCATENATE(H1484,"!",L1484,K1484)</f>
        <v>Input!F526</v>
      </c>
      <c r="N1484" s="9">
        <f>_xlfn.XLOOKUP(F1484,'Raw Data'!$I$4:$I$5000,'Raw Data'!$E$4:$E$5000,100,0)</f>
        <v>100</v>
      </c>
      <c r="O1484" s="9" t="str">
        <f>IF(N1484=0,_xlfn.XLOOKUP(F1484,'Raw Data'!$I$4:$I$5000,'Raw Data'!$H$4:$H$5000,"",0),"")</f>
        <v/>
      </c>
      <c r="P1484" s="9" t="str" cm="1">
        <f t="array" aca="1" ref="P1484" ca="1">IF(INDIRECT(M1484) = "","",INDIRECT(M1484))</f>
        <v/>
      </c>
      <c r="Q1484" s="359" t="s">
        <v>4381</v>
      </c>
    </row>
    <row r="1485" spans="1:17" x14ac:dyDescent="0.35">
      <c r="A1485" s="694" t="s">
        <v>2265</v>
      </c>
      <c r="B1485" s="694" t="s">
        <v>4311</v>
      </c>
      <c r="C1485" t="s">
        <v>4095</v>
      </c>
      <c r="E1485" t="str">
        <f>_xlfn.XLOOKUP(F1485,'Raw Data'!$I$4:$I$5000,'Raw Data'!$D$4:$D$5000,"*** Mnemonic not found ***",0)</f>
        <v>*** Mnemonic not found ***</v>
      </c>
      <c r="F1485" t="str">
        <f t="shared" si="372"/>
        <v>SUCMPROPORRSK_AP_AJPTW_</v>
      </c>
      <c r="H1485" s="9" t="s">
        <v>1137</v>
      </c>
      <c r="K1485" s="9">
        <f>K1484+1</f>
        <v>527</v>
      </c>
      <c r="L1485" s="9" t="str">
        <f>L1484</f>
        <v>F</v>
      </c>
      <c r="M1485" s="9" t="str">
        <f t="shared" si="367"/>
        <v>Input!F527</v>
      </c>
      <c r="N1485" s="9">
        <f>_xlfn.XLOOKUP(F1485,'Raw Data'!$I$4:$I$5000,'Raw Data'!$E$4:$E$5000,100,0)</f>
        <v>100</v>
      </c>
      <c r="O1485" s="9" t="str">
        <f>IF(N1485=0,_xlfn.XLOOKUP(F1485,'Raw Data'!$I$4:$I$5000,'Raw Data'!$H$4:$H$5000,"",0),"")</f>
        <v/>
      </c>
      <c r="P1485" s="9" t="str" cm="1">
        <f t="array" aca="1" ref="P1485" ca="1">IF(INDIRECT(M1485) = "","",INDIRECT(M1485))</f>
        <v/>
      </c>
      <c r="Q1485" s="359" t="s">
        <v>4381</v>
      </c>
    </row>
    <row r="1486" spans="1:17" x14ac:dyDescent="0.35">
      <c r="A1486" t="s">
        <v>2265</v>
      </c>
      <c r="B1486" t="s">
        <v>2334</v>
      </c>
      <c r="C1486" t="s">
        <v>1008</v>
      </c>
      <c r="E1486" t="str">
        <f>_xlfn.XLOOKUP(F1486,'Raw Data'!$I$4:$I$5000,'Raw Data'!$D$4:$D$5000,"*** Mnemonic not found ***",0)</f>
        <v>*** Mnemonic not found ***</v>
      </c>
      <c r="F1486" t="str">
        <f t="shared" si="372"/>
        <v>SUCMPROPORRSK_AP_TPLM_</v>
      </c>
      <c r="H1486" s="9" t="s">
        <v>1137</v>
      </c>
      <c r="K1486" s="9">
        <f t="shared" si="370"/>
        <v>528</v>
      </c>
      <c r="L1486" s="9" t="str">
        <f t="shared" si="371"/>
        <v>F</v>
      </c>
      <c r="M1486" s="9" t="str">
        <f t="shared" si="367"/>
        <v>Input!F528</v>
      </c>
      <c r="N1486" s="9">
        <f>_xlfn.XLOOKUP(F1486,'Raw Data'!$I$4:$I$5000,'Raw Data'!$E$4:$E$5000,100,0)</f>
        <v>100</v>
      </c>
      <c r="O1486" s="9" t="str">
        <f>IF(N1486=0,_xlfn.XLOOKUP(F1486,'Raw Data'!$I$4:$I$5000,'Raw Data'!$H$4:$H$5000,"",0),"")</f>
        <v/>
      </c>
      <c r="P1486" s="9" t="str" cm="1">
        <f t="array" aca="1" ref="P1486" ca="1">IF(INDIRECT(M1486) = "","",INDIRECT(M1486))</f>
        <v/>
      </c>
      <c r="Q1486" s="359" t="s">
        <v>4381</v>
      </c>
    </row>
    <row r="1487" spans="1:17" x14ac:dyDescent="0.35">
      <c r="A1487" t="s">
        <v>2265</v>
      </c>
      <c r="B1487" t="s">
        <v>2335</v>
      </c>
      <c r="C1487" t="s">
        <v>1009</v>
      </c>
      <c r="E1487" t="str">
        <f>_xlfn.XLOOKUP(F1487,'Raw Data'!$I$4:$I$5000,'Raw Data'!$D$4:$D$5000,"*** Mnemonic not found ***",0)</f>
        <v>*** Mnemonic not found ***</v>
      </c>
      <c r="F1487" t="str">
        <f t="shared" si="372"/>
        <v>SUCMPROPORRSK_AP_CONCR_</v>
      </c>
      <c r="H1487" s="9" t="s">
        <v>1137</v>
      </c>
      <c r="K1487" s="9">
        <f t="shared" si="370"/>
        <v>529</v>
      </c>
      <c r="L1487" s="9" t="str">
        <f t="shared" si="371"/>
        <v>F</v>
      </c>
      <c r="M1487" s="9" t="str">
        <f t="shared" si="367"/>
        <v>Input!F529</v>
      </c>
      <c r="N1487" s="9">
        <f>_xlfn.XLOOKUP(F1487,'Raw Data'!$I$4:$I$5000,'Raw Data'!$E$4:$E$5000,100,0)</f>
        <v>100</v>
      </c>
      <c r="O1487" s="9" t="str">
        <f>IF(N1487=0,_xlfn.XLOOKUP(F1487,'Raw Data'!$I$4:$I$5000,'Raw Data'!$H$4:$H$5000,"",0),"")</f>
        <v/>
      </c>
      <c r="P1487" s="9" t="str" cm="1">
        <f t="array" aca="1" ref="P1487" ca="1">IF(INDIRECT(M1487) = "","",INDIRECT(M1487))</f>
        <v/>
      </c>
      <c r="Q1487" s="359" t="s">
        <v>4381</v>
      </c>
    </row>
    <row r="1488" spans="1:17" x14ac:dyDescent="0.35">
      <c r="A1488" t="s">
        <v>2265</v>
      </c>
      <c r="B1488" t="s">
        <v>2298</v>
      </c>
      <c r="C1488" t="s">
        <v>374</v>
      </c>
      <c r="E1488" t="str">
        <f>_xlfn.XLOOKUP(F1488,'Raw Data'!$I$4:$I$5000,'Raw Data'!$D$4:$D$5000,"*** Mnemonic not found ***",0)</f>
        <v>*** Mnemonic not found ***</v>
      </c>
      <c r="F1488" t="str">
        <f t="shared" si="372"/>
        <v>SUCMPROPORRSK_AP_CRD_</v>
      </c>
      <c r="H1488" s="9" t="s">
        <v>1137</v>
      </c>
      <c r="K1488" s="9">
        <f t="shared" si="370"/>
        <v>530</v>
      </c>
      <c r="L1488" s="9" t="str">
        <f t="shared" si="371"/>
        <v>F</v>
      </c>
      <c r="M1488" s="9" t="str">
        <f t="shared" si="367"/>
        <v>Input!F530</v>
      </c>
      <c r="N1488" s="9">
        <f>_xlfn.XLOOKUP(F1488,'Raw Data'!$I$4:$I$5000,'Raw Data'!$E$4:$E$5000,100,0)</f>
        <v>100</v>
      </c>
      <c r="O1488" s="9" t="str">
        <f>IF(N1488=0,_xlfn.XLOOKUP(F1488,'Raw Data'!$I$4:$I$5000,'Raw Data'!$H$4:$H$5000,"",0),"")</f>
        <v/>
      </c>
      <c r="P1488" s="9" t="str" cm="1">
        <f t="array" aca="1" ref="P1488" ca="1">IF(INDIRECT(M1488) = "","",INDIRECT(M1488))</f>
        <v/>
      </c>
      <c r="Q1488" s="359" t="s">
        <v>4381</v>
      </c>
    </row>
    <row r="1489" spans="1:17" x14ac:dyDescent="0.35">
      <c r="A1489" t="s">
        <v>2265</v>
      </c>
      <c r="B1489" t="s">
        <v>2303</v>
      </c>
      <c r="C1489" t="s">
        <v>994</v>
      </c>
      <c r="E1489" t="str">
        <f>_xlfn.XLOOKUP(F1489,'Raw Data'!$I$4:$I$5000,'Raw Data'!$D$4:$D$5000,"*** Mnemonic not found ***",0)</f>
        <v>*** Mnemonic not found ***</v>
      </c>
      <c r="F1489" t="str">
        <f t="shared" si="372"/>
        <v>SUCMPROPORRSK_AP_AAH_</v>
      </c>
      <c r="H1489" s="9" t="s">
        <v>1137</v>
      </c>
      <c r="K1489" s="9">
        <f t="shared" si="370"/>
        <v>531</v>
      </c>
      <c r="L1489" s="9" t="str">
        <f t="shared" si="371"/>
        <v>F</v>
      </c>
      <c r="M1489" s="9" t="str">
        <f t="shared" si="367"/>
        <v>Input!F531</v>
      </c>
      <c r="N1489" s="9">
        <f>_xlfn.XLOOKUP(F1489,'Raw Data'!$I$4:$I$5000,'Raw Data'!$E$4:$E$5000,100,0)</f>
        <v>100</v>
      </c>
      <c r="O1489" s="9" t="str">
        <f>IF(N1489=0,_xlfn.XLOOKUP(F1489,'Raw Data'!$I$4:$I$5000,'Raw Data'!$H$4:$H$5000,"",0),"")</f>
        <v/>
      </c>
      <c r="P1489" s="9" t="str" cm="1">
        <f t="array" aca="1" ref="P1489" ca="1">IF(INDIRECT(M1489) = "","",INDIRECT(M1489))</f>
        <v/>
      </c>
      <c r="Q1489" s="359" t="s">
        <v>4381</v>
      </c>
    </row>
    <row r="1490" spans="1:17" x14ac:dyDescent="0.35">
      <c r="A1490" t="s">
        <v>2265</v>
      </c>
      <c r="B1490" t="s">
        <v>2336</v>
      </c>
      <c r="C1490" t="s">
        <v>261</v>
      </c>
      <c r="E1490" t="str">
        <f>_xlfn.XLOOKUP(F1490,'Raw Data'!$I$4:$I$5000,'Raw Data'!$D$4:$D$5000,"*** Mnemonic not found ***",0)</f>
        <v>*** Mnemonic not found ***</v>
      </c>
      <c r="F1490" t="str">
        <f t="shared" si="372"/>
        <v>SUCMPROPORRSK_AP_HLTH_</v>
      </c>
      <c r="H1490" s="9" t="s">
        <v>1137</v>
      </c>
      <c r="K1490" s="9">
        <f t="shared" si="370"/>
        <v>532</v>
      </c>
      <c r="L1490" s="9" t="str">
        <f t="shared" si="371"/>
        <v>F</v>
      </c>
      <c r="M1490" s="9" t="str">
        <f t="shared" si="367"/>
        <v>Input!F532</v>
      </c>
      <c r="N1490" s="9">
        <f>_xlfn.XLOOKUP(F1490,'Raw Data'!$I$4:$I$5000,'Raw Data'!$E$4:$E$5000,100,0)</f>
        <v>100</v>
      </c>
      <c r="O1490" s="9" t="str">
        <f>IF(N1490=0,_xlfn.XLOOKUP(F1490,'Raw Data'!$I$4:$I$5000,'Raw Data'!$H$4:$H$5000,"",0),"")</f>
        <v/>
      </c>
      <c r="P1490" s="9" t="str" cm="1">
        <f t="array" aca="1" ref="P1490" ca="1">IF(INDIRECT(M1490) = "","",INDIRECT(M1490))</f>
        <v/>
      </c>
      <c r="Q1490" s="359" t="s">
        <v>4381</v>
      </c>
    </row>
    <row r="1491" spans="1:17" x14ac:dyDescent="0.35">
      <c r="A1491" t="s">
        <v>2265</v>
      </c>
      <c r="B1491" t="s">
        <v>2337</v>
      </c>
      <c r="C1491" t="s">
        <v>1010</v>
      </c>
      <c r="E1491" t="str">
        <f>_xlfn.XLOOKUP(F1491,'Raw Data'!$I$4:$I$5000,'Raw Data'!$D$4:$D$5000,"*** Mnemonic not found ***",0)</f>
        <v>*** Mnemonic not found ***</v>
      </c>
      <c r="F1491" t="str">
        <f t="shared" si="372"/>
        <v>SUCMPROPORRSK_AP_MAVC_</v>
      </c>
      <c r="H1491" s="9" t="s">
        <v>1137</v>
      </c>
      <c r="K1491" s="9">
        <f t="shared" si="370"/>
        <v>533</v>
      </c>
      <c r="L1491" s="9" t="str">
        <f t="shared" si="371"/>
        <v>F</v>
      </c>
      <c r="M1491" s="9" t="str">
        <f t="shared" si="367"/>
        <v>Input!F533</v>
      </c>
      <c r="N1491" s="9">
        <f>_xlfn.XLOOKUP(F1491,'Raw Data'!$I$4:$I$5000,'Raw Data'!$E$4:$E$5000,100,0)</f>
        <v>100</v>
      </c>
      <c r="O1491" s="9" t="str">
        <f>IF(N1491=0,_xlfn.XLOOKUP(F1491,'Raw Data'!$I$4:$I$5000,'Raw Data'!$H$4:$H$5000,"",0),"")</f>
        <v/>
      </c>
      <c r="P1491" s="9" t="str" cm="1">
        <f t="array" aca="1" ref="P1491" ca="1">IF(INDIRECT(M1491) = "","",INDIRECT(M1491))</f>
        <v/>
      </c>
      <c r="Q1491" s="359" t="s">
        <v>4381</v>
      </c>
    </row>
    <row r="1492" spans="1:17" x14ac:dyDescent="0.35">
      <c r="A1492" t="s">
        <v>2265</v>
      </c>
      <c r="B1492" t="s">
        <v>2338</v>
      </c>
      <c r="C1492" t="s">
        <v>1011</v>
      </c>
      <c r="E1492" t="str">
        <f>_xlfn.XLOOKUP(F1492,'Raw Data'!$I$4:$I$5000,'Raw Data'!$D$4:$D$5000,"*** Mnemonic not found ***",0)</f>
        <v>*** Mnemonic not found ***</v>
      </c>
      <c r="F1492" t="str">
        <f t="shared" si="372"/>
        <v>SUCMPROPORRSK_AP_MAVH_</v>
      </c>
      <c r="H1492" s="9" t="s">
        <v>1137</v>
      </c>
      <c r="K1492" s="9">
        <f t="shared" si="370"/>
        <v>534</v>
      </c>
      <c r="L1492" s="9" t="str">
        <f t="shared" si="371"/>
        <v>F</v>
      </c>
      <c r="M1492" s="9" t="str">
        <f t="shared" si="367"/>
        <v>Input!F534</v>
      </c>
      <c r="N1492" s="9">
        <f>_xlfn.XLOOKUP(F1492,'Raw Data'!$I$4:$I$5000,'Raw Data'!$E$4:$E$5000,100,0)</f>
        <v>100</v>
      </c>
      <c r="O1492" s="9" t="str">
        <f>IF(N1492=0,_xlfn.XLOOKUP(F1492,'Raw Data'!$I$4:$I$5000,'Raw Data'!$H$4:$H$5000,"",0),"")</f>
        <v/>
      </c>
      <c r="P1492" s="9" t="str" cm="1">
        <f t="array" aca="1" ref="P1492" ca="1">IF(INDIRECT(M1492) = "","",INDIRECT(M1492))</f>
        <v/>
      </c>
      <c r="Q1492" s="359" t="s">
        <v>4381</v>
      </c>
    </row>
    <row r="1493" spans="1:17" x14ac:dyDescent="0.35">
      <c r="A1493" s="694" t="s">
        <v>2265</v>
      </c>
      <c r="B1493" s="694" t="s">
        <v>4308</v>
      </c>
      <c r="C1493" t="s">
        <v>4130</v>
      </c>
      <c r="E1493" t="str">
        <f>_xlfn.XLOOKUP(F1493,'Raw Data'!$I$4:$I$5000,'Raw Data'!$D$4:$D$5000,"*** Mnemonic not found ***",0)</f>
        <v>*** Mnemonic not found ***</v>
      </c>
      <c r="F1493" t="str">
        <f t="shared" si="372"/>
        <v>SUCMPROPORRSK_AP_MPIN_</v>
      </c>
      <c r="H1493" s="9" t="s">
        <v>1137</v>
      </c>
      <c r="K1493" s="9">
        <f t="shared" si="370"/>
        <v>535</v>
      </c>
      <c r="L1493" s="9" t="str">
        <f t="shared" si="371"/>
        <v>F</v>
      </c>
      <c r="M1493" s="9" t="str">
        <f t="shared" ref="M1493" si="374">CONCATENATE(H1493,"!",L1493,K1493)</f>
        <v>Input!F535</v>
      </c>
      <c r="N1493" s="9">
        <f>_xlfn.XLOOKUP(F1493,'Raw Data'!$I$4:$I$5000,'Raw Data'!$E$4:$E$5000,100,0)</f>
        <v>100</v>
      </c>
      <c r="O1493" s="9" t="str">
        <f>IF(N1493=0,_xlfn.XLOOKUP(F1493,'Raw Data'!$I$4:$I$5000,'Raw Data'!$H$4:$H$5000,"",0),"")</f>
        <v/>
      </c>
      <c r="P1493" s="9" t="str" cm="1">
        <f t="array" aca="1" ref="P1493" ca="1">IF(INDIRECT(M1493) = "","",INDIRECT(M1493))</f>
        <v/>
      </c>
      <c r="Q1493" s="359" t="s">
        <v>4381</v>
      </c>
    </row>
    <row r="1494" spans="1:17" x14ac:dyDescent="0.35">
      <c r="A1494" t="s">
        <v>2265</v>
      </c>
      <c r="B1494" t="s">
        <v>2340</v>
      </c>
      <c r="C1494" t="s">
        <v>382</v>
      </c>
      <c r="E1494" t="str">
        <f>_xlfn.XLOOKUP(F1494,'Raw Data'!$I$4:$I$5000,'Raw Data'!$D$4:$D$5000,"*** Mnemonic not found ***",0)</f>
        <v>*** Mnemonic not found ***</v>
      </c>
      <c r="F1494" t="str">
        <f t="shared" si="372"/>
        <v>SUCMPROPORRSK_AP_TRV_</v>
      </c>
      <c r="H1494" s="9" t="s">
        <v>1137</v>
      </c>
      <c r="K1494" s="9">
        <f>K1493+1</f>
        <v>536</v>
      </c>
      <c r="L1494" s="9" t="str">
        <f>L1493</f>
        <v>F</v>
      </c>
      <c r="M1494" s="9" t="str">
        <f t="shared" si="367"/>
        <v>Input!F536</v>
      </c>
      <c r="N1494" s="9">
        <f>_xlfn.XLOOKUP(F1494,'Raw Data'!$I$4:$I$5000,'Raw Data'!$E$4:$E$5000,100,0)</f>
        <v>100</v>
      </c>
      <c r="O1494" s="9" t="str">
        <f>IF(N1494=0,_xlfn.XLOOKUP(F1494,'Raw Data'!$I$4:$I$5000,'Raw Data'!$H$4:$H$5000,"",0),"")</f>
        <v/>
      </c>
      <c r="P1494" s="9" t="str" cm="1">
        <f t="array" aca="1" ref="P1494" ca="1">IF(INDIRECT(M1494) = "","",INDIRECT(M1494))</f>
        <v/>
      </c>
      <c r="Q1494" s="359" t="s">
        <v>4381</v>
      </c>
    </row>
    <row r="1495" spans="1:17" x14ac:dyDescent="0.35">
      <c r="A1495" t="s">
        <v>2265</v>
      </c>
      <c r="B1495" s="217" t="s">
        <v>2283</v>
      </c>
      <c r="C1495" s="217" t="s">
        <v>262</v>
      </c>
      <c r="E1495" t="str">
        <f>_xlfn.XLOOKUP(F1495,'Raw Data'!$I$4:$I$5000,'Raw Data'!$D$4:$D$5000,"*** Mnemonic not found ***",0)</f>
        <v>*** Mnemonic not found ***</v>
      </c>
      <c r="F1495" t="str">
        <f t="shared" si="372"/>
        <v>SUCMPROPORRSK_AP_OCAH_</v>
      </c>
      <c r="H1495" s="9" t="s">
        <v>1137</v>
      </c>
      <c r="K1495" s="9">
        <f t="shared" si="370"/>
        <v>537</v>
      </c>
      <c r="L1495" s="9" t="str">
        <f t="shared" si="371"/>
        <v>F</v>
      </c>
      <c r="M1495" s="9" t="str">
        <f t="shared" si="367"/>
        <v>Input!F537</v>
      </c>
      <c r="N1495" s="9">
        <f>_xlfn.XLOOKUP(F1495,'Raw Data'!$I$4:$I$5000,'Raw Data'!$E$4:$E$5000,100,0)</f>
        <v>100</v>
      </c>
      <c r="O1495" s="9" t="str">
        <f>IF(N1495=0,_xlfn.XLOOKUP(F1495,'Raw Data'!$I$4:$I$5000,'Raw Data'!$H$4:$H$5000,"",0),"")</f>
        <v/>
      </c>
      <c r="P1495" s="9" t="str" cm="1">
        <f t="array" aca="1" ref="P1495" ca="1">IF(INDIRECT(M1495) = "","",INDIRECT(M1495))</f>
        <v/>
      </c>
      <c r="Q1495" s="359" t="s">
        <v>4381</v>
      </c>
    </row>
    <row r="1496" spans="1:17" x14ac:dyDescent="0.35">
      <c r="A1496" t="s">
        <v>2266</v>
      </c>
      <c r="B1496" t="s">
        <v>2328</v>
      </c>
      <c r="C1496" t="s">
        <v>1004</v>
      </c>
      <c r="E1496" t="str">
        <f>_xlfn.XLOOKUP(F1496,'Raw Data'!$I$4:$I$5000,'Raw Data'!$D$4:$D$5000,"*** Mnemonic not found ***",0)</f>
        <v>*** Mnemonic not found ***</v>
      </c>
      <c r="F1496" t="str">
        <f t="shared" si="372"/>
        <v>SUCMNONPROPORRSK_AP_EMLIB_</v>
      </c>
      <c r="H1496" s="9" t="s">
        <v>1137</v>
      </c>
      <c r="I1496" s="289">
        <f>ROW(section_non_life_prem)</f>
        <v>437</v>
      </c>
      <c r="J1496" s="9">
        <f>J1475</f>
        <v>80</v>
      </c>
      <c r="K1496" s="9">
        <f>I1496+J1496</f>
        <v>517</v>
      </c>
      <c r="L1496" s="9" t="s">
        <v>1145</v>
      </c>
      <c r="M1496" s="9" t="str">
        <f t="shared" si="367"/>
        <v>Input!G517</v>
      </c>
      <c r="N1496" s="9">
        <f>_xlfn.XLOOKUP(F1496,'Raw Data'!$I$4:$I$5000,'Raw Data'!$E$4:$E$5000,100,0)</f>
        <v>100</v>
      </c>
      <c r="O1496" s="9" t="str">
        <f>IF(N1496=0,_xlfn.XLOOKUP(F1496,'Raw Data'!$I$4:$I$5000,'Raw Data'!$H$4:$H$5000,"",0),"")</f>
        <v/>
      </c>
      <c r="P1496" s="9" t="str" cm="1">
        <f t="array" aca="1" ref="P1496" ca="1">IF(INDIRECT(M1496) = "","",INDIRECT(M1496))</f>
        <v/>
      </c>
      <c r="Q1496" s="359" t="s">
        <v>4381</v>
      </c>
    </row>
    <row r="1497" spans="1:17" x14ac:dyDescent="0.35">
      <c r="A1497" t="s">
        <v>2266</v>
      </c>
      <c r="B1497" t="s">
        <v>2271</v>
      </c>
      <c r="C1497" t="s">
        <v>978</v>
      </c>
      <c r="E1497" t="str">
        <f>_xlfn.XLOOKUP(F1497,'Raw Data'!$I$4:$I$5000,'Raw Data'!$D$4:$D$5000,"*** Mnemonic not found ***",0)</f>
        <v>*** Mnemonic not found ***</v>
      </c>
      <c r="F1497" t="str">
        <f t="shared" si="372"/>
        <v>SUCMNONPROPORRSK_AP_LIA_</v>
      </c>
      <c r="H1497" s="9" t="s">
        <v>1137</v>
      </c>
      <c r="K1497" s="9">
        <f>K1496+1</f>
        <v>518</v>
      </c>
      <c r="L1497" s="9" t="str">
        <f>L1496</f>
        <v>G</v>
      </c>
      <c r="M1497" s="9" t="str">
        <f t="shared" si="367"/>
        <v>Input!G518</v>
      </c>
      <c r="N1497" s="9">
        <f>_xlfn.XLOOKUP(F1497,'Raw Data'!$I$4:$I$5000,'Raw Data'!$E$4:$E$5000,100,0)</f>
        <v>100</v>
      </c>
      <c r="O1497" s="9" t="str">
        <f>IF(N1497=0,_xlfn.XLOOKUP(F1497,'Raw Data'!$I$4:$I$5000,'Raw Data'!$H$4:$H$5000,"",0),"")</f>
        <v/>
      </c>
      <c r="P1497" s="9" t="str" cm="1">
        <f t="array" aca="1" ref="P1497" ca="1">IF(INDIRECT(M1497) = "","",INDIRECT(M1497))</f>
        <v/>
      </c>
      <c r="Q1497" s="359" t="s">
        <v>4381</v>
      </c>
    </row>
    <row r="1498" spans="1:17" x14ac:dyDescent="0.35">
      <c r="A1498" t="s">
        <v>2266</v>
      </c>
      <c r="B1498" t="s">
        <v>2329</v>
      </c>
      <c r="C1498" t="s">
        <v>1005</v>
      </c>
      <c r="E1498" t="str">
        <f>_xlfn.XLOOKUP(F1498,'Raw Data'!$I$4:$I$5000,'Raw Data'!$D$4:$D$5000,"*** Mnemonic not found ***",0)</f>
        <v>*** Mnemonic not found ***</v>
      </c>
      <c r="F1498" t="str">
        <f t="shared" si="372"/>
        <v>SUCMNONPROPORRSK_AP_PRIND_</v>
      </c>
      <c r="H1498" s="9" t="s">
        <v>1137</v>
      </c>
      <c r="K1498" s="9">
        <f t="shared" ref="K1498:K1516" si="375">K1497+1</f>
        <v>519</v>
      </c>
      <c r="L1498" s="9" t="str">
        <f t="shared" ref="L1498:L1516" si="376">L1497</f>
        <v>G</v>
      </c>
      <c r="M1498" s="9" t="str">
        <f t="shared" si="367"/>
        <v>Input!G519</v>
      </c>
      <c r="N1498" s="9">
        <f>_xlfn.XLOOKUP(F1498,'Raw Data'!$I$4:$I$5000,'Raw Data'!$E$4:$E$5000,100,0)</f>
        <v>100</v>
      </c>
      <c r="O1498" s="9" t="str">
        <f>IF(N1498=0,_xlfn.XLOOKUP(F1498,'Raw Data'!$I$4:$I$5000,'Raw Data'!$H$4:$H$5000,"",0),"")</f>
        <v/>
      </c>
      <c r="P1498" s="9" t="str" cm="1">
        <f t="array" aca="1" ref="P1498" ca="1">IF(INDIRECT(M1498) = "","",INDIRECT(M1498))</f>
        <v/>
      </c>
      <c r="Q1498" s="359" t="s">
        <v>4381</v>
      </c>
    </row>
    <row r="1499" spans="1:17" x14ac:dyDescent="0.35">
      <c r="A1499" t="s">
        <v>2266</v>
      </c>
      <c r="B1499" t="s">
        <v>2330</v>
      </c>
      <c r="C1499" t="s">
        <v>407</v>
      </c>
      <c r="E1499" t="str">
        <f>_xlfn.XLOOKUP(F1499,'Raw Data'!$I$4:$I$5000,'Raw Data'!$D$4:$D$5000,"*** Mnemonic not found ***",0)</f>
        <v>*** Mnemonic not found ***</v>
      </c>
      <c r="F1499" t="str">
        <f t="shared" si="372"/>
        <v>SUCMNONPROPORRSK_AP_PAPL_</v>
      </c>
      <c r="H1499" s="9" t="s">
        <v>1137</v>
      </c>
      <c r="K1499" s="9">
        <f t="shared" si="375"/>
        <v>520</v>
      </c>
      <c r="L1499" s="9" t="str">
        <f t="shared" si="376"/>
        <v>G</v>
      </c>
      <c r="M1499" s="9" t="str">
        <f t="shared" si="367"/>
        <v>Input!G520</v>
      </c>
      <c r="N1499" s="9">
        <f>_xlfn.XLOOKUP(F1499,'Raw Data'!$I$4:$I$5000,'Raw Data'!$E$4:$E$5000,100,0)</f>
        <v>100</v>
      </c>
      <c r="O1499" s="9" t="str">
        <f>IF(N1499=0,_xlfn.XLOOKUP(F1499,'Raw Data'!$I$4:$I$5000,'Raw Data'!$H$4:$H$5000,"",0),"")</f>
        <v/>
      </c>
      <c r="P1499" s="9" t="str" cm="1">
        <f t="array" aca="1" ref="P1499" ca="1">IF(INDIRECT(M1499) = "","",INDIRECT(M1499))</f>
        <v/>
      </c>
      <c r="Q1499" s="359" t="s">
        <v>4381</v>
      </c>
    </row>
    <row r="1500" spans="1:17" x14ac:dyDescent="0.35">
      <c r="A1500" t="s">
        <v>2266</v>
      </c>
      <c r="B1500" t="s">
        <v>2318</v>
      </c>
      <c r="C1500" t="s">
        <v>997</v>
      </c>
      <c r="E1500" t="str">
        <f>_xlfn.XLOOKUP(F1500,'Raw Data'!$I$4:$I$5000,'Raw Data'!$D$4:$D$5000,"*** Mnemonic not found ***",0)</f>
        <v>*** Mnemonic not found ***</v>
      </c>
      <c r="F1500" t="str">
        <f t="shared" si="372"/>
        <v>SUCMNONPROPORRSK_AP_CMPR_</v>
      </c>
      <c r="H1500" s="9" t="s">
        <v>1137</v>
      </c>
      <c r="K1500" s="9">
        <f t="shared" si="375"/>
        <v>521</v>
      </c>
      <c r="L1500" s="9" t="str">
        <f t="shared" si="376"/>
        <v>G</v>
      </c>
      <c r="M1500" s="9" t="str">
        <f t="shared" si="367"/>
        <v>Input!G521</v>
      </c>
      <c r="N1500" s="9">
        <f>_xlfn.XLOOKUP(F1500,'Raw Data'!$I$4:$I$5000,'Raw Data'!$E$4:$E$5000,100,0)</f>
        <v>100</v>
      </c>
      <c r="O1500" s="9" t="str">
        <f>IF(N1500=0,_xlfn.XLOOKUP(F1500,'Raw Data'!$I$4:$I$5000,'Raw Data'!$H$4:$H$5000,"",0),"")</f>
        <v/>
      </c>
      <c r="P1500" s="9" t="str" cm="1">
        <f t="array" aca="1" ref="P1500" ca="1">IF(INDIRECT(M1500) = "","",INDIRECT(M1500))</f>
        <v/>
      </c>
      <c r="Q1500" s="359" t="s">
        <v>4381</v>
      </c>
    </row>
    <row r="1501" spans="1:17" x14ac:dyDescent="0.35">
      <c r="A1501" t="s">
        <v>2266</v>
      </c>
      <c r="B1501" t="s">
        <v>2331</v>
      </c>
      <c r="C1501" t="s">
        <v>1006</v>
      </c>
      <c r="E1501" t="str">
        <f>_xlfn.XLOOKUP(F1501,'Raw Data'!$I$4:$I$5000,'Raw Data'!$D$4:$D$5000,"*** Mnemonic not found ***",0)</f>
        <v>*** Mnemonic not found ***</v>
      </c>
      <c r="F1501" t="str">
        <f t="shared" si="372"/>
        <v>SUCMNONPROPORRSK_AP_HMP_</v>
      </c>
      <c r="H1501" s="9" t="s">
        <v>1137</v>
      </c>
      <c r="K1501" s="9">
        <f t="shared" si="375"/>
        <v>522</v>
      </c>
      <c r="L1501" s="9" t="str">
        <f t="shared" si="376"/>
        <v>G</v>
      </c>
      <c r="M1501" s="9" t="str">
        <f t="shared" si="367"/>
        <v>Input!G522</v>
      </c>
      <c r="N1501" s="9">
        <f>_xlfn.XLOOKUP(F1501,'Raw Data'!$I$4:$I$5000,'Raw Data'!$E$4:$E$5000,100,0)</f>
        <v>100</v>
      </c>
      <c r="O1501" s="9" t="str">
        <f>IF(N1501=0,_xlfn.XLOOKUP(F1501,'Raw Data'!$I$4:$I$5000,'Raw Data'!$H$4:$H$5000,"",0),"")</f>
        <v/>
      </c>
      <c r="P1501" s="9" t="str" cm="1">
        <f t="array" aca="1" ref="P1501" ca="1">IF(INDIRECT(M1501) = "","",INDIRECT(M1501))</f>
        <v/>
      </c>
      <c r="Q1501" s="359" t="s">
        <v>4381</v>
      </c>
    </row>
    <row r="1502" spans="1:17" x14ac:dyDescent="0.35">
      <c r="A1502" t="s">
        <v>2266</v>
      </c>
      <c r="B1502" t="s">
        <v>2339</v>
      </c>
      <c r="C1502" t="s">
        <v>386</v>
      </c>
      <c r="E1502" t="str">
        <f>_xlfn.XLOOKUP(F1502,'Raw Data'!$I$4:$I$5000,'Raw Data'!$D$4:$D$5000,"*** Mnemonic not found ***",0)</f>
        <v>*** Mnemonic not found ***</v>
      </c>
      <c r="F1502" t="str">
        <f t="shared" si="372"/>
        <v>SUCMNONPROPORRSK_AP_ENG_</v>
      </c>
      <c r="H1502" s="9" t="s">
        <v>1137</v>
      </c>
      <c r="K1502" s="9">
        <f t="shared" si="375"/>
        <v>523</v>
      </c>
      <c r="L1502" s="9" t="str">
        <f t="shared" si="376"/>
        <v>G</v>
      </c>
      <c r="M1502" s="9" t="str">
        <f t="shared" si="367"/>
        <v>Input!G523</v>
      </c>
      <c r="N1502" s="9">
        <f>_xlfn.XLOOKUP(F1502,'Raw Data'!$I$4:$I$5000,'Raw Data'!$E$4:$E$5000,100,0)</f>
        <v>100</v>
      </c>
      <c r="O1502" s="9" t="str">
        <f>IF(N1502=0,_xlfn.XLOOKUP(F1502,'Raw Data'!$I$4:$I$5000,'Raw Data'!$H$4:$H$5000,"",0),"")</f>
        <v/>
      </c>
      <c r="P1502" s="9" t="str" cm="1">
        <f t="array" aca="1" ref="P1502" ca="1">IF(INDIRECT(M1502) = "","",INDIRECT(M1502))</f>
        <v/>
      </c>
      <c r="Q1502" s="359" t="s">
        <v>4381</v>
      </c>
    </row>
    <row r="1503" spans="1:17" x14ac:dyDescent="0.35">
      <c r="A1503" t="s">
        <v>2266</v>
      </c>
      <c r="B1503" t="s">
        <v>2332</v>
      </c>
      <c r="C1503" t="s">
        <v>1027</v>
      </c>
      <c r="E1503" t="str">
        <f>_xlfn.XLOOKUP(F1503,'Raw Data'!$I$4:$I$5000,'Raw Data'!$D$4:$D$5000,"*** Mnemonic not found ***",0)</f>
        <v>*** Mnemonic not found ***</v>
      </c>
      <c r="F1503" t="str">
        <f t="shared" si="372"/>
        <v>SUCMNONPROPORRSK_AP_CALANZ_</v>
      </c>
      <c r="H1503" s="9" t="s">
        <v>1137</v>
      </c>
      <c r="K1503" s="9">
        <f t="shared" si="375"/>
        <v>524</v>
      </c>
      <c r="L1503" s="9" t="str">
        <f t="shared" si="376"/>
        <v>G</v>
      </c>
      <c r="M1503" s="9" t="str">
        <f t="shared" si="367"/>
        <v>Input!G524</v>
      </c>
      <c r="N1503" s="9">
        <f>_xlfn.XLOOKUP(F1503,'Raw Data'!$I$4:$I$5000,'Raw Data'!$E$4:$E$5000,100,0)</f>
        <v>100</v>
      </c>
      <c r="O1503" s="9" t="str">
        <f>IF(N1503=0,_xlfn.XLOOKUP(F1503,'Raw Data'!$I$4:$I$5000,'Raw Data'!$H$4:$H$5000,"",0),"")</f>
        <v/>
      </c>
      <c r="P1503" s="9" t="str" cm="1">
        <f t="array" aca="1" ref="P1503" ca="1">IF(INDIRECT(M1503) = "","",INDIRECT(M1503))</f>
        <v/>
      </c>
      <c r="Q1503" s="359" t="s">
        <v>4381</v>
      </c>
    </row>
    <row r="1504" spans="1:17" x14ac:dyDescent="0.35">
      <c r="A1504" t="s">
        <v>2266</v>
      </c>
      <c r="B1504" t="s">
        <v>2333</v>
      </c>
      <c r="C1504" t="s">
        <v>1028</v>
      </c>
      <c r="E1504" t="str">
        <f>_xlfn.XLOOKUP(F1504,'Raw Data'!$I$4:$I$5000,'Raw Data'!$D$4:$D$5000,"*** Mnemonic not found ***",0)</f>
        <v>*** Mnemonic not found ***</v>
      </c>
      <c r="F1504" t="str">
        <f t="shared" si="372"/>
        <v>SUCMNONPROPORRSK_AP_PALANZ_</v>
      </c>
      <c r="H1504" s="9" t="s">
        <v>1137</v>
      </c>
      <c r="K1504" s="9">
        <f t="shared" si="375"/>
        <v>525</v>
      </c>
      <c r="L1504" s="9" t="str">
        <f t="shared" si="376"/>
        <v>G</v>
      </c>
      <c r="M1504" s="9" t="str">
        <f t="shared" si="367"/>
        <v>Input!G525</v>
      </c>
      <c r="N1504" s="9">
        <f>_xlfn.XLOOKUP(F1504,'Raw Data'!$I$4:$I$5000,'Raw Data'!$E$4:$E$5000,100,0)</f>
        <v>100</v>
      </c>
      <c r="O1504" s="9" t="str">
        <f>IF(N1504=0,_xlfn.XLOOKUP(F1504,'Raw Data'!$I$4:$I$5000,'Raw Data'!$H$4:$H$5000,"",0),"")</f>
        <v/>
      </c>
      <c r="P1504" s="9" t="str" cm="1">
        <f t="array" aca="1" ref="P1504" ca="1">IF(INDIRECT(M1504) = "","",INDIRECT(M1504))</f>
        <v/>
      </c>
      <c r="Q1504" s="359" t="s">
        <v>4381</v>
      </c>
    </row>
    <row r="1505" spans="1:17" x14ac:dyDescent="0.35">
      <c r="A1505" s="694" t="s">
        <v>2266</v>
      </c>
      <c r="B1505" s="694" t="s">
        <v>2274</v>
      </c>
      <c r="C1505" t="s">
        <v>1007</v>
      </c>
      <c r="E1505" t="str">
        <f>_xlfn.XLOOKUP(F1505,'Raw Data'!$I$4:$I$5000,'Raw Data'!$D$4:$D$5000,"*** Mnemonic not found ***",0)</f>
        <v>*** Mnemonic not found ***</v>
      </c>
      <c r="F1505" t="str">
        <f t="shared" si="372"/>
        <v>SUCMNONPROPORRSK_AP_ALB_</v>
      </c>
      <c r="H1505" s="9" t="s">
        <v>1137</v>
      </c>
      <c r="K1505" s="9">
        <f t="shared" si="375"/>
        <v>526</v>
      </c>
      <c r="L1505" s="9" t="str">
        <f t="shared" si="376"/>
        <v>G</v>
      </c>
      <c r="M1505" s="9" t="str">
        <f t="shared" si="367"/>
        <v>Input!G526</v>
      </c>
      <c r="N1505" s="9">
        <f>_xlfn.XLOOKUP(F1505,'Raw Data'!$I$4:$I$5000,'Raw Data'!$E$4:$E$5000,100,0)</f>
        <v>100</v>
      </c>
      <c r="O1505" s="9" t="str">
        <f>IF(N1505=0,_xlfn.XLOOKUP(F1505,'Raw Data'!$I$4:$I$5000,'Raw Data'!$H$4:$H$5000,"",0),"")</f>
        <v/>
      </c>
      <c r="P1505" s="9" t="str" cm="1">
        <f t="array" aca="1" ref="P1505" ca="1">IF(INDIRECT(M1505) = "","",INDIRECT(M1505))</f>
        <v/>
      </c>
      <c r="Q1505" s="359" t="s">
        <v>4381</v>
      </c>
    </row>
    <row r="1506" spans="1:17" x14ac:dyDescent="0.35">
      <c r="A1506" t="s">
        <v>2266</v>
      </c>
      <c r="B1506" s="694" t="s">
        <v>4311</v>
      </c>
      <c r="C1506" t="s">
        <v>4095</v>
      </c>
      <c r="E1506" t="str">
        <f>_xlfn.XLOOKUP(F1506,'Raw Data'!$I$4:$I$5000,'Raw Data'!$D$4:$D$5000,"*** Mnemonic not found ***",0)</f>
        <v>*** Mnemonic not found ***</v>
      </c>
      <c r="F1506" t="str">
        <f t="shared" si="372"/>
        <v>SUCMNONPROPORRSK_AP_AJPTW_</v>
      </c>
      <c r="H1506" s="9" t="s">
        <v>1137</v>
      </c>
      <c r="K1506" s="9">
        <f t="shared" si="375"/>
        <v>527</v>
      </c>
      <c r="L1506" s="9" t="str">
        <f t="shared" si="376"/>
        <v>G</v>
      </c>
      <c r="M1506" s="9" t="str">
        <f t="shared" si="367"/>
        <v>Input!G527</v>
      </c>
      <c r="N1506" s="9">
        <f>_xlfn.XLOOKUP(F1506,'Raw Data'!$I$4:$I$5000,'Raw Data'!$E$4:$E$5000,100,0)</f>
        <v>100</v>
      </c>
      <c r="O1506" s="9" t="str">
        <f>IF(N1506=0,_xlfn.XLOOKUP(F1506,'Raw Data'!$I$4:$I$5000,'Raw Data'!$H$4:$H$5000,"",0),"")</f>
        <v/>
      </c>
      <c r="P1506" s="9" t="str" cm="1">
        <f t="array" aca="1" ref="P1506" ca="1">IF(INDIRECT(M1506) = "","",INDIRECT(M1506))</f>
        <v/>
      </c>
      <c r="Q1506" s="359" t="s">
        <v>4381</v>
      </c>
    </row>
    <row r="1507" spans="1:17" x14ac:dyDescent="0.35">
      <c r="A1507" t="s">
        <v>2266</v>
      </c>
      <c r="B1507" t="s">
        <v>2334</v>
      </c>
      <c r="C1507" t="s">
        <v>1008</v>
      </c>
      <c r="E1507" t="str">
        <f>_xlfn.XLOOKUP(F1507,'Raw Data'!$I$4:$I$5000,'Raw Data'!$D$4:$D$5000,"*** Mnemonic not found ***",0)</f>
        <v>*** Mnemonic not found ***</v>
      </c>
      <c r="F1507" t="str">
        <f t="shared" si="372"/>
        <v>SUCMNONPROPORRSK_AP_TPLM_</v>
      </c>
      <c r="H1507" s="9" t="s">
        <v>1137</v>
      </c>
      <c r="K1507" s="9">
        <f t="shared" si="375"/>
        <v>528</v>
      </c>
      <c r="L1507" s="9" t="str">
        <f t="shared" si="376"/>
        <v>G</v>
      </c>
      <c r="M1507" s="9" t="str">
        <f t="shared" si="367"/>
        <v>Input!G528</v>
      </c>
      <c r="N1507" s="9">
        <f>_xlfn.XLOOKUP(F1507,'Raw Data'!$I$4:$I$5000,'Raw Data'!$E$4:$E$5000,100,0)</f>
        <v>100</v>
      </c>
      <c r="O1507" s="9" t="str">
        <f>IF(N1507=0,_xlfn.XLOOKUP(F1507,'Raw Data'!$I$4:$I$5000,'Raw Data'!$H$4:$H$5000,"",0),"")</f>
        <v/>
      </c>
      <c r="P1507" s="9" t="str" cm="1">
        <f t="array" aca="1" ref="P1507" ca="1">IF(INDIRECT(M1507) = "","",INDIRECT(M1507))</f>
        <v/>
      </c>
      <c r="Q1507" s="359" t="s">
        <v>4381</v>
      </c>
    </row>
    <row r="1508" spans="1:17" x14ac:dyDescent="0.35">
      <c r="A1508" t="s">
        <v>2266</v>
      </c>
      <c r="B1508" t="s">
        <v>2335</v>
      </c>
      <c r="C1508" t="s">
        <v>1009</v>
      </c>
      <c r="E1508" t="str">
        <f>_xlfn.XLOOKUP(F1508,'Raw Data'!$I$4:$I$5000,'Raw Data'!$D$4:$D$5000,"*** Mnemonic not found ***",0)</f>
        <v>*** Mnemonic not found ***</v>
      </c>
      <c r="F1508" t="str">
        <f t="shared" si="372"/>
        <v>SUCMNONPROPORRSK_AP_CONCR_</v>
      </c>
      <c r="H1508" s="9" t="s">
        <v>1137</v>
      </c>
      <c r="K1508" s="9">
        <f t="shared" si="375"/>
        <v>529</v>
      </c>
      <c r="L1508" s="9" t="str">
        <f t="shared" si="376"/>
        <v>G</v>
      </c>
      <c r="M1508" s="9" t="str">
        <f t="shared" si="367"/>
        <v>Input!G529</v>
      </c>
      <c r="N1508" s="9">
        <f>_xlfn.XLOOKUP(F1508,'Raw Data'!$I$4:$I$5000,'Raw Data'!$E$4:$E$5000,100,0)</f>
        <v>100</v>
      </c>
      <c r="O1508" s="9" t="str">
        <f>IF(N1508=0,_xlfn.XLOOKUP(F1508,'Raw Data'!$I$4:$I$5000,'Raw Data'!$H$4:$H$5000,"",0),"")</f>
        <v/>
      </c>
      <c r="P1508" s="9" t="str" cm="1">
        <f t="array" aca="1" ref="P1508" ca="1">IF(INDIRECT(M1508) = "","",INDIRECT(M1508))</f>
        <v/>
      </c>
      <c r="Q1508" s="359" t="s">
        <v>4381</v>
      </c>
    </row>
    <row r="1509" spans="1:17" x14ac:dyDescent="0.35">
      <c r="A1509" t="s">
        <v>2266</v>
      </c>
      <c r="B1509" t="s">
        <v>2298</v>
      </c>
      <c r="C1509" t="s">
        <v>374</v>
      </c>
      <c r="E1509" t="str">
        <f>_xlfn.XLOOKUP(F1509,'Raw Data'!$I$4:$I$5000,'Raw Data'!$D$4:$D$5000,"*** Mnemonic not found ***",0)</f>
        <v>*** Mnemonic not found ***</v>
      </c>
      <c r="F1509" t="str">
        <f t="shared" si="372"/>
        <v>SUCMNONPROPORRSK_AP_CRD_</v>
      </c>
      <c r="H1509" s="9" t="s">
        <v>1137</v>
      </c>
      <c r="K1509" s="9">
        <f t="shared" si="375"/>
        <v>530</v>
      </c>
      <c r="L1509" s="9" t="str">
        <f t="shared" si="376"/>
        <v>G</v>
      </c>
      <c r="M1509" s="9" t="str">
        <f t="shared" si="367"/>
        <v>Input!G530</v>
      </c>
      <c r="N1509" s="9">
        <f>_xlfn.XLOOKUP(F1509,'Raw Data'!$I$4:$I$5000,'Raw Data'!$E$4:$E$5000,100,0)</f>
        <v>100</v>
      </c>
      <c r="O1509" s="9" t="str">
        <f>IF(N1509=0,_xlfn.XLOOKUP(F1509,'Raw Data'!$I$4:$I$5000,'Raw Data'!$H$4:$H$5000,"",0),"")</f>
        <v/>
      </c>
      <c r="P1509" s="9" t="str" cm="1">
        <f t="array" aca="1" ref="P1509" ca="1">IF(INDIRECT(M1509) = "","",INDIRECT(M1509))</f>
        <v/>
      </c>
      <c r="Q1509" s="359" t="s">
        <v>4381</v>
      </c>
    </row>
    <row r="1510" spans="1:17" x14ac:dyDescent="0.35">
      <c r="A1510" t="s">
        <v>2266</v>
      </c>
      <c r="B1510" t="s">
        <v>2303</v>
      </c>
      <c r="C1510" t="s">
        <v>994</v>
      </c>
      <c r="E1510" t="str">
        <f>_xlfn.XLOOKUP(F1510,'Raw Data'!$I$4:$I$5000,'Raw Data'!$D$4:$D$5000,"*** Mnemonic not found ***",0)</f>
        <v>*** Mnemonic not found ***</v>
      </c>
      <c r="F1510" t="str">
        <f t="shared" si="372"/>
        <v>SUCMNONPROPORRSK_AP_AAH_</v>
      </c>
      <c r="H1510" s="9" t="s">
        <v>1137</v>
      </c>
      <c r="K1510" s="9">
        <f t="shared" si="375"/>
        <v>531</v>
      </c>
      <c r="L1510" s="9" t="str">
        <f t="shared" si="376"/>
        <v>G</v>
      </c>
      <c r="M1510" s="9" t="str">
        <f t="shared" si="367"/>
        <v>Input!G531</v>
      </c>
      <c r="N1510" s="9">
        <f>_xlfn.XLOOKUP(F1510,'Raw Data'!$I$4:$I$5000,'Raw Data'!$E$4:$E$5000,100,0)</f>
        <v>100</v>
      </c>
      <c r="O1510" s="9" t="str">
        <f>IF(N1510=0,_xlfn.XLOOKUP(F1510,'Raw Data'!$I$4:$I$5000,'Raw Data'!$H$4:$H$5000,"",0),"")</f>
        <v/>
      </c>
      <c r="P1510" s="9" t="str" cm="1">
        <f t="array" aca="1" ref="P1510" ca="1">IF(INDIRECT(M1510) = "","",INDIRECT(M1510))</f>
        <v/>
      </c>
      <c r="Q1510" s="359" t="s">
        <v>4381</v>
      </c>
    </row>
    <row r="1511" spans="1:17" x14ac:dyDescent="0.35">
      <c r="A1511" t="s">
        <v>2266</v>
      </c>
      <c r="B1511" t="s">
        <v>2336</v>
      </c>
      <c r="C1511" t="s">
        <v>261</v>
      </c>
      <c r="E1511" t="str">
        <f>_xlfn.XLOOKUP(F1511,'Raw Data'!$I$4:$I$5000,'Raw Data'!$D$4:$D$5000,"*** Mnemonic not found ***",0)</f>
        <v>*** Mnemonic not found ***</v>
      </c>
      <c r="F1511" t="str">
        <f t="shared" si="372"/>
        <v>SUCMNONPROPORRSK_AP_HLTH_</v>
      </c>
      <c r="H1511" s="9" t="s">
        <v>1137</v>
      </c>
      <c r="K1511" s="9">
        <f t="shared" si="375"/>
        <v>532</v>
      </c>
      <c r="L1511" s="9" t="str">
        <f t="shared" si="376"/>
        <v>G</v>
      </c>
      <c r="M1511" s="9" t="str">
        <f t="shared" si="367"/>
        <v>Input!G532</v>
      </c>
      <c r="N1511" s="9">
        <f>_xlfn.XLOOKUP(F1511,'Raw Data'!$I$4:$I$5000,'Raw Data'!$E$4:$E$5000,100,0)</f>
        <v>100</v>
      </c>
      <c r="O1511" s="9" t="str">
        <f>IF(N1511=0,_xlfn.XLOOKUP(F1511,'Raw Data'!$I$4:$I$5000,'Raw Data'!$H$4:$H$5000,"",0),"")</f>
        <v/>
      </c>
      <c r="P1511" s="9" t="str" cm="1">
        <f t="array" aca="1" ref="P1511" ca="1">IF(INDIRECT(M1511) = "","",INDIRECT(M1511))</f>
        <v/>
      </c>
      <c r="Q1511" s="359" t="s">
        <v>4381</v>
      </c>
    </row>
    <row r="1512" spans="1:17" x14ac:dyDescent="0.35">
      <c r="A1512" t="s">
        <v>2266</v>
      </c>
      <c r="B1512" t="s">
        <v>2337</v>
      </c>
      <c r="C1512" t="s">
        <v>1010</v>
      </c>
      <c r="E1512" t="str">
        <f>_xlfn.XLOOKUP(F1512,'Raw Data'!$I$4:$I$5000,'Raw Data'!$D$4:$D$5000,"*** Mnemonic not found ***",0)</f>
        <v>*** Mnemonic not found ***</v>
      </c>
      <c r="F1512" t="str">
        <f t="shared" si="372"/>
        <v>SUCMNONPROPORRSK_AP_MAVC_</v>
      </c>
      <c r="H1512" s="9" t="s">
        <v>1137</v>
      </c>
      <c r="K1512" s="9">
        <f t="shared" si="375"/>
        <v>533</v>
      </c>
      <c r="L1512" s="9" t="str">
        <f t="shared" si="376"/>
        <v>G</v>
      </c>
      <c r="M1512" s="9" t="str">
        <f t="shared" si="367"/>
        <v>Input!G533</v>
      </c>
      <c r="N1512" s="9">
        <f>_xlfn.XLOOKUP(F1512,'Raw Data'!$I$4:$I$5000,'Raw Data'!$E$4:$E$5000,100,0)</f>
        <v>100</v>
      </c>
      <c r="O1512" s="9" t="str">
        <f>IF(N1512=0,_xlfn.XLOOKUP(F1512,'Raw Data'!$I$4:$I$5000,'Raw Data'!$H$4:$H$5000,"",0),"")</f>
        <v/>
      </c>
      <c r="P1512" s="9" t="str" cm="1">
        <f t="array" aca="1" ref="P1512" ca="1">IF(INDIRECT(M1512) = "","",INDIRECT(M1512))</f>
        <v/>
      </c>
      <c r="Q1512" s="359" t="s">
        <v>4381</v>
      </c>
    </row>
    <row r="1513" spans="1:17" x14ac:dyDescent="0.35">
      <c r="A1513" t="s">
        <v>2266</v>
      </c>
      <c r="B1513" t="s">
        <v>2338</v>
      </c>
      <c r="C1513" t="s">
        <v>1011</v>
      </c>
      <c r="E1513" t="str">
        <f>_xlfn.XLOOKUP(F1513,'Raw Data'!$I$4:$I$5000,'Raw Data'!$D$4:$D$5000,"*** Mnemonic not found ***",0)</f>
        <v>*** Mnemonic not found ***</v>
      </c>
      <c r="F1513" t="str">
        <f t="shared" si="372"/>
        <v>SUCMNONPROPORRSK_AP_MAVH_</v>
      </c>
      <c r="H1513" s="9" t="s">
        <v>1137</v>
      </c>
      <c r="K1513" s="9">
        <f t="shared" si="375"/>
        <v>534</v>
      </c>
      <c r="L1513" s="9" t="str">
        <f t="shared" si="376"/>
        <v>G</v>
      </c>
      <c r="M1513" s="9" t="str">
        <f t="shared" si="367"/>
        <v>Input!G534</v>
      </c>
      <c r="N1513" s="9">
        <f>_xlfn.XLOOKUP(F1513,'Raw Data'!$I$4:$I$5000,'Raw Data'!$E$4:$E$5000,100,0)</f>
        <v>100</v>
      </c>
      <c r="O1513" s="9" t="str">
        <f>IF(N1513=0,_xlfn.XLOOKUP(F1513,'Raw Data'!$I$4:$I$5000,'Raw Data'!$H$4:$H$5000,"",0),"")</f>
        <v/>
      </c>
      <c r="P1513" s="9" t="str" cm="1">
        <f t="array" aca="1" ref="P1513" ca="1">IF(INDIRECT(M1513) = "","",INDIRECT(M1513))</f>
        <v/>
      </c>
      <c r="Q1513" s="359" t="s">
        <v>4381</v>
      </c>
    </row>
    <row r="1514" spans="1:17" x14ac:dyDescent="0.35">
      <c r="A1514" s="694" t="s">
        <v>2266</v>
      </c>
      <c r="B1514" s="694" t="s">
        <v>4308</v>
      </c>
      <c r="C1514" t="s">
        <v>4130</v>
      </c>
      <c r="E1514" t="str">
        <f>_xlfn.XLOOKUP(F1514,'Raw Data'!$I$4:$I$5000,'Raw Data'!$D$4:$D$5000,"*** Mnemonic not found ***",0)</f>
        <v>*** Mnemonic not found ***</v>
      </c>
      <c r="F1514" t="str">
        <f t="shared" si="372"/>
        <v>SUCMNONPROPORRSK_AP_MPIN_</v>
      </c>
      <c r="H1514" s="9" t="s">
        <v>1137</v>
      </c>
      <c r="K1514" s="9">
        <f t="shared" si="375"/>
        <v>535</v>
      </c>
      <c r="L1514" s="9" t="str">
        <f t="shared" si="376"/>
        <v>G</v>
      </c>
      <c r="M1514" s="9" t="str">
        <f t="shared" si="367"/>
        <v>Input!G535</v>
      </c>
      <c r="N1514" s="9">
        <f>_xlfn.XLOOKUP(F1514,'Raw Data'!$I$4:$I$5000,'Raw Data'!$E$4:$E$5000,100,0)</f>
        <v>100</v>
      </c>
      <c r="O1514" s="9" t="str">
        <f>IF(N1514=0,_xlfn.XLOOKUP(F1514,'Raw Data'!$I$4:$I$5000,'Raw Data'!$H$4:$H$5000,"",0),"")</f>
        <v/>
      </c>
      <c r="P1514" s="9" t="str" cm="1">
        <f t="array" aca="1" ref="P1514" ca="1">IF(INDIRECT(M1514) = "","",INDIRECT(M1514))</f>
        <v/>
      </c>
      <c r="Q1514" s="359" t="s">
        <v>4381</v>
      </c>
    </row>
    <row r="1515" spans="1:17" x14ac:dyDescent="0.35">
      <c r="A1515" t="s">
        <v>2266</v>
      </c>
      <c r="B1515" t="s">
        <v>2340</v>
      </c>
      <c r="C1515" t="s">
        <v>382</v>
      </c>
      <c r="E1515" t="str">
        <f>_xlfn.XLOOKUP(F1515,'Raw Data'!$I$4:$I$5000,'Raw Data'!$D$4:$D$5000,"*** Mnemonic not found ***",0)</f>
        <v>*** Mnemonic not found ***</v>
      </c>
      <c r="F1515" t="str">
        <f t="shared" si="372"/>
        <v>SUCMNONPROPORRSK_AP_TRV_</v>
      </c>
      <c r="H1515" s="9" t="s">
        <v>1137</v>
      </c>
      <c r="K1515" s="9">
        <f t="shared" si="375"/>
        <v>536</v>
      </c>
      <c r="L1515" s="9" t="str">
        <f t="shared" si="376"/>
        <v>G</v>
      </c>
      <c r="M1515" s="9" t="str">
        <f t="shared" si="367"/>
        <v>Input!G536</v>
      </c>
      <c r="N1515" s="9">
        <f>_xlfn.XLOOKUP(F1515,'Raw Data'!$I$4:$I$5000,'Raw Data'!$E$4:$E$5000,100,0)</f>
        <v>100</v>
      </c>
      <c r="O1515" s="9" t="str">
        <f>IF(N1515=0,_xlfn.XLOOKUP(F1515,'Raw Data'!$I$4:$I$5000,'Raw Data'!$H$4:$H$5000,"",0),"")</f>
        <v/>
      </c>
      <c r="P1515" s="9" t="str" cm="1">
        <f t="array" aca="1" ref="P1515" ca="1">IF(INDIRECT(M1515) = "","",INDIRECT(M1515))</f>
        <v/>
      </c>
      <c r="Q1515" s="359" t="s">
        <v>4381</v>
      </c>
    </row>
    <row r="1516" spans="1:17" x14ac:dyDescent="0.35">
      <c r="A1516" t="s">
        <v>2266</v>
      </c>
      <c r="B1516" t="s">
        <v>2283</v>
      </c>
      <c r="C1516" s="217" t="s">
        <v>262</v>
      </c>
      <c r="E1516" t="str">
        <f>_xlfn.XLOOKUP(F1516,'Raw Data'!$I$4:$I$5000,'Raw Data'!$D$4:$D$5000,"*** Mnemonic not found ***",0)</f>
        <v>*** Mnemonic not found ***</v>
      </c>
      <c r="F1516" t="str">
        <f t="shared" si="372"/>
        <v>SUCMNONPROPORRSK_AP_OCAH_</v>
      </c>
      <c r="H1516" s="9" t="s">
        <v>1137</v>
      </c>
      <c r="K1516" s="9">
        <f t="shared" si="375"/>
        <v>537</v>
      </c>
      <c r="L1516" s="9" t="str">
        <f t="shared" si="376"/>
        <v>G</v>
      </c>
      <c r="M1516" s="9" t="str">
        <f t="shared" si="367"/>
        <v>Input!G537</v>
      </c>
      <c r="N1516" s="9">
        <f>_xlfn.XLOOKUP(F1516,'Raw Data'!$I$4:$I$5000,'Raw Data'!$E$4:$E$5000,100,0)</f>
        <v>100</v>
      </c>
      <c r="O1516" s="9" t="str">
        <f>IF(N1516=0,_xlfn.XLOOKUP(F1516,'Raw Data'!$I$4:$I$5000,'Raw Data'!$H$4:$H$5000,"",0),"")</f>
        <v/>
      </c>
      <c r="P1516" s="9" t="str" cm="1">
        <f t="array" aca="1" ref="P1516" ca="1">IF(INDIRECT(M1516) = "","",INDIRECT(M1516))</f>
        <v/>
      </c>
      <c r="Q1516" s="359" t="s">
        <v>4381</v>
      </c>
    </row>
    <row r="1517" spans="1:17" x14ac:dyDescent="0.35">
      <c r="A1517" t="s">
        <v>2269</v>
      </c>
      <c r="B1517" t="s">
        <v>2328</v>
      </c>
      <c r="C1517" t="s">
        <v>1004</v>
      </c>
      <c r="E1517" t="str">
        <f>_xlfn.XLOOKUP(F1517,'Raw Data'!$I$4:$I$5000,'Raw Data'!$D$4:$D$5000,"*** Mnemonic not found ***",0)</f>
        <v>*** Mnemonic not found ***</v>
      </c>
      <c r="F1517" t="str">
        <f t="shared" si="372"/>
        <v>SUCMPROPORRSK_LAM_EMLIB_</v>
      </c>
      <c r="G1517" t="s">
        <v>2268</v>
      </c>
      <c r="H1517" s="9" t="s">
        <v>1137</v>
      </c>
      <c r="I1517" s="289">
        <f>ROW(section_non_life_prem)</f>
        <v>437</v>
      </c>
      <c r="J1517" s="9">
        <v>102</v>
      </c>
      <c r="K1517" s="9">
        <f>I1517+J1517</f>
        <v>539</v>
      </c>
      <c r="L1517" s="9" t="s">
        <v>1124</v>
      </c>
      <c r="M1517" s="9" t="str">
        <f t="shared" si="367"/>
        <v>Input!F539</v>
      </c>
      <c r="N1517" s="9">
        <f>_xlfn.XLOOKUP(F1517,'Raw Data'!$I$4:$I$5000,'Raw Data'!$E$4:$E$5000,100,0)</f>
        <v>100</v>
      </c>
      <c r="O1517" s="9" t="str">
        <f>IF(N1517=0,_xlfn.XLOOKUP(F1517,'Raw Data'!$I$4:$I$5000,'Raw Data'!$H$4:$H$5000,"",0),"")</f>
        <v/>
      </c>
      <c r="P1517" s="9" t="str" cm="1">
        <f t="array" aca="1" ref="P1517" ca="1">IF(INDIRECT(M1517) = "","",INDIRECT(M1517))</f>
        <v/>
      </c>
      <c r="Q1517" s="359" t="s">
        <v>4381</v>
      </c>
    </row>
    <row r="1518" spans="1:17" x14ac:dyDescent="0.35">
      <c r="A1518" t="s">
        <v>2269</v>
      </c>
      <c r="B1518" t="s">
        <v>2271</v>
      </c>
      <c r="C1518" t="s">
        <v>978</v>
      </c>
      <c r="E1518" t="str">
        <f>_xlfn.XLOOKUP(F1518,'Raw Data'!$I$4:$I$5000,'Raw Data'!$D$4:$D$5000,"*** Mnemonic not found ***",0)</f>
        <v>*** Mnemonic not found ***</v>
      </c>
      <c r="F1518" t="str">
        <f t="shared" si="372"/>
        <v>SUCMPROPORRSK_LAM_LIA_</v>
      </c>
      <c r="H1518" s="9" t="s">
        <v>1137</v>
      </c>
      <c r="K1518" s="9">
        <f>K1517+1</f>
        <v>540</v>
      </c>
      <c r="L1518" s="9" t="str">
        <f>L1517</f>
        <v>F</v>
      </c>
      <c r="M1518" s="9" t="str">
        <f t="shared" si="367"/>
        <v>Input!F540</v>
      </c>
      <c r="N1518" s="9">
        <f>_xlfn.XLOOKUP(F1518,'Raw Data'!$I$4:$I$5000,'Raw Data'!$E$4:$E$5000,100,0)</f>
        <v>100</v>
      </c>
      <c r="O1518" s="9" t="str">
        <f>IF(N1518=0,_xlfn.XLOOKUP(F1518,'Raw Data'!$I$4:$I$5000,'Raw Data'!$H$4:$H$5000,"",0),"")</f>
        <v/>
      </c>
      <c r="P1518" s="9" t="str" cm="1">
        <f t="array" aca="1" ref="P1518" ca="1">IF(INDIRECT(M1518) = "","",INDIRECT(M1518))</f>
        <v/>
      </c>
      <c r="Q1518" s="359" t="s">
        <v>4381</v>
      </c>
    </row>
    <row r="1519" spans="1:17" x14ac:dyDescent="0.35">
      <c r="A1519" t="s">
        <v>2269</v>
      </c>
      <c r="B1519" t="s">
        <v>2329</v>
      </c>
      <c r="C1519" t="s">
        <v>1005</v>
      </c>
      <c r="E1519" t="str">
        <f>_xlfn.XLOOKUP(F1519,'Raw Data'!$I$4:$I$5000,'Raw Data'!$D$4:$D$5000,"*** Mnemonic not found ***",0)</f>
        <v>*** Mnemonic not found ***</v>
      </c>
      <c r="F1519" t="str">
        <f t="shared" si="372"/>
        <v>SUCMPROPORRSK_LAM_PRIND_</v>
      </c>
      <c r="H1519" s="9" t="s">
        <v>1137</v>
      </c>
      <c r="K1519" s="9">
        <f t="shared" ref="K1519:K1535" si="377">K1518+1</f>
        <v>541</v>
      </c>
      <c r="L1519" s="9" t="str">
        <f t="shared" ref="L1519:L1535" si="378">L1518</f>
        <v>F</v>
      </c>
      <c r="M1519" s="9" t="str">
        <f t="shared" si="367"/>
        <v>Input!F541</v>
      </c>
      <c r="N1519" s="9">
        <f>_xlfn.XLOOKUP(F1519,'Raw Data'!$I$4:$I$5000,'Raw Data'!$E$4:$E$5000,100,0)</f>
        <v>100</v>
      </c>
      <c r="O1519" s="9" t="str">
        <f>IF(N1519=0,_xlfn.XLOOKUP(F1519,'Raw Data'!$I$4:$I$5000,'Raw Data'!$H$4:$H$5000,"",0),"")</f>
        <v/>
      </c>
      <c r="P1519" s="9" t="str" cm="1">
        <f t="array" aca="1" ref="P1519" ca="1">IF(INDIRECT(M1519) = "","",INDIRECT(M1519))</f>
        <v/>
      </c>
      <c r="Q1519" s="359" t="s">
        <v>4381</v>
      </c>
    </row>
    <row r="1520" spans="1:17" x14ac:dyDescent="0.35">
      <c r="A1520" t="s">
        <v>2269</v>
      </c>
      <c r="B1520" t="s">
        <v>2318</v>
      </c>
      <c r="C1520" t="s">
        <v>997</v>
      </c>
      <c r="E1520" t="str">
        <f>_xlfn.XLOOKUP(F1520,'Raw Data'!$I$4:$I$5000,'Raw Data'!$D$4:$D$5000,"*** Mnemonic not found ***",0)</f>
        <v>*** Mnemonic not found ***</v>
      </c>
      <c r="F1520" t="str">
        <f t="shared" si="372"/>
        <v>SUCMPROPORRSK_LAM_CMPR_</v>
      </c>
      <c r="H1520" s="9" t="s">
        <v>1137</v>
      </c>
      <c r="K1520" s="9">
        <f t="shared" si="377"/>
        <v>542</v>
      </c>
      <c r="L1520" s="9" t="str">
        <f t="shared" si="378"/>
        <v>F</v>
      </c>
      <c r="M1520" s="9" t="str">
        <f t="shared" si="367"/>
        <v>Input!F542</v>
      </c>
      <c r="N1520" s="9">
        <f>_xlfn.XLOOKUP(F1520,'Raw Data'!$I$4:$I$5000,'Raw Data'!$E$4:$E$5000,100,0)</f>
        <v>100</v>
      </c>
      <c r="O1520" s="9" t="str">
        <f>IF(N1520=0,_xlfn.XLOOKUP(F1520,'Raw Data'!$I$4:$I$5000,'Raw Data'!$H$4:$H$5000,"",0),"")</f>
        <v/>
      </c>
      <c r="P1520" s="9" t="str" cm="1">
        <f t="array" aca="1" ref="P1520" ca="1">IF(INDIRECT(M1520) = "","",INDIRECT(M1520))</f>
        <v/>
      </c>
      <c r="Q1520" s="359" t="s">
        <v>4381</v>
      </c>
    </row>
    <row r="1521" spans="1:17" x14ac:dyDescent="0.35">
      <c r="A1521" t="s">
        <v>2269</v>
      </c>
      <c r="B1521" t="s">
        <v>2331</v>
      </c>
      <c r="C1521" t="s">
        <v>1006</v>
      </c>
      <c r="E1521" t="str">
        <f>_xlfn.XLOOKUP(F1521,'Raw Data'!$I$4:$I$5000,'Raw Data'!$D$4:$D$5000,"*** Mnemonic not found ***",0)</f>
        <v>*** Mnemonic not found ***</v>
      </c>
      <c r="F1521" t="str">
        <f t="shared" si="372"/>
        <v>SUCMPROPORRSK_LAM_HMP_</v>
      </c>
      <c r="H1521" s="9" t="s">
        <v>1137</v>
      </c>
      <c r="K1521" s="9">
        <f t="shared" si="377"/>
        <v>543</v>
      </c>
      <c r="L1521" s="9" t="str">
        <f t="shared" si="378"/>
        <v>F</v>
      </c>
      <c r="M1521" s="9" t="str">
        <f t="shared" si="367"/>
        <v>Input!F543</v>
      </c>
      <c r="N1521" s="9">
        <f>_xlfn.XLOOKUP(F1521,'Raw Data'!$I$4:$I$5000,'Raw Data'!$E$4:$E$5000,100,0)</f>
        <v>100</v>
      </c>
      <c r="O1521" s="9" t="str">
        <f>IF(N1521=0,_xlfn.XLOOKUP(F1521,'Raw Data'!$I$4:$I$5000,'Raw Data'!$H$4:$H$5000,"",0),"")</f>
        <v/>
      </c>
      <c r="P1521" s="9" t="str" cm="1">
        <f t="array" aca="1" ref="P1521" ca="1">IF(INDIRECT(M1521) = "","",INDIRECT(M1521))</f>
        <v/>
      </c>
      <c r="Q1521" s="359" t="s">
        <v>4381</v>
      </c>
    </row>
    <row r="1522" spans="1:17" x14ac:dyDescent="0.35">
      <c r="A1522" t="s">
        <v>2269</v>
      </c>
      <c r="B1522" t="s">
        <v>2341</v>
      </c>
      <c r="C1522" t="s">
        <v>1012</v>
      </c>
      <c r="E1522" t="str">
        <f>_xlfn.XLOOKUP(F1522,'Raw Data'!$I$4:$I$5000,'Raw Data'!$D$4:$D$5000,"*** Mnemonic not found ***",0)</f>
        <v>*** Mnemonic not found ***</v>
      </c>
      <c r="F1522" t="str">
        <f t="shared" si="372"/>
        <v>SUCMPROPORRSK_LAM_MEXFR_</v>
      </c>
      <c r="H1522" s="9" t="s">
        <v>1137</v>
      </c>
      <c r="K1522" s="9">
        <f t="shared" si="377"/>
        <v>544</v>
      </c>
      <c r="L1522" s="9" t="str">
        <f t="shared" si="378"/>
        <v>F</v>
      </c>
      <c r="M1522" s="9" t="str">
        <f t="shared" si="367"/>
        <v>Input!F544</v>
      </c>
      <c r="N1522" s="9">
        <f>_xlfn.XLOOKUP(F1522,'Raw Data'!$I$4:$I$5000,'Raw Data'!$E$4:$E$5000,100,0)</f>
        <v>100</v>
      </c>
      <c r="O1522" s="9" t="str">
        <f>IF(N1522=0,_xlfn.XLOOKUP(F1522,'Raw Data'!$I$4:$I$5000,'Raw Data'!$H$4:$H$5000,"",0),"")</f>
        <v/>
      </c>
      <c r="P1522" s="9" t="str" cm="1">
        <f t="array" aca="1" ref="P1522" ca="1">IF(INDIRECT(M1522) = "","",INDIRECT(M1522))</f>
        <v/>
      </c>
      <c r="Q1522" s="359" t="s">
        <v>4381</v>
      </c>
    </row>
    <row r="1523" spans="1:17" x14ac:dyDescent="0.35">
      <c r="A1523" t="s">
        <v>2269</v>
      </c>
      <c r="B1523" t="s">
        <v>2342</v>
      </c>
      <c r="C1523" t="s">
        <v>1013</v>
      </c>
      <c r="E1523" t="str">
        <f>_xlfn.XLOOKUP(F1523,'Raw Data'!$I$4:$I$5000,'Raw Data'!$D$4:$D$5000,"*** Mnemonic not found ***",0)</f>
        <v>*** Mnemonic not found ***</v>
      </c>
      <c r="F1523" t="str">
        <f t="shared" si="372"/>
        <v>SUCMPROPORRSK_LAM_PLM_</v>
      </c>
      <c r="H1523" s="9" t="s">
        <v>1137</v>
      </c>
      <c r="K1523" s="9">
        <f t="shared" si="377"/>
        <v>545</v>
      </c>
      <c r="L1523" s="9" t="str">
        <f t="shared" si="378"/>
        <v>F</v>
      </c>
      <c r="M1523" s="9" t="str">
        <f t="shared" si="367"/>
        <v>Input!F545</v>
      </c>
      <c r="N1523" s="9">
        <f>_xlfn.XLOOKUP(F1523,'Raw Data'!$I$4:$I$5000,'Raw Data'!$E$4:$E$5000,100,0)</f>
        <v>100</v>
      </c>
      <c r="O1523" s="9" t="str">
        <f>IF(N1523=0,_xlfn.XLOOKUP(F1523,'Raw Data'!$I$4:$I$5000,'Raw Data'!$H$4:$H$5000,"",0),"")</f>
        <v/>
      </c>
      <c r="P1523" s="9" t="str" cm="1">
        <f t="array" aca="1" ref="P1523" ca="1">IF(INDIRECT(M1523) = "","",INDIRECT(M1523))</f>
        <v/>
      </c>
      <c r="Q1523" s="359" t="s">
        <v>4381</v>
      </c>
    </row>
    <row r="1524" spans="1:17" x14ac:dyDescent="0.35">
      <c r="A1524" t="s">
        <v>2269</v>
      </c>
      <c r="B1524" t="s">
        <v>2274</v>
      </c>
      <c r="C1524" t="s">
        <v>1014</v>
      </c>
      <c r="E1524" t="str">
        <f>_xlfn.XLOOKUP(F1524,'Raw Data'!$I$4:$I$5000,'Raw Data'!$D$4:$D$5000,"*** Mnemonic not found ***",0)</f>
        <v>*** Mnemonic not found ***</v>
      </c>
      <c r="F1524" t="str">
        <f t="shared" si="372"/>
        <v>SUCMPROPORRSK_LAM_ALB_</v>
      </c>
      <c r="H1524" s="9" t="s">
        <v>1137</v>
      </c>
      <c r="K1524" s="9">
        <f t="shared" si="377"/>
        <v>546</v>
      </c>
      <c r="L1524" s="9" t="str">
        <f t="shared" si="378"/>
        <v>F</v>
      </c>
      <c r="M1524" s="9" t="str">
        <f t="shared" si="367"/>
        <v>Input!F546</v>
      </c>
      <c r="N1524" s="9">
        <f>_xlfn.XLOOKUP(F1524,'Raw Data'!$I$4:$I$5000,'Raw Data'!$E$4:$E$5000,100,0)</f>
        <v>100</v>
      </c>
      <c r="O1524" s="9" t="str">
        <f>IF(N1524=0,_xlfn.XLOOKUP(F1524,'Raw Data'!$I$4:$I$5000,'Raw Data'!$H$4:$H$5000,"",0),"")</f>
        <v/>
      </c>
      <c r="P1524" s="9" t="str" cm="1">
        <f t="array" aca="1" ref="P1524" ca="1">IF(INDIRECT(M1524) = "","",INDIRECT(M1524))</f>
        <v/>
      </c>
      <c r="Q1524" s="359" t="s">
        <v>4381</v>
      </c>
    </row>
    <row r="1525" spans="1:17" x14ac:dyDescent="0.35">
      <c r="A1525" t="s">
        <v>2269</v>
      </c>
      <c r="B1525" t="s">
        <v>2298</v>
      </c>
      <c r="C1525" t="s">
        <v>374</v>
      </c>
      <c r="E1525" t="str">
        <f>_xlfn.XLOOKUP(F1525,'Raw Data'!$I$4:$I$5000,'Raw Data'!$D$4:$D$5000,"*** Mnemonic not found ***",0)</f>
        <v>*** Mnemonic not found ***</v>
      </c>
      <c r="F1525" t="str">
        <f t="shared" si="372"/>
        <v>SUCMPROPORRSK_LAM_CRD_</v>
      </c>
      <c r="H1525" s="9" t="s">
        <v>1137</v>
      </c>
      <c r="K1525" s="9">
        <f t="shared" si="377"/>
        <v>547</v>
      </c>
      <c r="L1525" s="9" t="str">
        <f t="shared" si="378"/>
        <v>F</v>
      </c>
      <c r="M1525" s="9" t="str">
        <f t="shared" si="367"/>
        <v>Input!F547</v>
      </c>
      <c r="N1525" s="9">
        <f>_xlfn.XLOOKUP(F1525,'Raw Data'!$I$4:$I$5000,'Raw Data'!$E$4:$E$5000,100,0)</f>
        <v>100</v>
      </c>
      <c r="O1525" s="9" t="str">
        <f>IF(N1525=0,_xlfn.XLOOKUP(F1525,'Raw Data'!$I$4:$I$5000,'Raw Data'!$H$4:$H$5000,"",0),"")</f>
        <v/>
      </c>
      <c r="P1525" s="9" t="str" cm="1">
        <f t="array" aca="1" ref="P1525" ca="1">IF(INDIRECT(M1525) = "","",INDIRECT(M1525))</f>
        <v/>
      </c>
      <c r="Q1525" s="359" t="s">
        <v>4381</v>
      </c>
    </row>
    <row r="1526" spans="1:17" x14ac:dyDescent="0.35">
      <c r="A1526" t="s">
        <v>2269</v>
      </c>
      <c r="B1526" t="s">
        <v>2324</v>
      </c>
      <c r="C1526" t="s">
        <v>375</v>
      </c>
      <c r="E1526" t="str">
        <f>_xlfn.XLOOKUP(F1526,'Raw Data'!$I$4:$I$5000,'Raw Data'!$D$4:$D$5000,"*** Mnemonic not found ***",0)</f>
        <v>*** Mnemonic not found ***</v>
      </c>
      <c r="F1526" t="str">
        <f t="shared" si="372"/>
        <v>SUCMPROPORRSK_LAM_FID_</v>
      </c>
      <c r="H1526" s="9" t="s">
        <v>1137</v>
      </c>
      <c r="K1526" s="9">
        <f t="shared" si="377"/>
        <v>548</v>
      </c>
      <c r="L1526" s="9" t="str">
        <f t="shared" si="378"/>
        <v>F</v>
      </c>
      <c r="M1526" s="9" t="str">
        <f t="shared" si="367"/>
        <v>Input!F548</v>
      </c>
      <c r="N1526" s="9">
        <f>_xlfn.XLOOKUP(F1526,'Raw Data'!$I$4:$I$5000,'Raw Data'!$E$4:$E$5000,100,0)</f>
        <v>100</v>
      </c>
      <c r="O1526" s="9" t="str">
        <f>IF(N1526=0,_xlfn.XLOOKUP(F1526,'Raw Data'!$I$4:$I$5000,'Raw Data'!$H$4:$H$5000,"",0),"")</f>
        <v/>
      </c>
      <c r="P1526" s="9" t="str" cm="1">
        <f t="array" aca="1" ref="P1526" ca="1">IF(INDIRECT(M1526) = "","",INDIRECT(M1526))</f>
        <v/>
      </c>
      <c r="Q1526" s="359" t="s">
        <v>4381</v>
      </c>
    </row>
    <row r="1527" spans="1:17" x14ac:dyDescent="0.35">
      <c r="A1527" t="s">
        <v>2269</v>
      </c>
      <c r="B1527" t="s">
        <v>2325</v>
      </c>
      <c r="C1527" t="s">
        <v>376</v>
      </c>
      <c r="E1527" t="str">
        <f>_xlfn.XLOOKUP(F1527,'Raw Data'!$I$4:$I$5000,'Raw Data'!$D$4:$D$5000,"*** Mnemonic not found ***",0)</f>
        <v>*** Mnemonic not found ***</v>
      </c>
      <c r="F1527" t="str">
        <f t="shared" si="372"/>
        <v>SUCMPROPORRSK_LAM_SUR_</v>
      </c>
      <c r="H1527" s="9" t="s">
        <v>1137</v>
      </c>
      <c r="K1527" s="9">
        <f t="shared" si="377"/>
        <v>549</v>
      </c>
      <c r="L1527" s="9" t="str">
        <f t="shared" si="378"/>
        <v>F</v>
      </c>
      <c r="M1527" s="9" t="str">
        <f t="shared" si="367"/>
        <v>Input!F549</v>
      </c>
      <c r="N1527" s="9">
        <f>_xlfn.XLOOKUP(F1527,'Raw Data'!$I$4:$I$5000,'Raw Data'!$E$4:$E$5000,100,0)</f>
        <v>100</v>
      </c>
      <c r="O1527" s="9" t="str">
        <f>IF(N1527=0,_xlfn.XLOOKUP(F1527,'Raw Data'!$I$4:$I$5000,'Raw Data'!$H$4:$H$5000,"",0),"")</f>
        <v/>
      </c>
      <c r="P1527" s="9" t="str" cm="1">
        <f t="array" aca="1" ref="P1527" ca="1">IF(INDIRECT(M1527) = "","",INDIRECT(M1527))</f>
        <v/>
      </c>
      <c r="Q1527" s="359" t="s">
        <v>4381</v>
      </c>
    </row>
    <row r="1528" spans="1:17" x14ac:dyDescent="0.35">
      <c r="A1528" t="s">
        <v>2269</v>
      </c>
      <c r="B1528" t="s">
        <v>2303</v>
      </c>
      <c r="C1528" t="s">
        <v>994</v>
      </c>
      <c r="E1528" t="str">
        <f>_xlfn.XLOOKUP(F1528,'Raw Data'!$I$4:$I$5000,'Raw Data'!$D$4:$D$5000,"*** Mnemonic not found ***",0)</f>
        <v>*** Mnemonic not found ***</v>
      </c>
      <c r="F1528" t="str">
        <f t="shared" si="372"/>
        <v>SUCMPROPORRSK_LAM_AAH_</v>
      </c>
      <c r="H1528" s="9" t="s">
        <v>1137</v>
      </c>
      <c r="K1528" s="9">
        <f t="shared" si="377"/>
        <v>550</v>
      </c>
      <c r="L1528" s="9" t="str">
        <f t="shared" si="378"/>
        <v>F</v>
      </c>
      <c r="M1528" s="9" t="str">
        <f t="shared" si="367"/>
        <v>Input!F550</v>
      </c>
      <c r="N1528" s="9">
        <f>_xlfn.XLOOKUP(F1528,'Raw Data'!$I$4:$I$5000,'Raw Data'!$E$4:$E$5000,100,0)</f>
        <v>100</v>
      </c>
      <c r="O1528" s="9" t="str">
        <f>IF(N1528=0,_xlfn.XLOOKUP(F1528,'Raw Data'!$I$4:$I$5000,'Raw Data'!$H$4:$H$5000,"",0),"")</f>
        <v/>
      </c>
      <c r="P1528" s="9" t="str" cm="1">
        <f t="array" aca="1" ref="P1528" ca="1">IF(INDIRECT(M1528) = "","",INDIRECT(M1528))</f>
        <v/>
      </c>
      <c r="Q1528" s="359" t="s">
        <v>4381</v>
      </c>
    </row>
    <row r="1529" spans="1:17" x14ac:dyDescent="0.35">
      <c r="A1529" t="s">
        <v>2269</v>
      </c>
      <c r="B1529" t="s">
        <v>2343</v>
      </c>
      <c r="C1529" t="s">
        <v>1015</v>
      </c>
      <c r="E1529" t="str">
        <f>_xlfn.XLOOKUP(F1529,'Raw Data'!$I$4:$I$5000,'Raw Data'!$D$4:$D$5000,"*** Mnemonic not found ***",0)</f>
        <v>*** Mnemonic not found ***</v>
      </c>
      <c r="F1529" t="str">
        <f t="shared" si="372"/>
        <v>SUCMPROPORRSK_LAM_HMEDEX_</v>
      </c>
      <c r="H1529" s="9" t="s">
        <v>1137</v>
      </c>
      <c r="K1529" s="9">
        <f t="shared" si="377"/>
        <v>551</v>
      </c>
      <c r="L1529" s="9" t="str">
        <f t="shared" si="378"/>
        <v>F</v>
      </c>
      <c r="M1529" s="9" t="str">
        <f t="shared" si="367"/>
        <v>Input!F551</v>
      </c>
      <c r="N1529" s="9">
        <f>_xlfn.XLOOKUP(F1529,'Raw Data'!$I$4:$I$5000,'Raw Data'!$E$4:$E$5000,100,0)</f>
        <v>100</v>
      </c>
      <c r="O1529" s="9" t="str">
        <f>IF(N1529=0,_xlfn.XLOOKUP(F1529,'Raw Data'!$I$4:$I$5000,'Raw Data'!$H$4:$H$5000,"",0),"")</f>
        <v/>
      </c>
      <c r="P1529" s="9" t="str" cm="1">
        <f t="array" aca="1" ref="P1529" ca="1">IF(INDIRECT(M1529) = "","",INDIRECT(M1529))</f>
        <v/>
      </c>
      <c r="Q1529" s="359" t="s">
        <v>4381</v>
      </c>
    </row>
    <row r="1530" spans="1:17" x14ac:dyDescent="0.35">
      <c r="A1530" t="s">
        <v>2269</v>
      </c>
      <c r="B1530" t="s">
        <v>2344</v>
      </c>
      <c r="C1530" t="s">
        <v>1016</v>
      </c>
      <c r="E1530" t="str">
        <f>_xlfn.XLOOKUP(F1530,'Raw Data'!$I$4:$I$5000,'Raw Data'!$D$4:$D$5000,"*** Mnemonic not found ***",0)</f>
        <v>*** Mnemonic not found ***</v>
      </c>
      <c r="F1530" t="str">
        <f t="shared" si="372"/>
        <v>SUCMPROPORRSK_LAM_MAVA_</v>
      </c>
      <c r="H1530" s="9" t="s">
        <v>1137</v>
      </c>
      <c r="K1530" s="9">
        <f t="shared" si="377"/>
        <v>552</v>
      </c>
      <c r="L1530" s="9" t="str">
        <f t="shared" si="378"/>
        <v>F</v>
      </c>
      <c r="M1530" s="9" t="str">
        <f t="shared" si="367"/>
        <v>Input!F552</v>
      </c>
      <c r="N1530" s="9">
        <f>_xlfn.XLOOKUP(F1530,'Raw Data'!$I$4:$I$5000,'Raw Data'!$E$4:$E$5000,100,0)</f>
        <v>100</v>
      </c>
      <c r="O1530" s="9" t="str">
        <f>IF(N1530=0,_xlfn.XLOOKUP(F1530,'Raw Data'!$I$4:$I$5000,'Raw Data'!$H$4:$H$5000,"",0),"")</f>
        <v/>
      </c>
      <c r="P1530" s="9" t="str" cm="1">
        <f t="array" aca="1" ref="P1530" ca="1">IF(INDIRECT(M1530) = "","",INDIRECT(M1530))</f>
        <v/>
      </c>
      <c r="Q1530" s="359" t="s">
        <v>4381</v>
      </c>
    </row>
    <row r="1531" spans="1:17" x14ac:dyDescent="0.35">
      <c r="A1531" t="s">
        <v>2269</v>
      </c>
      <c r="B1531" t="s">
        <v>2337</v>
      </c>
      <c r="C1531" t="s">
        <v>1017</v>
      </c>
      <c r="E1531" t="str">
        <f>_xlfn.XLOOKUP(F1531,'Raw Data'!$I$4:$I$5000,'Raw Data'!$D$4:$D$5000,"*** Mnemonic not found ***",0)</f>
        <v>*** Mnemonic not found ***</v>
      </c>
      <c r="F1531" t="str">
        <f t="shared" si="372"/>
        <v>SUCMPROPORRSK_LAM_MAVC_</v>
      </c>
      <c r="H1531" s="9" t="s">
        <v>1137</v>
      </c>
      <c r="K1531" s="9">
        <f t="shared" si="377"/>
        <v>553</v>
      </c>
      <c r="L1531" s="9" t="str">
        <f t="shared" si="378"/>
        <v>F</v>
      </c>
      <c r="M1531" s="9" t="str">
        <f t="shared" si="367"/>
        <v>Input!F553</v>
      </c>
      <c r="N1531" s="9">
        <f>_xlfn.XLOOKUP(F1531,'Raw Data'!$I$4:$I$5000,'Raw Data'!$E$4:$E$5000,100,0)</f>
        <v>100</v>
      </c>
      <c r="O1531" s="9" t="str">
        <f>IF(N1531=0,_xlfn.XLOOKUP(F1531,'Raw Data'!$I$4:$I$5000,'Raw Data'!$H$4:$H$5000,"",0),"")</f>
        <v/>
      </c>
      <c r="P1531" s="9" t="str" cm="1">
        <f t="array" aca="1" ref="P1531" ca="1">IF(INDIRECT(M1531) = "","",INDIRECT(M1531))</f>
        <v/>
      </c>
      <c r="Q1531" s="359" t="s">
        <v>4381</v>
      </c>
    </row>
    <row r="1532" spans="1:17" x14ac:dyDescent="0.35">
      <c r="A1532" s="694" t="s">
        <v>2269</v>
      </c>
      <c r="B1532" s="694" t="s">
        <v>4308</v>
      </c>
      <c r="C1532" t="s">
        <v>4130</v>
      </c>
      <c r="E1532" t="str">
        <f>_xlfn.XLOOKUP(F1532,'Raw Data'!$I$4:$I$5000,'Raw Data'!$D$4:$D$5000,"*** Mnemonic not found ***",0)</f>
        <v>*** Mnemonic not found ***</v>
      </c>
      <c r="F1532" t="str">
        <f t="shared" si="372"/>
        <v>SUCMPROPORRSK_LAM_MPIN_</v>
      </c>
      <c r="H1532" s="9" t="s">
        <v>1137</v>
      </c>
      <c r="K1532" s="9">
        <f t="shared" si="377"/>
        <v>554</v>
      </c>
      <c r="L1532" s="9" t="str">
        <f t="shared" si="378"/>
        <v>F</v>
      </c>
      <c r="M1532" s="9" t="str">
        <f t="shared" ref="M1532:M1535" si="379">CONCATENATE(H1532,"!",L1532,K1532)</f>
        <v>Input!F554</v>
      </c>
      <c r="N1532" s="9">
        <f>_xlfn.XLOOKUP(F1532,'Raw Data'!$I$4:$I$5000,'Raw Data'!$E$4:$E$5000,100,0)</f>
        <v>100</v>
      </c>
      <c r="O1532" s="9" t="str">
        <f>IF(N1532=0,_xlfn.XLOOKUP(F1532,'Raw Data'!$I$4:$I$5000,'Raw Data'!$H$4:$H$5000,"",0),"")</f>
        <v/>
      </c>
      <c r="P1532" s="9" t="str" cm="1">
        <f t="array" aca="1" ref="P1532" ca="1">IF(INDIRECT(M1532) = "","",INDIRECT(M1532))</f>
        <v/>
      </c>
      <c r="Q1532" s="359" t="s">
        <v>4381</v>
      </c>
    </row>
    <row r="1533" spans="1:17" x14ac:dyDescent="0.35">
      <c r="A1533" t="s">
        <v>2269</v>
      </c>
      <c r="B1533" t="s">
        <v>2340</v>
      </c>
      <c r="C1533" t="s">
        <v>382</v>
      </c>
      <c r="E1533" t="str">
        <f>_xlfn.XLOOKUP(F1533,'Raw Data'!$I$4:$I$5000,'Raw Data'!$D$4:$D$5000,"*** Mnemonic not found ***",0)</f>
        <v>*** Mnemonic not found ***</v>
      </c>
      <c r="F1533" t="str">
        <f t="shared" si="372"/>
        <v>SUCMPROPORRSK_LAM_TRV_</v>
      </c>
      <c r="H1533" s="9" t="s">
        <v>1137</v>
      </c>
      <c r="K1533" s="9">
        <f t="shared" si="377"/>
        <v>555</v>
      </c>
      <c r="L1533" s="9" t="str">
        <f t="shared" si="378"/>
        <v>F</v>
      </c>
      <c r="M1533" s="9" t="str">
        <f t="shared" si="379"/>
        <v>Input!F555</v>
      </c>
      <c r="N1533" s="9">
        <f>_xlfn.XLOOKUP(F1533,'Raw Data'!$I$4:$I$5000,'Raw Data'!$E$4:$E$5000,100,0)</f>
        <v>100</v>
      </c>
      <c r="O1533" s="9" t="str">
        <f>IF(N1533=0,_xlfn.XLOOKUP(F1533,'Raw Data'!$I$4:$I$5000,'Raw Data'!$H$4:$H$5000,"",0),"")</f>
        <v/>
      </c>
      <c r="P1533" s="9" t="str" cm="1">
        <f t="array" aca="1" ref="P1533" ca="1">IF(INDIRECT(M1533) = "","",INDIRECT(M1533))</f>
        <v/>
      </c>
      <c r="Q1533" s="359" t="s">
        <v>4381</v>
      </c>
    </row>
    <row r="1534" spans="1:17" x14ac:dyDescent="0.35">
      <c r="A1534" t="s">
        <v>2269</v>
      </c>
      <c r="B1534" t="s">
        <v>2317</v>
      </c>
      <c r="C1534" t="s">
        <v>380</v>
      </c>
      <c r="E1534" t="str">
        <f>_xlfn.XLOOKUP(F1534,'Raw Data'!$I$4:$I$5000,'Raw Data'!$D$4:$D$5000,"*** Mnemonic not found ***",0)</f>
        <v>*** Mnemonic not found ***</v>
      </c>
      <c r="F1534" t="str">
        <f t="shared" si="372"/>
        <v>SUCMPROPORRSK_LAM_WAR_</v>
      </c>
      <c r="H1534" s="9" t="s">
        <v>1137</v>
      </c>
      <c r="K1534" s="9">
        <f t="shared" si="377"/>
        <v>556</v>
      </c>
      <c r="L1534" s="9" t="str">
        <f t="shared" si="378"/>
        <v>F</v>
      </c>
      <c r="M1534" s="9" t="str">
        <f t="shared" si="379"/>
        <v>Input!F556</v>
      </c>
      <c r="N1534" s="9">
        <f>_xlfn.XLOOKUP(F1534,'Raw Data'!$I$4:$I$5000,'Raw Data'!$E$4:$E$5000,100,0)</f>
        <v>100</v>
      </c>
      <c r="O1534" s="9" t="str">
        <f>IF(N1534=0,_xlfn.XLOOKUP(F1534,'Raw Data'!$I$4:$I$5000,'Raw Data'!$H$4:$H$5000,"",0),"")</f>
        <v/>
      </c>
      <c r="P1534" s="9" t="str" cm="1">
        <f t="array" aca="1" ref="P1534" ca="1">IF(INDIRECT(M1534) = "","",INDIRECT(M1534))</f>
        <v/>
      </c>
      <c r="Q1534" s="359" t="s">
        <v>4381</v>
      </c>
    </row>
    <row r="1535" spans="1:17" x14ac:dyDescent="0.35">
      <c r="A1535" t="s">
        <v>2269</v>
      </c>
      <c r="B1535" t="s">
        <v>2283</v>
      </c>
      <c r="C1535" t="s">
        <v>262</v>
      </c>
      <c r="E1535" t="str">
        <f>_xlfn.XLOOKUP(F1535,'Raw Data'!$I$4:$I$5000,'Raw Data'!$D$4:$D$5000,"*** Mnemonic not found ***",0)</f>
        <v>*** Mnemonic not found ***</v>
      </c>
      <c r="F1535" t="str">
        <f t="shared" si="372"/>
        <v>SUCMPROPORRSK_LAM_OCAH_</v>
      </c>
      <c r="H1535" s="9" t="s">
        <v>1137</v>
      </c>
      <c r="K1535" s="9">
        <f t="shared" si="377"/>
        <v>557</v>
      </c>
      <c r="L1535" s="9" t="str">
        <f t="shared" si="378"/>
        <v>F</v>
      </c>
      <c r="M1535" s="9" t="str">
        <f t="shared" si="379"/>
        <v>Input!F557</v>
      </c>
      <c r="N1535" s="9">
        <f>_xlfn.XLOOKUP(F1535,'Raw Data'!$I$4:$I$5000,'Raw Data'!$E$4:$E$5000,100,0)</f>
        <v>100</v>
      </c>
      <c r="O1535" s="9" t="str">
        <f>IF(N1535=0,_xlfn.XLOOKUP(F1535,'Raw Data'!$I$4:$I$5000,'Raw Data'!$H$4:$H$5000,"",0),"")</f>
        <v/>
      </c>
      <c r="P1535" s="9" t="str" cm="1">
        <f t="array" aca="1" ref="P1535" ca="1">IF(INDIRECT(M1535) = "","",INDIRECT(M1535))</f>
        <v/>
      </c>
      <c r="Q1535" s="359" t="s">
        <v>4381</v>
      </c>
    </row>
    <row r="1536" spans="1:17" x14ac:dyDescent="0.35">
      <c r="A1536" t="s">
        <v>2270</v>
      </c>
      <c r="B1536" t="s">
        <v>2328</v>
      </c>
      <c r="C1536" t="s">
        <v>1004</v>
      </c>
      <c r="E1536" t="str">
        <f>_xlfn.XLOOKUP(F1536,'Raw Data'!$I$4:$I$5000,'Raw Data'!$D$4:$D$5000,"*** Mnemonic not found ***",0)</f>
        <v>*** Mnemonic not found ***</v>
      </c>
      <c r="F1536" t="str">
        <f t="shared" si="372"/>
        <v>SUCMNONPROPORRSK_LAM_EMLIB_</v>
      </c>
      <c r="H1536" s="9" t="s">
        <v>1137</v>
      </c>
      <c r="I1536" s="289">
        <f>ROW(section_non_life_prem)</f>
        <v>437</v>
      </c>
      <c r="J1536" s="9">
        <f>J1517</f>
        <v>102</v>
      </c>
      <c r="K1536" s="9">
        <f>I1536+J1536</f>
        <v>539</v>
      </c>
      <c r="L1536" s="9" t="s">
        <v>1145</v>
      </c>
      <c r="M1536" s="9" t="str">
        <f t="shared" si="367"/>
        <v>Input!G539</v>
      </c>
      <c r="N1536" s="9">
        <f>_xlfn.XLOOKUP(F1536,'Raw Data'!$I$4:$I$5000,'Raw Data'!$E$4:$E$5000,100,0)</f>
        <v>100</v>
      </c>
      <c r="O1536" s="9" t="str">
        <f>IF(N1536=0,_xlfn.XLOOKUP(F1536,'Raw Data'!$I$4:$I$5000,'Raw Data'!$H$4:$H$5000,"",0),"")</f>
        <v/>
      </c>
      <c r="P1536" s="9" t="str" cm="1">
        <f t="array" aca="1" ref="P1536" ca="1">IF(INDIRECT(M1536) = "","",INDIRECT(M1536))</f>
        <v/>
      </c>
      <c r="Q1536" s="359" t="s">
        <v>4381</v>
      </c>
    </row>
    <row r="1537" spans="1:17" x14ac:dyDescent="0.35">
      <c r="A1537" t="s">
        <v>2270</v>
      </c>
      <c r="B1537" t="s">
        <v>2271</v>
      </c>
      <c r="C1537" t="s">
        <v>978</v>
      </c>
      <c r="E1537" t="str">
        <f>_xlfn.XLOOKUP(F1537,'Raw Data'!$I$4:$I$5000,'Raw Data'!$D$4:$D$5000,"*** Mnemonic not found ***",0)</f>
        <v>*** Mnemonic not found ***</v>
      </c>
      <c r="F1537" t="str">
        <f t="shared" si="372"/>
        <v>SUCMNONPROPORRSK_LAM_LIA_</v>
      </c>
      <c r="H1537" s="9" t="s">
        <v>1137</v>
      </c>
      <c r="K1537" s="9">
        <f>K1536+1</f>
        <v>540</v>
      </c>
      <c r="L1537" s="9" t="str">
        <f>L1536</f>
        <v>G</v>
      </c>
      <c r="M1537" s="9" t="str">
        <f t="shared" ref="M1537:M1603" si="380">CONCATENATE(H1537,"!",L1537,K1537)</f>
        <v>Input!G540</v>
      </c>
      <c r="N1537" s="9">
        <f>_xlfn.XLOOKUP(F1537,'Raw Data'!$I$4:$I$5000,'Raw Data'!$E$4:$E$5000,100,0)</f>
        <v>100</v>
      </c>
      <c r="O1537" s="9" t="str">
        <f>IF(N1537=0,_xlfn.XLOOKUP(F1537,'Raw Data'!$I$4:$I$5000,'Raw Data'!$H$4:$H$5000,"",0),"")</f>
        <v/>
      </c>
      <c r="P1537" s="9" t="str" cm="1">
        <f t="array" aca="1" ref="P1537" ca="1">IF(INDIRECT(M1537) = "","",INDIRECT(M1537))</f>
        <v/>
      </c>
      <c r="Q1537" s="359" t="s">
        <v>4381</v>
      </c>
    </row>
    <row r="1538" spans="1:17" x14ac:dyDescent="0.35">
      <c r="A1538" t="s">
        <v>2270</v>
      </c>
      <c r="B1538" t="s">
        <v>2329</v>
      </c>
      <c r="C1538" t="s">
        <v>1005</v>
      </c>
      <c r="E1538" t="str">
        <f>_xlfn.XLOOKUP(F1538,'Raw Data'!$I$4:$I$5000,'Raw Data'!$D$4:$D$5000,"*** Mnemonic not found ***",0)</f>
        <v>*** Mnemonic not found ***</v>
      </c>
      <c r="F1538" t="str">
        <f t="shared" si="372"/>
        <v>SUCMNONPROPORRSK_LAM_PRIND_</v>
      </c>
      <c r="H1538" s="9" t="s">
        <v>1137</v>
      </c>
      <c r="K1538" s="9">
        <f t="shared" ref="K1538:K1554" si="381">K1537+1</f>
        <v>541</v>
      </c>
      <c r="L1538" s="9" t="str">
        <f t="shared" ref="L1538:L1554" si="382">L1537</f>
        <v>G</v>
      </c>
      <c r="M1538" s="9" t="str">
        <f t="shared" si="380"/>
        <v>Input!G541</v>
      </c>
      <c r="N1538" s="9">
        <f>_xlfn.XLOOKUP(F1538,'Raw Data'!$I$4:$I$5000,'Raw Data'!$E$4:$E$5000,100,0)</f>
        <v>100</v>
      </c>
      <c r="O1538" s="9" t="str">
        <f>IF(N1538=0,_xlfn.XLOOKUP(F1538,'Raw Data'!$I$4:$I$5000,'Raw Data'!$H$4:$H$5000,"",0),"")</f>
        <v/>
      </c>
      <c r="P1538" s="9" t="str" cm="1">
        <f t="array" aca="1" ref="P1538" ca="1">IF(INDIRECT(M1538) = "","",INDIRECT(M1538))</f>
        <v/>
      </c>
      <c r="Q1538" s="359" t="s">
        <v>4381</v>
      </c>
    </row>
    <row r="1539" spans="1:17" x14ac:dyDescent="0.35">
      <c r="A1539" t="s">
        <v>2270</v>
      </c>
      <c r="B1539" t="s">
        <v>2318</v>
      </c>
      <c r="C1539" t="s">
        <v>997</v>
      </c>
      <c r="E1539" t="str">
        <f>_xlfn.XLOOKUP(F1539,'Raw Data'!$I$4:$I$5000,'Raw Data'!$D$4:$D$5000,"*** Mnemonic not found ***",0)</f>
        <v>*** Mnemonic not found ***</v>
      </c>
      <c r="F1539" t="str">
        <f t="shared" si="372"/>
        <v>SUCMNONPROPORRSK_LAM_CMPR_</v>
      </c>
      <c r="H1539" s="9" t="s">
        <v>1137</v>
      </c>
      <c r="K1539" s="9">
        <f t="shared" si="381"/>
        <v>542</v>
      </c>
      <c r="L1539" s="9" t="str">
        <f t="shared" si="382"/>
        <v>G</v>
      </c>
      <c r="M1539" s="9" t="str">
        <f t="shared" si="380"/>
        <v>Input!G542</v>
      </c>
      <c r="N1539" s="9">
        <f>_xlfn.XLOOKUP(F1539,'Raw Data'!$I$4:$I$5000,'Raw Data'!$E$4:$E$5000,100,0)</f>
        <v>100</v>
      </c>
      <c r="O1539" s="9" t="str">
        <f>IF(N1539=0,_xlfn.XLOOKUP(F1539,'Raw Data'!$I$4:$I$5000,'Raw Data'!$H$4:$H$5000,"",0),"")</f>
        <v/>
      </c>
      <c r="P1539" s="9" t="str" cm="1">
        <f t="array" aca="1" ref="P1539" ca="1">IF(INDIRECT(M1539) = "","",INDIRECT(M1539))</f>
        <v/>
      </c>
      <c r="Q1539" s="359" t="s">
        <v>4381</v>
      </c>
    </row>
    <row r="1540" spans="1:17" x14ac:dyDescent="0.35">
      <c r="A1540" t="s">
        <v>2270</v>
      </c>
      <c r="B1540" t="s">
        <v>2331</v>
      </c>
      <c r="C1540" t="s">
        <v>1006</v>
      </c>
      <c r="E1540" t="str">
        <f>_xlfn.XLOOKUP(F1540,'Raw Data'!$I$4:$I$5000,'Raw Data'!$D$4:$D$5000,"*** Mnemonic not found ***",0)</f>
        <v>*** Mnemonic not found ***</v>
      </c>
      <c r="F1540" t="str">
        <f t="shared" si="372"/>
        <v>SUCMNONPROPORRSK_LAM_HMP_</v>
      </c>
      <c r="H1540" s="9" t="s">
        <v>1137</v>
      </c>
      <c r="K1540" s="9">
        <f t="shared" si="381"/>
        <v>543</v>
      </c>
      <c r="L1540" s="9" t="str">
        <f t="shared" si="382"/>
        <v>G</v>
      </c>
      <c r="M1540" s="9" t="str">
        <f t="shared" si="380"/>
        <v>Input!G543</v>
      </c>
      <c r="N1540" s="9">
        <f>_xlfn.XLOOKUP(F1540,'Raw Data'!$I$4:$I$5000,'Raw Data'!$E$4:$E$5000,100,0)</f>
        <v>100</v>
      </c>
      <c r="O1540" s="9" t="str">
        <f>IF(N1540=0,_xlfn.XLOOKUP(F1540,'Raw Data'!$I$4:$I$5000,'Raw Data'!$H$4:$H$5000,"",0),"")</f>
        <v/>
      </c>
      <c r="P1540" s="9" t="str" cm="1">
        <f t="array" aca="1" ref="P1540" ca="1">IF(INDIRECT(M1540) = "","",INDIRECT(M1540))</f>
        <v/>
      </c>
      <c r="Q1540" s="359" t="s">
        <v>4381</v>
      </c>
    </row>
    <row r="1541" spans="1:17" x14ac:dyDescent="0.35">
      <c r="A1541" t="s">
        <v>2270</v>
      </c>
      <c r="B1541" t="s">
        <v>2341</v>
      </c>
      <c r="C1541" t="s">
        <v>1012</v>
      </c>
      <c r="E1541" t="str">
        <f>_xlfn.XLOOKUP(F1541,'Raw Data'!$I$4:$I$5000,'Raw Data'!$D$4:$D$5000,"*** Mnemonic not found ***",0)</f>
        <v>*** Mnemonic not found ***</v>
      </c>
      <c r="F1541" t="str">
        <f t="shared" si="372"/>
        <v>SUCMNONPROPORRSK_LAM_MEXFR_</v>
      </c>
      <c r="H1541" s="9" t="s">
        <v>1137</v>
      </c>
      <c r="K1541" s="9">
        <f t="shared" si="381"/>
        <v>544</v>
      </c>
      <c r="L1541" s="9" t="str">
        <f t="shared" si="382"/>
        <v>G</v>
      </c>
      <c r="M1541" s="9" t="str">
        <f t="shared" si="380"/>
        <v>Input!G544</v>
      </c>
      <c r="N1541" s="9">
        <f>_xlfn.XLOOKUP(F1541,'Raw Data'!$I$4:$I$5000,'Raw Data'!$E$4:$E$5000,100,0)</f>
        <v>100</v>
      </c>
      <c r="O1541" s="9" t="str">
        <f>IF(N1541=0,_xlfn.XLOOKUP(F1541,'Raw Data'!$I$4:$I$5000,'Raw Data'!$H$4:$H$5000,"",0),"")</f>
        <v/>
      </c>
      <c r="P1541" s="9" t="str" cm="1">
        <f t="array" aca="1" ref="P1541" ca="1">IF(INDIRECT(M1541) = "","",INDIRECT(M1541))</f>
        <v/>
      </c>
      <c r="Q1541" s="359" t="s">
        <v>4381</v>
      </c>
    </row>
    <row r="1542" spans="1:17" x14ac:dyDescent="0.35">
      <c r="A1542" t="s">
        <v>2270</v>
      </c>
      <c r="B1542" t="s">
        <v>2342</v>
      </c>
      <c r="C1542" t="s">
        <v>1013</v>
      </c>
      <c r="E1542" t="str">
        <f>_xlfn.XLOOKUP(F1542,'Raw Data'!$I$4:$I$5000,'Raw Data'!$D$4:$D$5000,"*** Mnemonic not found ***",0)</f>
        <v>*** Mnemonic not found ***</v>
      </c>
      <c r="F1542" t="str">
        <f t="shared" si="372"/>
        <v>SUCMNONPROPORRSK_LAM_PLM_</v>
      </c>
      <c r="H1542" s="9" t="s">
        <v>1137</v>
      </c>
      <c r="K1542" s="9">
        <f t="shared" si="381"/>
        <v>545</v>
      </c>
      <c r="L1542" s="9" t="str">
        <f t="shared" si="382"/>
        <v>G</v>
      </c>
      <c r="M1542" s="9" t="str">
        <f t="shared" si="380"/>
        <v>Input!G545</v>
      </c>
      <c r="N1542" s="9">
        <f>_xlfn.XLOOKUP(F1542,'Raw Data'!$I$4:$I$5000,'Raw Data'!$E$4:$E$5000,100,0)</f>
        <v>100</v>
      </c>
      <c r="O1542" s="9" t="str">
        <f>IF(N1542=0,_xlfn.XLOOKUP(F1542,'Raw Data'!$I$4:$I$5000,'Raw Data'!$H$4:$H$5000,"",0),"")</f>
        <v/>
      </c>
      <c r="P1542" s="9" t="str" cm="1">
        <f t="array" aca="1" ref="P1542" ca="1">IF(INDIRECT(M1542) = "","",INDIRECT(M1542))</f>
        <v/>
      </c>
      <c r="Q1542" s="359" t="s">
        <v>4381</v>
      </c>
    </row>
    <row r="1543" spans="1:17" x14ac:dyDescent="0.35">
      <c r="A1543" t="s">
        <v>2270</v>
      </c>
      <c r="B1543" t="s">
        <v>2274</v>
      </c>
      <c r="C1543" t="s">
        <v>1014</v>
      </c>
      <c r="E1543" t="str">
        <f>_xlfn.XLOOKUP(F1543,'Raw Data'!$I$4:$I$5000,'Raw Data'!$D$4:$D$5000,"*** Mnemonic not found ***",0)</f>
        <v>*** Mnemonic not found ***</v>
      </c>
      <c r="F1543" t="str">
        <f t="shared" ref="F1543:F1606" si="383">CONCATENATE(A1543,"_",B1543,"_",D1543)</f>
        <v>SUCMNONPROPORRSK_LAM_ALB_</v>
      </c>
      <c r="H1543" s="9" t="s">
        <v>1137</v>
      </c>
      <c r="K1543" s="9">
        <f t="shared" si="381"/>
        <v>546</v>
      </c>
      <c r="L1543" s="9" t="str">
        <f t="shared" si="382"/>
        <v>G</v>
      </c>
      <c r="M1543" s="9" t="str">
        <f t="shared" si="380"/>
        <v>Input!G546</v>
      </c>
      <c r="N1543" s="9">
        <f>_xlfn.XLOOKUP(F1543,'Raw Data'!$I$4:$I$5000,'Raw Data'!$E$4:$E$5000,100,0)</f>
        <v>100</v>
      </c>
      <c r="O1543" s="9" t="str">
        <f>IF(N1543=0,_xlfn.XLOOKUP(F1543,'Raw Data'!$I$4:$I$5000,'Raw Data'!$H$4:$H$5000,"",0),"")</f>
        <v/>
      </c>
      <c r="P1543" s="9" t="str" cm="1">
        <f t="array" aca="1" ref="P1543" ca="1">IF(INDIRECT(M1543) = "","",INDIRECT(M1543))</f>
        <v/>
      </c>
      <c r="Q1543" s="359" t="s">
        <v>4381</v>
      </c>
    </row>
    <row r="1544" spans="1:17" x14ac:dyDescent="0.35">
      <c r="A1544" t="s">
        <v>2270</v>
      </c>
      <c r="B1544" t="s">
        <v>2298</v>
      </c>
      <c r="C1544" t="s">
        <v>374</v>
      </c>
      <c r="E1544" t="str">
        <f>_xlfn.XLOOKUP(F1544,'Raw Data'!$I$4:$I$5000,'Raw Data'!$D$4:$D$5000,"*** Mnemonic not found ***",0)</f>
        <v>*** Mnemonic not found ***</v>
      </c>
      <c r="F1544" t="str">
        <f t="shared" si="383"/>
        <v>SUCMNONPROPORRSK_LAM_CRD_</v>
      </c>
      <c r="H1544" s="9" t="s">
        <v>1137</v>
      </c>
      <c r="K1544" s="9">
        <f t="shared" si="381"/>
        <v>547</v>
      </c>
      <c r="L1544" s="9" t="str">
        <f t="shared" si="382"/>
        <v>G</v>
      </c>
      <c r="M1544" s="9" t="str">
        <f t="shared" si="380"/>
        <v>Input!G547</v>
      </c>
      <c r="N1544" s="9">
        <f>_xlfn.XLOOKUP(F1544,'Raw Data'!$I$4:$I$5000,'Raw Data'!$E$4:$E$5000,100,0)</f>
        <v>100</v>
      </c>
      <c r="O1544" s="9" t="str">
        <f>IF(N1544=0,_xlfn.XLOOKUP(F1544,'Raw Data'!$I$4:$I$5000,'Raw Data'!$H$4:$H$5000,"",0),"")</f>
        <v/>
      </c>
      <c r="P1544" s="9" t="str" cm="1">
        <f t="array" aca="1" ref="P1544" ca="1">IF(INDIRECT(M1544) = "","",INDIRECT(M1544))</f>
        <v/>
      </c>
      <c r="Q1544" s="359" t="s">
        <v>4381</v>
      </c>
    </row>
    <row r="1545" spans="1:17" x14ac:dyDescent="0.35">
      <c r="A1545" t="s">
        <v>2270</v>
      </c>
      <c r="B1545" t="s">
        <v>2324</v>
      </c>
      <c r="C1545" t="s">
        <v>375</v>
      </c>
      <c r="E1545" t="str">
        <f>_xlfn.XLOOKUP(F1545,'Raw Data'!$I$4:$I$5000,'Raw Data'!$D$4:$D$5000,"*** Mnemonic not found ***",0)</f>
        <v>*** Mnemonic not found ***</v>
      </c>
      <c r="F1545" t="str">
        <f t="shared" si="383"/>
        <v>SUCMNONPROPORRSK_LAM_FID_</v>
      </c>
      <c r="H1545" s="9" t="s">
        <v>1137</v>
      </c>
      <c r="K1545" s="9">
        <f t="shared" si="381"/>
        <v>548</v>
      </c>
      <c r="L1545" s="9" t="str">
        <f t="shared" si="382"/>
        <v>G</v>
      </c>
      <c r="M1545" s="9" t="str">
        <f t="shared" si="380"/>
        <v>Input!G548</v>
      </c>
      <c r="N1545" s="9">
        <f>_xlfn.XLOOKUP(F1545,'Raw Data'!$I$4:$I$5000,'Raw Data'!$E$4:$E$5000,100,0)</f>
        <v>100</v>
      </c>
      <c r="O1545" s="9" t="str">
        <f>IF(N1545=0,_xlfn.XLOOKUP(F1545,'Raw Data'!$I$4:$I$5000,'Raw Data'!$H$4:$H$5000,"",0),"")</f>
        <v/>
      </c>
      <c r="P1545" s="9" t="str" cm="1">
        <f t="array" aca="1" ref="P1545" ca="1">IF(INDIRECT(M1545) = "","",INDIRECT(M1545))</f>
        <v/>
      </c>
      <c r="Q1545" s="359" t="s">
        <v>4381</v>
      </c>
    </row>
    <row r="1546" spans="1:17" x14ac:dyDescent="0.35">
      <c r="A1546" t="s">
        <v>2270</v>
      </c>
      <c r="B1546" t="s">
        <v>2325</v>
      </c>
      <c r="C1546" t="s">
        <v>376</v>
      </c>
      <c r="E1546" t="str">
        <f>_xlfn.XLOOKUP(F1546,'Raw Data'!$I$4:$I$5000,'Raw Data'!$D$4:$D$5000,"*** Mnemonic not found ***",0)</f>
        <v>*** Mnemonic not found ***</v>
      </c>
      <c r="F1546" t="str">
        <f t="shared" si="383"/>
        <v>SUCMNONPROPORRSK_LAM_SUR_</v>
      </c>
      <c r="H1546" s="9" t="s">
        <v>1137</v>
      </c>
      <c r="K1546" s="9">
        <f t="shared" si="381"/>
        <v>549</v>
      </c>
      <c r="L1546" s="9" t="str">
        <f t="shared" si="382"/>
        <v>G</v>
      </c>
      <c r="M1546" s="9" t="str">
        <f t="shared" si="380"/>
        <v>Input!G549</v>
      </c>
      <c r="N1546" s="9">
        <f>_xlfn.XLOOKUP(F1546,'Raw Data'!$I$4:$I$5000,'Raw Data'!$E$4:$E$5000,100,0)</f>
        <v>100</v>
      </c>
      <c r="O1546" s="9" t="str">
        <f>IF(N1546=0,_xlfn.XLOOKUP(F1546,'Raw Data'!$I$4:$I$5000,'Raw Data'!$H$4:$H$5000,"",0),"")</f>
        <v/>
      </c>
      <c r="P1546" s="9" t="str" cm="1">
        <f t="array" aca="1" ref="P1546" ca="1">IF(INDIRECT(M1546) = "","",INDIRECT(M1546))</f>
        <v/>
      </c>
      <c r="Q1546" s="359" t="s">
        <v>4381</v>
      </c>
    </row>
    <row r="1547" spans="1:17" x14ac:dyDescent="0.35">
      <c r="A1547" t="s">
        <v>2270</v>
      </c>
      <c r="B1547" t="s">
        <v>2303</v>
      </c>
      <c r="C1547" t="s">
        <v>994</v>
      </c>
      <c r="E1547" t="str">
        <f>_xlfn.XLOOKUP(F1547,'Raw Data'!$I$4:$I$5000,'Raw Data'!$D$4:$D$5000,"*** Mnemonic not found ***",0)</f>
        <v>*** Mnemonic not found ***</v>
      </c>
      <c r="F1547" t="str">
        <f t="shared" si="383"/>
        <v>SUCMNONPROPORRSK_LAM_AAH_</v>
      </c>
      <c r="H1547" s="9" t="s">
        <v>1137</v>
      </c>
      <c r="K1547" s="9">
        <f t="shared" si="381"/>
        <v>550</v>
      </c>
      <c r="L1547" s="9" t="str">
        <f t="shared" si="382"/>
        <v>G</v>
      </c>
      <c r="M1547" s="9" t="str">
        <f t="shared" si="380"/>
        <v>Input!G550</v>
      </c>
      <c r="N1547" s="9">
        <f>_xlfn.XLOOKUP(F1547,'Raw Data'!$I$4:$I$5000,'Raw Data'!$E$4:$E$5000,100,0)</f>
        <v>100</v>
      </c>
      <c r="O1547" s="9" t="str">
        <f>IF(N1547=0,_xlfn.XLOOKUP(F1547,'Raw Data'!$I$4:$I$5000,'Raw Data'!$H$4:$H$5000,"",0),"")</f>
        <v/>
      </c>
      <c r="P1547" s="9" t="str" cm="1">
        <f t="array" aca="1" ref="P1547" ca="1">IF(INDIRECT(M1547) = "","",INDIRECT(M1547))</f>
        <v/>
      </c>
      <c r="Q1547" s="359" t="s">
        <v>4381</v>
      </c>
    </row>
    <row r="1548" spans="1:17" x14ac:dyDescent="0.35">
      <c r="A1548" t="s">
        <v>2270</v>
      </c>
      <c r="B1548" t="s">
        <v>2343</v>
      </c>
      <c r="C1548" t="s">
        <v>1015</v>
      </c>
      <c r="E1548" t="str">
        <f>_xlfn.XLOOKUP(F1548,'Raw Data'!$I$4:$I$5000,'Raw Data'!$D$4:$D$5000,"*** Mnemonic not found ***",0)</f>
        <v>*** Mnemonic not found ***</v>
      </c>
      <c r="F1548" t="str">
        <f t="shared" si="383"/>
        <v>SUCMNONPROPORRSK_LAM_HMEDEX_</v>
      </c>
      <c r="H1548" s="9" t="s">
        <v>1137</v>
      </c>
      <c r="K1548" s="9">
        <f t="shared" si="381"/>
        <v>551</v>
      </c>
      <c r="L1548" s="9" t="str">
        <f t="shared" si="382"/>
        <v>G</v>
      </c>
      <c r="M1548" s="9" t="str">
        <f t="shared" si="380"/>
        <v>Input!G551</v>
      </c>
      <c r="N1548" s="9">
        <f>_xlfn.XLOOKUP(F1548,'Raw Data'!$I$4:$I$5000,'Raw Data'!$E$4:$E$5000,100,0)</f>
        <v>100</v>
      </c>
      <c r="O1548" s="9" t="str">
        <f>IF(N1548=0,_xlfn.XLOOKUP(F1548,'Raw Data'!$I$4:$I$5000,'Raw Data'!$H$4:$H$5000,"",0),"")</f>
        <v/>
      </c>
      <c r="P1548" s="9" t="str" cm="1">
        <f t="array" aca="1" ref="P1548" ca="1">IF(INDIRECT(M1548) = "","",INDIRECT(M1548))</f>
        <v/>
      </c>
      <c r="Q1548" s="359" t="s">
        <v>4381</v>
      </c>
    </row>
    <row r="1549" spans="1:17" x14ac:dyDescent="0.35">
      <c r="A1549" t="s">
        <v>2270</v>
      </c>
      <c r="B1549" t="s">
        <v>2344</v>
      </c>
      <c r="C1549" t="s">
        <v>1016</v>
      </c>
      <c r="E1549" t="str">
        <f>_xlfn.XLOOKUP(F1549,'Raw Data'!$I$4:$I$5000,'Raw Data'!$D$4:$D$5000,"*** Mnemonic not found ***",0)</f>
        <v>*** Mnemonic not found ***</v>
      </c>
      <c r="F1549" t="str">
        <f t="shared" si="383"/>
        <v>SUCMNONPROPORRSK_LAM_MAVA_</v>
      </c>
      <c r="H1549" s="9" t="s">
        <v>1137</v>
      </c>
      <c r="K1549" s="9">
        <f t="shared" si="381"/>
        <v>552</v>
      </c>
      <c r="L1549" s="9" t="str">
        <f t="shared" si="382"/>
        <v>G</v>
      </c>
      <c r="M1549" s="9" t="str">
        <f t="shared" si="380"/>
        <v>Input!G552</v>
      </c>
      <c r="N1549" s="9">
        <f>_xlfn.XLOOKUP(F1549,'Raw Data'!$I$4:$I$5000,'Raw Data'!$E$4:$E$5000,100,0)</f>
        <v>100</v>
      </c>
      <c r="O1549" s="9" t="str">
        <f>IF(N1549=0,_xlfn.XLOOKUP(F1549,'Raw Data'!$I$4:$I$5000,'Raw Data'!$H$4:$H$5000,"",0),"")</f>
        <v/>
      </c>
      <c r="P1549" s="9" t="str" cm="1">
        <f t="array" aca="1" ref="P1549" ca="1">IF(INDIRECT(M1549) = "","",INDIRECT(M1549))</f>
        <v/>
      </c>
      <c r="Q1549" s="359" t="s">
        <v>4381</v>
      </c>
    </row>
    <row r="1550" spans="1:17" x14ac:dyDescent="0.35">
      <c r="A1550" t="s">
        <v>2270</v>
      </c>
      <c r="B1550" t="s">
        <v>2337</v>
      </c>
      <c r="C1550" t="s">
        <v>1017</v>
      </c>
      <c r="E1550" t="str">
        <f>_xlfn.XLOOKUP(F1550,'Raw Data'!$I$4:$I$5000,'Raw Data'!$D$4:$D$5000,"*** Mnemonic not found ***",0)</f>
        <v>*** Mnemonic not found ***</v>
      </c>
      <c r="F1550" t="str">
        <f t="shared" si="383"/>
        <v>SUCMNONPROPORRSK_LAM_MAVC_</v>
      </c>
      <c r="H1550" s="9" t="s">
        <v>1137</v>
      </c>
      <c r="K1550" s="9">
        <f t="shared" si="381"/>
        <v>553</v>
      </c>
      <c r="L1550" s="9" t="str">
        <f t="shared" si="382"/>
        <v>G</v>
      </c>
      <c r="M1550" s="9" t="str">
        <f t="shared" si="380"/>
        <v>Input!G553</v>
      </c>
      <c r="N1550" s="9">
        <f>_xlfn.XLOOKUP(F1550,'Raw Data'!$I$4:$I$5000,'Raw Data'!$E$4:$E$5000,100,0)</f>
        <v>100</v>
      </c>
      <c r="O1550" s="9" t="str">
        <f>IF(N1550=0,_xlfn.XLOOKUP(F1550,'Raw Data'!$I$4:$I$5000,'Raw Data'!$H$4:$H$5000,"",0),"")</f>
        <v/>
      </c>
      <c r="P1550" s="9" t="str" cm="1">
        <f t="array" aca="1" ref="P1550" ca="1">IF(INDIRECT(M1550) = "","",INDIRECT(M1550))</f>
        <v/>
      </c>
      <c r="Q1550" s="359" t="s">
        <v>4381</v>
      </c>
    </row>
    <row r="1551" spans="1:17" x14ac:dyDescent="0.35">
      <c r="A1551" s="694" t="s">
        <v>2270</v>
      </c>
      <c r="B1551" s="694" t="s">
        <v>4308</v>
      </c>
      <c r="C1551" t="s">
        <v>4130</v>
      </c>
      <c r="E1551" t="str">
        <f>_xlfn.XLOOKUP(F1551,'Raw Data'!$I$4:$I$5000,'Raw Data'!$D$4:$D$5000,"*** Mnemonic not found ***",0)</f>
        <v>*** Mnemonic not found ***</v>
      </c>
      <c r="F1551" t="str">
        <f t="shared" si="383"/>
        <v>SUCMNONPROPORRSK_LAM_MPIN_</v>
      </c>
      <c r="H1551" s="9" t="s">
        <v>1137</v>
      </c>
      <c r="K1551" s="9">
        <f t="shared" si="381"/>
        <v>554</v>
      </c>
      <c r="L1551" s="9" t="str">
        <f t="shared" si="382"/>
        <v>G</v>
      </c>
      <c r="M1551" s="9" t="str">
        <f t="shared" ref="M1551:M1554" si="384">CONCATENATE(H1551,"!",L1551,K1551)</f>
        <v>Input!G554</v>
      </c>
      <c r="N1551" s="9">
        <f>_xlfn.XLOOKUP(F1551,'Raw Data'!$I$4:$I$5000,'Raw Data'!$E$4:$E$5000,100,0)</f>
        <v>100</v>
      </c>
      <c r="O1551" s="9" t="str">
        <f>IF(N1551=0,_xlfn.XLOOKUP(F1551,'Raw Data'!$I$4:$I$5000,'Raw Data'!$H$4:$H$5000,"",0),"")</f>
        <v/>
      </c>
      <c r="P1551" s="9" t="str" cm="1">
        <f t="array" aca="1" ref="P1551" ca="1">IF(INDIRECT(M1551) = "","",INDIRECT(M1551))</f>
        <v/>
      </c>
      <c r="Q1551" s="359" t="s">
        <v>4381</v>
      </c>
    </row>
    <row r="1552" spans="1:17" x14ac:dyDescent="0.35">
      <c r="A1552" t="s">
        <v>2270</v>
      </c>
      <c r="B1552" t="s">
        <v>2340</v>
      </c>
      <c r="C1552" t="s">
        <v>382</v>
      </c>
      <c r="E1552" t="str">
        <f>_xlfn.XLOOKUP(F1552,'Raw Data'!$I$4:$I$5000,'Raw Data'!$D$4:$D$5000,"*** Mnemonic not found ***",0)</f>
        <v>*** Mnemonic not found ***</v>
      </c>
      <c r="F1552" t="str">
        <f t="shared" si="383"/>
        <v>SUCMNONPROPORRSK_LAM_TRV_</v>
      </c>
      <c r="H1552" s="9" t="s">
        <v>1137</v>
      </c>
      <c r="K1552" s="9">
        <f t="shared" si="381"/>
        <v>555</v>
      </c>
      <c r="L1552" s="9" t="str">
        <f t="shared" si="382"/>
        <v>G</v>
      </c>
      <c r="M1552" s="9" t="str">
        <f t="shared" si="384"/>
        <v>Input!G555</v>
      </c>
      <c r="N1552" s="9">
        <f>_xlfn.XLOOKUP(F1552,'Raw Data'!$I$4:$I$5000,'Raw Data'!$E$4:$E$5000,100,0)</f>
        <v>100</v>
      </c>
      <c r="O1552" s="9" t="str">
        <f>IF(N1552=0,_xlfn.XLOOKUP(F1552,'Raw Data'!$I$4:$I$5000,'Raw Data'!$H$4:$H$5000,"",0),"")</f>
        <v/>
      </c>
      <c r="P1552" s="9" t="str" cm="1">
        <f t="array" aca="1" ref="P1552" ca="1">IF(INDIRECT(M1552) = "","",INDIRECT(M1552))</f>
        <v/>
      </c>
      <c r="Q1552" s="359" t="s">
        <v>4381</v>
      </c>
    </row>
    <row r="1553" spans="1:17" x14ac:dyDescent="0.35">
      <c r="A1553" t="s">
        <v>2270</v>
      </c>
      <c r="B1553" t="s">
        <v>2317</v>
      </c>
      <c r="C1553" t="s">
        <v>380</v>
      </c>
      <c r="E1553" t="str">
        <f>_xlfn.XLOOKUP(F1553,'Raw Data'!$I$4:$I$5000,'Raw Data'!$D$4:$D$5000,"*** Mnemonic not found ***",0)</f>
        <v>*** Mnemonic not found ***</v>
      </c>
      <c r="F1553" t="str">
        <f t="shared" si="383"/>
        <v>SUCMNONPROPORRSK_LAM_WAR_</v>
      </c>
      <c r="H1553" s="9" t="s">
        <v>1137</v>
      </c>
      <c r="K1553" s="9">
        <f t="shared" si="381"/>
        <v>556</v>
      </c>
      <c r="L1553" s="9" t="str">
        <f t="shared" si="382"/>
        <v>G</v>
      </c>
      <c r="M1553" s="9" t="str">
        <f t="shared" si="384"/>
        <v>Input!G556</v>
      </c>
      <c r="N1553" s="9">
        <f>_xlfn.XLOOKUP(F1553,'Raw Data'!$I$4:$I$5000,'Raw Data'!$E$4:$E$5000,100,0)</f>
        <v>100</v>
      </c>
      <c r="O1553" s="9" t="str">
        <f>IF(N1553=0,_xlfn.XLOOKUP(F1553,'Raw Data'!$I$4:$I$5000,'Raw Data'!$H$4:$H$5000,"",0),"")</f>
        <v/>
      </c>
      <c r="P1553" s="9" t="str" cm="1">
        <f t="array" aca="1" ref="P1553" ca="1">IF(INDIRECT(M1553) = "","",INDIRECT(M1553))</f>
        <v/>
      </c>
      <c r="Q1553" s="359" t="s">
        <v>4381</v>
      </c>
    </row>
    <row r="1554" spans="1:17" x14ac:dyDescent="0.35">
      <c r="A1554" t="s">
        <v>2270</v>
      </c>
      <c r="B1554" t="s">
        <v>2283</v>
      </c>
      <c r="C1554" t="s">
        <v>262</v>
      </c>
      <c r="E1554" t="str">
        <f>_xlfn.XLOOKUP(F1554,'Raw Data'!$I$4:$I$5000,'Raw Data'!$D$4:$D$5000,"*** Mnemonic not found ***",0)</f>
        <v>*** Mnemonic not found ***</v>
      </c>
      <c r="F1554" t="str">
        <f t="shared" si="383"/>
        <v>SUCMNONPROPORRSK_LAM_OCAH_</v>
      </c>
      <c r="H1554" s="9" t="s">
        <v>1137</v>
      </c>
      <c r="K1554" s="9">
        <f t="shared" si="381"/>
        <v>557</v>
      </c>
      <c r="L1554" s="9" t="str">
        <f t="shared" si="382"/>
        <v>G</v>
      </c>
      <c r="M1554" s="9" t="str">
        <f t="shared" si="384"/>
        <v>Input!G557</v>
      </c>
      <c r="N1554" s="9">
        <f>_xlfn.XLOOKUP(F1554,'Raw Data'!$I$4:$I$5000,'Raw Data'!$E$4:$E$5000,100,0)</f>
        <v>100</v>
      </c>
      <c r="O1554" s="9" t="str">
        <f>IF(N1554=0,_xlfn.XLOOKUP(F1554,'Raw Data'!$I$4:$I$5000,'Raw Data'!$H$4:$H$5000,"",0),"")</f>
        <v/>
      </c>
      <c r="P1554" s="9" t="str" cm="1">
        <f t="array" aca="1" ref="P1554" ca="1">IF(INDIRECT(M1554) = "","",INDIRECT(M1554))</f>
        <v/>
      </c>
      <c r="Q1554" s="359" t="s">
        <v>4381</v>
      </c>
    </row>
    <row r="1555" spans="1:17" x14ac:dyDescent="0.35">
      <c r="A1555" t="s">
        <v>3781</v>
      </c>
      <c r="E1555" t="str">
        <f>_xlfn.XLOOKUP(F1555,'Raw Data'!$I$4:$I$5000,'Raw Data'!$D$4:$D$5000,"*** Mnemonic not found ***",0)</f>
        <v>*** Mnemonic not found ***</v>
      </c>
      <c r="F1555" t="str">
        <f t="shared" si="383"/>
        <v>SUCMPRRSKTOT__</v>
      </c>
      <c r="H1555" s="9" t="s">
        <v>1137</v>
      </c>
      <c r="K1555" s="9">
        <f>K1554+11</f>
        <v>568</v>
      </c>
      <c r="L1555" s="9" t="s">
        <v>1124</v>
      </c>
      <c r="M1555" s="9" t="str">
        <f t="shared" si="380"/>
        <v>Input!F568</v>
      </c>
      <c r="N1555" s="9">
        <f>_xlfn.XLOOKUP(F1555,'Raw Data'!$I$4:$I$5000,'Raw Data'!$E$4:$E$5000,100,0)</f>
        <v>100</v>
      </c>
      <c r="O1555" s="9" t="str">
        <f>IF(N1555=0,_xlfn.XLOOKUP(F1555,'Raw Data'!$I$4:$I$5000,'Raw Data'!$H$4:$H$5000,"",0),"")</f>
        <v/>
      </c>
      <c r="P1555" s="9" t="str" cm="1">
        <f t="array" aca="1" ref="P1555" ca="1">IF(INDIRECT(M1555) = "","",INDIRECT(M1555))</f>
        <v/>
      </c>
      <c r="Q1555" s="359" t="s">
        <v>4381</v>
      </c>
    </row>
    <row r="1556" spans="1:17" x14ac:dyDescent="0.35">
      <c r="A1556" t="s">
        <v>3782</v>
      </c>
      <c r="E1556" t="str">
        <f>_xlfn.XLOOKUP(F1556,'Raw Data'!$I$4:$I$5000,'Raw Data'!$D$4:$D$5000,"*** Mnemonic not found ***",0)</f>
        <v>*** Mnemonic not found ***</v>
      </c>
      <c r="F1556" t="str">
        <f t="shared" si="383"/>
        <v>SUCMPRNATCAT__</v>
      </c>
      <c r="H1556" s="9" t="s">
        <v>1137</v>
      </c>
      <c r="K1556" s="9">
        <f>K1555</f>
        <v>568</v>
      </c>
      <c r="L1556" s="9" t="s">
        <v>1377</v>
      </c>
      <c r="M1556" s="9" t="str">
        <f t="shared" si="380"/>
        <v>Input!K568</v>
      </c>
      <c r="N1556" s="9">
        <f>_xlfn.XLOOKUP(F1556,'Raw Data'!$I$4:$I$5000,'Raw Data'!$E$4:$E$5000,100,0)</f>
        <v>100</v>
      </c>
      <c r="O1556" s="9" t="str">
        <f>IF(N1556=0,_xlfn.XLOOKUP(F1556,'Raw Data'!$I$4:$I$5000,'Raw Data'!$H$4:$H$5000,"",0),"")</f>
        <v/>
      </c>
      <c r="P1556" s="9" t="str" cm="1">
        <f t="array" aca="1" ref="P1556" ca="1">IF(INDIRECT(M1556) = "","",INDIRECT(M1556))</f>
        <v>No</v>
      </c>
      <c r="Q1556" s="359" t="s">
        <v>4380</v>
      </c>
    </row>
    <row r="1557" spans="1:17" x14ac:dyDescent="0.35">
      <c r="A1557" t="s">
        <v>2346</v>
      </c>
      <c r="B1557" t="s">
        <v>2271</v>
      </c>
      <c r="C1557" t="s">
        <v>978</v>
      </c>
      <c r="E1557" t="str">
        <f>_xlfn.XLOOKUP(F1557,'Raw Data'!$I$4:$I$5000,'Raw Data'!$D$4:$D$5000,"*** Mnemonic not found ***",0)</f>
        <v>*** Mnemonic not found ***</v>
      </c>
      <c r="F1557" t="str">
        <f t="shared" si="383"/>
        <v>SUCMPROPORESRSK_EMEA_LIA_</v>
      </c>
      <c r="G1557" t="s">
        <v>2356</v>
      </c>
      <c r="H1557" s="9" t="s">
        <v>1137</v>
      </c>
      <c r="I1557" s="289">
        <f>ROW(section_non_life_resv)</f>
        <v>571</v>
      </c>
      <c r="J1557" s="9">
        <v>4</v>
      </c>
      <c r="K1557" s="9">
        <f>I1557+J1557</f>
        <v>575</v>
      </c>
      <c r="L1557" s="9" t="s">
        <v>1124</v>
      </c>
      <c r="M1557" s="9" t="str">
        <f t="shared" si="380"/>
        <v>Input!F575</v>
      </c>
      <c r="N1557" s="9">
        <f>_xlfn.XLOOKUP(F1557,'Raw Data'!$I$4:$I$5000,'Raw Data'!$E$4:$E$5000,100,0)</f>
        <v>100</v>
      </c>
      <c r="O1557" s="9" t="str">
        <f>IF(N1557=0,_xlfn.XLOOKUP(F1557,'Raw Data'!$I$4:$I$5000,'Raw Data'!$H$4:$H$5000,"",0),"")</f>
        <v/>
      </c>
      <c r="P1557" s="9" t="str" cm="1">
        <f t="array" aca="1" ref="P1557" ca="1">IF(INDIRECT(M1557) = "","",INDIRECT(M1557))</f>
        <v/>
      </c>
      <c r="Q1557" s="359" t="s">
        <v>4381</v>
      </c>
    </row>
    <row r="1558" spans="1:17" x14ac:dyDescent="0.35">
      <c r="A1558" t="s">
        <v>2346</v>
      </c>
      <c r="B1558" t="s">
        <v>2272</v>
      </c>
      <c r="C1558" t="s">
        <v>979</v>
      </c>
      <c r="E1558" t="str">
        <f>_xlfn.XLOOKUP(F1558,'Raw Data'!$I$4:$I$5000,'Raw Data'!$D$4:$D$5000,"*** Mnemonic not found ***",0)</f>
        <v>*** Mnemonic not found ***</v>
      </c>
      <c r="F1558" t="str">
        <f t="shared" si="383"/>
        <v>SUCMPROPORESRSK_EMEA_WCP_</v>
      </c>
      <c r="H1558" s="9" t="s">
        <v>1137</v>
      </c>
      <c r="K1558" s="9">
        <f>K1557+1</f>
        <v>576</v>
      </c>
      <c r="L1558" s="9" t="str">
        <f>L1557</f>
        <v>F</v>
      </c>
      <c r="M1558" s="9" t="str">
        <f t="shared" si="380"/>
        <v>Input!F576</v>
      </c>
      <c r="N1558" s="9">
        <f>_xlfn.XLOOKUP(F1558,'Raw Data'!$I$4:$I$5000,'Raw Data'!$E$4:$E$5000,100,0)</f>
        <v>100</v>
      </c>
      <c r="O1558" s="9" t="str">
        <f>IF(N1558=0,_xlfn.XLOOKUP(F1558,'Raw Data'!$I$4:$I$5000,'Raw Data'!$H$4:$H$5000,"",0),"")</f>
        <v/>
      </c>
      <c r="P1558" s="9" t="str" cm="1">
        <f t="array" aca="1" ref="P1558" ca="1">IF(INDIRECT(M1558) = "","",INDIRECT(M1558))</f>
        <v/>
      </c>
      <c r="Q1558" s="359" t="s">
        <v>4381</v>
      </c>
    </row>
    <row r="1559" spans="1:17" x14ac:dyDescent="0.35">
      <c r="A1559" t="s">
        <v>2346</v>
      </c>
      <c r="B1559" t="s">
        <v>2273</v>
      </c>
      <c r="C1559" t="s">
        <v>980</v>
      </c>
      <c r="E1559" t="str">
        <f>_xlfn.XLOOKUP(F1559,'Raw Data'!$I$4:$I$5000,'Raw Data'!$D$4:$D$5000,"*** Mnemonic not found ***",0)</f>
        <v>*** Mnemonic not found ***</v>
      </c>
      <c r="F1559" t="str">
        <f t="shared" si="383"/>
        <v>SUCMPROPORESRSK_EMEA_FIR_</v>
      </c>
      <c r="H1559" s="9" t="s">
        <v>1137</v>
      </c>
      <c r="K1559" s="9">
        <f t="shared" ref="K1559:K1570" si="385">K1558+1</f>
        <v>577</v>
      </c>
      <c r="L1559" s="9" t="str">
        <f t="shared" ref="L1559:L1570" si="386">L1558</f>
        <v>F</v>
      </c>
      <c r="M1559" s="9" t="str">
        <f t="shared" si="380"/>
        <v>Input!F577</v>
      </c>
      <c r="N1559" s="9">
        <f>_xlfn.XLOOKUP(F1559,'Raw Data'!$I$4:$I$5000,'Raw Data'!$E$4:$E$5000,100,0)</f>
        <v>100</v>
      </c>
      <c r="O1559" s="9" t="str">
        <f>IF(N1559=0,_xlfn.XLOOKUP(F1559,'Raw Data'!$I$4:$I$5000,'Raw Data'!$H$4:$H$5000,"",0),"")</f>
        <v/>
      </c>
      <c r="P1559" s="9" t="str" cm="1">
        <f t="array" aca="1" ref="P1559" ca="1">IF(INDIRECT(M1559) = "","",INDIRECT(M1559))</f>
        <v/>
      </c>
      <c r="Q1559" s="359" t="s">
        <v>4381</v>
      </c>
    </row>
    <row r="1560" spans="1:17" x14ac:dyDescent="0.35">
      <c r="A1560" t="s">
        <v>2346</v>
      </c>
      <c r="B1560" t="s">
        <v>2274</v>
      </c>
      <c r="C1560" t="s">
        <v>981</v>
      </c>
      <c r="E1560" t="str">
        <f>_xlfn.XLOOKUP(F1560,'Raw Data'!$I$4:$I$5000,'Raw Data'!$D$4:$D$5000,"*** Mnemonic not found ***",0)</f>
        <v>*** Mnemonic not found ***</v>
      </c>
      <c r="F1560" t="str">
        <f t="shared" si="383"/>
        <v>SUCMPROPORESRSK_EMEA_ALB_</v>
      </c>
      <c r="H1560" s="9" t="s">
        <v>1137</v>
      </c>
      <c r="K1560" s="9">
        <f t="shared" si="385"/>
        <v>578</v>
      </c>
      <c r="L1560" s="9" t="str">
        <f t="shared" si="386"/>
        <v>F</v>
      </c>
      <c r="M1560" s="9" t="str">
        <f t="shared" si="380"/>
        <v>Input!F578</v>
      </c>
      <c r="N1560" s="9">
        <f>_xlfn.XLOOKUP(F1560,'Raw Data'!$I$4:$I$5000,'Raw Data'!$E$4:$E$5000,100,0)</f>
        <v>100</v>
      </c>
      <c r="O1560" s="9" t="str">
        <f>IF(N1560=0,_xlfn.XLOOKUP(F1560,'Raw Data'!$I$4:$I$5000,'Raw Data'!$H$4:$H$5000,"",0),"")</f>
        <v/>
      </c>
      <c r="P1560" s="9" t="str" cm="1">
        <f t="array" aca="1" ref="P1560" ca="1">IF(INDIRECT(M1560) = "","",INDIRECT(M1560))</f>
        <v/>
      </c>
      <c r="Q1560" s="359" t="s">
        <v>4381</v>
      </c>
    </row>
    <row r="1561" spans="1:17" x14ac:dyDescent="0.35">
      <c r="A1561" t="s">
        <v>2346</v>
      </c>
      <c r="B1561" t="s">
        <v>2275</v>
      </c>
      <c r="C1561" t="s">
        <v>982</v>
      </c>
      <c r="E1561" t="str">
        <f>_xlfn.XLOOKUP(F1561,'Raw Data'!$I$4:$I$5000,'Raw Data'!$D$4:$D$5000,"*** Mnemonic not found ***",0)</f>
        <v>*** Mnemonic not found ***</v>
      </c>
      <c r="F1561" t="str">
        <f t="shared" si="383"/>
        <v>SUCMPROPORESRSK_EMEA_OTHM_</v>
      </c>
      <c r="H1561" s="9" t="s">
        <v>1137</v>
      </c>
      <c r="K1561" s="9">
        <f t="shared" si="385"/>
        <v>579</v>
      </c>
      <c r="L1561" s="9" t="str">
        <f t="shared" si="386"/>
        <v>F</v>
      </c>
      <c r="M1561" s="9" t="str">
        <f t="shared" si="380"/>
        <v>Input!F579</v>
      </c>
      <c r="N1561" s="9">
        <f>_xlfn.XLOOKUP(F1561,'Raw Data'!$I$4:$I$5000,'Raw Data'!$E$4:$E$5000,100,0)</f>
        <v>100</v>
      </c>
      <c r="O1561" s="9" t="str">
        <f>IF(N1561=0,_xlfn.XLOOKUP(F1561,'Raw Data'!$I$4:$I$5000,'Raw Data'!$H$4:$H$5000,"",0),"")</f>
        <v/>
      </c>
      <c r="P1561" s="9" t="str" cm="1">
        <f t="array" aca="1" ref="P1561" ca="1">IF(INDIRECT(M1561) = "","",INDIRECT(M1561))</f>
        <v/>
      </c>
      <c r="Q1561" s="359" t="s">
        <v>4381</v>
      </c>
    </row>
    <row r="1562" spans="1:17" x14ac:dyDescent="0.35">
      <c r="A1562" t="s">
        <v>2346</v>
      </c>
      <c r="B1562" t="s">
        <v>2276</v>
      </c>
      <c r="C1562" t="s">
        <v>1018</v>
      </c>
      <c r="E1562" t="str">
        <f>_xlfn.XLOOKUP(F1562,'Raw Data'!$I$4:$I$5000,'Raw Data'!$D$4:$D$5000,"*** Mnemonic not found ***",0)</f>
        <v>*** Mnemonic not found ***</v>
      </c>
      <c r="F1562" t="str">
        <f t="shared" si="383"/>
        <v>SUCMPROPORESRSK_EMEA_CRDS_</v>
      </c>
      <c r="H1562" s="9" t="s">
        <v>1137</v>
      </c>
      <c r="K1562" s="9">
        <f t="shared" si="385"/>
        <v>580</v>
      </c>
      <c r="L1562" s="9" t="str">
        <f t="shared" si="386"/>
        <v>F</v>
      </c>
      <c r="M1562" s="9" t="str">
        <f t="shared" si="380"/>
        <v>Input!F580</v>
      </c>
      <c r="N1562" s="9">
        <f>_xlfn.XLOOKUP(F1562,'Raw Data'!$I$4:$I$5000,'Raw Data'!$E$4:$E$5000,100,0)</f>
        <v>100</v>
      </c>
      <c r="O1562" s="9" t="str">
        <f>IF(N1562=0,_xlfn.XLOOKUP(F1562,'Raw Data'!$I$4:$I$5000,'Raw Data'!$H$4:$H$5000,"",0),"")</f>
        <v/>
      </c>
      <c r="P1562" s="9" t="str" cm="1">
        <f t="array" aca="1" ref="P1562" ca="1">IF(INDIRECT(M1562) = "","",INDIRECT(M1562))</f>
        <v/>
      </c>
      <c r="Q1562" s="359" t="s">
        <v>4381</v>
      </c>
    </row>
    <row r="1563" spans="1:17" x14ac:dyDescent="0.35">
      <c r="A1563" t="s">
        <v>2346</v>
      </c>
      <c r="B1563" t="s">
        <v>2277</v>
      </c>
      <c r="C1563" t="s">
        <v>984</v>
      </c>
      <c r="E1563" t="str">
        <f>_xlfn.XLOOKUP(F1563,'Raw Data'!$I$4:$I$5000,'Raw Data'!$D$4:$D$5000,"*** Mnemonic not found ***",0)</f>
        <v>*** Mnemonic not found ***</v>
      </c>
      <c r="F1563" t="str">
        <f t="shared" si="383"/>
        <v>SUCMPROPORESRSK_EMEA_MSFL_</v>
      </c>
      <c r="H1563" s="9" t="s">
        <v>1137</v>
      </c>
      <c r="K1563" s="9">
        <f t="shared" si="385"/>
        <v>581</v>
      </c>
      <c r="L1563" s="9" t="str">
        <f t="shared" si="386"/>
        <v>F</v>
      </c>
      <c r="M1563" s="9" t="str">
        <f t="shared" si="380"/>
        <v>Input!F581</v>
      </c>
      <c r="N1563" s="9">
        <f>_xlfn.XLOOKUP(F1563,'Raw Data'!$I$4:$I$5000,'Raw Data'!$E$4:$E$5000,100,0)</f>
        <v>100</v>
      </c>
      <c r="O1563" s="9" t="str">
        <f>IF(N1563=0,_xlfn.XLOOKUP(F1563,'Raw Data'!$I$4:$I$5000,'Raw Data'!$H$4:$H$5000,"",0),"")</f>
        <v/>
      </c>
      <c r="P1563" s="9" t="str" cm="1">
        <f t="array" aca="1" ref="P1563" ca="1">IF(INDIRECT(M1563) = "","",INDIRECT(M1563))</f>
        <v/>
      </c>
      <c r="Q1563" s="359" t="s">
        <v>4381</v>
      </c>
    </row>
    <row r="1564" spans="1:17" x14ac:dyDescent="0.35">
      <c r="A1564" t="s">
        <v>2346</v>
      </c>
      <c r="B1564" t="s">
        <v>2278</v>
      </c>
      <c r="C1564" t="s">
        <v>985</v>
      </c>
      <c r="E1564" t="str">
        <f>_xlfn.XLOOKUP(F1564,'Raw Data'!$I$4:$I$5000,'Raw Data'!$D$4:$D$5000,"*** Mnemonic not found ***",0)</f>
        <v>*** Mnemonic not found ***</v>
      </c>
      <c r="F1564" t="str">
        <f t="shared" si="383"/>
        <v>SUCMPROPORESRSK_EMEA_HMEI_</v>
      </c>
      <c r="H1564" s="9" t="s">
        <v>1137</v>
      </c>
      <c r="K1564" s="9">
        <f t="shared" si="385"/>
        <v>582</v>
      </c>
      <c r="L1564" s="9" t="str">
        <f t="shared" si="386"/>
        <v>F</v>
      </c>
      <c r="M1564" s="9" t="str">
        <f t="shared" si="380"/>
        <v>Input!F582</v>
      </c>
      <c r="N1564" s="9">
        <f>_xlfn.XLOOKUP(F1564,'Raw Data'!$I$4:$I$5000,'Raw Data'!$E$4:$E$5000,100,0)</f>
        <v>100</v>
      </c>
      <c r="O1564" s="9" t="str">
        <f>IF(N1564=0,_xlfn.XLOOKUP(F1564,'Raw Data'!$I$4:$I$5000,'Raw Data'!$H$4:$H$5000,"",0),"")</f>
        <v/>
      </c>
      <c r="P1564" s="9" t="str" cm="1">
        <f t="array" aca="1" ref="P1564" ca="1">IF(INDIRECT(M1564) = "","",INDIRECT(M1564))</f>
        <v/>
      </c>
      <c r="Q1564" s="359" t="s">
        <v>4381</v>
      </c>
    </row>
    <row r="1565" spans="1:17" x14ac:dyDescent="0.35">
      <c r="A1565" t="s">
        <v>2346</v>
      </c>
      <c r="B1565" t="s">
        <v>2279</v>
      </c>
      <c r="C1565" t="s">
        <v>1019</v>
      </c>
      <c r="E1565" t="str">
        <f>_xlfn.XLOOKUP(F1565,'Raw Data'!$I$4:$I$5000,'Raw Data'!$D$4:$D$5000,"*** Mnemonic not found ***",0)</f>
        <v>*** Mnemonic not found ***</v>
      </c>
      <c r="F1565" t="str">
        <f t="shared" si="383"/>
        <v>SUCMPROPORESRSK_EMEA_MAVT_</v>
      </c>
      <c r="H1565" s="9" t="s">
        <v>1137</v>
      </c>
      <c r="K1565" s="9">
        <f t="shared" si="385"/>
        <v>583</v>
      </c>
      <c r="L1565" s="9" t="str">
        <f t="shared" si="386"/>
        <v>F</v>
      </c>
      <c r="M1565" s="9" t="str">
        <f t="shared" si="380"/>
        <v>Input!F583</v>
      </c>
      <c r="N1565" s="9">
        <f>_xlfn.XLOOKUP(F1565,'Raw Data'!$I$4:$I$5000,'Raw Data'!$E$4:$E$5000,100,0)</f>
        <v>100</v>
      </c>
      <c r="O1565" s="9" t="str">
        <f>IF(N1565=0,_xlfn.XLOOKUP(F1565,'Raw Data'!$I$4:$I$5000,'Raw Data'!$H$4:$H$5000,"",0),"")</f>
        <v/>
      </c>
      <c r="P1565" s="9" t="str" cm="1">
        <f t="array" aca="1" ref="P1565" ca="1">IF(INDIRECT(M1565) = "","",INDIRECT(M1565))</f>
        <v/>
      </c>
      <c r="Q1565" s="359" t="s">
        <v>4381</v>
      </c>
    </row>
    <row r="1566" spans="1:17" x14ac:dyDescent="0.35">
      <c r="A1566" s="694" t="s">
        <v>2346</v>
      </c>
      <c r="B1566" s="694" t="s">
        <v>4308</v>
      </c>
      <c r="C1566" s="694" t="s">
        <v>4130</v>
      </c>
      <c r="E1566" t="str">
        <f>_xlfn.XLOOKUP(F1566,'Raw Data'!$I$4:$I$5000,'Raw Data'!$D$4:$D$5000,"*** Mnemonic not found ***",0)</f>
        <v>*** Mnemonic not found ***</v>
      </c>
      <c r="F1566" t="str">
        <f t="shared" si="383"/>
        <v>SUCMPROPORESRSK_EMEA_MPIN_</v>
      </c>
      <c r="H1566" s="9" t="s">
        <v>1137</v>
      </c>
      <c r="K1566" s="9">
        <f t="shared" si="385"/>
        <v>584</v>
      </c>
      <c r="L1566" s="9" t="str">
        <f t="shared" si="386"/>
        <v>F</v>
      </c>
      <c r="M1566" s="9" t="str">
        <f t="shared" ref="M1566:M1570" si="387">CONCATENATE(H1566,"!",L1566,K1566)</f>
        <v>Input!F584</v>
      </c>
      <c r="N1566" s="9">
        <f>_xlfn.XLOOKUP(F1566,'Raw Data'!$I$4:$I$5000,'Raw Data'!$E$4:$E$5000,100,0)</f>
        <v>100</v>
      </c>
      <c r="O1566" s="9" t="str">
        <f>IF(N1566=0,_xlfn.XLOOKUP(F1566,'Raw Data'!$I$4:$I$5000,'Raw Data'!$H$4:$H$5000,"",0),"")</f>
        <v/>
      </c>
      <c r="P1566" s="9" t="str" cm="1">
        <f t="array" aca="1" ref="P1566" ca="1">IF(INDIRECT(M1566) = "","",INDIRECT(M1566))</f>
        <v/>
      </c>
      <c r="Q1566" s="359" t="s">
        <v>4381</v>
      </c>
    </row>
    <row r="1567" spans="1:17" x14ac:dyDescent="0.35">
      <c r="A1567" t="s">
        <v>2346</v>
      </c>
      <c r="B1567" t="s">
        <v>2280</v>
      </c>
      <c r="C1567" t="s">
        <v>381</v>
      </c>
      <c r="E1567" t="str">
        <f>_xlfn.XLOOKUP(F1567,'Raw Data'!$I$4:$I$5000,'Raw Data'!$D$4:$D$5000,"*** Mnemonic not found ***",0)</f>
        <v>*** Mnemonic not found ***</v>
      </c>
      <c r="F1567" t="str">
        <f t="shared" si="383"/>
        <v>SUCMPROPORESRSK_EMEA_ASST_</v>
      </c>
      <c r="H1567" s="9" t="s">
        <v>1137</v>
      </c>
      <c r="K1567" s="9">
        <f t="shared" si="385"/>
        <v>585</v>
      </c>
      <c r="L1567" s="9" t="str">
        <f t="shared" si="386"/>
        <v>F</v>
      </c>
      <c r="M1567" s="9" t="str">
        <f t="shared" si="387"/>
        <v>Input!F585</v>
      </c>
      <c r="N1567" s="9">
        <f>_xlfn.XLOOKUP(F1567,'Raw Data'!$I$4:$I$5000,'Raw Data'!$E$4:$E$5000,100,0)</f>
        <v>100</v>
      </c>
      <c r="O1567" s="9" t="str">
        <f>IF(N1567=0,_xlfn.XLOOKUP(F1567,'Raw Data'!$I$4:$I$5000,'Raw Data'!$H$4:$H$5000,"",0),"")</f>
        <v/>
      </c>
      <c r="P1567" s="9" t="str" cm="1">
        <f t="array" aca="1" ref="P1567" ca="1">IF(INDIRECT(M1567) = "","",INDIRECT(M1567))</f>
        <v/>
      </c>
      <c r="Q1567" s="359" t="s">
        <v>4381</v>
      </c>
    </row>
    <row r="1568" spans="1:17" x14ac:dyDescent="0.35">
      <c r="A1568" t="s">
        <v>2346</v>
      </c>
      <c r="B1568" t="s">
        <v>2281</v>
      </c>
      <c r="C1568" t="s">
        <v>987</v>
      </c>
      <c r="E1568" t="str">
        <f>_xlfn.XLOOKUP(F1568,'Raw Data'!$I$4:$I$5000,'Raw Data'!$D$4:$D$5000,"*** Mnemonic not found ***",0)</f>
        <v>*** Mnemonic not found ***</v>
      </c>
      <c r="F1568" t="str">
        <f t="shared" si="383"/>
        <v>SUCMPROPORESRSK_EMEA_INPR_</v>
      </c>
      <c r="H1568" s="9" t="s">
        <v>1137</v>
      </c>
      <c r="K1568" s="9">
        <f t="shared" si="385"/>
        <v>586</v>
      </c>
      <c r="L1568" s="9" t="str">
        <f t="shared" si="386"/>
        <v>F</v>
      </c>
      <c r="M1568" s="9" t="str">
        <f t="shared" si="387"/>
        <v>Input!F586</v>
      </c>
      <c r="N1568" s="9">
        <f>_xlfn.XLOOKUP(F1568,'Raw Data'!$I$4:$I$5000,'Raw Data'!$E$4:$E$5000,100,0)</f>
        <v>100</v>
      </c>
      <c r="O1568" s="9" t="str">
        <f>IF(N1568=0,_xlfn.XLOOKUP(F1568,'Raw Data'!$I$4:$I$5000,'Raw Data'!$H$4:$H$5000,"",0),"")</f>
        <v/>
      </c>
      <c r="P1568" s="9" t="str" cm="1">
        <f t="array" aca="1" ref="P1568" ca="1">IF(INDIRECT(M1568) = "","",INDIRECT(M1568))</f>
        <v/>
      </c>
      <c r="Q1568" s="359" t="s">
        <v>4381</v>
      </c>
    </row>
    <row r="1569" spans="1:17" x14ac:dyDescent="0.35">
      <c r="A1569" t="s">
        <v>2346</v>
      </c>
      <c r="B1569" t="s">
        <v>2282</v>
      </c>
      <c r="C1569" t="s">
        <v>988</v>
      </c>
      <c r="E1569" t="str">
        <f>_xlfn.XLOOKUP(F1569,'Raw Data'!$I$4:$I$5000,'Raw Data'!$D$4:$D$5000,"*** Mnemonic not found ***",0)</f>
        <v>*** Mnemonic not found ***</v>
      </c>
      <c r="F1569" t="str">
        <f t="shared" si="383"/>
        <v>SUCMPROPORESRSK_EMEA_LEGEX_</v>
      </c>
      <c r="H1569" s="9" t="s">
        <v>1137</v>
      </c>
      <c r="K1569" s="9">
        <f t="shared" si="385"/>
        <v>587</v>
      </c>
      <c r="L1569" s="9" t="str">
        <f t="shared" si="386"/>
        <v>F</v>
      </c>
      <c r="M1569" s="9" t="str">
        <f t="shared" si="387"/>
        <v>Input!F587</v>
      </c>
      <c r="N1569" s="9">
        <f>_xlfn.XLOOKUP(F1569,'Raw Data'!$I$4:$I$5000,'Raw Data'!$E$4:$E$5000,100,0)</f>
        <v>100</v>
      </c>
      <c r="O1569" s="9" t="str">
        <f>IF(N1569=0,_xlfn.XLOOKUP(F1569,'Raw Data'!$I$4:$I$5000,'Raw Data'!$H$4:$H$5000,"",0),"")</f>
        <v/>
      </c>
      <c r="P1569" s="9" t="str" cm="1">
        <f t="array" aca="1" ref="P1569" ca="1">IF(INDIRECT(M1569) = "","",INDIRECT(M1569))</f>
        <v/>
      </c>
      <c r="Q1569" s="359" t="s">
        <v>4381</v>
      </c>
    </row>
    <row r="1570" spans="1:17" x14ac:dyDescent="0.35">
      <c r="A1570" t="s">
        <v>2346</v>
      </c>
      <c r="B1570" t="s">
        <v>2283</v>
      </c>
      <c r="C1570" t="s">
        <v>262</v>
      </c>
      <c r="E1570" t="str">
        <f>_xlfn.XLOOKUP(F1570,'Raw Data'!$I$4:$I$5000,'Raw Data'!$D$4:$D$5000,"*** Mnemonic not found ***",0)</f>
        <v>*** Mnemonic not found ***</v>
      </c>
      <c r="F1570" t="str">
        <f t="shared" si="383"/>
        <v>SUCMPROPORESRSK_EMEA_OCAH_</v>
      </c>
      <c r="H1570" s="9" t="s">
        <v>1137</v>
      </c>
      <c r="K1570" s="9">
        <f t="shared" si="385"/>
        <v>588</v>
      </c>
      <c r="L1570" s="9" t="str">
        <f t="shared" si="386"/>
        <v>F</v>
      </c>
      <c r="M1570" s="9" t="str">
        <f t="shared" si="387"/>
        <v>Input!F588</v>
      </c>
      <c r="N1570" s="9">
        <f>_xlfn.XLOOKUP(F1570,'Raw Data'!$I$4:$I$5000,'Raw Data'!$E$4:$E$5000,100,0)</f>
        <v>100</v>
      </c>
      <c r="O1570" s="9" t="str">
        <f>IF(N1570=0,_xlfn.XLOOKUP(F1570,'Raw Data'!$I$4:$I$5000,'Raw Data'!$H$4:$H$5000,"",0),"")</f>
        <v/>
      </c>
      <c r="P1570" s="9" t="str" cm="1">
        <f t="array" aca="1" ref="P1570" ca="1">IF(INDIRECT(M1570) = "","",INDIRECT(M1570))</f>
        <v/>
      </c>
      <c r="Q1570" s="359" t="s">
        <v>4381</v>
      </c>
    </row>
    <row r="1571" spans="1:17" x14ac:dyDescent="0.35">
      <c r="A1571" t="s">
        <v>2347</v>
      </c>
      <c r="B1571" t="s">
        <v>2271</v>
      </c>
      <c r="C1571" t="s">
        <v>978</v>
      </c>
      <c r="E1571" t="str">
        <f>_xlfn.XLOOKUP(F1571,'Raw Data'!$I$4:$I$5000,'Raw Data'!$D$4:$D$5000,"*** Mnemonic not found ***",0)</f>
        <v>*** Mnemonic not found ***</v>
      </c>
      <c r="F1571" t="str">
        <f t="shared" si="383"/>
        <v>SUCMNOPROPORESRSK_EMEA_LIA_</v>
      </c>
      <c r="H1571" s="9" t="s">
        <v>1137</v>
      </c>
      <c r="I1571" s="289">
        <f>ROW(section_non_life_resv)</f>
        <v>571</v>
      </c>
      <c r="J1571" s="9">
        <f>J1557</f>
        <v>4</v>
      </c>
      <c r="K1571" s="9">
        <f>I1571+J1571</f>
        <v>575</v>
      </c>
      <c r="L1571" s="9" t="s">
        <v>1145</v>
      </c>
      <c r="M1571" s="9" t="str">
        <f t="shared" si="380"/>
        <v>Input!G575</v>
      </c>
      <c r="N1571" s="9">
        <f>_xlfn.XLOOKUP(F1571,'Raw Data'!$I$4:$I$5000,'Raw Data'!$E$4:$E$5000,100,0)</f>
        <v>100</v>
      </c>
      <c r="O1571" s="9" t="str">
        <f>IF(N1571=0,_xlfn.XLOOKUP(F1571,'Raw Data'!$I$4:$I$5000,'Raw Data'!$H$4:$H$5000,"",0),"")</f>
        <v/>
      </c>
      <c r="P1571" s="9" t="str" cm="1">
        <f t="array" aca="1" ref="P1571" ca="1">IF(INDIRECT(M1571) = "","",INDIRECT(M1571))</f>
        <v/>
      </c>
      <c r="Q1571" s="359" t="s">
        <v>4381</v>
      </c>
    </row>
    <row r="1572" spans="1:17" x14ac:dyDescent="0.35">
      <c r="A1572" t="s">
        <v>2347</v>
      </c>
      <c r="B1572" t="s">
        <v>2272</v>
      </c>
      <c r="C1572" t="s">
        <v>979</v>
      </c>
      <c r="E1572" t="str">
        <f>_xlfn.XLOOKUP(F1572,'Raw Data'!$I$4:$I$5000,'Raw Data'!$D$4:$D$5000,"*** Mnemonic not found ***",0)</f>
        <v>*** Mnemonic not found ***</v>
      </c>
      <c r="F1572" t="str">
        <f t="shared" si="383"/>
        <v>SUCMNOPROPORESRSK_EMEA_WCP_</v>
      </c>
      <c r="H1572" s="9" t="s">
        <v>1137</v>
      </c>
      <c r="K1572" s="9">
        <f>K1571+1</f>
        <v>576</v>
      </c>
      <c r="L1572" s="9" t="str">
        <f>L1571</f>
        <v>G</v>
      </c>
      <c r="M1572" s="9" t="str">
        <f t="shared" si="380"/>
        <v>Input!G576</v>
      </c>
      <c r="N1572" s="9">
        <f>_xlfn.XLOOKUP(F1572,'Raw Data'!$I$4:$I$5000,'Raw Data'!$E$4:$E$5000,100,0)</f>
        <v>100</v>
      </c>
      <c r="O1572" s="9" t="str">
        <f>IF(N1572=0,_xlfn.XLOOKUP(F1572,'Raw Data'!$I$4:$I$5000,'Raw Data'!$H$4:$H$5000,"",0),"")</f>
        <v/>
      </c>
      <c r="P1572" s="9" t="str" cm="1">
        <f t="array" aca="1" ref="P1572" ca="1">IF(INDIRECT(M1572) = "","",INDIRECT(M1572))</f>
        <v/>
      </c>
      <c r="Q1572" s="359" t="s">
        <v>4381</v>
      </c>
    </row>
    <row r="1573" spans="1:17" x14ac:dyDescent="0.35">
      <c r="A1573" t="s">
        <v>2347</v>
      </c>
      <c r="B1573" t="s">
        <v>2273</v>
      </c>
      <c r="C1573" t="s">
        <v>980</v>
      </c>
      <c r="E1573" t="str">
        <f>_xlfn.XLOOKUP(F1573,'Raw Data'!$I$4:$I$5000,'Raw Data'!$D$4:$D$5000,"*** Mnemonic not found ***",0)</f>
        <v>*** Mnemonic not found ***</v>
      </c>
      <c r="F1573" t="str">
        <f t="shared" si="383"/>
        <v>SUCMNOPROPORESRSK_EMEA_FIR_</v>
      </c>
      <c r="H1573" s="9" t="s">
        <v>1137</v>
      </c>
      <c r="K1573" s="9">
        <f t="shared" ref="K1573:K1584" si="388">K1572+1</f>
        <v>577</v>
      </c>
      <c r="L1573" s="9" t="str">
        <f t="shared" ref="L1573:L1584" si="389">L1572</f>
        <v>G</v>
      </c>
      <c r="M1573" s="9" t="str">
        <f t="shared" si="380"/>
        <v>Input!G577</v>
      </c>
      <c r="N1573" s="9">
        <f>_xlfn.XLOOKUP(F1573,'Raw Data'!$I$4:$I$5000,'Raw Data'!$E$4:$E$5000,100,0)</f>
        <v>100</v>
      </c>
      <c r="O1573" s="9" t="str">
        <f>IF(N1573=0,_xlfn.XLOOKUP(F1573,'Raw Data'!$I$4:$I$5000,'Raw Data'!$H$4:$H$5000,"",0),"")</f>
        <v/>
      </c>
      <c r="P1573" s="9" t="str" cm="1">
        <f t="array" aca="1" ref="P1573" ca="1">IF(INDIRECT(M1573) = "","",INDIRECT(M1573))</f>
        <v/>
      </c>
      <c r="Q1573" s="359" t="s">
        <v>4381</v>
      </c>
    </row>
    <row r="1574" spans="1:17" x14ac:dyDescent="0.35">
      <c r="A1574" t="s">
        <v>2347</v>
      </c>
      <c r="B1574" t="s">
        <v>2274</v>
      </c>
      <c r="C1574" t="s">
        <v>981</v>
      </c>
      <c r="E1574" t="str">
        <f>_xlfn.XLOOKUP(F1574,'Raw Data'!$I$4:$I$5000,'Raw Data'!$D$4:$D$5000,"*** Mnemonic not found ***",0)</f>
        <v>*** Mnemonic not found ***</v>
      </c>
      <c r="F1574" t="str">
        <f t="shared" si="383"/>
        <v>SUCMNOPROPORESRSK_EMEA_ALB_</v>
      </c>
      <c r="H1574" s="9" t="s">
        <v>1137</v>
      </c>
      <c r="K1574" s="9">
        <f t="shared" si="388"/>
        <v>578</v>
      </c>
      <c r="L1574" s="9" t="str">
        <f t="shared" si="389"/>
        <v>G</v>
      </c>
      <c r="M1574" s="9" t="str">
        <f t="shared" si="380"/>
        <v>Input!G578</v>
      </c>
      <c r="N1574" s="9">
        <f>_xlfn.XLOOKUP(F1574,'Raw Data'!$I$4:$I$5000,'Raw Data'!$E$4:$E$5000,100,0)</f>
        <v>100</v>
      </c>
      <c r="O1574" s="9" t="str">
        <f>IF(N1574=0,_xlfn.XLOOKUP(F1574,'Raw Data'!$I$4:$I$5000,'Raw Data'!$H$4:$H$5000,"",0),"")</f>
        <v/>
      </c>
      <c r="P1574" s="9" t="str" cm="1">
        <f t="array" aca="1" ref="P1574" ca="1">IF(INDIRECT(M1574) = "","",INDIRECT(M1574))</f>
        <v/>
      </c>
      <c r="Q1574" s="359" t="s">
        <v>4381</v>
      </c>
    </row>
    <row r="1575" spans="1:17" x14ac:dyDescent="0.35">
      <c r="A1575" t="s">
        <v>2347</v>
      </c>
      <c r="B1575" t="s">
        <v>2275</v>
      </c>
      <c r="C1575" t="s">
        <v>982</v>
      </c>
      <c r="E1575" t="str">
        <f>_xlfn.XLOOKUP(F1575,'Raw Data'!$I$4:$I$5000,'Raw Data'!$D$4:$D$5000,"*** Mnemonic not found ***",0)</f>
        <v>*** Mnemonic not found ***</v>
      </c>
      <c r="F1575" t="str">
        <f t="shared" si="383"/>
        <v>SUCMNOPROPORESRSK_EMEA_OTHM_</v>
      </c>
      <c r="H1575" s="9" t="s">
        <v>1137</v>
      </c>
      <c r="K1575" s="9">
        <f t="shared" si="388"/>
        <v>579</v>
      </c>
      <c r="L1575" s="9" t="str">
        <f t="shared" si="389"/>
        <v>G</v>
      </c>
      <c r="M1575" s="9" t="str">
        <f t="shared" si="380"/>
        <v>Input!G579</v>
      </c>
      <c r="N1575" s="9">
        <f>_xlfn.XLOOKUP(F1575,'Raw Data'!$I$4:$I$5000,'Raw Data'!$E$4:$E$5000,100,0)</f>
        <v>100</v>
      </c>
      <c r="O1575" s="9" t="str">
        <f>IF(N1575=0,_xlfn.XLOOKUP(F1575,'Raw Data'!$I$4:$I$5000,'Raw Data'!$H$4:$H$5000,"",0),"")</f>
        <v/>
      </c>
      <c r="P1575" s="9" t="str" cm="1">
        <f t="array" aca="1" ref="P1575" ca="1">IF(INDIRECT(M1575) = "","",INDIRECT(M1575))</f>
        <v/>
      </c>
      <c r="Q1575" s="359" t="s">
        <v>4381</v>
      </c>
    </row>
    <row r="1576" spans="1:17" x14ac:dyDescent="0.35">
      <c r="A1576" t="s">
        <v>2347</v>
      </c>
      <c r="B1576" t="s">
        <v>2276</v>
      </c>
      <c r="C1576" t="s">
        <v>1018</v>
      </c>
      <c r="E1576" t="str">
        <f>_xlfn.XLOOKUP(F1576,'Raw Data'!$I$4:$I$5000,'Raw Data'!$D$4:$D$5000,"*** Mnemonic not found ***",0)</f>
        <v>*** Mnemonic not found ***</v>
      </c>
      <c r="F1576" t="str">
        <f t="shared" si="383"/>
        <v>SUCMNOPROPORESRSK_EMEA_CRDS_</v>
      </c>
      <c r="H1576" s="9" t="s">
        <v>1137</v>
      </c>
      <c r="K1576" s="9">
        <f t="shared" si="388"/>
        <v>580</v>
      </c>
      <c r="L1576" s="9" t="str">
        <f t="shared" si="389"/>
        <v>G</v>
      </c>
      <c r="M1576" s="9" t="str">
        <f t="shared" si="380"/>
        <v>Input!G580</v>
      </c>
      <c r="N1576" s="9">
        <f>_xlfn.XLOOKUP(F1576,'Raw Data'!$I$4:$I$5000,'Raw Data'!$E$4:$E$5000,100,0)</f>
        <v>100</v>
      </c>
      <c r="O1576" s="9" t="str">
        <f>IF(N1576=0,_xlfn.XLOOKUP(F1576,'Raw Data'!$I$4:$I$5000,'Raw Data'!$H$4:$H$5000,"",0),"")</f>
        <v/>
      </c>
      <c r="P1576" s="9" t="str" cm="1">
        <f t="array" aca="1" ref="P1576" ca="1">IF(INDIRECT(M1576) = "","",INDIRECT(M1576))</f>
        <v/>
      </c>
      <c r="Q1576" s="359" t="s">
        <v>4381</v>
      </c>
    </row>
    <row r="1577" spans="1:17" x14ac:dyDescent="0.35">
      <c r="A1577" t="s">
        <v>2347</v>
      </c>
      <c r="B1577" t="s">
        <v>2277</v>
      </c>
      <c r="C1577" t="s">
        <v>984</v>
      </c>
      <c r="E1577" t="str">
        <f>_xlfn.XLOOKUP(F1577,'Raw Data'!$I$4:$I$5000,'Raw Data'!$D$4:$D$5000,"*** Mnemonic not found ***",0)</f>
        <v>*** Mnemonic not found ***</v>
      </c>
      <c r="F1577" t="str">
        <f t="shared" si="383"/>
        <v>SUCMNOPROPORESRSK_EMEA_MSFL_</v>
      </c>
      <c r="H1577" s="9" t="s">
        <v>1137</v>
      </c>
      <c r="K1577" s="9">
        <f t="shared" si="388"/>
        <v>581</v>
      </c>
      <c r="L1577" s="9" t="str">
        <f t="shared" si="389"/>
        <v>G</v>
      </c>
      <c r="M1577" s="9" t="str">
        <f t="shared" si="380"/>
        <v>Input!G581</v>
      </c>
      <c r="N1577" s="9">
        <f>_xlfn.XLOOKUP(F1577,'Raw Data'!$I$4:$I$5000,'Raw Data'!$E$4:$E$5000,100,0)</f>
        <v>100</v>
      </c>
      <c r="O1577" s="9" t="str">
        <f>IF(N1577=0,_xlfn.XLOOKUP(F1577,'Raw Data'!$I$4:$I$5000,'Raw Data'!$H$4:$H$5000,"",0),"")</f>
        <v/>
      </c>
      <c r="P1577" s="9" t="str" cm="1">
        <f t="array" aca="1" ref="P1577" ca="1">IF(INDIRECT(M1577) = "","",INDIRECT(M1577))</f>
        <v/>
      </c>
      <c r="Q1577" s="359" t="s">
        <v>4381</v>
      </c>
    </row>
    <row r="1578" spans="1:17" x14ac:dyDescent="0.35">
      <c r="A1578" t="s">
        <v>2347</v>
      </c>
      <c r="B1578" t="s">
        <v>2278</v>
      </c>
      <c r="C1578" t="s">
        <v>985</v>
      </c>
      <c r="E1578" t="str">
        <f>_xlfn.XLOOKUP(F1578,'Raw Data'!$I$4:$I$5000,'Raw Data'!$D$4:$D$5000,"*** Mnemonic not found ***",0)</f>
        <v>*** Mnemonic not found ***</v>
      </c>
      <c r="F1578" t="str">
        <f t="shared" si="383"/>
        <v>SUCMNOPROPORESRSK_EMEA_HMEI_</v>
      </c>
      <c r="H1578" s="9" t="s">
        <v>1137</v>
      </c>
      <c r="K1578" s="9">
        <f t="shared" si="388"/>
        <v>582</v>
      </c>
      <c r="L1578" s="9" t="str">
        <f t="shared" si="389"/>
        <v>G</v>
      </c>
      <c r="M1578" s="9" t="str">
        <f t="shared" si="380"/>
        <v>Input!G582</v>
      </c>
      <c r="N1578" s="9">
        <f>_xlfn.XLOOKUP(F1578,'Raw Data'!$I$4:$I$5000,'Raw Data'!$E$4:$E$5000,100,0)</f>
        <v>100</v>
      </c>
      <c r="O1578" s="9" t="str">
        <f>IF(N1578=0,_xlfn.XLOOKUP(F1578,'Raw Data'!$I$4:$I$5000,'Raw Data'!$H$4:$H$5000,"",0),"")</f>
        <v/>
      </c>
      <c r="P1578" s="9" t="str" cm="1">
        <f t="array" aca="1" ref="P1578" ca="1">IF(INDIRECT(M1578) = "","",INDIRECT(M1578))</f>
        <v/>
      </c>
      <c r="Q1578" s="359" t="s">
        <v>4381</v>
      </c>
    </row>
    <row r="1579" spans="1:17" x14ac:dyDescent="0.35">
      <c r="A1579" t="s">
        <v>2347</v>
      </c>
      <c r="B1579" t="s">
        <v>2279</v>
      </c>
      <c r="C1579" t="s">
        <v>1019</v>
      </c>
      <c r="E1579" t="str">
        <f>_xlfn.XLOOKUP(F1579,'Raw Data'!$I$4:$I$5000,'Raw Data'!$D$4:$D$5000,"*** Mnemonic not found ***",0)</f>
        <v>*** Mnemonic not found ***</v>
      </c>
      <c r="F1579" t="str">
        <f t="shared" si="383"/>
        <v>SUCMNOPROPORESRSK_EMEA_MAVT_</v>
      </c>
      <c r="H1579" s="9" t="s">
        <v>1137</v>
      </c>
      <c r="K1579" s="9">
        <f t="shared" si="388"/>
        <v>583</v>
      </c>
      <c r="L1579" s="9" t="str">
        <f t="shared" si="389"/>
        <v>G</v>
      </c>
      <c r="M1579" s="9" t="str">
        <f t="shared" si="380"/>
        <v>Input!G583</v>
      </c>
      <c r="N1579" s="9">
        <f>_xlfn.XLOOKUP(F1579,'Raw Data'!$I$4:$I$5000,'Raw Data'!$E$4:$E$5000,100,0)</f>
        <v>100</v>
      </c>
      <c r="O1579" s="9" t="str">
        <f>IF(N1579=0,_xlfn.XLOOKUP(F1579,'Raw Data'!$I$4:$I$5000,'Raw Data'!$H$4:$H$5000,"",0),"")</f>
        <v/>
      </c>
      <c r="P1579" s="9" t="str" cm="1">
        <f t="array" aca="1" ref="P1579" ca="1">IF(INDIRECT(M1579) = "","",INDIRECT(M1579))</f>
        <v/>
      </c>
      <c r="Q1579" s="359" t="s">
        <v>4381</v>
      </c>
    </row>
    <row r="1580" spans="1:17" x14ac:dyDescent="0.35">
      <c r="A1580" t="s">
        <v>2347</v>
      </c>
      <c r="B1580" t="s">
        <v>4308</v>
      </c>
      <c r="C1580" s="694" t="s">
        <v>4130</v>
      </c>
      <c r="E1580" t="str">
        <f>_xlfn.XLOOKUP(F1580,'Raw Data'!$I$4:$I$5000,'Raw Data'!$D$4:$D$5000,"*** Mnemonic not found ***",0)</f>
        <v>*** Mnemonic not found ***</v>
      </c>
      <c r="F1580" t="str">
        <f t="shared" si="383"/>
        <v>SUCMNOPROPORESRSK_EMEA_MPIN_</v>
      </c>
      <c r="H1580" s="9" t="s">
        <v>1137</v>
      </c>
      <c r="K1580" s="9">
        <f t="shared" si="388"/>
        <v>584</v>
      </c>
      <c r="L1580" s="9" t="str">
        <f t="shared" si="389"/>
        <v>G</v>
      </c>
      <c r="M1580" s="9" t="str">
        <f t="shared" ref="M1580:M1584" si="390">CONCATENATE(H1580,"!",L1580,K1580)</f>
        <v>Input!G584</v>
      </c>
      <c r="N1580" s="9">
        <f>_xlfn.XLOOKUP(F1580,'Raw Data'!$I$4:$I$5000,'Raw Data'!$E$4:$E$5000,100,0)</f>
        <v>100</v>
      </c>
      <c r="O1580" s="9" t="str">
        <f>IF(N1580=0,_xlfn.XLOOKUP(F1580,'Raw Data'!$I$4:$I$5000,'Raw Data'!$H$4:$H$5000,"",0),"")</f>
        <v/>
      </c>
      <c r="P1580" s="9" t="str" cm="1">
        <f t="array" aca="1" ref="P1580" ca="1">IF(INDIRECT(M1580) = "","",INDIRECT(M1580))</f>
        <v/>
      </c>
      <c r="Q1580" s="359" t="s">
        <v>4381</v>
      </c>
    </row>
    <row r="1581" spans="1:17" x14ac:dyDescent="0.35">
      <c r="A1581" t="s">
        <v>2347</v>
      </c>
      <c r="B1581" t="s">
        <v>2280</v>
      </c>
      <c r="C1581" t="s">
        <v>381</v>
      </c>
      <c r="E1581" t="str">
        <f>_xlfn.XLOOKUP(F1581,'Raw Data'!$I$4:$I$5000,'Raw Data'!$D$4:$D$5000,"*** Mnemonic not found ***",0)</f>
        <v>*** Mnemonic not found ***</v>
      </c>
      <c r="F1581" t="str">
        <f t="shared" si="383"/>
        <v>SUCMNOPROPORESRSK_EMEA_ASST_</v>
      </c>
      <c r="H1581" s="9" t="s">
        <v>1137</v>
      </c>
      <c r="K1581" s="9">
        <f t="shared" si="388"/>
        <v>585</v>
      </c>
      <c r="L1581" s="9" t="str">
        <f t="shared" si="389"/>
        <v>G</v>
      </c>
      <c r="M1581" s="9" t="str">
        <f t="shared" si="390"/>
        <v>Input!G585</v>
      </c>
      <c r="N1581" s="9">
        <f>_xlfn.XLOOKUP(F1581,'Raw Data'!$I$4:$I$5000,'Raw Data'!$E$4:$E$5000,100,0)</f>
        <v>100</v>
      </c>
      <c r="O1581" s="9" t="str">
        <f>IF(N1581=0,_xlfn.XLOOKUP(F1581,'Raw Data'!$I$4:$I$5000,'Raw Data'!$H$4:$H$5000,"",0),"")</f>
        <v/>
      </c>
      <c r="P1581" s="9" t="str" cm="1">
        <f t="array" aca="1" ref="P1581" ca="1">IF(INDIRECT(M1581) = "","",INDIRECT(M1581))</f>
        <v/>
      </c>
      <c r="Q1581" s="359" t="s">
        <v>4381</v>
      </c>
    </row>
    <row r="1582" spans="1:17" x14ac:dyDescent="0.35">
      <c r="A1582" t="s">
        <v>2347</v>
      </c>
      <c r="B1582" t="s">
        <v>2281</v>
      </c>
      <c r="C1582" t="s">
        <v>987</v>
      </c>
      <c r="E1582" t="str">
        <f>_xlfn.XLOOKUP(F1582,'Raw Data'!$I$4:$I$5000,'Raw Data'!$D$4:$D$5000,"*** Mnemonic not found ***",0)</f>
        <v>*** Mnemonic not found ***</v>
      </c>
      <c r="F1582" t="str">
        <f t="shared" si="383"/>
        <v>SUCMNOPROPORESRSK_EMEA_INPR_</v>
      </c>
      <c r="H1582" s="9" t="s">
        <v>1137</v>
      </c>
      <c r="K1582" s="9">
        <f t="shared" si="388"/>
        <v>586</v>
      </c>
      <c r="L1582" s="9" t="str">
        <f t="shared" si="389"/>
        <v>G</v>
      </c>
      <c r="M1582" s="9" t="str">
        <f t="shared" si="390"/>
        <v>Input!G586</v>
      </c>
      <c r="N1582" s="9">
        <f>_xlfn.XLOOKUP(F1582,'Raw Data'!$I$4:$I$5000,'Raw Data'!$E$4:$E$5000,100,0)</f>
        <v>100</v>
      </c>
      <c r="O1582" s="9" t="str">
        <f>IF(N1582=0,_xlfn.XLOOKUP(F1582,'Raw Data'!$I$4:$I$5000,'Raw Data'!$H$4:$H$5000,"",0),"")</f>
        <v/>
      </c>
      <c r="P1582" s="9" t="str" cm="1">
        <f t="array" aca="1" ref="P1582" ca="1">IF(INDIRECT(M1582) = "","",INDIRECT(M1582))</f>
        <v/>
      </c>
      <c r="Q1582" s="359" t="s">
        <v>4381</v>
      </c>
    </row>
    <row r="1583" spans="1:17" x14ac:dyDescent="0.35">
      <c r="A1583" t="s">
        <v>2347</v>
      </c>
      <c r="B1583" t="s">
        <v>2282</v>
      </c>
      <c r="C1583" t="s">
        <v>988</v>
      </c>
      <c r="E1583" t="str">
        <f>_xlfn.XLOOKUP(F1583,'Raw Data'!$I$4:$I$5000,'Raw Data'!$D$4:$D$5000,"*** Mnemonic not found ***",0)</f>
        <v>*** Mnemonic not found ***</v>
      </c>
      <c r="F1583" t="str">
        <f t="shared" si="383"/>
        <v>SUCMNOPROPORESRSK_EMEA_LEGEX_</v>
      </c>
      <c r="H1583" s="9" t="s">
        <v>1137</v>
      </c>
      <c r="K1583" s="9">
        <f t="shared" si="388"/>
        <v>587</v>
      </c>
      <c r="L1583" s="9" t="str">
        <f t="shared" si="389"/>
        <v>G</v>
      </c>
      <c r="M1583" s="9" t="str">
        <f t="shared" si="390"/>
        <v>Input!G587</v>
      </c>
      <c r="N1583" s="9">
        <f>_xlfn.XLOOKUP(F1583,'Raw Data'!$I$4:$I$5000,'Raw Data'!$E$4:$E$5000,100,0)</f>
        <v>100</v>
      </c>
      <c r="O1583" s="9" t="str">
        <f>IF(N1583=0,_xlfn.XLOOKUP(F1583,'Raw Data'!$I$4:$I$5000,'Raw Data'!$H$4:$H$5000,"",0),"")</f>
        <v/>
      </c>
      <c r="P1583" s="9" t="str" cm="1">
        <f t="array" aca="1" ref="P1583" ca="1">IF(INDIRECT(M1583) = "","",INDIRECT(M1583))</f>
        <v/>
      </c>
      <c r="Q1583" s="359" t="s">
        <v>4381</v>
      </c>
    </row>
    <row r="1584" spans="1:17" x14ac:dyDescent="0.35">
      <c r="A1584" t="s">
        <v>2347</v>
      </c>
      <c r="B1584" t="s">
        <v>2283</v>
      </c>
      <c r="C1584" t="s">
        <v>262</v>
      </c>
      <c r="E1584" t="str">
        <f>_xlfn.XLOOKUP(F1584,'Raw Data'!$I$4:$I$5000,'Raw Data'!$D$4:$D$5000,"*** Mnemonic not found ***",0)</f>
        <v>*** Mnemonic not found ***</v>
      </c>
      <c r="F1584" t="str">
        <f t="shared" si="383"/>
        <v>SUCMNOPROPORESRSK_EMEA_OCAH_</v>
      </c>
      <c r="H1584" s="9" t="s">
        <v>1137</v>
      </c>
      <c r="K1584" s="9">
        <f t="shared" si="388"/>
        <v>588</v>
      </c>
      <c r="L1584" s="9" t="str">
        <f t="shared" si="389"/>
        <v>G</v>
      </c>
      <c r="M1584" s="9" t="str">
        <f t="shared" si="390"/>
        <v>Input!G588</v>
      </c>
      <c r="N1584" s="9">
        <f>_xlfn.XLOOKUP(F1584,'Raw Data'!$I$4:$I$5000,'Raw Data'!$E$4:$E$5000,100,0)</f>
        <v>100</v>
      </c>
      <c r="O1584" s="9" t="str">
        <f>IF(N1584=0,_xlfn.XLOOKUP(F1584,'Raw Data'!$I$4:$I$5000,'Raw Data'!$H$4:$H$5000,"",0),"")</f>
        <v/>
      </c>
      <c r="P1584" s="9" t="str" cm="1">
        <f t="array" aca="1" ref="P1584" ca="1">IF(INDIRECT(M1584) = "","",INDIRECT(M1584))</f>
        <v/>
      </c>
      <c r="Q1584" s="359" t="s">
        <v>4381</v>
      </c>
    </row>
    <row r="1585" spans="1:17" x14ac:dyDescent="0.35">
      <c r="A1585" t="s">
        <v>2348</v>
      </c>
      <c r="B1585" t="s">
        <v>2285</v>
      </c>
      <c r="C1585" t="s">
        <v>402</v>
      </c>
      <c r="E1585" t="str">
        <f>_xlfn.XLOOKUP(F1585,'Raw Data'!$I$4:$I$5000,'Raw Data'!$D$4:$D$5000,"*** Mnemonic not found ***",0)</f>
        <v>*** Mnemonic not found ***</v>
      </c>
      <c r="F1585" t="str">
        <f t="shared" si="383"/>
        <v>SUCMPROPORESRSK_US_MEC_</v>
      </c>
      <c r="G1585" t="s">
        <v>2357</v>
      </c>
      <c r="H1585" s="9" t="s">
        <v>1137</v>
      </c>
      <c r="I1585" s="289">
        <f>ROW(section_non_life_resv)</f>
        <v>571</v>
      </c>
      <c r="J1585" s="9">
        <v>19</v>
      </c>
      <c r="K1585" s="9">
        <f>I1585+J1585</f>
        <v>590</v>
      </c>
      <c r="L1585" s="9" t="s">
        <v>1124</v>
      </c>
      <c r="M1585" s="9" t="str">
        <f t="shared" si="380"/>
        <v>Input!F590</v>
      </c>
      <c r="N1585" s="9">
        <f>_xlfn.XLOOKUP(F1585,'Raw Data'!$I$4:$I$5000,'Raw Data'!$E$4:$E$5000,100,0)</f>
        <v>100</v>
      </c>
      <c r="O1585" s="9" t="str">
        <f>IF(N1585=0,_xlfn.XLOOKUP(F1585,'Raw Data'!$I$4:$I$5000,'Raw Data'!$H$4:$H$5000,"",0),"")</f>
        <v/>
      </c>
      <c r="P1585" s="9" t="str" cm="1">
        <f t="array" aca="1" ref="P1585" ca="1">IF(INDIRECT(M1585) = "","",INDIRECT(M1585))</f>
        <v/>
      </c>
      <c r="Q1585" s="359" t="s">
        <v>4381</v>
      </c>
    </row>
    <row r="1586" spans="1:17" x14ac:dyDescent="0.35">
      <c r="A1586" t="s">
        <v>2348</v>
      </c>
      <c r="B1586" t="s">
        <v>2286</v>
      </c>
      <c r="C1586" t="s">
        <v>401</v>
      </c>
      <c r="E1586" t="str">
        <f>_xlfn.XLOOKUP(F1586,'Raw Data'!$I$4:$I$5000,'Raw Data'!$D$4:$D$5000,"*** Mnemonic not found ***",0)</f>
        <v>*** Mnemonic not found ***</v>
      </c>
      <c r="F1586" t="str">
        <f t="shared" si="383"/>
        <v>SUCMPROPORESRSK_US_MEO_</v>
      </c>
      <c r="H1586" s="9" t="s">
        <v>1137</v>
      </c>
      <c r="K1586" s="9">
        <f>K1585+1</f>
        <v>591</v>
      </c>
      <c r="L1586" s="9" t="str">
        <f>L1585</f>
        <v>F</v>
      </c>
      <c r="M1586" s="9" t="str">
        <f t="shared" si="380"/>
        <v>Input!F591</v>
      </c>
      <c r="N1586" s="9">
        <f>_xlfn.XLOOKUP(F1586,'Raw Data'!$I$4:$I$5000,'Raw Data'!$E$4:$E$5000,100,0)</f>
        <v>100</v>
      </c>
      <c r="O1586" s="9" t="str">
        <f>IF(N1586=0,_xlfn.XLOOKUP(F1586,'Raw Data'!$I$4:$I$5000,'Raw Data'!$H$4:$H$5000,"",0),"")</f>
        <v/>
      </c>
      <c r="P1586" s="9" t="str" cm="1">
        <f t="array" aca="1" ref="P1586" ca="1">IF(INDIRECT(M1586) = "","",INDIRECT(M1586))</f>
        <v/>
      </c>
      <c r="Q1586" s="359" t="s">
        <v>4381</v>
      </c>
    </row>
    <row r="1587" spans="1:17" x14ac:dyDescent="0.35">
      <c r="A1587" t="s">
        <v>2348</v>
      </c>
      <c r="B1587" t="s">
        <v>2287</v>
      </c>
      <c r="C1587" t="s">
        <v>404</v>
      </c>
      <c r="E1587" t="str">
        <f>_xlfn.XLOOKUP(F1587,'Raw Data'!$I$4:$I$5000,'Raw Data'!$D$4:$D$5000,"*** Mnemonic not found ***",0)</f>
        <v>*** Mnemonic not found ***</v>
      </c>
      <c r="F1587" t="str">
        <f t="shared" si="383"/>
        <v>SUCMPROPORESRSK_US_OLC_</v>
      </c>
      <c r="H1587" s="9" t="s">
        <v>1137</v>
      </c>
      <c r="K1587" s="9">
        <f t="shared" ref="K1587:K1609" si="391">K1586+1</f>
        <v>592</v>
      </c>
      <c r="L1587" s="9" t="str">
        <f t="shared" ref="L1587:L1609" si="392">L1586</f>
        <v>F</v>
      </c>
      <c r="M1587" s="9" t="str">
        <f t="shared" si="380"/>
        <v>Input!F592</v>
      </c>
      <c r="N1587" s="9">
        <f>_xlfn.XLOOKUP(F1587,'Raw Data'!$I$4:$I$5000,'Raw Data'!$E$4:$E$5000,100,0)</f>
        <v>100</v>
      </c>
      <c r="O1587" s="9" t="str">
        <f>IF(N1587=0,_xlfn.XLOOKUP(F1587,'Raw Data'!$I$4:$I$5000,'Raw Data'!$H$4:$H$5000,"",0),"")</f>
        <v/>
      </c>
      <c r="P1587" s="9" t="str" cm="1">
        <f t="array" aca="1" ref="P1587" ca="1">IF(INDIRECT(M1587) = "","",INDIRECT(M1587))</f>
        <v/>
      </c>
      <c r="Q1587" s="359" t="s">
        <v>4381</v>
      </c>
    </row>
    <row r="1588" spans="1:17" x14ac:dyDescent="0.35">
      <c r="A1588" t="s">
        <v>2348</v>
      </c>
      <c r="B1588" t="s">
        <v>2288</v>
      </c>
      <c r="C1588" t="s">
        <v>403</v>
      </c>
      <c r="E1588" t="str">
        <f>_xlfn.XLOOKUP(F1588,'Raw Data'!$I$4:$I$5000,'Raw Data'!$D$4:$D$5000,"*** Mnemonic not found ***",0)</f>
        <v>*** Mnemonic not found ***</v>
      </c>
      <c r="F1588" t="str">
        <f t="shared" si="383"/>
        <v>SUCMPROPORESRSK_US_OLO_</v>
      </c>
      <c r="H1588" s="9" t="s">
        <v>1137</v>
      </c>
      <c r="K1588" s="9">
        <f t="shared" si="391"/>
        <v>593</v>
      </c>
      <c r="L1588" s="9" t="str">
        <f t="shared" si="392"/>
        <v>F</v>
      </c>
      <c r="M1588" s="9" t="str">
        <f t="shared" si="380"/>
        <v>Input!F593</v>
      </c>
      <c r="N1588" s="9">
        <f>_xlfn.XLOOKUP(F1588,'Raw Data'!$I$4:$I$5000,'Raw Data'!$E$4:$E$5000,100,0)</f>
        <v>100</v>
      </c>
      <c r="O1588" s="9" t="str">
        <f>IF(N1588=0,_xlfn.XLOOKUP(F1588,'Raw Data'!$I$4:$I$5000,'Raw Data'!$H$4:$H$5000,"",0),"")</f>
        <v/>
      </c>
      <c r="P1588" s="9" t="str" cm="1">
        <f t="array" aca="1" ref="P1588" ca="1">IF(INDIRECT(M1588) = "","",INDIRECT(M1588))</f>
        <v/>
      </c>
      <c r="Q1588" s="359" t="s">
        <v>4381</v>
      </c>
    </row>
    <row r="1589" spans="1:17" x14ac:dyDescent="0.35">
      <c r="A1589" t="s">
        <v>2348</v>
      </c>
      <c r="B1589" t="s">
        <v>2289</v>
      </c>
      <c r="C1589" t="s">
        <v>406</v>
      </c>
      <c r="E1589" t="str">
        <f>_xlfn.XLOOKUP(F1589,'Raw Data'!$I$4:$I$5000,'Raw Data'!$D$4:$D$5000,"*** Mnemonic not found ***",0)</f>
        <v>*** Mnemonic not found ***</v>
      </c>
      <c r="F1589" t="str">
        <f t="shared" si="383"/>
        <v>SUCMPROPORESRSK_US_PLC_</v>
      </c>
      <c r="H1589" s="9" t="s">
        <v>1137</v>
      </c>
      <c r="K1589" s="9">
        <f t="shared" si="391"/>
        <v>594</v>
      </c>
      <c r="L1589" s="9" t="str">
        <f t="shared" si="392"/>
        <v>F</v>
      </c>
      <c r="M1589" s="9" t="str">
        <f t="shared" si="380"/>
        <v>Input!F594</v>
      </c>
      <c r="N1589" s="9">
        <f>_xlfn.XLOOKUP(F1589,'Raw Data'!$I$4:$I$5000,'Raw Data'!$E$4:$E$5000,100,0)</f>
        <v>100</v>
      </c>
      <c r="O1589" s="9" t="str">
        <f>IF(N1589=0,_xlfn.XLOOKUP(F1589,'Raw Data'!$I$4:$I$5000,'Raw Data'!$H$4:$H$5000,"",0),"")</f>
        <v/>
      </c>
      <c r="P1589" s="9" t="str" cm="1">
        <f t="array" aca="1" ref="P1589" ca="1">IF(INDIRECT(M1589) = "","",INDIRECT(M1589))</f>
        <v/>
      </c>
      <c r="Q1589" s="359" t="s">
        <v>4381</v>
      </c>
    </row>
    <row r="1590" spans="1:17" x14ac:dyDescent="0.35">
      <c r="A1590" t="s">
        <v>2348</v>
      </c>
      <c r="B1590" t="s">
        <v>2290</v>
      </c>
      <c r="C1590" t="s">
        <v>405</v>
      </c>
      <c r="E1590" t="str">
        <f>_xlfn.XLOOKUP(F1590,'Raw Data'!$I$4:$I$5000,'Raw Data'!$D$4:$D$5000,"*** Mnemonic not found ***",0)</f>
        <v>*** Mnemonic not found ***</v>
      </c>
      <c r="F1590" t="str">
        <f t="shared" si="383"/>
        <v>SUCMPROPORESRSK_US_PLO_</v>
      </c>
      <c r="H1590" s="9" t="s">
        <v>1137</v>
      </c>
      <c r="K1590" s="9">
        <f t="shared" si="391"/>
        <v>595</v>
      </c>
      <c r="L1590" s="9" t="str">
        <f t="shared" si="392"/>
        <v>F</v>
      </c>
      <c r="M1590" s="9" t="str">
        <f t="shared" si="380"/>
        <v>Input!F595</v>
      </c>
      <c r="N1590" s="9">
        <f>_xlfn.XLOOKUP(F1590,'Raw Data'!$I$4:$I$5000,'Raw Data'!$E$4:$E$5000,100,0)</f>
        <v>100</v>
      </c>
      <c r="O1590" s="9" t="str">
        <f>IF(N1590=0,_xlfn.XLOOKUP(F1590,'Raw Data'!$I$4:$I$5000,'Raw Data'!$H$4:$H$5000,"",0),"")</f>
        <v/>
      </c>
      <c r="P1590" s="9" t="str" cm="1">
        <f t="array" aca="1" ref="P1590" ca="1">IF(INDIRECT(M1590) = "","",INDIRECT(M1590))</f>
        <v/>
      </c>
      <c r="Q1590" s="359" t="s">
        <v>4381</v>
      </c>
    </row>
    <row r="1591" spans="1:17" x14ac:dyDescent="0.35">
      <c r="A1591" t="s">
        <v>2348</v>
      </c>
      <c r="B1591" t="s">
        <v>2272</v>
      </c>
      <c r="C1591" t="s">
        <v>979</v>
      </c>
      <c r="E1591" t="str">
        <f>_xlfn.XLOOKUP(F1591,'Raw Data'!$I$4:$I$5000,'Raw Data'!$D$4:$D$5000,"*** Mnemonic not found ***",0)</f>
        <v>*** Mnemonic not found ***</v>
      </c>
      <c r="F1591" t="str">
        <f t="shared" si="383"/>
        <v>SUCMPROPORESRSK_US_WCP_</v>
      </c>
      <c r="H1591" s="9" t="s">
        <v>1137</v>
      </c>
      <c r="K1591" s="9">
        <f t="shared" si="391"/>
        <v>596</v>
      </c>
      <c r="L1591" s="9" t="str">
        <f t="shared" si="392"/>
        <v>F</v>
      </c>
      <c r="M1591" s="9" t="str">
        <f t="shared" si="380"/>
        <v>Input!F596</v>
      </c>
      <c r="N1591" s="9">
        <f>_xlfn.XLOOKUP(F1591,'Raw Data'!$I$4:$I$5000,'Raw Data'!$E$4:$E$5000,100,0)</f>
        <v>100</v>
      </c>
      <c r="O1591" s="9" t="str">
        <f>IF(N1591=0,_xlfn.XLOOKUP(F1591,'Raw Data'!$I$4:$I$5000,'Raw Data'!$H$4:$H$5000,"",0),"")</f>
        <v/>
      </c>
      <c r="P1591" s="9" t="str" cm="1">
        <f t="array" aca="1" ref="P1591" ca="1">IF(INDIRECT(M1591) = "","",INDIRECT(M1591))</f>
        <v/>
      </c>
      <c r="Q1591" s="359" t="s">
        <v>4381</v>
      </c>
    </row>
    <row r="1592" spans="1:17" x14ac:dyDescent="0.35">
      <c r="A1592" t="s">
        <v>2348</v>
      </c>
      <c r="B1592" t="s">
        <v>2291</v>
      </c>
      <c r="C1592" t="s">
        <v>989</v>
      </c>
      <c r="E1592" t="str">
        <f>_xlfn.XLOOKUP(F1592,'Raw Data'!$I$4:$I$5000,'Raw Data'!$D$4:$D$5000,"*** Mnemonic not found ***",0)</f>
        <v>*** Mnemonic not found ***</v>
      </c>
      <c r="F1592" t="str">
        <f t="shared" si="383"/>
        <v>SUCMPROPORESRSK_US_BLM_</v>
      </c>
      <c r="H1592" s="9" t="s">
        <v>1137</v>
      </c>
      <c r="K1592" s="9">
        <f t="shared" si="391"/>
        <v>597</v>
      </c>
      <c r="L1592" s="9" t="str">
        <f t="shared" si="392"/>
        <v>F</v>
      </c>
      <c r="M1592" s="9" t="str">
        <f t="shared" si="380"/>
        <v>Input!F597</v>
      </c>
      <c r="N1592" s="9">
        <f>_xlfn.XLOOKUP(F1592,'Raw Data'!$I$4:$I$5000,'Raw Data'!$E$4:$E$5000,100,0)</f>
        <v>100</v>
      </c>
      <c r="O1592" s="9" t="str">
        <f>IF(N1592=0,_xlfn.XLOOKUP(F1592,'Raw Data'!$I$4:$I$5000,'Raw Data'!$H$4:$H$5000,"",0),"")</f>
        <v/>
      </c>
      <c r="P1592" s="9" t="str" cm="1">
        <f t="array" aca="1" ref="P1592" ca="1">IF(INDIRECT(M1592) = "","",INDIRECT(M1592))</f>
        <v/>
      </c>
      <c r="Q1592" s="359" t="s">
        <v>4381</v>
      </c>
    </row>
    <row r="1593" spans="1:17" x14ac:dyDescent="0.35">
      <c r="A1593" t="s">
        <v>2348</v>
      </c>
      <c r="B1593" t="s">
        <v>2292</v>
      </c>
      <c r="C1593" t="s">
        <v>378</v>
      </c>
      <c r="E1593" t="str">
        <f>_xlfn.XLOOKUP(F1593,'Raw Data'!$I$4:$I$5000,'Raw Data'!$D$4:$D$5000,"*** Mnemonic not found ***",0)</f>
        <v>*** Mnemonic not found ***</v>
      </c>
      <c r="F1593" t="str">
        <f t="shared" si="383"/>
        <v>SUCMPROPORESRSK_US_CMP_</v>
      </c>
      <c r="H1593" s="9" t="s">
        <v>1137</v>
      </c>
      <c r="K1593" s="9">
        <f t="shared" si="391"/>
        <v>598</v>
      </c>
      <c r="L1593" s="9" t="str">
        <f t="shared" si="392"/>
        <v>F</v>
      </c>
      <c r="M1593" s="9" t="str">
        <f t="shared" si="380"/>
        <v>Input!F598</v>
      </c>
      <c r="N1593" s="9">
        <f>_xlfn.XLOOKUP(F1593,'Raw Data'!$I$4:$I$5000,'Raw Data'!$E$4:$E$5000,100,0)</f>
        <v>100</v>
      </c>
      <c r="O1593" s="9" t="str">
        <f>IF(N1593=0,_xlfn.XLOOKUP(F1593,'Raw Data'!$I$4:$I$5000,'Raw Data'!$H$4:$H$5000,"",0),"")</f>
        <v/>
      </c>
      <c r="P1593" s="9" t="str" cm="1">
        <f t="array" aca="1" ref="P1593" ca="1">IF(INDIRECT(M1593) = "","",INDIRECT(M1593))</f>
        <v/>
      </c>
      <c r="Q1593" s="359" t="s">
        <v>4381</v>
      </c>
    </row>
    <row r="1594" spans="1:17" x14ac:dyDescent="0.35">
      <c r="A1594" t="s">
        <v>2348</v>
      </c>
      <c r="B1594" t="s">
        <v>2293</v>
      </c>
      <c r="C1594" t="s">
        <v>961</v>
      </c>
      <c r="E1594" t="str">
        <f>_xlfn.XLOOKUP(F1594,'Raw Data'!$I$4:$I$5000,'Raw Data'!$D$4:$D$5000,"*** Mnemonic not found ***",0)</f>
        <v>*** Mnemonic not found ***</v>
      </c>
      <c r="F1594" t="str">
        <f t="shared" si="383"/>
        <v>SUCMPROPORESRSK_US_HFM_</v>
      </c>
      <c r="H1594" s="9" t="s">
        <v>1137</v>
      </c>
      <c r="K1594" s="9">
        <f t="shared" si="391"/>
        <v>599</v>
      </c>
      <c r="L1594" s="9" t="str">
        <f t="shared" si="392"/>
        <v>F</v>
      </c>
      <c r="M1594" s="9" t="str">
        <f t="shared" si="380"/>
        <v>Input!F599</v>
      </c>
      <c r="N1594" s="9">
        <f>_xlfn.XLOOKUP(F1594,'Raw Data'!$I$4:$I$5000,'Raw Data'!$E$4:$E$5000,100,0)</f>
        <v>100</v>
      </c>
      <c r="O1594" s="9" t="str">
        <f>IF(N1594=0,_xlfn.XLOOKUP(F1594,'Raw Data'!$I$4:$I$5000,'Raw Data'!$H$4:$H$5000,"",0),"")</f>
        <v/>
      </c>
      <c r="P1594" s="9" t="str" cm="1">
        <f t="array" aca="1" ref="P1594" ca="1">IF(INDIRECT(M1594) = "","",INDIRECT(M1594))</f>
        <v/>
      </c>
      <c r="Q1594" s="359" t="s">
        <v>4381</v>
      </c>
    </row>
    <row r="1595" spans="1:17" x14ac:dyDescent="0.35">
      <c r="A1595" t="s">
        <v>2348</v>
      </c>
      <c r="B1595" t="s">
        <v>2294</v>
      </c>
      <c r="C1595" t="s">
        <v>4143</v>
      </c>
      <c r="E1595" t="str">
        <f>_xlfn.XLOOKUP(F1595,'Raw Data'!$I$4:$I$5000,'Raw Data'!$D$4:$D$5000,"*** Mnemonic not found ***",0)</f>
        <v>*** Mnemonic not found ***</v>
      </c>
      <c r="F1595" t="str">
        <f t="shared" si="383"/>
        <v>SUCMPROPORESRSK_US_SPP_</v>
      </c>
      <c r="H1595" s="9" t="s">
        <v>1137</v>
      </c>
      <c r="K1595" s="9">
        <f t="shared" si="391"/>
        <v>600</v>
      </c>
      <c r="L1595" s="9" t="str">
        <f t="shared" si="392"/>
        <v>F</v>
      </c>
      <c r="M1595" s="9" t="str">
        <f t="shared" si="380"/>
        <v>Input!F600</v>
      </c>
      <c r="N1595" s="9">
        <f>_xlfn.XLOOKUP(F1595,'Raw Data'!$I$4:$I$5000,'Raw Data'!$E$4:$E$5000,100,0)</f>
        <v>100</v>
      </c>
      <c r="O1595" s="9" t="str">
        <f>IF(N1595=0,_xlfn.XLOOKUP(F1595,'Raw Data'!$I$4:$I$5000,'Raw Data'!$H$4:$H$5000,"",0),"")</f>
        <v/>
      </c>
      <c r="P1595" s="9" t="str" cm="1">
        <f t="array" aca="1" ref="P1595" ca="1">IF(INDIRECT(M1595) = "","",INDIRECT(M1595))</f>
        <v/>
      </c>
      <c r="Q1595" s="359" t="s">
        <v>4381</v>
      </c>
    </row>
    <row r="1596" spans="1:17" x14ac:dyDescent="0.35">
      <c r="A1596" t="s">
        <v>2348</v>
      </c>
      <c r="B1596" t="s">
        <v>2295</v>
      </c>
      <c r="C1596" t="s">
        <v>990</v>
      </c>
      <c r="E1596" t="str">
        <f>_xlfn.XLOOKUP(F1596,'Raw Data'!$I$4:$I$5000,'Raw Data'!$D$4:$D$5000,"*** Mnemonic not found ***",0)</f>
        <v>*** Mnemonic not found ***</v>
      </c>
      <c r="F1596" t="str">
        <f t="shared" si="383"/>
        <v>SUCMPROPORESRSK_US_APB_</v>
      </c>
      <c r="H1596" s="9" t="s">
        <v>1137</v>
      </c>
      <c r="K1596" s="9">
        <f t="shared" si="391"/>
        <v>601</v>
      </c>
      <c r="L1596" s="9" t="str">
        <f t="shared" si="392"/>
        <v>F</v>
      </c>
      <c r="M1596" s="9" t="str">
        <f t="shared" si="380"/>
        <v>Input!F601</v>
      </c>
      <c r="N1596" s="9">
        <f>_xlfn.XLOOKUP(F1596,'Raw Data'!$I$4:$I$5000,'Raw Data'!$E$4:$E$5000,100,0)</f>
        <v>100</v>
      </c>
      <c r="O1596" s="9" t="str">
        <f>IF(N1596=0,_xlfn.XLOOKUP(F1596,'Raw Data'!$I$4:$I$5000,'Raw Data'!$H$4:$H$5000,"",0),"")</f>
        <v/>
      </c>
      <c r="P1596" s="9" t="str" cm="1">
        <f t="array" aca="1" ref="P1596" ca="1">IF(INDIRECT(M1596) = "","",INDIRECT(M1596))</f>
        <v/>
      </c>
      <c r="Q1596" s="359" t="s">
        <v>4381</v>
      </c>
    </row>
    <row r="1597" spans="1:17" x14ac:dyDescent="0.35">
      <c r="A1597" t="s">
        <v>2348</v>
      </c>
      <c r="B1597" t="s">
        <v>2296</v>
      </c>
      <c r="C1597" t="s">
        <v>400</v>
      </c>
      <c r="E1597" t="str">
        <f>_xlfn.XLOOKUP(F1597,'Raw Data'!$I$4:$I$5000,'Raw Data'!$D$4:$D$5000,"*** Mnemonic not found ***",0)</f>
        <v>*** Mnemonic not found ***</v>
      </c>
      <c r="F1597" t="str">
        <f t="shared" si="383"/>
        <v>SUCMPROPORESRSK_US_CAL_</v>
      </c>
      <c r="H1597" s="9" t="s">
        <v>1137</v>
      </c>
      <c r="K1597" s="9">
        <f t="shared" si="391"/>
        <v>602</v>
      </c>
      <c r="L1597" s="9" t="str">
        <f t="shared" si="392"/>
        <v>F</v>
      </c>
      <c r="M1597" s="9" t="str">
        <f t="shared" si="380"/>
        <v>Input!F602</v>
      </c>
      <c r="N1597" s="9">
        <f>_xlfn.XLOOKUP(F1597,'Raw Data'!$I$4:$I$5000,'Raw Data'!$E$4:$E$5000,100,0)</f>
        <v>100</v>
      </c>
      <c r="O1597" s="9" t="str">
        <f>IF(N1597=0,_xlfn.XLOOKUP(F1597,'Raw Data'!$I$4:$I$5000,'Raw Data'!$H$4:$H$5000,"",0),"")</f>
        <v/>
      </c>
      <c r="P1597" s="9" t="str" cm="1">
        <f t="array" aca="1" ref="P1597" ca="1">IF(INDIRECT(M1597) = "","",INDIRECT(M1597))</f>
        <v/>
      </c>
      <c r="Q1597" s="359" t="s">
        <v>4381</v>
      </c>
    </row>
    <row r="1598" spans="1:17" x14ac:dyDescent="0.35">
      <c r="A1598" t="s">
        <v>2348</v>
      </c>
      <c r="B1598" t="s">
        <v>2297</v>
      </c>
      <c r="C1598" t="s">
        <v>991</v>
      </c>
      <c r="E1598" t="str">
        <f>_xlfn.XLOOKUP(F1598,'Raw Data'!$I$4:$I$5000,'Raw Data'!$D$4:$D$5000,"*** Mnemonic not found ***",0)</f>
        <v>*** Mnemonic not found ***</v>
      </c>
      <c r="F1598" t="str">
        <f t="shared" si="383"/>
        <v>SUCMPROPORESRSK_US_PPA_</v>
      </c>
      <c r="H1598" s="9" t="s">
        <v>1137</v>
      </c>
      <c r="K1598" s="9">
        <f t="shared" si="391"/>
        <v>603</v>
      </c>
      <c r="L1598" s="9" t="str">
        <f t="shared" si="392"/>
        <v>F</v>
      </c>
      <c r="M1598" s="9" t="str">
        <f t="shared" si="380"/>
        <v>Input!F603</v>
      </c>
      <c r="N1598" s="9">
        <f>_xlfn.XLOOKUP(F1598,'Raw Data'!$I$4:$I$5000,'Raw Data'!$E$4:$E$5000,100,0)</f>
        <v>100</v>
      </c>
      <c r="O1598" s="9" t="str">
        <f>IF(N1598=0,_xlfn.XLOOKUP(F1598,'Raw Data'!$I$4:$I$5000,'Raw Data'!$H$4:$H$5000,"",0),"")</f>
        <v/>
      </c>
      <c r="P1598" s="9" t="str" cm="1">
        <f t="array" aca="1" ref="P1598" ca="1">IF(INDIRECT(M1598) = "","",INDIRECT(M1598))</f>
        <v/>
      </c>
      <c r="Q1598" s="359" t="s">
        <v>4381</v>
      </c>
    </row>
    <row r="1599" spans="1:17" x14ac:dyDescent="0.35">
      <c r="A1599" t="s">
        <v>2348</v>
      </c>
      <c r="B1599" t="s">
        <v>2298</v>
      </c>
      <c r="C1599" t="s">
        <v>374</v>
      </c>
      <c r="E1599" t="str">
        <f>_xlfn.XLOOKUP(F1599,'Raw Data'!$I$4:$I$5000,'Raw Data'!$D$4:$D$5000,"*** Mnemonic not found ***",0)</f>
        <v>*** Mnemonic not found ***</v>
      </c>
      <c r="F1599" t="str">
        <f t="shared" si="383"/>
        <v>SUCMPROPORESRSK_US_CRD_</v>
      </c>
      <c r="H1599" s="9" t="s">
        <v>1137</v>
      </c>
      <c r="K1599" s="9">
        <f t="shared" si="391"/>
        <v>604</v>
      </c>
      <c r="L1599" s="9" t="str">
        <f t="shared" si="392"/>
        <v>F</v>
      </c>
      <c r="M1599" s="9" t="str">
        <f t="shared" si="380"/>
        <v>Input!F604</v>
      </c>
      <c r="N1599" s="9">
        <f>_xlfn.XLOOKUP(F1599,'Raw Data'!$I$4:$I$5000,'Raw Data'!$E$4:$E$5000,100,0)</f>
        <v>100</v>
      </c>
      <c r="O1599" s="9" t="str">
        <f>IF(N1599=0,_xlfn.XLOOKUP(F1599,'Raw Data'!$I$4:$I$5000,'Raw Data'!$H$4:$H$5000,"",0),"")</f>
        <v/>
      </c>
      <c r="P1599" s="9" t="str" cm="1">
        <f t="array" aca="1" ref="P1599" ca="1">IF(INDIRECT(M1599) = "","",INDIRECT(M1599))</f>
        <v/>
      </c>
      <c r="Q1599" s="359" t="s">
        <v>4381</v>
      </c>
    </row>
    <row r="1600" spans="1:17" x14ac:dyDescent="0.35">
      <c r="A1600" t="s">
        <v>2348</v>
      </c>
      <c r="B1600" t="s">
        <v>2299</v>
      </c>
      <c r="C1600" t="s">
        <v>399</v>
      </c>
      <c r="E1600" t="str">
        <f>_xlfn.XLOOKUP(F1600,'Raw Data'!$I$4:$I$5000,'Raw Data'!$D$4:$D$5000,"*** Mnemonic not found ***",0)</f>
        <v>*** Mnemonic not found ***</v>
      </c>
      <c r="F1600" t="str">
        <f t="shared" si="383"/>
        <v>SUCMPROPORESRSK_US_FIDSUR_</v>
      </c>
      <c r="H1600" s="9" t="s">
        <v>1137</v>
      </c>
      <c r="K1600" s="9">
        <f t="shared" si="391"/>
        <v>605</v>
      </c>
      <c r="L1600" s="9" t="str">
        <f t="shared" si="392"/>
        <v>F</v>
      </c>
      <c r="M1600" s="9" t="str">
        <f t="shared" si="380"/>
        <v>Input!F605</v>
      </c>
      <c r="N1600" s="9">
        <f>_xlfn.XLOOKUP(F1600,'Raw Data'!$I$4:$I$5000,'Raw Data'!$E$4:$E$5000,100,0)</f>
        <v>100</v>
      </c>
      <c r="O1600" s="9" t="str">
        <f>IF(N1600=0,_xlfn.XLOOKUP(F1600,'Raw Data'!$I$4:$I$5000,'Raw Data'!$H$4:$H$5000,"",0),"")</f>
        <v/>
      </c>
      <c r="P1600" s="9" t="str" cm="1">
        <f t="array" aca="1" ref="P1600" ca="1">IF(INDIRECT(M1600) = "","",INDIRECT(M1600))</f>
        <v/>
      </c>
      <c r="Q1600" s="359" t="s">
        <v>4381</v>
      </c>
    </row>
    <row r="1601" spans="1:17" x14ac:dyDescent="0.35">
      <c r="A1601" t="s">
        <v>2348</v>
      </c>
      <c r="B1601" t="s">
        <v>2300</v>
      </c>
      <c r="C1601" t="s">
        <v>1020</v>
      </c>
      <c r="E1601" t="str">
        <f>_xlfn.XLOOKUP(F1601,'Raw Data'!$I$4:$I$5000,'Raw Data'!$D$4:$D$5000,"*** Mnemonic not found ***",0)</f>
        <v>*** Mnemonic not found ***</v>
      </c>
      <c r="F1601" t="str">
        <f t="shared" si="383"/>
        <v>SUCMPROPORESRSK_US_FIG_</v>
      </c>
      <c r="H1601" s="9" t="s">
        <v>1137</v>
      </c>
      <c r="K1601" s="9">
        <f t="shared" si="391"/>
        <v>606</v>
      </c>
      <c r="L1601" s="9" t="str">
        <f t="shared" si="392"/>
        <v>F</v>
      </c>
      <c r="M1601" s="9" t="str">
        <f t="shared" si="380"/>
        <v>Input!F606</v>
      </c>
      <c r="N1601" s="9">
        <f>_xlfn.XLOOKUP(F1601,'Raw Data'!$I$4:$I$5000,'Raw Data'!$E$4:$E$5000,100,0)</f>
        <v>100</v>
      </c>
      <c r="O1601" s="9" t="str">
        <f>IF(N1601=0,_xlfn.XLOOKUP(F1601,'Raw Data'!$I$4:$I$5000,'Raw Data'!$H$4:$H$5000,"",0),"")</f>
        <v/>
      </c>
      <c r="P1601" s="9" t="str" cm="1">
        <f t="array" aca="1" ref="P1601" ca="1">IF(INDIRECT(M1601) = "","",INDIRECT(M1601))</f>
        <v/>
      </c>
      <c r="Q1601" s="359" t="s">
        <v>4381</v>
      </c>
    </row>
    <row r="1602" spans="1:17" x14ac:dyDescent="0.35">
      <c r="A1602" t="s">
        <v>2348</v>
      </c>
      <c r="B1602" t="s">
        <v>2303</v>
      </c>
      <c r="C1602" t="s">
        <v>994</v>
      </c>
      <c r="E1602" t="str">
        <f>_xlfn.XLOOKUP(F1602,'Raw Data'!$I$4:$I$5000,'Raw Data'!$D$4:$D$5000,"*** Mnemonic not found ***",0)</f>
        <v>*** Mnemonic not found ***</v>
      </c>
      <c r="F1602" t="str">
        <f t="shared" si="383"/>
        <v>SUCMPROPORESRSK_US_AAH_</v>
      </c>
      <c r="H1602" s="9" t="s">
        <v>1137</v>
      </c>
      <c r="K1602" s="9">
        <f t="shared" si="391"/>
        <v>607</v>
      </c>
      <c r="L1602" s="9" t="str">
        <f t="shared" si="392"/>
        <v>F</v>
      </c>
      <c r="M1602" s="9" t="str">
        <f t="shared" si="380"/>
        <v>Input!F607</v>
      </c>
      <c r="N1602" s="9">
        <f>_xlfn.XLOOKUP(F1602,'Raw Data'!$I$4:$I$5000,'Raw Data'!$E$4:$E$5000,100,0)</f>
        <v>100</v>
      </c>
      <c r="O1602" s="9" t="str">
        <f>IF(N1602=0,_xlfn.XLOOKUP(F1602,'Raw Data'!$I$4:$I$5000,'Raw Data'!$H$4:$H$5000,"",0),"")</f>
        <v/>
      </c>
      <c r="P1602" s="9" t="str" cm="1">
        <f t="array" aca="1" ref="P1602" ca="1">IF(INDIRECT(M1602) = "","",INDIRECT(M1602))</f>
        <v/>
      </c>
      <c r="Q1602" s="359" t="s">
        <v>4381</v>
      </c>
    </row>
    <row r="1603" spans="1:17" x14ac:dyDescent="0.35">
      <c r="A1603" t="s">
        <v>2348</v>
      </c>
      <c r="B1603" t="s">
        <v>2345</v>
      </c>
      <c r="C1603" t="s">
        <v>1021</v>
      </c>
      <c r="E1603" t="str">
        <f>_xlfn.XLOOKUP(F1603,'Raw Data'!$I$4:$I$5000,'Raw Data'!$D$4:$D$5000,"*** Mnemonic not found ***",0)</f>
        <v>*** Mnemonic not found ***</v>
      </c>
      <c r="F1603" t="str">
        <f t="shared" si="383"/>
        <v>SUCMPROPORESRSK_US_USHRES_</v>
      </c>
      <c r="H1603" s="9" t="s">
        <v>1137</v>
      </c>
      <c r="K1603" s="9">
        <f t="shared" si="391"/>
        <v>608</v>
      </c>
      <c r="L1603" s="9" t="str">
        <f t="shared" si="392"/>
        <v>F</v>
      </c>
      <c r="M1603" s="9" t="str">
        <f t="shared" si="380"/>
        <v>Input!F608</v>
      </c>
      <c r="N1603" s="9">
        <f>_xlfn.XLOOKUP(F1603,'Raw Data'!$I$4:$I$5000,'Raw Data'!$E$4:$E$5000,100,0)</f>
        <v>100</v>
      </c>
      <c r="O1603" s="9" t="str">
        <f>IF(N1603=0,_xlfn.XLOOKUP(F1603,'Raw Data'!$I$4:$I$5000,'Raw Data'!$H$4:$H$5000,"",0),"")</f>
        <v/>
      </c>
      <c r="P1603" s="9" t="str" cm="1">
        <f t="array" aca="1" ref="P1603" ca="1">IF(INDIRECT(M1603) = "","",INDIRECT(M1603))</f>
        <v/>
      </c>
      <c r="Q1603" s="359" t="s">
        <v>4381</v>
      </c>
    </row>
    <row r="1604" spans="1:17" x14ac:dyDescent="0.35">
      <c r="A1604" t="s">
        <v>2348</v>
      </c>
      <c r="B1604" t="s">
        <v>2315</v>
      </c>
      <c r="C1604" t="s">
        <v>377</v>
      </c>
      <c r="E1604" t="str">
        <f>_xlfn.XLOOKUP(F1604,'Raw Data'!$I$4:$I$5000,'Raw Data'!$D$4:$D$5000,"*** Mnemonic not found ***",0)</f>
        <v>*** Mnemonic not found ***</v>
      </c>
      <c r="F1604" t="str">
        <f t="shared" si="383"/>
        <v>SUCMPROPORESRSK_US_AIR_</v>
      </c>
      <c r="H1604" s="9" t="s">
        <v>1137</v>
      </c>
      <c r="K1604" s="9">
        <f t="shared" si="391"/>
        <v>609</v>
      </c>
      <c r="L1604" s="9" t="str">
        <f t="shared" si="392"/>
        <v>F</v>
      </c>
      <c r="M1604" s="9" t="str">
        <f t="shared" ref="M1604:M1669" si="393">CONCATENATE(H1604,"!",L1604,K1604)</f>
        <v>Input!F609</v>
      </c>
      <c r="N1604" s="9">
        <f>_xlfn.XLOOKUP(F1604,'Raw Data'!$I$4:$I$5000,'Raw Data'!$E$4:$E$5000,100,0)</f>
        <v>100</v>
      </c>
      <c r="O1604" s="9" t="str">
        <f>IF(N1604=0,_xlfn.XLOOKUP(F1604,'Raw Data'!$I$4:$I$5000,'Raw Data'!$H$4:$H$5000,"",0),"")</f>
        <v/>
      </c>
      <c r="P1604" s="9" t="str" cm="1">
        <f t="array" aca="1" ref="P1604" ca="1">IF(INDIRECT(M1604) = "","",INDIRECT(M1604))</f>
        <v/>
      </c>
      <c r="Q1604" s="359" t="s">
        <v>4381</v>
      </c>
    </row>
    <row r="1605" spans="1:17" x14ac:dyDescent="0.35">
      <c r="A1605" s="694" t="s">
        <v>2348</v>
      </c>
      <c r="B1605" s="694" t="s">
        <v>4308</v>
      </c>
      <c r="C1605" s="694" t="s">
        <v>4130</v>
      </c>
      <c r="E1605" t="str">
        <f>_xlfn.XLOOKUP(F1605,'Raw Data'!$I$4:$I$5000,'Raw Data'!$D$4:$D$5000,"*** Mnemonic not found ***",0)</f>
        <v>*** Mnemonic not found ***</v>
      </c>
      <c r="F1605" t="str">
        <f t="shared" si="383"/>
        <v>SUCMPROPORESRSK_US_MPIN_</v>
      </c>
      <c r="H1605" s="9" t="s">
        <v>1137</v>
      </c>
      <c r="K1605" s="9">
        <f t="shared" si="391"/>
        <v>610</v>
      </c>
      <c r="L1605" s="9" t="str">
        <f t="shared" si="392"/>
        <v>F</v>
      </c>
      <c r="M1605" s="9" t="str">
        <f t="shared" si="393"/>
        <v>Input!F610</v>
      </c>
      <c r="N1605" s="9">
        <f>_xlfn.XLOOKUP(F1605,'Raw Data'!$I$4:$I$5000,'Raw Data'!$E$4:$E$5000,100,0)</f>
        <v>100</v>
      </c>
      <c r="O1605" s="9" t="str">
        <f>IF(N1605=0,_xlfn.XLOOKUP(F1605,'Raw Data'!$I$4:$I$5000,'Raw Data'!$H$4:$H$5000,"",0),"")</f>
        <v/>
      </c>
      <c r="P1605" s="9" t="str" cm="1">
        <f t="array" aca="1" ref="P1605" ca="1">IF(INDIRECT(M1605) = "","",INDIRECT(M1605))</f>
        <v/>
      </c>
      <c r="Q1605" s="359" t="s">
        <v>4381</v>
      </c>
    </row>
    <row r="1606" spans="1:17" x14ac:dyDescent="0.35">
      <c r="A1606" t="s">
        <v>2348</v>
      </c>
      <c r="B1606" t="s">
        <v>2316</v>
      </c>
      <c r="C1606" t="s">
        <v>996</v>
      </c>
      <c r="E1606" t="str">
        <f>_xlfn.XLOOKUP(F1606,'Raw Data'!$I$4:$I$5000,'Raw Data'!$D$4:$D$5000,"*** Mnemonic not found ***",0)</f>
        <v>*** Mnemonic not found ***</v>
      </c>
      <c r="F1606" t="str">
        <f t="shared" si="383"/>
        <v>SUCMPROPORESRSK_US_OCM_</v>
      </c>
      <c r="H1606" s="9" t="s">
        <v>1137</v>
      </c>
      <c r="K1606" s="9">
        <f t="shared" si="391"/>
        <v>611</v>
      </c>
      <c r="L1606" s="9" t="str">
        <f t="shared" si="392"/>
        <v>F</v>
      </c>
      <c r="M1606" s="9" t="str">
        <f t="shared" ref="M1606:M1609" si="394">CONCATENATE(H1606,"!",L1606,K1606)</f>
        <v>Input!F611</v>
      </c>
      <c r="N1606" s="9">
        <f>_xlfn.XLOOKUP(F1606,'Raw Data'!$I$4:$I$5000,'Raw Data'!$E$4:$E$5000,100,0)</f>
        <v>100</v>
      </c>
      <c r="O1606" s="9" t="str">
        <f>IF(N1606=0,_xlfn.XLOOKUP(F1606,'Raw Data'!$I$4:$I$5000,'Raw Data'!$H$4:$H$5000,"",0),"")</f>
        <v/>
      </c>
      <c r="P1606" s="9" t="str" cm="1">
        <f t="array" aca="1" ref="P1606" ca="1">IF(INDIRECT(M1606) = "","",INDIRECT(M1606))</f>
        <v/>
      </c>
      <c r="Q1606" s="359" t="s">
        <v>4381</v>
      </c>
    </row>
    <row r="1607" spans="1:17" x14ac:dyDescent="0.35">
      <c r="A1607" t="s">
        <v>2348</v>
      </c>
      <c r="B1607" t="s">
        <v>2301</v>
      </c>
      <c r="C1607" t="s">
        <v>385</v>
      </c>
      <c r="E1607" t="str">
        <f>_xlfn.XLOOKUP(F1607,'Raw Data'!$I$4:$I$5000,'Raw Data'!$D$4:$D$5000,"*** Mnemonic not found ***",0)</f>
        <v>*** Mnemonic not found ***</v>
      </c>
      <c r="F1607" t="str">
        <f t="shared" ref="F1607:F1670" si="395">CONCATENATE(A1607,"_",B1607,"_",D1607)</f>
        <v>SUCMPROPORESRSK_US_TITLE_</v>
      </c>
      <c r="H1607" s="9" t="s">
        <v>1137</v>
      </c>
      <c r="K1607" s="9">
        <f t="shared" si="391"/>
        <v>612</v>
      </c>
      <c r="L1607" s="9" t="str">
        <f t="shared" si="392"/>
        <v>F</v>
      </c>
      <c r="M1607" s="9" t="str">
        <f t="shared" si="394"/>
        <v>Input!F612</v>
      </c>
      <c r="N1607" s="9">
        <f>_xlfn.XLOOKUP(F1607,'Raw Data'!$I$4:$I$5000,'Raw Data'!$E$4:$E$5000,100,0)</f>
        <v>100</v>
      </c>
      <c r="O1607" s="9" t="str">
        <f>IF(N1607=0,_xlfn.XLOOKUP(F1607,'Raw Data'!$I$4:$I$5000,'Raw Data'!$H$4:$H$5000,"",0),"")</f>
        <v/>
      </c>
      <c r="P1607" s="9" t="str" cm="1">
        <f t="array" aca="1" ref="P1607" ca="1">IF(INDIRECT(M1607) = "","",INDIRECT(M1607))</f>
        <v/>
      </c>
      <c r="Q1607" s="359" t="s">
        <v>4381</v>
      </c>
    </row>
    <row r="1608" spans="1:17" x14ac:dyDescent="0.35">
      <c r="A1608" t="s">
        <v>2348</v>
      </c>
      <c r="B1608" t="s">
        <v>2317</v>
      </c>
      <c r="C1608" t="s">
        <v>380</v>
      </c>
      <c r="E1608" t="str">
        <f>_xlfn.XLOOKUP(F1608,'Raw Data'!$I$4:$I$5000,'Raw Data'!$D$4:$D$5000,"*** Mnemonic not found ***",0)</f>
        <v>*** Mnemonic not found ***</v>
      </c>
      <c r="F1608" t="str">
        <f t="shared" si="395"/>
        <v>SUCMPROPORESRSK_US_WAR_</v>
      </c>
      <c r="H1608" s="9" t="s">
        <v>1137</v>
      </c>
      <c r="K1608" s="9">
        <f t="shared" si="391"/>
        <v>613</v>
      </c>
      <c r="L1608" s="9" t="str">
        <f t="shared" si="392"/>
        <v>F</v>
      </c>
      <c r="M1608" s="9" t="str">
        <f t="shared" si="394"/>
        <v>Input!F613</v>
      </c>
      <c r="N1608" s="9">
        <f>_xlfn.XLOOKUP(F1608,'Raw Data'!$I$4:$I$5000,'Raw Data'!$E$4:$E$5000,100,0)</f>
        <v>100</v>
      </c>
      <c r="O1608" s="9" t="str">
        <f>IF(N1608=0,_xlfn.XLOOKUP(F1608,'Raw Data'!$I$4:$I$5000,'Raw Data'!$H$4:$H$5000,"",0),"")</f>
        <v/>
      </c>
      <c r="P1608" s="9" t="str" cm="1">
        <f t="array" aca="1" ref="P1608" ca="1">IF(INDIRECT(M1608) = "","",INDIRECT(M1608))</f>
        <v/>
      </c>
      <c r="Q1608" s="359" t="s">
        <v>4381</v>
      </c>
    </row>
    <row r="1609" spans="1:17" x14ac:dyDescent="0.35">
      <c r="A1609" t="s">
        <v>2348</v>
      </c>
      <c r="B1609" t="s">
        <v>2283</v>
      </c>
      <c r="C1609" t="s">
        <v>262</v>
      </c>
      <c r="E1609" t="str">
        <f>_xlfn.XLOOKUP(F1609,'Raw Data'!$I$4:$I$5000,'Raw Data'!$D$4:$D$5000,"*** Mnemonic not found ***",0)</f>
        <v>*** Mnemonic not found ***</v>
      </c>
      <c r="F1609" t="str">
        <f t="shared" si="395"/>
        <v>SUCMPROPORESRSK_US_OCAH_</v>
      </c>
      <c r="H1609" s="9" t="s">
        <v>1137</v>
      </c>
      <c r="K1609" s="9">
        <f t="shared" si="391"/>
        <v>614</v>
      </c>
      <c r="L1609" s="9" t="str">
        <f t="shared" si="392"/>
        <v>F</v>
      </c>
      <c r="M1609" s="9" t="str">
        <f t="shared" si="394"/>
        <v>Input!F614</v>
      </c>
      <c r="N1609" s="9">
        <f>_xlfn.XLOOKUP(F1609,'Raw Data'!$I$4:$I$5000,'Raw Data'!$E$4:$E$5000,100,0)</f>
        <v>100</v>
      </c>
      <c r="O1609" s="9" t="str">
        <f>IF(N1609=0,_xlfn.XLOOKUP(F1609,'Raw Data'!$I$4:$I$5000,'Raw Data'!$H$4:$H$5000,"",0),"")</f>
        <v/>
      </c>
      <c r="P1609" s="9" t="str" cm="1">
        <f t="array" aca="1" ref="P1609" ca="1">IF(INDIRECT(M1609) = "","",INDIRECT(M1609))</f>
        <v/>
      </c>
      <c r="Q1609" s="359" t="s">
        <v>4381</v>
      </c>
    </row>
    <row r="1610" spans="1:17" x14ac:dyDescent="0.35">
      <c r="A1610" t="s">
        <v>2349</v>
      </c>
      <c r="B1610" t="s">
        <v>2285</v>
      </c>
      <c r="C1610" t="s">
        <v>402</v>
      </c>
      <c r="E1610" t="str">
        <f>_xlfn.XLOOKUP(F1610,'Raw Data'!$I$4:$I$5000,'Raw Data'!$D$4:$D$5000,"*** Mnemonic not found ***",0)</f>
        <v>*** Mnemonic not found ***</v>
      </c>
      <c r="F1610" t="str">
        <f t="shared" si="395"/>
        <v>SUCMNOPROPORESRSK_US_MEC_</v>
      </c>
      <c r="H1610" s="9" t="s">
        <v>1137</v>
      </c>
      <c r="I1610" s="289">
        <f>ROW(section_non_life_resv)</f>
        <v>571</v>
      </c>
      <c r="J1610" s="9">
        <f>J1585</f>
        <v>19</v>
      </c>
      <c r="K1610" s="9">
        <f>I1610+J1610</f>
        <v>590</v>
      </c>
      <c r="L1610" s="9" t="s">
        <v>1145</v>
      </c>
      <c r="M1610" s="9" t="str">
        <f t="shared" si="393"/>
        <v>Input!G590</v>
      </c>
      <c r="N1610" s="9">
        <f>_xlfn.XLOOKUP(F1610,'Raw Data'!$I$4:$I$5000,'Raw Data'!$E$4:$E$5000,100,0)</f>
        <v>100</v>
      </c>
      <c r="O1610" s="9" t="str">
        <f>IF(N1610=0,_xlfn.XLOOKUP(F1610,'Raw Data'!$I$4:$I$5000,'Raw Data'!$H$4:$H$5000,"",0),"")</f>
        <v/>
      </c>
      <c r="P1610" s="9" t="str" cm="1">
        <f t="array" aca="1" ref="P1610" ca="1">IF(INDIRECT(M1610) = "","",INDIRECT(M1610))</f>
        <v/>
      </c>
      <c r="Q1610" s="359" t="s">
        <v>4381</v>
      </c>
    </row>
    <row r="1611" spans="1:17" x14ac:dyDescent="0.35">
      <c r="A1611" t="s">
        <v>2349</v>
      </c>
      <c r="B1611" t="s">
        <v>2286</v>
      </c>
      <c r="C1611" t="s">
        <v>401</v>
      </c>
      <c r="E1611" t="str">
        <f>_xlfn.XLOOKUP(F1611,'Raw Data'!$I$4:$I$5000,'Raw Data'!$D$4:$D$5000,"*** Mnemonic not found ***",0)</f>
        <v>*** Mnemonic not found ***</v>
      </c>
      <c r="F1611" t="str">
        <f t="shared" si="395"/>
        <v>SUCMNOPROPORESRSK_US_MEO_</v>
      </c>
      <c r="H1611" s="9" t="s">
        <v>1137</v>
      </c>
      <c r="K1611" s="9">
        <f>K1610+1</f>
        <v>591</v>
      </c>
      <c r="L1611" s="9" t="str">
        <f>L1610</f>
        <v>G</v>
      </c>
      <c r="M1611" s="9" t="str">
        <f t="shared" si="393"/>
        <v>Input!G591</v>
      </c>
      <c r="N1611" s="9">
        <f>_xlfn.XLOOKUP(F1611,'Raw Data'!$I$4:$I$5000,'Raw Data'!$E$4:$E$5000,100,0)</f>
        <v>100</v>
      </c>
      <c r="O1611" s="9" t="str">
        <f>IF(N1611=0,_xlfn.XLOOKUP(F1611,'Raw Data'!$I$4:$I$5000,'Raw Data'!$H$4:$H$5000,"",0),"")</f>
        <v/>
      </c>
      <c r="P1611" s="9" t="str" cm="1">
        <f t="array" aca="1" ref="P1611" ca="1">IF(INDIRECT(M1611) = "","",INDIRECT(M1611))</f>
        <v/>
      </c>
      <c r="Q1611" s="359" t="s">
        <v>4381</v>
      </c>
    </row>
    <row r="1612" spans="1:17" x14ac:dyDescent="0.35">
      <c r="A1612" t="s">
        <v>2349</v>
      </c>
      <c r="B1612" t="s">
        <v>2287</v>
      </c>
      <c r="C1612" t="s">
        <v>404</v>
      </c>
      <c r="E1612" t="str">
        <f>_xlfn.XLOOKUP(F1612,'Raw Data'!$I$4:$I$5000,'Raw Data'!$D$4:$D$5000,"*** Mnemonic not found ***",0)</f>
        <v>*** Mnemonic not found ***</v>
      </c>
      <c r="F1612" t="str">
        <f t="shared" si="395"/>
        <v>SUCMNOPROPORESRSK_US_OLC_</v>
      </c>
      <c r="H1612" s="9" t="s">
        <v>1137</v>
      </c>
      <c r="K1612" s="9">
        <f t="shared" ref="K1612:K1634" si="396">K1611+1</f>
        <v>592</v>
      </c>
      <c r="L1612" s="9" t="str">
        <f t="shared" ref="L1612:L1634" si="397">L1611</f>
        <v>G</v>
      </c>
      <c r="M1612" s="9" t="str">
        <f t="shared" si="393"/>
        <v>Input!G592</v>
      </c>
      <c r="N1612" s="9">
        <f>_xlfn.XLOOKUP(F1612,'Raw Data'!$I$4:$I$5000,'Raw Data'!$E$4:$E$5000,100,0)</f>
        <v>100</v>
      </c>
      <c r="O1612" s="9" t="str">
        <f>IF(N1612=0,_xlfn.XLOOKUP(F1612,'Raw Data'!$I$4:$I$5000,'Raw Data'!$H$4:$H$5000,"",0),"")</f>
        <v/>
      </c>
      <c r="P1612" s="9" t="str" cm="1">
        <f t="array" aca="1" ref="P1612" ca="1">IF(INDIRECT(M1612) = "","",INDIRECT(M1612))</f>
        <v/>
      </c>
      <c r="Q1612" s="359" t="s">
        <v>4381</v>
      </c>
    </row>
    <row r="1613" spans="1:17" x14ac:dyDescent="0.35">
      <c r="A1613" t="s">
        <v>2349</v>
      </c>
      <c r="B1613" t="s">
        <v>2288</v>
      </c>
      <c r="C1613" t="s">
        <v>403</v>
      </c>
      <c r="E1613" t="str">
        <f>_xlfn.XLOOKUP(F1613,'Raw Data'!$I$4:$I$5000,'Raw Data'!$D$4:$D$5000,"*** Mnemonic not found ***",0)</f>
        <v>*** Mnemonic not found ***</v>
      </c>
      <c r="F1613" t="str">
        <f t="shared" si="395"/>
        <v>SUCMNOPROPORESRSK_US_OLO_</v>
      </c>
      <c r="H1613" s="9" t="s">
        <v>1137</v>
      </c>
      <c r="K1613" s="9">
        <f t="shared" si="396"/>
        <v>593</v>
      </c>
      <c r="L1613" s="9" t="str">
        <f t="shared" si="397"/>
        <v>G</v>
      </c>
      <c r="M1613" s="9" t="str">
        <f t="shared" si="393"/>
        <v>Input!G593</v>
      </c>
      <c r="N1613" s="9">
        <f>_xlfn.XLOOKUP(F1613,'Raw Data'!$I$4:$I$5000,'Raw Data'!$E$4:$E$5000,100,0)</f>
        <v>100</v>
      </c>
      <c r="O1613" s="9" t="str">
        <f>IF(N1613=0,_xlfn.XLOOKUP(F1613,'Raw Data'!$I$4:$I$5000,'Raw Data'!$H$4:$H$5000,"",0),"")</f>
        <v/>
      </c>
      <c r="P1613" s="9" t="str" cm="1">
        <f t="array" aca="1" ref="P1613" ca="1">IF(INDIRECT(M1613) = "","",INDIRECT(M1613))</f>
        <v/>
      </c>
      <c r="Q1613" s="359" t="s">
        <v>4381</v>
      </c>
    </row>
    <row r="1614" spans="1:17" x14ac:dyDescent="0.35">
      <c r="A1614" t="s">
        <v>2349</v>
      </c>
      <c r="B1614" t="s">
        <v>2289</v>
      </c>
      <c r="C1614" t="s">
        <v>406</v>
      </c>
      <c r="E1614" t="str">
        <f>_xlfn.XLOOKUP(F1614,'Raw Data'!$I$4:$I$5000,'Raw Data'!$D$4:$D$5000,"*** Mnemonic not found ***",0)</f>
        <v>*** Mnemonic not found ***</v>
      </c>
      <c r="F1614" t="str">
        <f t="shared" si="395"/>
        <v>SUCMNOPROPORESRSK_US_PLC_</v>
      </c>
      <c r="H1614" s="9" t="s">
        <v>1137</v>
      </c>
      <c r="K1614" s="9">
        <f t="shared" si="396"/>
        <v>594</v>
      </c>
      <c r="L1614" s="9" t="str">
        <f t="shared" si="397"/>
        <v>G</v>
      </c>
      <c r="M1614" s="9" t="str">
        <f t="shared" si="393"/>
        <v>Input!G594</v>
      </c>
      <c r="N1614" s="9">
        <f>_xlfn.XLOOKUP(F1614,'Raw Data'!$I$4:$I$5000,'Raw Data'!$E$4:$E$5000,100,0)</f>
        <v>100</v>
      </c>
      <c r="O1614" s="9" t="str">
        <f>IF(N1614=0,_xlfn.XLOOKUP(F1614,'Raw Data'!$I$4:$I$5000,'Raw Data'!$H$4:$H$5000,"",0),"")</f>
        <v/>
      </c>
      <c r="P1614" s="9" t="str" cm="1">
        <f t="array" aca="1" ref="P1614" ca="1">IF(INDIRECT(M1614) = "","",INDIRECT(M1614))</f>
        <v/>
      </c>
      <c r="Q1614" s="359" t="s">
        <v>4381</v>
      </c>
    </row>
    <row r="1615" spans="1:17" x14ac:dyDescent="0.35">
      <c r="A1615" t="s">
        <v>2349</v>
      </c>
      <c r="B1615" t="s">
        <v>2290</v>
      </c>
      <c r="C1615" t="s">
        <v>405</v>
      </c>
      <c r="E1615" t="str">
        <f>_xlfn.XLOOKUP(F1615,'Raw Data'!$I$4:$I$5000,'Raw Data'!$D$4:$D$5000,"*** Mnemonic not found ***",0)</f>
        <v>*** Mnemonic not found ***</v>
      </c>
      <c r="F1615" t="str">
        <f t="shared" si="395"/>
        <v>SUCMNOPROPORESRSK_US_PLO_</v>
      </c>
      <c r="H1615" s="9" t="s">
        <v>1137</v>
      </c>
      <c r="K1615" s="9">
        <f t="shared" si="396"/>
        <v>595</v>
      </c>
      <c r="L1615" s="9" t="str">
        <f t="shared" si="397"/>
        <v>G</v>
      </c>
      <c r="M1615" s="9" t="str">
        <f t="shared" si="393"/>
        <v>Input!G595</v>
      </c>
      <c r="N1615" s="9">
        <f>_xlfn.XLOOKUP(F1615,'Raw Data'!$I$4:$I$5000,'Raw Data'!$E$4:$E$5000,100,0)</f>
        <v>100</v>
      </c>
      <c r="O1615" s="9" t="str">
        <f>IF(N1615=0,_xlfn.XLOOKUP(F1615,'Raw Data'!$I$4:$I$5000,'Raw Data'!$H$4:$H$5000,"",0),"")</f>
        <v/>
      </c>
      <c r="P1615" s="9" t="str" cm="1">
        <f t="array" aca="1" ref="P1615" ca="1">IF(INDIRECT(M1615) = "","",INDIRECT(M1615))</f>
        <v/>
      </c>
      <c r="Q1615" s="359" t="s">
        <v>4381</v>
      </c>
    </row>
    <row r="1616" spans="1:17" x14ac:dyDescent="0.35">
      <c r="A1616" t="s">
        <v>2349</v>
      </c>
      <c r="B1616" t="s">
        <v>2272</v>
      </c>
      <c r="C1616" t="s">
        <v>979</v>
      </c>
      <c r="E1616" t="str">
        <f>_xlfn.XLOOKUP(F1616,'Raw Data'!$I$4:$I$5000,'Raw Data'!$D$4:$D$5000,"*** Mnemonic not found ***",0)</f>
        <v>*** Mnemonic not found ***</v>
      </c>
      <c r="F1616" t="str">
        <f t="shared" si="395"/>
        <v>SUCMNOPROPORESRSK_US_WCP_</v>
      </c>
      <c r="H1616" s="9" t="s">
        <v>1137</v>
      </c>
      <c r="K1616" s="9">
        <f t="shared" si="396"/>
        <v>596</v>
      </c>
      <c r="L1616" s="9" t="str">
        <f t="shared" si="397"/>
        <v>G</v>
      </c>
      <c r="M1616" s="9" t="str">
        <f t="shared" si="393"/>
        <v>Input!G596</v>
      </c>
      <c r="N1616" s="9">
        <f>_xlfn.XLOOKUP(F1616,'Raw Data'!$I$4:$I$5000,'Raw Data'!$E$4:$E$5000,100,0)</f>
        <v>100</v>
      </c>
      <c r="O1616" s="9" t="str">
        <f>IF(N1616=0,_xlfn.XLOOKUP(F1616,'Raw Data'!$I$4:$I$5000,'Raw Data'!$H$4:$H$5000,"",0),"")</f>
        <v/>
      </c>
      <c r="P1616" s="9" t="str" cm="1">
        <f t="array" aca="1" ref="P1616" ca="1">IF(INDIRECT(M1616) = "","",INDIRECT(M1616))</f>
        <v/>
      </c>
      <c r="Q1616" s="359" t="s">
        <v>4381</v>
      </c>
    </row>
    <row r="1617" spans="1:17" x14ac:dyDescent="0.35">
      <c r="A1617" t="s">
        <v>2349</v>
      </c>
      <c r="B1617" t="s">
        <v>2291</v>
      </c>
      <c r="C1617" t="s">
        <v>989</v>
      </c>
      <c r="E1617" t="str">
        <f>_xlfn.XLOOKUP(F1617,'Raw Data'!$I$4:$I$5000,'Raw Data'!$D$4:$D$5000,"*** Mnemonic not found ***",0)</f>
        <v>*** Mnemonic not found ***</v>
      </c>
      <c r="F1617" t="str">
        <f t="shared" si="395"/>
        <v>SUCMNOPROPORESRSK_US_BLM_</v>
      </c>
      <c r="H1617" s="9" t="s">
        <v>1137</v>
      </c>
      <c r="K1617" s="9">
        <f t="shared" si="396"/>
        <v>597</v>
      </c>
      <c r="L1617" s="9" t="str">
        <f t="shared" si="397"/>
        <v>G</v>
      </c>
      <c r="M1617" s="9" t="str">
        <f t="shared" si="393"/>
        <v>Input!G597</v>
      </c>
      <c r="N1617" s="9">
        <f>_xlfn.XLOOKUP(F1617,'Raw Data'!$I$4:$I$5000,'Raw Data'!$E$4:$E$5000,100,0)</f>
        <v>100</v>
      </c>
      <c r="O1617" s="9" t="str">
        <f>IF(N1617=0,_xlfn.XLOOKUP(F1617,'Raw Data'!$I$4:$I$5000,'Raw Data'!$H$4:$H$5000,"",0),"")</f>
        <v/>
      </c>
      <c r="P1617" s="9" t="str" cm="1">
        <f t="array" aca="1" ref="P1617" ca="1">IF(INDIRECT(M1617) = "","",INDIRECT(M1617))</f>
        <v/>
      </c>
      <c r="Q1617" s="359" t="s">
        <v>4381</v>
      </c>
    </row>
    <row r="1618" spans="1:17" x14ac:dyDescent="0.35">
      <c r="A1618" t="s">
        <v>2349</v>
      </c>
      <c r="B1618" t="s">
        <v>2292</v>
      </c>
      <c r="C1618" t="s">
        <v>378</v>
      </c>
      <c r="E1618" t="str">
        <f>_xlfn.XLOOKUP(F1618,'Raw Data'!$I$4:$I$5000,'Raw Data'!$D$4:$D$5000,"*** Mnemonic not found ***",0)</f>
        <v>*** Mnemonic not found ***</v>
      </c>
      <c r="F1618" t="str">
        <f t="shared" si="395"/>
        <v>SUCMNOPROPORESRSK_US_CMP_</v>
      </c>
      <c r="H1618" s="9" t="s">
        <v>1137</v>
      </c>
      <c r="K1618" s="9">
        <f t="shared" si="396"/>
        <v>598</v>
      </c>
      <c r="L1618" s="9" t="str">
        <f t="shared" si="397"/>
        <v>G</v>
      </c>
      <c r="M1618" s="9" t="str">
        <f t="shared" si="393"/>
        <v>Input!G598</v>
      </c>
      <c r="N1618" s="9">
        <f>_xlfn.XLOOKUP(F1618,'Raw Data'!$I$4:$I$5000,'Raw Data'!$E$4:$E$5000,100,0)</f>
        <v>100</v>
      </c>
      <c r="O1618" s="9" t="str">
        <f>IF(N1618=0,_xlfn.XLOOKUP(F1618,'Raw Data'!$I$4:$I$5000,'Raw Data'!$H$4:$H$5000,"",0),"")</f>
        <v/>
      </c>
      <c r="P1618" s="9" t="str" cm="1">
        <f t="array" aca="1" ref="P1618" ca="1">IF(INDIRECT(M1618) = "","",INDIRECT(M1618))</f>
        <v/>
      </c>
      <c r="Q1618" s="359" t="s">
        <v>4381</v>
      </c>
    </row>
    <row r="1619" spans="1:17" x14ac:dyDescent="0.35">
      <c r="A1619" t="s">
        <v>2349</v>
      </c>
      <c r="B1619" t="s">
        <v>2293</v>
      </c>
      <c r="C1619" t="s">
        <v>961</v>
      </c>
      <c r="E1619" t="str">
        <f>_xlfn.XLOOKUP(F1619,'Raw Data'!$I$4:$I$5000,'Raw Data'!$D$4:$D$5000,"*** Mnemonic not found ***",0)</f>
        <v>*** Mnemonic not found ***</v>
      </c>
      <c r="F1619" t="str">
        <f t="shared" si="395"/>
        <v>SUCMNOPROPORESRSK_US_HFM_</v>
      </c>
      <c r="H1619" s="9" t="s">
        <v>1137</v>
      </c>
      <c r="K1619" s="9">
        <f t="shared" si="396"/>
        <v>599</v>
      </c>
      <c r="L1619" s="9" t="str">
        <f t="shared" si="397"/>
        <v>G</v>
      </c>
      <c r="M1619" s="9" t="str">
        <f t="shared" si="393"/>
        <v>Input!G599</v>
      </c>
      <c r="N1619" s="9">
        <f>_xlfn.XLOOKUP(F1619,'Raw Data'!$I$4:$I$5000,'Raw Data'!$E$4:$E$5000,100,0)</f>
        <v>100</v>
      </c>
      <c r="O1619" s="9" t="str">
        <f>IF(N1619=0,_xlfn.XLOOKUP(F1619,'Raw Data'!$I$4:$I$5000,'Raw Data'!$H$4:$H$5000,"",0),"")</f>
        <v/>
      </c>
      <c r="P1619" s="9" t="str" cm="1">
        <f t="array" aca="1" ref="P1619" ca="1">IF(INDIRECT(M1619) = "","",INDIRECT(M1619))</f>
        <v/>
      </c>
      <c r="Q1619" s="359" t="s">
        <v>4381</v>
      </c>
    </row>
    <row r="1620" spans="1:17" x14ac:dyDescent="0.35">
      <c r="A1620" t="s">
        <v>2349</v>
      </c>
      <c r="B1620" t="s">
        <v>2294</v>
      </c>
      <c r="C1620" t="s">
        <v>4143</v>
      </c>
      <c r="E1620" t="str">
        <f>_xlfn.XLOOKUP(F1620,'Raw Data'!$I$4:$I$5000,'Raw Data'!$D$4:$D$5000,"*** Mnemonic not found ***",0)</f>
        <v>*** Mnemonic not found ***</v>
      </c>
      <c r="F1620" t="str">
        <f t="shared" si="395"/>
        <v>SUCMNOPROPORESRSK_US_SPP_</v>
      </c>
      <c r="H1620" s="9" t="s">
        <v>1137</v>
      </c>
      <c r="K1620" s="9">
        <f t="shared" si="396"/>
        <v>600</v>
      </c>
      <c r="L1620" s="9" t="str">
        <f t="shared" si="397"/>
        <v>G</v>
      </c>
      <c r="M1620" s="9" t="str">
        <f t="shared" si="393"/>
        <v>Input!G600</v>
      </c>
      <c r="N1620" s="9">
        <f>_xlfn.XLOOKUP(F1620,'Raw Data'!$I$4:$I$5000,'Raw Data'!$E$4:$E$5000,100,0)</f>
        <v>100</v>
      </c>
      <c r="O1620" s="9" t="str">
        <f>IF(N1620=0,_xlfn.XLOOKUP(F1620,'Raw Data'!$I$4:$I$5000,'Raw Data'!$H$4:$H$5000,"",0),"")</f>
        <v/>
      </c>
      <c r="P1620" s="9" t="str" cm="1">
        <f t="array" aca="1" ref="P1620" ca="1">IF(INDIRECT(M1620) = "","",INDIRECT(M1620))</f>
        <v/>
      </c>
      <c r="Q1620" s="359" t="s">
        <v>4381</v>
      </c>
    </row>
    <row r="1621" spans="1:17" x14ac:dyDescent="0.35">
      <c r="A1621" t="s">
        <v>2349</v>
      </c>
      <c r="B1621" t="s">
        <v>2295</v>
      </c>
      <c r="C1621" t="s">
        <v>990</v>
      </c>
      <c r="E1621" t="str">
        <f>_xlfn.XLOOKUP(F1621,'Raw Data'!$I$4:$I$5000,'Raw Data'!$D$4:$D$5000,"*** Mnemonic not found ***",0)</f>
        <v>*** Mnemonic not found ***</v>
      </c>
      <c r="F1621" t="str">
        <f t="shared" si="395"/>
        <v>SUCMNOPROPORESRSK_US_APB_</v>
      </c>
      <c r="H1621" s="9" t="s">
        <v>1137</v>
      </c>
      <c r="K1621" s="9">
        <f t="shared" si="396"/>
        <v>601</v>
      </c>
      <c r="L1621" s="9" t="str">
        <f t="shared" si="397"/>
        <v>G</v>
      </c>
      <c r="M1621" s="9" t="str">
        <f t="shared" si="393"/>
        <v>Input!G601</v>
      </c>
      <c r="N1621" s="9">
        <f>_xlfn.XLOOKUP(F1621,'Raw Data'!$I$4:$I$5000,'Raw Data'!$E$4:$E$5000,100,0)</f>
        <v>100</v>
      </c>
      <c r="O1621" s="9" t="str">
        <f>IF(N1621=0,_xlfn.XLOOKUP(F1621,'Raw Data'!$I$4:$I$5000,'Raw Data'!$H$4:$H$5000,"",0),"")</f>
        <v/>
      </c>
      <c r="P1621" s="9" t="str" cm="1">
        <f t="array" aca="1" ref="P1621" ca="1">IF(INDIRECT(M1621) = "","",INDIRECT(M1621))</f>
        <v/>
      </c>
      <c r="Q1621" s="359" t="s">
        <v>4381</v>
      </c>
    </row>
    <row r="1622" spans="1:17" x14ac:dyDescent="0.35">
      <c r="A1622" t="s">
        <v>2349</v>
      </c>
      <c r="B1622" t="s">
        <v>2296</v>
      </c>
      <c r="C1622" t="s">
        <v>400</v>
      </c>
      <c r="E1622" t="str">
        <f>_xlfn.XLOOKUP(F1622,'Raw Data'!$I$4:$I$5000,'Raw Data'!$D$4:$D$5000,"*** Mnemonic not found ***",0)</f>
        <v>*** Mnemonic not found ***</v>
      </c>
      <c r="F1622" t="str">
        <f t="shared" si="395"/>
        <v>SUCMNOPROPORESRSK_US_CAL_</v>
      </c>
      <c r="H1622" s="9" t="s">
        <v>1137</v>
      </c>
      <c r="K1622" s="9">
        <f t="shared" si="396"/>
        <v>602</v>
      </c>
      <c r="L1622" s="9" t="str">
        <f t="shared" si="397"/>
        <v>G</v>
      </c>
      <c r="M1622" s="9" t="str">
        <f t="shared" si="393"/>
        <v>Input!G602</v>
      </c>
      <c r="N1622" s="9">
        <f>_xlfn.XLOOKUP(F1622,'Raw Data'!$I$4:$I$5000,'Raw Data'!$E$4:$E$5000,100,0)</f>
        <v>100</v>
      </c>
      <c r="O1622" s="9" t="str">
        <f>IF(N1622=0,_xlfn.XLOOKUP(F1622,'Raw Data'!$I$4:$I$5000,'Raw Data'!$H$4:$H$5000,"",0),"")</f>
        <v/>
      </c>
      <c r="P1622" s="9" t="str" cm="1">
        <f t="array" aca="1" ref="P1622" ca="1">IF(INDIRECT(M1622) = "","",INDIRECT(M1622))</f>
        <v/>
      </c>
      <c r="Q1622" s="359" t="s">
        <v>4381</v>
      </c>
    </row>
    <row r="1623" spans="1:17" x14ac:dyDescent="0.35">
      <c r="A1623" t="s">
        <v>2349</v>
      </c>
      <c r="B1623" t="s">
        <v>2297</v>
      </c>
      <c r="C1623" t="s">
        <v>991</v>
      </c>
      <c r="E1623" t="str">
        <f>_xlfn.XLOOKUP(F1623,'Raw Data'!$I$4:$I$5000,'Raw Data'!$D$4:$D$5000,"*** Mnemonic not found ***",0)</f>
        <v>*** Mnemonic not found ***</v>
      </c>
      <c r="F1623" t="str">
        <f t="shared" si="395"/>
        <v>SUCMNOPROPORESRSK_US_PPA_</v>
      </c>
      <c r="H1623" s="9" t="s">
        <v>1137</v>
      </c>
      <c r="K1623" s="9">
        <f t="shared" si="396"/>
        <v>603</v>
      </c>
      <c r="L1623" s="9" t="str">
        <f t="shared" si="397"/>
        <v>G</v>
      </c>
      <c r="M1623" s="9" t="str">
        <f t="shared" si="393"/>
        <v>Input!G603</v>
      </c>
      <c r="N1623" s="9">
        <f>_xlfn.XLOOKUP(F1623,'Raw Data'!$I$4:$I$5000,'Raw Data'!$E$4:$E$5000,100,0)</f>
        <v>100</v>
      </c>
      <c r="O1623" s="9" t="str">
        <f>IF(N1623=0,_xlfn.XLOOKUP(F1623,'Raw Data'!$I$4:$I$5000,'Raw Data'!$H$4:$H$5000,"",0),"")</f>
        <v/>
      </c>
      <c r="P1623" s="9" t="str" cm="1">
        <f t="array" aca="1" ref="P1623" ca="1">IF(INDIRECT(M1623) = "","",INDIRECT(M1623))</f>
        <v/>
      </c>
      <c r="Q1623" s="359" t="s">
        <v>4381</v>
      </c>
    </row>
    <row r="1624" spans="1:17" x14ac:dyDescent="0.35">
      <c r="A1624" t="s">
        <v>2349</v>
      </c>
      <c r="B1624" t="s">
        <v>2298</v>
      </c>
      <c r="C1624" t="s">
        <v>374</v>
      </c>
      <c r="E1624" t="str">
        <f>_xlfn.XLOOKUP(F1624,'Raw Data'!$I$4:$I$5000,'Raw Data'!$D$4:$D$5000,"*** Mnemonic not found ***",0)</f>
        <v>*** Mnemonic not found ***</v>
      </c>
      <c r="F1624" t="str">
        <f t="shared" si="395"/>
        <v>SUCMNOPROPORESRSK_US_CRD_</v>
      </c>
      <c r="H1624" s="9" t="s">
        <v>1137</v>
      </c>
      <c r="K1624" s="9">
        <f t="shared" si="396"/>
        <v>604</v>
      </c>
      <c r="L1624" s="9" t="str">
        <f t="shared" si="397"/>
        <v>G</v>
      </c>
      <c r="M1624" s="9" t="str">
        <f t="shared" si="393"/>
        <v>Input!G604</v>
      </c>
      <c r="N1624" s="9">
        <f>_xlfn.XLOOKUP(F1624,'Raw Data'!$I$4:$I$5000,'Raw Data'!$E$4:$E$5000,100,0)</f>
        <v>100</v>
      </c>
      <c r="O1624" s="9" t="str">
        <f>IF(N1624=0,_xlfn.XLOOKUP(F1624,'Raw Data'!$I$4:$I$5000,'Raw Data'!$H$4:$H$5000,"",0),"")</f>
        <v/>
      </c>
      <c r="P1624" s="9" t="str" cm="1">
        <f t="array" aca="1" ref="P1624" ca="1">IF(INDIRECT(M1624) = "","",INDIRECT(M1624))</f>
        <v/>
      </c>
      <c r="Q1624" s="359" t="s">
        <v>4381</v>
      </c>
    </row>
    <row r="1625" spans="1:17" x14ac:dyDescent="0.35">
      <c r="A1625" t="s">
        <v>2349</v>
      </c>
      <c r="B1625" t="s">
        <v>2299</v>
      </c>
      <c r="C1625" t="s">
        <v>399</v>
      </c>
      <c r="E1625" t="str">
        <f>_xlfn.XLOOKUP(F1625,'Raw Data'!$I$4:$I$5000,'Raw Data'!$D$4:$D$5000,"*** Mnemonic not found ***",0)</f>
        <v>*** Mnemonic not found ***</v>
      </c>
      <c r="F1625" t="str">
        <f t="shared" si="395"/>
        <v>SUCMNOPROPORESRSK_US_FIDSUR_</v>
      </c>
      <c r="H1625" s="9" t="s">
        <v>1137</v>
      </c>
      <c r="K1625" s="9">
        <f t="shared" si="396"/>
        <v>605</v>
      </c>
      <c r="L1625" s="9" t="str">
        <f t="shared" si="397"/>
        <v>G</v>
      </c>
      <c r="M1625" s="9" t="str">
        <f t="shared" si="393"/>
        <v>Input!G605</v>
      </c>
      <c r="N1625" s="9">
        <f>_xlfn.XLOOKUP(F1625,'Raw Data'!$I$4:$I$5000,'Raw Data'!$E$4:$E$5000,100,0)</f>
        <v>100</v>
      </c>
      <c r="O1625" s="9" t="str">
        <f>IF(N1625=0,_xlfn.XLOOKUP(F1625,'Raw Data'!$I$4:$I$5000,'Raw Data'!$H$4:$H$5000,"",0),"")</f>
        <v/>
      </c>
      <c r="P1625" s="9" t="str" cm="1">
        <f t="array" aca="1" ref="P1625" ca="1">IF(INDIRECT(M1625) = "","",INDIRECT(M1625))</f>
        <v/>
      </c>
      <c r="Q1625" s="359" t="s">
        <v>4381</v>
      </c>
    </row>
    <row r="1626" spans="1:17" x14ac:dyDescent="0.35">
      <c r="A1626" t="s">
        <v>2349</v>
      </c>
      <c r="B1626" t="s">
        <v>2300</v>
      </c>
      <c r="C1626" t="s">
        <v>1020</v>
      </c>
      <c r="E1626" t="str">
        <f>_xlfn.XLOOKUP(F1626,'Raw Data'!$I$4:$I$5000,'Raw Data'!$D$4:$D$5000,"*** Mnemonic not found ***",0)</f>
        <v>*** Mnemonic not found ***</v>
      </c>
      <c r="F1626" t="str">
        <f t="shared" si="395"/>
        <v>SUCMNOPROPORESRSK_US_FIG_</v>
      </c>
      <c r="H1626" s="9" t="s">
        <v>1137</v>
      </c>
      <c r="K1626" s="9">
        <f t="shared" si="396"/>
        <v>606</v>
      </c>
      <c r="L1626" s="9" t="str">
        <f t="shared" si="397"/>
        <v>G</v>
      </c>
      <c r="M1626" s="9" t="str">
        <f t="shared" si="393"/>
        <v>Input!G606</v>
      </c>
      <c r="N1626" s="9">
        <f>_xlfn.XLOOKUP(F1626,'Raw Data'!$I$4:$I$5000,'Raw Data'!$E$4:$E$5000,100,0)</f>
        <v>100</v>
      </c>
      <c r="O1626" s="9" t="str">
        <f>IF(N1626=0,_xlfn.XLOOKUP(F1626,'Raw Data'!$I$4:$I$5000,'Raw Data'!$H$4:$H$5000,"",0),"")</f>
        <v/>
      </c>
      <c r="P1626" s="9" t="str" cm="1">
        <f t="array" aca="1" ref="P1626" ca="1">IF(INDIRECT(M1626) = "","",INDIRECT(M1626))</f>
        <v/>
      </c>
      <c r="Q1626" s="359" t="s">
        <v>4381</v>
      </c>
    </row>
    <row r="1627" spans="1:17" x14ac:dyDescent="0.35">
      <c r="A1627" t="s">
        <v>2349</v>
      </c>
      <c r="B1627" t="s">
        <v>2303</v>
      </c>
      <c r="C1627" t="s">
        <v>994</v>
      </c>
      <c r="E1627" t="str">
        <f>_xlfn.XLOOKUP(F1627,'Raw Data'!$I$4:$I$5000,'Raw Data'!$D$4:$D$5000,"*** Mnemonic not found ***",0)</f>
        <v>*** Mnemonic not found ***</v>
      </c>
      <c r="F1627" t="str">
        <f t="shared" si="395"/>
        <v>SUCMNOPROPORESRSK_US_AAH_</v>
      </c>
      <c r="H1627" s="9" t="s">
        <v>1137</v>
      </c>
      <c r="K1627" s="9">
        <f t="shared" si="396"/>
        <v>607</v>
      </c>
      <c r="L1627" s="9" t="str">
        <f t="shared" si="397"/>
        <v>G</v>
      </c>
      <c r="M1627" s="9" t="str">
        <f t="shared" si="393"/>
        <v>Input!G607</v>
      </c>
      <c r="N1627" s="9">
        <f>_xlfn.XLOOKUP(F1627,'Raw Data'!$I$4:$I$5000,'Raw Data'!$E$4:$E$5000,100,0)</f>
        <v>100</v>
      </c>
      <c r="O1627" s="9" t="str">
        <f>IF(N1627=0,_xlfn.XLOOKUP(F1627,'Raw Data'!$I$4:$I$5000,'Raw Data'!$H$4:$H$5000,"",0),"")</f>
        <v/>
      </c>
      <c r="P1627" s="9" t="str" cm="1">
        <f t="array" aca="1" ref="P1627" ca="1">IF(INDIRECT(M1627) = "","",INDIRECT(M1627))</f>
        <v/>
      </c>
      <c r="Q1627" s="359" t="s">
        <v>4381</v>
      </c>
    </row>
    <row r="1628" spans="1:17" x14ac:dyDescent="0.35">
      <c r="A1628" t="s">
        <v>2349</v>
      </c>
      <c r="B1628" t="s">
        <v>2345</v>
      </c>
      <c r="C1628" t="s">
        <v>1021</v>
      </c>
      <c r="E1628" t="str">
        <f>_xlfn.XLOOKUP(F1628,'Raw Data'!$I$4:$I$5000,'Raw Data'!$D$4:$D$5000,"*** Mnemonic not found ***",0)</f>
        <v>*** Mnemonic not found ***</v>
      </c>
      <c r="F1628" t="str">
        <f t="shared" si="395"/>
        <v>SUCMNOPROPORESRSK_US_USHRES_</v>
      </c>
      <c r="H1628" s="9" t="s">
        <v>1137</v>
      </c>
      <c r="K1628" s="9">
        <f t="shared" si="396"/>
        <v>608</v>
      </c>
      <c r="L1628" s="9" t="str">
        <f t="shared" si="397"/>
        <v>G</v>
      </c>
      <c r="M1628" s="9" t="str">
        <f t="shared" si="393"/>
        <v>Input!G608</v>
      </c>
      <c r="N1628" s="9">
        <f>_xlfn.XLOOKUP(F1628,'Raw Data'!$I$4:$I$5000,'Raw Data'!$E$4:$E$5000,100,0)</f>
        <v>100</v>
      </c>
      <c r="O1628" s="9" t="str">
        <f>IF(N1628=0,_xlfn.XLOOKUP(F1628,'Raw Data'!$I$4:$I$5000,'Raw Data'!$H$4:$H$5000,"",0),"")</f>
        <v/>
      </c>
      <c r="P1628" s="9" t="str" cm="1">
        <f t="array" aca="1" ref="P1628" ca="1">IF(INDIRECT(M1628) = "","",INDIRECT(M1628))</f>
        <v/>
      </c>
      <c r="Q1628" s="359" t="s">
        <v>4381</v>
      </c>
    </row>
    <row r="1629" spans="1:17" x14ac:dyDescent="0.35">
      <c r="A1629" t="s">
        <v>2349</v>
      </c>
      <c r="B1629" t="s">
        <v>2315</v>
      </c>
      <c r="C1629" t="s">
        <v>377</v>
      </c>
      <c r="E1629" t="str">
        <f>_xlfn.XLOOKUP(F1629,'Raw Data'!$I$4:$I$5000,'Raw Data'!$D$4:$D$5000,"*** Mnemonic not found ***",0)</f>
        <v>*** Mnemonic not found ***</v>
      </c>
      <c r="F1629" t="str">
        <f t="shared" si="395"/>
        <v>SUCMNOPROPORESRSK_US_AIR_</v>
      </c>
      <c r="H1629" s="9" t="s">
        <v>1137</v>
      </c>
      <c r="K1629" s="9">
        <f t="shared" si="396"/>
        <v>609</v>
      </c>
      <c r="L1629" s="9" t="str">
        <f t="shared" si="397"/>
        <v>G</v>
      </c>
      <c r="M1629" s="9" t="str">
        <f t="shared" si="393"/>
        <v>Input!G609</v>
      </c>
      <c r="N1629" s="9">
        <f>_xlfn.XLOOKUP(F1629,'Raw Data'!$I$4:$I$5000,'Raw Data'!$E$4:$E$5000,100,0)</f>
        <v>100</v>
      </c>
      <c r="O1629" s="9" t="str">
        <f>IF(N1629=0,_xlfn.XLOOKUP(F1629,'Raw Data'!$I$4:$I$5000,'Raw Data'!$H$4:$H$5000,"",0),"")</f>
        <v/>
      </c>
      <c r="P1629" s="9" t="str" cm="1">
        <f t="array" aca="1" ref="P1629" ca="1">IF(INDIRECT(M1629) = "","",INDIRECT(M1629))</f>
        <v/>
      </c>
      <c r="Q1629" s="359" t="s">
        <v>4381</v>
      </c>
    </row>
    <row r="1630" spans="1:17" x14ac:dyDescent="0.35">
      <c r="A1630" t="s">
        <v>2349</v>
      </c>
      <c r="B1630" t="s">
        <v>4308</v>
      </c>
      <c r="C1630" s="694" t="s">
        <v>4130</v>
      </c>
      <c r="E1630" t="str">
        <f>_xlfn.XLOOKUP(F1630,'Raw Data'!$I$4:$I$5000,'Raw Data'!$D$4:$D$5000,"*** Mnemonic not found ***",0)</f>
        <v>*** Mnemonic not found ***</v>
      </c>
      <c r="F1630" t="str">
        <f t="shared" si="395"/>
        <v>SUCMNOPROPORESRSK_US_MPIN_</v>
      </c>
      <c r="H1630" s="9" t="s">
        <v>1137</v>
      </c>
      <c r="K1630" s="9">
        <f t="shared" si="396"/>
        <v>610</v>
      </c>
      <c r="L1630" s="9" t="str">
        <f t="shared" si="397"/>
        <v>G</v>
      </c>
      <c r="M1630" s="9" t="str">
        <f t="shared" si="393"/>
        <v>Input!G610</v>
      </c>
      <c r="N1630" s="9">
        <f>_xlfn.XLOOKUP(F1630,'Raw Data'!$I$4:$I$5000,'Raw Data'!$E$4:$E$5000,100,0)</f>
        <v>100</v>
      </c>
      <c r="O1630" s="9" t="str">
        <f>IF(N1630=0,_xlfn.XLOOKUP(F1630,'Raw Data'!$I$4:$I$5000,'Raw Data'!$H$4:$H$5000,"",0),"")</f>
        <v/>
      </c>
      <c r="P1630" s="9" t="str" cm="1">
        <f t="array" aca="1" ref="P1630" ca="1">IF(INDIRECT(M1630) = "","",INDIRECT(M1630))</f>
        <v/>
      </c>
      <c r="Q1630" s="359" t="s">
        <v>4381</v>
      </c>
    </row>
    <row r="1631" spans="1:17" x14ac:dyDescent="0.35">
      <c r="A1631" t="s">
        <v>2349</v>
      </c>
      <c r="B1631" t="s">
        <v>2316</v>
      </c>
      <c r="C1631" t="s">
        <v>996</v>
      </c>
      <c r="E1631" t="str">
        <f>_xlfn.XLOOKUP(F1631,'Raw Data'!$I$4:$I$5000,'Raw Data'!$D$4:$D$5000,"*** Mnemonic not found ***",0)</f>
        <v>*** Mnemonic not found ***</v>
      </c>
      <c r="F1631" t="str">
        <f t="shared" si="395"/>
        <v>SUCMNOPROPORESRSK_US_OCM_</v>
      </c>
      <c r="H1631" s="9" t="s">
        <v>1137</v>
      </c>
      <c r="K1631" s="9">
        <f t="shared" si="396"/>
        <v>611</v>
      </c>
      <c r="L1631" s="9" t="str">
        <f t="shared" si="397"/>
        <v>G</v>
      </c>
      <c r="M1631" s="9" t="str">
        <f t="shared" ref="M1631:M1634" si="398">CONCATENATE(H1631,"!",L1631,K1631)</f>
        <v>Input!G611</v>
      </c>
      <c r="N1631" s="9">
        <f>_xlfn.XLOOKUP(F1631,'Raw Data'!$I$4:$I$5000,'Raw Data'!$E$4:$E$5000,100,0)</f>
        <v>100</v>
      </c>
      <c r="O1631" s="9" t="str">
        <f>IF(N1631=0,_xlfn.XLOOKUP(F1631,'Raw Data'!$I$4:$I$5000,'Raw Data'!$H$4:$H$5000,"",0),"")</f>
        <v/>
      </c>
      <c r="P1631" s="9" t="str" cm="1">
        <f t="array" aca="1" ref="P1631" ca="1">IF(INDIRECT(M1631) = "","",INDIRECT(M1631))</f>
        <v/>
      </c>
      <c r="Q1631" s="359" t="s">
        <v>4381</v>
      </c>
    </row>
    <row r="1632" spans="1:17" x14ac:dyDescent="0.35">
      <c r="A1632" t="s">
        <v>2349</v>
      </c>
      <c r="B1632" t="s">
        <v>2301</v>
      </c>
      <c r="C1632" t="s">
        <v>385</v>
      </c>
      <c r="E1632" t="str">
        <f>_xlfn.XLOOKUP(F1632,'Raw Data'!$I$4:$I$5000,'Raw Data'!$D$4:$D$5000,"*** Mnemonic not found ***",0)</f>
        <v>*** Mnemonic not found ***</v>
      </c>
      <c r="F1632" t="str">
        <f t="shared" si="395"/>
        <v>SUCMNOPROPORESRSK_US_TITLE_</v>
      </c>
      <c r="H1632" s="9" t="s">
        <v>1137</v>
      </c>
      <c r="K1632" s="9">
        <f t="shared" si="396"/>
        <v>612</v>
      </c>
      <c r="L1632" s="9" t="str">
        <f t="shared" si="397"/>
        <v>G</v>
      </c>
      <c r="M1632" s="9" t="str">
        <f t="shared" si="398"/>
        <v>Input!G612</v>
      </c>
      <c r="N1632" s="9">
        <f>_xlfn.XLOOKUP(F1632,'Raw Data'!$I$4:$I$5000,'Raw Data'!$E$4:$E$5000,100,0)</f>
        <v>100</v>
      </c>
      <c r="O1632" s="9" t="str">
        <f>IF(N1632=0,_xlfn.XLOOKUP(F1632,'Raw Data'!$I$4:$I$5000,'Raw Data'!$H$4:$H$5000,"",0),"")</f>
        <v/>
      </c>
      <c r="P1632" s="9" t="str" cm="1">
        <f t="array" aca="1" ref="P1632" ca="1">IF(INDIRECT(M1632) = "","",INDIRECT(M1632))</f>
        <v/>
      </c>
      <c r="Q1632" s="359" t="s">
        <v>4381</v>
      </c>
    </row>
    <row r="1633" spans="1:17" x14ac:dyDescent="0.35">
      <c r="A1633" t="s">
        <v>2349</v>
      </c>
      <c r="B1633" t="s">
        <v>2317</v>
      </c>
      <c r="C1633" t="s">
        <v>380</v>
      </c>
      <c r="E1633" t="str">
        <f>_xlfn.XLOOKUP(F1633,'Raw Data'!$I$4:$I$5000,'Raw Data'!$D$4:$D$5000,"*** Mnemonic not found ***",0)</f>
        <v>*** Mnemonic not found ***</v>
      </c>
      <c r="F1633" t="str">
        <f t="shared" si="395"/>
        <v>SUCMNOPROPORESRSK_US_WAR_</v>
      </c>
      <c r="H1633" s="9" t="s">
        <v>1137</v>
      </c>
      <c r="K1633" s="9">
        <f t="shared" si="396"/>
        <v>613</v>
      </c>
      <c r="L1633" s="9" t="str">
        <f t="shared" si="397"/>
        <v>G</v>
      </c>
      <c r="M1633" s="9" t="str">
        <f t="shared" si="398"/>
        <v>Input!G613</v>
      </c>
      <c r="N1633" s="9">
        <f>_xlfn.XLOOKUP(F1633,'Raw Data'!$I$4:$I$5000,'Raw Data'!$E$4:$E$5000,100,0)</f>
        <v>100</v>
      </c>
      <c r="O1633" s="9" t="str">
        <f>IF(N1633=0,_xlfn.XLOOKUP(F1633,'Raw Data'!$I$4:$I$5000,'Raw Data'!$H$4:$H$5000,"",0),"")</f>
        <v/>
      </c>
      <c r="P1633" s="9" t="str" cm="1">
        <f t="array" aca="1" ref="P1633" ca="1">IF(INDIRECT(M1633) = "","",INDIRECT(M1633))</f>
        <v/>
      </c>
      <c r="Q1633" s="359" t="s">
        <v>4381</v>
      </c>
    </row>
    <row r="1634" spans="1:17" x14ac:dyDescent="0.35">
      <c r="A1634" t="s">
        <v>2349</v>
      </c>
      <c r="B1634" t="s">
        <v>2283</v>
      </c>
      <c r="C1634" t="s">
        <v>262</v>
      </c>
      <c r="E1634" t="str">
        <f>_xlfn.XLOOKUP(F1634,'Raw Data'!$I$4:$I$5000,'Raw Data'!$D$4:$D$5000,"*** Mnemonic not found ***",0)</f>
        <v>*** Mnemonic not found ***</v>
      </c>
      <c r="F1634" t="str">
        <f t="shared" si="395"/>
        <v>SUCMNOPROPORESRSK_US_OCAH_</v>
      </c>
      <c r="H1634" s="9" t="s">
        <v>1137</v>
      </c>
      <c r="K1634" s="9">
        <f t="shared" si="396"/>
        <v>614</v>
      </c>
      <c r="L1634" s="9" t="str">
        <f t="shared" si="397"/>
        <v>G</v>
      </c>
      <c r="M1634" s="9" t="str">
        <f t="shared" si="398"/>
        <v>Input!G614</v>
      </c>
      <c r="N1634" s="9">
        <f>_xlfn.XLOOKUP(F1634,'Raw Data'!$I$4:$I$5000,'Raw Data'!$E$4:$E$5000,100,0)</f>
        <v>100</v>
      </c>
      <c r="O1634" s="9" t="str">
        <f>IF(N1634=0,_xlfn.XLOOKUP(F1634,'Raw Data'!$I$4:$I$5000,'Raw Data'!$H$4:$H$5000,"",0),"")</f>
        <v/>
      </c>
      <c r="P1634" s="9" t="str" cm="1">
        <f t="array" aca="1" ref="P1634" ca="1">IF(INDIRECT(M1634) = "","",INDIRECT(M1634))</f>
        <v/>
      </c>
      <c r="Q1634" s="359" t="s">
        <v>4381</v>
      </c>
    </row>
    <row r="1635" spans="1:17" x14ac:dyDescent="0.35">
      <c r="A1635" t="s">
        <v>2350</v>
      </c>
      <c r="B1635" t="s">
        <v>2271</v>
      </c>
      <c r="C1635" t="s">
        <v>260</v>
      </c>
      <c r="E1635" t="str">
        <f>_xlfn.XLOOKUP(F1635,'Raw Data'!$I$4:$I$5000,'Raw Data'!$D$4:$D$5000,"*** Mnemonic not found ***",0)</f>
        <v>*** Mnemonic not found ***</v>
      </c>
      <c r="F1635" t="str">
        <f t="shared" si="395"/>
        <v>SUCMPROPORESRSK_CN_LIA_</v>
      </c>
      <c r="G1635" t="s">
        <v>2360</v>
      </c>
      <c r="H1635" s="9" t="s">
        <v>1137</v>
      </c>
      <c r="I1635" s="289">
        <f>ROW(section_non_life_resv)</f>
        <v>571</v>
      </c>
      <c r="J1635" s="9">
        <v>45</v>
      </c>
      <c r="K1635" s="9">
        <f>I1635+J1635</f>
        <v>616</v>
      </c>
      <c r="L1635" s="9" t="s">
        <v>1124</v>
      </c>
      <c r="M1635" s="9" t="str">
        <f t="shared" si="393"/>
        <v>Input!F616</v>
      </c>
      <c r="N1635" s="9">
        <f>_xlfn.XLOOKUP(F1635,'Raw Data'!$I$4:$I$5000,'Raw Data'!$E$4:$E$5000,100,0)</f>
        <v>100</v>
      </c>
      <c r="O1635" s="9" t="str">
        <f>IF(N1635=0,_xlfn.XLOOKUP(F1635,'Raw Data'!$I$4:$I$5000,'Raw Data'!$H$4:$H$5000,"",0),"")</f>
        <v/>
      </c>
      <c r="P1635" s="9" t="str" cm="1">
        <f t="array" aca="1" ref="P1635" ca="1">IF(INDIRECT(M1635) = "","",INDIRECT(M1635))</f>
        <v/>
      </c>
      <c r="Q1635" s="359" t="s">
        <v>4381</v>
      </c>
    </row>
    <row r="1636" spans="1:17" x14ac:dyDescent="0.35">
      <c r="A1636" t="s">
        <v>2350</v>
      </c>
      <c r="B1636" t="s">
        <v>2291</v>
      </c>
      <c r="C1636" t="s">
        <v>989</v>
      </c>
      <c r="E1636" t="str">
        <f>_xlfn.XLOOKUP(F1636,'Raw Data'!$I$4:$I$5000,'Raw Data'!$D$4:$D$5000,"*** Mnemonic not found ***",0)</f>
        <v>*** Mnemonic not found ***</v>
      </c>
      <c r="F1636" t="str">
        <f t="shared" si="395"/>
        <v>SUCMPROPORESRSK_CN_BLM_</v>
      </c>
      <c r="H1636" s="9" t="s">
        <v>1137</v>
      </c>
      <c r="K1636" s="9">
        <f>K1635+1</f>
        <v>617</v>
      </c>
      <c r="L1636" s="9" t="str">
        <f>L1635</f>
        <v>F</v>
      </c>
      <c r="M1636" s="9" t="str">
        <f t="shared" si="393"/>
        <v>Input!F617</v>
      </c>
      <c r="N1636" s="9">
        <f>_xlfn.XLOOKUP(F1636,'Raw Data'!$I$4:$I$5000,'Raw Data'!$E$4:$E$5000,100,0)</f>
        <v>100</v>
      </c>
      <c r="O1636" s="9" t="str">
        <f>IF(N1636=0,_xlfn.XLOOKUP(F1636,'Raw Data'!$I$4:$I$5000,'Raw Data'!$H$4:$H$5000,"",0),"")</f>
        <v/>
      </c>
      <c r="P1636" s="9" t="str" cm="1">
        <f t="array" aca="1" ref="P1636" ca="1">IF(INDIRECT(M1636) = "","",INDIRECT(M1636))</f>
        <v/>
      </c>
      <c r="Q1636" s="359" t="s">
        <v>4381</v>
      </c>
    </row>
    <row r="1637" spans="1:17" x14ac:dyDescent="0.35">
      <c r="A1637" t="s">
        <v>2350</v>
      </c>
      <c r="B1637" t="s">
        <v>2318</v>
      </c>
      <c r="C1637" t="s">
        <v>997</v>
      </c>
      <c r="E1637" t="str">
        <f>_xlfn.XLOOKUP(F1637,'Raw Data'!$I$4:$I$5000,'Raw Data'!$D$4:$D$5000,"*** Mnemonic not found ***",0)</f>
        <v>*** Mnemonic not found ***</v>
      </c>
      <c r="F1637" t="str">
        <f t="shared" si="395"/>
        <v>SUCMPROPORESRSK_CN_CMPR_</v>
      </c>
      <c r="H1637" s="9" t="s">
        <v>1137</v>
      </c>
      <c r="K1637" s="9">
        <f t="shared" ref="K1637:K1656" si="399">K1636+1</f>
        <v>618</v>
      </c>
      <c r="L1637" s="9" t="str">
        <f t="shared" ref="L1637:L1656" si="400">L1636</f>
        <v>F</v>
      </c>
      <c r="M1637" s="9" t="str">
        <f t="shared" si="393"/>
        <v>Input!F618</v>
      </c>
      <c r="N1637" s="9">
        <f>_xlfn.XLOOKUP(F1637,'Raw Data'!$I$4:$I$5000,'Raw Data'!$E$4:$E$5000,100,0)</f>
        <v>100</v>
      </c>
      <c r="O1637" s="9" t="str">
        <f>IF(N1637=0,_xlfn.XLOOKUP(F1637,'Raw Data'!$I$4:$I$5000,'Raw Data'!$H$4:$H$5000,"",0),"")</f>
        <v/>
      </c>
      <c r="P1637" s="9" t="str" cm="1">
        <f t="array" aca="1" ref="P1637" ca="1">IF(INDIRECT(M1637) = "","",INDIRECT(M1637))</f>
        <v/>
      </c>
      <c r="Q1637" s="359" t="s">
        <v>4381</v>
      </c>
    </row>
    <row r="1638" spans="1:17" x14ac:dyDescent="0.35">
      <c r="A1638" t="s">
        <v>2350</v>
      </c>
      <c r="B1638" t="s">
        <v>2319</v>
      </c>
      <c r="C1638" t="s">
        <v>383</v>
      </c>
      <c r="E1638" t="str">
        <f>_xlfn.XLOOKUP(F1638,'Raw Data'!$I$4:$I$5000,'Raw Data'!$D$4:$D$5000,"*** Mnemonic not found ***",0)</f>
        <v>*** Mnemonic not found ***</v>
      </c>
      <c r="F1638" t="str">
        <f t="shared" si="395"/>
        <v>SUCMPROPORESRSK_CN_HAIL_</v>
      </c>
      <c r="H1638" s="9" t="s">
        <v>1137</v>
      </c>
      <c r="K1638" s="9">
        <f t="shared" si="399"/>
        <v>619</v>
      </c>
      <c r="L1638" s="9" t="str">
        <f t="shared" si="400"/>
        <v>F</v>
      </c>
      <c r="M1638" s="9" t="str">
        <f t="shared" si="393"/>
        <v>Input!F619</v>
      </c>
      <c r="N1638" s="9">
        <f>_xlfn.XLOOKUP(F1638,'Raw Data'!$I$4:$I$5000,'Raw Data'!$E$4:$E$5000,100,0)</f>
        <v>100</v>
      </c>
      <c r="O1638" s="9" t="str">
        <f>IF(N1638=0,_xlfn.XLOOKUP(F1638,'Raw Data'!$I$4:$I$5000,'Raw Data'!$H$4:$H$5000,"",0),"")</f>
        <v/>
      </c>
      <c r="P1638" s="9" t="str" cm="1">
        <f t="array" aca="1" ref="P1638" ca="1">IF(INDIRECT(M1638) = "","",INDIRECT(M1638))</f>
        <v/>
      </c>
      <c r="Q1638" s="359" t="s">
        <v>4381</v>
      </c>
    </row>
    <row r="1639" spans="1:17" x14ac:dyDescent="0.35">
      <c r="A1639" t="s">
        <v>2350</v>
      </c>
      <c r="B1639" t="s">
        <v>2320</v>
      </c>
      <c r="C1639" t="s">
        <v>998</v>
      </c>
      <c r="E1639" t="str">
        <f>_xlfn.XLOOKUP(F1639,'Raw Data'!$I$4:$I$5000,'Raw Data'!$D$4:$D$5000,"*** Mnemonic not found ***",0)</f>
        <v>*** Mnemonic not found ***</v>
      </c>
      <c r="F1639" t="str">
        <f t="shared" si="395"/>
        <v>SUCMPROPORESRSK_CN_PPR_</v>
      </c>
      <c r="H1639" s="9" t="s">
        <v>1137</v>
      </c>
      <c r="K1639" s="9">
        <f t="shared" si="399"/>
        <v>620</v>
      </c>
      <c r="L1639" s="9" t="str">
        <f t="shared" si="400"/>
        <v>F</v>
      </c>
      <c r="M1639" s="9" t="str">
        <f t="shared" si="393"/>
        <v>Input!F620</v>
      </c>
      <c r="N1639" s="9">
        <f>_xlfn.XLOOKUP(F1639,'Raw Data'!$I$4:$I$5000,'Raw Data'!$E$4:$E$5000,100,0)</f>
        <v>100</v>
      </c>
      <c r="O1639" s="9" t="str">
        <f>IF(N1639=0,_xlfn.XLOOKUP(F1639,'Raw Data'!$I$4:$I$5000,'Raw Data'!$H$4:$H$5000,"",0),"")</f>
        <v/>
      </c>
      <c r="P1639" s="9" t="str" cm="1">
        <f t="array" aca="1" ref="P1639" ca="1">IF(INDIRECT(M1639) = "","",INDIRECT(M1639))</f>
        <v/>
      </c>
      <c r="Q1639" s="359" t="s">
        <v>4381</v>
      </c>
    </row>
    <row r="1640" spans="1:17" x14ac:dyDescent="0.35">
      <c r="A1640" t="s">
        <v>2350</v>
      </c>
      <c r="B1640" t="s">
        <v>2274</v>
      </c>
      <c r="C1640" t="s">
        <v>999</v>
      </c>
      <c r="E1640" t="str">
        <f>_xlfn.XLOOKUP(F1640,'Raw Data'!$I$4:$I$5000,'Raw Data'!$D$4:$D$5000,"*** Mnemonic not found ***",0)</f>
        <v>*** Mnemonic not found ***</v>
      </c>
      <c r="F1640" t="str">
        <f t="shared" si="395"/>
        <v>SUCMPROPORESRSK_CN_ALB_</v>
      </c>
      <c r="H1640" s="9" t="s">
        <v>1137</v>
      </c>
      <c r="K1640" s="9">
        <f t="shared" si="399"/>
        <v>621</v>
      </c>
      <c r="L1640" s="9" t="str">
        <f t="shared" si="400"/>
        <v>F</v>
      </c>
      <c r="M1640" s="9" t="str">
        <f t="shared" si="393"/>
        <v>Input!F621</v>
      </c>
      <c r="N1640" s="9">
        <f>_xlfn.XLOOKUP(F1640,'Raw Data'!$I$4:$I$5000,'Raw Data'!$E$4:$E$5000,100,0)</f>
        <v>100</v>
      </c>
      <c r="O1640" s="9" t="str">
        <f>IF(N1640=0,_xlfn.XLOOKUP(F1640,'Raw Data'!$I$4:$I$5000,'Raw Data'!$H$4:$H$5000,"",0),"")</f>
        <v/>
      </c>
      <c r="P1640" s="9" t="str" cm="1">
        <f t="array" aca="1" ref="P1640" ca="1">IF(INDIRECT(M1640) = "","",INDIRECT(M1640))</f>
        <v/>
      </c>
      <c r="Q1640" s="359" t="s">
        <v>4381</v>
      </c>
    </row>
    <row r="1641" spans="1:17" x14ac:dyDescent="0.35">
      <c r="A1641" t="s">
        <v>2350</v>
      </c>
      <c r="B1641" t="s">
        <v>2321</v>
      </c>
      <c r="C1641" t="s">
        <v>1000</v>
      </c>
      <c r="E1641" t="str">
        <f>_xlfn.XLOOKUP(F1641,'Raw Data'!$I$4:$I$5000,'Raw Data'!$D$4:$D$5000,"*** Mnemonic not found ***",0)</f>
        <v>*** Mnemonic not found ***</v>
      </c>
      <c r="F1641" t="str">
        <f t="shared" si="395"/>
        <v>SUCMPROPORESRSK_CN_ATOTH_</v>
      </c>
      <c r="H1641" s="9" t="s">
        <v>1137</v>
      </c>
      <c r="K1641" s="9">
        <f t="shared" si="399"/>
        <v>622</v>
      </c>
      <c r="L1641" s="9" t="str">
        <f t="shared" si="400"/>
        <v>F</v>
      </c>
      <c r="M1641" s="9" t="str">
        <f t="shared" si="393"/>
        <v>Input!F622</v>
      </c>
      <c r="N1641" s="9">
        <f>_xlfn.XLOOKUP(F1641,'Raw Data'!$I$4:$I$5000,'Raw Data'!$E$4:$E$5000,100,0)</f>
        <v>100</v>
      </c>
      <c r="O1641" s="9" t="str">
        <f>IF(N1641=0,_xlfn.XLOOKUP(F1641,'Raw Data'!$I$4:$I$5000,'Raw Data'!$H$4:$H$5000,"",0),"")</f>
        <v/>
      </c>
      <c r="P1641" s="9" t="str" cm="1">
        <f t="array" aca="1" ref="P1641" ca="1">IF(INDIRECT(M1641) = "","",INDIRECT(M1641))</f>
        <v/>
      </c>
      <c r="Q1641" s="359" t="s">
        <v>4381</v>
      </c>
    </row>
    <row r="1642" spans="1:17" x14ac:dyDescent="0.35">
      <c r="A1642" t="s">
        <v>2350</v>
      </c>
      <c r="B1642" t="s">
        <v>2322</v>
      </c>
      <c r="C1642" t="s">
        <v>1001</v>
      </c>
      <c r="E1642" t="str">
        <f>_xlfn.XLOOKUP(F1642,'Raw Data'!$I$4:$I$5000,'Raw Data'!$D$4:$D$5000,"*** Mnemonic not found ***",0)</f>
        <v>*** Mnemonic not found ***</v>
      </c>
      <c r="F1642" t="str">
        <f t="shared" si="395"/>
        <v>SUCMPROPORESRSK_CN_ATPAC_</v>
      </c>
      <c r="H1642" s="9" t="s">
        <v>1137</v>
      </c>
      <c r="K1642" s="9">
        <f t="shared" si="399"/>
        <v>623</v>
      </c>
      <c r="L1642" s="9" t="str">
        <f t="shared" si="400"/>
        <v>F</v>
      </c>
      <c r="M1642" s="9" t="str">
        <f t="shared" si="393"/>
        <v>Input!F623</v>
      </c>
      <c r="N1642" s="9">
        <f>_xlfn.XLOOKUP(F1642,'Raw Data'!$I$4:$I$5000,'Raw Data'!$E$4:$E$5000,100,0)</f>
        <v>100</v>
      </c>
      <c r="O1642" s="9" t="str">
        <f>IF(N1642=0,_xlfn.XLOOKUP(F1642,'Raw Data'!$I$4:$I$5000,'Raw Data'!$H$4:$H$5000,"",0),"")</f>
        <v/>
      </c>
      <c r="P1642" s="9" t="str" cm="1">
        <f t="array" aca="1" ref="P1642" ca="1">IF(INDIRECT(M1642) = "","",INDIRECT(M1642))</f>
        <v/>
      </c>
      <c r="Q1642" s="359" t="s">
        <v>4381</v>
      </c>
    </row>
    <row r="1643" spans="1:17" x14ac:dyDescent="0.35">
      <c r="A1643" t="s">
        <v>2350</v>
      </c>
      <c r="B1643" t="s">
        <v>2298</v>
      </c>
      <c r="C1643" t="s">
        <v>374</v>
      </c>
      <c r="E1643" t="str">
        <f>_xlfn.XLOOKUP(F1643,'Raw Data'!$I$4:$I$5000,'Raw Data'!$D$4:$D$5000,"*** Mnemonic not found ***",0)</f>
        <v>*** Mnemonic not found ***</v>
      </c>
      <c r="F1643" t="str">
        <f t="shared" si="395"/>
        <v>SUCMPROPORESRSK_CN_CRD_</v>
      </c>
      <c r="H1643" s="9" t="s">
        <v>1137</v>
      </c>
      <c r="K1643" s="9">
        <f t="shared" si="399"/>
        <v>624</v>
      </c>
      <c r="L1643" s="9" t="str">
        <f t="shared" si="400"/>
        <v>F</v>
      </c>
      <c r="M1643" s="9" t="str">
        <f t="shared" si="393"/>
        <v>Input!F624</v>
      </c>
      <c r="N1643" s="9">
        <f>_xlfn.XLOOKUP(F1643,'Raw Data'!$I$4:$I$5000,'Raw Data'!$E$4:$E$5000,100,0)</f>
        <v>100</v>
      </c>
      <c r="O1643" s="9" t="str">
        <f>IF(N1643=0,_xlfn.XLOOKUP(F1643,'Raw Data'!$I$4:$I$5000,'Raw Data'!$H$4:$H$5000,"",0),"")</f>
        <v/>
      </c>
      <c r="P1643" s="9" t="str" cm="1">
        <f t="array" aca="1" ref="P1643" ca="1">IF(INDIRECT(M1643) = "","",INDIRECT(M1643))</f>
        <v/>
      </c>
      <c r="Q1643" s="359" t="s">
        <v>4381</v>
      </c>
    </row>
    <row r="1644" spans="1:17" x14ac:dyDescent="0.35">
      <c r="A1644" t="s">
        <v>2350</v>
      </c>
      <c r="B1644" t="s">
        <v>2323</v>
      </c>
      <c r="C1644" t="s">
        <v>1002</v>
      </c>
      <c r="E1644" t="str">
        <f>_xlfn.XLOOKUP(F1644,'Raw Data'!$I$4:$I$5000,'Raw Data'!$D$4:$D$5000,"*** Mnemonic not found ***",0)</f>
        <v>*** Mnemonic not found ***</v>
      </c>
      <c r="F1644" t="str">
        <f t="shared" si="395"/>
        <v>SUCMPROPORESRSK_CN_CRPR_</v>
      </c>
      <c r="H1644" s="9" t="s">
        <v>1137</v>
      </c>
      <c r="K1644" s="9">
        <f t="shared" si="399"/>
        <v>625</v>
      </c>
      <c r="L1644" s="9" t="str">
        <f t="shared" si="400"/>
        <v>F</v>
      </c>
      <c r="M1644" s="9" t="str">
        <f t="shared" si="393"/>
        <v>Input!F625</v>
      </c>
      <c r="N1644" s="9">
        <f>_xlfn.XLOOKUP(F1644,'Raw Data'!$I$4:$I$5000,'Raw Data'!$E$4:$E$5000,100,0)</f>
        <v>100</v>
      </c>
      <c r="O1644" s="9" t="str">
        <f>IF(N1644=0,_xlfn.XLOOKUP(F1644,'Raw Data'!$I$4:$I$5000,'Raw Data'!$H$4:$H$5000,"",0),"")</f>
        <v/>
      </c>
      <c r="P1644" s="9" t="str" cm="1">
        <f t="array" aca="1" ref="P1644" ca="1">IF(INDIRECT(M1644) = "","",INDIRECT(M1644))</f>
        <v/>
      </c>
      <c r="Q1644" s="359" t="s">
        <v>4381</v>
      </c>
    </row>
    <row r="1645" spans="1:17" x14ac:dyDescent="0.35">
      <c r="A1645" t="s">
        <v>2350</v>
      </c>
      <c r="B1645" t="s">
        <v>2324</v>
      </c>
      <c r="C1645" t="s">
        <v>375</v>
      </c>
      <c r="E1645" t="str">
        <f>_xlfn.XLOOKUP(F1645,'Raw Data'!$I$4:$I$5000,'Raw Data'!$D$4:$D$5000,"*** Mnemonic not found ***",0)</f>
        <v>*** Mnemonic not found ***</v>
      </c>
      <c r="F1645" t="str">
        <f t="shared" si="395"/>
        <v>SUCMPROPORESRSK_CN_FID_</v>
      </c>
      <c r="H1645" s="9" t="s">
        <v>1137</v>
      </c>
      <c r="K1645" s="9">
        <f t="shared" si="399"/>
        <v>626</v>
      </c>
      <c r="L1645" s="9" t="str">
        <f t="shared" si="400"/>
        <v>F</v>
      </c>
      <c r="M1645" s="9" t="str">
        <f t="shared" si="393"/>
        <v>Input!F626</v>
      </c>
      <c r="N1645" s="9">
        <f>_xlfn.XLOOKUP(F1645,'Raw Data'!$I$4:$I$5000,'Raw Data'!$E$4:$E$5000,100,0)</f>
        <v>100</v>
      </c>
      <c r="O1645" s="9" t="str">
        <f>IF(N1645=0,_xlfn.XLOOKUP(F1645,'Raw Data'!$I$4:$I$5000,'Raw Data'!$H$4:$H$5000,"",0),"")</f>
        <v/>
      </c>
      <c r="P1645" s="9" t="str" cm="1">
        <f t="array" aca="1" ref="P1645" ca="1">IF(INDIRECT(M1645) = "","",INDIRECT(M1645))</f>
        <v/>
      </c>
      <c r="Q1645" s="359" t="s">
        <v>4381</v>
      </c>
    </row>
    <row r="1646" spans="1:17" x14ac:dyDescent="0.35">
      <c r="A1646" t="s">
        <v>2350</v>
      </c>
      <c r="B1646" t="s">
        <v>2325</v>
      </c>
      <c r="C1646" t="s">
        <v>376</v>
      </c>
      <c r="E1646" t="str">
        <f>_xlfn.XLOOKUP(F1646,'Raw Data'!$I$4:$I$5000,'Raw Data'!$D$4:$D$5000,"*** Mnemonic not found ***",0)</f>
        <v>*** Mnemonic not found ***</v>
      </c>
      <c r="F1646" t="str">
        <f t="shared" si="395"/>
        <v>SUCMPROPORESRSK_CN_SUR_</v>
      </c>
      <c r="H1646" s="9" t="s">
        <v>1137</v>
      </c>
      <c r="K1646" s="9">
        <f t="shared" si="399"/>
        <v>627</v>
      </c>
      <c r="L1646" s="9" t="str">
        <f t="shared" si="400"/>
        <v>F</v>
      </c>
      <c r="M1646" s="9" t="str">
        <f t="shared" si="393"/>
        <v>Input!F627</v>
      </c>
      <c r="N1646" s="9">
        <f>_xlfn.XLOOKUP(F1646,'Raw Data'!$I$4:$I$5000,'Raw Data'!$E$4:$E$5000,100,0)</f>
        <v>100</v>
      </c>
      <c r="O1646" s="9" t="str">
        <f>IF(N1646=0,_xlfn.XLOOKUP(F1646,'Raw Data'!$I$4:$I$5000,'Raw Data'!$H$4:$H$5000,"",0),"")</f>
        <v/>
      </c>
      <c r="P1646" s="9" t="str" cm="1">
        <f t="array" aca="1" ref="P1646" ca="1">IF(INDIRECT(M1646) = "","",INDIRECT(M1646))</f>
        <v/>
      </c>
      <c r="Q1646" s="359" t="s">
        <v>4381</v>
      </c>
    </row>
    <row r="1647" spans="1:17" x14ac:dyDescent="0.35">
      <c r="A1647" t="s">
        <v>2350</v>
      </c>
      <c r="B1647" t="s">
        <v>2326</v>
      </c>
      <c r="C1647" t="s">
        <v>4144</v>
      </c>
      <c r="E1647" t="str">
        <f>_xlfn.XLOOKUP(F1647,'Raw Data'!$I$4:$I$5000,'Raw Data'!$D$4:$D$5000,"*** Mnemonic not found ***",0)</f>
        <v>*** Mnemonic not found ***</v>
      </c>
      <c r="F1647" t="str">
        <f t="shared" si="395"/>
        <v>SUCMPROPORESRSK_CN_ACSK_</v>
      </c>
      <c r="H1647" s="9" t="s">
        <v>1137</v>
      </c>
      <c r="K1647" s="9">
        <f t="shared" si="399"/>
        <v>628</v>
      </c>
      <c r="L1647" s="9" t="str">
        <f t="shared" si="400"/>
        <v>F</v>
      </c>
      <c r="M1647" s="9" t="str">
        <f t="shared" si="393"/>
        <v>Input!F628</v>
      </c>
      <c r="N1647" s="9">
        <f>_xlfn.XLOOKUP(F1647,'Raw Data'!$I$4:$I$5000,'Raw Data'!$E$4:$E$5000,100,0)</f>
        <v>100</v>
      </c>
      <c r="O1647" s="9" t="str">
        <f>IF(N1647=0,_xlfn.XLOOKUP(F1647,'Raw Data'!$I$4:$I$5000,'Raw Data'!$H$4:$H$5000,"",0),"")</f>
        <v/>
      </c>
      <c r="P1647" s="9" t="str" cm="1">
        <f t="array" aca="1" ref="P1647" ca="1">IF(INDIRECT(M1647) = "","",INDIRECT(M1647))</f>
        <v/>
      </c>
      <c r="Q1647" s="359" t="s">
        <v>4381</v>
      </c>
    </row>
    <row r="1648" spans="1:17" x14ac:dyDescent="0.35">
      <c r="A1648" s="694" t="s">
        <v>2350</v>
      </c>
      <c r="B1648" s="694" t="s">
        <v>4309</v>
      </c>
      <c r="C1648" s="694" t="s">
        <v>4094</v>
      </c>
      <c r="E1648" t="str">
        <f>_xlfn.XLOOKUP(F1648,'Raw Data'!$I$4:$I$5000,'Raw Data'!$D$4:$D$5000,"*** Mnemonic not found ***",0)</f>
        <v>*** Mnemonic not found ***</v>
      </c>
      <c r="F1648" t="str">
        <f t="shared" si="395"/>
        <v>SUCMPROPORESRSK_CN_SUPH_</v>
      </c>
      <c r="H1648" s="9" t="s">
        <v>1137</v>
      </c>
      <c r="K1648" s="9">
        <f t="shared" si="399"/>
        <v>629</v>
      </c>
      <c r="L1648" s="9" t="str">
        <f t="shared" si="400"/>
        <v>F</v>
      </c>
      <c r="M1648" s="9" t="str">
        <f t="shared" ref="M1648:M1656" si="401">CONCATENATE(H1648,"!",L1648,K1648)</f>
        <v>Input!F629</v>
      </c>
      <c r="N1648" s="9">
        <f>_xlfn.XLOOKUP(F1648,'Raw Data'!$I$4:$I$5000,'Raw Data'!$E$4:$E$5000,100,0)</f>
        <v>100</v>
      </c>
      <c r="O1648" s="9" t="str">
        <f>IF(N1648=0,_xlfn.XLOOKUP(F1648,'Raw Data'!$I$4:$I$5000,'Raw Data'!$H$4:$H$5000,"",0),"")</f>
        <v/>
      </c>
      <c r="P1648" s="9" t="str" cm="1">
        <f t="array" aca="1" ref="P1648" ca="1">IF(INDIRECT(M1648) = "","",INDIRECT(M1648))</f>
        <v/>
      </c>
      <c r="Q1648" s="359" t="s">
        <v>4381</v>
      </c>
    </row>
    <row r="1649" spans="1:17" x14ac:dyDescent="0.35">
      <c r="A1649" t="s">
        <v>2350</v>
      </c>
      <c r="B1649" t="s">
        <v>2315</v>
      </c>
      <c r="C1649" t="s">
        <v>377</v>
      </c>
      <c r="E1649" t="str">
        <f>_xlfn.XLOOKUP(F1649,'Raw Data'!$I$4:$I$5000,'Raw Data'!$D$4:$D$5000,"*** Mnemonic not found ***",0)</f>
        <v>*** Mnemonic not found ***</v>
      </c>
      <c r="F1649" t="str">
        <f t="shared" si="395"/>
        <v>SUCMPROPORESRSK_CN_AIR_</v>
      </c>
      <c r="H1649" s="9" t="s">
        <v>1137</v>
      </c>
      <c r="K1649" s="9">
        <f t="shared" si="399"/>
        <v>630</v>
      </c>
      <c r="L1649" s="9" t="str">
        <f t="shared" si="400"/>
        <v>F</v>
      </c>
      <c r="M1649" s="9" t="str">
        <f t="shared" si="401"/>
        <v>Input!F630</v>
      </c>
      <c r="N1649" s="9">
        <f>_xlfn.XLOOKUP(F1649,'Raw Data'!$I$4:$I$5000,'Raw Data'!$E$4:$E$5000,100,0)</f>
        <v>100</v>
      </c>
      <c r="O1649" s="9" t="str">
        <f>IF(N1649=0,_xlfn.XLOOKUP(F1649,'Raw Data'!$I$4:$I$5000,'Raw Data'!$H$4:$H$5000,"",0),"")</f>
        <v/>
      </c>
      <c r="P1649" s="9" t="str" cm="1">
        <f t="array" aca="1" ref="P1649" ca="1">IF(INDIRECT(M1649) = "","",INDIRECT(M1649))</f>
        <v/>
      </c>
      <c r="Q1649" s="359" t="s">
        <v>4381</v>
      </c>
    </row>
    <row r="1650" spans="1:17" x14ac:dyDescent="0.35">
      <c r="A1650" t="s">
        <v>2350</v>
      </c>
      <c r="B1650" t="s">
        <v>2316</v>
      </c>
      <c r="C1650" t="s">
        <v>384</v>
      </c>
      <c r="E1650" t="str">
        <f>_xlfn.XLOOKUP(F1650,'Raw Data'!$I$4:$I$5000,'Raw Data'!$D$4:$D$5000,"*** Mnemonic not found ***",0)</f>
        <v>*** Mnemonic not found ***</v>
      </c>
      <c r="F1650" t="str">
        <f t="shared" si="395"/>
        <v>SUCMPROPORESRSK_CN_OCM_</v>
      </c>
      <c r="H1650" s="9" t="s">
        <v>1137</v>
      </c>
      <c r="K1650" s="9">
        <f t="shared" si="399"/>
        <v>631</v>
      </c>
      <c r="L1650" s="9" t="str">
        <f t="shared" si="400"/>
        <v>F</v>
      </c>
      <c r="M1650" s="9" t="str">
        <f t="shared" si="401"/>
        <v>Input!F631</v>
      </c>
      <c r="N1650" s="9">
        <f>_xlfn.XLOOKUP(F1650,'Raw Data'!$I$4:$I$5000,'Raw Data'!$E$4:$E$5000,100,0)</f>
        <v>100</v>
      </c>
      <c r="O1650" s="9" t="str">
        <f>IF(N1650=0,_xlfn.XLOOKUP(F1650,'Raw Data'!$I$4:$I$5000,'Raw Data'!$H$4:$H$5000,"",0),"")</f>
        <v/>
      </c>
      <c r="P1650" s="9" t="str" cm="1">
        <f t="array" aca="1" ref="P1650" ca="1">IF(INDIRECT(M1650) = "","",INDIRECT(M1650))</f>
        <v/>
      </c>
      <c r="Q1650" s="359" t="s">
        <v>4381</v>
      </c>
    </row>
    <row r="1651" spans="1:17" x14ac:dyDescent="0.35">
      <c r="A1651" s="694" t="s">
        <v>2350</v>
      </c>
      <c r="B1651" s="694" t="s">
        <v>4308</v>
      </c>
      <c r="C1651" s="694" t="s">
        <v>4130</v>
      </c>
      <c r="E1651" t="str">
        <f>_xlfn.XLOOKUP(F1651,'Raw Data'!$I$4:$I$5000,'Raw Data'!$D$4:$D$5000,"*** Mnemonic not found ***",0)</f>
        <v>*** Mnemonic not found ***</v>
      </c>
      <c r="F1651" t="str">
        <f t="shared" si="395"/>
        <v>SUCMPROPORESRSK_CN_MPIN_</v>
      </c>
      <c r="H1651" s="9" t="s">
        <v>1137</v>
      </c>
      <c r="K1651" s="9">
        <f t="shared" si="399"/>
        <v>632</v>
      </c>
      <c r="L1651" s="9" t="str">
        <f t="shared" si="400"/>
        <v>F</v>
      </c>
      <c r="M1651" s="9" t="str">
        <f t="shared" si="401"/>
        <v>Input!F632</v>
      </c>
      <c r="N1651" s="9">
        <f>_xlfn.XLOOKUP(F1651,'Raw Data'!$I$4:$I$5000,'Raw Data'!$E$4:$E$5000,100,0)</f>
        <v>100</v>
      </c>
      <c r="O1651" s="9" t="str">
        <f>IF(N1651=0,_xlfn.XLOOKUP(F1651,'Raw Data'!$I$4:$I$5000,'Raw Data'!$H$4:$H$5000,"",0),"")</f>
        <v/>
      </c>
      <c r="P1651" s="9" t="str" cm="1">
        <f t="array" aca="1" ref="P1651" ca="1">IF(INDIRECT(M1651) = "","",INDIRECT(M1651))</f>
        <v/>
      </c>
      <c r="Q1651" s="359" t="s">
        <v>4381</v>
      </c>
    </row>
    <row r="1652" spans="1:17" x14ac:dyDescent="0.35">
      <c r="A1652" t="s">
        <v>2350</v>
      </c>
      <c r="B1652" s="217" t="s">
        <v>2279</v>
      </c>
      <c r="C1652" t="s">
        <v>1019</v>
      </c>
      <c r="E1652" t="str">
        <f>_xlfn.XLOOKUP(F1652,'Raw Data'!$I$4:$I$5000,'Raw Data'!$D$4:$D$5000,"*** Mnemonic not found ***",0)</f>
        <v>*** Mnemonic not found ***</v>
      </c>
      <c r="F1652" t="str">
        <f t="shared" si="395"/>
        <v>SUCMPROPORESRSK_CN_MAVT_</v>
      </c>
      <c r="H1652" s="9" t="s">
        <v>1137</v>
      </c>
      <c r="K1652" s="9">
        <f t="shared" si="399"/>
        <v>633</v>
      </c>
      <c r="L1652" s="9" t="str">
        <f t="shared" si="400"/>
        <v>F</v>
      </c>
      <c r="M1652" s="9" t="str">
        <f t="shared" si="401"/>
        <v>Input!F633</v>
      </c>
      <c r="N1652" s="9">
        <f>_xlfn.XLOOKUP(F1652,'Raw Data'!$I$4:$I$5000,'Raw Data'!$E$4:$E$5000,100,0)</f>
        <v>100</v>
      </c>
      <c r="O1652" s="9" t="str">
        <f>IF(N1652=0,_xlfn.XLOOKUP(F1652,'Raw Data'!$I$4:$I$5000,'Raw Data'!$H$4:$H$5000,"",0),"")</f>
        <v/>
      </c>
      <c r="P1652" s="9" t="str" cm="1">
        <f t="array" aca="1" ref="P1652" ca="1">IF(INDIRECT(M1652) = "","",INDIRECT(M1652))</f>
        <v/>
      </c>
      <c r="Q1652" s="359" t="s">
        <v>4381</v>
      </c>
    </row>
    <row r="1653" spans="1:17" x14ac:dyDescent="0.35">
      <c r="A1653" t="s">
        <v>2350</v>
      </c>
      <c r="B1653" t="s">
        <v>2327</v>
      </c>
      <c r="C1653" t="s">
        <v>1003</v>
      </c>
      <c r="E1653" t="str">
        <f>_xlfn.XLOOKUP(F1653,'Raw Data'!$I$4:$I$5000,'Raw Data'!$D$4:$D$5000,"*** Mnemonic not found ***",0)</f>
        <v>*** Mnemonic not found ***</v>
      </c>
      <c r="F1653" t="str">
        <f t="shared" si="395"/>
        <v>SUCMPROPORESRSK_CN_OAPR_</v>
      </c>
      <c r="H1653" s="9" t="s">
        <v>1137</v>
      </c>
      <c r="K1653" s="9">
        <f t="shared" si="399"/>
        <v>634</v>
      </c>
      <c r="L1653" s="9" t="str">
        <f t="shared" si="400"/>
        <v>F</v>
      </c>
      <c r="M1653" s="9" t="str">
        <f t="shared" si="401"/>
        <v>Input!F634</v>
      </c>
      <c r="N1653" s="9">
        <f>_xlfn.XLOOKUP(F1653,'Raw Data'!$I$4:$I$5000,'Raw Data'!$E$4:$E$5000,100,0)</f>
        <v>100</v>
      </c>
      <c r="O1653" s="9" t="str">
        <f>IF(N1653=0,_xlfn.XLOOKUP(F1653,'Raw Data'!$I$4:$I$5000,'Raw Data'!$H$4:$H$5000,"",0),"")</f>
        <v/>
      </c>
      <c r="P1653" s="9" t="str" cm="1">
        <f t="array" aca="1" ref="P1653" ca="1">IF(INDIRECT(M1653) = "","",INDIRECT(M1653))</f>
        <v/>
      </c>
      <c r="Q1653" s="359" t="s">
        <v>4381</v>
      </c>
    </row>
    <row r="1654" spans="1:17" x14ac:dyDescent="0.35">
      <c r="A1654" t="s">
        <v>2350</v>
      </c>
      <c r="B1654" t="s">
        <v>2301</v>
      </c>
      <c r="C1654" t="s">
        <v>385</v>
      </c>
      <c r="E1654" t="str">
        <f>_xlfn.XLOOKUP(F1654,'Raw Data'!$I$4:$I$5000,'Raw Data'!$D$4:$D$5000,"*** Mnemonic not found ***",0)</f>
        <v>*** Mnemonic not found ***</v>
      </c>
      <c r="F1654" t="str">
        <f t="shared" si="395"/>
        <v>SUCMPROPORESRSK_CN_TITLE_</v>
      </c>
      <c r="H1654" s="9" t="s">
        <v>1137</v>
      </c>
      <c r="K1654" s="9">
        <f t="shared" si="399"/>
        <v>635</v>
      </c>
      <c r="L1654" s="9" t="str">
        <f t="shared" si="400"/>
        <v>F</v>
      </c>
      <c r="M1654" s="9" t="str">
        <f t="shared" si="401"/>
        <v>Input!F635</v>
      </c>
      <c r="N1654" s="9">
        <f>_xlfn.XLOOKUP(F1654,'Raw Data'!$I$4:$I$5000,'Raw Data'!$E$4:$E$5000,100,0)</f>
        <v>100</v>
      </c>
      <c r="O1654" s="9" t="str">
        <f>IF(N1654=0,_xlfn.XLOOKUP(F1654,'Raw Data'!$I$4:$I$5000,'Raw Data'!$H$4:$H$5000,"",0),"")</f>
        <v/>
      </c>
      <c r="P1654" s="9" t="str" cm="1">
        <f t="array" aca="1" ref="P1654" ca="1">IF(INDIRECT(M1654) = "","",INDIRECT(M1654))</f>
        <v/>
      </c>
      <c r="Q1654" s="359" t="s">
        <v>4381</v>
      </c>
    </row>
    <row r="1655" spans="1:17" x14ac:dyDescent="0.35">
      <c r="A1655" t="s">
        <v>2350</v>
      </c>
      <c r="B1655" t="s">
        <v>2317</v>
      </c>
      <c r="C1655" t="s">
        <v>380</v>
      </c>
      <c r="E1655" t="str">
        <f>_xlfn.XLOOKUP(F1655,'Raw Data'!$I$4:$I$5000,'Raw Data'!$D$4:$D$5000,"*** Mnemonic not found ***",0)</f>
        <v>*** Mnemonic not found ***</v>
      </c>
      <c r="F1655" t="str">
        <f t="shared" si="395"/>
        <v>SUCMPROPORESRSK_CN_WAR_</v>
      </c>
      <c r="H1655" s="9" t="s">
        <v>1137</v>
      </c>
      <c r="K1655" s="9">
        <f t="shared" si="399"/>
        <v>636</v>
      </c>
      <c r="L1655" s="9" t="str">
        <f t="shared" si="400"/>
        <v>F</v>
      </c>
      <c r="M1655" s="9" t="str">
        <f t="shared" si="401"/>
        <v>Input!F636</v>
      </c>
      <c r="N1655" s="9">
        <f>_xlfn.XLOOKUP(F1655,'Raw Data'!$I$4:$I$5000,'Raw Data'!$E$4:$E$5000,100,0)</f>
        <v>100</v>
      </c>
      <c r="O1655" s="9" t="str">
        <f>IF(N1655=0,_xlfn.XLOOKUP(F1655,'Raw Data'!$I$4:$I$5000,'Raw Data'!$H$4:$H$5000,"",0),"")</f>
        <v/>
      </c>
      <c r="P1655" s="9" t="str" cm="1">
        <f t="array" aca="1" ref="P1655" ca="1">IF(INDIRECT(M1655) = "","",INDIRECT(M1655))</f>
        <v/>
      </c>
      <c r="Q1655" s="359" t="s">
        <v>4381</v>
      </c>
    </row>
    <row r="1656" spans="1:17" x14ac:dyDescent="0.35">
      <c r="A1656" t="s">
        <v>2350</v>
      </c>
      <c r="B1656" t="s">
        <v>2283</v>
      </c>
      <c r="C1656" t="s">
        <v>262</v>
      </c>
      <c r="E1656" t="str">
        <f>_xlfn.XLOOKUP(F1656,'Raw Data'!$I$4:$I$5000,'Raw Data'!$D$4:$D$5000,"*** Mnemonic not found ***",0)</f>
        <v>*** Mnemonic not found ***</v>
      </c>
      <c r="F1656" t="str">
        <f t="shared" si="395"/>
        <v>SUCMPROPORESRSK_CN_OCAH_</v>
      </c>
      <c r="H1656" s="9" t="s">
        <v>1137</v>
      </c>
      <c r="K1656" s="9">
        <f t="shared" si="399"/>
        <v>637</v>
      </c>
      <c r="L1656" s="9" t="str">
        <f t="shared" si="400"/>
        <v>F</v>
      </c>
      <c r="M1656" s="9" t="str">
        <f t="shared" si="401"/>
        <v>Input!F637</v>
      </c>
      <c r="N1656" s="9">
        <f>_xlfn.XLOOKUP(F1656,'Raw Data'!$I$4:$I$5000,'Raw Data'!$E$4:$E$5000,100,0)</f>
        <v>100</v>
      </c>
      <c r="O1656" s="9" t="str">
        <f>IF(N1656=0,_xlfn.XLOOKUP(F1656,'Raw Data'!$I$4:$I$5000,'Raw Data'!$H$4:$H$5000,"",0),"")</f>
        <v/>
      </c>
      <c r="P1656" s="9" t="str" cm="1">
        <f t="array" aca="1" ref="P1656" ca="1">IF(INDIRECT(M1656) = "","",INDIRECT(M1656))</f>
        <v/>
      </c>
      <c r="Q1656" s="359" t="s">
        <v>4381</v>
      </c>
    </row>
    <row r="1657" spans="1:17" x14ac:dyDescent="0.35">
      <c r="A1657" t="s">
        <v>2351</v>
      </c>
      <c r="B1657" t="s">
        <v>2271</v>
      </c>
      <c r="C1657" t="s">
        <v>260</v>
      </c>
      <c r="E1657" t="str">
        <f>_xlfn.XLOOKUP(F1657,'Raw Data'!$I$4:$I$5000,'Raw Data'!$D$4:$D$5000,"*** Mnemonic not found ***",0)</f>
        <v>*** Mnemonic not found ***</v>
      </c>
      <c r="F1657" t="str">
        <f t="shared" si="395"/>
        <v>SUCMNOPROPORESRSK_CN_LIA_</v>
      </c>
      <c r="H1657" s="9" t="s">
        <v>1137</v>
      </c>
      <c r="I1657" s="289">
        <f>ROW(section_non_life_resv)</f>
        <v>571</v>
      </c>
      <c r="J1657" s="9">
        <f>J1635</f>
        <v>45</v>
      </c>
      <c r="K1657" s="9">
        <f>I1657+J1657</f>
        <v>616</v>
      </c>
      <c r="L1657" s="9" t="s">
        <v>1145</v>
      </c>
      <c r="M1657" s="9" t="str">
        <f t="shared" si="393"/>
        <v>Input!G616</v>
      </c>
      <c r="N1657" s="9">
        <f>_xlfn.XLOOKUP(F1657,'Raw Data'!$I$4:$I$5000,'Raw Data'!$E$4:$E$5000,100,0)</f>
        <v>100</v>
      </c>
      <c r="O1657" s="9" t="str">
        <f>IF(N1657=0,_xlfn.XLOOKUP(F1657,'Raw Data'!$I$4:$I$5000,'Raw Data'!$H$4:$H$5000,"",0),"")</f>
        <v/>
      </c>
      <c r="P1657" s="9" t="str" cm="1">
        <f t="array" aca="1" ref="P1657" ca="1">IF(INDIRECT(M1657) = "","",INDIRECT(M1657))</f>
        <v/>
      </c>
      <c r="Q1657" s="359" t="s">
        <v>4381</v>
      </c>
    </row>
    <row r="1658" spans="1:17" x14ac:dyDescent="0.35">
      <c r="A1658" t="s">
        <v>2351</v>
      </c>
      <c r="B1658" t="s">
        <v>2291</v>
      </c>
      <c r="C1658" t="s">
        <v>989</v>
      </c>
      <c r="E1658" t="str">
        <f>_xlfn.XLOOKUP(F1658,'Raw Data'!$I$4:$I$5000,'Raw Data'!$D$4:$D$5000,"*** Mnemonic not found ***",0)</f>
        <v>*** Mnemonic not found ***</v>
      </c>
      <c r="F1658" t="str">
        <f t="shared" si="395"/>
        <v>SUCMNOPROPORESRSK_CN_BLM_</v>
      </c>
      <c r="H1658" s="9" t="s">
        <v>1137</v>
      </c>
      <c r="K1658" s="9">
        <f>K1657+1</f>
        <v>617</v>
      </c>
      <c r="L1658" s="9" t="str">
        <f>L1657</f>
        <v>G</v>
      </c>
      <c r="M1658" s="9" t="str">
        <f t="shared" si="393"/>
        <v>Input!G617</v>
      </c>
      <c r="N1658" s="9">
        <f>_xlfn.XLOOKUP(F1658,'Raw Data'!$I$4:$I$5000,'Raw Data'!$E$4:$E$5000,100,0)</f>
        <v>100</v>
      </c>
      <c r="O1658" s="9" t="str">
        <f>IF(N1658=0,_xlfn.XLOOKUP(F1658,'Raw Data'!$I$4:$I$5000,'Raw Data'!$H$4:$H$5000,"",0),"")</f>
        <v/>
      </c>
      <c r="P1658" s="9" t="str" cm="1">
        <f t="array" aca="1" ref="P1658" ca="1">IF(INDIRECT(M1658) = "","",INDIRECT(M1658))</f>
        <v/>
      </c>
      <c r="Q1658" s="359" t="s">
        <v>4381</v>
      </c>
    </row>
    <row r="1659" spans="1:17" x14ac:dyDescent="0.35">
      <c r="A1659" t="s">
        <v>2351</v>
      </c>
      <c r="B1659" t="s">
        <v>2318</v>
      </c>
      <c r="C1659" t="s">
        <v>997</v>
      </c>
      <c r="E1659" t="str">
        <f>_xlfn.XLOOKUP(F1659,'Raw Data'!$I$4:$I$5000,'Raw Data'!$D$4:$D$5000,"*** Mnemonic not found ***",0)</f>
        <v>*** Mnemonic not found ***</v>
      </c>
      <c r="F1659" t="str">
        <f t="shared" si="395"/>
        <v>SUCMNOPROPORESRSK_CN_CMPR_</v>
      </c>
      <c r="H1659" s="9" t="s">
        <v>1137</v>
      </c>
      <c r="K1659" s="9">
        <f t="shared" ref="K1659:K1678" si="402">K1658+1</f>
        <v>618</v>
      </c>
      <c r="L1659" s="9" t="str">
        <f t="shared" ref="L1659:L1678" si="403">L1658</f>
        <v>G</v>
      </c>
      <c r="M1659" s="9" t="str">
        <f t="shared" si="393"/>
        <v>Input!G618</v>
      </c>
      <c r="N1659" s="9">
        <f>_xlfn.XLOOKUP(F1659,'Raw Data'!$I$4:$I$5000,'Raw Data'!$E$4:$E$5000,100,0)</f>
        <v>100</v>
      </c>
      <c r="O1659" s="9" t="str">
        <f>IF(N1659=0,_xlfn.XLOOKUP(F1659,'Raw Data'!$I$4:$I$5000,'Raw Data'!$H$4:$H$5000,"",0),"")</f>
        <v/>
      </c>
      <c r="P1659" s="9" t="str" cm="1">
        <f t="array" aca="1" ref="P1659" ca="1">IF(INDIRECT(M1659) = "","",INDIRECT(M1659))</f>
        <v/>
      </c>
      <c r="Q1659" s="359" t="s">
        <v>4381</v>
      </c>
    </row>
    <row r="1660" spans="1:17" x14ac:dyDescent="0.35">
      <c r="A1660" t="s">
        <v>2351</v>
      </c>
      <c r="B1660" t="s">
        <v>2319</v>
      </c>
      <c r="C1660" t="s">
        <v>383</v>
      </c>
      <c r="E1660" t="str">
        <f>_xlfn.XLOOKUP(F1660,'Raw Data'!$I$4:$I$5000,'Raw Data'!$D$4:$D$5000,"*** Mnemonic not found ***",0)</f>
        <v>*** Mnemonic not found ***</v>
      </c>
      <c r="F1660" t="str">
        <f t="shared" si="395"/>
        <v>SUCMNOPROPORESRSK_CN_HAIL_</v>
      </c>
      <c r="H1660" s="9" t="s">
        <v>1137</v>
      </c>
      <c r="K1660" s="9">
        <f t="shared" si="402"/>
        <v>619</v>
      </c>
      <c r="L1660" s="9" t="str">
        <f t="shared" si="403"/>
        <v>G</v>
      </c>
      <c r="M1660" s="9" t="str">
        <f t="shared" si="393"/>
        <v>Input!G619</v>
      </c>
      <c r="N1660" s="9">
        <f>_xlfn.XLOOKUP(F1660,'Raw Data'!$I$4:$I$5000,'Raw Data'!$E$4:$E$5000,100,0)</f>
        <v>100</v>
      </c>
      <c r="O1660" s="9" t="str">
        <f>IF(N1660=0,_xlfn.XLOOKUP(F1660,'Raw Data'!$I$4:$I$5000,'Raw Data'!$H$4:$H$5000,"",0),"")</f>
        <v/>
      </c>
      <c r="P1660" s="9" t="str" cm="1">
        <f t="array" aca="1" ref="P1660" ca="1">IF(INDIRECT(M1660) = "","",INDIRECT(M1660))</f>
        <v/>
      </c>
      <c r="Q1660" s="359" t="s">
        <v>4381</v>
      </c>
    </row>
    <row r="1661" spans="1:17" x14ac:dyDescent="0.35">
      <c r="A1661" t="s">
        <v>2351</v>
      </c>
      <c r="B1661" t="s">
        <v>2320</v>
      </c>
      <c r="C1661" t="s">
        <v>998</v>
      </c>
      <c r="E1661" t="str">
        <f>_xlfn.XLOOKUP(F1661,'Raw Data'!$I$4:$I$5000,'Raw Data'!$D$4:$D$5000,"*** Mnemonic not found ***",0)</f>
        <v>*** Mnemonic not found ***</v>
      </c>
      <c r="F1661" t="str">
        <f t="shared" si="395"/>
        <v>SUCMNOPROPORESRSK_CN_PPR_</v>
      </c>
      <c r="H1661" s="9" t="s">
        <v>1137</v>
      </c>
      <c r="K1661" s="9">
        <f t="shared" si="402"/>
        <v>620</v>
      </c>
      <c r="L1661" s="9" t="str">
        <f t="shared" si="403"/>
        <v>G</v>
      </c>
      <c r="M1661" s="9" t="str">
        <f t="shared" si="393"/>
        <v>Input!G620</v>
      </c>
      <c r="N1661" s="9">
        <f>_xlfn.XLOOKUP(F1661,'Raw Data'!$I$4:$I$5000,'Raw Data'!$E$4:$E$5000,100,0)</f>
        <v>100</v>
      </c>
      <c r="O1661" s="9" t="str">
        <f>IF(N1661=0,_xlfn.XLOOKUP(F1661,'Raw Data'!$I$4:$I$5000,'Raw Data'!$H$4:$H$5000,"",0),"")</f>
        <v/>
      </c>
      <c r="P1661" s="9" t="str" cm="1">
        <f t="array" aca="1" ref="P1661" ca="1">IF(INDIRECT(M1661) = "","",INDIRECT(M1661))</f>
        <v/>
      </c>
      <c r="Q1661" s="359" t="s">
        <v>4381</v>
      </c>
    </row>
    <row r="1662" spans="1:17" x14ac:dyDescent="0.35">
      <c r="A1662" t="s">
        <v>2351</v>
      </c>
      <c r="B1662" t="s">
        <v>2274</v>
      </c>
      <c r="C1662" t="s">
        <v>999</v>
      </c>
      <c r="E1662" t="str">
        <f>_xlfn.XLOOKUP(F1662,'Raw Data'!$I$4:$I$5000,'Raw Data'!$D$4:$D$5000,"*** Mnemonic not found ***",0)</f>
        <v>*** Mnemonic not found ***</v>
      </c>
      <c r="F1662" t="str">
        <f t="shared" si="395"/>
        <v>SUCMNOPROPORESRSK_CN_ALB_</v>
      </c>
      <c r="H1662" s="9" t="s">
        <v>1137</v>
      </c>
      <c r="K1662" s="9">
        <f t="shared" si="402"/>
        <v>621</v>
      </c>
      <c r="L1662" s="9" t="str">
        <f t="shared" si="403"/>
        <v>G</v>
      </c>
      <c r="M1662" s="9" t="str">
        <f t="shared" si="393"/>
        <v>Input!G621</v>
      </c>
      <c r="N1662" s="9">
        <f>_xlfn.XLOOKUP(F1662,'Raw Data'!$I$4:$I$5000,'Raw Data'!$E$4:$E$5000,100,0)</f>
        <v>100</v>
      </c>
      <c r="O1662" s="9" t="str">
        <f>IF(N1662=0,_xlfn.XLOOKUP(F1662,'Raw Data'!$I$4:$I$5000,'Raw Data'!$H$4:$H$5000,"",0),"")</f>
        <v/>
      </c>
      <c r="P1662" s="9" t="str" cm="1">
        <f t="array" aca="1" ref="P1662" ca="1">IF(INDIRECT(M1662) = "","",INDIRECT(M1662))</f>
        <v/>
      </c>
      <c r="Q1662" s="359" t="s">
        <v>4381</v>
      </c>
    </row>
    <row r="1663" spans="1:17" x14ac:dyDescent="0.35">
      <c r="A1663" t="s">
        <v>2351</v>
      </c>
      <c r="B1663" t="s">
        <v>2321</v>
      </c>
      <c r="C1663" t="s">
        <v>1000</v>
      </c>
      <c r="E1663" t="str">
        <f>_xlfn.XLOOKUP(F1663,'Raw Data'!$I$4:$I$5000,'Raw Data'!$D$4:$D$5000,"*** Mnemonic not found ***",0)</f>
        <v>*** Mnemonic not found ***</v>
      </c>
      <c r="F1663" t="str">
        <f t="shared" si="395"/>
        <v>SUCMNOPROPORESRSK_CN_ATOTH_</v>
      </c>
      <c r="H1663" s="9" t="s">
        <v>1137</v>
      </c>
      <c r="K1663" s="9">
        <f t="shared" si="402"/>
        <v>622</v>
      </c>
      <c r="L1663" s="9" t="str">
        <f t="shared" si="403"/>
        <v>G</v>
      </c>
      <c r="M1663" s="9" t="str">
        <f t="shared" si="393"/>
        <v>Input!G622</v>
      </c>
      <c r="N1663" s="9">
        <f>_xlfn.XLOOKUP(F1663,'Raw Data'!$I$4:$I$5000,'Raw Data'!$E$4:$E$5000,100,0)</f>
        <v>100</v>
      </c>
      <c r="O1663" s="9" t="str">
        <f>IF(N1663=0,_xlfn.XLOOKUP(F1663,'Raw Data'!$I$4:$I$5000,'Raw Data'!$H$4:$H$5000,"",0),"")</f>
        <v/>
      </c>
      <c r="P1663" s="9" t="str" cm="1">
        <f t="array" aca="1" ref="P1663" ca="1">IF(INDIRECT(M1663) = "","",INDIRECT(M1663))</f>
        <v/>
      </c>
      <c r="Q1663" s="359" t="s">
        <v>4381</v>
      </c>
    </row>
    <row r="1664" spans="1:17" x14ac:dyDescent="0.35">
      <c r="A1664" t="s">
        <v>2351</v>
      </c>
      <c r="B1664" t="s">
        <v>2322</v>
      </c>
      <c r="C1664" t="s">
        <v>1001</v>
      </c>
      <c r="E1664" t="str">
        <f>_xlfn.XLOOKUP(F1664,'Raw Data'!$I$4:$I$5000,'Raw Data'!$D$4:$D$5000,"*** Mnemonic not found ***",0)</f>
        <v>*** Mnemonic not found ***</v>
      </c>
      <c r="F1664" t="str">
        <f t="shared" si="395"/>
        <v>SUCMNOPROPORESRSK_CN_ATPAC_</v>
      </c>
      <c r="H1664" s="9" t="s">
        <v>1137</v>
      </c>
      <c r="K1664" s="9">
        <f t="shared" si="402"/>
        <v>623</v>
      </c>
      <c r="L1664" s="9" t="str">
        <f t="shared" si="403"/>
        <v>G</v>
      </c>
      <c r="M1664" s="9" t="str">
        <f t="shared" si="393"/>
        <v>Input!G623</v>
      </c>
      <c r="N1664" s="9">
        <f>_xlfn.XLOOKUP(F1664,'Raw Data'!$I$4:$I$5000,'Raw Data'!$E$4:$E$5000,100,0)</f>
        <v>100</v>
      </c>
      <c r="O1664" s="9" t="str">
        <f>IF(N1664=0,_xlfn.XLOOKUP(F1664,'Raw Data'!$I$4:$I$5000,'Raw Data'!$H$4:$H$5000,"",0),"")</f>
        <v/>
      </c>
      <c r="P1664" s="9" t="str" cm="1">
        <f t="array" aca="1" ref="P1664" ca="1">IF(INDIRECT(M1664) = "","",INDIRECT(M1664))</f>
        <v/>
      </c>
      <c r="Q1664" s="359" t="s">
        <v>4381</v>
      </c>
    </row>
    <row r="1665" spans="1:17" x14ac:dyDescent="0.35">
      <c r="A1665" t="s">
        <v>2351</v>
      </c>
      <c r="B1665" t="s">
        <v>2298</v>
      </c>
      <c r="C1665" t="s">
        <v>374</v>
      </c>
      <c r="E1665" t="str">
        <f>_xlfn.XLOOKUP(F1665,'Raw Data'!$I$4:$I$5000,'Raw Data'!$D$4:$D$5000,"*** Mnemonic not found ***",0)</f>
        <v>*** Mnemonic not found ***</v>
      </c>
      <c r="F1665" t="str">
        <f t="shared" si="395"/>
        <v>SUCMNOPROPORESRSK_CN_CRD_</v>
      </c>
      <c r="H1665" s="9" t="s">
        <v>1137</v>
      </c>
      <c r="K1665" s="9">
        <f t="shared" si="402"/>
        <v>624</v>
      </c>
      <c r="L1665" s="9" t="str">
        <f t="shared" si="403"/>
        <v>G</v>
      </c>
      <c r="M1665" s="9" t="str">
        <f t="shared" si="393"/>
        <v>Input!G624</v>
      </c>
      <c r="N1665" s="9">
        <f>_xlfn.XLOOKUP(F1665,'Raw Data'!$I$4:$I$5000,'Raw Data'!$E$4:$E$5000,100,0)</f>
        <v>100</v>
      </c>
      <c r="O1665" s="9" t="str">
        <f>IF(N1665=0,_xlfn.XLOOKUP(F1665,'Raw Data'!$I$4:$I$5000,'Raw Data'!$H$4:$H$5000,"",0),"")</f>
        <v/>
      </c>
      <c r="P1665" s="9" t="str" cm="1">
        <f t="array" aca="1" ref="P1665" ca="1">IF(INDIRECT(M1665) = "","",INDIRECT(M1665))</f>
        <v/>
      </c>
      <c r="Q1665" s="359" t="s">
        <v>4381</v>
      </c>
    </row>
    <row r="1666" spans="1:17" x14ac:dyDescent="0.35">
      <c r="A1666" t="s">
        <v>2351</v>
      </c>
      <c r="B1666" t="s">
        <v>2323</v>
      </c>
      <c r="C1666" t="s">
        <v>1002</v>
      </c>
      <c r="E1666" t="str">
        <f>_xlfn.XLOOKUP(F1666,'Raw Data'!$I$4:$I$5000,'Raw Data'!$D$4:$D$5000,"*** Mnemonic not found ***",0)</f>
        <v>*** Mnemonic not found ***</v>
      </c>
      <c r="F1666" t="str">
        <f t="shared" si="395"/>
        <v>SUCMNOPROPORESRSK_CN_CRPR_</v>
      </c>
      <c r="H1666" s="9" t="s">
        <v>1137</v>
      </c>
      <c r="K1666" s="9">
        <f t="shared" si="402"/>
        <v>625</v>
      </c>
      <c r="L1666" s="9" t="str">
        <f t="shared" si="403"/>
        <v>G</v>
      </c>
      <c r="M1666" s="9" t="str">
        <f t="shared" si="393"/>
        <v>Input!G625</v>
      </c>
      <c r="N1666" s="9">
        <f>_xlfn.XLOOKUP(F1666,'Raw Data'!$I$4:$I$5000,'Raw Data'!$E$4:$E$5000,100,0)</f>
        <v>100</v>
      </c>
      <c r="O1666" s="9" t="str">
        <f>IF(N1666=0,_xlfn.XLOOKUP(F1666,'Raw Data'!$I$4:$I$5000,'Raw Data'!$H$4:$H$5000,"",0),"")</f>
        <v/>
      </c>
      <c r="P1666" s="9" t="str" cm="1">
        <f t="array" aca="1" ref="P1666" ca="1">IF(INDIRECT(M1666) = "","",INDIRECT(M1666))</f>
        <v/>
      </c>
      <c r="Q1666" s="359" t="s">
        <v>4381</v>
      </c>
    </row>
    <row r="1667" spans="1:17" x14ac:dyDescent="0.35">
      <c r="A1667" t="s">
        <v>2351</v>
      </c>
      <c r="B1667" t="s">
        <v>2324</v>
      </c>
      <c r="C1667" t="s">
        <v>375</v>
      </c>
      <c r="E1667" t="str">
        <f>_xlfn.XLOOKUP(F1667,'Raw Data'!$I$4:$I$5000,'Raw Data'!$D$4:$D$5000,"*** Mnemonic not found ***",0)</f>
        <v>*** Mnemonic not found ***</v>
      </c>
      <c r="F1667" t="str">
        <f t="shared" si="395"/>
        <v>SUCMNOPROPORESRSK_CN_FID_</v>
      </c>
      <c r="H1667" s="9" t="s">
        <v>1137</v>
      </c>
      <c r="K1667" s="9">
        <f t="shared" si="402"/>
        <v>626</v>
      </c>
      <c r="L1667" s="9" t="str">
        <f t="shared" si="403"/>
        <v>G</v>
      </c>
      <c r="M1667" s="9" t="str">
        <f t="shared" si="393"/>
        <v>Input!G626</v>
      </c>
      <c r="N1667" s="9">
        <f>_xlfn.XLOOKUP(F1667,'Raw Data'!$I$4:$I$5000,'Raw Data'!$E$4:$E$5000,100,0)</f>
        <v>100</v>
      </c>
      <c r="O1667" s="9" t="str">
        <f>IF(N1667=0,_xlfn.XLOOKUP(F1667,'Raw Data'!$I$4:$I$5000,'Raw Data'!$H$4:$H$5000,"",0),"")</f>
        <v/>
      </c>
      <c r="P1667" s="9" t="str" cm="1">
        <f t="array" aca="1" ref="P1667" ca="1">IF(INDIRECT(M1667) = "","",INDIRECT(M1667))</f>
        <v/>
      </c>
      <c r="Q1667" s="359" t="s">
        <v>4381</v>
      </c>
    </row>
    <row r="1668" spans="1:17" x14ac:dyDescent="0.35">
      <c r="A1668" t="s">
        <v>2351</v>
      </c>
      <c r="B1668" t="s">
        <v>2325</v>
      </c>
      <c r="C1668" t="s">
        <v>376</v>
      </c>
      <c r="E1668" t="str">
        <f>_xlfn.XLOOKUP(F1668,'Raw Data'!$I$4:$I$5000,'Raw Data'!$D$4:$D$5000,"*** Mnemonic not found ***",0)</f>
        <v>*** Mnemonic not found ***</v>
      </c>
      <c r="F1668" t="str">
        <f t="shared" si="395"/>
        <v>SUCMNOPROPORESRSK_CN_SUR_</v>
      </c>
      <c r="H1668" s="9" t="s">
        <v>1137</v>
      </c>
      <c r="K1668" s="9">
        <f t="shared" si="402"/>
        <v>627</v>
      </c>
      <c r="L1668" s="9" t="str">
        <f t="shared" si="403"/>
        <v>G</v>
      </c>
      <c r="M1668" s="9" t="str">
        <f t="shared" si="393"/>
        <v>Input!G627</v>
      </c>
      <c r="N1668" s="9">
        <f>_xlfn.XLOOKUP(F1668,'Raw Data'!$I$4:$I$5000,'Raw Data'!$E$4:$E$5000,100,0)</f>
        <v>100</v>
      </c>
      <c r="O1668" s="9" t="str">
        <f>IF(N1668=0,_xlfn.XLOOKUP(F1668,'Raw Data'!$I$4:$I$5000,'Raw Data'!$H$4:$H$5000,"",0),"")</f>
        <v/>
      </c>
      <c r="P1668" s="9" t="str" cm="1">
        <f t="array" aca="1" ref="P1668" ca="1">IF(INDIRECT(M1668) = "","",INDIRECT(M1668))</f>
        <v/>
      </c>
      <c r="Q1668" s="359" t="s">
        <v>4381</v>
      </c>
    </row>
    <row r="1669" spans="1:17" x14ac:dyDescent="0.35">
      <c r="A1669" t="s">
        <v>2351</v>
      </c>
      <c r="B1669" t="s">
        <v>2326</v>
      </c>
      <c r="C1669" t="s">
        <v>4144</v>
      </c>
      <c r="E1669" t="str">
        <f>_xlfn.XLOOKUP(F1669,'Raw Data'!$I$4:$I$5000,'Raw Data'!$D$4:$D$5000,"*** Mnemonic not found ***",0)</f>
        <v>*** Mnemonic not found ***</v>
      </c>
      <c r="F1669" t="str">
        <f t="shared" si="395"/>
        <v>SUCMNOPROPORESRSK_CN_ACSK_</v>
      </c>
      <c r="H1669" s="9" t="s">
        <v>1137</v>
      </c>
      <c r="K1669" s="9">
        <f t="shared" si="402"/>
        <v>628</v>
      </c>
      <c r="L1669" s="9" t="str">
        <f t="shared" si="403"/>
        <v>G</v>
      </c>
      <c r="M1669" s="9" t="str">
        <f t="shared" si="393"/>
        <v>Input!G628</v>
      </c>
      <c r="N1669" s="9">
        <f>_xlfn.XLOOKUP(F1669,'Raw Data'!$I$4:$I$5000,'Raw Data'!$E$4:$E$5000,100,0)</f>
        <v>100</v>
      </c>
      <c r="O1669" s="9" t="str">
        <f>IF(N1669=0,_xlfn.XLOOKUP(F1669,'Raw Data'!$I$4:$I$5000,'Raw Data'!$H$4:$H$5000,"",0),"")</f>
        <v/>
      </c>
      <c r="P1669" s="9" t="str" cm="1">
        <f t="array" aca="1" ref="P1669" ca="1">IF(INDIRECT(M1669) = "","",INDIRECT(M1669))</f>
        <v/>
      </c>
      <c r="Q1669" s="359" t="s">
        <v>4381</v>
      </c>
    </row>
    <row r="1670" spans="1:17" x14ac:dyDescent="0.35">
      <c r="A1670" s="694" t="s">
        <v>2351</v>
      </c>
      <c r="B1670" s="694" t="s">
        <v>4309</v>
      </c>
      <c r="C1670" s="694" t="s">
        <v>4094</v>
      </c>
      <c r="E1670" t="str">
        <f>_xlfn.XLOOKUP(F1670,'Raw Data'!$I$4:$I$5000,'Raw Data'!$D$4:$D$5000,"*** Mnemonic not found ***",0)</f>
        <v>*** Mnemonic not found ***</v>
      </c>
      <c r="F1670" t="str">
        <f t="shared" si="395"/>
        <v>SUCMNOPROPORESRSK_CN_SUPH_</v>
      </c>
      <c r="H1670" s="9" t="s">
        <v>1137</v>
      </c>
      <c r="K1670" s="9">
        <f t="shared" si="402"/>
        <v>629</v>
      </c>
      <c r="L1670" s="9" t="str">
        <f t="shared" si="403"/>
        <v>G</v>
      </c>
      <c r="M1670" s="9" t="str">
        <f t="shared" ref="M1670:M1678" si="404">CONCATENATE(H1670,"!",L1670,K1670)</f>
        <v>Input!G629</v>
      </c>
      <c r="N1670" s="9">
        <f>_xlfn.XLOOKUP(F1670,'Raw Data'!$I$4:$I$5000,'Raw Data'!$E$4:$E$5000,100,0)</f>
        <v>100</v>
      </c>
      <c r="O1670" s="9" t="str">
        <f>IF(N1670=0,_xlfn.XLOOKUP(F1670,'Raw Data'!$I$4:$I$5000,'Raw Data'!$H$4:$H$5000,"",0),"")</f>
        <v/>
      </c>
      <c r="P1670" s="9" t="str" cm="1">
        <f t="array" aca="1" ref="P1670" ca="1">IF(INDIRECT(M1670) = "","",INDIRECT(M1670))</f>
        <v/>
      </c>
      <c r="Q1670" s="359" t="s">
        <v>4381</v>
      </c>
    </row>
    <row r="1671" spans="1:17" x14ac:dyDescent="0.35">
      <c r="A1671" t="s">
        <v>2351</v>
      </c>
      <c r="B1671" t="s">
        <v>2315</v>
      </c>
      <c r="C1671" t="s">
        <v>377</v>
      </c>
      <c r="E1671" t="str">
        <f>_xlfn.XLOOKUP(F1671,'Raw Data'!$I$4:$I$5000,'Raw Data'!$D$4:$D$5000,"*** Mnemonic not found ***",0)</f>
        <v>*** Mnemonic not found ***</v>
      </c>
      <c r="F1671" t="str">
        <f t="shared" ref="F1671:F1734" si="405">CONCATENATE(A1671,"_",B1671,"_",D1671)</f>
        <v>SUCMNOPROPORESRSK_CN_AIR_</v>
      </c>
      <c r="H1671" s="9" t="s">
        <v>1137</v>
      </c>
      <c r="K1671" s="9">
        <f t="shared" si="402"/>
        <v>630</v>
      </c>
      <c r="L1671" s="9" t="str">
        <f t="shared" si="403"/>
        <v>G</v>
      </c>
      <c r="M1671" s="9" t="str">
        <f t="shared" si="404"/>
        <v>Input!G630</v>
      </c>
      <c r="N1671" s="9">
        <f>_xlfn.XLOOKUP(F1671,'Raw Data'!$I$4:$I$5000,'Raw Data'!$E$4:$E$5000,100,0)</f>
        <v>100</v>
      </c>
      <c r="O1671" s="9" t="str">
        <f>IF(N1671=0,_xlfn.XLOOKUP(F1671,'Raw Data'!$I$4:$I$5000,'Raw Data'!$H$4:$H$5000,"",0),"")</f>
        <v/>
      </c>
      <c r="P1671" s="9" t="str" cm="1">
        <f t="array" aca="1" ref="P1671" ca="1">IF(INDIRECT(M1671) = "","",INDIRECT(M1671))</f>
        <v/>
      </c>
      <c r="Q1671" s="359" t="s">
        <v>4381</v>
      </c>
    </row>
    <row r="1672" spans="1:17" x14ac:dyDescent="0.35">
      <c r="A1672" t="s">
        <v>2351</v>
      </c>
      <c r="B1672" t="s">
        <v>2316</v>
      </c>
      <c r="C1672" t="s">
        <v>384</v>
      </c>
      <c r="E1672" t="str">
        <f>_xlfn.XLOOKUP(F1672,'Raw Data'!$I$4:$I$5000,'Raw Data'!$D$4:$D$5000,"*** Mnemonic not found ***",0)</f>
        <v>*** Mnemonic not found ***</v>
      </c>
      <c r="F1672" t="str">
        <f t="shared" si="405"/>
        <v>SUCMNOPROPORESRSK_CN_OCM_</v>
      </c>
      <c r="H1672" s="9" t="s">
        <v>1137</v>
      </c>
      <c r="K1672" s="9">
        <f t="shared" si="402"/>
        <v>631</v>
      </c>
      <c r="L1672" s="9" t="str">
        <f t="shared" si="403"/>
        <v>G</v>
      </c>
      <c r="M1672" s="9" t="str">
        <f t="shared" si="404"/>
        <v>Input!G631</v>
      </c>
      <c r="N1672" s="9">
        <f>_xlfn.XLOOKUP(F1672,'Raw Data'!$I$4:$I$5000,'Raw Data'!$E$4:$E$5000,100,0)</f>
        <v>100</v>
      </c>
      <c r="O1672" s="9" t="str">
        <f>IF(N1672=0,_xlfn.XLOOKUP(F1672,'Raw Data'!$I$4:$I$5000,'Raw Data'!$H$4:$H$5000,"",0),"")</f>
        <v/>
      </c>
      <c r="P1672" s="9" t="str" cm="1">
        <f t="array" aca="1" ref="P1672" ca="1">IF(INDIRECT(M1672) = "","",INDIRECT(M1672))</f>
        <v/>
      </c>
      <c r="Q1672" s="359" t="s">
        <v>4381</v>
      </c>
    </row>
    <row r="1673" spans="1:17" x14ac:dyDescent="0.35">
      <c r="A1673" s="694" t="s">
        <v>2351</v>
      </c>
      <c r="B1673" s="694" t="s">
        <v>4308</v>
      </c>
      <c r="C1673" s="694" t="s">
        <v>4130</v>
      </c>
      <c r="E1673" t="str">
        <f>_xlfn.XLOOKUP(F1673,'Raw Data'!$I$4:$I$5000,'Raw Data'!$D$4:$D$5000,"*** Mnemonic not found ***",0)</f>
        <v>*** Mnemonic not found ***</v>
      </c>
      <c r="F1673" t="str">
        <f t="shared" si="405"/>
        <v>SUCMNOPROPORESRSK_CN_MPIN_</v>
      </c>
      <c r="H1673" s="9" t="s">
        <v>1137</v>
      </c>
      <c r="K1673" s="9">
        <f t="shared" si="402"/>
        <v>632</v>
      </c>
      <c r="L1673" s="9" t="str">
        <f t="shared" si="403"/>
        <v>G</v>
      </c>
      <c r="M1673" s="9" t="str">
        <f t="shared" si="404"/>
        <v>Input!G632</v>
      </c>
      <c r="N1673" s="9">
        <f>_xlfn.XLOOKUP(F1673,'Raw Data'!$I$4:$I$5000,'Raw Data'!$E$4:$E$5000,100,0)</f>
        <v>100</v>
      </c>
      <c r="O1673" s="9" t="str">
        <f>IF(N1673=0,_xlfn.XLOOKUP(F1673,'Raw Data'!$I$4:$I$5000,'Raw Data'!$H$4:$H$5000,"",0),"")</f>
        <v/>
      </c>
      <c r="P1673" s="9" t="str" cm="1">
        <f t="array" aca="1" ref="P1673" ca="1">IF(INDIRECT(M1673) = "","",INDIRECT(M1673))</f>
        <v/>
      </c>
      <c r="Q1673" s="359" t="s">
        <v>4381</v>
      </c>
    </row>
    <row r="1674" spans="1:17" x14ac:dyDescent="0.35">
      <c r="A1674" t="s">
        <v>2351</v>
      </c>
      <c r="B1674" s="217" t="s">
        <v>2279</v>
      </c>
      <c r="C1674" t="s">
        <v>1019</v>
      </c>
      <c r="E1674" t="str">
        <f>_xlfn.XLOOKUP(F1674,'Raw Data'!$I$4:$I$5000,'Raw Data'!$D$4:$D$5000,"*** Mnemonic not found ***",0)</f>
        <v>*** Mnemonic not found ***</v>
      </c>
      <c r="F1674" t="str">
        <f t="shared" si="405"/>
        <v>SUCMNOPROPORESRSK_CN_MAVT_</v>
      </c>
      <c r="H1674" s="9" t="s">
        <v>1137</v>
      </c>
      <c r="K1674" s="9">
        <f t="shared" si="402"/>
        <v>633</v>
      </c>
      <c r="L1674" s="9" t="str">
        <f t="shared" si="403"/>
        <v>G</v>
      </c>
      <c r="M1674" s="9" t="str">
        <f t="shared" si="404"/>
        <v>Input!G633</v>
      </c>
      <c r="N1674" s="9">
        <f>_xlfn.XLOOKUP(F1674,'Raw Data'!$I$4:$I$5000,'Raw Data'!$E$4:$E$5000,100,0)</f>
        <v>100</v>
      </c>
      <c r="O1674" s="9" t="str">
        <f>IF(N1674=0,_xlfn.XLOOKUP(F1674,'Raw Data'!$I$4:$I$5000,'Raw Data'!$H$4:$H$5000,"",0),"")</f>
        <v/>
      </c>
      <c r="P1674" s="9" t="str" cm="1">
        <f t="array" aca="1" ref="P1674" ca="1">IF(INDIRECT(M1674) = "","",INDIRECT(M1674))</f>
        <v/>
      </c>
      <c r="Q1674" s="359" t="s">
        <v>4381</v>
      </c>
    </row>
    <row r="1675" spans="1:17" x14ac:dyDescent="0.35">
      <c r="A1675" t="s">
        <v>2351</v>
      </c>
      <c r="B1675" t="s">
        <v>2327</v>
      </c>
      <c r="C1675" t="s">
        <v>1003</v>
      </c>
      <c r="E1675" t="str">
        <f>_xlfn.XLOOKUP(F1675,'Raw Data'!$I$4:$I$5000,'Raw Data'!$D$4:$D$5000,"*** Mnemonic not found ***",0)</f>
        <v>*** Mnemonic not found ***</v>
      </c>
      <c r="F1675" t="str">
        <f t="shared" si="405"/>
        <v>SUCMNOPROPORESRSK_CN_OAPR_</v>
      </c>
      <c r="H1675" s="9" t="s">
        <v>1137</v>
      </c>
      <c r="K1675" s="9">
        <f t="shared" si="402"/>
        <v>634</v>
      </c>
      <c r="L1675" s="9" t="str">
        <f t="shared" si="403"/>
        <v>G</v>
      </c>
      <c r="M1675" s="9" t="str">
        <f t="shared" si="404"/>
        <v>Input!G634</v>
      </c>
      <c r="N1675" s="9">
        <f>_xlfn.XLOOKUP(F1675,'Raw Data'!$I$4:$I$5000,'Raw Data'!$E$4:$E$5000,100,0)</f>
        <v>100</v>
      </c>
      <c r="O1675" s="9" t="str">
        <f>IF(N1675=0,_xlfn.XLOOKUP(F1675,'Raw Data'!$I$4:$I$5000,'Raw Data'!$H$4:$H$5000,"",0),"")</f>
        <v/>
      </c>
      <c r="P1675" s="9" t="str" cm="1">
        <f t="array" aca="1" ref="P1675" ca="1">IF(INDIRECT(M1675) = "","",INDIRECT(M1675))</f>
        <v/>
      </c>
      <c r="Q1675" s="359" t="s">
        <v>4381</v>
      </c>
    </row>
    <row r="1676" spans="1:17" x14ac:dyDescent="0.35">
      <c r="A1676" t="s">
        <v>2351</v>
      </c>
      <c r="B1676" t="s">
        <v>2301</v>
      </c>
      <c r="C1676" t="s">
        <v>385</v>
      </c>
      <c r="E1676" t="str">
        <f>_xlfn.XLOOKUP(F1676,'Raw Data'!$I$4:$I$5000,'Raw Data'!$D$4:$D$5000,"*** Mnemonic not found ***",0)</f>
        <v>*** Mnemonic not found ***</v>
      </c>
      <c r="F1676" t="str">
        <f t="shared" si="405"/>
        <v>SUCMNOPROPORESRSK_CN_TITLE_</v>
      </c>
      <c r="H1676" s="9" t="s">
        <v>1137</v>
      </c>
      <c r="K1676" s="9">
        <f t="shared" si="402"/>
        <v>635</v>
      </c>
      <c r="L1676" s="9" t="str">
        <f t="shared" si="403"/>
        <v>G</v>
      </c>
      <c r="M1676" s="9" t="str">
        <f t="shared" si="404"/>
        <v>Input!G635</v>
      </c>
      <c r="N1676" s="9">
        <f>_xlfn.XLOOKUP(F1676,'Raw Data'!$I$4:$I$5000,'Raw Data'!$E$4:$E$5000,100,0)</f>
        <v>100</v>
      </c>
      <c r="O1676" s="9" t="str">
        <f>IF(N1676=0,_xlfn.XLOOKUP(F1676,'Raw Data'!$I$4:$I$5000,'Raw Data'!$H$4:$H$5000,"",0),"")</f>
        <v/>
      </c>
      <c r="P1676" s="9" t="str" cm="1">
        <f t="array" aca="1" ref="P1676" ca="1">IF(INDIRECT(M1676) = "","",INDIRECT(M1676))</f>
        <v/>
      </c>
      <c r="Q1676" s="359" t="s">
        <v>4381</v>
      </c>
    </row>
    <row r="1677" spans="1:17" x14ac:dyDescent="0.35">
      <c r="A1677" t="s">
        <v>2351</v>
      </c>
      <c r="B1677" t="s">
        <v>2317</v>
      </c>
      <c r="C1677" t="s">
        <v>380</v>
      </c>
      <c r="E1677" t="str">
        <f>_xlfn.XLOOKUP(F1677,'Raw Data'!$I$4:$I$5000,'Raw Data'!$D$4:$D$5000,"*** Mnemonic not found ***",0)</f>
        <v>*** Mnemonic not found ***</v>
      </c>
      <c r="F1677" t="str">
        <f t="shared" si="405"/>
        <v>SUCMNOPROPORESRSK_CN_WAR_</v>
      </c>
      <c r="H1677" s="9" t="s">
        <v>1137</v>
      </c>
      <c r="K1677" s="9">
        <f t="shared" si="402"/>
        <v>636</v>
      </c>
      <c r="L1677" s="9" t="str">
        <f t="shared" si="403"/>
        <v>G</v>
      </c>
      <c r="M1677" s="9" t="str">
        <f t="shared" si="404"/>
        <v>Input!G636</v>
      </c>
      <c r="N1677" s="9">
        <f>_xlfn.XLOOKUP(F1677,'Raw Data'!$I$4:$I$5000,'Raw Data'!$E$4:$E$5000,100,0)</f>
        <v>100</v>
      </c>
      <c r="O1677" s="9" t="str">
        <f>IF(N1677=0,_xlfn.XLOOKUP(F1677,'Raw Data'!$I$4:$I$5000,'Raw Data'!$H$4:$H$5000,"",0),"")</f>
        <v/>
      </c>
      <c r="P1677" s="9" t="str" cm="1">
        <f t="array" aca="1" ref="P1677" ca="1">IF(INDIRECT(M1677) = "","",INDIRECT(M1677))</f>
        <v/>
      </c>
      <c r="Q1677" s="359" t="s">
        <v>4381</v>
      </c>
    </row>
    <row r="1678" spans="1:17" x14ac:dyDescent="0.35">
      <c r="A1678" t="s">
        <v>2351</v>
      </c>
      <c r="B1678" t="s">
        <v>2283</v>
      </c>
      <c r="C1678" t="s">
        <v>262</v>
      </c>
      <c r="E1678" t="str">
        <f>_xlfn.XLOOKUP(F1678,'Raw Data'!$I$4:$I$5000,'Raw Data'!$D$4:$D$5000,"*** Mnemonic not found ***",0)</f>
        <v>*** Mnemonic not found ***</v>
      </c>
      <c r="F1678" t="str">
        <f t="shared" si="405"/>
        <v>SUCMNOPROPORESRSK_CN_OCAH_</v>
      </c>
      <c r="H1678" s="9" t="s">
        <v>1137</v>
      </c>
      <c r="K1678" s="9">
        <f t="shared" si="402"/>
        <v>637</v>
      </c>
      <c r="L1678" s="9" t="str">
        <f t="shared" si="403"/>
        <v>G</v>
      </c>
      <c r="M1678" s="9" t="str">
        <f t="shared" si="404"/>
        <v>Input!G637</v>
      </c>
      <c r="N1678" s="9">
        <f>_xlfn.XLOOKUP(F1678,'Raw Data'!$I$4:$I$5000,'Raw Data'!$E$4:$E$5000,100,0)</f>
        <v>100</v>
      </c>
      <c r="O1678" s="9" t="str">
        <f>IF(N1678=0,_xlfn.XLOOKUP(F1678,'Raw Data'!$I$4:$I$5000,'Raw Data'!$H$4:$H$5000,"",0),"")</f>
        <v/>
      </c>
      <c r="P1678" s="9" t="str" cm="1">
        <f t="array" aca="1" ref="P1678" ca="1">IF(INDIRECT(M1678) = "","",INDIRECT(M1678))</f>
        <v/>
      </c>
      <c r="Q1678" s="359" t="s">
        <v>4381</v>
      </c>
    </row>
    <row r="1679" spans="1:17" x14ac:dyDescent="0.35">
      <c r="A1679" t="s">
        <v>2352</v>
      </c>
      <c r="B1679" t="s">
        <v>2328</v>
      </c>
      <c r="C1679" t="s">
        <v>1004</v>
      </c>
      <c r="E1679" t="str">
        <f>_xlfn.XLOOKUP(F1679,'Raw Data'!$I$4:$I$5000,'Raw Data'!$D$4:$D$5000,"*** Mnemonic not found ***",0)</f>
        <v>*** Mnemonic not found ***</v>
      </c>
      <c r="F1679" t="str">
        <f t="shared" si="405"/>
        <v>SUCMPROPORESRSK_AP_EMLIB_</v>
      </c>
      <c r="G1679" t="s">
        <v>2359</v>
      </c>
      <c r="H1679" s="9" t="s">
        <v>1137</v>
      </c>
      <c r="I1679" s="289">
        <f>ROW(section_non_life_resv)</f>
        <v>571</v>
      </c>
      <c r="J1679" s="9">
        <v>68</v>
      </c>
      <c r="K1679" s="9">
        <f>I1679+J1679</f>
        <v>639</v>
      </c>
      <c r="L1679" s="9" t="s">
        <v>1124</v>
      </c>
      <c r="M1679" s="9" t="str">
        <f t="shared" ref="M1679:M1742" si="406">CONCATENATE(H1679,"!",L1679,K1679)</f>
        <v>Input!F639</v>
      </c>
      <c r="N1679" s="9">
        <f>_xlfn.XLOOKUP(F1679,'Raw Data'!$I$4:$I$5000,'Raw Data'!$E$4:$E$5000,100,0)</f>
        <v>100</v>
      </c>
      <c r="O1679" s="9" t="str">
        <f>IF(N1679=0,_xlfn.XLOOKUP(F1679,'Raw Data'!$I$4:$I$5000,'Raw Data'!$H$4:$H$5000,"",0),"")</f>
        <v/>
      </c>
      <c r="P1679" s="9" t="str" cm="1">
        <f t="array" aca="1" ref="P1679" ca="1">IF(INDIRECT(M1679) = "","",INDIRECT(M1679))</f>
        <v/>
      </c>
      <c r="Q1679" s="359" t="s">
        <v>4381</v>
      </c>
    </row>
    <row r="1680" spans="1:17" x14ac:dyDescent="0.35">
      <c r="A1680" t="s">
        <v>2352</v>
      </c>
      <c r="B1680" t="s">
        <v>2271</v>
      </c>
      <c r="C1680" t="s">
        <v>978</v>
      </c>
      <c r="E1680" t="str">
        <f>_xlfn.XLOOKUP(F1680,'Raw Data'!$I$4:$I$5000,'Raw Data'!$D$4:$D$5000,"*** Mnemonic not found ***",0)</f>
        <v>*** Mnemonic not found ***</v>
      </c>
      <c r="F1680" t="str">
        <f t="shared" si="405"/>
        <v>SUCMPROPORESRSK_AP_LIA_</v>
      </c>
      <c r="H1680" s="9" t="s">
        <v>1137</v>
      </c>
      <c r="K1680" s="9">
        <f>K1679+1</f>
        <v>640</v>
      </c>
      <c r="L1680" s="9" t="str">
        <f>L1679</f>
        <v>F</v>
      </c>
      <c r="M1680" s="9" t="str">
        <f t="shared" si="406"/>
        <v>Input!F640</v>
      </c>
      <c r="N1680" s="9">
        <f>_xlfn.XLOOKUP(F1680,'Raw Data'!$I$4:$I$5000,'Raw Data'!$E$4:$E$5000,100,0)</f>
        <v>100</v>
      </c>
      <c r="O1680" s="9" t="str">
        <f>IF(N1680=0,_xlfn.XLOOKUP(F1680,'Raw Data'!$I$4:$I$5000,'Raw Data'!$H$4:$H$5000,"",0),"")</f>
        <v/>
      </c>
      <c r="P1680" s="9" t="str" cm="1">
        <f t="array" aca="1" ref="P1680" ca="1">IF(INDIRECT(M1680) = "","",INDIRECT(M1680))</f>
        <v/>
      </c>
      <c r="Q1680" s="359" t="s">
        <v>4381</v>
      </c>
    </row>
    <row r="1681" spans="1:17" x14ac:dyDescent="0.35">
      <c r="A1681" t="s">
        <v>2352</v>
      </c>
      <c r="B1681" t="s">
        <v>2329</v>
      </c>
      <c r="C1681" t="s">
        <v>1005</v>
      </c>
      <c r="E1681" t="str">
        <f>_xlfn.XLOOKUP(F1681,'Raw Data'!$I$4:$I$5000,'Raw Data'!$D$4:$D$5000,"*** Mnemonic not found ***",0)</f>
        <v>*** Mnemonic not found ***</v>
      </c>
      <c r="F1681" t="str">
        <f t="shared" si="405"/>
        <v>SUCMPROPORESRSK_AP_PRIND_</v>
      </c>
      <c r="H1681" s="9" t="s">
        <v>1137</v>
      </c>
      <c r="K1681" s="9">
        <f t="shared" ref="K1681:K1699" si="407">K1680+1</f>
        <v>641</v>
      </c>
      <c r="L1681" s="9" t="str">
        <f t="shared" ref="L1681:L1699" si="408">L1680</f>
        <v>F</v>
      </c>
      <c r="M1681" s="9" t="str">
        <f t="shared" ref="M1681:M1699" si="409">CONCATENATE(H1681,"!",L1681,K1681)</f>
        <v>Input!F641</v>
      </c>
      <c r="N1681" s="9">
        <f>_xlfn.XLOOKUP(F1681,'Raw Data'!$I$4:$I$5000,'Raw Data'!$E$4:$E$5000,100,0)</f>
        <v>100</v>
      </c>
      <c r="O1681" s="9" t="str">
        <f>IF(N1681=0,_xlfn.XLOOKUP(F1681,'Raw Data'!$I$4:$I$5000,'Raw Data'!$H$4:$H$5000,"",0),"")</f>
        <v/>
      </c>
      <c r="P1681" s="9" t="str" cm="1">
        <f t="array" aca="1" ref="P1681" ca="1">IF(INDIRECT(M1681) = "","",INDIRECT(M1681))</f>
        <v/>
      </c>
      <c r="Q1681" s="359" t="s">
        <v>4381</v>
      </c>
    </row>
    <row r="1682" spans="1:17" x14ac:dyDescent="0.35">
      <c r="A1682" t="s">
        <v>2352</v>
      </c>
      <c r="B1682" t="s">
        <v>2330</v>
      </c>
      <c r="C1682" t="s">
        <v>407</v>
      </c>
      <c r="E1682" t="str">
        <f>_xlfn.XLOOKUP(F1682,'Raw Data'!$I$4:$I$5000,'Raw Data'!$D$4:$D$5000,"*** Mnemonic not found ***",0)</f>
        <v>*** Mnemonic not found ***</v>
      </c>
      <c r="F1682" t="str">
        <f t="shared" si="405"/>
        <v>SUCMPROPORESRSK_AP_PAPL_</v>
      </c>
      <c r="H1682" s="9" t="s">
        <v>1137</v>
      </c>
      <c r="K1682" s="9">
        <f t="shared" si="407"/>
        <v>642</v>
      </c>
      <c r="L1682" s="9" t="str">
        <f t="shared" si="408"/>
        <v>F</v>
      </c>
      <c r="M1682" s="9" t="str">
        <f t="shared" si="409"/>
        <v>Input!F642</v>
      </c>
      <c r="N1682" s="9">
        <f>_xlfn.XLOOKUP(F1682,'Raw Data'!$I$4:$I$5000,'Raw Data'!$E$4:$E$5000,100,0)</f>
        <v>100</v>
      </c>
      <c r="O1682" s="9" t="str">
        <f>IF(N1682=0,_xlfn.XLOOKUP(F1682,'Raw Data'!$I$4:$I$5000,'Raw Data'!$H$4:$H$5000,"",0),"")</f>
        <v/>
      </c>
      <c r="P1682" s="9" t="str" cm="1">
        <f t="array" aca="1" ref="P1682" ca="1">IF(INDIRECT(M1682) = "","",INDIRECT(M1682))</f>
        <v/>
      </c>
      <c r="Q1682" s="359" t="s">
        <v>4381</v>
      </c>
    </row>
    <row r="1683" spans="1:17" x14ac:dyDescent="0.35">
      <c r="A1683" t="s">
        <v>2352</v>
      </c>
      <c r="B1683" t="s">
        <v>2318</v>
      </c>
      <c r="C1683" t="s">
        <v>997</v>
      </c>
      <c r="E1683" t="str">
        <f>_xlfn.XLOOKUP(F1683,'Raw Data'!$I$4:$I$5000,'Raw Data'!$D$4:$D$5000,"*** Mnemonic not found ***",0)</f>
        <v>*** Mnemonic not found ***</v>
      </c>
      <c r="F1683" t="str">
        <f t="shared" si="405"/>
        <v>SUCMPROPORESRSK_AP_CMPR_</v>
      </c>
      <c r="H1683" s="9" t="s">
        <v>1137</v>
      </c>
      <c r="K1683" s="9">
        <f t="shared" si="407"/>
        <v>643</v>
      </c>
      <c r="L1683" s="9" t="str">
        <f t="shared" si="408"/>
        <v>F</v>
      </c>
      <c r="M1683" s="9" t="str">
        <f t="shared" si="409"/>
        <v>Input!F643</v>
      </c>
      <c r="N1683" s="9">
        <f>_xlfn.XLOOKUP(F1683,'Raw Data'!$I$4:$I$5000,'Raw Data'!$E$4:$E$5000,100,0)</f>
        <v>100</v>
      </c>
      <c r="O1683" s="9" t="str">
        <f>IF(N1683=0,_xlfn.XLOOKUP(F1683,'Raw Data'!$I$4:$I$5000,'Raw Data'!$H$4:$H$5000,"",0),"")</f>
        <v/>
      </c>
      <c r="P1683" s="9" t="str" cm="1">
        <f t="array" aca="1" ref="P1683" ca="1">IF(INDIRECT(M1683) = "","",INDIRECT(M1683))</f>
        <v/>
      </c>
      <c r="Q1683" s="359" t="s">
        <v>4381</v>
      </c>
    </row>
    <row r="1684" spans="1:17" x14ac:dyDescent="0.35">
      <c r="A1684" t="s">
        <v>2352</v>
      </c>
      <c r="B1684" t="s">
        <v>2331</v>
      </c>
      <c r="C1684" t="s">
        <v>1006</v>
      </c>
      <c r="E1684" t="str">
        <f>_xlfn.XLOOKUP(F1684,'Raw Data'!$I$4:$I$5000,'Raw Data'!$D$4:$D$5000,"*** Mnemonic not found ***",0)</f>
        <v>*** Mnemonic not found ***</v>
      </c>
      <c r="F1684" t="str">
        <f t="shared" si="405"/>
        <v>SUCMPROPORESRSK_AP_HMP_</v>
      </c>
      <c r="H1684" s="9" t="s">
        <v>1137</v>
      </c>
      <c r="K1684" s="9">
        <f t="shared" si="407"/>
        <v>644</v>
      </c>
      <c r="L1684" s="9" t="str">
        <f t="shared" si="408"/>
        <v>F</v>
      </c>
      <c r="M1684" s="9" t="str">
        <f t="shared" si="409"/>
        <v>Input!F644</v>
      </c>
      <c r="N1684" s="9">
        <f>_xlfn.XLOOKUP(F1684,'Raw Data'!$I$4:$I$5000,'Raw Data'!$E$4:$E$5000,100,0)</f>
        <v>100</v>
      </c>
      <c r="O1684" s="9" t="str">
        <f>IF(N1684=0,_xlfn.XLOOKUP(F1684,'Raw Data'!$I$4:$I$5000,'Raw Data'!$H$4:$H$5000,"",0),"")</f>
        <v/>
      </c>
      <c r="P1684" s="9" t="str" cm="1">
        <f t="array" aca="1" ref="P1684" ca="1">IF(INDIRECT(M1684) = "","",INDIRECT(M1684))</f>
        <v/>
      </c>
      <c r="Q1684" s="359" t="s">
        <v>4381</v>
      </c>
    </row>
    <row r="1685" spans="1:17" x14ac:dyDescent="0.35">
      <c r="A1685" t="s">
        <v>2352</v>
      </c>
      <c r="B1685" t="s">
        <v>2339</v>
      </c>
      <c r="C1685" t="s">
        <v>386</v>
      </c>
      <c r="E1685" t="str">
        <f>_xlfn.XLOOKUP(F1685,'Raw Data'!$I$4:$I$5000,'Raw Data'!$D$4:$D$5000,"*** Mnemonic not found ***",0)</f>
        <v>*** Mnemonic not found ***</v>
      </c>
      <c r="F1685" t="str">
        <f t="shared" si="405"/>
        <v>SUCMPROPORESRSK_AP_ENG_</v>
      </c>
      <c r="H1685" s="9" t="s">
        <v>1137</v>
      </c>
      <c r="K1685" s="9">
        <f t="shared" si="407"/>
        <v>645</v>
      </c>
      <c r="L1685" s="9" t="str">
        <f t="shared" si="408"/>
        <v>F</v>
      </c>
      <c r="M1685" s="9" t="str">
        <f t="shared" si="409"/>
        <v>Input!F645</v>
      </c>
      <c r="N1685" s="9">
        <f>_xlfn.XLOOKUP(F1685,'Raw Data'!$I$4:$I$5000,'Raw Data'!$E$4:$E$5000,100,0)</f>
        <v>100</v>
      </c>
      <c r="O1685" s="9" t="str">
        <f>IF(N1685=0,_xlfn.XLOOKUP(F1685,'Raw Data'!$I$4:$I$5000,'Raw Data'!$H$4:$H$5000,"",0),"")</f>
        <v/>
      </c>
      <c r="P1685" s="9" t="str" cm="1">
        <f t="array" aca="1" ref="P1685" ca="1">IF(INDIRECT(M1685) = "","",INDIRECT(M1685))</f>
        <v/>
      </c>
      <c r="Q1685" s="359" t="s">
        <v>4381</v>
      </c>
    </row>
    <row r="1686" spans="1:17" x14ac:dyDescent="0.35">
      <c r="A1686" t="s">
        <v>2352</v>
      </c>
      <c r="B1686" t="s">
        <v>2332</v>
      </c>
      <c r="C1686" t="s">
        <v>1027</v>
      </c>
      <c r="E1686" t="str">
        <f>_xlfn.XLOOKUP(F1686,'Raw Data'!$I$4:$I$5000,'Raw Data'!$D$4:$D$5000,"*** Mnemonic not found ***",0)</f>
        <v>*** Mnemonic not found ***</v>
      </c>
      <c r="F1686" t="str">
        <f t="shared" si="405"/>
        <v>SUCMPROPORESRSK_AP_CALANZ_</v>
      </c>
      <c r="H1686" s="9" t="s">
        <v>1137</v>
      </c>
      <c r="K1686" s="9">
        <f t="shared" si="407"/>
        <v>646</v>
      </c>
      <c r="L1686" s="9" t="str">
        <f t="shared" si="408"/>
        <v>F</v>
      </c>
      <c r="M1686" s="9" t="str">
        <f t="shared" si="409"/>
        <v>Input!F646</v>
      </c>
      <c r="N1686" s="9">
        <f>_xlfn.XLOOKUP(F1686,'Raw Data'!$I$4:$I$5000,'Raw Data'!$E$4:$E$5000,100,0)</f>
        <v>100</v>
      </c>
      <c r="O1686" s="9" t="str">
        <f>IF(N1686=0,_xlfn.XLOOKUP(F1686,'Raw Data'!$I$4:$I$5000,'Raw Data'!$H$4:$H$5000,"",0),"")</f>
        <v/>
      </c>
      <c r="P1686" s="9" t="str" cm="1">
        <f t="array" aca="1" ref="P1686" ca="1">IF(INDIRECT(M1686) = "","",INDIRECT(M1686))</f>
        <v/>
      </c>
      <c r="Q1686" s="359" t="s">
        <v>4381</v>
      </c>
    </row>
    <row r="1687" spans="1:17" x14ac:dyDescent="0.35">
      <c r="A1687" t="s">
        <v>2352</v>
      </c>
      <c r="B1687" t="s">
        <v>2333</v>
      </c>
      <c r="C1687" t="s">
        <v>1028</v>
      </c>
      <c r="E1687" t="str">
        <f>_xlfn.XLOOKUP(F1687,'Raw Data'!$I$4:$I$5000,'Raw Data'!$D$4:$D$5000,"*** Mnemonic not found ***",0)</f>
        <v>*** Mnemonic not found ***</v>
      </c>
      <c r="F1687" t="str">
        <f t="shared" si="405"/>
        <v>SUCMPROPORESRSK_AP_PALANZ_</v>
      </c>
      <c r="H1687" s="9" t="s">
        <v>1137</v>
      </c>
      <c r="K1687" s="9">
        <f t="shared" si="407"/>
        <v>647</v>
      </c>
      <c r="L1687" s="9" t="str">
        <f t="shared" si="408"/>
        <v>F</v>
      </c>
      <c r="M1687" s="9" t="str">
        <f t="shared" si="409"/>
        <v>Input!F647</v>
      </c>
      <c r="N1687" s="9">
        <f>_xlfn.XLOOKUP(F1687,'Raw Data'!$I$4:$I$5000,'Raw Data'!$E$4:$E$5000,100,0)</f>
        <v>100</v>
      </c>
      <c r="O1687" s="9" t="str">
        <f>IF(N1687=0,_xlfn.XLOOKUP(F1687,'Raw Data'!$I$4:$I$5000,'Raw Data'!$H$4:$H$5000,"",0),"")</f>
        <v/>
      </c>
      <c r="P1687" s="9" t="str" cm="1">
        <f t="array" aca="1" ref="P1687" ca="1">IF(INDIRECT(M1687) = "","",INDIRECT(M1687))</f>
        <v/>
      </c>
      <c r="Q1687" s="359" t="s">
        <v>4381</v>
      </c>
    </row>
    <row r="1688" spans="1:17" x14ac:dyDescent="0.35">
      <c r="A1688" t="s">
        <v>2352</v>
      </c>
      <c r="B1688" t="s">
        <v>2274</v>
      </c>
      <c r="C1688" t="s">
        <v>1007</v>
      </c>
      <c r="E1688" t="str">
        <f>_xlfn.XLOOKUP(F1688,'Raw Data'!$I$4:$I$5000,'Raw Data'!$D$4:$D$5000,"*** Mnemonic not found ***",0)</f>
        <v>*** Mnemonic not found ***</v>
      </c>
      <c r="F1688" t="str">
        <f t="shared" si="405"/>
        <v>SUCMPROPORESRSK_AP_ALB_</v>
      </c>
      <c r="H1688" s="9" t="s">
        <v>1137</v>
      </c>
      <c r="K1688" s="9">
        <f t="shared" si="407"/>
        <v>648</v>
      </c>
      <c r="L1688" s="9" t="str">
        <f t="shared" si="408"/>
        <v>F</v>
      </c>
      <c r="M1688" s="9" t="str">
        <f t="shared" si="409"/>
        <v>Input!F648</v>
      </c>
      <c r="N1688" s="9">
        <f>_xlfn.XLOOKUP(F1688,'Raw Data'!$I$4:$I$5000,'Raw Data'!$E$4:$E$5000,100,0)</f>
        <v>100</v>
      </c>
      <c r="O1688" s="9" t="str">
        <f>IF(N1688=0,_xlfn.XLOOKUP(F1688,'Raw Data'!$I$4:$I$5000,'Raw Data'!$H$4:$H$5000,"",0),"")</f>
        <v/>
      </c>
      <c r="P1688" s="9" t="str" cm="1">
        <f t="array" aca="1" ref="P1688" ca="1">IF(INDIRECT(M1688) = "","",INDIRECT(M1688))</f>
        <v/>
      </c>
      <c r="Q1688" s="359" t="s">
        <v>4381</v>
      </c>
    </row>
    <row r="1689" spans="1:17" x14ac:dyDescent="0.35">
      <c r="A1689" s="694" t="s">
        <v>2352</v>
      </c>
      <c r="B1689" s="694" t="s">
        <v>4311</v>
      </c>
      <c r="C1689" s="694" t="s">
        <v>4095</v>
      </c>
      <c r="E1689" t="str">
        <f>_xlfn.XLOOKUP(F1689,'Raw Data'!$I$4:$I$5000,'Raw Data'!$D$4:$D$5000,"*** Mnemonic not found ***",0)</f>
        <v>*** Mnemonic not found ***</v>
      </c>
      <c r="F1689" t="str">
        <f t="shared" si="405"/>
        <v>SUCMPROPORESRSK_AP_AJPTW_</v>
      </c>
      <c r="H1689" s="9" t="s">
        <v>1137</v>
      </c>
      <c r="K1689" s="9">
        <f t="shared" si="407"/>
        <v>649</v>
      </c>
      <c r="L1689" s="9" t="str">
        <f t="shared" si="408"/>
        <v>F</v>
      </c>
      <c r="M1689" s="9" t="str">
        <f t="shared" si="409"/>
        <v>Input!F649</v>
      </c>
      <c r="N1689" s="9">
        <f>_xlfn.XLOOKUP(F1689,'Raw Data'!$I$4:$I$5000,'Raw Data'!$E$4:$E$5000,100,0)</f>
        <v>100</v>
      </c>
      <c r="O1689" s="9" t="str">
        <f>IF(N1689=0,_xlfn.XLOOKUP(F1689,'Raw Data'!$I$4:$I$5000,'Raw Data'!$H$4:$H$5000,"",0),"")</f>
        <v/>
      </c>
      <c r="P1689" s="9" t="str" cm="1">
        <f t="array" aca="1" ref="P1689" ca="1">IF(INDIRECT(M1689) = "","",INDIRECT(M1689))</f>
        <v/>
      </c>
      <c r="Q1689" s="359" t="s">
        <v>4381</v>
      </c>
    </row>
    <row r="1690" spans="1:17" x14ac:dyDescent="0.35">
      <c r="A1690" t="s">
        <v>2352</v>
      </c>
      <c r="B1690" t="s">
        <v>2334</v>
      </c>
      <c r="C1690" t="s">
        <v>1008</v>
      </c>
      <c r="E1690" t="str">
        <f>_xlfn.XLOOKUP(F1690,'Raw Data'!$I$4:$I$5000,'Raw Data'!$D$4:$D$5000,"*** Mnemonic not found ***",0)</f>
        <v>*** Mnemonic not found ***</v>
      </c>
      <c r="F1690" t="str">
        <f t="shared" si="405"/>
        <v>SUCMPROPORESRSK_AP_TPLM_</v>
      </c>
      <c r="H1690" s="9" t="s">
        <v>1137</v>
      </c>
      <c r="K1690" s="9">
        <f t="shared" si="407"/>
        <v>650</v>
      </c>
      <c r="L1690" s="9" t="str">
        <f t="shared" si="408"/>
        <v>F</v>
      </c>
      <c r="M1690" s="9" t="str">
        <f t="shared" si="409"/>
        <v>Input!F650</v>
      </c>
      <c r="N1690" s="9">
        <f>_xlfn.XLOOKUP(F1690,'Raw Data'!$I$4:$I$5000,'Raw Data'!$E$4:$E$5000,100,0)</f>
        <v>100</v>
      </c>
      <c r="O1690" s="9" t="str">
        <f>IF(N1690=0,_xlfn.XLOOKUP(F1690,'Raw Data'!$I$4:$I$5000,'Raw Data'!$H$4:$H$5000,"",0),"")</f>
        <v/>
      </c>
      <c r="P1690" s="9" t="str" cm="1">
        <f t="array" aca="1" ref="P1690" ca="1">IF(INDIRECT(M1690) = "","",INDIRECT(M1690))</f>
        <v/>
      </c>
      <c r="Q1690" s="359" t="s">
        <v>4381</v>
      </c>
    </row>
    <row r="1691" spans="1:17" x14ac:dyDescent="0.35">
      <c r="A1691" t="s">
        <v>2352</v>
      </c>
      <c r="B1691" t="s">
        <v>2335</v>
      </c>
      <c r="C1691" t="s">
        <v>1009</v>
      </c>
      <c r="E1691" t="str">
        <f>_xlfn.XLOOKUP(F1691,'Raw Data'!$I$4:$I$5000,'Raw Data'!$D$4:$D$5000,"*** Mnemonic not found ***",0)</f>
        <v>*** Mnemonic not found ***</v>
      </c>
      <c r="F1691" t="str">
        <f t="shared" si="405"/>
        <v>SUCMPROPORESRSK_AP_CONCR_</v>
      </c>
      <c r="H1691" s="9" t="s">
        <v>1137</v>
      </c>
      <c r="K1691" s="9">
        <f t="shared" si="407"/>
        <v>651</v>
      </c>
      <c r="L1691" s="9" t="str">
        <f t="shared" si="408"/>
        <v>F</v>
      </c>
      <c r="M1691" s="9" t="str">
        <f t="shared" si="409"/>
        <v>Input!F651</v>
      </c>
      <c r="N1691" s="9">
        <f>_xlfn.XLOOKUP(F1691,'Raw Data'!$I$4:$I$5000,'Raw Data'!$E$4:$E$5000,100,0)</f>
        <v>100</v>
      </c>
      <c r="O1691" s="9" t="str">
        <f>IF(N1691=0,_xlfn.XLOOKUP(F1691,'Raw Data'!$I$4:$I$5000,'Raw Data'!$H$4:$H$5000,"",0),"")</f>
        <v/>
      </c>
      <c r="P1691" s="9" t="str" cm="1">
        <f t="array" aca="1" ref="P1691" ca="1">IF(INDIRECT(M1691) = "","",INDIRECT(M1691))</f>
        <v/>
      </c>
      <c r="Q1691" s="359" t="s">
        <v>4381</v>
      </c>
    </row>
    <row r="1692" spans="1:17" x14ac:dyDescent="0.35">
      <c r="A1692" t="s">
        <v>2352</v>
      </c>
      <c r="B1692" t="s">
        <v>2298</v>
      </c>
      <c r="C1692" t="s">
        <v>374</v>
      </c>
      <c r="E1692" t="str">
        <f>_xlfn.XLOOKUP(F1692,'Raw Data'!$I$4:$I$5000,'Raw Data'!$D$4:$D$5000,"*** Mnemonic not found ***",0)</f>
        <v>*** Mnemonic not found ***</v>
      </c>
      <c r="F1692" t="str">
        <f t="shared" si="405"/>
        <v>SUCMPROPORESRSK_AP_CRD_</v>
      </c>
      <c r="H1692" s="9" t="s">
        <v>1137</v>
      </c>
      <c r="K1692" s="9">
        <f t="shared" si="407"/>
        <v>652</v>
      </c>
      <c r="L1692" s="9" t="str">
        <f t="shared" si="408"/>
        <v>F</v>
      </c>
      <c r="M1692" s="9" t="str">
        <f t="shared" si="409"/>
        <v>Input!F652</v>
      </c>
      <c r="N1692" s="9">
        <f>_xlfn.XLOOKUP(F1692,'Raw Data'!$I$4:$I$5000,'Raw Data'!$E$4:$E$5000,100,0)</f>
        <v>100</v>
      </c>
      <c r="O1692" s="9" t="str">
        <f>IF(N1692=0,_xlfn.XLOOKUP(F1692,'Raw Data'!$I$4:$I$5000,'Raw Data'!$H$4:$H$5000,"",0),"")</f>
        <v/>
      </c>
      <c r="P1692" s="9" t="str" cm="1">
        <f t="array" aca="1" ref="P1692" ca="1">IF(INDIRECT(M1692) = "","",INDIRECT(M1692))</f>
        <v/>
      </c>
      <c r="Q1692" s="359" t="s">
        <v>4381</v>
      </c>
    </row>
    <row r="1693" spans="1:17" x14ac:dyDescent="0.35">
      <c r="A1693" t="s">
        <v>2352</v>
      </c>
      <c r="B1693" t="s">
        <v>2303</v>
      </c>
      <c r="C1693" t="s">
        <v>1022</v>
      </c>
      <c r="E1693" t="str">
        <f>_xlfn.XLOOKUP(F1693,'Raw Data'!$I$4:$I$5000,'Raw Data'!$D$4:$D$5000,"*** Mnemonic not found ***",0)</f>
        <v>*** Mnemonic not found ***</v>
      </c>
      <c r="F1693" t="str">
        <f t="shared" si="405"/>
        <v>SUCMPROPORESRSK_AP_AAH_</v>
      </c>
      <c r="H1693" s="9" t="s">
        <v>1137</v>
      </c>
      <c r="K1693" s="9">
        <f t="shared" si="407"/>
        <v>653</v>
      </c>
      <c r="L1693" s="9" t="str">
        <f t="shared" si="408"/>
        <v>F</v>
      </c>
      <c r="M1693" s="9" t="str">
        <f t="shared" si="409"/>
        <v>Input!F653</v>
      </c>
      <c r="N1693" s="9">
        <f>_xlfn.XLOOKUP(F1693,'Raw Data'!$I$4:$I$5000,'Raw Data'!$E$4:$E$5000,100,0)</f>
        <v>100</v>
      </c>
      <c r="O1693" s="9" t="str">
        <f>IF(N1693=0,_xlfn.XLOOKUP(F1693,'Raw Data'!$I$4:$I$5000,'Raw Data'!$H$4:$H$5000,"",0),"")</f>
        <v/>
      </c>
      <c r="P1693" s="9" t="str" cm="1">
        <f t="array" aca="1" ref="P1693" ca="1">IF(INDIRECT(M1693) = "","",INDIRECT(M1693))</f>
        <v/>
      </c>
      <c r="Q1693" s="359" t="s">
        <v>4381</v>
      </c>
    </row>
    <row r="1694" spans="1:17" x14ac:dyDescent="0.35">
      <c r="A1694" t="s">
        <v>2352</v>
      </c>
      <c r="B1694" t="s">
        <v>2336</v>
      </c>
      <c r="C1694" t="s">
        <v>261</v>
      </c>
      <c r="E1694" t="str">
        <f>_xlfn.XLOOKUP(F1694,'Raw Data'!$I$4:$I$5000,'Raw Data'!$D$4:$D$5000,"*** Mnemonic not found ***",0)</f>
        <v>*** Mnemonic not found ***</v>
      </c>
      <c r="F1694" t="str">
        <f t="shared" si="405"/>
        <v>SUCMPROPORESRSK_AP_HLTH_</v>
      </c>
      <c r="H1694" s="9" t="s">
        <v>1137</v>
      </c>
      <c r="K1694" s="9">
        <f t="shared" si="407"/>
        <v>654</v>
      </c>
      <c r="L1694" s="9" t="str">
        <f t="shared" si="408"/>
        <v>F</v>
      </c>
      <c r="M1694" s="9" t="str">
        <f t="shared" si="409"/>
        <v>Input!F654</v>
      </c>
      <c r="N1694" s="9">
        <f>_xlfn.XLOOKUP(F1694,'Raw Data'!$I$4:$I$5000,'Raw Data'!$E$4:$E$5000,100,0)</f>
        <v>100</v>
      </c>
      <c r="O1694" s="9" t="str">
        <f>IF(N1694=0,_xlfn.XLOOKUP(F1694,'Raw Data'!$I$4:$I$5000,'Raw Data'!$H$4:$H$5000,"",0),"")</f>
        <v/>
      </c>
      <c r="P1694" s="9" t="str" cm="1">
        <f t="array" aca="1" ref="P1694" ca="1">IF(INDIRECT(M1694) = "","",INDIRECT(M1694))</f>
        <v/>
      </c>
      <c r="Q1694" s="359" t="s">
        <v>4381</v>
      </c>
    </row>
    <row r="1695" spans="1:17" x14ac:dyDescent="0.35">
      <c r="A1695" t="s">
        <v>2352</v>
      </c>
      <c r="B1695" t="s">
        <v>2337</v>
      </c>
      <c r="C1695" t="s">
        <v>1010</v>
      </c>
      <c r="E1695" t="str">
        <f>_xlfn.XLOOKUP(F1695,'Raw Data'!$I$4:$I$5000,'Raw Data'!$D$4:$D$5000,"*** Mnemonic not found ***",0)</f>
        <v>*** Mnemonic not found ***</v>
      </c>
      <c r="F1695" t="str">
        <f t="shared" si="405"/>
        <v>SUCMPROPORESRSK_AP_MAVC_</v>
      </c>
      <c r="H1695" s="9" t="s">
        <v>1137</v>
      </c>
      <c r="K1695" s="9">
        <f t="shared" si="407"/>
        <v>655</v>
      </c>
      <c r="L1695" s="9" t="str">
        <f t="shared" si="408"/>
        <v>F</v>
      </c>
      <c r="M1695" s="9" t="str">
        <f t="shared" si="409"/>
        <v>Input!F655</v>
      </c>
      <c r="N1695" s="9">
        <f>_xlfn.XLOOKUP(F1695,'Raw Data'!$I$4:$I$5000,'Raw Data'!$E$4:$E$5000,100,0)</f>
        <v>100</v>
      </c>
      <c r="O1695" s="9" t="str">
        <f>IF(N1695=0,_xlfn.XLOOKUP(F1695,'Raw Data'!$I$4:$I$5000,'Raw Data'!$H$4:$H$5000,"",0),"")</f>
        <v/>
      </c>
      <c r="P1695" s="9" t="str" cm="1">
        <f t="array" aca="1" ref="P1695" ca="1">IF(INDIRECT(M1695) = "","",INDIRECT(M1695))</f>
        <v/>
      </c>
      <c r="Q1695" s="359" t="s">
        <v>4381</v>
      </c>
    </row>
    <row r="1696" spans="1:17" x14ac:dyDescent="0.35">
      <c r="A1696" t="s">
        <v>2352</v>
      </c>
      <c r="B1696" t="s">
        <v>2338</v>
      </c>
      <c r="C1696" t="s">
        <v>1011</v>
      </c>
      <c r="E1696" t="str">
        <f>_xlfn.XLOOKUP(F1696,'Raw Data'!$I$4:$I$5000,'Raw Data'!$D$4:$D$5000,"*** Mnemonic not found ***",0)</f>
        <v>*** Mnemonic not found ***</v>
      </c>
      <c r="F1696" t="str">
        <f t="shared" si="405"/>
        <v>SUCMPROPORESRSK_AP_MAVH_</v>
      </c>
      <c r="H1696" s="9" t="s">
        <v>1137</v>
      </c>
      <c r="K1696" s="9">
        <f t="shared" si="407"/>
        <v>656</v>
      </c>
      <c r="L1696" s="9" t="str">
        <f t="shared" si="408"/>
        <v>F</v>
      </c>
      <c r="M1696" s="9" t="str">
        <f t="shared" si="409"/>
        <v>Input!F656</v>
      </c>
      <c r="N1696" s="9">
        <f>_xlfn.XLOOKUP(F1696,'Raw Data'!$I$4:$I$5000,'Raw Data'!$E$4:$E$5000,100,0)</f>
        <v>100</v>
      </c>
      <c r="O1696" s="9" t="str">
        <f>IF(N1696=0,_xlfn.XLOOKUP(F1696,'Raw Data'!$I$4:$I$5000,'Raw Data'!$H$4:$H$5000,"",0),"")</f>
        <v/>
      </c>
      <c r="P1696" s="9" t="str" cm="1">
        <f t="array" aca="1" ref="P1696" ca="1">IF(INDIRECT(M1696) = "","",INDIRECT(M1696))</f>
        <v/>
      </c>
      <c r="Q1696" s="359" t="s">
        <v>4381</v>
      </c>
    </row>
    <row r="1697" spans="1:17" x14ac:dyDescent="0.35">
      <c r="A1697" s="694" t="s">
        <v>2352</v>
      </c>
      <c r="B1697" s="694" t="s">
        <v>4308</v>
      </c>
      <c r="C1697" s="694" t="s">
        <v>4130</v>
      </c>
      <c r="E1697" t="str">
        <f>_xlfn.XLOOKUP(F1697,'Raw Data'!$I$4:$I$5000,'Raw Data'!$D$4:$D$5000,"*** Mnemonic not found ***",0)</f>
        <v>*** Mnemonic not found ***</v>
      </c>
      <c r="F1697" t="str">
        <f t="shared" si="405"/>
        <v>SUCMPROPORESRSK_AP_MPIN_</v>
      </c>
      <c r="H1697" s="9" t="s">
        <v>1137</v>
      </c>
      <c r="K1697" s="9">
        <f t="shared" si="407"/>
        <v>657</v>
      </c>
      <c r="L1697" s="9" t="str">
        <f t="shared" si="408"/>
        <v>F</v>
      </c>
      <c r="M1697" s="9" t="str">
        <f t="shared" si="409"/>
        <v>Input!F657</v>
      </c>
      <c r="N1697" s="9">
        <f>_xlfn.XLOOKUP(F1697,'Raw Data'!$I$4:$I$5000,'Raw Data'!$E$4:$E$5000,100,0)</f>
        <v>100</v>
      </c>
      <c r="O1697" s="9" t="str">
        <f>IF(N1697=0,_xlfn.XLOOKUP(F1697,'Raw Data'!$I$4:$I$5000,'Raw Data'!$H$4:$H$5000,"",0),"")</f>
        <v/>
      </c>
      <c r="P1697" s="9" t="str" cm="1">
        <f t="array" aca="1" ref="P1697" ca="1">IF(INDIRECT(M1697) = "","",INDIRECT(M1697))</f>
        <v/>
      </c>
      <c r="Q1697" s="359" t="s">
        <v>4381</v>
      </c>
    </row>
    <row r="1698" spans="1:17" x14ac:dyDescent="0.35">
      <c r="A1698" t="s">
        <v>2352</v>
      </c>
      <c r="B1698" t="s">
        <v>2340</v>
      </c>
      <c r="C1698" t="s">
        <v>382</v>
      </c>
      <c r="E1698" t="str">
        <f>_xlfn.XLOOKUP(F1698,'Raw Data'!$I$4:$I$5000,'Raw Data'!$D$4:$D$5000,"*** Mnemonic not found ***",0)</f>
        <v>*** Mnemonic not found ***</v>
      </c>
      <c r="F1698" t="str">
        <f t="shared" si="405"/>
        <v>SUCMPROPORESRSK_AP_TRV_</v>
      </c>
      <c r="H1698" s="9" t="s">
        <v>1137</v>
      </c>
      <c r="K1698" s="9">
        <f t="shared" si="407"/>
        <v>658</v>
      </c>
      <c r="L1698" s="9" t="str">
        <f t="shared" si="408"/>
        <v>F</v>
      </c>
      <c r="M1698" s="9" t="str">
        <f t="shared" si="409"/>
        <v>Input!F658</v>
      </c>
      <c r="N1698" s="9">
        <f>_xlfn.XLOOKUP(F1698,'Raw Data'!$I$4:$I$5000,'Raw Data'!$E$4:$E$5000,100,0)</f>
        <v>100</v>
      </c>
      <c r="O1698" s="9" t="str">
        <f>IF(N1698=0,_xlfn.XLOOKUP(F1698,'Raw Data'!$I$4:$I$5000,'Raw Data'!$H$4:$H$5000,"",0),"")</f>
        <v/>
      </c>
      <c r="P1698" s="9" t="str" cm="1">
        <f t="array" aca="1" ref="P1698" ca="1">IF(INDIRECT(M1698) = "","",INDIRECT(M1698))</f>
        <v/>
      </c>
      <c r="Q1698" s="359" t="s">
        <v>4381</v>
      </c>
    </row>
    <row r="1699" spans="1:17" x14ac:dyDescent="0.35">
      <c r="A1699" t="s">
        <v>2352</v>
      </c>
      <c r="B1699" t="s">
        <v>2283</v>
      </c>
      <c r="C1699" t="s">
        <v>262</v>
      </c>
      <c r="E1699" t="str">
        <f>_xlfn.XLOOKUP(F1699,'Raw Data'!$I$4:$I$5000,'Raw Data'!$D$4:$D$5000,"*** Mnemonic not found ***",0)</f>
        <v>*** Mnemonic not found ***</v>
      </c>
      <c r="F1699" t="str">
        <f t="shared" si="405"/>
        <v>SUCMPROPORESRSK_AP_OCAH_</v>
      </c>
      <c r="H1699" s="9" t="s">
        <v>1137</v>
      </c>
      <c r="K1699" s="9">
        <f t="shared" si="407"/>
        <v>659</v>
      </c>
      <c r="L1699" s="9" t="str">
        <f t="shared" si="408"/>
        <v>F</v>
      </c>
      <c r="M1699" s="9" t="str">
        <f t="shared" si="409"/>
        <v>Input!F659</v>
      </c>
      <c r="N1699" s="9">
        <f>_xlfn.XLOOKUP(F1699,'Raw Data'!$I$4:$I$5000,'Raw Data'!$E$4:$E$5000,100,0)</f>
        <v>100</v>
      </c>
      <c r="O1699" s="9" t="str">
        <f>IF(N1699=0,_xlfn.XLOOKUP(F1699,'Raw Data'!$I$4:$I$5000,'Raw Data'!$H$4:$H$5000,"",0),"")</f>
        <v/>
      </c>
      <c r="P1699" s="9" t="str" cm="1">
        <f t="array" aca="1" ref="P1699" ca="1">IF(INDIRECT(M1699) = "","",INDIRECT(M1699))</f>
        <v/>
      </c>
      <c r="Q1699" s="359" t="s">
        <v>4381</v>
      </c>
    </row>
    <row r="1700" spans="1:17" x14ac:dyDescent="0.35">
      <c r="A1700" t="s">
        <v>2353</v>
      </c>
      <c r="B1700" t="s">
        <v>2328</v>
      </c>
      <c r="C1700" t="s">
        <v>1004</v>
      </c>
      <c r="E1700" t="str">
        <f>_xlfn.XLOOKUP(F1700,'Raw Data'!$I$4:$I$5000,'Raw Data'!$D$4:$D$5000,"*** Mnemonic not found ***",0)</f>
        <v>*** Mnemonic not found ***</v>
      </c>
      <c r="F1700" t="str">
        <f t="shared" si="405"/>
        <v>SUCMNOPROPORESRSK_AP_EMLIB_</v>
      </c>
      <c r="H1700" s="9" t="s">
        <v>1137</v>
      </c>
      <c r="I1700" s="289">
        <f>ROW(section_non_life_resv)</f>
        <v>571</v>
      </c>
      <c r="J1700" s="9">
        <f>J1679</f>
        <v>68</v>
      </c>
      <c r="K1700" s="9">
        <f>I1700+J1700</f>
        <v>639</v>
      </c>
      <c r="L1700" s="9" t="s">
        <v>1145</v>
      </c>
      <c r="M1700" s="9" t="str">
        <f t="shared" si="406"/>
        <v>Input!G639</v>
      </c>
      <c r="N1700" s="9">
        <f>_xlfn.XLOOKUP(F1700,'Raw Data'!$I$4:$I$5000,'Raw Data'!$E$4:$E$5000,100,0)</f>
        <v>100</v>
      </c>
      <c r="O1700" s="9" t="str">
        <f>IF(N1700=0,_xlfn.XLOOKUP(F1700,'Raw Data'!$I$4:$I$5000,'Raw Data'!$H$4:$H$5000,"",0),"")</f>
        <v/>
      </c>
      <c r="P1700" s="9" t="str" cm="1">
        <f t="array" aca="1" ref="P1700" ca="1">IF(INDIRECT(M1700) = "","",INDIRECT(M1700))</f>
        <v/>
      </c>
      <c r="Q1700" s="359" t="s">
        <v>4381</v>
      </c>
    </row>
    <row r="1701" spans="1:17" x14ac:dyDescent="0.35">
      <c r="A1701" t="s">
        <v>2353</v>
      </c>
      <c r="B1701" t="s">
        <v>2271</v>
      </c>
      <c r="C1701" t="s">
        <v>978</v>
      </c>
      <c r="E1701" t="str">
        <f>_xlfn.XLOOKUP(F1701,'Raw Data'!$I$4:$I$5000,'Raw Data'!$D$4:$D$5000,"*** Mnemonic not found ***",0)</f>
        <v>*** Mnemonic not found ***</v>
      </c>
      <c r="F1701" t="str">
        <f t="shared" si="405"/>
        <v>SUCMNOPROPORESRSK_AP_LIA_</v>
      </c>
      <c r="H1701" s="9" t="s">
        <v>1137</v>
      </c>
      <c r="K1701" s="9">
        <f>K1700+1</f>
        <v>640</v>
      </c>
      <c r="L1701" s="9" t="str">
        <f>L1700</f>
        <v>G</v>
      </c>
      <c r="M1701" s="9" t="str">
        <f t="shared" si="406"/>
        <v>Input!G640</v>
      </c>
      <c r="N1701" s="9">
        <f>_xlfn.XLOOKUP(F1701,'Raw Data'!$I$4:$I$5000,'Raw Data'!$E$4:$E$5000,100,0)</f>
        <v>100</v>
      </c>
      <c r="O1701" s="9" t="str">
        <f>IF(N1701=0,_xlfn.XLOOKUP(F1701,'Raw Data'!$I$4:$I$5000,'Raw Data'!$H$4:$H$5000,"",0),"")</f>
        <v/>
      </c>
      <c r="P1701" s="9" t="str" cm="1">
        <f t="array" aca="1" ref="P1701" ca="1">IF(INDIRECT(M1701) = "","",INDIRECT(M1701))</f>
        <v/>
      </c>
      <c r="Q1701" s="359" t="s">
        <v>4381</v>
      </c>
    </row>
    <row r="1702" spans="1:17" x14ac:dyDescent="0.35">
      <c r="A1702" t="s">
        <v>2353</v>
      </c>
      <c r="B1702" t="s">
        <v>2329</v>
      </c>
      <c r="C1702" t="s">
        <v>1005</v>
      </c>
      <c r="E1702" t="str">
        <f>_xlfn.XLOOKUP(F1702,'Raw Data'!$I$4:$I$5000,'Raw Data'!$D$4:$D$5000,"*** Mnemonic not found ***",0)</f>
        <v>*** Mnemonic not found ***</v>
      </c>
      <c r="F1702" t="str">
        <f t="shared" si="405"/>
        <v>SUCMNOPROPORESRSK_AP_PRIND_</v>
      </c>
      <c r="H1702" s="9" t="s">
        <v>1137</v>
      </c>
      <c r="K1702" s="9">
        <f t="shared" ref="K1702:K1720" si="410">K1701+1</f>
        <v>641</v>
      </c>
      <c r="L1702" s="9" t="str">
        <f t="shared" ref="L1702:L1720" si="411">L1701</f>
        <v>G</v>
      </c>
      <c r="M1702" s="9" t="str">
        <f t="shared" ref="M1702:M1720" si="412">CONCATENATE(H1702,"!",L1702,K1702)</f>
        <v>Input!G641</v>
      </c>
      <c r="N1702" s="9">
        <f>_xlfn.XLOOKUP(F1702,'Raw Data'!$I$4:$I$5000,'Raw Data'!$E$4:$E$5000,100,0)</f>
        <v>100</v>
      </c>
      <c r="O1702" s="9" t="str">
        <f>IF(N1702=0,_xlfn.XLOOKUP(F1702,'Raw Data'!$I$4:$I$5000,'Raw Data'!$H$4:$H$5000,"",0),"")</f>
        <v/>
      </c>
      <c r="P1702" s="9" t="str" cm="1">
        <f t="array" aca="1" ref="P1702" ca="1">IF(INDIRECT(M1702) = "","",INDIRECT(M1702))</f>
        <v/>
      </c>
      <c r="Q1702" s="359" t="s">
        <v>4381</v>
      </c>
    </row>
    <row r="1703" spans="1:17" x14ac:dyDescent="0.35">
      <c r="A1703" t="s">
        <v>2353</v>
      </c>
      <c r="B1703" t="s">
        <v>2330</v>
      </c>
      <c r="C1703" t="s">
        <v>407</v>
      </c>
      <c r="E1703" t="str">
        <f>_xlfn.XLOOKUP(F1703,'Raw Data'!$I$4:$I$5000,'Raw Data'!$D$4:$D$5000,"*** Mnemonic not found ***",0)</f>
        <v>*** Mnemonic not found ***</v>
      </c>
      <c r="F1703" t="str">
        <f t="shared" si="405"/>
        <v>SUCMNOPROPORESRSK_AP_PAPL_</v>
      </c>
      <c r="H1703" s="9" t="s">
        <v>1137</v>
      </c>
      <c r="K1703" s="9">
        <f t="shared" si="410"/>
        <v>642</v>
      </c>
      <c r="L1703" s="9" t="str">
        <f t="shared" si="411"/>
        <v>G</v>
      </c>
      <c r="M1703" s="9" t="str">
        <f t="shared" si="412"/>
        <v>Input!G642</v>
      </c>
      <c r="N1703" s="9">
        <f>_xlfn.XLOOKUP(F1703,'Raw Data'!$I$4:$I$5000,'Raw Data'!$E$4:$E$5000,100,0)</f>
        <v>100</v>
      </c>
      <c r="O1703" s="9" t="str">
        <f>IF(N1703=0,_xlfn.XLOOKUP(F1703,'Raw Data'!$I$4:$I$5000,'Raw Data'!$H$4:$H$5000,"",0),"")</f>
        <v/>
      </c>
      <c r="P1703" s="9" t="str" cm="1">
        <f t="array" aca="1" ref="P1703" ca="1">IF(INDIRECT(M1703) = "","",INDIRECT(M1703))</f>
        <v/>
      </c>
      <c r="Q1703" s="359" t="s">
        <v>4381</v>
      </c>
    </row>
    <row r="1704" spans="1:17" x14ac:dyDescent="0.35">
      <c r="A1704" t="s">
        <v>2353</v>
      </c>
      <c r="B1704" t="s">
        <v>2318</v>
      </c>
      <c r="C1704" t="s">
        <v>997</v>
      </c>
      <c r="E1704" t="str">
        <f>_xlfn.XLOOKUP(F1704,'Raw Data'!$I$4:$I$5000,'Raw Data'!$D$4:$D$5000,"*** Mnemonic not found ***",0)</f>
        <v>*** Mnemonic not found ***</v>
      </c>
      <c r="F1704" t="str">
        <f t="shared" si="405"/>
        <v>SUCMNOPROPORESRSK_AP_CMPR_</v>
      </c>
      <c r="H1704" s="9" t="s">
        <v>1137</v>
      </c>
      <c r="K1704" s="9">
        <f t="shared" si="410"/>
        <v>643</v>
      </c>
      <c r="L1704" s="9" t="str">
        <f t="shared" si="411"/>
        <v>G</v>
      </c>
      <c r="M1704" s="9" t="str">
        <f t="shared" si="412"/>
        <v>Input!G643</v>
      </c>
      <c r="N1704" s="9">
        <f>_xlfn.XLOOKUP(F1704,'Raw Data'!$I$4:$I$5000,'Raw Data'!$E$4:$E$5000,100,0)</f>
        <v>100</v>
      </c>
      <c r="O1704" s="9" t="str">
        <f>IF(N1704=0,_xlfn.XLOOKUP(F1704,'Raw Data'!$I$4:$I$5000,'Raw Data'!$H$4:$H$5000,"",0),"")</f>
        <v/>
      </c>
      <c r="P1704" s="9" t="str" cm="1">
        <f t="array" aca="1" ref="P1704" ca="1">IF(INDIRECT(M1704) = "","",INDIRECT(M1704))</f>
        <v/>
      </c>
      <c r="Q1704" s="359" t="s">
        <v>4381</v>
      </c>
    </row>
    <row r="1705" spans="1:17" x14ac:dyDescent="0.35">
      <c r="A1705" t="s">
        <v>2353</v>
      </c>
      <c r="B1705" t="s">
        <v>2331</v>
      </c>
      <c r="C1705" t="s">
        <v>1006</v>
      </c>
      <c r="E1705" t="str">
        <f>_xlfn.XLOOKUP(F1705,'Raw Data'!$I$4:$I$5000,'Raw Data'!$D$4:$D$5000,"*** Mnemonic not found ***",0)</f>
        <v>*** Mnemonic not found ***</v>
      </c>
      <c r="F1705" t="str">
        <f t="shared" si="405"/>
        <v>SUCMNOPROPORESRSK_AP_HMP_</v>
      </c>
      <c r="H1705" s="9" t="s">
        <v>1137</v>
      </c>
      <c r="K1705" s="9">
        <f t="shared" si="410"/>
        <v>644</v>
      </c>
      <c r="L1705" s="9" t="str">
        <f t="shared" si="411"/>
        <v>G</v>
      </c>
      <c r="M1705" s="9" t="str">
        <f t="shared" si="412"/>
        <v>Input!G644</v>
      </c>
      <c r="N1705" s="9">
        <f>_xlfn.XLOOKUP(F1705,'Raw Data'!$I$4:$I$5000,'Raw Data'!$E$4:$E$5000,100,0)</f>
        <v>100</v>
      </c>
      <c r="O1705" s="9" t="str">
        <f>IF(N1705=0,_xlfn.XLOOKUP(F1705,'Raw Data'!$I$4:$I$5000,'Raw Data'!$H$4:$H$5000,"",0),"")</f>
        <v/>
      </c>
      <c r="P1705" s="9" t="str" cm="1">
        <f t="array" aca="1" ref="P1705" ca="1">IF(INDIRECT(M1705) = "","",INDIRECT(M1705))</f>
        <v/>
      </c>
      <c r="Q1705" s="359" t="s">
        <v>4381</v>
      </c>
    </row>
    <row r="1706" spans="1:17" x14ac:dyDescent="0.35">
      <c r="A1706" t="s">
        <v>2353</v>
      </c>
      <c r="B1706" t="s">
        <v>2339</v>
      </c>
      <c r="C1706" t="s">
        <v>386</v>
      </c>
      <c r="E1706" t="str">
        <f>_xlfn.XLOOKUP(F1706,'Raw Data'!$I$4:$I$5000,'Raw Data'!$D$4:$D$5000,"*** Mnemonic not found ***",0)</f>
        <v>*** Mnemonic not found ***</v>
      </c>
      <c r="F1706" t="str">
        <f t="shared" si="405"/>
        <v>SUCMNOPROPORESRSK_AP_ENG_</v>
      </c>
      <c r="H1706" s="9" t="s">
        <v>1137</v>
      </c>
      <c r="K1706" s="9">
        <f t="shared" si="410"/>
        <v>645</v>
      </c>
      <c r="L1706" s="9" t="str">
        <f t="shared" si="411"/>
        <v>G</v>
      </c>
      <c r="M1706" s="9" t="str">
        <f t="shared" si="412"/>
        <v>Input!G645</v>
      </c>
      <c r="N1706" s="9">
        <f>_xlfn.XLOOKUP(F1706,'Raw Data'!$I$4:$I$5000,'Raw Data'!$E$4:$E$5000,100,0)</f>
        <v>100</v>
      </c>
      <c r="O1706" s="9" t="str">
        <f>IF(N1706=0,_xlfn.XLOOKUP(F1706,'Raw Data'!$I$4:$I$5000,'Raw Data'!$H$4:$H$5000,"",0),"")</f>
        <v/>
      </c>
      <c r="P1706" s="9" t="str" cm="1">
        <f t="array" aca="1" ref="P1706" ca="1">IF(INDIRECT(M1706) = "","",INDIRECT(M1706))</f>
        <v/>
      </c>
      <c r="Q1706" s="359" t="s">
        <v>4381</v>
      </c>
    </row>
    <row r="1707" spans="1:17" x14ac:dyDescent="0.35">
      <c r="A1707" t="s">
        <v>2353</v>
      </c>
      <c r="B1707" t="s">
        <v>2332</v>
      </c>
      <c r="C1707" t="s">
        <v>1027</v>
      </c>
      <c r="E1707" t="str">
        <f>_xlfn.XLOOKUP(F1707,'Raw Data'!$I$4:$I$5000,'Raw Data'!$D$4:$D$5000,"*** Mnemonic not found ***",0)</f>
        <v>*** Mnemonic not found ***</v>
      </c>
      <c r="F1707" t="str">
        <f t="shared" si="405"/>
        <v>SUCMNOPROPORESRSK_AP_CALANZ_</v>
      </c>
      <c r="H1707" s="9" t="s">
        <v>1137</v>
      </c>
      <c r="K1707" s="9">
        <f t="shared" si="410"/>
        <v>646</v>
      </c>
      <c r="L1707" s="9" t="str">
        <f t="shared" si="411"/>
        <v>G</v>
      </c>
      <c r="M1707" s="9" t="str">
        <f t="shared" si="412"/>
        <v>Input!G646</v>
      </c>
      <c r="N1707" s="9">
        <f>_xlfn.XLOOKUP(F1707,'Raw Data'!$I$4:$I$5000,'Raw Data'!$E$4:$E$5000,100,0)</f>
        <v>100</v>
      </c>
      <c r="O1707" s="9" t="str">
        <f>IF(N1707=0,_xlfn.XLOOKUP(F1707,'Raw Data'!$I$4:$I$5000,'Raw Data'!$H$4:$H$5000,"",0),"")</f>
        <v/>
      </c>
      <c r="P1707" s="9" t="str" cm="1">
        <f t="array" aca="1" ref="P1707" ca="1">IF(INDIRECT(M1707) = "","",INDIRECT(M1707))</f>
        <v/>
      </c>
      <c r="Q1707" s="359" t="s">
        <v>4381</v>
      </c>
    </row>
    <row r="1708" spans="1:17" x14ac:dyDescent="0.35">
      <c r="A1708" t="s">
        <v>2353</v>
      </c>
      <c r="B1708" t="s">
        <v>2333</v>
      </c>
      <c r="C1708" t="s">
        <v>1028</v>
      </c>
      <c r="E1708" t="str">
        <f>_xlfn.XLOOKUP(F1708,'Raw Data'!$I$4:$I$5000,'Raw Data'!$D$4:$D$5000,"*** Mnemonic not found ***",0)</f>
        <v>*** Mnemonic not found ***</v>
      </c>
      <c r="F1708" t="str">
        <f t="shared" si="405"/>
        <v>SUCMNOPROPORESRSK_AP_PALANZ_</v>
      </c>
      <c r="H1708" s="9" t="s">
        <v>1137</v>
      </c>
      <c r="K1708" s="9">
        <f t="shared" si="410"/>
        <v>647</v>
      </c>
      <c r="L1708" s="9" t="str">
        <f t="shared" si="411"/>
        <v>G</v>
      </c>
      <c r="M1708" s="9" t="str">
        <f t="shared" si="412"/>
        <v>Input!G647</v>
      </c>
      <c r="N1708" s="9">
        <f>_xlfn.XLOOKUP(F1708,'Raw Data'!$I$4:$I$5000,'Raw Data'!$E$4:$E$5000,100,0)</f>
        <v>100</v>
      </c>
      <c r="O1708" s="9" t="str">
        <f>IF(N1708=0,_xlfn.XLOOKUP(F1708,'Raw Data'!$I$4:$I$5000,'Raw Data'!$H$4:$H$5000,"",0),"")</f>
        <v/>
      </c>
      <c r="P1708" s="9" t="str" cm="1">
        <f t="array" aca="1" ref="P1708" ca="1">IF(INDIRECT(M1708) = "","",INDIRECT(M1708))</f>
        <v/>
      </c>
      <c r="Q1708" s="359" t="s">
        <v>4381</v>
      </c>
    </row>
    <row r="1709" spans="1:17" x14ac:dyDescent="0.35">
      <c r="A1709" t="s">
        <v>2353</v>
      </c>
      <c r="B1709" t="s">
        <v>2274</v>
      </c>
      <c r="C1709" t="s">
        <v>1007</v>
      </c>
      <c r="E1709" t="str">
        <f>_xlfn.XLOOKUP(F1709,'Raw Data'!$I$4:$I$5000,'Raw Data'!$D$4:$D$5000,"*** Mnemonic not found ***",0)</f>
        <v>*** Mnemonic not found ***</v>
      </c>
      <c r="F1709" t="str">
        <f t="shared" si="405"/>
        <v>SUCMNOPROPORESRSK_AP_ALB_</v>
      </c>
      <c r="H1709" s="9" t="s">
        <v>1137</v>
      </c>
      <c r="K1709" s="9">
        <f t="shared" si="410"/>
        <v>648</v>
      </c>
      <c r="L1709" s="9" t="str">
        <f t="shared" si="411"/>
        <v>G</v>
      </c>
      <c r="M1709" s="9" t="str">
        <f t="shared" si="412"/>
        <v>Input!G648</v>
      </c>
      <c r="N1709" s="9">
        <f>_xlfn.XLOOKUP(F1709,'Raw Data'!$I$4:$I$5000,'Raw Data'!$E$4:$E$5000,100,0)</f>
        <v>100</v>
      </c>
      <c r="O1709" s="9" t="str">
        <f>IF(N1709=0,_xlfn.XLOOKUP(F1709,'Raw Data'!$I$4:$I$5000,'Raw Data'!$H$4:$H$5000,"",0),"")</f>
        <v/>
      </c>
      <c r="P1709" s="9" t="str" cm="1">
        <f t="array" aca="1" ref="P1709" ca="1">IF(INDIRECT(M1709) = "","",INDIRECT(M1709))</f>
        <v/>
      </c>
      <c r="Q1709" s="359" t="s">
        <v>4381</v>
      </c>
    </row>
    <row r="1710" spans="1:17" x14ac:dyDescent="0.35">
      <c r="A1710" s="694" t="s">
        <v>2353</v>
      </c>
      <c r="B1710" s="694" t="s">
        <v>4311</v>
      </c>
      <c r="C1710" s="694" t="s">
        <v>4095</v>
      </c>
      <c r="E1710" t="str">
        <f>_xlfn.XLOOKUP(F1710,'Raw Data'!$I$4:$I$5000,'Raw Data'!$D$4:$D$5000,"*** Mnemonic not found ***",0)</f>
        <v>*** Mnemonic not found ***</v>
      </c>
      <c r="F1710" t="str">
        <f t="shared" si="405"/>
        <v>SUCMNOPROPORESRSK_AP_AJPTW_</v>
      </c>
      <c r="H1710" s="9" t="s">
        <v>1137</v>
      </c>
      <c r="K1710" s="9">
        <f t="shared" si="410"/>
        <v>649</v>
      </c>
      <c r="L1710" s="9" t="str">
        <f t="shared" si="411"/>
        <v>G</v>
      </c>
      <c r="M1710" s="9" t="str">
        <f t="shared" si="412"/>
        <v>Input!G649</v>
      </c>
      <c r="N1710" s="9">
        <f>_xlfn.XLOOKUP(F1710,'Raw Data'!$I$4:$I$5000,'Raw Data'!$E$4:$E$5000,100,0)</f>
        <v>100</v>
      </c>
      <c r="O1710" s="9" t="str">
        <f>IF(N1710=0,_xlfn.XLOOKUP(F1710,'Raw Data'!$I$4:$I$5000,'Raw Data'!$H$4:$H$5000,"",0),"")</f>
        <v/>
      </c>
      <c r="P1710" s="9" t="str" cm="1">
        <f t="array" aca="1" ref="P1710" ca="1">IF(INDIRECT(M1710) = "","",INDIRECT(M1710))</f>
        <v/>
      </c>
      <c r="Q1710" s="359" t="s">
        <v>4381</v>
      </c>
    </row>
    <row r="1711" spans="1:17" x14ac:dyDescent="0.35">
      <c r="A1711" t="s">
        <v>2353</v>
      </c>
      <c r="B1711" t="s">
        <v>2334</v>
      </c>
      <c r="C1711" t="s">
        <v>1008</v>
      </c>
      <c r="E1711" t="str">
        <f>_xlfn.XLOOKUP(F1711,'Raw Data'!$I$4:$I$5000,'Raw Data'!$D$4:$D$5000,"*** Mnemonic not found ***",0)</f>
        <v>*** Mnemonic not found ***</v>
      </c>
      <c r="F1711" t="str">
        <f t="shared" si="405"/>
        <v>SUCMNOPROPORESRSK_AP_TPLM_</v>
      </c>
      <c r="H1711" s="9" t="s">
        <v>1137</v>
      </c>
      <c r="K1711" s="9">
        <f t="shared" si="410"/>
        <v>650</v>
      </c>
      <c r="L1711" s="9" t="str">
        <f t="shared" si="411"/>
        <v>G</v>
      </c>
      <c r="M1711" s="9" t="str">
        <f t="shared" si="412"/>
        <v>Input!G650</v>
      </c>
      <c r="N1711" s="9">
        <f>_xlfn.XLOOKUP(F1711,'Raw Data'!$I$4:$I$5000,'Raw Data'!$E$4:$E$5000,100,0)</f>
        <v>100</v>
      </c>
      <c r="O1711" s="9" t="str">
        <f>IF(N1711=0,_xlfn.XLOOKUP(F1711,'Raw Data'!$I$4:$I$5000,'Raw Data'!$H$4:$H$5000,"",0),"")</f>
        <v/>
      </c>
      <c r="P1711" s="9" t="str" cm="1">
        <f t="array" aca="1" ref="P1711" ca="1">IF(INDIRECT(M1711) = "","",INDIRECT(M1711))</f>
        <v/>
      </c>
      <c r="Q1711" s="359" t="s">
        <v>4381</v>
      </c>
    </row>
    <row r="1712" spans="1:17" x14ac:dyDescent="0.35">
      <c r="A1712" t="s">
        <v>2353</v>
      </c>
      <c r="B1712" t="s">
        <v>2335</v>
      </c>
      <c r="C1712" t="s">
        <v>1009</v>
      </c>
      <c r="E1712" t="str">
        <f>_xlfn.XLOOKUP(F1712,'Raw Data'!$I$4:$I$5000,'Raw Data'!$D$4:$D$5000,"*** Mnemonic not found ***",0)</f>
        <v>*** Mnemonic not found ***</v>
      </c>
      <c r="F1712" t="str">
        <f t="shared" si="405"/>
        <v>SUCMNOPROPORESRSK_AP_CONCR_</v>
      </c>
      <c r="H1712" s="9" t="s">
        <v>1137</v>
      </c>
      <c r="K1712" s="9">
        <f t="shared" si="410"/>
        <v>651</v>
      </c>
      <c r="L1712" s="9" t="str">
        <f t="shared" si="411"/>
        <v>G</v>
      </c>
      <c r="M1712" s="9" t="str">
        <f t="shared" si="412"/>
        <v>Input!G651</v>
      </c>
      <c r="N1712" s="9">
        <f>_xlfn.XLOOKUP(F1712,'Raw Data'!$I$4:$I$5000,'Raw Data'!$E$4:$E$5000,100,0)</f>
        <v>100</v>
      </c>
      <c r="O1712" s="9" t="str">
        <f>IF(N1712=0,_xlfn.XLOOKUP(F1712,'Raw Data'!$I$4:$I$5000,'Raw Data'!$H$4:$H$5000,"",0),"")</f>
        <v/>
      </c>
      <c r="P1712" s="9" t="str" cm="1">
        <f t="array" aca="1" ref="P1712" ca="1">IF(INDIRECT(M1712) = "","",INDIRECT(M1712))</f>
        <v/>
      </c>
      <c r="Q1712" s="359" t="s">
        <v>4381</v>
      </c>
    </row>
    <row r="1713" spans="1:17" x14ac:dyDescent="0.35">
      <c r="A1713" t="s">
        <v>2353</v>
      </c>
      <c r="B1713" t="s">
        <v>2298</v>
      </c>
      <c r="C1713" t="s">
        <v>374</v>
      </c>
      <c r="E1713" t="str">
        <f>_xlfn.XLOOKUP(F1713,'Raw Data'!$I$4:$I$5000,'Raw Data'!$D$4:$D$5000,"*** Mnemonic not found ***",0)</f>
        <v>*** Mnemonic not found ***</v>
      </c>
      <c r="F1713" t="str">
        <f t="shared" si="405"/>
        <v>SUCMNOPROPORESRSK_AP_CRD_</v>
      </c>
      <c r="H1713" s="9" t="s">
        <v>1137</v>
      </c>
      <c r="K1713" s="9">
        <f t="shared" si="410"/>
        <v>652</v>
      </c>
      <c r="L1713" s="9" t="str">
        <f t="shared" si="411"/>
        <v>G</v>
      </c>
      <c r="M1713" s="9" t="str">
        <f t="shared" si="412"/>
        <v>Input!G652</v>
      </c>
      <c r="N1713" s="9">
        <f>_xlfn.XLOOKUP(F1713,'Raw Data'!$I$4:$I$5000,'Raw Data'!$E$4:$E$5000,100,0)</f>
        <v>100</v>
      </c>
      <c r="O1713" s="9" t="str">
        <f>IF(N1713=0,_xlfn.XLOOKUP(F1713,'Raw Data'!$I$4:$I$5000,'Raw Data'!$H$4:$H$5000,"",0),"")</f>
        <v/>
      </c>
      <c r="P1713" s="9" t="str" cm="1">
        <f t="array" aca="1" ref="P1713" ca="1">IF(INDIRECT(M1713) = "","",INDIRECT(M1713))</f>
        <v/>
      </c>
      <c r="Q1713" s="359" t="s">
        <v>4381</v>
      </c>
    </row>
    <row r="1714" spans="1:17" x14ac:dyDescent="0.35">
      <c r="A1714" t="s">
        <v>2353</v>
      </c>
      <c r="B1714" t="s">
        <v>2303</v>
      </c>
      <c r="C1714" t="s">
        <v>1022</v>
      </c>
      <c r="E1714" t="str">
        <f>_xlfn.XLOOKUP(F1714,'Raw Data'!$I$4:$I$5000,'Raw Data'!$D$4:$D$5000,"*** Mnemonic not found ***",0)</f>
        <v>*** Mnemonic not found ***</v>
      </c>
      <c r="F1714" t="str">
        <f t="shared" si="405"/>
        <v>SUCMNOPROPORESRSK_AP_AAH_</v>
      </c>
      <c r="H1714" s="9" t="s">
        <v>1137</v>
      </c>
      <c r="K1714" s="9">
        <f t="shared" si="410"/>
        <v>653</v>
      </c>
      <c r="L1714" s="9" t="str">
        <f t="shared" si="411"/>
        <v>G</v>
      </c>
      <c r="M1714" s="9" t="str">
        <f t="shared" si="412"/>
        <v>Input!G653</v>
      </c>
      <c r="N1714" s="9">
        <f>_xlfn.XLOOKUP(F1714,'Raw Data'!$I$4:$I$5000,'Raw Data'!$E$4:$E$5000,100,0)</f>
        <v>100</v>
      </c>
      <c r="O1714" s="9" t="str">
        <f>IF(N1714=0,_xlfn.XLOOKUP(F1714,'Raw Data'!$I$4:$I$5000,'Raw Data'!$H$4:$H$5000,"",0),"")</f>
        <v/>
      </c>
      <c r="P1714" s="9" t="str" cm="1">
        <f t="array" aca="1" ref="P1714" ca="1">IF(INDIRECT(M1714) = "","",INDIRECT(M1714))</f>
        <v/>
      </c>
      <c r="Q1714" s="359" t="s">
        <v>4381</v>
      </c>
    </row>
    <row r="1715" spans="1:17" x14ac:dyDescent="0.35">
      <c r="A1715" t="s">
        <v>2353</v>
      </c>
      <c r="B1715" t="s">
        <v>2336</v>
      </c>
      <c r="C1715" t="s">
        <v>261</v>
      </c>
      <c r="E1715" t="str">
        <f>_xlfn.XLOOKUP(F1715,'Raw Data'!$I$4:$I$5000,'Raw Data'!$D$4:$D$5000,"*** Mnemonic not found ***",0)</f>
        <v>*** Mnemonic not found ***</v>
      </c>
      <c r="F1715" t="str">
        <f t="shared" si="405"/>
        <v>SUCMNOPROPORESRSK_AP_HLTH_</v>
      </c>
      <c r="H1715" s="9" t="s">
        <v>1137</v>
      </c>
      <c r="K1715" s="9">
        <f t="shared" si="410"/>
        <v>654</v>
      </c>
      <c r="L1715" s="9" t="str">
        <f t="shared" si="411"/>
        <v>G</v>
      </c>
      <c r="M1715" s="9" t="str">
        <f t="shared" si="412"/>
        <v>Input!G654</v>
      </c>
      <c r="N1715" s="9">
        <f>_xlfn.XLOOKUP(F1715,'Raw Data'!$I$4:$I$5000,'Raw Data'!$E$4:$E$5000,100,0)</f>
        <v>100</v>
      </c>
      <c r="O1715" s="9" t="str">
        <f>IF(N1715=0,_xlfn.XLOOKUP(F1715,'Raw Data'!$I$4:$I$5000,'Raw Data'!$H$4:$H$5000,"",0),"")</f>
        <v/>
      </c>
      <c r="P1715" s="9" t="str" cm="1">
        <f t="array" aca="1" ref="P1715" ca="1">IF(INDIRECT(M1715) = "","",INDIRECT(M1715))</f>
        <v/>
      </c>
      <c r="Q1715" s="359" t="s">
        <v>4381</v>
      </c>
    </row>
    <row r="1716" spans="1:17" x14ac:dyDescent="0.35">
      <c r="A1716" t="s">
        <v>2353</v>
      </c>
      <c r="B1716" t="s">
        <v>2337</v>
      </c>
      <c r="C1716" t="s">
        <v>1010</v>
      </c>
      <c r="E1716" t="str">
        <f>_xlfn.XLOOKUP(F1716,'Raw Data'!$I$4:$I$5000,'Raw Data'!$D$4:$D$5000,"*** Mnemonic not found ***",0)</f>
        <v>*** Mnemonic not found ***</v>
      </c>
      <c r="F1716" t="str">
        <f t="shared" si="405"/>
        <v>SUCMNOPROPORESRSK_AP_MAVC_</v>
      </c>
      <c r="H1716" s="9" t="s">
        <v>1137</v>
      </c>
      <c r="K1716" s="9">
        <f t="shared" si="410"/>
        <v>655</v>
      </c>
      <c r="L1716" s="9" t="str">
        <f t="shared" si="411"/>
        <v>G</v>
      </c>
      <c r="M1716" s="9" t="str">
        <f t="shared" si="412"/>
        <v>Input!G655</v>
      </c>
      <c r="N1716" s="9">
        <f>_xlfn.XLOOKUP(F1716,'Raw Data'!$I$4:$I$5000,'Raw Data'!$E$4:$E$5000,100,0)</f>
        <v>100</v>
      </c>
      <c r="O1716" s="9" t="str">
        <f>IF(N1716=0,_xlfn.XLOOKUP(F1716,'Raw Data'!$I$4:$I$5000,'Raw Data'!$H$4:$H$5000,"",0),"")</f>
        <v/>
      </c>
      <c r="P1716" s="9" t="str" cm="1">
        <f t="array" aca="1" ref="P1716" ca="1">IF(INDIRECT(M1716) = "","",INDIRECT(M1716))</f>
        <v/>
      </c>
      <c r="Q1716" s="359" t="s">
        <v>4381</v>
      </c>
    </row>
    <row r="1717" spans="1:17" x14ac:dyDescent="0.35">
      <c r="A1717" t="s">
        <v>2353</v>
      </c>
      <c r="B1717" t="s">
        <v>2338</v>
      </c>
      <c r="C1717" t="s">
        <v>1011</v>
      </c>
      <c r="E1717" t="str">
        <f>_xlfn.XLOOKUP(F1717,'Raw Data'!$I$4:$I$5000,'Raw Data'!$D$4:$D$5000,"*** Mnemonic not found ***",0)</f>
        <v>*** Mnemonic not found ***</v>
      </c>
      <c r="F1717" t="str">
        <f t="shared" si="405"/>
        <v>SUCMNOPROPORESRSK_AP_MAVH_</v>
      </c>
      <c r="H1717" s="9" t="s">
        <v>1137</v>
      </c>
      <c r="K1717" s="9">
        <f t="shared" si="410"/>
        <v>656</v>
      </c>
      <c r="L1717" s="9" t="str">
        <f t="shared" si="411"/>
        <v>G</v>
      </c>
      <c r="M1717" s="9" t="str">
        <f t="shared" si="412"/>
        <v>Input!G656</v>
      </c>
      <c r="N1717" s="9">
        <f>_xlfn.XLOOKUP(F1717,'Raw Data'!$I$4:$I$5000,'Raw Data'!$E$4:$E$5000,100,0)</f>
        <v>100</v>
      </c>
      <c r="O1717" s="9" t="str">
        <f>IF(N1717=0,_xlfn.XLOOKUP(F1717,'Raw Data'!$I$4:$I$5000,'Raw Data'!$H$4:$H$5000,"",0),"")</f>
        <v/>
      </c>
      <c r="P1717" s="9" t="str" cm="1">
        <f t="array" aca="1" ref="P1717" ca="1">IF(INDIRECT(M1717) = "","",INDIRECT(M1717))</f>
        <v/>
      </c>
      <c r="Q1717" s="359" t="s">
        <v>4381</v>
      </c>
    </row>
    <row r="1718" spans="1:17" x14ac:dyDescent="0.35">
      <c r="A1718" s="694" t="s">
        <v>2353</v>
      </c>
      <c r="B1718" s="694" t="s">
        <v>4308</v>
      </c>
      <c r="C1718" s="694" t="s">
        <v>4130</v>
      </c>
      <c r="E1718" t="str">
        <f>_xlfn.XLOOKUP(F1718,'Raw Data'!$I$4:$I$5000,'Raw Data'!$D$4:$D$5000,"*** Mnemonic not found ***",0)</f>
        <v>*** Mnemonic not found ***</v>
      </c>
      <c r="F1718" t="str">
        <f t="shared" si="405"/>
        <v>SUCMNOPROPORESRSK_AP_MPIN_</v>
      </c>
      <c r="H1718" s="9" t="s">
        <v>1137</v>
      </c>
      <c r="K1718" s="9">
        <f t="shared" si="410"/>
        <v>657</v>
      </c>
      <c r="L1718" s="9" t="str">
        <f t="shared" si="411"/>
        <v>G</v>
      </c>
      <c r="M1718" s="9" t="str">
        <f t="shared" si="412"/>
        <v>Input!G657</v>
      </c>
      <c r="N1718" s="9">
        <f>_xlfn.XLOOKUP(F1718,'Raw Data'!$I$4:$I$5000,'Raw Data'!$E$4:$E$5000,100,0)</f>
        <v>100</v>
      </c>
      <c r="O1718" s="9" t="str">
        <f>IF(N1718=0,_xlfn.XLOOKUP(F1718,'Raw Data'!$I$4:$I$5000,'Raw Data'!$H$4:$H$5000,"",0),"")</f>
        <v/>
      </c>
      <c r="P1718" s="9" t="str" cm="1">
        <f t="array" aca="1" ref="P1718" ca="1">IF(INDIRECT(M1718) = "","",INDIRECT(M1718))</f>
        <v/>
      </c>
      <c r="Q1718" s="359" t="s">
        <v>4381</v>
      </c>
    </row>
    <row r="1719" spans="1:17" x14ac:dyDescent="0.35">
      <c r="A1719" t="s">
        <v>2353</v>
      </c>
      <c r="B1719" t="s">
        <v>2340</v>
      </c>
      <c r="C1719" t="s">
        <v>382</v>
      </c>
      <c r="E1719" t="str">
        <f>_xlfn.XLOOKUP(F1719,'Raw Data'!$I$4:$I$5000,'Raw Data'!$D$4:$D$5000,"*** Mnemonic not found ***",0)</f>
        <v>*** Mnemonic not found ***</v>
      </c>
      <c r="F1719" t="str">
        <f t="shared" si="405"/>
        <v>SUCMNOPROPORESRSK_AP_TRV_</v>
      </c>
      <c r="H1719" s="9" t="s">
        <v>1137</v>
      </c>
      <c r="K1719" s="9">
        <f t="shared" si="410"/>
        <v>658</v>
      </c>
      <c r="L1719" s="9" t="str">
        <f t="shared" si="411"/>
        <v>G</v>
      </c>
      <c r="M1719" s="9" t="str">
        <f t="shared" si="412"/>
        <v>Input!G658</v>
      </c>
      <c r="N1719" s="9">
        <f>_xlfn.XLOOKUP(F1719,'Raw Data'!$I$4:$I$5000,'Raw Data'!$E$4:$E$5000,100,0)</f>
        <v>100</v>
      </c>
      <c r="O1719" s="9" t="str">
        <f>IF(N1719=0,_xlfn.XLOOKUP(F1719,'Raw Data'!$I$4:$I$5000,'Raw Data'!$H$4:$H$5000,"",0),"")</f>
        <v/>
      </c>
      <c r="P1719" s="9" t="str" cm="1">
        <f t="array" aca="1" ref="P1719" ca="1">IF(INDIRECT(M1719) = "","",INDIRECT(M1719))</f>
        <v/>
      </c>
      <c r="Q1719" s="359" t="s">
        <v>4381</v>
      </c>
    </row>
    <row r="1720" spans="1:17" x14ac:dyDescent="0.35">
      <c r="A1720" t="s">
        <v>2353</v>
      </c>
      <c r="B1720" t="s">
        <v>2283</v>
      </c>
      <c r="C1720" t="s">
        <v>262</v>
      </c>
      <c r="E1720" t="str">
        <f>_xlfn.XLOOKUP(F1720,'Raw Data'!$I$4:$I$5000,'Raw Data'!$D$4:$D$5000,"*** Mnemonic not found ***",0)</f>
        <v>*** Mnemonic not found ***</v>
      </c>
      <c r="F1720" t="str">
        <f t="shared" si="405"/>
        <v>SUCMNOPROPORESRSK_AP_OCAH_</v>
      </c>
      <c r="H1720" s="9" t="s">
        <v>1137</v>
      </c>
      <c r="K1720" s="9">
        <f t="shared" si="410"/>
        <v>659</v>
      </c>
      <c r="L1720" s="9" t="str">
        <f t="shared" si="411"/>
        <v>G</v>
      </c>
      <c r="M1720" s="9" t="str">
        <f t="shared" si="412"/>
        <v>Input!G659</v>
      </c>
      <c r="N1720" s="9">
        <f>_xlfn.XLOOKUP(F1720,'Raw Data'!$I$4:$I$5000,'Raw Data'!$E$4:$E$5000,100,0)</f>
        <v>100</v>
      </c>
      <c r="O1720" s="9" t="str">
        <f>IF(N1720=0,_xlfn.XLOOKUP(F1720,'Raw Data'!$I$4:$I$5000,'Raw Data'!$H$4:$H$5000,"",0),"")</f>
        <v/>
      </c>
      <c r="P1720" s="9" t="str" cm="1">
        <f t="array" aca="1" ref="P1720" ca="1">IF(INDIRECT(M1720) = "","",INDIRECT(M1720))</f>
        <v/>
      </c>
      <c r="Q1720" s="359" t="s">
        <v>4381</v>
      </c>
    </row>
    <row r="1721" spans="1:17" x14ac:dyDescent="0.35">
      <c r="A1721" t="s">
        <v>2354</v>
      </c>
      <c r="B1721" t="s">
        <v>2328</v>
      </c>
      <c r="C1721" t="s">
        <v>1004</v>
      </c>
      <c r="E1721" t="str">
        <f>_xlfn.XLOOKUP(F1721,'Raw Data'!$I$4:$I$5000,'Raw Data'!$D$4:$D$5000,"*** Mnemonic not found ***",0)</f>
        <v>*** Mnemonic not found ***</v>
      </c>
      <c r="F1721" t="str">
        <f t="shared" si="405"/>
        <v>SUCMPROPORESRSK_LAM_EMLIB_</v>
      </c>
      <c r="G1721" t="s">
        <v>2358</v>
      </c>
      <c r="H1721" s="9" t="s">
        <v>1137</v>
      </c>
      <c r="I1721" s="289">
        <f>ROW(section_non_life_resv)</f>
        <v>571</v>
      </c>
      <c r="J1721" s="9">
        <v>90</v>
      </c>
      <c r="K1721" s="9">
        <f>I1721+J1721</f>
        <v>661</v>
      </c>
      <c r="L1721" s="9" t="s">
        <v>1124</v>
      </c>
      <c r="M1721" s="9" t="str">
        <f t="shared" si="406"/>
        <v>Input!F661</v>
      </c>
      <c r="N1721" s="9">
        <f>_xlfn.XLOOKUP(F1721,'Raw Data'!$I$4:$I$5000,'Raw Data'!$E$4:$E$5000,100,0)</f>
        <v>100</v>
      </c>
      <c r="O1721" s="9" t="str">
        <f>IF(N1721=0,_xlfn.XLOOKUP(F1721,'Raw Data'!$I$4:$I$5000,'Raw Data'!$H$4:$H$5000,"",0),"")</f>
        <v/>
      </c>
      <c r="P1721" s="9" t="str" cm="1">
        <f t="array" aca="1" ref="P1721" ca="1">IF(INDIRECT(M1721) = "","",INDIRECT(M1721))</f>
        <v/>
      </c>
      <c r="Q1721" s="359" t="s">
        <v>4381</v>
      </c>
    </row>
    <row r="1722" spans="1:17" x14ac:dyDescent="0.35">
      <c r="A1722" t="s">
        <v>2354</v>
      </c>
      <c r="B1722" t="s">
        <v>2271</v>
      </c>
      <c r="C1722" t="s">
        <v>978</v>
      </c>
      <c r="E1722" t="str">
        <f>_xlfn.XLOOKUP(F1722,'Raw Data'!$I$4:$I$5000,'Raw Data'!$D$4:$D$5000,"*** Mnemonic not found ***",0)</f>
        <v>*** Mnemonic not found ***</v>
      </c>
      <c r="F1722" t="str">
        <f t="shared" si="405"/>
        <v>SUCMPROPORESRSK_LAM_LIA_</v>
      </c>
      <c r="H1722" s="9" t="s">
        <v>1137</v>
      </c>
      <c r="K1722" s="9">
        <f>K1721+1</f>
        <v>662</v>
      </c>
      <c r="L1722" s="9" t="str">
        <f>L1721</f>
        <v>F</v>
      </c>
      <c r="M1722" s="9" t="str">
        <f t="shared" si="406"/>
        <v>Input!F662</v>
      </c>
      <c r="N1722" s="9">
        <f>_xlfn.XLOOKUP(F1722,'Raw Data'!$I$4:$I$5000,'Raw Data'!$E$4:$E$5000,100,0)</f>
        <v>100</v>
      </c>
      <c r="O1722" s="9" t="str">
        <f>IF(N1722=0,_xlfn.XLOOKUP(F1722,'Raw Data'!$I$4:$I$5000,'Raw Data'!$H$4:$H$5000,"",0),"")</f>
        <v/>
      </c>
      <c r="P1722" s="9" t="str" cm="1">
        <f t="array" aca="1" ref="P1722" ca="1">IF(INDIRECT(M1722) = "","",INDIRECT(M1722))</f>
        <v/>
      </c>
      <c r="Q1722" s="359" t="s">
        <v>4381</v>
      </c>
    </row>
    <row r="1723" spans="1:17" x14ac:dyDescent="0.35">
      <c r="A1723" t="s">
        <v>2354</v>
      </c>
      <c r="B1723" t="s">
        <v>2329</v>
      </c>
      <c r="C1723" t="s">
        <v>1005</v>
      </c>
      <c r="E1723" t="str">
        <f>_xlfn.XLOOKUP(F1723,'Raw Data'!$I$4:$I$5000,'Raw Data'!$D$4:$D$5000,"*** Mnemonic not found ***",0)</f>
        <v>*** Mnemonic not found ***</v>
      </c>
      <c r="F1723" t="str">
        <f t="shared" si="405"/>
        <v>SUCMPROPORESRSK_LAM_PRIND_</v>
      </c>
      <c r="H1723" s="9" t="s">
        <v>1137</v>
      </c>
      <c r="K1723" s="9">
        <f t="shared" ref="K1723:K1739" si="413">K1722+1</f>
        <v>663</v>
      </c>
      <c r="L1723" s="9" t="str">
        <f t="shared" ref="L1723:L1739" si="414">L1722</f>
        <v>F</v>
      </c>
      <c r="M1723" s="9" t="str">
        <f t="shared" si="406"/>
        <v>Input!F663</v>
      </c>
      <c r="N1723" s="9">
        <f>_xlfn.XLOOKUP(F1723,'Raw Data'!$I$4:$I$5000,'Raw Data'!$E$4:$E$5000,100,0)</f>
        <v>100</v>
      </c>
      <c r="O1723" s="9" t="str">
        <f>IF(N1723=0,_xlfn.XLOOKUP(F1723,'Raw Data'!$I$4:$I$5000,'Raw Data'!$H$4:$H$5000,"",0),"")</f>
        <v/>
      </c>
      <c r="P1723" s="9" t="str" cm="1">
        <f t="array" aca="1" ref="P1723" ca="1">IF(INDIRECT(M1723) = "","",INDIRECT(M1723))</f>
        <v/>
      </c>
      <c r="Q1723" s="359" t="s">
        <v>4381</v>
      </c>
    </row>
    <row r="1724" spans="1:17" x14ac:dyDescent="0.35">
      <c r="A1724" t="s">
        <v>2354</v>
      </c>
      <c r="B1724" t="s">
        <v>2318</v>
      </c>
      <c r="C1724" t="s">
        <v>997</v>
      </c>
      <c r="E1724" t="str">
        <f>_xlfn.XLOOKUP(F1724,'Raw Data'!$I$4:$I$5000,'Raw Data'!$D$4:$D$5000,"*** Mnemonic not found ***",0)</f>
        <v>*** Mnemonic not found ***</v>
      </c>
      <c r="F1724" t="str">
        <f t="shared" si="405"/>
        <v>SUCMPROPORESRSK_LAM_CMPR_</v>
      </c>
      <c r="H1724" s="9" t="s">
        <v>1137</v>
      </c>
      <c r="K1724" s="9">
        <f t="shared" si="413"/>
        <v>664</v>
      </c>
      <c r="L1724" s="9" t="str">
        <f t="shared" si="414"/>
        <v>F</v>
      </c>
      <c r="M1724" s="9" t="str">
        <f t="shared" si="406"/>
        <v>Input!F664</v>
      </c>
      <c r="N1724" s="9">
        <f>_xlfn.XLOOKUP(F1724,'Raw Data'!$I$4:$I$5000,'Raw Data'!$E$4:$E$5000,100,0)</f>
        <v>100</v>
      </c>
      <c r="O1724" s="9" t="str">
        <f>IF(N1724=0,_xlfn.XLOOKUP(F1724,'Raw Data'!$I$4:$I$5000,'Raw Data'!$H$4:$H$5000,"",0),"")</f>
        <v/>
      </c>
      <c r="P1724" s="9" t="str" cm="1">
        <f t="array" aca="1" ref="P1724" ca="1">IF(INDIRECT(M1724) = "","",INDIRECT(M1724))</f>
        <v/>
      </c>
      <c r="Q1724" s="359" t="s">
        <v>4381</v>
      </c>
    </row>
    <row r="1725" spans="1:17" x14ac:dyDescent="0.35">
      <c r="A1725" t="s">
        <v>2354</v>
      </c>
      <c r="B1725" t="s">
        <v>2331</v>
      </c>
      <c r="C1725" t="s">
        <v>1006</v>
      </c>
      <c r="E1725" t="str">
        <f>_xlfn.XLOOKUP(F1725,'Raw Data'!$I$4:$I$5000,'Raw Data'!$D$4:$D$5000,"*** Mnemonic not found ***",0)</f>
        <v>*** Mnemonic not found ***</v>
      </c>
      <c r="F1725" t="str">
        <f t="shared" si="405"/>
        <v>SUCMPROPORESRSK_LAM_HMP_</v>
      </c>
      <c r="H1725" s="9" t="s">
        <v>1137</v>
      </c>
      <c r="K1725" s="9">
        <f t="shared" si="413"/>
        <v>665</v>
      </c>
      <c r="L1725" s="9" t="str">
        <f t="shared" si="414"/>
        <v>F</v>
      </c>
      <c r="M1725" s="9" t="str">
        <f t="shared" si="406"/>
        <v>Input!F665</v>
      </c>
      <c r="N1725" s="9">
        <f>_xlfn.XLOOKUP(F1725,'Raw Data'!$I$4:$I$5000,'Raw Data'!$E$4:$E$5000,100,0)</f>
        <v>100</v>
      </c>
      <c r="O1725" s="9" t="str">
        <f>IF(N1725=0,_xlfn.XLOOKUP(F1725,'Raw Data'!$I$4:$I$5000,'Raw Data'!$H$4:$H$5000,"",0),"")</f>
        <v/>
      </c>
      <c r="P1725" s="9" t="str" cm="1">
        <f t="array" aca="1" ref="P1725" ca="1">IF(INDIRECT(M1725) = "","",INDIRECT(M1725))</f>
        <v/>
      </c>
      <c r="Q1725" s="359" t="s">
        <v>4381</v>
      </c>
    </row>
    <row r="1726" spans="1:17" x14ac:dyDescent="0.35">
      <c r="A1726" t="s">
        <v>2354</v>
      </c>
      <c r="B1726" t="s">
        <v>2341</v>
      </c>
      <c r="C1726" t="s">
        <v>1012</v>
      </c>
      <c r="E1726" t="str">
        <f>_xlfn.XLOOKUP(F1726,'Raw Data'!$I$4:$I$5000,'Raw Data'!$D$4:$D$5000,"*** Mnemonic not found ***",0)</f>
        <v>*** Mnemonic not found ***</v>
      </c>
      <c r="F1726" t="str">
        <f t="shared" si="405"/>
        <v>SUCMPROPORESRSK_LAM_MEXFR_</v>
      </c>
      <c r="H1726" s="9" t="s">
        <v>1137</v>
      </c>
      <c r="K1726" s="9">
        <f t="shared" si="413"/>
        <v>666</v>
      </c>
      <c r="L1726" s="9" t="str">
        <f t="shared" si="414"/>
        <v>F</v>
      </c>
      <c r="M1726" s="9" t="str">
        <f t="shared" si="406"/>
        <v>Input!F666</v>
      </c>
      <c r="N1726" s="9">
        <f>_xlfn.XLOOKUP(F1726,'Raw Data'!$I$4:$I$5000,'Raw Data'!$E$4:$E$5000,100,0)</f>
        <v>100</v>
      </c>
      <c r="O1726" s="9" t="str">
        <f>IF(N1726=0,_xlfn.XLOOKUP(F1726,'Raw Data'!$I$4:$I$5000,'Raw Data'!$H$4:$H$5000,"",0),"")</f>
        <v/>
      </c>
      <c r="P1726" s="9" t="str" cm="1">
        <f t="array" aca="1" ref="P1726" ca="1">IF(INDIRECT(M1726) = "","",INDIRECT(M1726))</f>
        <v/>
      </c>
      <c r="Q1726" s="359" t="s">
        <v>4381</v>
      </c>
    </row>
    <row r="1727" spans="1:17" x14ac:dyDescent="0.35">
      <c r="A1727" t="s">
        <v>2354</v>
      </c>
      <c r="B1727" t="s">
        <v>2342</v>
      </c>
      <c r="C1727" t="s">
        <v>1013</v>
      </c>
      <c r="E1727" t="str">
        <f>_xlfn.XLOOKUP(F1727,'Raw Data'!$I$4:$I$5000,'Raw Data'!$D$4:$D$5000,"*** Mnemonic not found ***",0)</f>
        <v>*** Mnemonic not found ***</v>
      </c>
      <c r="F1727" t="str">
        <f t="shared" si="405"/>
        <v>SUCMPROPORESRSK_LAM_PLM_</v>
      </c>
      <c r="H1727" s="9" t="s">
        <v>1137</v>
      </c>
      <c r="K1727" s="9">
        <f t="shared" si="413"/>
        <v>667</v>
      </c>
      <c r="L1727" s="9" t="str">
        <f t="shared" si="414"/>
        <v>F</v>
      </c>
      <c r="M1727" s="9" t="str">
        <f t="shared" si="406"/>
        <v>Input!F667</v>
      </c>
      <c r="N1727" s="9">
        <f>_xlfn.XLOOKUP(F1727,'Raw Data'!$I$4:$I$5000,'Raw Data'!$E$4:$E$5000,100,0)</f>
        <v>100</v>
      </c>
      <c r="O1727" s="9" t="str">
        <f>IF(N1727=0,_xlfn.XLOOKUP(F1727,'Raw Data'!$I$4:$I$5000,'Raw Data'!$H$4:$H$5000,"",0),"")</f>
        <v/>
      </c>
      <c r="P1727" s="9" t="str" cm="1">
        <f t="array" aca="1" ref="P1727" ca="1">IF(INDIRECT(M1727) = "","",INDIRECT(M1727))</f>
        <v/>
      </c>
      <c r="Q1727" s="359" t="s">
        <v>4381</v>
      </c>
    </row>
    <row r="1728" spans="1:17" x14ac:dyDescent="0.35">
      <c r="A1728" t="s">
        <v>2354</v>
      </c>
      <c r="B1728" t="s">
        <v>2274</v>
      </c>
      <c r="C1728" t="s">
        <v>1014</v>
      </c>
      <c r="E1728" t="str">
        <f>_xlfn.XLOOKUP(F1728,'Raw Data'!$I$4:$I$5000,'Raw Data'!$D$4:$D$5000,"*** Mnemonic not found ***",0)</f>
        <v>*** Mnemonic not found ***</v>
      </c>
      <c r="F1728" t="str">
        <f t="shared" si="405"/>
        <v>SUCMPROPORESRSK_LAM_ALB_</v>
      </c>
      <c r="H1728" s="9" t="s">
        <v>1137</v>
      </c>
      <c r="K1728" s="9">
        <f t="shared" si="413"/>
        <v>668</v>
      </c>
      <c r="L1728" s="9" t="str">
        <f t="shared" si="414"/>
        <v>F</v>
      </c>
      <c r="M1728" s="9" t="str">
        <f t="shared" si="406"/>
        <v>Input!F668</v>
      </c>
      <c r="N1728" s="9">
        <f>_xlfn.XLOOKUP(F1728,'Raw Data'!$I$4:$I$5000,'Raw Data'!$E$4:$E$5000,100,0)</f>
        <v>100</v>
      </c>
      <c r="O1728" s="9" t="str">
        <f>IF(N1728=0,_xlfn.XLOOKUP(F1728,'Raw Data'!$I$4:$I$5000,'Raw Data'!$H$4:$H$5000,"",0),"")</f>
        <v/>
      </c>
      <c r="P1728" s="9" t="str" cm="1">
        <f t="array" aca="1" ref="P1728" ca="1">IF(INDIRECT(M1728) = "","",INDIRECT(M1728))</f>
        <v/>
      </c>
      <c r="Q1728" s="359" t="s">
        <v>4381</v>
      </c>
    </row>
    <row r="1729" spans="1:17" x14ac:dyDescent="0.35">
      <c r="A1729" t="s">
        <v>2354</v>
      </c>
      <c r="B1729" t="s">
        <v>2298</v>
      </c>
      <c r="C1729" t="s">
        <v>374</v>
      </c>
      <c r="E1729" t="str">
        <f>_xlfn.XLOOKUP(F1729,'Raw Data'!$I$4:$I$5000,'Raw Data'!$D$4:$D$5000,"*** Mnemonic not found ***",0)</f>
        <v>*** Mnemonic not found ***</v>
      </c>
      <c r="F1729" t="str">
        <f t="shared" si="405"/>
        <v>SUCMPROPORESRSK_LAM_CRD_</v>
      </c>
      <c r="H1729" s="9" t="s">
        <v>1137</v>
      </c>
      <c r="K1729" s="9">
        <f t="shared" si="413"/>
        <v>669</v>
      </c>
      <c r="L1729" s="9" t="str">
        <f t="shared" si="414"/>
        <v>F</v>
      </c>
      <c r="M1729" s="9" t="str">
        <f t="shared" si="406"/>
        <v>Input!F669</v>
      </c>
      <c r="N1729" s="9">
        <f>_xlfn.XLOOKUP(F1729,'Raw Data'!$I$4:$I$5000,'Raw Data'!$E$4:$E$5000,100,0)</f>
        <v>100</v>
      </c>
      <c r="O1729" s="9" t="str">
        <f>IF(N1729=0,_xlfn.XLOOKUP(F1729,'Raw Data'!$I$4:$I$5000,'Raw Data'!$H$4:$H$5000,"",0),"")</f>
        <v/>
      </c>
      <c r="P1729" s="9" t="str" cm="1">
        <f t="array" aca="1" ref="P1729" ca="1">IF(INDIRECT(M1729) = "","",INDIRECT(M1729))</f>
        <v/>
      </c>
      <c r="Q1729" s="359" t="s">
        <v>4381</v>
      </c>
    </row>
    <row r="1730" spans="1:17" x14ac:dyDescent="0.35">
      <c r="A1730" t="s">
        <v>2354</v>
      </c>
      <c r="B1730" t="s">
        <v>2324</v>
      </c>
      <c r="C1730" t="s">
        <v>375</v>
      </c>
      <c r="E1730" t="str">
        <f>_xlfn.XLOOKUP(F1730,'Raw Data'!$I$4:$I$5000,'Raw Data'!$D$4:$D$5000,"*** Mnemonic not found ***",0)</f>
        <v>*** Mnemonic not found ***</v>
      </c>
      <c r="F1730" t="str">
        <f t="shared" si="405"/>
        <v>SUCMPROPORESRSK_LAM_FID_</v>
      </c>
      <c r="H1730" s="9" t="s">
        <v>1137</v>
      </c>
      <c r="K1730" s="9">
        <f t="shared" si="413"/>
        <v>670</v>
      </c>
      <c r="L1730" s="9" t="str">
        <f t="shared" si="414"/>
        <v>F</v>
      </c>
      <c r="M1730" s="9" t="str">
        <f t="shared" si="406"/>
        <v>Input!F670</v>
      </c>
      <c r="N1730" s="9">
        <f>_xlfn.XLOOKUP(F1730,'Raw Data'!$I$4:$I$5000,'Raw Data'!$E$4:$E$5000,100,0)</f>
        <v>100</v>
      </c>
      <c r="O1730" s="9" t="str">
        <f>IF(N1730=0,_xlfn.XLOOKUP(F1730,'Raw Data'!$I$4:$I$5000,'Raw Data'!$H$4:$H$5000,"",0),"")</f>
        <v/>
      </c>
      <c r="P1730" s="9" t="str" cm="1">
        <f t="array" aca="1" ref="P1730" ca="1">IF(INDIRECT(M1730) = "","",INDIRECT(M1730))</f>
        <v/>
      </c>
      <c r="Q1730" s="359" t="s">
        <v>4381</v>
      </c>
    </row>
    <row r="1731" spans="1:17" x14ac:dyDescent="0.35">
      <c r="A1731" t="s">
        <v>2354</v>
      </c>
      <c r="B1731" t="s">
        <v>2325</v>
      </c>
      <c r="C1731" t="s">
        <v>376</v>
      </c>
      <c r="E1731" t="str">
        <f>_xlfn.XLOOKUP(F1731,'Raw Data'!$I$4:$I$5000,'Raw Data'!$D$4:$D$5000,"*** Mnemonic not found ***",0)</f>
        <v>*** Mnemonic not found ***</v>
      </c>
      <c r="F1731" t="str">
        <f t="shared" si="405"/>
        <v>SUCMPROPORESRSK_LAM_SUR_</v>
      </c>
      <c r="H1731" s="9" t="s">
        <v>1137</v>
      </c>
      <c r="K1731" s="9">
        <f t="shared" si="413"/>
        <v>671</v>
      </c>
      <c r="L1731" s="9" t="str">
        <f t="shared" si="414"/>
        <v>F</v>
      </c>
      <c r="M1731" s="9" t="str">
        <f t="shared" si="406"/>
        <v>Input!F671</v>
      </c>
      <c r="N1731" s="9">
        <f>_xlfn.XLOOKUP(F1731,'Raw Data'!$I$4:$I$5000,'Raw Data'!$E$4:$E$5000,100,0)</f>
        <v>100</v>
      </c>
      <c r="O1731" s="9" t="str">
        <f>IF(N1731=0,_xlfn.XLOOKUP(F1731,'Raw Data'!$I$4:$I$5000,'Raw Data'!$H$4:$H$5000,"",0),"")</f>
        <v/>
      </c>
      <c r="P1731" s="9" t="str" cm="1">
        <f t="array" aca="1" ref="P1731" ca="1">IF(INDIRECT(M1731) = "","",INDIRECT(M1731))</f>
        <v/>
      </c>
      <c r="Q1731" s="359" t="s">
        <v>4381</v>
      </c>
    </row>
    <row r="1732" spans="1:17" x14ac:dyDescent="0.35">
      <c r="A1732" t="s">
        <v>2354</v>
      </c>
      <c r="B1732" t="s">
        <v>2303</v>
      </c>
      <c r="C1732" t="s">
        <v>994</v>
      </c>
      <c r="E1732" t="str">
        <f>_xlfn.XLOOKUP(F1732,'Raw Data'!$I$4:$I$5000,'Raw Data'!$D$4:$D$5000,"*** Mnemonic not found ***",0)</f>
        <v>*** Mnemonic not found ***</v>
      </c>
      <c r="F1732" t="str">
        <f t="shared" si="405"/>
        <v>SUCMPROPORESRSK_LAM_AAH_</v>
      </c>
      <c r="H1732" s="9" t="s">
        <v>1137</v>
      </c>
      <c r="K1732" s="9">
        <f t="shared" si="413"/>
        <v>672</v>
      </c>
      <c r="L1732" s="9" t="str">
        <f t="shared" si="414"/>
        <v>F</v>
      </c>
      <c r="M1732" s="9" t="str">
        <f t="shared" si="406"/>
        <v>Input!F672</v>
      </c>
      <c r="N1732" s="9">
        <f>_xlfn.XLOOKUP(F1732,'Raw Data'!$I$4:$I$5000,'Raw Data'!$E$4:$E$5000,100,0)</f>
        <v>100</v>
      </c>
      <c r="O1732" s="9" t="str">
        <f>IF(N1732=0,_xlfn.XLOOKUP(F1732,'Raw Data'!$I$4:$I$5000,'Raw Data'!$H$4:$H$5000,"",0),"")</f>
        <v/>
      </c>
      <c r="P1732" s="9" t="str" cm="1">
        <f t="array" aca="1" ref="P1732" ca="1">IF(INDIRECT(M1732) = "","",INDIRECT(M1732))</f>
        <v/>
      </c>
      <c r="Q1732" s="359" t="s">
        <v>4381</v>
      </c>
    </row>
    <row r="1733" spans="1:17" x14ac:dyDescent="0.35">
      <c r="A1733" t="s">
        <v>2354</v>
      </c>
      <c r="B1733" t="s">
        <v>2343</v>
      </c>
      <c r="C1733" t="s">
        <v>1015</v>
      </c>
      <c r="E1733" t="str">
        <f>_xlfn.XLOOKUP(F1733,'Raw Data'!$I$4:$I$5000,'Raw Data'!$D$4:$D$5000,"*** Mnemonic not found ***",0)</f>
        <v>*** Mnemonic not found ***</v>
      </c>
      <c r="F1733" t="str">
        <f t="shared" si="405"/>
        <v>SUCMPROPORESRSK_LAM_HMEDEX_</v>
      </c>
      <c r="H1733" s="9" t="s">
        <v>1137</v>
      </c>
      <c r="K1733" s="9">
        <f t="shared" si="413"/>
        <v>673</v>
      </c>
      <c r="L1733" s="9" t="str">
        <f t="shared" si="414"/>
        <v>F</v>
      </c>
      <c r="M1733" s="9" t="str">
        <f t="shared" si="406"/>
        <v>Input!F673</v>
      </c>
      <c r="N1733" s="9">
        <f>_xlfn.XLOOKUP(F1733,'Raw Data'!$I$4:$I$5000,'Raw Data'!$E$4:$E$5000,100,0)</f>
        <v>100</v>
      </c>
      <c r="O1733" s="9" t="str">
        <f>IF(N1733=0,_xlfn.XLOOKUP(F1733,'Raw Data'!$I$4:$I$5000,'Raw Data'!$H$4:$H$5000,"",0),"")</f>
        <v/>
      </c>
      <c r="P1733" s="9" t="str" cm="1">
        <f t="array" aca="1" ref="P1733" ca="1">IF(INDIRECT(M1733) = "","",INDIRECT(M1733))</f>
        <v/>
      </c>
      <c r="Q1733" s="359" t="s">
        <v>4381</v>
      </c>
    </row>
    <row r="1734" spans="1:17" x14ac:dyDescent="0.35">
      <c r="A1734" t="s">
        <v>2354</v>
      </c>
      <c r="B1734" t="s">
        <v>2344</v>
      </c>
      <c r="C1734" t="s">
        <v>1023</v>
      </c>
      <c r="E1734" t="str">
        <f>_xlfn.XLOOKUP(F1734,'Raw Data'!$I$4:$I$5000,'Raw Data'!$D$4:$D$5000,"*** Mnemonic not found ***",0)</f>
        <v>*** Mnemonic not found ***</v>
      </c>
      <c r="F1734" t="str">
        <f t="shared" si="405"/>
        <v>SUCMPROPORESRSK_LAM_MAVA_</v>
      </c>
      <c r="H1734" s="9" t="s">
        <v>1137</v>
      </c>
      <c r="K1734" s="9">
        <f t="shared" si="413"/>
        <v>674</v>
      </c>
      <c r="L1734" s="9" t="str">
        <f t="shared" si="414"/>
        <v>F</v>
      </c>
      <c r="M1734" s="9" t="str">
        <f t="shared" si="406"/>
        <v>Input!F674</v>
      </c>
      <c r="N1734" s="9">
        <f>_xlfn.XLOOKUP(F1734,'Raw Data'!$I$4:$I$5000,'Raw Data'!$E$4:$E$5000,100,0)</f>
        <v>100</v>
      </c>
      <c r="O1734" s="9" t="str">
        <f>IF(N1734=0,_xlfn.XLOOKUP(F1734,'Raw Data'!$I$4:$I$5000,'Raw Data'!$H$4:$H$5000,"",0),"")</f>
        <v/>
      </c>
      <c r="P1734" s="9" t="str" cm="1">
        <f t="array" aca="1" ref="P1734" ca="1">IF(INDIRECT(M1734) = "","",INDIRECT(M1734))</f>
        <v/>
      </c>
      <c r="Q1734" s="359" t="s">
        <v>4381</v>
      </c>
    </row>
    <row r="1735" spans="1:17" x14ac:dyDescent="0.35">
      <c r="A1735" t="s">
        <v>2354</v>
      </c>
      <c r="B1735" t="s">
        <v>2337</v>
      </c>
      <c r="C1735" t="s">
        <v>1024</v>
      </c>
      <c r="E1735" t="str">
        <f>_xlfn.XLOOKUP(F1735,'Raw Data'!$I$4:$I$5000,'Raw Data'!$D$4:$D$5000,"*** Mnemonic not found ***",0)</f>
        <v>*** Mnemonic not found ***</v>
      </c>
      <c r="F1735" t="str">
        <f t="shared" ref="F1735:F1800" si="415">CONCATENATE(A1735,"_",B1735,"_",D1735)</f>
        <v>SUCMPROPORESRSK_LAM_MAVC_</v>
      </c>
      <c r="H1735" s="9" t="s">
        <v>1137</v>
      </c>
      <c r="K1735" s="9">
        <f t="shared" si="413"/>
        <v>675</v>
      </c>
      <c r="L1735" s="9" t="str">
        <f t="shared" si="414"/>
        <v>F</v>
      </c>
      <c r="M1735" s="9" t="str">
        <f t="shared" si="406"/>
        <v>Input!F675</v>
      </c>
      <c r="N1735" s="9">
        <f>_xlfn.XLOOKUP(F1735,'Raw Data'!$I$4:$I$5000,'Raw Data'!$E$4:$E$5000,100,0)</f>
        <v>100</v>
      </c>
      <c r="O1735" s="9" t="str">
        <f>IF(N1735=0,_xlfn.XLOOKUP(F1735,'Raw Data'!$I$4:$I$5000,'Raw Data'!$H$4:$H$5000,"",0),"")</f>
        <v/>
      </c>
      <c r="P1735" s="9" t="str" cm="1">
        <f t="array" aca="1" ref="P1735" ca="1">IF(INDIRECT(M1735) = "","",INDIRECT(M1735))</f>
        <v/>
      </c>
      <c r="Q1735" s="359" t="s">
        <v>4381</v>
      </c>
    </row>
    <row r="1736" spans="1:17" x14ac:dyDescent="0.35">
      <c r="A1736" s="694" t="s">
        <v>2354</v>
      </c>
      <c r="B1736" s="694" t="s">
        <v>4308</v>
      </c>
      <c r="C1736" s="694" t="s">
        <v>4130</v>
      </c>
      <c r="E1736" t="str">
        <f>_xlfn.XLOOKUP(F1736,'Raw Data'!$I$4:$I$5000,'Raw Data'!$D$4:$D$5000,"*** Mnemonic not found ***",0)</f>
        <v>*** Mnemonic not found ***</v>
      </c>
      <c r="F1736" t="str">
        <f t="shared" si="415"/>
        <v>SUCMPROPORESRSK_LAM_MPIN_</v>
      </c>
      <c r="H1736" s="9" t="s">
        <v>1137</v>
      </c>
      <c r="K1736" s="9">
        <f t="shared" si="413"/>
        <v>676</v>
      </c>
      <c r="L1736" s="9" t="str">
        <f t="shared" si="414"/>
        <v>F</v>
      </c>
      <c r="M1736" s="9" t="str">
        <f t="shared" ref="M1736:M1739" si="416">CONCATENATE(H1736,"!",L1736,K1736)</f>
        <v>Input!F676</v>
      </c>
      <c r="N1736" s="9">
        <f>_xlfn.XLOOKUP(F1736,'Raw Data'!$I$4:$I$5000,'Raw Data'!$E$4:$E$5000,100,0)</f>
        <v>100</v>
      </c>
      <c r="O1736" s="9" t="str">
        <f>IF(N1736=0,_xlfn.XLOOKUP(F1736,'Raw Data'!$I$4:$I$5000,'Raw Data'!$H$4:$H$5000,"",0),"")</f>
        <v/>
      </c>
      <c r="P1736" s="9" t="str" cm="1">
        <f t="array" aca="1" ref="P1736" ca="1">IF(INDIRECT(M1736) = "","",INDIRECT(M1736))</f>
        <v/>
      </c>
      <c r="Q1736" s="359" t="s">
        <v>4381</v>
      </c>
    </row>
    <row r="1737" spans="1:17" x14ac:dyDescent="0.35">
      <c r="A1737" t="s">
        <v>2354</v>
      </c>
      <c r="B1737" t="s">
        <v>2340</v>
      </c>
      <c r="C1737" t="s">
        <v>382</v>
      </c>
      <c r="E1737" t="str">
        <f>_xlfn.XLOOKUP(F1737,'Raw Data'!$I$4:$I$5000,'Raw Data'!$D$4:$D$5000,"*** Mnemonic not found ***",0)</f>
        <v>*** Mnemonic not found ***</v>
      </c>
      <c r="F1737" t="str">
        <f t="shared" si="415"/>
        <v>SUCMPROPORESRSK_LAM_TRV_</v>
      </c>
      <c r="H1737" s="9" t="s">
        <v>1137</v>
      </c>
      <c r="K1737" s="9">
        <f t="shared" si="413"/>
        <v>677</v>
      </c>
      <c r="L1737" s="9" t="str">
        <f t="shared" si="414"/>
        <v>F</v>
      </c>
      <c r="M1737" s="9" t="str">
        <f t="shared" si="416"/>
        <v>Input!F677</v>
      </c>
      <c r="N1737" s="9">
        <f>_xlfn.XLOOKUP(F1737,'Raw Data'!$I$4:$I$5000,'Raw Data'!$E$4:$E$5000,100,0)</f>
        <v>100</v>
      </c>
      <c r="O1737" s="9" t="str">
        <f>IF(N1737=0,_xlfn.XLOOKUP(F1737,'Raw Data'!$I$4:$I$5000,'Raw Data'!$H$4:$H$5000,"",0),"")</f>
        <v/>
      </c>
      <c r="P1737" s="9" t="str" cm="1">
        <f t="array" aca="1" ref="P1737" ca="1">IF(INDIRECT(M1737) = "","",INDIRECT(M1737))</f>
        <v/>
      </c>
      <c r="Q1737" s="359" t="s">
        <v>4381</v>
      </c>
    </row>
    <row r="1738" spans="1:17" x14ac:dyDescent="0.35">
      <c r="A1738" t="s">
        <v>2354</v>
      </c>
      <c r="B1738" t="s">
        <v>2317</v>
      </c>
      <c r="C1738" t="s">
        <v>380</v>
      </c>
      <c r="E1738" t="str">
        <f>_xlfn.XLOOKUP(F1738,'Raw Data'!$I$4:$I$5000,'Raw Data'!$D$4:$D$5000,"*** Mnemonic not found ***",0)</f>
        <v>*** Mnemonic not found ***</v>
      </c>
      <c r="F1738" t="str">
        <f t="shared" si="415"/>
        <v>SUCMPROPORESRSK_LAM_WAR_</v>
      </c>
      <c r="H1738" s="9" t="s">
        <v>1137</v>
      </c>
      <c r="K1738" s="9">
        <f t="shared" si="413"/>
        <v>678</v>
      </c>
      <c r="L1738" s="9" t="str">
        <f t="shared" si="414"/>
        <v>F</v>
      </c>
      <c r="M1738" s="9" t="str">
        <f t="shared" si="416"/>
        <v>Input!F678</v>
      </c>
      <c r="N1738" s="9">
        <f>_xlfn.XLOOKUP(F1738,'Raw Data'!$I$4:$I$5000,'Raw Data'!$E$4:$E$5000,100,0)</f>
        <v>100</v>
      </c>
      <c r="O1738" s="9" t="str">
        <f>IF(N1738=0,_xlfn.XLOOKUP(F1738,'Raw Data'!$I$4:$I$5000,'Raw Data'!$H$4:$H$5000,"",0),"")</f>
        <v/>
      </c>
      <c r="P1738" s="9" t="str" cm="1">
        <f t="array" aca="1" ref="P1738" ca="1">IF(INDIRECT(M1738) = "","",INDIRECT(M1738))</f>
        <v/>
      </c>
      <c r="Q1738" s="359" t="s">
        <v>4381</v>
      </c>
    </row>
    <row r="1739" spans="1:17" x14ac:dyDescent="0.35">
      <c r="A1739" t="s">
        <v>2354</v>
      </c>
      <c r="B1739" t="s">
        <v>2283</v>
      </c>
      <c r="C1739" t="s">
        <v>262</v>
      </c>
      <c r="E1739" t="str">
        <f>_xlfn.XLOOKUP(F1739,'Raw Data'!$I$4:$I$5000,'Raw Data'!$D$4:$D$5000,"*** Mnemonic not found ***",0)</f>
        <v>*** Mnemonic not found ***</v>
      </c>
      <c r="F1739" t="str">
        <f t="shared" si="415"/>
        <v>SUCMPROPORESRSK_LAM_OCAH_</v>
      </c>
      <c r="H1739" s="9" t="s">
        <v>1137</v>
      </c>
      <c r="K1739" s="9">
        <f t="shared" si="413"/>
        <v>679</v>
      </c>
      <c r="L1739" s="9" t="str">
        <f t="shared" si="414"/>
        <v>F</v>
      </c>
      <c r="M1739" s="9" t="str">
        <f t="shared" si="416"/>
        <v>Input!F679</v>
      </c>
      <c r="N1739" s="9">
        <f>_xlfn.XLOOKUP(F1739,'Raw Data'!$I$4:$I$5000,'Raw Data'!$E$4:$E$5000,100,0)</f>
        <v>100</v>
      </c>
      <c r="O1739" s="9" t="str">
        <f>IF(N1739=0,_xlfn.XLOOKUP(F1739,'Raw Data'!$I$4:$I$5000,'Raw Data'!$H$4:$H$5000,"",0),"")</f>
        <v/>
      </c>
      <c r="P1739" s="9" t="str" cm="1">
        <f t="array" aca="1" ref="P1739" ca="1">IF(INDIRECT(M1739) = "","",INDIRECT(M1739))</f>
        <v/>
      </c>
      <c r="Q1739" s="359" t="s">
        <v>4381</v>
      </c>
    </row>
    <row r="1740" spans="1:17" x14ac:dyDescent="0.35">
      <c r="A1740" t="s">
        <v>2355</v>
      </c>
      <c r="B1740" t="s">
        <v>2328</v>
      </c>
      <c r="C1740" t="s">
        <v>1004</v>
      </c>
      <c r="E1740" t="str">
        <f>_xlfn.XLOOKUP(F1740,'Raw Data'!$I$4:$I$5000,'Raw Data'!$D$4:$D$5000,"*** Mnemonic not found ***",0)</f>
        <v>*** Mnemonic not found ***</v>
      </c>
      <c r="F1740" t="str">
        <f t="shared" si="415"/>
        <v>SUCMNOPROPORESRSK_LAM_EMLIB_</v>
      </c>
      <c r="H1740" s="9" t="s">
        <v>1137</v>
      </c>
      <c r="I1740" s="289">
        <f>ROW(section_non_life_resv)</f>
        <v>571</v>
      </c>
      <c r="J1740" s="9">
        <f>J1721</f>
        <v>90</v>
      </c>
      <c r="K1740" s="9">
        <f>I1740+J1740</f>
        <v>661</v>
      </c>
      <c r="L1740" s="9" t="s">
        <v>1145</v>
      </c>
      <c r="M1740" s="9" t="str">
        <f t="shared" si="406"/>
        <v>Input!G661</v>
      </c>
      <c r="N1740" s="9">
        <f>_xlfn.XLOOKUP(F1740,'Raw Data'!$I$4:$I$5000,'Raw Data'!$E$4:$E$5000,100,0)</f>
        <v>100</v>
      </c>
      <c r="O1740" s="9" t="str">
        <f>IF(N1740=0,_xlfn.XLOOKUP(F1740,'Raw Data'!$I$4:$I$5000,'Raw Data'!$H$4:$H$5000,"",0),"")</f>
        <v/>
      </c>
      <c r="P1740" s="9" t="str" cm="1">
        <f t="array" aca="1" ref="P1740" ca="1">IF(INDIRECT(M1740) = "","",INDIRECT(M1740))</f>
        <v/>
      </c>
      <c r="Q1740" s="359" t="s">
        <v>4381</v>
      </c>
    </row>
    <row r="1741" spans="1:17" x14ac:dyDescent="0.35">
      <c r="A1741" t="s">
        <v>2355</v>
      </c>
      <c r="B1741" t="s">
        <v>2271</v>
      </c>
      <c r="C1741" t="s">
        <v>978</v>
      </c>
      <c r="E1741" t="str">
        <f>_xlfn.XLOOKUP(F1741,'Raw Data'!$I$4:$I$5000,'Raw Data'!$D$4:$D$5000,"*** Mnemonic not found ***",0)</f>
        <v>*** Mnemonic not found ***</v>
      </c>
      <c r="F1741" t="str">
        <f t="shared" si="415"/>
        <v>SUCMNOPROPORESRSK_LAM_LIA_</v>
      </c>
      <c r="H1741" s="9" t="s">
        <v>1137</v>
      </c>
      <c r="K1741" s="9">
        <f>K1740+1</f>
        <v>662</v>
      </c>
      <c r="L1741" s="9" t="str">
        <f>L1740</f>
        <v>G</v>
      </c>
      <c r="M1741" s="9" t="str">
        <f t="shared" si="406"/>
        <v>Input!G662</v>
      </c>
      <c r="N1741" s="9">
        <f>_xlfn.XLOOKUP(F1741,'Raw Data'!$I$4:$I$5000,'Raw Data'!$E$4:$E$5000,100,0)</f>
        <v>100</v>
      </c>
      <c r="O1741" s="9" t="str">
        <f>IF(N1741=0,_xlfn.XLOOKUP(F1741,'Raw Data'!$I$4:$I$5000,'Raw Data'!$H$4:$H$5000,"",0),"")</f>
        <v/>
      </c>
      <c r="P1741" s="9" t="str" cm="1">
        <f t="array" aca="1" ref="P1741" ca="1">IF(INDIRECT(M1741) = "","",INDIRECT(M1741))</f>
        <v/>
      </c>
      <c r="Q1741" s="359" t="s">
        <v>4381</v>
      </c>
    </row>
    <row r="1742" spans="1:17" x14ac:dyDescent="0.35">
      <c r="A1742" t="s">
        <v>2355</v>
      </c>
      <c r="B1742" t="s">
        <v>2329</v>
      </c>
      <c r="C1742" t="s">
        <v>1005</v>
      </c>
      <c r="E1742" t="str">
        <f>_xlfn.XLOOKUP(F1742,'Raw Data'!$I$4:$I$5000,'Raw Data'!$D$4:$D$5000,"*** Mnemonic not found ***",0)</f>
        <v>*** Mnemonic not found ***</v>
      </c>
      <c r="F1742" t="str">
        <f t="shared" si="415"/>
        <v>SUCMNOPROPORESRSK_LAM_PRIND_</v>
      </c>
      <c r="H1742" s="9" t="s">
        <v>1137</v>
      </c>
      <c r="K1742" s="9">
        <f t="shared" ref="K1742:K1758" si="417">K1741+1</f>
        <v>663</v>
      </c>
      <c r="L1742" s="9" t="str">
        <f t="shared" ref="L1742:L1758" si="418">L1741</f>
        <v>G</v>
      </c>
      <c r="M1742" s="9" t="str">
        <f t="shared" si="406"/>
        <v>Input!G663</v>
      </c>
      <c r="N1742" s="9">
        <f>_xlfn.XLOOKUP(F1742,'Raw Data'!$I$4:$I$5000,'Raw Data'!$E$4:$E$5000,100,0)</f>
        <v>100</v>
      </c>
      <c r="O1742" s="9" t="str">
        <f>IF(N1742=0,_xlfn.XLOOKUP(F1742,'Raw Data'!$I$4:$I$5000,'Raw Data'!$H$4:$H$5000,"",0),"")</f>
        <v/>
      </c>
      <c r="P1742" s="9" t="str" cm="1">
        <f t="array" aca="1" ref="P1742" ca="1">IF(INDIRECT(M1742) = "","",INDIRECT(M1742))</f>
        <v/>
      </c>
      <c r="Q1742" s="359" t="s">
        <v>4381</v>
      </c>
    </row>
    <row r="1743" spans="1:17" x14ac:dyDescent="0.35">
      <c r="A1743" t="s">
        <v>2355</v>
      </c>
      <c r="B1743" t="s">
        <v>2318</v>
      </c>
      <c r="C1743" t="s">
        <v>997</v>
      </c>
      <c r="E1743" t="str">
        <f>_xlfn.XLOOKUP(F1743,'Raw Data'!$I$4:$I$5000,'Raw Data'!$D$4:$D$5000,"*** Mnemonic not found ***",0)</f>
        <v>*** Mnemonic not found ***</v>
      </c>
      <c r="F1743" t="str">
        <f t="shared" si="415"/>
        <v>SUCMNOPROPORESRSK_LAM_CMPR_</v>
      </c>
      <c r="H1743" s="9" t="s">
        <v>1137</v>
      </c>
      <c r="K1743" s="9">
        <f t="shared" si="417"/>
        <v>664</v>
      </c>
      <c r="L1743" s="9" t="str">
        <f t="shared" si="418"/>
        <v>G</v>
      </c>
      <c r="M1743" s="9" t="str">
        <f t="shared" ref="M1743:M1823" si="419">CONCATENATE(H1743,"!",L1743,K1743)</f>
        <v>Input!G664</v>
      </c>
      <c r="N1743" s="9">
        <f>_xlfn.XLOOKUP(F1743,'Raw Data'!$I$4:$I$5000,'Raw Data'!$E$4:$E$5000,100,0)</f>
        <v>100</v>
      </c>
      <c r="O1743" s="9" t="str">
        <f>IF(N1743=0,_xlfn.XLOOKUP(F1743,'Raw Data'!$I$4:$I$5000,'Raw Data'!$H$4:$H$5000,"",0),"")</f>
        <v/>
      </c>
      <c r="P1743" s="9" t="str" cm="1">
        <f t="array" aca="1" ref="P1743" ca="1">IF(INDIRECT(M1743) = "","",INDIRECT(M1743))</f>
        <v/>
      </c>
      <c r="Q1743" s="359" t="s">
        <v>4381</v>
      </c>
    </row>
    <row r="1744" spans="1:17" x14ac:dyDescent="0.35">
      <c r="A1744" t="s">
        <v>2355</v>
      </c>
      <c r="B1744" t="s">
        <v>2331</v>
      </c>
      <c r="C1744" t="s">
        <v>1006</v>
      </c>
      <c r="E1744" t="str">
        <f>_xlfn.XLOOKUP(F1744,'Raw Data'!$I$4:$I$5000,'Raw Data'!$D$4:$D$5000,"*** Mnemonic not found ***",0)</f>
        <v>*** Mnemonic not found ***</v>
      </c>
      <c r="F1744" t="str">
        <f t="shared" si="415"/>
        <v>SUCMNOPROPORESRSK_LAM_HMP_</v>
      </c>
      <c r="H1744" s="9" t="s">
        <v>1137</v>
      </c>
      <c r="K1744" s="9">
        <f t="shared" si="417"/>
        <v>665</v>
      </c>
      <c r="L1744" s="9" t="str">
        <f t="shared" si="418"/>
        <v>G</v>
      </c>
      <c r="M1744" s="9" t="str">
        <f t="shared" si="419"/>
        <v>Input!G665</v>
      </c>
      <c r="N1744" s="9">
        <f>_xlfn.XLOOKUP(F1744,'Raw Data'!$I$4:$I$5000,'Raw Data'!$E$4:$E$5000,100,0)</f>
        <v>100</v>
      </c>
      <c r="O1744" s="9" t="str">
        <f>IF(N1744=0,_xlfn.XLOOKUP(F1744,'Raw Data'!$I$4:$I$5000,'Raw Data'!$H$4:$H$5000,"",0),"")</f>
        <v/>
      </c>
      <c r="P1744" s="9" t="str" cm="1">
        <f t="array" aca="1" ref="P1744" ca="1">IF(INDIRECT(M1744) = "","",INDIRECT(M1744))</f>
        <v/>
      </c>
      <c r="Q1744" s="359" t="s">
        <v>4381</v>
      </c>
    </row>
    <row r="1745" spans="1:17" x14ac:dyDescent="0.35">
      <c r="A1745" t="s">
        <v>2355</v>
      </c>
      <c r="B1745" t="s">
        <v>2341</v>
      </c>
      <c r="C1745" t="s">
        <v>1012</v>
      </c>
      <c r="E1745" t="str">
        <f>_xlfn.XLOOKUP(F1745,'Raw Data'!$I$4:$I$5000,'Raw Data'!$D$4:$D$5000,"*** Mnemonic not found ***",0)</f>
        <v>*** Mnemonic not found ***</v>
      </c>
      <c r="F1745" t="str">
        <f t="shared" si="415"/>
        <v>SUCMNOPROPORESRSK_LAM_MEXFR_</v>
      </c>
      <c r="H1745" s="9" t="s">
        <v>1137</v>
      </c>
      <c r="K1745" s="9">
        <f t="shared" si="417"/>
        <v>666</v>
      </c>
      <c r="L1745" s="9" t="str">
        <f t="shared" si="418"/>
        <v>G</v>
      </c>
      <c r="M1745" s="9" t="str">
        <f t="shared" si="419"/>
        <v>Input!G666</v>
      </c>
      <c r="N1745" s="9">
        <f>_xlfn.XLOOKUP(F1745,'Raw Data'!$I$4:$I$5000,'Raw Data'!$E$4:$E$5000,100,0)</f>
        <v>100</v>
      </c>
      <c r="O1745" s="9" t="str">
        <f>IF(N1745=0,_xlfn.XLOOKUP(F1745,'Raw Data'!$I$4:$I$5000,'Raw Data'!$H$4:$H$5000,"",0),"")</f>
        <v/>
      </c>
      <c r="P1745" s="9" t="str" cm="1">
        <f t="array" aca="1" ref="P1745" ca="1">IF(INDIRECT(M1745) = "","",INDIRECT(M1745))</f>
        <v/>
      </c>
      <c r="Q1745" s="359" t="s">
        <v>4381</v>
      </c>
    </row>
    <row r="1746" spans="1:17" x14ac:dyDescent="0.35">
      <c r="A1746" t="s">
        <v>2355</v>
      </c>
      <c r="B1746" t="s">
        <v>2342</v>
      </c>
      <c r="C1746" t="s">
        <v>1013</v>
      </c>
      <c r="E1746" t="str">
        <f>_xlfn.XLOOKUP(F1746,'Raw Data'!$I$4:$I$5000,'Raw Data'!$D$4:$D$5000,"*** Mnemonic not found ***",0)</f>
        <v>*** Mnemonic not found ***</v>
      </c>
      <c r="F1746" t="str">
        <f t="shared" si="415"/>
        <v>SUCMNOPROPORESRSK_LAM_PLM_</v>
      </c>
      <c r="H1746" s="9" t="s">
        <v>1137</v>
      </c>
      <c r="K1746" s="9">
        <f t="shared" si="417"/>
        <v>667</v>
      </c>
      <c r="L1746" s="9" t="str">
        <f t="shared" si="418"/>
        <v>G</v>
      </c>
      <c r="M1746" s="9" t="str">
        <f t="shared" si="419"/>
        <v>Input!G667</v>
      </c>
      <c r="N1746" s="9">
        <f>_xlfn.XLOOKUP(F1746,'Raw Data'!$I$4:$I$5000,'Raw Data'!$E$4:$E$5000,100,0)</f>
        <v>100</v>
      </c>
      <c r="O1746" s="9" t="str">
        <f>IF(N1746=0,_xlfn.XLOOKUP(F1746,'Raw Data'!$I$4:$I$5000,'Raw Data'!$H$4:$H$5000,"",0),"")</f>
        <v/>
      </c>
      <c r="P1746" s="9" t="str" cm="1">
        <f t="array" aca="1" ref="P1746" ca="1">IF(INDIRECT(M1746) = "","",INDIRECT(M1746))</f>
        <v/>
      </c>
      <c r="Q1746" s="359" t="s">
        <v>4381</v>
      </c>
    </row>
    <row r="1747" spans="1:17" x14ac:dyDescent="0.35">
      <c r="A1747" t="s">
        <v>2355</v>
      </c>
      <c r="B1747" t="s">
        <v>2274</v>
      </c>
      <c r="C1747" t="s">
        <v>1014</v>
      </c>
      <c r="E1747" t="str">
        <f>_xlfn.XLOOKUP(F1747,'Raw Data'!$I$4:$I$5000,'Raw Data'!$D$4:$D$5000,"*** Mnemonic not found ***",0)</f>
        <v>*** Mnemonic not found ***</v>
      </c>
      <c r="F1747" t="str">
        <f t="shared" si="415"/>
        <v>SUCMNOPROPORESRSK_LAM_ALB_</v>
      </c>
      <c r="H1747" s="9" t="s">
        <v>1137</v>
      </c>
      <c r="K1747" s="9">
        <f t="shared" si="417"/>
        <v>668</v>
      </c>
      <c r="L1747" s="9" t="str">
        <f t="shared" si="418"/>
        <v>G</v>
      </c>
      <c r="M1747" s="9" t="str">
        <f t="shared" si="419"/>
        <v>Input!G668</v>
      </c>
      <c r="N1747" s="9">
        <f>_xlfn.XLOOKUP(F1747,'Raw Data'!$I$4:$I$5000,'Raw Data'!$E$4:$E$5000,100,0)</f>
        <v>100</v>
      </c>
      <c r="O1747" s="9" t="str">
        <f>IF(N1747=0,_xlfn.XLOOKUP(F1747,'Raw Data'!$I$4:$I$5000,'Raw Data'!$H$4:$H$5000,"",0),"")</f>
        <v/>
      </c>
      <c r="P1747" s="9" t="str" cm="1">
        <f t="array" aca="1" ref="P1747" ca="1">IF(INDIRECT(M1747) = "","",INDIRECT(M1747))</f>
        <v/>
      </c>
      <c r="Q1747" s="359" t="s">
        <v>4381</v>
      </c>
    </row>
    <row r="1748" spans="1:17" x14ac:dyDescent="0.35">
      <c r="A1748" t="s">
        <v>2355</v>
      </c>
      <c r="B1748" t="s">
        <v>2298</v>
      </c>
      <c r="C1748" t="s">
        <v>374</v>
      </c>
      <c r="E1748" t="str">
        <f>_xlfn.XLOOKUP(F1748,'Raw Data'!$I$4:$I$5000,'Raw Data'!$D$4:$D$5000,"*** Mnemonic not found ***",0)</f>
        <v>*** Mnemonic not found ***</v>
      </c>
      <c r="F1748" t="str">
        <f t="shared" si="415"/>
        <v>SUCMNOPROPORESRSK_LAM_CRD_</v>
      </c>
      <c r="H1748" s="9" t="s">
        <v>1137</v>
      </c>
      <c r="K1748" s="9">
        <f t="shared" si="417"/>
        <v>669</v>
      </c>
      <c r="L1748" s="9" t="str">
        <f t="shared" si="418"/>
        <v>G</v>
      </c>
      <c r="M1748" s="9" t="str">
        <f t="shared" si="419"/>
        <v>Input!G669</v>
      </c>
      <c r="N1748" s="9">
        <f>_xlfn.XLOOKUP(F1748,'Raw Data'!$I$4:$I$5000,'Raw Data'!$E$4:$E$5000,100,0)</f>
        <v>100</v>
      </c>
      <c r="O1748" s="9" t="str">
        <f>IF(N1748=0,_xlfn.XLOOKUP(F1748,'Raw Data'!$I$4:$I$5000,'Raw Data'!$H$4:$H$5000,"",0),"")</f>
        <v/>
      </c>
      <c r="P1748" s="9" t="str" cm="1">
        <f t="array" aca="1" ref="P1748" ca="1">IF(INDIRECT(M1748) = "","",INDIRECT(M1748))</f>
        <v/>
      </c>
      <c r="Q1748" s="359" t="s">
        <v>4381</v>
      </c>
    </row>
    <row r="1749" spans="1:17" x14ac:dyDescent="0.35">
      <c r="A1749" t="s">
        <v>2355</v>
      </c>
      <c r="B1749" t="s">
        <v>2324</v>
      </c>
      <c r="C1749" t="s">
        <v>375</v>
      </c>
      <c r="E1749" t="str">
        <f>_xlfn.XLOOKUP(F1749,'Raw Data'!$I$4:$I$5000,'Raw Data'!$D$4:$D$5000,"*** Mnemonic not found ***",0)</f>
        <v>*** Mnemonic not found ***</v>
      </c>
      <c r="F1749" t="str">
        <f t="shared" si="415"/>
        <v>SUCMNOPROPORESRSK_LAM_FID_</v>
      </c>
      <c r="H1749" s="9" t="s">
        <v>1137</v>
      </c>
      <c r="K1749" s="9">
        <f t="shared" si="417"/>
        <v>670</v>
      </c>
      <c r="L1749" s="9" t="str">
        <f t="shared" si="418"/>
        <v>G</v>
      </c>
      <c r="M1749" s="9" t="str">
        <f t="shared" si="419"/>
        <v>Input!G670</v>
      </c>
      <c r="N1749" s="9">
        <f>_xlfn.XLOOKUP(F1749,'Raw Data'!$I$4:$I$5000,'Raw Data'!$E$4:$E$5000,100,0)</f>
        <v>100</v>
      </c>
      <c r="O1749" s="9" t="str">
        <f>IF(N1749=0,_xlfn.XLOOKUP(F1749,'Raw Data'!$I$4:$I$5000,'Raw Data'!$H$4:$H$5000,"",0),"")</f>
        <v/>
      </c>
      <c r="P1749" s="9" t="str" cm="1">
        <f t="array" aca="1" ref="P1749" ca="1">IF(INDIRECT(M1749) = "","",INDIRECT(M1749))</f>
        <v/>
      </c>
      <c r="Q1749" s="359" t="s">
        <v>4381</v>
      </c>
    </row>
    <row r="1750" spans="1:17" x14ac:dyDescent="0.35">
      <c r="A1750" t="s">
        <v>2355</v>
      </c>
      <c r="B1750" t="s">
        <v>2325</v>
      </c>
      <c r="C1750" t="s">
        <v>376</v>
      </c>
      <c r="E1750" t="str">
        <f>_xlfn.XLOOKUP(F1750,'Raw Data'!$I$4:$I$5000,'Raw Data'!$D$4:$D$5000,"*** Mnemonic not found ***",0)</f>
        <v>*** Mnemonic not found ***</v>
      </c>
      <c r="F1750" t="str">
        <f t="shared" si="415"/>
        <v>SUCMNOPROPORESRSK_LAM_SUR_</v>
      </c>
      <c r="H1750" s="9" t="s">
        <v>1137</v>
      </c>
      <c r="K1750" s="9">
        <f t="shared" si="417"/>
        <v>671</v>
      </c>
      <c r="L1750" s="9" t="str">
        <f t="shared" si="418"/>
        <v>G</v>
      </c>
      <c r="M1750" s="9" t="str">
        <f t="shared" si="419"/>
        <v>Input!G671</v>
      </c>
      <c r="N1750" s="9">
        <f>_xlfn.XLOOKUP(F1750,'Raw Data'!$I$4:$I$5000,'Raw Data'!$E$4:$E$5000,100,0)</f>
        <v>100</v>
      </c>
      <c r="O1750" s="9" t="str">
        <f>IF(N1750=0,_xlfn.XLOOKUP(F1750,'Raw Data'!$I$4:$I$5000,'Raw Data'!$H$4:$H$5000,"",0),"")</f>
        <v/>
      </c>
      <c r="P1750" s="9" t="str" cm="1">
        <f t="array" aca="1" ref="P1750" ca="1">IF(INDIRECT(M1750) = "","",INDIRECT(M1750))</f>
        <v/>
      </c>
      <c r="Q1750" s="359" t="s">
        <v>4381</v>
      </c>
    </row>
    <row r="1751" spans="1:17" x14ac:dyDescent="0.35">
      <c r="A1751" t="s">
        <v>2355</v>
      </c>
      <c r="B1751" t="s">
        <v>2303</v>
      </c>
      <c r="C1751" t="s">
        <v>994</v>
      </c>
      <c r="E1751" t="str">
        <f>_xlfn.XLOOKUP(F1751,'Raw Data'!$I$4:$I$5000,'Raw Data'!$D$4:$D$5000,"*** Mnemonic not found ***",0)</f>
        <v>*** Mnemonic not found ***</v>
      </c>
      <c r="F1751" t="str">
        <f t="shared" si="415"/>
        <v>SUCMNOPROPORESRSK_LAM_AAH_</v>
      </c>
      <c r="H1751" s="9" t="s">
        <v>1137</v>
      </c>
      <c r="K1751" s="9">
        <f t="shared" si="417"/>
        <v>672</v>
      </c>
      <c r="L1751" s="9" t="str">
        <f t="shared" si="418"/>
        <v>G</v>
      </c>
      <c r="M1751" s="9" t="str">
        <f t="shared" si="419"/>
        <v>Input!G672</v>
      </c>
      <c r="N1751" s="9">
        <f>_xlfn.XLOOKUP(F1751,'Raw Data'!$I$4:$I$5000,'Raw Data'!$E$4:$E$5000,100,0)</f>
        <v>100</v>
      </c>
      <c r="O1751" s="9" t="str">
        <f>IF(N1751=0,_xlfn.XLOOKUP(F1751,'Raw Data'!$I$4:$I$5000,'Raw Data'!$H$4:$H$5000,"",0),"")</f>
        <v/>
      </c>
      <c r="P1751" s="9" t="str" cm="1">
        <f t="array" aca="1" ref="P1751" ca="1">IF(INDIRECT(M1751) = "","",INDIRECT(M1751))</f>
        <v/>
      </c>
      <c r="Q1751" s="359" t="s">
        <v>4381</v>
      </c>
    </row>
    <row r="1752" spans="1:17" x14ac:dyDescent="0.35">
      <c r="A1752" t="s">
        <v>2355</v>
      </c>
      <c r="B1752" t="s">
        <v>2343</v>
      </c>
      <c r="C1752" t="s">
        <v>1015</v>
      </c>
      <c r="E1752" t="str">
        <f>_xlfn.XLOOKUP(F1752,'Raw Data'!$I$4:$I$5000,'Raw Data'!$D$4:$D$5000,"*** Mnemonic not found ***",0)</f>
        <v>*** Mnemonic not found ***</v>
      </c>
      <c r="F1752" t="str">
        <f t="shared" si="415"/>
        <v>SUCMNOPROPORESRSK_LAM_HMEDEX_</v>
      </c>
      <c r="H1752" s="9" t="s">
        <v>1137</v>
      </c>
      <c r="K1752" s="9">
        <f t="shared" si="417"/>
        <v>673</v>
      </c>
      <c r="L1752" s="9" t="str">
        <f t="shared" si="418"/>
        <v>G</v>
      </c>
      <c r="M1752" s="9" t="str">
        <f t="shared" si="419"/>
        <v>Input!G673</v>
      </c>
      <c r="N1752" s="9">
        <f>_xlfn.XLOOKUP(F1752,'Raw Data'!$I$4:$I$5000,'Raw Data'!$E$4:$E$5000,100,0)</f>
        <v>100</v>
      </c>
      <c r="O1752" s="9" t="str">
        <f>IF(N1752=0,_xlfn.XLOOKUP(F1752,'Raw Data'!$I$4:$I$5000,'Raw Data'!$H$4:$H$5000,"",0),"")</f>
        <v/>
      </c>
      <c r="P1752" s="9" t="str" cm="1">
        <f t="array" aca="1" ref="P1752" ca="1">IF(INDIRECT(M1752) = "","",INDIRECT(M1752))</f>
        <v/>
      </c>
      <c r="Q1752" s="359" t="s">
        <v>4381</v>
      </c>
    </row>
    <row r="1753" spans="1:17" x14ac:dyDescent="0.35">
      <c r="A1753" t="s">
        <v>2355</v>
      </c>
      <c r="B1753" t="s">
        <v>2344</v>
      </c>
      <c r="C1753" t="s">
        <v>1023</v>
      </c>
      <c r="E1753" t="str">
        <f>_xlfn.XLOOKUP(F1753,'Raw Data'!$I$4:$I$5000,'Raw Data'!$D$4:$D$5000,"*** Mnemonic not found ***",0)</f>
        <v>*** Mnemonic not found ***</v>
      </c>
      <c r="F1753" t="str">
        <f t="shared" si="415"/>
        <v>SUCMNOPROPORESRSK_LAM_MAVA_</v>
      </c>
      <c r="H1753" s="9" t="s">
        <v>1137</v>
      </c>
      <c r="K1753" s="9">
        <f t="shared" si="417"/>
        <v>674</v>
      </c>
      <c r="L1753" s="9" t="str">
        <f t="shared" si="418"/>
        <v>G</v>
      </c>
      <c r="M1753" s="9" t="str">
        <f t="shared" si="419"/>
        <v>Input!G674</v>
      </c>
      <c r="N1753" s="9">
        <f>_xlfn.XLOOKUP(F1753,'Raw Data'!$I$4:$I$5000,'Raw Data'!$E$4:$E$5000,100,0)</f>
        <v>100</v>
      </c>
      <c r="O1753" s="9" t="str">
        <f>IF(N1753=0,_xlfn.XLOOKUP(F1753,'Raw Data'!$I$4:$I$5000,'Raw Data'!$H$4:$H$5000,"",0),"")</f>
        <v/>
      </c>
      <c r="P1753" s="9" t="str" cm="1">
        <f t="array" aca="1" ref="P1753" ca="1">IF(INDIRECT(M1753) = "","",INDIRECT(M1753))</f>
        <v/>
      </c>
      <c r="Q1753" s="359" t="s">
        <v>4381</v>
      </c>
    </row>
    <row r="1754" spans="1:17" x14ac:dyDescent="0.35">
      <c r="A1754" t="s">
        <v>2355</v>
      </c>
      <c r="B1754" t="s">
        <v>2337</v>
      </c>
      <c r="C1754" t="s">
        <v>1024</v>
      </c>
      <c r="E1754" t="str">
        <f>_xlfn.XLOOKUP(F1754,'Raw Data'!$I$4:$I$5000,'Raw Data'!$D$4:$D$5000,"*** Mnemonic not found ***",0)</f>
        <v>*** Mnemonic not found ***</v>
      </c>
      <c r="F1754" t="str">
        <f t="shared" si="415"/>
        <v>SUCMNOPROPORESRSK_LAM_MAVC_</v>
      </c>
      <c r="H1754" s="9" t="s">
        <v>1137</v>
      </c>
      <c r="K1754" s="9">
        <f t="shared" si="417"/>
        <v>675</v>
      </c>
      <c r="L1754" s="9" t="str">
        <f t="shared" si="418"/>
        <v>G</v>
      </c>
      <c r="M1754" s="9" t="str">
        <f t="shared" si="419"/>
        <v>Input!G675</v>
      </c>
      <c r="N1754" s="9">
        <f>_xlfn.XLOOKUP(F1754,'Raw Data'!$I$4:$I$5000,'Raw Data'!$E$4:$E$5000,100,0)</f>
        <v>100</v>
      </c>
      <c r="O1754" s="9" t="str">
        <f>IF(N1754=0,_xlfn.XLOOKUP(F1754,'Raw Data'!$I$4:$I$5000,'Raw Data'!$H$4:$H$5000,"",0),"")</f>
        <v/>
      </c>
      <c r="P1754" s="9" t="str" cm="1">
        <f t="array" aca="1" ref="P1754" ca="1">IF(INDIRECT(M1754) = "","",INDIRECT(M1754))</f>
        <v/>
      </c>
      <c r="Q1754" s="359" t="s">
        <v>4381</v>
      </c>
    </row>
    <row r="1755" spans="1:17" x14ac:dyDescent="0.35">
      <c r="A1755" s="694" t="s">
        <v>2355</v>
      </c>
      <c r="B1755" s="694" t="s">
        <v>4308</v>
      </c>
      <c r="C1755" s="694" t="s">
        <v>4130</v>
      </c>
      <c r="E1755" t="str">
        <f>_xlfn.XLOOKUP(F1755,'Raw Data'!$I$4:$I$5000,'Raw Data'!$D$4:$D$5000,"*** Mnemonic not found ***",0)</f>
        <v>*** Mnemonic not found ***</v>
      </c>
      <c r="F1755" t="str">
        <f t="shared" si="415"/>
        <v>SUCMNOPROPORESRSK_LAM_MPIN_</v>
      </c>
      <c r="H1755" s="9" t="s">
        <v>1137</v>
      </c>
      <c r="K1755" s="9">
        <f t="shared" si="417"/>
        <v>676</v>
      </c>
      <c r="L1755" s="9" t="str">
        <f t="shared" si="418"/>
        <v>G</v>
      </c>
      <c r="M1755" s="9" t="str">
        <f t="shared" ref="M1755:M1758" si="420">CONCATENATE(H1755,"!",L1755,K1755)</f>
        <v>Input!G676</v>
      </c>
      <c r="N1755" s="9">
        <f>_xlfn.XLOOKUP(F1755,'Raw Data'!$I$4:$I$5000,'Raw Data'!$E$4:$E$5000,100,0)</f>
        <v>100</v>
      </c>
      <c r="O1755" s="9" t="str">
        <f>IF(N1755=0,_xlfn.XLOOKUP(F1755,'Raw Data'!$I$4:$I$5000,'Raw Data'!$H$4:$H$5000,"",0),"")</f>
        <v/>
      </c>
      <c r="P1755" s="9" t="str" cm="1">
        <f t="array" aca="1" ref="P1755" ca="1">IF(INDIRECT(M1755) = "","",INDIRECT(M1755))</f>
        <v/>
      </c>
      <c r="Q1755" s="359" t="s">
        <v>4381</v>
      </c>
    </row>
    <row r="1756" spans="1:17" x14ac:dyDescent="0.35">
      <c r="A1756" t="s">
        <v>2355</v>
      </c>
      <c r="B1756" t="s">
        <v>2340</v>
      </c>
      <c r="C1756" t="s">
        <v>382</v>
      </c>
      <c r="E1756" t="str">
        <f>_xlfn.XLOOKUP(F1756,'Raw Data'!$I$4:$I$5000,'Raw Data'!$D$4:$D$5000,"*** Mnemonic not found ***",0)</f>
        <v>*** Mnemonic not found ***</v>
      </c>
      <c r="F1756" t="str">
        <f t="shared" si="415"/>
        <v>SUCMNOPROPORESRSK_LAM_TRV_</v>
      </c>
      <c r="H1756" s="9" t="s">
        <v>1137</v>
      </c>
      <c r="K1756" s="9">
        <f t="shared" si="417"/>
        <v>677</v>
      </c>
      <c r="L1756" s="9" t="str">
        <f t="shared" si="418"/>
        <v>G</v>
      </c>
      <c r="M1756" s="9" t="str">
        <f t="shared" si="420"/>
        <v>Input!G677</v>
      </c>
      <c r="N1756" s="9">
        <f>_xlfn.XLOOKUP(F1756,'Raw Data'!$I$4:$I$5000,'Raw Data'!$E$4:$E$5000,100,0)</f>
        <v>100</v>
      </c>
      <c r="O1756" s="9" t="str">
        <f>IF(N1756=0,_xlfn.XLOOKUP(F1756,'Raw Data'!$I$4:$I$5000,'Raw Data'!$H$4:$H$5000,"",0),"")</f>
        <v/>
      </c>
      <c r="P1756" s="9" t="str" cm="1">
        <f t="array" aca="1" ref="P1756" ca="1">IF(INDIRECT(M1756) = "","",INDIRECT(M1756))</f>
        <v/>
      </c>
      <c r="Q1756" s="359" t="s">
        <v>4381</v>
      </c>
    </row>
    <row r="1757" spans="1:17" x14ac:dyDescent="0.35">
      <c r="A1757" t="s">
        <v>2355</v>
      </c>
      <c r="B1757" t="s">
        <v>2317</v>
      </c>
      <c r="C1757" t="s">
        <v>380</v>
      </c>
      <c r="E1757" t="str">
        <f>_xlfn.XLOOKUP(F1757,'Raw Data'!$I$4:$I$5000,'Raw Data'!$D$4:$D$5000,"*** Mnemonic not found ***",0)</f>
        <v>*** Mnemonic not found ***</v>
      </c>
      <c r="F1757" t="str">
        <f t="shared" si="415"/>
        <v>SUCMNOPROPORESRSK_LAM_WAR_</v>
      </c>
      <c r="H1757" s="9" t="s">
        <v>1137</v>
      </c>
      <c r="K1757" s="9">
        <f t="shared" si="417"/>
        <v>678</v>
      </c>
      <c r="L1757" s="9" t="str">
        <f t="shared" si="418"/>
        <v>G</v>
      </c>
      <c r="M1757" s="9" t="str">
        <f t="shared" si="420"/>
        <v>Input!G678</v>
      </c>
      <c r="N1757" s="9">
        <f>_xlfn.XLOOKUP(F1757,'Raw Data'!$I$4:$I$5000,'Raw Data'!$E$4:$E$5000,100,0)</f>
        <v>100</v>
      </c>
      <c r="O1757" s="9" t="str">
        <f>IF(N1757=0,_xlfn.XLOOKUP(F1757,'Raw Data'!$I$4:$I$5000,'Raw Data'!$H$4:$H$5000,"",0),"")</f>
        <v/>
      </c>
      <c r="P1757" s="9" t="str" cm="1">
        <f t="array" aca="1" ref="P1757" ca="1">IF(INDIRECT(M1757) = "","",INDIRECT(M1757))</f>
        <v/>
      </c>
      <c r="Q1757" s="359" t="s">
        <v>4381</v>
      </c>
    </row>
    <row r="1758" spans="1:17" x14ac:dyDescent="0.35">
      <c r="A1758" t="s">
        <v>2355</v>
      </c>
      <c r="B1758" t="s">
        <v>2283</v>
      </c>
      <c r="C1758" t="s">
        <v>262</v>
      </c>
      <c r="E1758" t="str">
        <f>_xlfn.XLOOKUP(F1758,'Raw Data'!$I$4:$I$5000,'Raw Data'!$D$4:$D$5000,"*** Mnemonic not found ***",0)</f>
        <v>*** Mnemonic not found ***</v>
      </c>
      <c r="F1758" t="str">
        <f t="shared" si="415"/>
        <v>SUCMNOPROPORESRSK_LAM_OCAH_</v>
      </c>
      <c r="H1758" s="9" t="s">
        <v>1137</v>
      </c>
      <c r="K1758" s="9">
        <f t="shared" si="417"/>
        <v>679</v>
      </c>
      <c r="L1758" s="9" t="str">
        <f t="shared" si="418"/>
        <v>G</v>
      </c>
      <c r="M1758" s="9" t="str">
        <f t="shared" si="420"/>
        <v>Input!G679</v>
      </c>
      <c r="N1758" s="9">
        <f>_xlfn.XLOOKUP(F1758,'Raw Data'!$I$4:$I$5000,'Raw Data'!$E$4:$E$5000,100,0)</f>
        <v>100</v>
      </c>
      <c r="O1758" s="9" t="str">
        <f>IF(N1758=0,_xlfn.XLOOKUP(F1758,'Raw Data'!$I$4:$I$5000,'Raw Data'!$H$4:$H$5000,"",0),"")</f>
        <v/>
      </c>
      <c r="P1758" s="9" t="str" cm="1">
        <f t="array" aca="1" ref="P1758" ca="1">IF(INDIRECT(M1758) = "","",INDIRECT(M1758))</f>
        <v/>
      </c>
      <c r="Q1758" s="359" t="s">
        <v>4381</v>
      </c>
    </row>
    <row r="1759" spans="1:17" x14ac:dyDescent="0.35">
      <c r="A1759" t="s">
        <v>3783</v>
      </c>
      <c r="E1759" t="str">
        <f>_xlfn.XLOOKUP(F1759,'Raw Data'!$I$4:$I$5000,'Raw Data'!$D$4:$D$5000,"*** Mnemonic not found ***",0)</f>
        <v>*** Mnemonic not found ***</v>
      </c>
      <c r="F1759" t="str">
        <f t="shared" si="415"/>
        <v>SUCMRESRSKTOT__</v>
      </c>
      <c r="H1759" s="9" t="s">
        <v>1137</v>
      </c>
      <c r="K1759" s="9">
        <f>K1758+11</f>
        <v>690</v>
      </c>
      <c r="L1759" s="9" t="s">
        <v>1124</v>
      </c>
      <c r="M1759" s="9" t="str">
        <f t="shared" si="419"/>
        <v>Input!F690</v>
      </c>
      <c r="N1759" s="9">
        <f>_xlfn.XLOOKUP(F1759,'Raw Data'!$I$4:$I$5000,'Raw Data'!$E$4:$E$5000,100,0)</f>
        <v>100</v>
      </c>
      <c r="O1759" s="9" t="str">
        <f>IF(N1759=0,_xlfn.XLOOKUP(F1759,'Raw Data'!$I$4:$I$5000,'Raw Data'!$H$4:$H$5000,"",0),"")</f>
        <v/>
      </c>
      <c r="P1759" s="9" t="str" cm="1">
        <f t="array" aca="1" ref="P1759" ca="1">IF(INDIRECT(M1759) = "","",INDIRECT(M1759))</f>
        <v/>
      </c>
      <c r="Q1759" s="359" t="s">
        <v>4381</v>
      </c>
    </row>
    <row r="1760" spans="1:17" x14ac:dyDescent="0.35">
      <c r="A1760" t="s">
        <v>2869</v>
      </c>
      <c r="E1760" t="str">
        <f>_xlfn.XLOOKUP(F1760,'Raw Data'!$I$4:$I$5000,'Raw Data'!$D$4:$D$5000,"*** Mnemonic not found ***",0)</f>
        <v>*** Mnemonic not found ***</v>
      </c>
      <c r="F1760" t="str">
        <f t="shared" si="415"/>
        <v>SUCMPROPORNPW_MI__</v>
      </c>
      <c r="G1760" t="s">
        <v>2961</v>
      </c>
      <c r="H1760" s="9" t="s">
        <v>1137</v>
      </c>
      <c r="I1760" s="289">
        <f>ROW(section_mortgage_insurance)</f>
        <v>693</v>
      </c>
      <c r="J1760" s="9">
        <v>3</v>
      </c>
      <c r="K1760" s="9">
        <f>I1760+J1760</f>
        <v>696</v>
      </c>
      <c r="L1760" s="9" t="s">
        <v>1124</v>
      </c>
      <c r="M1760" s="9" t="str">
        <f t="shared" si="419"/>
        <v>Input!F696</v>
      </c>
      <c r="N1760" s="9">
        <f>_xlfn.XLOOKUP(F1760,'Raw Data'!$I$4:$I$5000,'Raw Data'!$E$4:$E$5000,100,0)</f>
        <v>100</v>
      </c>
      <c r="O1760" s="9" t="str">
        <f>IF(N1760=0,_xlfn.XLOOKUP(F1760,'Raw Data'!$I$4:$I$5000,'Raw Data'!$H$4:$H$5000,"",0),"")</f>
        <v/>
      </c>
      <c r="P1760" s="9" t="str" cm="1">
        <f t="array" aca="1" ref="P1760" ca="1">IF(INDIRECT(M1760) = "","",INDIRECT(M1760))</f>
        <v/>
      </c>
      <c r="Q1760" s="359" t="s">
        <v>4381</v>
      </c>
    </row>
    <row r="1761" spans="1:18" x14ac:dyDescent="0.35">
      <c r="A1761" t="s">
        <v>2870</v>
      </c>
      <c r="E1761" t="str">
        <f>_xlfn.XLOOKUP(F1761,'Raw Data'!$I$4:$I$5000,'Raw Data'!$D$4:$D$5000,"*** Mnemonic not found ***",0)</f>
        <v>*** Mnemonic not found ***</v>
      </c>
      <c r="F1761" t="str">
        <f t="shared" si="415"/>
        <v>SUCMPROPORUEP_MI__</v>
      </c>
      <c r="H1761" s="9" t="s">
        <v>1137</v>
      </c>
      <c r="K1761" s="9">
        <f t="shared" ref="K1761:K1762" si="421">K1760+1</f>
        <v>697</v>
      </c>
      <c r="L1761" s="9" t="str">
        <f t="shared" ref="L1761:L1762" si="422">L1760</f>
        <v>F</v>
      </c>
      <c r="M1761" s="9" t="str">
        <f t="shared" si="419"/>
        <v>Input!F697</v>
      </c>
      <c r="N1761" s="9">
        <f>_xlfn.XLOOKUP(F1761,'Raw Data'!$I$4:$I$5000,'Raw Data'!$E$4:$E$5000,100,0)</f>
        <v>100</v>
      </c>
      <c r="O1761" s="9" t="str">
        <f>IF(N1761=0,_xlfn.XLOOKUP(F1761,'Raw Data'!$I$4:$I$5000,'Raw Data'!$H$4:$H$5000,"",0),"")</f>
        <v/>
      </c>
      <c r="P1761" s="9" t="str" cm="1">
        <f t="array" aca="1" ref="P1761" ca="1">IF(INDIRECT(M1761) = "","",INDIRECT(M1761))</f>
        <v/>
      </c>
      <c r="Q1761" s="359" t="s">
        <v>4381</v>
      </c>
    </row>
    <row r="1762" spans="1:18" x14ac:dyDescent="0.35">
      <c r="A1762" t="s">
        <v>2871</v>
      </c>
      <c r="E1762" t="str">
        <f>_xlfn.XLOOKUP(F1762,'Raw Data'!$I$4:$I$5000,'Raw Data'!$D$4:$D$5000,"*** Mnemonic not found ***",0)</f>
        <v>*** Mnemonic not found ***</v>
      </c>
      <c r="F1762" t="str">
        <f t="shared" si="415"/>
        <v>SUCMPROPORNLR_MI__</v>
      </c>
      <c r="H1762" s="9" t="s">
        <v>1137</v>
      </c>
      <c r="K1762" s="9">
        <f t="shared" si="421"/>
        <v>698</v>
      </c>
      <c r="L1762" s="9" t="str">
        <f t="shared" si="422"/>
        <v>F</v>
      </c>
      <c r="M1762" s="9" t="str">
        <f t="shared" si="419"/>
        <v>Input!F698</v>
      </c>
      <c r="N1762" s="9">
        <f>_xlfn.XLOOKUP(F1762,'Raw Data'!$I$4:$I$5000,'Raw Data'!$E$4:$E$5000,100,0)</f>
        <v>100</v>
      </c>
      <c r="O1762" s="9" t="str">
        <f>IF(N1762=0,_xlfn.XLOOKUP(F1762,'Raw Data'!$I$4:$I$5000,'Raw Data'!$H$4:$H$5000,"",0),"")</f>
        <v/>
      </c>
      <c r="P1762" s="9" t="str" cm="1">
        <f t="array" aca="1" ref="P1762" ca="1">IF(INDIRECT(M1762) = "","",INDIRECT(M1762))</f>
        <v/>
      </c>
      <c r="Q1762" s="359" t="s">
        <v>4381</v>
      </c>
    </row>
    <row r="1763" spans="1:18" x14ac:dyDescent="0.35">
      <c r="A1763" t="s">
        <v>2872</v>
      </c>
      <c r="E1763" t="str">
        <f>_xlfn.XLOOKUP(F1763,'Raw Data'!$I$4:$I$5000,'Raw Data'!$D$4:$D$5000,"*** Mnemonic not found ***",0)</f>
        <v>*** Mnemonic not found ***</v>
      </c>
      <c r="F1763" t="str">
        <f t="shared" si="415"/>
        <v>SUCMNOPROPORNPW_MI__</v>
      </c>
      <c r="H1763" s="9" t="s">
        <v>1137</v>
      </c>
      <c r="K1763" s="9">
        <f>K1760</f>
        <v>696</v>
      </c>
      <c r="L1763" s="9" t="s">
        <v>1145</v>
      </c>
      <c r="M1763" s="9" t="str">
        <f t="shared" si="419"/>
        <v>Input!G696</v>
      </c>
      <c r="N1763" s="9">
        <f>_xlfn.XLOOKUP(F1763,'Raw Data'!$I$4:$I$5000,'Raw Data'!$E$4:$E$5000,100,0)</f>
        <v>100</v>
      </c>
      <c r="O1763" s="9" t="str">
        <f>IF(N1763=0,_xlfn.XLOOKUP(F1763,'Raw Data'!$I$4:$I$5000,'Raw Data'!$H$4:$H$5000,"",0),"")</f>
        <v/>
      </c>
      <c r="P1763" s="9" t="str" cm="1">
        <f t="array" aca="1" ref="P1763" ca="1">IF(INDIRECT(M1763) = "","",INDIRECT(M1763))</f>
        <v/>
      </c>
      <c r="Q1763" s="359" t="s">
        <v>4381</v>
      </c>
    </row>
    <row r="1764" spans="1:18" x14ac:dyDescent="0.35">
      <c r="A1764" t="s">
        <v>2873</v>
      </c>
      <c r="E1764" t="str">
        <f>_xlfn.XLOOKUP(F1764,'Raw Data'!$I$4:$I$5000,'Raw Data'!$D$4:$D$5000,"*** Mnemonic not found ***",0)</f>
        <v>*** Mnemonic not found ***</v>
      </c>
      <c r="F1764" t="str">
        <f t="shared" si="415"/>
        <v>SUCMNOPROPORUEP_MI__</v>
      </c>
      <c r="H1764" s="9" t="s">
        <v>1137</v>
      </c>
      <c r="K1764" s="9">
        <f t="shared" ref="K1764:K1765" si="423">K1763+1</f>
        <v>697</v>
      </c>
      <c r="L1764" s="9" t="str">
        <f t="shared" ref="L1764:L1765" si="424">L1763</f>
        <v>G</v>
      </c>
      <c r="M1764" s="9" t="str">
        <f t="shared" si="419"/>
        <v>Input!G697</v>
      </c>
      <c r="N1764" s="9">
        <f>_xlfn.XLOOKUP(F1764,'Raw Data'!$I$4:$I$5000,'Raw Data'!$E$4:$E$5000,100,0)</f>
        <v>100</v>
      </c>
      <c r="O1764" s="9" t="str">
        <f>IF(N1764=0,_xlfn.XLOOKUP(F1764,'Raw Data'!$I$4:$I$5000,'Raw Data'!$H$4:$H$5000,"",0),"")</f>
        <v/>
      </c>
      <c r="P1764" s="9" t="str" cm="1">
        <f t="array" aca="1" ref="P1764" ca="1">IF(INDIRECT(M1764) = "","",INDIRECT(M1764))</f>
        <v/>
      </c>
      <c r="Q1764" s="359" t="s">
        <v>4381</v>
      </c>
    </row>
    <row r="1765" spans="1:18" x14ac:dyDescent="0.35">
      <c r="A1765" t="s">
        <v>2874</v>
      </c>
      <c r="E1765" t="str">
        <f>_xlfn.XLOOKUP(F1765,'Raw Data'!$I$4:$I$5000,'Raw Data'!$D$4:$D$5000,"*** Mnemonic not found ***",0)</f>
        <v>*** Mnemonic not found ***</v>
      </c>
      <c r="F1765" t="str">
        <f t="shared" si="415"/>
        <v>SUCMNOPROPORNLR_MI__</v>
      </c>
      <c r="H1765" s="9" t="s">
        <v>1137</v>
      </c>
      <c r="K1765" s="9">
        <f t="shared" si="423"/>
        <v>698</v>
      </c>
      <c r="L1765" s="9" t="str">
        <f t="shared" si="424"/>
        <v>G</v>
      </c>
      <c r="M1765" s="9" t="str">
        <f t="shared" si="419"/>
        <v>Input!G698</v>
      </c>
      <c r="N1765" s="9">
        <f>_xlfn.XLOOKUP(F1765,'Raw Data'!$I$4:$I$5000,'Raw Data'!$E$4:$E$5000,100,0)</f>
        <v>100</v>
      </c>
      <c r="O1765" s="9" t="str">
        <f>IF(N1765=0,_xlfn.XLOOKUP(F1765,'Raw Data'!$I$4:$I$5000,'Raw Data'!$H$4:$H$5000,"",0),"")</f>
        <v/>
      </c>
      <c r="P1765" s="9" t="str" cm="1">
        <f t="array" aca="1" ref="P1765" ca="1">IF(INDIRECT(M1765) = "","",INDIRECT(M1765))</f>
        <v/>
      </c>
      <c r="Q1765" s="359" t="s">
        <v>4381</v>
      </c>
    </row>
    <row r="1766" spans="1:18" x14ac:dyDescent="0.35">
      <c r="A1766" s="694" t="s">
        <v>4494</v>
      </c>
      <c r="E1766" t="str">
        <f>_xlfn.XLOOKUP(F1766,'Raw Data'!$I$4:$I$5000,'Raw Data'!$D$4:$D$5000,"*** Mnemonic not found ***",0)</f>
        <v>*** Mnemonic not found ***</v>
      </c>
      <c r="F1766" t="str">
        <f t="shared" ref="F1766" si="425">CONCATENATE(A1766,"_",B1766,"_",D1766)</f>
        <v>SUCMUPRLRCEARNPAT_MI__</v>
      </c>
      <c r="H1766" s="9" t="s">
        <v>1137</v>
      </c>
      <c r="K1766" s="9">
        <v>697</v>
      </c>
      <c r="L1766" s="9" t="s">
        <v>1375</v>
      </c>
      <c r="M1766" s="9" t="str">
        <f t="shared" ref="M1766" si="426">CONCATENATE(H1766,"!",L1766,K1766)</f>
        <v>Input!I697</v>
      </c>
      <c r="N1766" s="9">
        <f>_xlfn.XLOOKUP(F1766,'Raw Data'!$I$4:$I$5000,'Raw Data'!$E$4:$E$5000,100,0)</f>
        <v>100</v>
      </c>
      <c r="O1766" s="9" t="str">
        <f>IF(N1766=0,_xlfn.XLOOKUP(F1766,'Raw Data'!$I$4:$I$5000,'Raw Data'!$H$4:$H$5000,"",0),"")</f>
        <v/>
      </c>
      <c r="P1766" s="9" cm="1">
        <f t="array" aca="1" ref="P1766" ca="1">IF(INDIRECT(M1766) = "","",INDIRECT(M1766))</f>
        <v>0.2</v>
      </c>
      <c r="Q1766" s="359" t="s">
        <v>4381</v>
      </c>
      <c r="R1766" t="s">
        <v>4468</v>
      </c>
    </row>
    <row r="1767" spans="1:18" x14ac:dyDescent="0.35">
      <c r="A1767" t="s">
        <v>2361</v>
      </c>
      <c r="E1767" t="str">
        <f>_xlfn.XLOOKUP(F1767,'Raw Data'!$I$4:$I$5000,'Raw Data'!$D$4:$D$5000,"*** Mnemonic not found ***",0)</f>
        <v>*** Mnemonic not found ***</v>
      </c>
      <c r="F1767" t="str">
        <f t="shared" si="415"/>
        <v>SUCMAEPOEPCURVE__</v>
      </c>
      <c r="G1767" t="s">
        <v>2375</v>
      </c>
      <c r="H1767" s="9" t="s">
        <v>1137</v>
      </c>
      <c r="I1767" s="289">
        <f>ROW(section_natural_catastrophe)</f>
        <v>701</v>
      </c>
      <c r="J1767" s="9">
        <v>2</v>
      </c>
      <c r="K1767" s="9">
        <f>I1767+J1767</f>
        <v>703</v>
      </c>
      <c r="L1767" s="9" t="s">
        <v>1124</v>
      </c>
      <c r="M1767" s="9" t="str">
        <f t="shared" si="419"/>
        <v>Input!F703</v>
      </c>
      <c r="N1767" s="9">
        <f>_xlfn.XLOOKUP(F1767,'Raw Data'!$I$4:$I$5000,'Raw Data'!$E$4:$E$5000,100,0)</f>
        <v>100</v>
      </c>
      <c r="O1767" s="9" t="str">
        <f>IF(N1767=0,_xlfn.XLOOKUP(F1767,'Raw Data'!$I$4:$I$5000,'Raw Data'!$H$4:$H$5000,"",0),"")</f>
        <v/>
      </c>
      <c r="P1767" s="9" t="str" cm="1">
        <f t="array" aca="1" ref="P1767" ca="1">IF(INDIRECT(M1767) = "","",INDIRECT(M1767))</f>
        <v>Yes, AEP</v>
      </c>
      <c r="Q1767" s="359" t="s">
        <v>4380</v>
      </c>
    </row>
    <row r="1768" spans="1:18" x14ac:dyDescent="0.35">
      <c r="A1768" t="s">
        <v>2362</v>
      </c>
      <c r="E1768" t="str">
        <f>_xlfn.XLOOKUP(F1768,'Raw Data'!$I$4:$I$5000,'Raw Data'!$D$4:$D$5000,"*** Mnemonic not found ***",0)</f>
        <v>*** Mnemonic not found ***</v>
      </c>
      <c r="F1768" t="str">
        <f t="shared" si="415"/>
        <v>SUCMNCRGROSS_200__</v>
      </c>
      <c r="H1768" s="9" t="s">
        <v>1137</v>
      </c>
      <c r="K1768" s="9">
        <f>K1767+3</f>
        <v>706</v>
      </c>
      <c r="L1768" s="9" t="str">
        <f>L1767</f>
        <v>F</v>
      </c>
      <c r="M1768" s="9" t="str">
        <f t="shared" si="419"/>
        <v>Input!F706</v>
      </c>
      <c r="N1768" s="9">
        <f>_xlfn.XLOOKUP(F1768,'Raw Data'!$I$4:$I$5000,'Raw Data'!$E$4:$E$5000,100,0)</f>
        <v>100</v>
      </c>
      <c r="O1768" s="9" t="str">
        <f>IF(N1768=0,_xlfn.XLOOKUP(F1768,'Raw Data'!$I$4:$I$5000,'Raw Data'!$H$4:$H$5000,"",0),"")</f>
        <v/>
      </c>
      <c r="P1768" s="9" t="str" cm="1">
        <f t="array" aca="1" ref="P1768" ca="1">IF(INDIRECT(M1768) = "","",INDIRECT(M1768))</f>
        <v/>
      </c>
      <c r="Q1768" s="359" t="s">
        <v>4381</v>
      </c>
    </row>
    <row r="1769" spans="1:18" x14ac:dyDescent="0.35">
      <c r="A1769" t="s">
        <v>2363</v>
      </c>
      <c r="E1769" t="str">
        <f>_xlfn.XLOOKUP(F1769,'Raw Data'!$I$4:$I$5000,'Raw Data'!$D$4:$D$5000,"*** Mnemonic not found ***",0)</f>
        <v>*** Mnemonic not found ***</v>
      </c>
      <c r="F1769" t="str">
        <f t="shared" si="415"/>
        <v>SUCMNCRNET_200__</v>
      </c>
      <c r="H1769" s="9" t="s">
        <v>1137</v>
      </c>
      <c r="K1769" s="9">
        <f t="shared" ref="K1769:K1773" si="427">K1768+1</f>
        <v>707</v>
      </c>
      <c r="L1769" s="9" t="str">
        <f t="shared" ref="L1769:L1773" si="428">L1768</f>
        <v>F</v>
      </c>
      <c r="M1769" s="9" t="str">
        <f t="shared" si="419"/>
        <v>Input!F707</v>
      </c>
      <c r="N1769" s="9">
        <f>_xlfn.XLOOKUP(F1769,'Raw Data'!$I$4:$I$5000,'Raw Data'!$E$4:$E$5000,100,0)</f>
        <v>100</v>
      </c>
      <c r="O1769" s="9" t="str">
        <f>IF(N1769=0,_xlfn.XLOOKUP(F1769,'Raw Data'!$I$4:$I$5000,'Raw Data'!$H$4:$H$5000,"",0),"")</f>
        <v/>
      </c>
      <c r="P1769" s="9" t="str" cm="1">
        <f t="array" aca="1" ref="P1769" ca="1">IF(INDIRECT(M1769) = "","",INDIRECT(M1769))</f>
        <v/>
      </c>
      <c r="Q1769" s="359" t="s">
        <v>4381</v>
      </c>
    </row>
    <row r="1770" spans="1:18" x14ac:dyDescent="0.35">
      <c r="A1770" t="s">
        <v>2364</v>
      </c>
      <c r="E1770" t="str">
        <f>_xlfn.XLOOKUP(F1770,'Raw Data'!$I$4:$I$5000,'Raw Data'!$D$4:$D$5000,"*** Mnemonic not found ***",0)</f>
        <v>*** Mnemonic not found ***</v>
      </c>
      <c r="F1770" t="str">
        <f t="shared" si="415"/>
        <v>SUCMNCRRECUNCOLL_200__</v>
      </c>
      <c r="H1770" s="9" t="s">
        <v>1137</v>
      </c>
      <c r="K1770" s="9">
        <f t="shared" si="427"/>
        <v>708</v>
      </c>
      <c r="L1770" s="9" t="str">
        <f t="shared" si="428"/>
        <v>F</v>
      </c>
      <c r="M1770" s="9" t="str">
        <f t="shared" si="419"/>
        <v>Input!F708</v>
      </c>
      <c r="N1770" s="9">
        <f>_xlfn.XLOOKUP(F1770,'Raw Data'!$I$4:$I$5000,'Raw Data'!$E$4:$E$5000,100,0)</f>
        <v>100</v>
      </c>
      <c r="O1770" s="9" t="str">
        <f>IF(N1770=0,_xlfn.XLOOKUP(F1770,'Raw Data'!$I$4:$I$5000,'Raw Data'!$H$4:$H$5000,"",0),"")</f>
        <v/>
      </c>
      <c r="P1770" s="9" t="str" cm="1">
        <f t="array" aca="1" ref="P1770" ca="1">IF(INDIRECT(M1770) = "","",INDIRECT(M1770))</f>
        <v/>
      </c>
      <c r="Q1770" s="359" t="s">
        <v>4381</v>
      </c>
    </row>
    <row r="1771" spans="1:18" x14ac:dyDescent="0.35">
      <c r="A1771" t="s">
        <v>2365</v>
      </c>
      <c r="E1771" t="str">
        <f>_xlfn.XLOOKUP(F1771,'Raw Data'!$I$4:$I$5000,'Raw Data'!$D$4:$D$5000,"*** Mnemonic not found ***",0)</f>
        <v>*** Mnemonic not found ***</v>
      </c>
      <c r="F1771" t="str">
        <f t="shared" si="415"/>
        <v>SUCMNCRRECCOLL_200__</v>
      </c>
      <c r="H1771" s="9" t="s">
        <v>1137</v>
      </c>
      <c r="K1771" s="9">
        <f t="shared" si="427"/>
        <v>709</v>
      </c>
      <c r="L1771" s="9" t="str">
        <f t="shared" si="428"/>
        <v>F</v>
      </c>
      <c r="M1771" s="9" t="str">
        <f t="shared" si="419"/>
        <v>Input!F709</v>
      </c>
      <c r="N1771" s="9">
        <f>_xlfn.XLOOKUP(F1771,'Raw Data'!$I$4:$I$5000,'Raw Data'!$E$4:$E$5000,100,0)</f>
        <v>100</v>
      </c>
      <c r="O1771" s="9" t="str">
        <f>IF(N1771=0,_xlfn.XLOOKUP(F1771,'Raw Data'!$I$4:$I$5000,'Raw Data'!$H$4:$H$5000,"",0),"")</f>
        <v/>
      </c>
      <c r="P1771" s="9" t="str" cm="1">
        <f t="array" aca="1" ref="P1771" ca="1">IF(INDIRECT(M1771) = "","",INDIRECT(M1771))</f>
        <v/>
      </c>
      <c r="Q1771" s="359" t="s">
        <v>4381</v>
      </c>
    </row>
    <row r="1772" spans="1:18" x14ac:dyDescent="0.35">
      <c r="A1772" t="s">
        <v>2366</v>
      </c>
      <c r="E1772" t="str">
        <f>_xlfn.XLOOKUP(F1772,'Raw Data'!$I$4:$I$5000,'Raw Data'!$D$4:$D$5000,"*** Mnemonic not found ***",0)</f>
        <v>*** Mnemonic not found ***</v>
      </c>
      <c r="F1772" t="str">
        <f t="shared" si="415"/>
        <v>SUCMNCPINWARD_200__</v>
      </c>
      <c r="H1772" s="9" t="s">
        <v>1137</v>
      </c>
      <c r="K1772" s="9">
        <f t="shared" si="427"/>
        <v>710</v>
      </c>
      <c r="L1772" s="9" t="str">
        <f t="shared" si="428"/>
        <v>F</v>
      </c>
      <c r="M1772" s="9" t="str">
        <f t="shared" si="419"/>
        <v>Input!F710</v>
      </c>
      <c r="N1772" s="9">
        <f>_xlfn.XLOOKUP(F1772,'Raw Data'!$I$4:$I$5000,'Raw Data'!$E$4:$E$5000,100,0)</f>
        <v>100</v>
      </c>
      <c r="O1772" s="9" t="str">
        <f>IF(N1772=0,_xlfn.XLOOKUP(F1772,'Raw Data'!$I$4:$I$5000,'Raw Data'!$H$4:$H$5000,"",0),"")</f>
        <v/>
      </c>
      <c r="P1772" s="9" t="str" cm="1">
        <f t="array" aca="1" ref="P1772" ca="1">IF(INDIRECT(M1772) = "","",INDIRECT(M1772))</f>
        <v/>
      </c>
      <c r="Q1772" s="359" t="s">
        <v>4381</v>
      </c>
    </row>
    <row r="1773" spans="1:18" x14ac:dyDescent="0.35">
      <c r="A1773" t="s">
        <v>2367</v>
      </c>
      <c r="E1773" t="str">
        <f>_xlfn.XLOOKUP(F1773,'Raw Data'!$I$4:$I$5000,'Raw Data'!$D$4:$D$5000,"*** Mnemonic not found ***",0)</f>
        <v>*** Mnemonic not found ***</v>
      </c>
      <c r="F1773" t="str">
        <f t="shared" si="415"/>
        <v>SUCMNCPOUTWARD_200__</v>
      </c>
      <c r="H1773" s="9" t="s">
        <v>1137</v>
      </c>
      <c r="K1773" s="9">
        <f t="shared" si="427"/>
        <v>711</v>
      </c>
      <c r="L1773" s="9" t="str">
        <f t="shared" si="428"/>
        <v>F</v>
      </c>
      <c r="M1773" s="9" t="str">
        <f t="shared" si="419"/>
        <v>Input!F711</v>
      </c>
      <c r="N1773" s="9">
        <f>_xlfn.XLOOKUP(F1773,'Raw Data'!$I$4:$I$5000,'Raw Data'!$E$4:$E$5000,100,0)</f>
        <v>100</v>
      </c>
      <c r="O1773" s="9" t="str">
        <f>IF(N1773=0,_xlfn.XLOOKUP(F1773,'Raw Data'!$I$4:$I$5000,'Raw Data'!$H$4:$H$5000,"",0),"")</f>
        <v/>
      </c>
      <c r="P1773" s="9" t="str" cm="1">
        <f t="array" aca="1" ref="P1773" ca="1">IF(INDIRECT(M1773) = "","",INDIRECT(M1773))</f>
        <v/>
      </c>
      <c r="Q1773" s="359" t="s">
        <v>4381</v>
      </c>
    </row>
    <row r="1774" spans="1:18" x14ac:dyDescent="0.35">
      <c r="A1774" t="s">
        <v>4312</v>
      </c>
      <c r="E1774" t="str">
        <f>_xlfn.XLOOKUP(F1774,'Raw Data'!$I$4:$I$5000,'Raw Data'!$D$4:$D$5000,"*** Mnemonic not found ***",0)</f>
        <v>*** Mnemonic not found ***</v>
      </c>
      <c r="F1774" t="str">
        <f t="shared" si="415"/>
        <v>SUCMNCRGROSS_250__</v>
      </c>
      <c r="H1774" s="9" t="s">
        <v>1137</v>
      </c>
      <c r="I1774" s="289">
        <f>ROW(section_natural_catastrophe)</f>
        <v>701</v>
      </c>
      <c r="J1774" s="9">
        <v>5</v>
      </c>
      <c r="K1774" s="9">
        <f>I1774+J1774</f>
        <v>706</v>
      </c>
      <c r="L1774" s="9" t="s">
        <v>1145</v>
      </c>
      <c r="M1774" s="9" t="str">
        <f t="shared" si="419"/>
        <v>Input!G706</v>
      </c>
      <c r="N1774" s="9">
        <f>_xlfn.XLOOKUP(F1774,'Raw Data'!$I$4:$I$5000,'Raw Data'!$E$4:$E$5000,100,0)</f>
        <v>100</v>
      </c>
      <c r="O1774" s="9" t="str">
        <f>IF(N1774=0,_xlfn.XLOOKUP(F1774,'Raw Data'!$I$4:$I$5000,'Raw Data'!$H$4:$H$5000,"",0),"")</f>
        <v/>
      </c>
      <c r="P1774" s="9" t="str" cm="1">
        <f t="array" aca="1" ref="P1774" ca="1">IF(INDIRECT(M1774) = "","",INDIRECT(M1774))</f>
        <v/>
      </c>
      <c r="Q1774" s="359" t="s">
        <v>4381</v>
      </c>
    </row>
    <row r="1775" spans="1:18" x14ac:dyDescent="0.35">
      <c r="A1775" t="s">
        <v>4313</v>
      </c>
      <c r="E1775" t="str">
        <f>_xlfn.XLOOKUP(F1775,'Raw Data'!$I$4:$I$5000,'Raw Data'!$D$4:$D$5000,"*** Mnemonic not found ***",0)</f>
        <v>*** Mnemonic not found ***</v>
      </c>
      <c r="F1775" t="str">
        <f t="shared" si="415"/>
        <v>SUCMNCRNET_250__</v>
      </c>
      <c r="H1775" s="9" t="s">
        <v>1137</v>
      </c>
      <c r="K1775" s="9">
        <f t="shared" ref="K1775:K1779" si="429">K1774+1</f>
        <v>707</v>
      </c>
      <c r="L1775" s="9" t="str">
        <f t="shared" ref="L1775:L1779" si="430">L1774</f>
        <v>G</v>
      </c>
      <c r="M1775" s="9" t="str">
        <f t="shared" si="419"/>
        <v>Input!G707</v>
      </c>
      <c r="N1775" s="9">
        <f>_xlfn.XLOOKUP(F1775,'Raw Data'!$I$4:$I$5000,'Raw Data'!$E$4:$E$5000,100,0)</f>
        <v>100</v>
      </c>
      <c r="O1775" s="9" t="str">
        <f>IF(N1775=0,_xlfn.XLOOKUP(F1775,'Raw Data'!$I$4:$I$5000,'Raw Data'!$H$4:$H$5000,"",0),"")</f>
        <v/>
      </c>
      <c r="P1775" s="9" t="str" cm="1">
        <f t="array" aca="1" ref="P1775" ca="1">IF(INDIRECT(M1775) = "","",INDIRECT(M1775))</f>
        <v/>
      </c>
      <c r="Q1775" s="359" t="s">
        <v>4381</v>
      </c>
    </row>
    <row r="1776" spans="1:18" x14ac:dyDescent="0.35">
      <c r="A1776" s="694" t="s">
        <v>4314</v>
      </c>
      <c r="E1776" t="str">
        <f>_xlfn.XLOOKUP(F1776,'Raw Data'!$I$4:$I$5000,'Raw Data'!$D$4:$D$5000,"*** Mnemonic not found ***",0)</f>
        <v>*** Mnemonic not found ***</v>
      </c>
      <c r="F1776" t="str">
        <f t="shared" si="415"/>
        <v>SUCMNCRRECUNCOLL_250__</v>
      </c>
      <c r="H1776" s="9" t="s">
        <v>1137</v>
      </c>
      <c r="K1776" s="9">
        <f t="shared" si="429"/>
        <v>708</v>
      </c>
      <c r="L1776" s="9" t="str">
        <f t="shared" si="430"/>
        <v>G</v>
      </c>
      <c r="M1776" s="9" t="str">
        <f t="shared" si="419"/>
        <v>Input!G708</v>
      </c>
      <c r="N1776" s="9">
        <f>_xlfn.XLOOKUP(F1776,'Raw Data'!$I$4:$I$5000,'Raw Data'!$E$4:$E$5000,100,0)</f>
        <v>100</v>
      </c>
      <c r="O1776" s="9" t="str">
        <f>IF(N1776=0,_xlfn.XLOOKUP(F1776,'Raw Data'!$I$4:$I$5000,'Raw Data'!$H$4:$H$5000,"",0),"")</f>
        <v/>
      </c>
      <c r="P1776" s="9" t="str" cm="1">
        <f t="array" aca="1" ref="P1776" ca="1">IF(INDIRECT(M1776) = "","",INDIRECT(M1776))</f>
        <v/>
      </c>
      <c r="Q1776" s="359" t="s">
        <v>4381</v>
      </c>
    </row>
    <row r="1777" spans="1:17" x14ac:dyDescent="0.35">
      <c r="A1777" s="694" t="s">
        <v>4315</v>
      </c>
      <c r="E1777" t="str">
        <f>_xlfn.XLOOKUP(F1777,'Raw Data'!$I$4:$I$5000,'Raw Data'!$D$4:$D$5000,"*** Mnemonic not found ***",0)</f>
        <v>*** Mnemonic not found ***</v>
      </c>
      <c r="F1777" t="str">
        <f t="shared" si="415"/>
        <v>SUCMNCRRECCOLL_250__</v>
      </c>
      <c r="H1777" s="9" t="s">
        <v>1137</v>
      </c>
      <c r="K1777" s="9">
        <f t="shared" si="429"/>
        <v>709</v>
      </c>
      <c r="L1777" s="9" t="str">
        <f t="shared" si="430"/>
        <v>G</v>
      </c>
      <c r="M1777" s="9" t="str">
        <f t="shared" si="419"/>
        <v>Input!G709</v>
      </c>
      <c r="N1777" s="9">
        <f>_xlfn.XLOOKUP(F1777,'Raw Data'!$I$4:$I$5000,'Raw Data'!$E$4:$E$5000,100,0)</f>
        <v>100</v>
      </c>
      <c r="O1777" s="9" t="str">
        <f>IF(N1777=0,_xlfn.XLOOKUP(F1777,'Raw Data'!$I$4:$I$5000,'Raw Data'!$H$4:$H$5000,"",0),"")</f>
        <v/>
      </c>
      <c r="P1777" s="9" t="str" cm="1">
        <f t="array" aca="1" ref="P1777" ca="1">IF(INDIRECT(M1777) = "","",INDIRECT(M1777))</f>
        <v/>
      </c>
      <c r="Q1777" s="359" t="s">
        <v>4381</v>
      </c>
    </row>
    <row r="1778" spans="1:17" x14ac:dyDescent="0.35">
      <c r="A1778" s="694" t="s">
        <v>4316</v>
      </c>
      <c r="E1778" t="str">
        <f>_xlfn.XLOOKUP(F1778,'Raw Data'!$I$4:$I$5000,'Raw Data'!$D$4:$D$5000,"*** Mnemonic not found ***",0)</f>
        <v>*** Mnemonic not found ***</v>
      </c>
      <c r="F1778" t="str">
        <f t="shared" si="415"/>
        <v>SUCMNCPINWARD_250__</v>
      </c>
      <c r="H1778" s="9" t="s">
        <v>1137</v>
      </c>
      <c r="K1778" s="9">
        <f t="shared" si="429"/>
        <v>710</v>
      </c>
      <c r="L1778" s="9" t="str">
        <f t="shared" si="430"/>
        <v>G</v>
      </c>
      <c r="M1778" s="9" t="str">
        <f t="shared" si="419"/>
        <v>Input!G710</v>
      </c>
      <c r="N1778" s="9">
        <f>_xlfn.XLOOKUP(F1778,'Raw Data'!$I$4:$I$5000,'Raw Data'!$E$4:$E$5000,100,0)</f>
        <v>100</v>
      </c>
      <c r="O1778" s="9" t="str">
        <f>IF(N1778=0,_xlfn.XLOOKUP(F1778,'Raw Data'!$I$4:$I$5000,'Raw Data'!$H$4:$H$5000,"",0),"")</f>
        <v/>
      </c>
      <c r="P1778" s="9" t="str" cm="1">
        <f t="array" aca="1" ref="P1778" ca="1">IF(INDIRECT(M1778) = "","",INDIRECT(M1778))</f>
        <v/>
      </c>
      <c r="Q1778" s="359" t="s">
        <v>4381</v>
      </c>
    </row>
    <row r="1779" spans="1:17" x14ac:dyDescent="0.35">
      <c r="A1779" s="694" t="s">
        <v>4317</v>
      </c>
      <c r="E1779" t="str">
        <f>_xlfn.XLOOKUP(F1779,'Raw Data'!$I$4:$I$5000,'Raw Data'!$D$4:$D$5000,"*** Mnemonic not found ***",0)</f>
        <v>*** Mnemonic not found ***</v>
      </c>
      <c r="F1779" t="str">
        <f t="shared" si="415"/>
        <v>SUCMNCPOUTWARD_250__</v>
      </c>
      <c r="H1779" s="9" t="s">
        <v>1137</v>
      </c>
      <c r="K1779" s="9">
        <f t="shared" si="429"/>
        <v>711</v>
      </c>
      <c r="L1779" s="9" t="str">
        <f t="shared" si="430"/>
        <v>G</v>
      </c>
      <c r="M1779" s="9" t="str">
        <f t="shared" si="419"/>
        <v>Input!G711</v>
      </c>
      <c r="N1779" s="9">
        <f>_xlfn.XLOOKUP(F1779,'Raw Data'!$I$4:$I$5000,'Raw Data'!$E$4:$E$5000,100,0)</f>
        <v>100</v>
      </c>
      <c r="O1779" s="9" t="str">
        <f>IF(N1779=0,_xlfn.XLOOKUP(F1779,'Raw Data'!$I$4:$I$5000,'Raw Data'!$H$4:$H$5000,"",0),"")</f>
        <v/>
      </c>
      <c r="P1779" s="9" t="str" cm="1">
        <f t="array" aca="1" ref="P1779" ca="1">IF(INDIRECT(M1779) = "","",INDIRECT(M1779))</f>
        <v/>
      </c>
      <c r="Q1779" s="359" t="s">
        <v>4381</v>
      </c>
    </row>
    <row r="1780" spans="1:17" x14ac:dyDescent="0.35">
      <c r="A1780" s="694" t="s">
        <v>4318</v>
      </c>
      <c r="E1780" t="str">
        <f>_xlfn.XLOOKUP(F1780,'Raw Data'!$I$4:$I$5000,'Raw Data'!$D$4:$D$5000,"*** Mnemonic not found ***",0)</f>
        <v>*** Mnemonic not found ***</v>
      </c>
      <c r="F1780" t="str">
        <f t="shared" si="415"/>
        <v>SUCMNCRGROSS_333__</v>
      </c>
      <c r="H1780" s="9" t="s">
        <v>1137</v>
      </c>
      <c r="I1780" s="289">
        <f>ROW(section_natural_catastrophe)</f>
        <v>701</v>
      </c>
      <c r="J1780" s="9">
        <v>5</v>
      </c>
      <c r="K1780" s="9">
        <f>I1780+J1780</f>
        <v>706</v>
      </c>
      <c r="L1780" s="9" t="s">
        <v>1144</v>
      </c>
      <c r="M1780" s="9" t="str">
        <f t="shared" ref="M1780:M1785" si="431">CONCATENATE(H1780,"!",L1780,K1780)</f>
        <v>Input!H706</v>
      </c>
      <c r="N1780" s="9">
        <f>_xlfn.XLOOKUP(F1780,'Raw Data'!$I$4:$I$5000,'Raw Data'!$E$4:$E$5000,100,0)</f>
        <v>100</v>
      </c>
      <c r="O1780" s="9" t="str">
        <f>IF(N1780=0,_xlfn.XLOOKUP(F1780,'Raw Data'!$I$4:$I$5000,'Raw Data'!$H$4:$H$5000,"",0),"")</f>
        <v/>
      </c>
      <c r="P1780" s="9" t="str" cm="1">
        <f t="array" aca="1" ref="P1780" ca="1">IF(INDIRECT(M1780) = "","",INDIRECT(M1780))</f>
        <v/>
      </c>
      <c r="Q1780" s="359" t="s">
        <v>4381</v>
      </c>
    </row>
    <row r="1781" spans="1:17" x14ac:dyDescent="0.35">
      <c r="A1781" s="694" t="s">
        <v>4319</v>
      </c>
      <c r="E1781" t="str">
        <f>_xlfn.XLOOKUP(F1781,'Raw Data'!$I$4:$I$5000,'Raw Data'!$D$4:$D$5000,"*** Mnemonic not found ***",0)</f>
        <v>*** Mnemonic not found ***</v>
      </c>
      <c r="F1781" t="str">
        <f t="shared" si="415"/>
        <v>SUCMNCRNET_333__</v>
      </c>
      <c r="H1781" s="9" t="s">
        <v>1137</v>
      </c>
      <c r="K1781" s="9">
        <f t="shared" ref="K1781:K1784" si="432">K1780+1</f>
        <v>707</v>
      </c>
      <c r="L1781" s="9" t="str">
        <f t="shared" ref="L1781:L1784" si="433">L1780</f>
        <v>H</v>
      </c>
      <c r="M1781" s="9" t="str">
        <f t="shared" si="431"/>
        <v>Input!H707</v>
      </c>
      <c r="N1781" s="9">
        <f>_xlfn.XLOOKUP(F1781,'Raw Data'!$I$4:$I$5000,'Raw Data'!$E$4:$E$5000,100,0)</f>
        <v>100</v>
      </c>
      <c r="O1781" s="9" t="str">
        <f>IF(N1781=0,_xlfn.XLOOKUP(F1781,'Raw Data'!$I$4:$I$5000,'Raw Data'!$H$4:$H$5000,"",0),"")</f>
        <v/>
      </c>
      <c r="P1781" s="9" t="str" cm="1">
        <f t="array" aca="1" ref="P1781" ca="1">IF(INDIRECT(M1781) = "","",INDIRECT(M1781))</f>
        <v/>
      </c>
      <c r="Q1781" s="359" t="s">
        <v>4381</v>
      </c>
    </row>
    <row r="1782" spans="1:17" x14ac:dyDescent="0.35">
      <c r="A1782" s="694" t="s">
        <v>4320</v>
      </c>
      <c r="E1782" t="str">
        <f>_xlfn.XLOOKUP(F1782,'Raw Data'!$I$4:$I$5000,'Raw Data'!$D$4:$D$5000,"*** Mnemonic not found ***",0)</f>
        <v>*** Mnemonic not found ***</v>
      </c>
      <c r="F1782" t="str">
        <f t="shared" si="415"/>
        <v>SUCMNCRRECUNCOLL_333__</v>
      </c>
      <c r="H1782" s="9" t="s">
        <v>1137</v>
      </c>
      <c r="K1782" s="9">
        <f t="shared" si="432"/>
        <v>708</v>
      </c>
      <c r="L1782" s="9" t="str">
        <f t="shared" si="433"/>
        <v>H</v>
      </c>
      <c r="M1782" s="9" t="str">
        <f t="shared" si="431"/>
        <v>Input!H708</v>
      </c>
      <c r="N1782" s="9">
        <f>_xlfn.XLOOKUP(F1782,'Raw Data'!$I$4:$I$5000,'Raw Data'!$E$4:$E$5000,100,0)</f>
        <v>100</v>
      </c>
      <c r="O1782" s="9" t="str">
        <f>IF(N1782=0,_xlfn.XLOOKUP(F1782,'Raw Data'!$I$4:$I$5000,'Raw Data'!$H$4:$H$5000,"",0),"")</f>
        <v/>
      </c>
      <c r="P1782" s="9" t="str" cm="1">
        <f t="array" aca="1" ref="P1782" ca="1">IF(INDIRECT(M1782) = "","",INDIRECT(M1782))</f>
        <v/>
      </c>
      <c r="Q1782" s="359" t="s">
        <v>4381</v>
      </c>
    </row>
    <row r="1783" spans="1:17" x14ac:dyDescent="0.35">
      <c r="A1783" s="694" t="s">
        <v>4321</v>
      </c>
      <c r="E1783" t="str">
        <f>_xlfn.XLOOKUP(F1783,'Raw Data'!$I$4:$I$5000,'Raw Data'!$D$4:$D$5000,"*** Mnemonic not found ***",0)</f>
        <v>*** Mnemonic not found ***</v>
      </c>
      <c r="F1783" t="str">
        <f t="shared" si="415"/>
        <v>SUCMNCRRECCOLL_333__</v>
      </c>
      <c r="H1783" s="9" t="s">
        <v>1137</v>
      </c>
      <c r="K1783" s="9">
        <f t="shared" si="432"/>
        <v>709</v>
      </c>
      <c r="L1783" s="9" t="str">
        <f t="shared" si="433"/>
        <v>H</v>
      </c>
      <c r="M1783" s="9" t="str">
        <f t="shared" si="431"/>
        <v>Input!H709</v>
      </c>
      <c r="N1783" s="9">
        <f>_xlfn.XLOOKUP(F1783,'Raw Data'!$I$4:$I$5000,'Raw Data'!$E$4:$E$5000,100,0)</f>
        <v>100</v>
      </c>
      <c r="O1783" s="9" t="str">
        <f>IF(N1783=0,_xlfn.XLOOKUP(F1783,'Raw Data'!$I$4:$I$5000,'Raw Data'!$H$4:$H$5000,"",0),"")</f>
        <v/>
      </c>
      <c r="P1783" s="9" t="str" cm="1">
        <f t="array" aca="1" ref="P1783" ca="1">IF(INDIRECT(M1783) = "","",INDIRECT(M1783))</f>
        <v/>
      </c>
      <c r="Q1783" s="359" t="s">
        <v>4381</v>
      </c>
    </row>
    <row r="1784" spans="1:17" x14ac:dyDescent="0.35">
      <c r="A1784" s="694" t="s">
        <v>4322</v>
      </c>
      <c r="E1784" t="str">
        <f>_xlfn.XLOOKUP(F1784,'Raw Data'!$I$4:$I$5000,'Raw Data'!$D$4:$D$5000,"*** Mnemonic not found ***",0)</f>
        <v>*** Mnemonic not found ***</v>
      </c>
      <c r="F1784" t="str">
        <f t="shared" si="415"/>
        <v>SUCMNCPINWARD_333__</v>
      </c>
      <c r="H1784" s="9" t="s">
        <v>1137</v>
      </c>
      <c r="K1784" s="9">
        <f t="shared" si="432"/>
        <v>710</v>
      </c>
      <c r="L1784" s="9" t="str">
        <f t="shared" si="433"/>
        <v>H</v>
      </c>
      <c r="M1784" s="9" t="str">
        <f t="shared" si="431"/>
        <v>Input!H710</v>
      </c>
      <c r="N1784" s="9">
        <f>_xlfn.XLOOKUP(F1784,'Raw Data'!$I$4:$I$5000,'Raw Data'!$E$4:$E$5000,100,0)</f>
        <v>100</v>
      </c>
      <c r="O1784" s="9" t="str">
        <f>IF(N1784=0,_xlfn.XLOOKUP(F1784,'Raw Data'!$I$4:$I$5000,'Raw Data'!$H$4:$H$5000,"",0),"")</f>
        <v/>
      </c>
      <c r="P1784" s="9" t="str" cm="1">
        <f t="array" aca="1" ref="P1784" ca="1">IF(INDIRECT(M1784) = "","",INDIRECT(M1784))</f>
        <v/>
      </c>
      <c r="Q1784" s="359" t="s">
        <v>4381</v>
      </c>
    </row>
    <row r="1785" spans="1:17" x14ac:dyDescent="0.35">
      <c r="A1785" s="694" t="s">
        <v>4323</v>
      </c>
      <c r="E1785" t="str">
        <f>_xlfn.XLOOKUP(F1785,'Raw Data'!$I$4:$I$5000,'Raw Data'!$D$4:$D$5000,"*** Mnemonic not found ***",0)</f>
        <v>*** Mnemonic not found ***</v>
      </c>
      <c r="F1785" t="str">
        <f t="shared" si="415"/>
        <v>SUCMNCPOUTWARD_333__</v>
      </c>
      <c r="H1785" s="9" t="s">
        <v>1137</v>
      </c>
      <c r="K1785" s="9">
        <f t="shared" ref="K1785:K1791" si="434">K1784+1</f>
        <v>711</v>
      </c>
      <c r="L1785" s="9" t="str">
        <f t="shared" ref="L1785:L1791" si="435">L1784</f>
        <v>H</v>
      </c>
      <c r="M1785" s="9" t="str">
        <f t="shared" si="431"/>
        <v>Input!H711</v>
      </c>
      <c r="N1785" s="9">
        <f>_xlfn.XLOOKUP(F1785,'Raw Data'!$I$4:$I$5000,'Raw Data'!$E$4:$E$5000,100,0)</f>
        <v>100</v>
      </c>
      <c r="O1785" s="9" t="str">
        <f>IF(N1785=0,_xlfn.XLOOKUP(F1785,'Raw Data'!$I$4:$I$5000,'Raw Data'!$H$4:$H$5000,"",0),"")</f>
        <v/>
      </c>
      <c r="P1785" s="9" t="str" cm="1">
        <f t="array" aca="1" ref="P1785" ca="1">IF(INDIRECT(M1785) = "","",INDIRECT(M1785))</f>
        <v/>
      </c>
      <c r="Q1785" s="359" t="s">
        <v>4381</v>
      </c>
    </row>
    <row r="1786" spans="1:17" x14ac:dyDescent="0.35">
      <c r="A1786" t="s">
        <v>2368</v>
      </c>
      <c r="E1786" t="str">
        <f>_xlfn.XLOOKUP(F1786,'Raw Data'!$I$4:$I$5000,'Raw Data'!$D$4:$D$5000,"*** Mnemonic not found ***",0)</f>
        <v>*** Mnemonic not found ***</v>
      </c>
      <c r="F1786" t="str">
        <f t="shared" si="415"/>
        <v>SUCMNCRGROSS_500__</v>
      </c>
      <c r="H1786" s="9" t="s">
        <v>1137</v>
      </c>
      <c r="I1786" s="289">
        <f>ROW(section_natural_catastrophe)</f>
        <v>701</v>
      </c>
      <c r="J1786" s="9">
        <v>5</v>
      </c>
      <c r="K1786" s="9">
        <f>I1786+J1786</f>
        <v>706</v>
      </c>
      <c r="L1786" s="9" t="s">
        <v>1375</v>
      </c>
      <c r="M1786" s="9" t="str">
        <f t="shared" si="419"/>
        <v>Input!I706</v>
      </c>
      <c r="N1786" s="9">
        <f>_xlfn.XLOOKUP(F1786,'Raw Data'!$I$4:$I$5000,'Raw Data'!$E$4:$E$5000,100,0)</f>
        <v>100</v>
      </c>
      <c r="O1786" s="9" t="str">
        <f>IF(N1786=0,_xlfn.XLOOKUP(F1786,'Raw Data'!$I$4:$I$5000,'Raw Data'!$H$4:$H$5000,"",0),"")</f>
        <v/>
      </c>
      <c r="P1786" s="9" t="str" cm="1">
        <f t="array" aca="1" ref="P1786" ca="1">IF(INDIRECT(M1786) = "","",INDIRECT(M1786))</f>
        <v/>
      </c>
      <c r="Q1786" s="359" t="s">
        <v>4381</v>
      </c>
    </row>
    <row r="1787" spans="1:17" x14ac:dyDescent="0.35">
      <c r="A1787" t="s">
        <v>2369</v>
      </c>
      <c r="E1787" t="str">
        <f>_xlfn.XLOOKUP(F1787,'Raw Data'!$I$4:$I$5000,'Raw Data'!$D$4:$D$5000,"*** Mnemonic not found ***",0)</f>
        <v>*** Mnemonic not found ***</v>
      </c>
      <c r="F1787" t="str">
        <f t="shared" si="415"/>
        <v>SUCMNCRNET_500__</v>
      </c>
      <c r="H1787" s="9" t="s">
        <v>1137</v>
      </c>
      <c r="K1787" s="9">
        <f t="shared" si="434"/>
        <v>707</v>
      </c>
      <c r="L1787" s="9" t="str">
        <f t="shared" si="435"/>
        <v>I</v>
      </c>
      <c r="M1787" s="9" t="str">
        <f t="shared" si="419"/>
        <v>Input!I707</v>
      </c>
      <c r="N1787" s="9">
        <f>_xlfn.XLOOKUP(F1787,'Raw Data'!$I$4:$I$5000,'Raw Data'!$E$4:$E$5000,100,0)</f>
        <v>100</v>
      </c>
      <c r="O1787" s="9" t="str">
        <f>IF(N1787=0,_xlfn.XLOOKUP(F1787,'Raw Data'!$I$4:$I$5000,'Raw Data'!$H$4:$H$5000,"",0),"")</f>
        <v/>
      </c>
      <c r="P1787" s="9" t="str" cm="1">
        <f t="array" aca="1" ref="P1787" ca="1">IF(INDIRECT(M1787) = "","",INDIRECT(M1787))</f>
        <v/>
      </c>
      <c r="Q1787" s="359" t="s">
        <v>4381</v>
      </c>
    </row>
    <row r="1788" spans="1:17" x14ac:dyDescent="0.35">
      <c r="A1788" t="s">
        <v>2370</v>
      </c>
      <c r="E1788" t="str">
        <f>_xlfn.XLOOKUP(F1788,'Raw Data'!$I$4:$I$5000,'Raw Data'!$D$4:$D$5000,"*** Mnemonic not found ***",0)</f>
        <v>*** Mnemonic not found ***</v>
      </c>
      <c r="F1788" t="str">
        <f t="shared" si="415"/>
        <v>SUCMNCRRECUNCOLL_500__</v>
      </c>
      <c r="H1788" s="9" t="s">
        <v>1137</v>
      </c>
      <c r="K1788" s="9">
        <f t="shared" si="434"/>
        <v>708</v>
      </c>
      <c r="L1788" s="9" t="str">
        <f t="shared" si="435"/>
        <v>I</v>
      </c>
      <c r="M1788" s="9" t="str">
        <f t="shared" si="419"/>
        <v>Input!I708</v>
      </c>
      <c r="N1788" s="9">
        <f>_xlfn.XLOOKUP(F1788,'Raw Data'!$I$4:$I$5000,'Raw Data'!$E$4:$E$5000,100,0)</f>
        <v>100</v>
      </c>
      <c r="O1788" s="9" t="str">
        <f>IF(N1788=0,_xlfn.XLOOKUP(F1788,'Raw Data'!$I$4:$I$5000,'Raw Data'!$H$4:$H$5000,"",0),"")</f>
        <v/>
      </c>
      <c r="P1788" s="9" t="str" cm="1">
        <f t="array" aca="1" ref="P1788" ca="1">IF(INDIRECT(M1788) = "","",INDIRECT(M1788))</f>
        <v/>
      </c>
      <c r="Q1788" s="359" t="s">
        <v>4381</v>
      </c>
    </row>
    <row r="1789" spans="1:17" x14ac:dyDescent="0.35">
      <c r="A1789" t="s">
        <v>2371</v>
      </c>
      <c r="E1789" t="str">
        <f>_xlfn.XLOOKUP(F1789,'Raw Data'!$I$4:$I$5000,'Raw Data'!$D$4:$D$5000,"*** Mnemonic not found ***",0)</f>
        <v>*** Mnemonic not found ***</v>
      </c>
      <c r="F1789" t="str">
        <f t="shared" si="415"/>
        <v>SUCMNCRRECCOLL_500__</v>
      </c>
      <c r="H1789" s="9" t="s">
        <v>1137</v>
      </c>
      <c r="K1789" s="9">
        <f t="shared" si="434"/>
        <v>709</v>
      </c>
      <c r="L1789" s="9" t="str">
        <f t="shared" si="435"/>
        <v>I</v>
      </c>
      <c r="M1789" s="9" t="str">
        <f t="shared" si="419"/>
        <v>Input!I709</v>
      </c>
      <c r="N1789" s="9">
        <f>_xlfn.XLOOKUP(F1789,'Raw Data'!$I$4:$I$5000,'Raw Data'!$E$4:$E$5000,100,0)</f>
        <v>100</v>
      </c>
      <c r="O1789" s="9" t="str">
        <f>IF(N1789=0,_xlfn.XLOOKUP(F1789,'Raw Data'!$I$4:$I$5000,'Raw Data'!$H$4:$H$5000,"",0),"")</f>
        <v/>
      </c>
      <c r="P1789" s="9" t="str" cm="1">
        <f t="array" aca="1" ref="P1789" ca="1">IF(INDIRECT(M1789) = "","",INDIRECT(M1789))</f>
        <v/>
      </c>
      <c r="Q1789" s="359" t="s">
        <v>4381</v>
      </c>
    </row>
    <row r="1790" spans="1:17" x14ac:dyDescent="0.35">
      <c r="A1790" t="s">
        <v>2372</v>
      </c>
      <c r="E1790" t="str">
        <f>_xlfn.XLOOKUP(F1790,'Raw Data'!$I$4:$I$5000,'Raw Data'!$D$4:$D$5000,"*** Mnemonic not found ***",0)</f>
        <v>*** Mnemonic not found ***</v>
      </c>
      <c r="F1790" t="str">
        <f t="shared" si="415"/>
        <v>SUCMNCPINWARD_500__</v>
      </c>
      <c r="H1790" s="9" t="s">
        <v>1137</v>
      </c>
      <c r="K1790" s="9">
        <f t="shared" si="434"/>
        <v>710</v>
      </c>
      <c r="L1790" s="9" t="str">
        <f t="shared" si="435"/>
        <v>I</v>
      </c>
      <c r="M1790" s="9" t="str">
        <f t="shared" si="419"/>
        <v>Input!I710</v>
      </c>
      <c r="N1790" s="9">
        <f>_xlfn.XLOOKUP(F1790,'Raw Data'!$I$4:$I$5000,'Raw Data'!$E$4:$E$5000,100,0)</f>
        <v>100</v>
      </c>
      <c r="O1790" s="9" t="str">
        <f>IF(N1790=0,_xlfn.XLOOKUP(F1790,'Raw Data'!$I$4:$I$5000,'Raw Data'!$H$4:$H$5000,"",0),"")</f>
        <v/>
      </c>
      <c r="P1790" s="9" t="str" cm="1">
        <f t="array" aca="1" ref="P1790" ca="1">IF(INDIRECT(M1790) = "","",INDIRECT(M1790))</f>
        <v/>
      </c>
      <c r="Q1790" s="359" t="s">
        <v>4381</v>
      </c>
    </row>
    <row r="1791" spans="1:17" x14ac:dyDescent="0.35">
      <c r="A1791" t="s">
        <v>2373</v>
      </c>
      <c r="E1791" t="str">
        <f>_xlfn.XLOOKUP(F1791,'Raw Data'!$I$4:$I$5000,'Raw Data'!$D$4:$D$5000,"*** Mnemonic not found ***",0)</f>
        <v>*** Mnemonic not found ***</v>
      </c>
      <c r="F1791" t="str">
        <f t="shared" si="415"/>
        <v>SUCMNCPOUTWARD_500__</v>
      </c>
      <c r="H1791" s="9" t="s">
        <v>1137</v>
      </c>
      <c r="K1791" s="9">
        <f t="shared" si="434"/>
        <v>711</v>
      </c>
      <c r="L1791" s="9" t="str">
        <f t="shared" si="435"/>
        <v>I</v>
      </c>
      <c r="M1791" s="9" t="str">
        <f t="shared" si="419"/>
        <v>Input!I711</v>
      </c>
      <c r="N1791" s="9">
        <f>_xlfn.XLOOKUP(F1791,'Raw Data'!$I$4:$I$5000,'Raw Data'!$E$4:$E$5000,100,0)</f>
        <v>100</v>
      </c>
      <c r="O1791" s="9" t="str">
        <f>IF(N1791=0,_xlfn.XLOOKUP(F1791,'Raw Data'!$I$4:$I$5000,'Raw Data'!$H$4:$H$5000,"",0),"")</f>
        <v/>
      </c>
      <c r="P1791" s="9" t="str" cm="1">
        <f t="array" aca="1" ref="P1791" ca="1">IF(INDIRECT(M1791) = "","",INDIRECT(M1791))</f>
        <v/>
      </c>
      <c r="Q1791" s="359" t="s">
        <v>4381</v>
      </c>
    </row>
    <row r="1792" spans="1:17" x14ac:dyDescent="0.35">
      <c r="A1792" t="s">
        <v>2374</v>
      </c>
      <c r="E1792" t="str">
        <f>_xlfn.XLOOKUP(F1792,'Raw Data'!$I$4:$I$5000,'Raw Data'!$D$4:$D$5000,"*** Mnemonic not found ***",0)</f>
        <v>*** Mnemonic not found ***</v>
      </c>
      <c r="F1792" t="str">
        <f t="shared" si="415"/>
        <v>SUCMNCRAAL__</v>
      </c>
      <c r="H1792" s="9" t="s">
        <v>1137</v>
      </c>
      <c r="K1792" s="9">
        <f>K1791+3</f>
        <v>714</v>
      </c>
      <c r="L1792" s="9" t="s">
        <v>1124</v>
      </c>
      <c r="M1792" s="9" t="str">
        <f t="shared" si="419"/>
        <v>Input!F714</v>
      </c>
      <c r="N1792" s="9">
        <f>_xlfn.XLOOKUP(F1792,'Raw Data'!$I$4:$I$5000,'Raw Data'!$E$4:$E$5000,100,0)</f>
        <v>100</v>
      </c>
      <c r="O1792" s="9" t="str">
        <f>IF(N1792=0,_xlfn.XLOOKUP(F1792,'Raw Data'!$I$4:$I$5000,'Raw Data'!$H$4:$H$5000,"",0),"")</f>
        <v/>
      </c>
      <c r="P1792" s="9" t="str" cm="1">
        <f t="array" aca="1" ref="P1792" ca="1">IF(INDIRECT(M1792) = "","",INDIRECT(M1792))</f>
        <v/>
      </c>
      <c r="Q1792" s="359" t="s">
        <v>4381</v>
      </c>
    </row>
    <row r="1793" spans="1:17" x14ac:dyDescent="0.35">
      <c r="A1793" t="s">
        <v>2881</v>
      </c>
      <c r="E1793" t="str">
        <f>_xlfn.XLOOKUP(F1793,'Raw Data'!$I$4:$I$5000,'Raw Data'!$D$4:$D$5000,"*** Mnemonic not found ***",0)</f>
        <v>*** Mnemonic not found ***</v>
      </c>
      <c r="F1793" t="str">
        <f t="shared" si="415"/>
        <v>SUCMNATCATCHG_995__</v>
      </c>
      <c r="H1793" s="9" t="s">
        <v>1137</v>
      </c>
      <c r="K1793" s="9">
        <f>K1792+2</f>
        <v>716</v>
      </c>
      <c r="L1793" s="9" t="str">
        <f>L1792</f>
        <v>F</v>
      </c>
      <c r="M1793" s="9" t="str">
        <f t="shared" si="419"/>
        <v>Input!F716</v>
      </c>
      <c r="N1793" s="9">
        <f>_xlfn.XLOOKUP(F1793,'Raw Data'!$I$4:$I$5000,'Raw Data'!$E$4:$E$5000,100,0)</f>
        <v>100</v>
      </c>
      <c r="O1793" s="9" t="str">
        <f>IF(N1793=0,_xlfn.XLOOKUP(F1793,'Raw Data'!$I$4:$I$5000,'Raw Data'!$H$4:$H$5000,"",0),"")</f>
        <v/>
      </c>
      <c r="P1793" s="9" t="str" cm="1">
        <f t="array" aca="1" ref="P1793" ca="1">IF(INDIRECT(M1793) = "","",INDIRECT(M1793))</f>
        <v/>
      </c>
      <c r="Q1793" s="359" t="s">
        <v>4381</v>
      </c>
    </row>
    <row r="1794" spans="1:17" x14ac:dyDescent="0.35">
      <c r="A1794" s="694" t="s">
        <v>4376</v>
      </c>
      <c r="E1794" t="str">
        <f>_xlfn.XLOOKUP(F1794,'Raw Data'!$I$4:$I$5000,'Raw Data'!$D$4:$D$5000,"*** Mnemonic not found ***",0)</f>
        <v>*** Mnemonic not found ***</v>
      </c>
      <c r="F1794" t="str">
        <f t="shared" ref="F1794" si="436">CONCATENATE(A1794,"_",B1794,"_",D1794)</f>
        <v>SUCMNATCATREC_995__</v>
      </c>
      <c r="H1794" s="9" t="s">
        <v>1137</v>
      </c>
      <c r="K1794" s="9">
        <f>K1793</f>
        <v>716</v>
      </c>
      <c r="L1794" s="9" t="s">
        <v>1376</v>
      </c>
      <c r="M1794" s="9" t="str">
        <f t="shared" ref="M1794" si="437">CONCATENATE(H1794,"!",L1794,K1794)</f>
        <v>Input!J716</v>
      </c>
      <c r="N1794" s="9">
        <f>_xlfn.XLOOKUP(F1794,'Raw Data'!$I$4:$I$5000,'Raw Data'!$E$4:$E$5000,100,0)</f>
        <v>100</v>
      </c>
      <c r="O1794" s="9" t="str">
        <f>IF(N1794=0,_xlfn.XLOOKUP(F1794,'Raw Data'!$I$4:$I$5000,'Raw Data'!$H$4:$H$5000,"",0),"")</f>
        <v/>
      </c>
      <c r="P1794" s="9" t="str" cm="1">
        <f t="array" aca="1" ref="P1794" ca="1">IF(INDIRECT(M1794) = "","",INDIRECT(M1794))</f>
        <v/>
      </c>
      <c r="Q1794" s="359" t="s">
        <v>4381</v>
      </c>
    </row>
    <row r="1795" spans="1:17" x14ac:dyDescent="0.35">
      <c r="A1795" t="s">
        <v>2376</v>
      </c>
      <c r="E1795" t="str">
        <f>_xlfn.XLOOKUP(F1795,'Raw Data'!$I$4:$I$5000,'Raw Data'!$D$4:$D$5000,"*** Mnemonic not found ***",0)</f>
        <v>*** Mnemonic not found ***</v>
      </c>
      <c r="F1795" t="str">
        <f t="shared" si="415"/>
        <v>SUCMMORTCIRITHDM__</v>
      </c>
      <c r="G1795" t="s">
        <v>2438</v>
      </c>
      <c r="H1795" s="9" t="s">
        <v>1137</v>
      </c>
      <c r="I1795" s="289">
        <f>ROW(section_mort_and_pandemic)</f>
        <v>721</v>
      </c>
      <c r="J1795" s="9">
        <v>3</v>
      </c>
      <c r="K1795" s="9">
        <f>I1795+J1795</f>
        <v>724</v>
      </c>
      <c r="L1795" s="9" t="s">
        <v>1124</v>
      </c>
      <c r="M1795" s="9" t="str">
        <f t="shared" si="419"/>
        <v>Input!F724</v>
      </c>
      <c r="N1795" s="9">
        <f>_xlfn.XLOOKUP(F1795,'Raw Data'!$I$4:$I$5000,'Raw Data'!$E$4:$E$5000,100,0)</f>
        <v>100</v>
      </c>
      <c r="O1795" s="9" t="str">
        <f>IF(N1795=0,_xlfn.XLOOKUP(F1795,'Raw Data'!$I$4:$I$5000,'Raw Data'!$H$4:$H$5000,"",0),"")</f>
        <v/>
      </c>
      <c r="P1795" s="9" t="str" cm="1">
        <f t="array" aca="1" ref="P1795" ca="1">IF(INDIRECT(M1795) = "","",INDIRECT(M1795))</f>
        <v/>
      </c>
      <c r="Q1795" s="359" t="s">
        <v>4381</v>
      </c>
    </row>
    <row r="1796" spans="1:17" x14ac:dyDescent="0.35">
      <c r="A1796" t="s">
        <v>2377</v>
      </c>
      <c r="E1796" t="str">
        <f>_xlfn.XLOOKUP(F1796,'Raw Data'!$I$4:$I$5000,'Raw Data'!$D$4:$D$5000,"*** Mnemonic not found ***",0)</f>
        <v>*** Mnemonic not found ***</v>
      </c>
      <c r="F1796" t="str">
        <f t="shared" si="415"/>
        <v>SUCMMORTCIRITLDM__</v>
      </c>
      <c r="H1796" s="9" t="s">
        <v>1137</v>
      </c>
      <c r="K1796" s="9">
        <f t="shared" ref="K1796" si="438">K1795+1</f>
        <v>725</v>
      </c>
      <c r="L1796" s="9" t="str">
        <f t="shared" ref="L1796:L1797" si="439">L1795</f>
        <v>F</v>
      </c>
      <c r="M1796" s="9" t="str">
        <f t="shared" si="419"/>
        <v>Input!F725</v>
      </c>
      <c r="N1796" s="9">
        <f>_xlfn.XLOOKUP(F1796,'Raw Data'!$I$4:$I$5000,'Raw Data'!$E$4:$E$5000,100,0)</f>
        <v>100</v>
      </c>
      <c r="O1796" s="9" t="str">
        <f>IF(N1796=0,_xlfn.XLOOKUP(F1796,'Raw Data'!$I$4:$I$5000,'Raw Data'!$H$4:$H$5000,"",0),"")</f>
        <v/>
      </c>
      <c r="P1796" s="9" t="str" cm="1">
        <f t="array" aca="1" ref="P1796" ca="1">IF(INDIRECT(M1796) = "","",INDIRECT(M1796))</f>
        <v/>
      </c>
      <c r="Q1796" s="359" t="s">
        <v>4381</v>
      </c>
    </row>
    <row r="1797" spans="1:17" x14ac:dyDescent="0.35">
      <c r="A1797" t="s">
        <v>2378</v>
      </c>
      <c r="E1797" t="str">
        <f>_xlfn.XLOOKUP(F1797,'Raw Data'!$I$4:$I$5000,'Raw Data'!$D$4:$D$5000,"*** Mnemonic not found ***",0)</f>
        <v>*** Mnemonic not found ***</v>
      </c>
      <c r="F1797" t="str">
        <f t="shared" si="415"/>
        <v>SUCMMORTGROSSTOT__</v>
      </c>
      <c r="H1797" s="9" t="s">
        <v>1137</v>
      </c>
      <c r="K1797" s="9">
        <f>K1796+4</f>
        <v>729</v>
      </c>
      <c r="L1797" s="9" t="str">
        <f t="shared" si="439"/>
        <v>F</v>
      </c>
      <c r="M1797" s="9" t="str">
        <f t="shared" si="419"/>
        <v>Input!F729</v>
      </c>
      <c r="N1797" s="9">
        <f>_xlfn.XLOOKUP(F1797,'Raw Data'!$I$4:$I$5000,'Raw Data'!$E$4:$E$5000,100,0)</f>
        <v>100</v>
      </c>
      <c r="O1797" s="9" t="str">
        <f>IF(N1797=0,_xlfn.XLOOKUP(F1797,'Raw Data'!$I$4:$I$5000,'Raw Data'!$H$4:$H$5000,"",0),"")</f>
        <v/>
      </c>
      <c r="P1797" s="9" t="str" cm="1">
        <f t="array" aca="1" ref="P1797" ca="1">IF(INDIRECT(M1797) = "","",INDIRECT(M1797))</f>
        <v/>
      </c>
      <c r="Q1797" s="359" t="s">
        <v>4381</v>
      </c>
    </row>
    <row r="1798" spans="1:17" x14ac:dyDescent="0.35">
      <c r="A1798" t="s">
        <v>2379</v>
      </c>
      <c r="E1798" t="str">
        <f>_xlfn.XLOOKUP(F1798,'Raw Data'!$I$4:$I$5000,'Raw Data'!$D$4:$D$5000,"*** Mnemonic not found ***",0)</f>
        <v>*** Mnemonic not found ***</v>
      </c>
      <c r="F1798" t="str">
        <f t="shared" si="415"/>
        <v>SUCMMORBCIRITHDM__</v>
      </c>
      <c r="G1798" t="s">
        <v>2439</v>
      </c>
      <c r="H1798" s="9" t="s">
        <v>1137</v>
      </c>
      <c r="I1798" s="289">
        <f>ROW(section_morbidity_ci)</f>
        <v>732</v>
      </c>
      <c r="J1798" s="9">
        <v>3</v>
      </c>
      <c r="K1798" s="9">
        <f>I1798+J1798</f>
        <v>735</v>
      </c>
      <c r="L1798" s="9" t="s">
        <v>1124</v>
      </c>
      <c r="M1798" s="9" t="str">
        <f t="shared" si="419"/>
        <v>Input!F735</v>
      </c>
      <c r="N1798" s="9">
        <f>_xlfn.XLOOKUP(F1798,'Raw Data'!$I$4:$I$5000,'Raw Data'!$E$4:$E$5000,100,0)</f>
        <v>100</v>
      </c>
      <c r="O1798" s="9" t="str">
        <f>IF(N1798=0,_xlfn.XLOOKUP(F1798,'Raw Data'!$I$4:$I$5000,'Raw Data'!$H$4:$H$5000,"",0),"")</f>
        <v/>
      </c>
      <c r="P1798" s="9" t="str" cm="1">
        <f t="array" aca="1" ref="P1798" ca="1">IF(INDIRECT(M1798) = "","",INDIRECT(M1798))</f>
        <v/>
      </c>
      <c r="Q1798" s="359" t="s">
        <v>4381</v>
      </c>
    </row>
    <row r="1799" spans="1:17" x14ac:dyDescent="0.35">
      <c r="A1799" t="s">
        <v>2380</v>
      </c>
      <c r="E1799" t="str">
        <f>_xlfn.XLOOKUP(F1799,'Raw Data'!$I$4:$I$5000,'Raw Data'!$D$4:$D$5000,"*** Mnemonic not found ***",0)</f>
        <v>*** Mnemonic not found ***</v>
      </c>
      <c r="F1799" t="str">
        <f t="shared" si="415"/>
        <v>SUCMMORBCIRITLDM__</v>
      </c>
      <c r="H1799" s="9" t="s">
        <v>1137</v>
      </c>
      <c r="K1799" s="9">
        <f t="shared" ref="K1799" si="440">K1798+1</f>
        <v>736</v>
      </c>
      <c r="L1799" s="9" t="str">
        <f t="shared" ref="L1799" si="441">L1798</f>
        <v>F</v>
      </c>
      <c r="M1799" s="9" t="str">
        <f t="shared" si="419"/>
        <v>Input!F736</v>
      </c>
      <c r="N1799" s="9">
        <f>_xlfn.XLOOKUP(F1799,'Raw Data'!$I$4:$I$5000,'Raw Data'!$E$4:$E$5000,100,0)</f>
        <v>100</v>
      </c>
      <c r="O1799" s="9" t="str">
        <f>IF(N1799=0,_xlfn.XLOOKUP(F1799,'Raw Data'!$I$4:$I$5000,'Raw Data'!$H$4:$H$5000,"",0),"")</f>
        <v/>
      </c>
      <c r="P1799" s="9" t="str" cm="1">
        <f t="array" aca="1" ref="P1799" ca="1">IF(INDIRECT(M1799) = "","",INDIRECT(M1799))</f>
        <v/>
      </c>
      <c r="Q1799" s="359" t="s">
        <v>4381</v>
      </c>
    </row>
    <row r="1800" spans="1:17" x14ac:dyDescent="0.35">
      <c r="A1800" t="s">
        <v>2381</v>
      </c>
      <c r="E1800" t="str">
        <f>_xlfn.XLOOKUP(F1800,'Raw Data'!$I$4:$I$5000,'Raw Data'!$D$4:$D$5000,"*** Mnemonic not found ***",0)</f>
        <v>*** Mnemonic not found ***</v>
      </c>
      <c r="F1800" t="str">
        <f t="shared" si="415"/>
        <v>SUCMDISPRDISNONCANCEL__</v>
      </c>
      <c r="G1800" t="s">
        <v>2440</v>
      </c>
      <c r="H1800" s="9" t="s">
        <v>1137</v>
      </c>
      <c r="I1800" s="289">
        <f>ROW(section_morbidity_disability)</f>
        <v>739</v>
      </c>
      <c r="J1800" s="9">
        <v>3</v>
      </c>
      <c r="K1800" s="9">
        <f>I1800+J1800</f>
        <v>742</v>
      </c>
      <c r="L1800" s="9" t="s">
        <v>1124</v>
      </c>
      <c r="M1800" s="9" t="str">
        <f t="shared" si="419"/>
        <v>Input!F742</v>
      </c>
      <c r="N1800" s="9">
        <f>_xlfn.XLOOKUP(F1800,'Raw Data'!$I$4:$I$5000,'Raw Data'!$E$4:$E$5000,100,0)</f>
        <v>100</v>
      </c>
      <c r="O1800" s="9" t="str">
        <f>IF(N1800=0,_xlfn.XLOOKUP(F1800,'Raw Data'!$I$4:$I$5000,'Raw Data'!$H$4:$H$5000,"",0),"")</f>
        <v/>
      </c>
      <c r="P1800" s="9" t="str" cm="1">
        <f t="array" aca="1" ref="P1800" ca="1">IF(INDIRECT(M1800) = "","",INDIRECT(M1800))</f>
        <v/>
      </c>
      <c r="Q1800" s="359" t="s">
        <v>4381</v>
      </c>
    </row>
    <row r="1801" spans="1:17" x14ac:dyDescent="0.35">
      <c r="A1801" t="s">
        <v>2382</v>
      </c>
      <c r="E1801" t="str">
        <f>_xlfn.XLOOKUP(F1801,'Raw Data'!$I$4:$I$5000,'Raw Data'!$D$4:$D$5000,"*** Mnemonic not found ***",0)</f>
        <v>*** Mnemonic not found ***</v>
      </c>
      <c r="F1801" t="str">
        <f t="shared" ref="F1801:F1868" si="442">CONCATENATE(A1801,"_",B1801,"_",D1801)</f>
        <v>SUCMDISPRDISOII__</v>
      </c>
      <c r="H1801" s="9" t="s">
        <v>1137</v>
      </c>
      <c r="K1801" s="9">
        <f t="shared" ref="K1801:K1807" si="443">K1800+1</f>
        <v>743</v>
      </c>
      <c r="L1801" s="9" t="str">
        <f t="shared" ref="L1801:L1808" si="444">L1800</f>
        <v>F</v>
      </c>
      <c r="M1801" s="9" t="str">
        <f t="shared" si="419"/>
        <v>Input!F743</v>
      </c>
      <c r="N1801" s="9">
        <f>_xlfn.XLOOKUP(F1801,'Raw Data'!$I$4:$I$5000,'Raw Data'!$E$4:$E$5000,100,0)</f>
        <v>100</v>
      </c>
      <c r="O1801" s="9" t="str">
        <f>IF(N1801=0,_xlfn.XLOOKUP(F1801,'Raw Data'!$I$4:$I$5000,'Raw Data'!$H$4:$H$5000,"",0),"")</f>
        <v/>
      </c>
      <c r="P1801" s="9" t="str" cm="1">
        <f t="array" aca="1" ref="P1801" ca="1">IF(INDIRECT(M1801) = "","",INDIRECT(M1801))</f>
        <v/>
      </c>
      <c r="Q1801" s="359" t="s">
        <v>4381</v>
      </c>
    </row>
    <row r="1802" spans="1:17" x14ac:dyDescent="0.35">
      <c r="A1802" t="s">
        <v>2383</v>
      </c>
      <c r="E1802" t="str">
        <f>_xlfn.XLOOKUP(F1802,'Raw Data'!$I$4:$I$5000,'Raw Data'!$D$4:$D$5000,"*** Mnemonic not found ***",0)</f>
        <v>*** Mnemonic not found ***</v>
      </c>
      <c r="F1802" t="str">
        <f t="shared" si="442"/>
        <v>SUCMDISPRDISGLT__</v>
      </c>
      <c r="H1802" s="9" t="s">
        <v>1137</v>
      </c>
      <c r="K1802" s="9">
        <f t="shared" si="443"/>
        <v>744</v>
      </c>
      <c r="L1802" s="9" t="str">
        <f t="shared" si="444"/>
        <v>F</v>
      </c>
      <c r="M1802" s="9" t="str">
        <f t="shared" si="419"/>
        <v>Input!F744</v>
      </c>
      <c r="N1802" s="9">
        <f>_xlfn.XLOOKUP(F1802,'Raw Data'!$I$4:$I$5000,'Raw Data'!$E$4:$E$5000,100,0)</f>
        <v>100</v>
      </c>
      <c r="O1802" s="9" t="str">
        <f>IF(N1802=0,_xlfn.XLOOKUP(F1802,'Raw Data'!$I$4:$I$5000,'Raw Data'!$H$4:$H$5000,"",0),"")</f>
        <v/>
      </c>
      <c r="P1802" s="9" t="str" cm="1">
        <f t="array" aca="1" ref="P1802" ca="1">IF(INDIRECT(M1802) = "","",INDIRECT(M1802))</f>
        <v/>
      </c>
      <c r="Q1802" s="359" t="s">
        <v>4381</v>
      </c>
    </row>
    <row r="1803" spans="1:17" x14ac:dyDescent="0.35">
      <c r="A1803" t="s">
        <v>2384</v>
      </c>
      <c r="E1803" t="str">
        <f>_xlfn.XLOOKUP(F1803,'Raw Data'!$I$4:$I$5000,'Raw Data'!$D$4:$D$5000,"*** Mnemonic not found ***",0)</f>
        <v>*** Mnemonic not found ***</v>
      </c>
      <c r="F1803" t="str">
        <f t="shared" si="442"/>
        <v>SUCMDISPRGST__</v>
      </c>
      <c r="H1803" s="9" t="s">
        <v>1137</v>
      </c>
      <c r="K1803" s="9">
        <f t="shared" si="443"/>
        <v>745</v>
      </c>
      <c r="L1803" s="9" t="str">
        <f t="shared" si="444"/>
        <v>F</v>
      </c>
      <c r="M1803" s="9" t="str">
        <f t="shared" si="419"/>
        <v>Input!F745</v>
      </c>
      <c r="N1803" s="9">
        <f>_xlfn.XLOOKUP(F1803,'Raw Data'!$I$4:$I$5000,'Raw Data'!$E$4:$E$5000,100,0)</f>
        <v>100</v>
      </c>
      <c r="O1803" s="9" t="str">
        <f>IF(N1803=0,_xlfn.XLOOKUP(F1803,'Raw Data'!$I$4:$I$5000,'Raw Data'!$H$4:$H$5000,"",0),"")</f>
        <v/>
      </c>
      <c r="P1803" s="9" t="str" cm="1">
        <f t="array" aca="1" ref="P1803" ca="1">IF(INDIRECT(M1803) = "","",INDIRECT(M1803))</f>
        <v/>
      </c>
      <c r="Q1803" s="359" t="s">
        <v>4381</v>
      </c>
    </row>
    <row r="1804" spans="1:17" x14ac:dyDescent="0.35">
      <c r="A1804" t="s">
        <v>2385</v>
      </c>
      <c r="E1804" t="str">
        <f>_xlfn.XLOOKUP(F1804,'Raw Data'!$I$4:$I$5000,'Raw Data'!$D$4:$D$5000,"*** Mnemonic not found ***",0)</f>
        <v>*** Mnemonic not found ***</v>
      </c>
      <c r="F1804" t="str">
        <f t="shared" si="442"/>
        <v>SUCMDISPRCROSBAL__</v>
      </c>
      <c r="H1804" s="9" t="s">
        <v>1137</v>
      </c>
      <c r="K1804" s="9">
        <f t="shared" si="443"/>
        <v>746</v>
      </c>
      <c r="L1804" s="9" t="str">
        <f t="shared" si="444"/>
        <v>F</v>
      </c>
      <c r="M1804" s="9" t="str">
        <f t="shared" si="419"/>
        <v>Input!F746</v>
      </c>
      <c r="N1804" s="9">
        <f>_xlfn.XLOOKUP(F1804,'Raw Data'!$I$4:$I$5000,'Raw Data'!$E$4:$E$5000,100,0)</f>
        <v>100</v>
      </c>
      <c r="O1804" s="9" t="str">
        <f>IF(N1804=0,_xlfn.XLOOKUP(F1804,'Raw Data'!$I$4:$I$5000,'Raw Data'!$H$4:$H$5000,"",0),"")</f>
        <v/>
      </c>
      <c r="P1804" s="9" t="str" cm="1">
        <f t="array" aca="1" ref="P1804" ca="1">IF(INDIRECT(M1804) = "","",INDIRECT(M1804))</f>
        <v/>
      </c>
      <c r="Q1804" s="359" t="s">
        <v>4381</v>
      </c>
    </row>
    <row r="1805" spans="1:17" x14ac:dyDescent="0.35">
      <c r="A1805" t="s">
        <v>2386</v>
      </c>
      <c r="E1805" t="str">
        <f>_xlfn.XLOOKUP(F1805,'Raw Data'!$I$4:$I$5000,'Raw Data'!$D$4:$D$5000,"*** Mnemonic not found ***",0)</f>
        <v>*** Mnemonic not found ***</v>
      </c>
      <c r="F1805" t="str">
        <f t="shared" si="442"/>
        <v>SUCMDISPRCSRWITH__</v>
      </c>
      <c r="H1805" s="9" t="s">
        <v>1137</v>
      </c>
      <c r="K1805" s="9">
        <f t="shared" si="443"/>
        <v>747</v>
      </c>
      <c r="L1805" s="9" t="str">
        <f t="shared" si="444"/>
        <v>F</v>
      </c>
      <c r="M1805" s="9" t="str">
        <f t="shared" si="419"/>
        <v>Input!F747</v>
      </c>
      <c r="N1805" s="9">
        <f>_xlfn.XLOOKUP(F1805,'Raw Data'!$I$4:$I$5000,'Raw Data'!$E$4:$E$5000,100,0)</f>
        <v>100</v>
      </c>
      <c r="O1805" s="9" t="str">
        <f>IF(N1805=0,_xlfn.XLOOKUP(F1805,'Raw Data'!$I$4:$I$5000,'Raw Data'!$H$4:$H$5000,"",0),"")</f>
        <v/>
      </c>
      <c r="P1805" s="9" t="str" cm="1">
        <f t="array" aca="1" ref="P1805" ca="1">IF(INDIRECT(M1805) = "","",INDIRECT(M1805))</f>
        <v/>
      </c>
      <c r="Q1805" s="359" t="s">
        <v>4381</v>
      </c>
    </row>
    <row r="1806" spans="1:17" x14ac:dyDescent="0.35">
      <c r="A1806" t="s">
        <v>2387</v>
      </c>
      <c r="E1806" t="str">
        <f>_xlfn.XLOOKUP(F1806,'Raw Data'!$I$4:$I$5000,'Raw Data'!$D$4:$D$5000,"*** Mnemonic not found ***",0)</f>
        <v>*** Mnemonic not found ***</v>
      </c>
      <c r="F1806" t="str">
        <f t="shared" si="442"/>
        <v>SUCMDISPRCSRWITHOUT__</v>
      </c>
      <c r="H1806" s="9" t="s">
        <v>1137</v>
      </c>
      <c r="K1806" s="9">
        <f t="shared" si="443"/>
        <v>748</v>
      </c>
      <c r="L1806" s="9" t="str">
        <f t="shared" si="444"/>
        <v>F</v>
      </c>
      <c r="M1806" s="9" t="str">
        <f t="shared" si="419"/>
        <v>Input!F748</v>
      </c>
      <c r="N1806" s="9">
        <f>_xlfn.XLOOKUP(F1806,'Raw Data'!$I$4:$I$5000,'Raw Data'!$E$4:$E$5000,100,0)</f>
        <v>100</v>
      </c>
      <c r="O1806" s="9" t="str">
        <f>IF(N1806=0,_xlfn.XLOOKUP(F1806,'Raw Data'!$I$4:$I$5000,'Raw Data'!$H$4:$H$5000,"",0),"")</f>
        <v/>
      </c>
      <c r="P1806" s="9" t="str" cm="1">
        <f t="array" aca="1" ref="P1806" ca="1">IF(INDIRECT(M1806) = "","",INDIRECT(M1806))</f>
        <v/>
      </c>
      <c r="Q1806" s="359" t="s">
        <v>4381</v>
      </c>
    </row>
    <row r="1807" spans="1:17" x14ac:dyDescent="0.35">
      <c r="A1807" t="s">
        <v>2388</v>
      </c>
      <c r="E1807" t="str">
        <f>_xlfn.XLOOKUP(F1807,'Raw Data'!$I$4:$I$5000,'Raw Data'!$D$4:$D$5000,"*** Mnemonic not found ***",0)</f>
        <v>*** Mnemonic not found ***</v>
      </c>
      <c r="F1807" t="str">
        <f t="shared" si="442"/>
        <v>SUCMDISPROTHERDISB__</v>
      </c>
      <c r="H1807" s="9" t="s">
        <v>1137</v>
      </c>
      <c r="K1807" s="9">
        <f t="shared" si="443"/>
        <v>749</v>
      </c>
      <c r="L1807" s="9" t="str">
        <f t="shared" si="444"/>
        <v>F</v>
      </c>
      <c r="M1807" s="9" t="str">
        <f t="shared" si="419"/>
        <v>Input!F749</v>
      </c>
      <c r="N1807" s="9">
        <f>_xlfn.XLOOKUP(F1807,'Raw Data'!$I$4:$I$5000,'Raw Data'!$E$4:$E$5000,100,0)</f>
        <v>100</v>
      </c>
      <c r="O1807" s="9" t="str">
        <f>IF(N1807=0,_xlfn.XLOOKUP(F1807,'Raw Data'!$I$4:$I$5000,'Raw Data'!$H$4:$H$5000,"",0),"")</f>
        <v/>
      </c>
      <c r="P1807" s="9" t="str" cm="1">
        <f t="array" aca="1" ref="P1807" ca="1">IF(INDIRECT(M1807) = "","",INDIRECT(M1807))</f>
        <v/>
      </c>
      <c r="Q1807" s="359" t="s">
        <v>4381</v>
      </c>
    </row>
    <row r="1808" spans="1:17" x14ac:dyDescent="0.35">
      <c r="A1808" t="s">
        <v>2389</v>
      </c>
      <c r="E1808" t="str">
        <f>_xlfn.XLOOKUP(F1808,'Raw Data'!$I$4:$I$5000,'Raw Data'!$D$4:$D$5000,"*** Mnemonic not found ***",0)</f>
        <v>*** Mnemonic not found ***</v>
      </c>
      <c r="F1808" t="str">
        <f t="shared" si="442"/>
        <v>SUCMDISRESERPROD__</v>
      </c>
      <c r="H1808" s="9" t="s">
        <v>1137</v>
      </c>
      <c r="K1808" s="9">
        <f>K1807+3</f>
        <v>752</v>
      </c>
      <c r="L1808" s="9" t="str">
        <f t="shared" si="444"/>
        <v>F</v>
      </c>
      <c r="M1808" s="9" t="str">
        <f t="shared" si="419"/>
        <v>Input!F752</v>
      </c>
      <c r="N1808" s="9">
        <f>_xlfn.XLOOKUP(F1808,'Raw Data'!$I$4:$I$5000,'Raw Data'!$E$4:$E$5000,100,0)</f>
        <v>100</v>
      </c>
      <c r="O1808" s="9" t="str">
        <f>IF(N1808=0,_xlfn.XLOOKUP(F1808,'Raw Data'!$I$4:$I$5000,'Raw Data'!$H$4:$H$5000,"",0),"")</f>
        <v/>
      </c>
      <c r="P1808" s="9" t="str" cm="1">
        <f t="array" aca="1" ref="P1808" ca="1">IF(INDIRECT(M1808) = "","",INDIRECT(M1808))</f>
        <v/>
      </c>
      <c r="Q1808" s="359" t="s">
        <v>4381</v>
      </c>
    </row>
    <row r="1809" spans="1:17" x14ac:dyDescent="0.35">
      <c r="A1809" t="s">
        <v>2390</v>
      </c>
      <c r="E1809" t="str">
        <f>_xlfn.XLOOKUP(F1809,'Raw Data'!$I$4:$I$5000,'Raw Data'!$D$4:$D$5000,"*** Mnemonic not found ***",0)</f>
        <v>*** Mnemonic not found ***</v>
      </c>
      <c r="F1809" t="str">
        <f t="shared" si="442"/>
        <v>SUCMLTCLAIB_NONUS__</v>
      </c>
      <c r="G1809" t="s">
        <v>2441</v>
      </c>
      <c r="H1809" s="9" t="s">
        <v>1137</v>
      </c>
      <c r="I1809" s="289">
        <f>ROW(section_morbidity_ltc)</f>
        <v>755</v>
      </c>
      <c r="J1809" s="9">
        <v>3</v>
      </c>
      <c r="K1809" s="9">
        <f>I1809+J1809</f>
        <v>758</v>
      </c>
      <c r="L1809" s="9" t="s">
        <v>1124</v>
      </c>
      <c r="M1809" s="9" t="str">
        <f t="shared" si="419"/>
        <v>Input!F758</v>
      </c>
      <c r="N1809" s="9">
        <f>_xlfn.XLOOKUP(F1809,'Raw Data'!$I$4:$I$5000,'Raw Data'!$E$4:$E$5000,100,0)</f>
        <v>100</v>
      </c>
      <c r="O1809" s="9" t="str">
        <f>IF(N1809=0,_xlfn.XLOOKUP(F1809,'Raw Data'!$I$4:$I$5000,'Raw Data'!$H$4:$H$5000,"",0),"")</f>
        <v/>
      </c>
      <c r="P1809" s="9" t="str" cm="1">
        <f t="array" aca="1" ref="P1809" ca="1">IF(INDIRECT(M1809) = "","",INDIRECT(M1809))</f>
        <v/>
      </c>
      <c r="Q1809" s="359" t="s">
        <v>4381</v>
      </c>
    </row>
    <row r="1810" spans="1:17" x14ac:dyDescent="0.35">
      <c r="A1810" t="s">
        <v>2391</v>
      </c>
      <c r="E1810" t="str">
        <f>_xlfn.XLOOKUP(F1810,'Raw Data'!$I$4:$I$5000,'Raw Data'!$D$4:$D$5000,"*** Mnemonic not found ***",0)</f>
        <v>*** Mnemonic not found ***</v>
      </c>
      <c r="F1810" t="str">
        <f t="shared" si="442"/>
        <v>SUCMLTCCLAIMS_US__</v>
      </c>
      <c r="H1810" s="9" t="s">
        <v>1137</v>
      </c>
      <c r="K1810" s="9">
        <f>K1809+2</f>
        <v>760</v>
      </c>
      <c r="L1810" s="9" t="str">
        <f t="shared" ref="L1810:L1813" si="445">L1809</f>
        <v>F</v>
      </c>
      <c r="M1810" s="9" t="str">
        <f t="shared" si="419"/>
        <v>Input!F760</v>
      </c>
      <c r="N1810" s="9">
        <f>_xlfn.XLOOKUP(F1810,'Raw Data'!$I$4:$I$5000,'Raw Data'!$E$4:$E$5000,100,0)</f>
        <v>100</v>
      </c>
      <c r="O1810" s="9" t="str">
        <f>IF(N1810=0,_xlfn.XLOOKUP(F1810,'Raw Data'!$I$4:$I$5000,'Raw Data'!$H$4:$H$5000,"",0),"")</f>
        <v/>
      </c>
      <c r="P1810" s="9" t="str" cm="1">
        <f t="array" aca="1" ref="P1810" ca="1">IF(INDIRECT(M1810) = "","",INDIRECT(M1810))</f>
        <v/>
      </c>
      <c r="Q1810" s="359" t="s">
        <v>4381</v>
      </c>
    </row>
    <row r="1811" spans="1:17" x14ac:dyDescent="0.35">
      <c r="A1811" t="s">
        <v>2392</v>
      </c>
      <c r="E1811" t="str">
        <f>_xlfn.XLOOKUP(F1811,'Raw Data'!$I$4:$I$5000,'Raw Data'!$D$4:$D$5000,"*** Mnemonic not found ***",0)</f>
        <v>*** Mnemonic not found ***</v>
      </c>
      <c r="F1811" t="str">
        <f t="shared" si="442"/>
        <v>SUCMLTCEARNPREM_US__</v>
      </c>
      <c r="H1811" s="9" t="s">
        <v>1137</v>
      </c>
      <c r="K1811" s="9">
        <f t="shared" ref="K1811:K1813" si="446">K1810+1</f>
        <v>761</v>
      </c>
      <c r="L1811" s="9" t="str">
        <f t="shared" si="445"/>
        <v>F</v>
      </c>
      <c r="M1811" s="9" t="str">
        <f t="shared" si="419"/>
        <v>Input!F761</v>
      </c>
      <c r="N1811" s="9">
        <f>_xlfn.XLOOKUP(F1811,'Raw Data'!$I$4:$I$5000,'Raw Data'!$E$4:$E$5000,100,0)</f>
        <v>100</v>
      </c>
      <c r="O1811" s="9" t="str">
        <f>IF(N1811=0,_xlfn.XLOOKUP(F1811,'Raw Data'!$I$4:$I$5000,'Raw Data'!$H$4:$H$5000,"",0),"")</f>
        <v/>
      </c>
      <c r="P1811" s="9" t="str" cm="1">
        <f t="array" aca="1" ref="P1811" ca="1">IF(INDIRECT(M1811) = "","",INDIRECT(M1811))</f>
        <v/>
      </c>
      <c r="Q1811" s="359" t="s">
        <v>4381</v>
      </c>
    </row>
    <row r="1812" spans="1:17" x14ac:dyDescent="0.35">
      <c r="A1812" t="s">
        <v>2393</v>
      </c>
      <c r="E1812" t="str">
        <f>_xlfn.XLOOKUP(F1812,'Raw Data'!$I$4:$I$5000,'Raw Data'!$D$4:$D$5000,"*** Mnemonic not found ***",0)</f>
        <v>*** Mnemonic not found ***</v>
      </c>
      <c r="F1812" t="str">
        <f t="shared" si="442"/>
        <v>SUCMLTCCLAIMRES_US__</v>
      </c>
      <c r="H1812" s="9" t="s">
        <v>1137</v>
      </c>
      <c r="K1812" s="9">
        <f t="shared" si="446"/>
        <v>762</v>
      </c>
      <c r="L1812" s="9" t="str">
        <f t="shared" si="445"/>
        <v>F</v>
      </c>
      <c r="M1812" s="9" t="str">
        <f t="shared" si="419"/>
        <v>Input!F762</v>
      </c>
      <c r="N1812" s="9">
        <f>_xlfn.XLOOKUP(F1812,'Raw Data'!$I$4:$I$5000,'Raw Data'!$E$4:$E$5000,100,0)</f>
        <v>100</v>
      </c>
      <c r="O1812" s="9" t="str">
        <f>IF(N1812=0,_xlfn.XLOOKUP(F1812,'Raw Data'!$I$4:$I$5000,'Raw Data'!$H$4:$H$5000,"",0),"")</f>
        <v/>
      </c>
      <c r="P1812" s="9" t="str" cm="1">
        <f t="array" aca="1" ref="P1812" ca="1">IF(INDIRECT(M1812) = "","",INDIRECT(M1812))</f>
        <v/>
      </c>
      <c r="Q1812" s="359" t="s">
        <v>4381</v>
      </c>
    </row>
    <row r="1813" spans="1:17" x14ac:dyDescent="0.35">
      <c r="A1813" s="694" t="s">
        <v>4324</v>
      </c>
      <c r="E1813" t="str">
        <f>_xlfn.XLOOKUP(F1813,'Raw Data'!$I$4:$I$5000,'Raw Data'!$D$4:$D$5000,"*** Mnemonic not found ***",0)</f>
        <v>*** Mnemonic not found ***</v>
      </c>
      <c r="F1813" t="str">
        <f t="shared" si="442"/>
        <v>SUCMLTCACTLFRES_US__</v>
      </c>
      <c r="H1813" s="9" t="s">
        <v>1137</v>
      </c>
      <c r="K1813" s="9">
        <f t="shared" si="446"/>
        <v>763</v>
      </c>
      <c r="L1813" s="9" t="str">
        <f t="shared" si="445"/>
        <v>F</v>
      </c>
      <c r="M1813" s="9" t="str">
        <f t="shared" ref="M1813" si="447">CONCATENATE(H1813,"!",L1813,K1813)</f>
        <v>Input!F763</v>
      </c>
      <c r="N1813" s="9">
        <f>_xlfn.XLOOKUP(F1813,'Raw Data'!$I$4:$I$5000,'Raw Data'!$E$4:$E$5000,100,0)</f>
        <v>100</v>
      </c>
      <c r="O1813" s="9" t="str">
        <f>IF(N1813=0,_xlfn.XLOOKUP(F1813,'Raw Data'!$I$4:$I$5000,'Raw Data'!$H$4:$H$5000,"",0),"")</f>
        <v/>
      </c>
      <c r="P1813" s="9" t="str" cm="1">
        <f t="array" aca="1" ref="P1813" ca="1">IF(INDIRECT(M1813) = "","",INDIRECT(M1813))</f>
        <v/>
      </c>
      <c r="Q1813" s="359" t="s">
        <v>4381</v>
      </c>
    </row>
    <row r="1814" spans="1:17" x14ac:dyDescent="0.35">
      <c r="A1814" t="s">
        <v>3665</v>
      </c>
      <c r="E1814" t="str">
        <f>_xlfn.XLOOKUP(F1814,'Raw Data'!$I$4:$I$5000,'Raw Data'!$D$4:$D$5000,"*** Mnemonic not found ***",0)</f>
        <v>*** Mnemonic not found ***</v>
      </c>
      <c r="F1814" t="str">
        <f t="shared" si="442"/>
        <v>SUCMLONGOTHERIP__</v>
      </c>
      <c r="G1814" t="s">
        <v>2442</v>
      </c>
      <c r="H1814" s="9" t="s">
        <v>1137</v>
      </c>
      <c r="I1814" s="289">
        <f>ROW(section_longevity)</f>
        <v>766</v>
      </c>
      <c r="J1814" s="9">
        <v>2</v>
      </c>
      <c r="K1814" s="9">
        <f>I1814+J1814</f>
        <v>768</v>
      </c>
      <c r="L1814" s="9" t="s">
        <v>1124</v>
      </c>
      <c r="M1814" s="9" t="str">
        <f t="shared" si="419"/>
        <v>Input!F768</v>
      </c>
      <c r="N1814" s="9">
        <f>_xlfn.XLOOKUP(F1814,'Raw Data'!$I$4:$I$5000,'Raw Data'!$E$4:$E$5000,100,0)</f>
        <v>100</v>
      </c>
      <c r="O1814" s="9" t="str">
        <f>IF(N1814=0,_xlfn.XLOOKUP(F1814,'Raw Data'!$I$4:$I$5000,'Raw Data'!$H$4:$H$5000,"",0),"")</f>
        <v/>
      </c>
      <c r="P1814" s="9" t="str" cm="1">
        <f t="array" aca="1" ref="P1814" ca="1">IF(INDIRECT(M1814) = "","",INDIRECT(M1814))</f>
        <v/>
      </c>
      <c r="Q1814" s="359" t="s">
        <v>4381</v>
      </c>
    </row>
    <row r="1815" spans="1:17" x14ac:dyDescent="0.35">
      <c r="A1815" t="s">
        <v>2395</v>
      </c>
      <c r="E1815" t="str">
        <f>_xlfn.XLOOKUP(F1815,'Raw Data'!$I$4:$I$5000,'Raw Data'!$D$4:$D$5000,"*** Mnemonic not found ***",0)</f>
        <v>*** Mnemonic not found ***</v>
      </c>
      <c r="F1815" t="str">
        <f t="shared" si="442"/>
        <v>SUCMLONGOTHER_CAT1__</v>
      </c>
      <c r="H1815" s="9" t="s">
        <v>1137</v>
      </c>
      <c r="K1815" s="9">
        <f>K1814+1</f>
        <v>769</v>
      </c>
      <c r="L1815" s="9" t="str">
        <f t="shared" ref="L1815" si="448">L1814</f>
        <v>F</v>
      </c>
      <c r="M1815" s="9" t="str">
        <f t="shared" si="419"/>
        <v>Input!F769</v>
      </c>
      <c r="N1815" s="9">
        <f>_xlfn.XLOOKUP(F1815,'Raw Data'!$I$4:$I$5000,'Raw Data'!$E$4:$E$5000,100,0)</f>
        <v>100</v>
      </c>
      <c r="O1815" s="9" t="str">
        <f>IF(N1815=0,_xlfn.XLOOKUP(F1815,'Raw Data'!$I$4:$I$5000,'Raw Data'!$H$4:$H$5000,"",0),"")</f>
        <v/>
      </c>
      <c r="P1815" s="9" t="str" cm="1">
        <f t="array" aca="1" ref="P1815" ca="1">IF(INDIRECT(M1815) = "","",INDIRECT(M1815))</f>
        <v/>
      </c>
      <c r="Q1815" s="359" t="s">
        <v>4381</v>
      </c>
    </row>
    <row r="1816" spans="1:17" x14ac:dyDescent="0.35">
      <c r="A1816" t="s">
        <v>2396</v>
      </c>
      <c r="E1816" t="str">
        <f>_xlfn.XLOOKUP(F1816,'Raw Data'!$I$4:$I$5000,'Raw Data'!$D$4:$D$5000,"*** Mnemonic not found ***",0)</f>
        <v>*** Mnemonic not found ***</v>
      </c>
      <c r="F1816" t="str">
        <f t="shared" si="442"/>
        <v>SUCMLONGOTHER_CAT2__</v>
      </c>
      <c r="H1816" s="9" t="s">
        <v>1137</v>
      </c>
      <c r="K1816" s="9">
        <f>K1815+1</f>
        <v>770</v>
      </c>
      <c r="L1816" s="9" t="str">
        <f>L1815</f>
        <v>F</v>
      </c>
      <c r="M1816" s="9" t="str">
        <f t="shared" si="419"/>
        <v>Input!F770</v>
      </c>
      <c r="N1816" s="9">
        <f>_xlfn.XLOOKUP(F1816,'Raw Data'!$I$4:$I$5000,'Raw Data'!$E$4:$E$5000,100,0)</f>
        <v>100</v>
      </c>
      <c r="O1816" s="9" t="str">
        <f>IF(N1816=0,_xlfn.XLOOKUP(F1816,'Raw Data'!$I$4:$I$5000,'Raw Data'!$H$4:$H$5000,"",0),"")</f>
        <v/>
      </c>
      <c r="P1816" s="9" t="str" cm="1">
        <f t="array" aca="1" ref="P1816" ca="1">IF(INDIRECT(M1816) = "","",INDIRECT(M1816))</f>
        <v/>
      </c>
      <c r="Q1816" s="359" t="s">
        <v>4381</v>
      </c>
    </row>
    <row r="1817" spans="1:17" x14ac:dyDescent="0.35">
      <c r="A1817" t="s">
        <v>2394</v>
      </c>
      <c r="E1817" t="str">
        <f>_xlfn.XLOOKUP(F1817,'Raw Data'!$I$4:$I$5000,'Raw Data'!$D$4:$D$5000,"*** Mnemonic not found ***",0)</f>
        <v>*** Mnemonic not found ***</v>
      </c>
      <c r="F1817" t="str">
        <f t="shared" si="442"/>
        <v>SUCMLONGOTHER_CAT3__</v>
      </c>
      <c r="H1817" s="9" t="s">
        <v>1137</v>
      </c>
      <c r="K1817" s="9">
        <f t="shared" ref="K1817:K1818" si="449">K1816+1</f>
        <v>771</v>
      </c>
      <c r="L1817" s="9" t="str">
        <f t="shared" ref="L1817:L1818" si="450">L1816</f>
        <v>F</v>
      </c>
      <c r="M1817" s="9" t="str">
        <f t="shared" si="419"/>
        <v>Input!F771</v>
      </c>
      <c r="N1817" s="9">
        <f>_xlfn.XLOOKUP(F1817,'Raw Data'!$I$4:$I$5000,'Raw Data'!$E$4:$E$5000,100,0)</f>
        <v>100</v>
      </c>
      <c r="O1817" s="9" t="str">
        <f>IF(N1817=0,_xlfn.XLOOKUP(F1817,'Raw Data'!$I$4:$I$5000,'Raw Data'!$H$4:$H$5000,"",0),"")</f>
        <v/>
      </c>
      <c r="P1817" s="9" t="str" cm="1">
        <f t="array" aca="1" ref="P1817" ca="1">IF(INDIRECT(M1817) = "","",INDIRECT(M1817))</f>
        <v/>
      </c>
      <c r="Q1817" s="359" t="s">
        <v>4381</v>
      </c>
    </row>
    <row r="1818" spans="1:17" x14ac:dyDescent="0.35">
      <c r="A1818" s="694" t="s">
        <v>4325</v>
      </c>
      <c r="E1818" t="str">
        <f>_xlfn.XLOOKUP(F1818,'Raw Data'!$I$4:$I$5000,'Raw Data'!$D$4:$D$5000,"*** Mnemonic not found ***",0)</f>
        <v>*** Mnemonic not found ***</v>
      </c>
      <c r="F1818" t="str">
        <f t="shared" si="442"/>
        <v>SUCMLONGRESCONFLVL__</v>
      </c>
      <c r="H1818" s="9" t="s">
        <v>1137</v>
      </c>
      <c r="K1818" s="9">
        <f t="shared" si="449"/>
        <v>772</v>
      </c>
      <c r="L1818" s="9" t="str">
        <f t="shared" si="450"/>
        <v>F</v>
      </c>
      <c r="M1818" s="9" t="str">
        <f t="shared" ref="M1818" si="451">CONCATENATE(H1818,"!",L1818,K1818)</f>
        <v>Input!F772</v>
      </c>
      <c r="N1818" s="9">
        <f>_xlfn.XLOOKUP(F1818,'Raw Data'!$I$4:$I$5000,'Raw Data'!$E$4:$E$5000,100,0)</f>
        <v>100</v>
      </c>
      <c r="O1818" s="9" t="str">
        <f>IF(N1818=0,_xlfn.XLOOKUP(F1818,'Raw Data'!$I$4:$I$5000,'Raw Data'!$H$4:$H$5000,"",0),"")</f>
        <v/>
      </c>
      <c r="P1818" s="9" t="str" cm="1">
        <f t="array" aca="1" ref="P1818" ca="1">IF(INDIRECT(M1818) = "","",INDIRECT(M1818))</f>
        <v>Default</v>
      </c>
      <c r="Q1818" s="359" t="s">
        <v>4380</v>
      </c>
    </row>
    <row r="1819" spans="1:17" x14ac:dyDescent="0.35">
      <c r="A1819" t="s">
        <v>2397</v>
      </c>
      <c r="E1819" t="str">
        <f>_xlfn.XLOOKUP(F1819,'Raw Data'!$I$4:$I$5000,'Raw Data'!$D$4:$D$5000,"*** Mnemonic not found ***",0)</f>
        <v>*** Mnemonic not found ***</v>
      </c>
      <c r="F1819" t="str">
        <f t="shared" si="442"/>
        <v>SUCMOLTRNONGAPROT__</v>
      </c>
      <c r="G1819" t="s">
        <v>2443</v>
      </c>
      <c r="H1819" s="9" t="s">
        <v>1137</v>
      </c>
      <c r="I1819" s="289">
        <f>ROW(section_other_life)</f>
        <v>777</v>
      </c>
      <c r="J1819" s="9">
        <v>5</v>
      </c>
      <c r="K1819" s="9">
        <f>I1819+J1819</f>
        <v>782</v>
      </c>
      <c r="L1819" s="9" t="s">
        <v>1124</v>
      </c>
      <c r="M1819" s="9" t="str">
        <f t="shared" si="419"/>
        <v>Input!F782</v>
      </c>
      <c r="N1819" s="9">
        <f>_xlfn.XLOOKUP(F1819,'Raw Data'!$I$4:$I$5000,'Raw Data'!$E$4:$E$5000,100,0)</f>
        <v>100</v>
      </c>
      <c r="O1819" s="9" t="str">
        <f>IF(N1819=0,_xlfn.XLOOKUP(F1819,'Raw Data'!$I$4:$I$5000,'Raw Data'!$H$4:$H$5000,"",0),"")</f>
        <v/>
      </c>
      <c r="P1819" s="9" t="str" cm="1">
        <f t="array" aca="1" ref="P1819" ca="1">IF(INDIRECT(M1819) = "","",INDIRECT(M1819))</f>
        <v/>
      </c>
      <c r="Q1819" s="359" t="s">
        <v>4381</v>
      </c>
    </row>
    <row r="1820" spans="1:17" x14ac:dyDescent="0.35">
      <c r="A1820" t="s">
        <v>2398</v>
      </c>
      <c r="E1820" t="str">
        <f>_xlfn.XLOOKUP(F1820,'Raw Data'!$I$4:$I$5000,'Raw Data'!$D$4:$D$5000,"*** Mnemonic not found ***",0)</f>
        <v>*** Mnemonic not found ***</v>
      </c>
      <c r="F1820" t="str">
        <f t="shared" si="442"/>
        <v>SUCMOLTRNONGAPHI__</v>
      </c>
      <c r="H1820" s="9" t="s">
        <v>1137</v>
      </c>
      <c r="K1820" s="9">
        <f>K1819+1</f>
        <v>783</v>
      </c>
      <c r="L1820" s="9" t="str">
        <f t="shared" ref="L1820:L1832" si="452">L1819</f>
        <v>F</v>
      </c>
      <c r="M1820" s="9" t="str">
        <f t="shared" si="419"/>
        <v>Input!F783</v>
      </c>
      <c r="N1820" s="9">
        <f>_xlfn.XLOOKUP(F1820,'Raw Data'!$I$4:$I$5000,'Raw Data'!$E$4:$E$5000,100,0)</f>
        <v>100</v>
      </c>
      <c r="O1820" s="9" t="str">
        <f>IF(N1820=0,_xlfn.XLOOKUP(F1820,'Raw Data'!$I$4:$I$5000,'Raw Data'!$H$4:$H$5000,"",0),"")</f>
        <v/>
      </c>
      <c r="P1820" s="9" t="str" cm="1">
        <f t="array" aca="1" ref="P1820" ca="1">IF(INDIRECT(M1820) = "","",INDIRECT(M1820))</f>
        <v/>
      </c>
      <c r="Q1820" s="359" t="s">
        <v>4381</v>
      </c>
    </row>
    <row r="1821" spans="1:17" x14ac:dyDescent="0.35">
      <c r="A1821" t="s">
        <v>2399</v>
      </c>
      <c r="E1821" t="str">
        <f>_xlfn.XLOOKUP(F1821,'Raw Data'!$I$4:$I$5000,'Raw Data'!$D$4:$D$5000,"*** Mnemonic not found ***",0)</f>
        <v>*** Mnemonic not found ***</v>
      </c>
      <c r="F1821" t="str">
        <f t="shared" si="442"/>
        <v>SUCMOLTRNONGANLS__</v>
      </c>
      <c r="H1821" s="9" t="s">
        <v>1137</v>
      </c>
      <c r="K1821" s="9">
        <f>K1820+2</f>
        <v>785</v>
      </c>
      <c r="L1821" s="9" t="str">
        <f t="shared" si="452"/>
        <v>F</v>
      </c>
      <c r="M1821" s="9" t="str">
        <f t="shared" si="419"/>
        <v>Input!F785</v>
      </c>
      <c r="N1821" s="9">
        <f>_xlfn.XLOOKUP(F1821,'Raw Data'!$I$4:$I$5000,'Raw Data'!$E$4:$E$5000,100,0)</f>
        <v>100</v>
      </c>
      <c r="O1821" s="9" t="str">
        <f>IF(N1821=0,_xlfn.XLOOKUP(F1821,'Raw Data'!$I$4:$I$5000,'Raw Data'!$H$4:$H$5000,"",0),"")</f>
        <v/>
      </c>
      <c r="P1821" s="9" t="str" cm="1">
        <f t="array" aca="1" ref="P1821" ca="1">IF(INDIRECT(M1821) = "","",INDIRECT(M1821))</f>
        <v/>
      </c>
      <c r="Q1821" s="359" t="s">
        <v>4381</v>
      </c>
    </row>
    <row r="1822" spans="1:17" x14ac:dyDescent="0.35">
      <c r="A1822" t="s">
        <v>2400</v>
      </c>
      <c r="E1822" t="str">
        <f>_xlfn.XLOOKUP(F1822,'Raw Data'!$I$4:$I$5000,'Raw Data'!$D$4:$D$5000,"*** Mnemonic not found ***",0)</f>
        <v>*** Mnemonic not found ***</v>
      </c>
      <c r="F1822" t="str">
        <f t="shared" si="442"/>
        <v>SUCMOLTRNONGAIPA__</v>
      </c>
      <c r="H1822" s="9" t="s">
        <v>1137</v>
      </c>
      <c r="K1822" s="9">
        <f>K1821+2</f>
        <v>787</v>
      </c>
      <c r="L1822" s="9" t="str">
        <f t="shared" si="452"/>
        <v>F</v>
      </c>
      <c r="M1822" s="9" t="str">
        <f t="shared" si="419"/>
        <v>Input!F787</v>
      </c>
      <c r="N1822" s="9">
        <f>_xlfn.XLOOKUP(F1822,'Raw Data'!$I$4:$I$5000,'Raw Data'!$E$4:$E$5000,100,0)</f>
        <v>100</v>
      </c>
      <c r="O1822" s="9" t="str">
        <f>IF(N1822=0,_xlfn.XLOOKUP(F1822,'Raw Data'!$I$4:$I$5000,'Raw Data'!$H$4:$H$5000,"",0),"")</f>
        <v/>
      </c>
      <c r="P1822" s="9" t="str" cm="1">
        <f t="array" aca="1" ref="P1822" ca="1">IF(INDIRECT(M1822) = "","",INDIRECT(M1822))</f>
        <v/>
      </c>
      <c r="Q1822" s="359" t="s">
        <v>4381</v>
      </c>
    </row>
    <row r="1823" spans="1:17" x14ac:dyDescent="0.35">
      <c r="A1823" t="s">
        <v>2401</v>
      </c>
      <c r="E1823" t="str">
        <f>_xlfn.XLOOKUP(F1823,'Raw Data'!$I$4:$I$5000,'Raw Data'!$D$4:$D$5000,"*** Mnemonic not found ***",0)</f>
        <v>*** Mnemonic not found ***</v>
      </c>
      <c r="F1823" t="str">
        <f t="shared" si="442"/>
        <v>SUCMOLTRNONGADEFWO__</v>
      </c>
      <c r="H1823" s="9" t="s">
        <v>1137</v>
      </c>
      <c r="K1823" s="9">
        <f t="shared" ref="K1823:K1824" si="453">K1822+1</f>
        <v>788</v>
      </c>
      <c r="L1823" s="9" t="str">
        <f t="shared" si="452"/>
        <v>F</v>
      </c>
      <c r="M1823" s="9" t="str">
        <f t="shared" si="419"/>
        <v>Input!F788</v>
      </c>
      <c r="N1823" s="9">
        <f>_xlfn.XLOOKUP(F1823,'Raw Data'!$I$4:$I$5000,'Raw Data'!$E$4:$E$5000,100,0)</f>
        <v>100</v>
      </c>
      <c r="O1823" s="9" t="str">
        <f>IF(N1823=0,_xlfn.XLOOKUP(F1823,'Raw Data'!$I$4:$I$5000,'Raw Data'!$H$4:$H$5000,"",0),"")</f>
        <v/>
      </c>
      <c r="P1823" s="9" t="str" cm="1">
        <f t="array" aca="1" ref="P1823" ca="1">IF(INDIRECT(M1823) = "","",INDIRECT(M1823))</f>
        <v/>
      </c>
      <c r="Q1823" s="359" t="s">
        <v>4381</v>
      </c>
    </row>
    <row r="1824" spans="1:17" x14ac:dyDescent="0.35">
      <c r="A1824" t="s">
        <v>2402</v>
      </c>
      <c r="E1824" t="str">
        <f>_xlfn.XLOOKUP(F1824,'Raw Data'!$I$4:$I$5000,'Raw Data'!$D$4:$D$5000,"*** Mnemonic not found ***",0)</f>
        <v>*** Mnemonic not found ***</v>
      </c>
      <c r="F1824" t="str">
        <f t="shared" si="442"/>
        <v>SUCMOLTRNONGADEFW__</v>
      </c>
      <c r="H1824" s="9" t="s">
        <v>1137</v>
      </c>
      <c r="K1824" s="9">
        <f t="shared" si="453"/>
        <v>789</v>
      </c>
      <c r="L1824" s="9" t="str">
        <f t="shared" si="452"/>
        <v>F</v>
      </c>
      <c r="M1824" s="9" t="str">
        <f t="shared" ref="M1824:M1858" si="454">CONCATENATE(H1824,"!",L1824,K1824)</f>
        <v>Input!F789</v>
      </c>
      <c r="N1824" s="9">
        <f>_xlfn.XLOOKUP(F1824,'Raw Data'!$I$4:$I$5000,'Raw Data'!$E$4:$E$5000,100,0)</f>
        <v>100</v>
      </c>
      <c r="O1824" s="9" t="str">
        <f>IF(N1824=0,_xlfn.XLOOKUP(F1824,'Raw Data'!$I$4:$I$5000,'Raw Data'!$H$4:$H$5000,"",0),"")</f>
        <v/>
      </c>
      <c r="P1824" s="9" t="str" cm="1">
        <f t="array" aca="1" ref="P1824" ca="1">IF(INDIRECT(M1824) = "","",INDIRECT(M1824))</f>
        <v/>
      </c>
      <c r="Q1824" s="359" t="s">
        <v>4381</v>
      </c>
    </row>
    <row r="1825" spans="1:17" x14ac:dyDescent="0.35">
      <c r="A1825" t="s">
        <v>2403</v>
      </c>
      <c r="E1825" t="str">
        <f>_xlfn.XLOOKUP(F1825,'Raw Data'!$I$4:$I$5000,'Raw Data'!$D$4:$D$5000,"*** Mnemonic not found ***",0)</f>
        <v>*** Mnemonic not found ***</v>
      </c>
      <c r="F1825" t="str">
        <f t="shared" si="442"/>
        <v>SUCMOLTRNONGADEFGIC__</v>
      </c>
      <c r="H1825" s="9" t="s">
        <v>1137</v>
      </c>
      <c r="K1825" s="9">
        <f>K1824+2</f>
        <v>791</v>
      </c>
      <c r="L1825" s="9" t="str">
        <f t="shared" si="452"/>
        <v>F</v>
      </c>
      <c r="M1825" s="9" t="str">
        <f t="shared" si="454"/>
        <v>Input!F791</v>
      </c>
      <c r="N1825" s="9">
        <f>_xlfn.XLOOKUP(F1825,'Raw Data'!$I$4:$I$5000,'Raw Data'!$E$4:$E$5000,100,0)</f>
        <v>100</v>
      </c>
      <c r="O1825" s="9" t="str">
        <f>IF(N1825=0,_xlfn.XLOOKUP(F1825,'Raw Data'!$I$4:$I$5000,'Raw Data'!$H$4:$H$5000,"",0),"")</f>
        <v/>
      </c>
      <c r="P1825" s="9" t="str" cm="1">
        <f t="array" aca="1" ref="P1825" ca="1">IF(INDIRECT(M1825) = "","",INDIRECT(M1825))</f>
        <v/>
      </c>
      <c r="Q1825" s="359" t="s">
        <v>4381</v>
      </c>
    </row>
    <row r="1826" spans="1:17" x14ac:dyDescent="0.35">
      <c r="A1826" t="s">
        <v>2404</v>
      </c>
      <c r="E1826" t="str">
        <f>_xlfn.XLOOKUP(F1826,'Raw Data'!$I$4:$I$5000,'Raw Data'!$D$4:$D$5000,"*** Mnemonic not found ***",0)</f>
        <v>*** Mnemonic not found ***</v>
      </c>
      <c r="F1826" t="str">
        <f t="shared" si="442"/>
        <v>SUCMOLTRNONGADEFOLP__</v>
      </c>
      <c r="H1826" s="9" t="s">
        <v>1137</v>
      </c>
      <c r="K1826" s="9">
        <f t="shared" ref="K1826" si="455">K1825+1</f>
        <v>792</v>
      </c>
      <c r="L1826" s="9" t="str">
        <f t="shared" si="452"/>
        <v>F</v>
      </c>
      <c r="M1826" s="9" t="str">
        <f t="shared" si="454"/>
        <v>Input!F792</v>
      </c>
      <c r="N1826" s="9">
        <f>_xlfn.XLOOKUP(F1826,'Raw Data'!$I$4:$I$5000,'Raw Data'!$E$4:$E$5000,100,0)</f>
        <v>100</v>
      </c>
      <c r="O1826" s="9" t="str">
        <f>IF(N1826=0,_xlfn.XLOOKUP(F1826,'Raw Data'!$I$4:$I$5000,'Raw Data'!$H$4:$H$5000,"",0),"")</f>
        <v/>
      </c>
      <c r="P1826" s="9" t="str" cm="1">
        <f t="array" aca="1" ref="P1826" ca="1">IF(INDIRECT(M1826) = "","",INDIRECT(M1826))</f>
        <v/>
      </c>
      <c r="Q1826" s="359" t="s">
        <v>4381</v>
      </c>
    </row>
    <row r="1827" spans="1:17" x14ac:dyDescent="0.35">
      <c r="A1827" t="s">
        <v>2405</v>
      </c>
      <c r="E1827" t="str">
        <f>_xlfn.XLOOKUP(F1827,'Raw Data'!$I$4:$I$5000,'Raw Data'!$D$4:$D$5000,"*** Mnemonic not found ***",0)</f>
        <v>*** Mnemonic not found ***</v>
      </c>
      <c r="F1827" t="str">
        <f t="shared" si="442"/>
        <v>SUCMOLTRNONSADEFLBW__</v>
      </c>
      <c r="H1827" s="9" t="s">
        <v>1137</v>
      </c>
      <c r="K1827" s="9">
        <f>K1826+2</f>
        <v>794</v>
      </c>
      <c r="L1827" s="9" t="str">
        <f t="shared" si="452"/>
        <v>F</v>
      </c>
      <c r="M1827" s="9" t="str">
        <f t="shared" si="454"/>
        <v>Input!F794</v>
      </c>
      <c r="N1827" s="9">
        <f>_xlfn.XLOOKUP(F1827,'Raw Data'!$I$4:$I$5000,'Raw Data'!$E$4:$E$5000,100,0)</f>
        <v>100</v>
      </c>
      <c r="O1827" s="9" t="str">
        <f>IF(N1827=0,_xlfn.XLOOKUP(F1827,'Raw Data'!$I$4:$I$5000,'Raw Data'!$H$4:$H$5000,"",0),"")</f>
        <v/>
      </c>
      <c r="P1827" s="9" t="str" cm="1">
        <f t="array" aca="1" ref="P1827" ca="1">IF(INDIRECT(M1827) = "","",INDIRECT(M1827))</f>
        <v/>
      </c>
      <c r="Q1827" s="359" t="s">
        <v>4381</v>
      </c>
    </row>
    <row r="1828" spans="1:17" x14ac:dyDescent="0.35">
      <c r="A1828" t="s">
        <v>2406</v>
      </c>
      <c r="E1828" t="str">
        <f>_xlfn.XLOOKUP(F1828,'Raw Data'!$I$4:$I$5000,'Raw Data'!$D$4:$D$5000,"*** Mnemonic not found ***",0)</f>
        <v>*** Mnemonic not found ***</v>
      </c>
      <c r="F1828" t="str">
        <f t="shared" si="442"/>
        <v>SUCMOLTRNONSADEFLBINVWO__</v>
      </c>
      <c r="H1828" s="9" t="s">
        <v>1137</v>
      </c>
      <c r="K1828" s="9">
        <f t="shared" ref="K1828" si="456">K1827+1</f>
        <v>795</v>
      </c>
      <c r="L1828" s="9" t="str">
        <f t="shared" si="452"/>
        <v>F</v>
      </c>
      <c r="M1828" s="9" t="str">
        <f t="shared" si="454"/>
        <v>Input!F795</v>
      </c>
      <c r="N1828" s="9">
        <f>_xlfn.XLOOKUP(F1828,'Raw Data'!$I$4:$I$5000,'Raw Data'!$E$4:$E$5000,100,0)</f>
        <v>100</v>
      </c>
      <c r="O1828" s="9" t="str">
        <f>IF(N1828=0,_xlfn.XLOOKUP(F1828,'Raw Data'!$I$4:$I$5000,'Raw Data'!$H$4:$H$5000,"",0),"")</f>
        <v/>
      </c>
      <c r="P1828" s="9" t="str" cm="1">
        <f t="array" aca="1" ref="P1828" ca="1">IF(INDIRECT(M1828) = "","",INDIRECT(M1828))</f>
        <v/>
      </c>
      <c r="Q1828" s="359" t="s">
        <v>4381</v>
      </c>
    </row>
    <row r="1829" spans="1:17" x14ac:dyDescent="0.35">
      <c r="A1829" t="s">
        <v>2407</v>
      </c>
      <c r="E1829" t="str">
        <f>_xlfn.XLOOKUP(F1829,'Raw Data'!$I$4:$I$5000,'Raw Data'!$D$4:$D$5000,"*** Mnemonic not found ***",0)</f>
        <v>*** Mnemonic not found ***</v>
      </c>
      <c r="F1829" t="str">
        <f t="shared" si="442"/>
        <v>SUCMOLTRNONPBEXPOA__</v>
      </c>
      <c r="H1829" s="9" t="s">
        <v>1137</v>
      </c>
      <c r="K1829" s="9">
        <f>K1828+3</f>
        <v>798</v>
      </c>
      <c r="L1829" s="9" t="str">
        <f t="shared" si="452"/>
        <v>F</v>
      </c>
      <c r="M1829" s="9" t="str">
        <f t="shared" si="454"/>
        <v>Input!F798</v>
      </c>
      <c r="N1829" s="9">
        <f>_xlfn.XLOOKUP(F1829,'Raw Data'!$I$4:$I$5000,'Raw Data'!$E$4:$E$5000,100,0)</f>
        <v>100</v>
      </c>
      <c r="O1829" s="9" t="str">
        <f>IF(N1829=0,_xlfn.XLOOKUP(F1829,'Raw Data'!$I$4:$I$5000,'Raw Data'!$H$4:$H$5000,"",0),"")</f>
        <v/>
      </c>
      <c r="P1829" s="9" t="str" cm="1">
        <f t="array" aca="1" ref="P1829" ca="1">IF(INDIRECT(M1829) = "","",INDIRECT(M1829))</f>
        <v/>
      </c>
      <c r="Q1829" s="359" t="s">
        <v>4381</v>
      </c>
    </row>
    <row r="1830" spans="1:17" x14ac:dyDescent="0.35">
      <c r="A1830" t="s">
        <v>2408</v>
      </c>
      <c r="E1830" t="str">
        <f>_xlfn.XLOOKUP(F1830,'Raw Data'!$I$4:$I$5000,'Raw Data'!$D$4:$D$5000,"*** Mnemonic not found ***",0)</f>
        <v>*** Mnemonic not found ***</v>
      </c>
      <c r="F1830" t="str">
        <f t="shared" si="442"/>
        <v>SUCMOLTRNONPBCPOA__</v>
      </c>
      <c r="H1830" s="9" t="s">
        <v>1137</v>
      </c>
      <c r="K1830" s="9">
        <f t="shared" ref="K1830:K1831" si="457">K1829+1</f>
        <v>799</v>
      </c>
      <c r="L1830" s="9" t="str">
        <f t="shared" si="452"/>
        <v>F</v>
      </c>
      <c r="M1830" s="9" t="str">
        <f t="shared" si="454"/>
        <v>Input!F799</v>
      </c>
      <c r="N1830" s="9">
        <f>_xlfn.XLOOKUP(F1830,'Raw Data'!$I$4:$I$5000,'Raw Data'!$E$4:$E$5000,100,0)</f>
        <v>100</v>
      </c>
      <c r="O1830" s="9" t="str">
        <f>IF(N1830=0,_xlfn.XLOOKUP(F1830,'Raw Data'!$I$4:$I$5000,'Raw Data'!$H$4:$H$5000,"",0),"")</f>
        <v/>
      </c>
      <c r="P1830" s="9" t="str" cm="1">
        <f t="array" aca="1" ref="P1830" ca="1">IF(INDIRECT(M1830) = "","",INDIRECT(M1830))</f>
        <v/>
      </c>
      <c r="Q1830" s="359" t="s">
        <v>4381</v>
      </c>
    </row>
    <row r="1831" spans="1:17" x14ac:dyDescent="0.35">
      <c r="A1831" t="s">
        <v>2409</v>
      </c>
      <c r="E1831" t="str">
        <f>_xlfn.XLOOKUP(F1831,'Raw Data'!$I$4:$I$5000,'Raw Data'!$D$4:$D$5000,"*** Mnemonic not found ***",0)</f>
        <v>*** Mnemonic not found ***</v>
      </c>
      <c r="F1831" t="str">
        <f t="shared" si="442"/>
        <v>SUCMOLTRNONPBCPDA__</v>
      </c>
      <c r="H1831" s="9" t="s">
        <v>1137</v>
      </c>
      <c r="K1831" s="9">
        <f t="shared" si="457"/>
        <v>800</v>
      </c>
      <c r="L1831" s="9" t="str">
        <f t="shared" si="452"/>
        <v>F</v>
      </c>
      <c r="M1831" s="9" t="str">
        <f t="shared" si="454"/>
        <v>Input!F800</v>
      </c>
      <c r="N1831" s="9">
        <f>_xlfn.XLOOKUP(F1831,'Raw Data'!$I$4:$I$5000,'Raw Data'!$E$4:$E$5000,100,0)</f>
        <v>100</v>
      </c>
      <c r="O1831" s="9" t="str">
        <f>IF(N1831=0,_xlfn.XLOOKUP(F1831,'Raw Data'!$I$4:$I$5000,'Raw Data'!$H$4:$H$5000,"",0),"")</f>
        <v/>
      </c>
      <c r="P1831" s="9" t="str" cm="1">
        <f t="array" aca="1" ref="P1831" ca="1">IF(INDIRECT(M1831) = "","",INDIRECT(M1831))</f>
        <v/>
      </c>
      <c r="Q1831" s="359" t="s">
        <v>4381</v>
      </c>
    </row>
    <row r="1832" spans="1:17" x14ac:dyDescent="0.35">
      <c r="A1832" t="s">
        <v>2410</v>
      </c>
      <c r="E1832" t="str">
        <f>_xlfn.XLOOKUP(F1832,'Raw Data'!$I$4:$I$5000,'Raw Data'!$D$4:$D$5000,"*** Mnemonic not found ***",0)</f>
        <v>*** Mnemonic not found ***</v>
      </c>
      <c r="F1832" t="str">
        <f t="shared" si="442"/>
        <v>SUCMOLTRTOTLR__</v>
      </c>
      <c r="H1832" s="9" t="s">
        <v>1137</v>
      </c>
      <c r="K1832" s="9">
        <f>K1831+2</f>
        <v>802</v>
      </c>
      <c r="L1832" s="9" t="str">
        <f t="shared" si="452"/>
        <v>F</v>
      </c>
      <c r="M1832" s="9" t="str">
        <f t="shared" si="454"/>
        <v>Input!F802</v>
      </c>
      <c r="N1832" s="9">
        <f>_xlfn.XLOOKUP(F1832,'Raw Data'!$I$4:$I$5000,'Raw Data'!$E$4:$E$5000,100,0)</f>
        <v>100</v>
      </c>
      <c r="O1832" s="9" t="str">
        <f>IF(N1832=0,_xlfn.XLOOKUP(F1832,'Raw Data'!$I$4:$I$5000,'Raw Data'!$H$4:$H$5000,"",0),"")</f>
        <v/>
      </c>
      <c r="P1832" s="9" t="str" cm="1">
        <f t="array" aca="1" ref="P1832" ca="1">IF(INDIRECT(M1832) = "","",INDIRECT(M1832))</f>
        <v/>
      </c>
      <c r="Q1832" s="359" t="s">
        <v>4381</v>
      </c>
    </row>
    <row r="1833" spans="1:17" x14ac:dyDescent="0.35">
      <c r="A1833" t="s">
        <v>2411</v>
      </c>
      <c r="E1833" t="str">
        <f>_xlfn.XLOOKUP(F1833,'Raw Data'!$I$4:$I$5000,'Raw Data'!$D$4:$D$5000,"*** Mnemonic not found ***",0)</f>
        <v>*** Mnemonic not found ***</v>
      </c>
      <c r="F1833" t="str">
        <f t="shared" si="442"/>
        <v>SUCMOLTRNONGANLS_LAP__</v>
      </c>
      <c r="H1833" s="9" t="s">
        <v>1137</v>
      </c>
      <c r="I1833" s="289">
        <f>ROW(section_other_life)</f>
        <v>777</v>
      </c>
      <c r="J1833" s="9">
        <v>8</v>
      </c>
      <c r="K1833" s="9">
        <f>I1833+J1833</f>
        <v>785</v>
      </c>
      <c r="L1833" s="9" t="s">
        <v>1145</v>
      </c>
      <c r="M1833" s="9" t="str">
        <f t="shared" si="454"/>
        <v>Input!G785</v>
      </c>
      <c r="N1833" s="9">
        <f>_xlfn.XLOOKUP(F1833,'Raw Data'!$I$4:$I$5000,'Raw Data'!$E$4:$E$5000,100,0)</f>
        <v>100</v>
      </c>
      <c r="O1833" s="9" t="str">
        <f>IF(N1833=0,_xlfn.XLOOKUP(F1833,'Raw Data'!$I$4:$I$5000,'Raw Data'!$H$4:$H$5000,"",0),"")</f>
        <v/>
      </c>
      <c r="P1833" s="9" t="str" cm="1">
        <f t="array" aca="1" ref="P1833" ca="1">IF(INDIRECT(M1833) = "","",INDIRECT(M1833))</f>
        <v/>
      </c>
      <c r="Q1833" s="359" t="s">
        <v>4381</v>
      </c>
    </row>
    <row r="1834" spans="1:17" x14ac:dyDescent="0.35">
      <c r="A1834" t="s">
        <v>2412</v>
      </c>
      <c r="E1834" t="str">
        <f>_xlfn.XLOOKUP(F1834,'Raw Data'!$I$4:$I$5000,'Raw Data'!$D$4:$D$5000,"*** Mnemonic not found ***",0)</f>
        <v>*** Mnemonic not found ***</v>
      </c>
      <c r="F1834" t="str">
        <f t="shared" si="442"/>
        <v>SUCMOLTRNONGADEFW_LAP__</v>
      </c>
      <c r="H1834" s="9" t="s">
        <v>1137</v>
      </c>
      <c r="K1834" s="9">
        <f>K1833+4</f>
        <v>789</v>
      </c>
      <c r="L1834" s="9" t="str">
        <f t="shared" ref="L1834:L1837" si="458">L1833</f>
        <v>G</v>
      </c>
      <c r="M1834" s="9" t="str">
        <f t="shared" si="454"/>
        <v>Input!G789</v>
      </c>
      <c r="N1834" s="9">
        <f>_xlfn.XLOOKUP(F1834,'Raw Data'!$I$4:$I$5000,'Raw Data'!$E$4:$E$5000,100,0)</f>
        <v>100</v>
      </c>
      <c r="O1834" s="9" t="str">
        <f>IF(N1834=0,_xlfn.XLOOKUP(F1834,'Raw Data'!$I$4:$I$5000,'Raw Data'!$H$4:$H$5000,"",0),"")</f>
        <v/>
      </c>
      <c r="P1834" s="9" t="str" cm="1">
        <f t="array" aca="1" ref="P1834" ca="1">IF(INDIRECT(M1834) = "","",INDIRECT(M1834))</f>
        <v/>
      </c>
      <c r="Q1834" s="359" t="s">
        <v>4381</v>
      </c>
    </row>
    <row r="1835" spans="1:17" x14ac:dyDescent="0.35">
      <c r="A1835" t="s">
        <v>2413</v>
      </c>
      <c r="E1835" t="str">
        <f>_xlfn.XLOOKUP(F1835,'Raw Data'!$I$4:$I$5000,'Raw Data'!$D$4:$D$5000,"*** Mnemonic not found ***",0)</f>
        <v>*** Mnemonic not found ***</v>
      </c>
      <c r="F1835" t="str">
        <f t="shared" si="442"/>
        <v>SUCMOLTRNONSADEFLBW_LAP__</v>
      </c>
      <c r="H1835" s="9" t="s">
        <v>1137</v>
      </c>
      <c r="K1835" s="9">
        <f>K1834+5</f>
        <v>794</v>
      </c>
      <c r="L1835" s="9" t="str">
        <f t="shared" si="458"/>
        <v>G</v>
      </c>
      <c r="M1835" s="9" t="str">
        <f t="shared" si="454"/>
        <v>Input!G794</v>
      </c>
      <c r="N1835" s="9">
        <f>_xlfn.XLOOKUP(F1835,'Raw Data'!$I$4:$I$5000,'Raw Data'!$E$4:$E$5000,100,0)</f>
        <v>100</v>
      </c>
      <c r="O1835" s="9" t="str">
        <f>IF(N1835=0,_xlfn.XLOOKUP(F1835,'Raw Data'!$I$4:$I$5000,'Raw Data'!$H$4:$H$5000,"",0),"")</f>
        <v/>
      </c>
      <c r="P1835" s="9" t="str" cm="1">
        <f t="array" aca="1" ref="P1835" ca="1">IF(INDIRECT(M1835) = "","",INDIRECT(M1835))</f>
        <v/>
      </c>
      <c r="Q1835" s="359" t="s">
        <v>4381</v>
      </c>
    </row>
    <row r="1836" spans="1:17" x14ac:dyDescent="0.35">
      <c r="A1836" t="s">
        <v>2414</v>
      </c>
      <c r="E1836" t="str">
        <f>_xlfn.XLOOKUP(F1836,'Raw Data'!$I$4:$I$5000,'Raw Data'!$D$4:$D$5000,"*** Mnemonic not found ***",0)</f>
        <v>*** Mnemonic not found ***</v>
      </c>
      <c r="F1836" t="str">
        <f t="shared" si="442"/>
        <v>SUCMOLTRNONPBEXPOA_LAP__</v>
      </c>
      <c r="H1836" s="9" t="s">
        <v>1137</v>
      </c>
      <c r="K1836" s="9">
        <f>K1835+4</f>
        <v>798</v>
      </c>
      <c r="L1836" s="9" t="str">
        <f t="shared" si="458"/>
        <v>G</v>
      </c>
      <c r="M1836" s="9" t="str">
        <f t="shared" si="454"/>
        <v>Input!G798</v>
      </c>
      <c r="N1836" s="9">
        <f>_xlfn.XLOOKUP(F1836,'Raw Data'!$I$4:$I$5000,'Raw Data'!$E$4:$E$5000,100,0)</f>
        <v>100</v>
      </c>
      <c r="O1836" s="9" t="str">
        <f>IF(N1836=0,_xlfn.XLOOKUP(F1836,'Raw Data'!$I$4:$I$5000,'Raw Data'!$H$4:$H$5000,"",0),"")</f>
        <v/>
      </c>
      <c r="P1836" s="9" t="str" cm="1">
        <f t="array" aca="1" ref="P1836" ca="1">IF(INDIRECT(M1836) = "","",INDIRECT(M1836))</f>
        <v/>
      </c>
      <c r="Q1836" s="359" t="s">
        <v>4381</v>
      </c>
    </row>
    <row r="1837" spans="1:17" x14ac:dyDescent="0.35">
      <c r="A1837" t="s">
        <v>2415</v>
      </c>
      <c r="E1837" t="str">
        <f>_xlfn.XLOOKUP(F1837,'Raw Data'!$I$4:$I$5000,'Raw Data'!$D$4:$D$5000,"*** Mnemonic not found ***",0)</f>
        <v>*** Mnemonic not found ***</v>
      </c>
      <c r="F1837" t="str">
        <f t="shared" si="442"/>
        <v>SUCMOLTRNONPBCPDA_LAP__</v>
      </c>
      <c r="H1837" s="9" t="s">
        <v>1137</v>
      </c>
      <c r="K1837" s="9">
        <f>K1836+2</f>
        <v>800</v>
      </c>
      <c r="L1837" s="9" t="str">
        <f t="shared" si="458"/>
        <v>G</v>
      </c>
      <c r="M1837" s="9" t="str">
        <f t="shared" si="454"/>
        <v>Input!G800</v>
      </c>
      <c r="N1837" s="9">
        <f>_xlfn.XLOOKUP(F1837,'Raw Data'!$I$4:$I$5000,'Raw Data'!$E$4:$E$5000,100,0)</f>
        <v>100</v>
      </c>
      <c r="O1837" s="9" t="str">
        <f>IF(N1837=0,_xlfn.XLOOKUP(F1837,'Raw Data'!$I$4:$I$5000,'Raw Data'!$H$4:$H$5000,"",0),"")</f>
        <v/>
      </c>
      <c r="P1837" s="9" t="str" cm="1">
        <f t="array" aca="1" ref="P1837" ca="1">IF(INDIRECT(M1837) = "","",INDIRECT(M1837))</f>
        <v/>
      </c>
      <c r="Q1837" s="359" t="s">
        <v>4381</v>
      </c>
    </row>
    <row r="1838" spans="1:17" x14ac:dyDescent="0.35">
      <c r="A1838" t="s">
        <v>2416</v>
      </c>
      <c r="E1838" t="str">
        <f>_xlfn.XLOOKUP(F1838,'Raw Data'!$I$4:$I$5000,'Raw Data'!$D$4:$D$5000,"*** Mnemonic not found ***",0)</f>
        <v>*** Mnemonic not found ***</v>
      </c>
      <c r="F1838" t="str">
        <f t="shared" si="442"/>
        <v>SUCMOLTRNONGANLS_NO__</v>
      </c>
      <c r="H1838" s="9" t="s">
        <v>1137</v>
      </c>
      <c r="I1838" s="289">
        <f>ROW(section_other_life)</f>
        <v>777</v>
      </c>
      <c r="J1838" s="9">
        <v>8</v>
      </c>
      <c r="K1838" s="9">
        <f>I1838+J1838</f>
        <v>785</v>
      </c>
      <c r="L1838" s="9" t="s">
        <v>1144</v>
      </c>
      <c r="M1838" s="9" t="str">
        <f t="shared" si="454"/>
        <v>Input!H785</v>
      </c>
      <c r="N1838" s="9">
        <f>_xlfn.XLOOKUP(F1838,'Raw Data'!$I$4:$I$5000,'Raw Data'!$E$4:$E$5000,100,0)</f>
        <v>100</v>
      </c>
      <c r="O1838" s="9" t="str">
        <f>IF(N1838=0,_xlfn.XLOOKUP(F1838,'Raw Data'!$I$4:$I$5000,'Raw Data'!$H$4:$H$5000,"",0),"")</f>
        <v/>
      </c>
      <c r="P1838" s="9" t="str" cm="1">
        <f t="array" aca="1" ref="P1838" ca="1">IF(INDIRECT(M1838) = "","",INDIRECT(M1838))</f>
        <v/>
      </c>
      <c r="Q1838" s="359" t="s">
        <v>4381</v>
      </c>
    </row>
    <row r="1839" spans="1:17" x14ac:dyDescent="0.35">
      <c r="A1839" t="s">
        <v>2417</v>
      </c>
      <c r="E1839" t="str">
        <f>_xlfn.XLOOKUP(F1839,'Raw Data'!$I$4:$I$5000,'Raw Data'!$D$4:$D$5000,"*** Mnemonic not found ***",0)</f>
        <v>*** Mnemonic not found ***</v>
      </c>
      <c r="F1839" t="str">
        <f t="shared" si="442"/>
        <v>SUCMOLTRNONGADEFWO_NO__</v>
      </c>
      <c r="H1839" s="9" t="s">
        <v>1137</v>
      </c>
      <c r="K1839" s="9">
        <f>K1838+3</f>
        <v>788</v>
      </c>
      <c r="L1839" s="9" t="str">
        <f t="shared" ref="L1839:L1844" si="459">L1838</f>
        <v>H</v>
      </c>
      <c r="M1839" s="9" t="str">
        <f t="shared" si="454"/>
        <v>Input!H788</v>
      </c>
      <c r="N1839" s="9">
        <f>_xlfn.XLOOKUP(F1839,'Raw Data'!$I$4:$I$5000,'Raw Data'!$E$4:$E$5000,100,0)</f>
        <v>100</v>
      </c>
      <c r="O1839" s="9" t="str">
        <f>IF(N1839=0,_xlfn.XLOOKUP(F1839,'Raw Data'!$I$4:$I$5000,'Raw Data'!$H$4:$H$5000,"",0),"")</f>
        <v/>
      </c>
      <c r="P1839" s="9" t="str" cm="1">
        <f t="array" aca="1" ref="P1839" ca="1">IF(INDIRECT(M1839) = "","",INDIRECT(M1839))</f>
        <v/>
      </c>
      <c r="Q1839" s="359" t="s">
        <v>4381</v>
      </c>
    </row>
    <row r="1840" spans="1:17" x14ac:dyDescent="0.35">
      <c r="A1840" t="s">
        <v>2418</v>
      </c>
      <c r="E1840" t="str">
        <f>_xlfn.XLOOKUP(F1840,'Raw Data'!$I$4:$I$5000,'Raw Data'!$D$4:$D$5000,"*** Mnemonic not found ***",0)</f>
        <v>*** Mnemonic not found ***</v>
      </c>
      <c r="F1840" t="str">
        <f t="shared" si="442"/>
        <v>SUCMOLTRNONGADEFW_NO__</v>
      </c>
      <c r="H1840" s="9" t="s">
        <v>1137</v>
      </c>
      <c r="K1840" s="9">
        <f>K1839+1</f>
        <v>789</v>
      </c>
      <c r="L1840" s="9" t="str">
        <f t="shared" si="459"/>
        <v>H</v>
      </c>
      <c r="M1840" s="9" t="str">
        <f t="shared" si="454"/>
        <v>Input!H789</v>
      </c>
      <c r="N1840" s="9">
        <f>_xlfn.XLOOKUP(F1840,'Raw Data'!$I$4:$I$5000,'Raw Data'!$E$4:$E$5000,100,0)</f>
        <v>100</v>
      </c>
      <c r="O1840" s="9" t="str">
        <f>IF(N1840=0,_xlfn.XLOOKUP(F1840,'Raw Data'!$I$4:$I$5000,'Raw Data'!$H$4:$H$5000,"",0),"")</f>
        <v/>
      </c>
      <c r="P1840" s="9" t="str" cm="1">
        <f t="array" aca="1" ref="P1840" ca="1">IF(INDIRECT(M1840) = "","",INDIRECT(M1840))</f>
        <v/>
      </c>
      <c r="Q1840" s="359" t="s">
        <v>4381</v>
      </c>
    </row>
    <row r="1841" spans="1:17" x14ac:dyDescent="0.35">
      <c r="A1841" t="s">
        <v>2419</v>
      </c>
      <c r="E1841" t="str">
        <f>_xlfn.XLOOKUP(F1841,'Raw Data'!$I$4:$I$5000,'Raw Data'!$D$4:$D$5000,"*** Mnemonic not found ***",0)</f>
        <v>*** Mnemonic not found ***</v>
      </c>
      <c r="F1841" t="str">
        <f t="shared" si="442"/>
        <v>SUCMOLTRNONGADEFGIC_NO__</v>
      </c>
      <c r="H1841" s="9" t="s">
        <v>1137</v>
      </c>
      <c r="K1841" s="9">
        <f>K1840+2</f>
        <v>791</v>
      </c>
      <c r="L1841" s="9" t="str">
        <f t="shared" si="459"/>
        <v>H</v>
      </c>
      <c r="M1841" s="9" t="str">
        <f t="shared" si="454"/>
        <v>Input!H791</v>
      </c>
      <c r="N1841" s="9">
        <f>_xlfn.XLOOKUP(F1841,'Raw Data'!$I$4:$I$5000,'Raw Data'!$E$4:$E$5000,100,0)</f>
        <v>100</v>
      </c>
      <c r="O1841" s="9" t="str">
        <f>IF(N1841=0,_xlfn.XLOOKUP(F1841,'Raw Data'!$I$4:$I$5000,'Raw Data'!$H$4:$H$5000,"",0),"")</f>
        <v/>
      </c>
      <c r="P1841" s="9" t="str" cm="1">
        <f t="array" aca="1" ref="P1841" ca="1">IF(INDIRECT(M1841) = "","",INDIRECT(M1841))</f>
        <v/>
      </c>
      <c r="Q1841" s="359" t="s">
        <v>4381</v>
      </c>
    </row>
    <row r="1842" spans="1:17" x14ac:dyDescent="0.35">
      <c r="A1842" t="s">
        <v>2420</v>
      </c>
      <c r="E1842" t="str">
        <f>_xlfn.XLOOKUP(F1842,'Raw Data'!$I$4:$I$5000,'Raw Data'!$D$4:$D$5000,"*** Mnemonic not found ***",0)</f>
        <v>*** Mnemonic not found ***</v>
      </c>
      <c r="F1842" t="str">
        <f t="shared" si="442"/>
        <v>SUCMOLTRNONSADEFLBW_NO__</v>
      </c>
      <c r="H1842" s="9" t="s">
        <v>1137</v>
      </c>
      <c r="K1842" s="9">
        <f>K1841+3</f>
        <v>794</v>
      </c>
      <c r="L1842" s="9" t="str">
        <f t="shared" si="459"/>
        <v>H</v>
      </c>
      <c r="M1842" s="9" t="str">
        <f t="shared" si="454"/>
        <v>Input!H794</v>
      </c>
      <c r="N1842" s="9">
        <f>_xlfn.XLOOKUP(F1842,'Raw Data'!$I$4:$I$5000,'Raw Data'!$E$4:$E$5000,100,0)</f>
        <v>100</v>
      </c>
      <c r="O1842" s="9" t="str">
        <f>IF(N1842=0,_xlfn.XLOOKUP(F1842,'Raw Data'!$I$4:$I$5000,'Raw Data'!$H$4:$H$5000,"",0),"")</f>
        <v/>
      </c>
      <c r="P1842" s="9" t="str" cm="1">
        <f t="array" aca="1" ref="P1842" ca="1">IF(INDIRECT(M1842) = "","",INDIRECT(M1842))</f>
        <v/>
      </c>
      <c r="Q1842" s="359" t="s">
        <v>4381</v>
      </c>
    </row>
    <row r="1843" spans="1:17" x14ac:dyDescent="0.35">
      <c r="A1843" t="s">
        <v>2421</v>
      </c>
      <c r="E1843" t="str">
        <f>_xlfn.XLOOKUP(F1843,'Raw Data'!$I$4:$I$5000,'Raw Data'!$D$4:$D$5000,"*** Mnemonic not found ***",0)</f>
        <v>*** Mnemonic not found ***</v>
      </c>
      <c r="F1843" t="str">
        <f t="shared" si="442"/>
        <v>SUCMOLTRNONPBEXPOA_NO__</v>
      </c>
      <c r="H1843" s="9" t="s">
        <v>1137</v>
      </c>
      <c r="K1843" s="9">
        <f t="shared" ref="K1843" si="460">K1842+4</f>
        <v>798</v>
      </c>
      <c r="L1843" s="9" t="str">
        <f t="shared" si="459"/>
        <v>H</v>
      </c>
      <c r="M1843" s="9" t="str">
        <f t="shared" si="454"/>
        <v>Input!H798</v>
      </c>
      <c r="N1843" s="9">
        <f>_xlfn.XLOOKUP(F1843,'Raw Data'!$I$4:$I$5000,'Raw Data'!$E$4:$E$5000,100,0)</f>
        <v>100</v>
      </c>
      <c r="O1843" s="9" t="str">
        <f>IF(N1843=0,_xlfn.XLOOKUP(F1843,'Raw Data'!$I$4:$I$5000,'Raw Data'!$H$4:$H$5000,"",0),"")</f>
        <v/>
      </c>
      <c r="P1843" s="9" t="str" cm="1">
        <f t="array" aca="1" ref="P1843" ca="1">IF(INDIRECT(M1843) = "","",INDIRECT(M1843))</f>
        <v/>
      </c>
      <c r="Q1843" s="359" t="s">
        <v>4381</v>
      </c>
    </row>
    <row r="1844" spans="1:17" x14ac:dyDescent="0.35">
      <c r="A1844" t="s">
        <v>2422</v>
      </c>
      <c r="E1844" t="str">
        <f>_xlfn.XLOOKUP(F1844,'Raw Data'!$I$4:$I$5000,'Raw Data'!$D$4:$D$5000,"*** Mnemonic not found ***",0)</f>
        <v>*** Mnemonic not found ***</v>
      </c>
      <c r="F1844" t="str">
        <f t="shared" si="442"/>
        <v>SUCMOLTRNONPBCPDA_NO__</v>
      </c>
      <c r="H1844" s="9" t="s">
        <v>1137</v>
      </c>
      <c r="K1844" s="9">
        <f>K1843+2</f>
        <v>800</v>
      </c>
      <c r="L1844" s="9" t="str">
        <f t="shared" si="459"/>
        <v>H</v>
      </c>
      <c r="M1844" s="9" t="str">
        <f t="shared" si="454"/>
        <v>Input!H800</v>
      </c>
      <c r="N1844" s="9">
        <f>_xlfn.XLOOKUP(F1844,'Raw Data'!$I$4:$I$5000,'Raw Data'!$E$4:$E$5000,100,0)</f>
        <v>100</v>
      </c>
      <c r="O1844" s="9" t="str">
        <f>IF(N1844=0,_xlfn.XLOOKUP(F1844,'Raw Data'!$I$4:$I$5000,'Raw Data'!$H$4:$H$5000,"",0),"")</f>
        <v/>
      </c>
      <c r="P1844" s="9" t="str" cm="1">
        <f t="array" aca="1" ref="P1844" ca="1">IF(INDIRECT(M1844) = "","",INDIRECT(M1844))</f>
        <v/>
      </c>
      <c r="Q1844" s="359" t="s">
        <v>4381</v>
      </c>
    </row>
    <row r="1845" spans="1:17" x14ac:dyDescent="0.35">
      <c r="A1845" t="s">
        <v>2423</v>
      </c>
      <c r="E1845" t="str">
        <f>_xlfn.XLOOKUP(F1845,'Raw Data'!$I$4:$I$5000,'Raw Data'!$D$4:$D$5000,"*** Mnemonic not found ***",0)</f>
        <v>*** Mnemonic not found ***</v>
      </c>
      <c r="F1845" t="str">
        <f t="shared" si="442"/>
        <v>SUCMVABE995_AAA__</v>
      </c>
      <c r="G1845" t="s">
        <v>2444</v>
      </c>
      <c r="H1845" s="9" t="s">
        <v>1137</v>
      </c>
      <c r="I1845" s="289">
        <f>ROW(section_variable_annuities)</f>
        <v>807</v>
      </c>
      <c r="J1845" s="9">
        <v>3</v>
      </c>
      <c r="K1845" s="9">
        <f>I1845+J1845</f>
        <v>810</v>
      </c>
      <c r="L1845" s="9" t="s">
        <v>1124</v>
      </c>
      <c r="M1845" s="9" t="str">
        <f t="shared" si="454"/>
        <v>Input!F810</v>
      </c>
      <c r="N1845" s="9">
        <f>_xlfn.XLOOKUP(F1845,'Raw Data'!$I$4:$I$5000,'Raw Data'!$E$4:$E$5000,100,0)</f>
        <v>100</v>
      </c>
      <c r="O1845" s="9" t="str">
        <f>IF(N1845=0,_xlfn.XLOOKUP(F1845,'Raw Data'!$I$4:$I$5000,'Raw Data'!$H$4:$H$5000,"",0),"")</f>
        <v/>
      </c>
      <c r="P1845" s="9" t="str" cm="1">
        <f t="array" aca="1" ref="P1845" ca="1">IF(INDIRECT(M1845) = "","",INDIRECT(M1845))</f>
        <v/>
      </c>
      <c r="Q1845" s="359" t="s">
        <v>4381</v>
      </c>
    </row>
    <row r="1846" spans="1:17" x14ac:dyDescent="0.35">
      <c r="A1846" t="s">
        <v>2424</v>
      </c>
      <c r="E1846" t="str">
        <f>_xlfn.XLOOKUP(F1846,'Raw Data'!$I$4:$I$5000,'Raw Data'!$D$4:$D$5000,"*** Mnemonic not found ***",0)</f>
        <v>*** Mnemonic not found ***</v>
      </c>
      <c r="F1846" t="str">
        <f t="shared" si="442"/>
        <v>SUCMVABE98_AA__</v>
      </c>
      <c r="H1846" s="9" t="s">
        <v>1137</v>
      </c>
      <c r="K1846" s="9">
        <f>K1845+1</f>
        <v>811</v>
      </c>
      <c r="L1846" s="9" t="str">
        <f t="shared" ref="L1846:L1848" si="461">L1845</f>
        <v>F</v>
      </c>
      <c r="M1846" s="9" t="str">
        <f t="shared" si="454"/>
        <v>Input!F811</v>
      </c>
      <c r="N1846" s="9">
        <f>_xlfn.XLOOKUP(F1846,'Raw Data'!$I$4:$I$5000,'Raw Data'!$E$4:$E$5000,100,0)</f>
        <v>100</v>
      </c>
      <c r="O1846" s="9" t="str">
        <f>IF(N1846=0,_xlfn.XLOOKUP(F1846,'Raw Data'!$I$4:$I$5000,'Raw Data'!$H$4:$H$5000,"",0),"")</f>
        <v/>
      </c>
      <c r="P1846" s="9" t="str" cm="1">
        <f t="array" aca="1" ref="P1846" ca="1">IF(INDIRECT(M1846) = "","",INDIRECT(M1846))</f>
        <v/>
      </c>
      <c r="Q1846" s="359" t="s">
        <v>4381</v>
      </c>
    </row>
    <row r="1847" spans="1:17" x14ac:dyDescent="0.35">
      <c r="A1847" t="s">
        <v>2425</v>
      </c>
      <c r="E1847" t="str">
        <f>_xlfn.XLOOKUP(F1847,'Raw Data'!$I$4:$I$5000,'Raw Data'!$D$4:$D$5000,"*** Mnemonic not found ***",0)</f>
        <v>*** Mnemonic not found ***</v>
      </c>
      <c r="F1847" t="str">
        <f t="shared" si="442"/>
        <v>SUCMVABE95_A__</v>
      </c>
      <c r="H1847" s="9" t="s">
        <v>1137</v>
      </c>
      <c r="K1847" s="9">
        <f t="shared" ref="K1847:K1848" si="462">K1846+1</f>
        <v>812</v>
      </c>
      <c r="L1847" s="9" t="str">
        <f t="shared" si="461"/>
        <v>F</v>
      </c>
      <c r="M1847" s="9" t="str">
        <f t="shared" si="454"/>
        <v>Input!F812</v>
      </c>
      <c r="N1847" s="9">
        <f>_xlfn.XLOOKUP(F1847,'Raw Data'!$I$4:$I$5000,'Raw Data'!$E$4:$E$5000,100,0)</f>
        <v>100</v>
      </c>
      <c r="O1847" s="9" t="str">
        <f>IF(N1847=0,_xlfn.XLOOKUP(F1847,'Raw Data'!$I$4:$I$5000,'Raw Data'!$H$4:$H$5000,"",0),"")</f>
        <v/>
      </c>
      <c r="P1847" s="9" t="str" cm="1">
        <f t="array" aca="1" ref="P1847" ca="1">IF(INDIRECT(M1847) = "","",INDIRECT(M1847))</f>
        <v/>
      </c>
      <c r="Q1847" s="359" t="s">
        <v>4381</v>
      </c>
    </row>
    <row r="1848" spans="1:17" x14ac:dyDescent="0.35">
      <c r="A1848" t="s">
        <v>2426</v>
      </c>
      <c r="E1848" t="str">
        <f>_xlfn.XLOOKUP(F1848,'Raw Data'!$I$4:$I$5000,'Raw Data'!$D$4:$D$5000,"*** Mnemonic not found ***",0)</f>
        <v>*** Mnemonic not found ***</v>
      </c>
      <c r="F1848" t="str">
        <f t="shared" si="442"/>
        <v>SUCMVABE90_BBB__</v>
      </c>
      <c r="H1848" s="9" t="s">
        <v>1137</v>
      </c>
      <c r="K1848" s="9">
        <f t="shared" si="462"/>
        <v>813</v>
      </c>
      <c r="L1848" s="9" t="str">
        <f t="shared" si="461"/>
        <v>F</v>
      </c>
      <c r="M1848" s="9" t="str">
        <f t="shared" si="454"/>
        <v>Input!F813</v>
      </c>
      <c r="N1848" s="9">
        <f>_xlfn.XLOOKUP(F1848,'Raw Data'!$I$4:$I$5000,'Raw Data'!$E$4:$E$5000,100,0)</f>
        <v>100</v>
      </c>
      <c r="O1848" s="9" t="str">
        <f>IF(N1848=0,_xlfn.XLOOKUP(F1848,'Raw Data'!$I$4:$I$5000,'Raw Data'!$H$4:$H$5000,"",0),"")</f>
        <v/>
      </c>
      <c r="P1848" s="9" t="str" cm="1">
        <f t="array" aca="1" ref="P1848" ca="1">IF(INDIRECT(M1848) = "","",INDIRECT(M1848))</f>
        <v/>
      </c>
      <c r="Q1848" s="359" t="s">
        <v>4381</v>
      </c>
    </row>
    <row r="1849" spans="1:17" x14ac:dyDescent="0.35">
      <c r="A1849" t="s">
        <v>2427</v>
      </c>
      <c r="E1849" t="str">
        <f>_xlfn.XLOOKUP(F1849,'Raw Data'!$I$4:$I$5000,'Raw Data'!$D$4:$D$5000,"*** Mnemonic not found ***",0)</f>
        <v>*** Mnemonic not found ***</v>
      </c>
      <c r="F1849" t="str">
        <f t="shared" si="442"/>
        <v>SUCMVAADJ995_AAA__</v>
      </c>
      <c r="H1849" s="9" t="s">
        <v>1137</v>
      </c>
      <c r="I1849" s="289">
        <f>ROW(section_variable_annuities)</f>
        <v>807</v>
      </c>
      <c r="J1849" s="9">
        <f>J1845</f>
        <v>3</v>
      </c>
      <c r="K1849" s="9">
        <f>I1849+J1849</f>
        <v>810</v>
      </c>
      <c r="L1849" s="9" t="s">
        <v>1145</v>
      </c>
      <c r="M1849" s="9" t="str">
        <f t="shared" si="454"/>
        <v>Input!G810</v>
      </c>
      <c r="N1849" s="9">
        <f>_xlfn.XLOOKUP(F1849,'Raw Data'!$I$4:$I$5000,'Raw Data'!$E$4:$E$5000,100,0)</f>
        <v>100</v>
      </c>
      <c r="O1849" s="9" t="str">
        <f>IF(N1849=0,_xlfn.XLOOKUP(F1849,'Raw Data'!$I$4:$I$5000,'Raw Data'!$H$4:$H$5000,"",0),"")</f>
        <v/>
      </c>
      <c r="P1849" s="9" t="str" cm="1">
        <f t="array" aca="1" ref="P1849" ca="1">IF(INDIRECT(M1849) = "","",INDIRECT(M1849))</f>
        <v/>
      </c>
      <c r="Q1849" s="359" t="s">
        <v>4381</v>
      </c>
    </row>
    <row r="1850" spans="1:17" x14ac:dyDescent="0.35">
      <c r="A1850" t="s">
        <v>2428</v>
      </c>
      <c r="E1850" t="str">
        <f>_xlfn.XLOOKUP(F1850,'Raw Data'!$I$4:$I$5000,'Raw Data'!$D$4:$D$5000,"*** Mnemonic not found ***",0)</f>
        <v>*** Mnemonic not found ***</v>
      </c>
      <c r="F1850" t="str">
        <f t="shared" si="442"/>
        <v>SUCMVAADJ98_AA__</v>
      </c>
      <c r="H1850" s="9" t="s">
        <v>1137</v>
      </c>
      <c r="K1850" s="9">
        <f>K1849+1</f>
        <v>811</v>
      </c>
      <c r="L1850" s="9" t="str">
        <f t="shared" ref="L1850:L1852" si="463">L1849</f>
        <v>G</v>
      </c>
      <c r="M1850" s="9" t="str">
        <f t="shared" si="454"/>
        <v>Input!G811</v>
      </c>
      <c r="N1850" s="9">
        <f>_xlfn.XLOOKUP(F1850,'Raw Data'!$I$4:$I$5000,'Raw Data'!$E$4:$E$5000,100,0)</f>
        <v>100</v>
      </c>
      <c r="O1850" s="9" t="str">
        <f>IF(N1850=0,_xlfn.XLOOKUP(F1850,'Raw Data'!$I$4:$I$5000,'Raw Data'!$H$4:$H$5000,"",0),"")</f>
        <v/>
      </c>
      <c r="P1850" s="9" t="str" cm="1">
        <f t="array" aca="1" ref="P1850" ca="1">IF(INDIRECT(M1850) = "","",INDIRECT(M1850))</f>
        <v/>
      </c>
      <c r="Q1850" s="359" t="s">
        <v>4381</v>
      </c>
    </row>
    <row r="1851" spans="1:17" x14ac:dyDescent="0.35">
      <c r="A1851" t="s">
        <v>2429</v>
      </c>
      <c r="E1851" t="str">
        <f>_xlfn.XLOOKUP(F1851,'Raw Data'!$I$4:$I$5000,'Raw Data'!$D$4:$D$5000,"*** Mnemonic not found ***",0)</f>
        <v>*** Mnemonic not found ***</v>
      </c>
      <c r="F1851" t="str">
        <f t="shared" si="442"/>
        <v>SUCMVAADJ95_A__</v>
      </c>
      <c r="H1851" s="9" t="s">
        <v>1137</v>
      </c>
      <c r="K1851" s="9">
        <f t="shared" ref="K1851:K1852" si="464">K1850+1</f>
        <v>812</v>
      </c>
      <c r="L1851" s="9" t="str">
        <f t="shared" si="463"/>
        <v>G</v>
      </c>
      <c r="M1851" s="9" t="str">
        <f t="shared" si="454"/>
        <v>Input!G812</v>
      </c>
      <c r="N1851" s="9">
        <f>_xlfn.XLOOKUP(F1851,'Raw Data'!$I$4:$I$5000,'Raw Data'!$E$4:$E$5000,100,0)</f>
        <v>100</v>
      </c>
      <c r="O1851" s="9" t="str">
        <f>IF(N1851=0,_xlfn.XLOOKUP(F1851,'Raw Data'!$I$4:$I$5000,'Raw Data'!$H$4:$H$5000,"",0),"")</f>
        <v/>
      </c>
      <c r="P1851" s="9" t="str" cm="1">
        <f t="array" aca="1" ref="P1851" ca="1">IF(INDIRECT(M1851) = "","",INDIRECT(M1851))</f>
        <v/>
      </c>
      <c r="Q1851" s="359" t="s">
        <v>4381</v>
      </c>
    </row>
    <row r="1852" spans="1:17" x14ac:dyDescent="0.35">
      <c r="A1852" t="s">
        <v>2430</v>
      </c>
      <c r="E1852" t="str">
        <f>_xlfn.XLOOKUP(F1852,'Raw Data'!$I$4:$I$5000,'Raw Data'!$D$4:$D$5000,"*** Mnemonic not found ***",0)</f>
        <v>*** Mnemonic not found ***</v>
      </c>
      <c r="F1852" t="str">
        <f t="shared" si="442"/>
        <v>SUCMVAADJ90_BBB__</v>
      </c>
      <c r="H1852" s="9" t="s">
        <v>1137</v>
      </c>
      <c r="K1852" s="9">
        <f t="shared" si="464"/>
        <v>813</v>
      </c>
      <c r="L1852" s="9" t="str">
        <f t="shared" si="463"/>
        <v>G</v>
      </c>
      <c r="M1852" s="9" t="str">
        <f t="shared" si="454"/>
        <v>Input!G813</v>
      </c>
      <c r="N1852" s="9">
        <f>_xlfn.XLOOKUP(F1852,'Raw Data'!$I$4:$I$5000,'Raw Data'!$E$4:$E$5000,100,0)</f>
        <v>100</v>
      </c>
      <c r="O1852" s="9" t="str">
        <f>IF(N1852=0,_xlfn.XLOOKUP(F1852,'Raw Data'!$I$4:$I$5000,'Raw Data'!$H$4:$H$5000,"",0),"")</f>
        <v/>
      </c>
      <c r="P1852" s="9" t="str" cm="1">
        <f t="array" aca="1" ref="P1852" ca="1">IF(INDIRECT(M1852) = "","",INDIRECT(M1852))</f>
        <v/>
      </c>
      <c r="Q1852" s="359" t="s">
        <v>4381</v>
      </c>
    </row>
    <row r="1853" spans="1:17" x14ac:dyDescent="0.35">
      <c r="A1853" t="s">
        <v>2431</v>
      </c>
      <c r="E1853" t="str">
        <f>_xlfn.XLOOKUP(F1853,'Raw Data'!$I$4:$I$5000,'Raw Data'!$D$4:$D$5000,"*** Mnemonic not found ***",0)</f>
        <v>*** Mnemonic not found ***</v>
      </c>
      <c r="F1853" t="str">
        <f t="shared" si="442"/>
        <v>SUCMVAERROR__</v>
      </c>
      <c r="H1853" s="9" t="s">
        <v>1137</v>
      </c>
      <c r="I1853" s="289">
        <f>ROW(section_variable_annuities)</f>
        <v>807</v>
      </c>
      <c r="J1853" s="9">
        <v>8</v>
      </c>
      <c r="K1853" s="9">
        <f>I1853+J1853</f>
        <v>815</v>
      </c>
      <c r="L1853" s="9" t="s">
        <v>1124</v>
      </c>
      <c r="M1853" s="9" t="str">
        <f t="shared" si="454"/>
        <v>Input!F815</v>
      </c>
      <c r="N1853" s="9">
        <f>_xlfn.XLOOKUP(F1853,'Raw Data'!$I$4:$I$5000,'Raw Data'!$E$4:$E$5000,100,0)</f>
        <v>100</v>
      </c>
      <c r="O1853" s="9" t="str">
        <f>IF(N1853=0,_xlfn.XLOOKUP(F1853,'Raw Data'!$I$4:$I$5000,'Raw Data'!$H$4:$H$5000,"",0),"")</f>
        <v/>
      </c>
      <c r="P1853" s="9" t="str" cm="1">
        <f t="array" aca="1" ref="P1853" ca="1">IF(INDIRECT(M1853) = "","",INDIRECT(M1853))</f>
        <v/>
      </c>
      <c r="Q1853" s="359" t="s">
        <v>4381</v>
      </c>
    </row>
    <row r="1854" spans="1:17" x14ac:dyDescent="0.35">
      <c r="A1854" t="s">
        <v>2432</v>
      </c>
      <c r="E1854" t="str">
        <f>_xlfn.XLOOKUP(F1854,'Raw Data'!$I$4:$I$5000,'Raw Data'!$D$4:$D$5000,"*** Mnemonic not found ***",0)</f>
        <v>*** Mnemonic not found ***</v>
      </c>
      <c r="F1854" t="str">
        <f t="shared" si="442"/>
        <v>SUCMVASTATNETREINS__</v>
      </c>
      <c r="H1854" s="9" t="s">
        <v>1137</v>
      </c>
      <c r="K1854" s="9">
        <f>K1853+2</f>
        <v>817</v>
      </c>
      <c r="L1854" s="9" t="str">
        <f t="shared" ref="L1854" si="465">L1853</f>
        <v>F</v>
      </c>
      <c r="M1854" s="9" t="str">
        <f t="shared" si="454"/>
        <v>Input!F817</v>
      </c>
      <c r="N1854" s="9">
        <f>_xlfn.XLOOKUP(F1854,'Raw Data'!$I$4:$I$5000,'Raw Data'!$E$4:$E$5000,100,0)</f>
        <v>100</v>
      </c>
      <c r="O1854" s="9" t="str">
        <f>IF(N1854=0,_xlfn.XLOOKUP(F1854,'Raw Data'!$I$4:$I$5000,'Raw Data'!$H$4:$H$5000,"",0),"")</f>
        <v/>
      </c>
      <c r="P1854" s="9" t="str" cm="1">
        <f t="array" aca="1" ref="P1854" ca="1">IF(INDIRECT(M1854) = "","",INDIRECT(M1854))</f>
        <v/>
      </c>
      <c r="Q1854" s="359" t="s">
        <v>4381</v>
      </c>
    </row>
    <row r="1855" spans="1:17" x14ac:dyDescent="0.35">
      <c r="A1855" t="s">
        <v>2433</v>
      </c>
      <c r="E1855" t="str">
        <f>_xlfn.XLOOKUP(F1855,'Raw Data'!$I$4:$I$5000,'Raw Data'!$D$4:$D$5000,"*** Mnemonic not found ***",0)</f>
        <v>*** Mnemonic not found ***</v>
      </c>
      <c r="F1855" t="str">
        <f t="shared" si="442"/>
        <v>SUCMSEGFUND_9999__</v>
      </c>
      <c r="G1855" t="s">
        <v>2446</v>
      </c>
      <c r="H1855" s="9" t="s">
        <v>1137</v>
      </c>
      <c r="I1855" s="289">
        <f>ROW(section_ring_fenced_funds)</f>
        <v>820</v>
      </c>
      <c r="J1855" s="9">
        <v>3</v>
      </c>
      <c r="K1855" s="9">
        <f>I1855+J1855</f>
        <v>823</v>
      </c>
      <c r="L1855" s="9" t="s">
        <v>1124</v>
      </c>
      <c r="M1855" s="9" t="str">
        <f t="shared" si="454"/>
        <v>Input!F823</v>
      </c>
      <c r="N1855" s="9">
        <f>_xlfn.XLOOKUP(F1855,'Raw Data'!$I$4:$I$5000,'Raw Data'!$E$4:$E$5000,100,0)</f>
        <v>100</v>
      </c>
      <c r="O1855" s="9" t="str">
        <f>IF(N1855=0,_xlfn.XLOOKUP(F1855,'Raw Data'!$I$4:$I$5000,'Raw Data'!$H$4:$H$5000,"",0),"")</f>
        <v/>
      </c>
      <c r="P1855" s="9" t="str" cm="1">
        <f t="array" aca="1" ref="P1855" ca="1">IF(INDIRECT(M1855) = "","",INDIRECT(M1855))</f>
        <v/>
      </c>
      <c r="Q1855" s="359" t="s">
        <v>4381</v>
      </c>
    </row>
    <row r="1856" spans="1:17" x14ac:dyDescent="0.35">
      <c r="A1856" t="s">
        <v>2434</v>
      </c>
      <c r="E1856" t="str">
        <f>_xlfn.XLOOKUP(F1856,'Raw Data'!$I$4:$I$5000,'Raw Data'!$D$4:$D$5000,"*** Mnemonic not found ***",0)</f>
        <v>*** Mnemonic not found ***</v>
      </c>
      <c r="F1856" t="str">
        <f t="shared" si="442"/>
        <v>SUCMSEGFUND_9995__</v>
      </c>
      <c r="H1856" s="9" t="s">
        <v>1137</v>
      </c>
      <c r="K1856" s="9">
        <f>K1855+1</f>
        <v>824</v>
      </c>
      <c r="L1856" s="9" t="str">
        <f t="shared" ref="L1856:L1858" si="466">L1855</f>
        <v>F</v>
      </c>
      <c r="M1856" s="9" t="str">
        <f t="shared" si="454"/>
        <v>Input!F824</v>
      </c>
      <c r="N1856" s="9">
        <f>_xlfn.XLOOKUP(F1856,'Raw Data'!$I$4:$I$5000,'Raw Data'!$E$4:$E$5000,100,0)</f>
        <v>100</v>
      </c>
      <c r="O1856" s="9" t="str">
        <f>IF(N1856=0,_xlfn.XLOOKUP(F1856,'Raw Data'!$I$4:$I$5000,'Raw Data'!$H$4:$H$5000,"",0),"")</f>
        <v/>
      </c>
      <c r="P1856" s="9" t="str" cm="1">
        <f t="array" aca="1" ref="P1856" ca="1">IF(INDIRECT(M1856) = "","",INDIRECT(M1856))</f>
        <v/>
      </c>
      <c r="Q1856" s="359" t="s">
        <v>4381</v>
      </c>
    </row>
    <row r="1857" spans="1:18" x14ac:dyDescent="0.35">
      <c r="A1857" t="s">
        <v>2435</v>
      </c>
      <c r="E1857" t="str">
        <f>_xlfn.XLOOKUP(F1857,'Raw Data'!$I$4:$I$5000,'Raw Data'!$D$4:$D$5000,"*** Mnemonic not found ***",0)</f>
        <v>*** Mnemonic not found ***</v>
      </c>
      <c r="F1857" t="str">
        <f t="shared" si="442"/>
        <v>SUCMSEGFUND_9980__</v>
      </c>
      <c r="H1857" s="9" t="s">
        <v>1137</v>
      </c>
      <c r="K1857" s="9">
        <f t="shared" ref="K1857:K1858" si="467">K1856+1</f>
        <v>825</v>
      </c>
      <c r="L1857" s="9" t="str">
        <f t="shared" si="466"/>
        <v>F</v>
      </c>
      <c r="M1857" s="9" t="str">
        <f t="shared" si="454"/>
        <v>Input!F825</v>
      </c>
      <c r="N1857" s="9">
        <f>_xlfn.XLOOKUP(F1857,'Raw Data'!$I$4:$I$5000,'Raw Data'!$E$4:$E$5000,100,0)</f>
        <v>100</v>
      </c>
      <c r="O1857" s="9" t="str">
        <f>IF(N1857=0,_xlfn.XLOOKUP(F1857,'Raw Data'!$I$4:$I$5000,'Raw Data'!$H$4:$H$5000,"",0),"")</f>
        <v/>
      </c>
      <c r="P1857" s="9" t="str" cm="1">
        <f t="array" aca="1" ref="P1857" ca="1">IF(INDIRECT(M1857) = "","",INDIRECT(M1857))</f>
        <v/>
      </c>
      <c r="Q1857" s="359" t="s">
        <v>4381</v>
      </c>
    </row>
    <row r="1858" spans="1:18" x14ac:dyDescent="0.35">
      <c r="A1858" t="s">
        <v>2436</v>
      </c>
      <c r="E1858" t="str">
        <f>_xlfn.XLOOKUP(F1858,'Raw Data'!$I$4:$I$5000,'Raw Data'!$D$4:$D$5000,"*** Mnemonic not found ***",0)</f>
        <v>*** Mnemonic not found ***</v>
      </c>
      <c r="F1858" t="str">
        <f t="shared" si="442"/>
        <v>SUCMSEGFUND_9950__</v>
      </c>
      <c r="H1858" s="9" t="s">
        <v>1137</v>
      </c>
      <c r="K1858" s="9">
        <f t="shared" si="467"/>
        <v>826</v>
      </c>
      <c r="L1858" s="9" t="str">
        <f t="shared" si="466"/>
        <v>F</v>
      </c>
      <c r="M1858" s="9" t="str">
        <f t="shared" si="454"/>
        <v>Input!F826</v>
      </c>
      <c r="N1858" s="9">
        <f>_xlfn.XLOOKUP(F1858,'Raw Data'!$I$4:$I$5000,'Raw Data'!$E$4:$E$5000,100,0)</f>
        <v>100</v>
      </c>
      <c r="O1858" s="9" t="str">
        <f>IF(N1858=0,_xlfn.XLOOKUP(F1858,'Raw Data'!$I$4:$I$5000,'Raw Data'!$H$4:$H$5000,"",0),"")</f>
        <v/>
      </c>
      <c r="P1858" s="9" t="str" cm="1">
        <f t="array" aca="1" ref="P1858" ca="1">IF(INDIRECT(M1858) = "","",INDIRECT(M1858))</f>
        <v/>
      </c>
      <c r="Q1858" s="359" t="s">
        <v>4381</v>
      </c>
    </row>
    <row r="1859" spans="1:18" x14ac:dyDescent="0.35">
      <c r="A1859" t="s">
        <v>2437</v>
      </c>
      <c r="E1859" t="str">
        <f>_xlfn.XLOOKUP(F1859,'Raw Data'!$I$4:$I$5000,'Raw Data'!$D$4:$D$5000,"*** Mnemonic not found ***",0)</f>
        <v>*** Mnemonic not found ***</v>
      </c>
      <c r="F1859" t="str">
        <f t="shared" si="442"/>
        <v>SUCMGERMANAGE__</v>
      </c>
      <c r="G1859" t="s">
        <v>2445</v>
      </c>
      <c r="H1859" s="9" t="s">
        <v>1137</v>
      </c>
      <c r="I1859" s="289">
        <f>ROW(section_german_health)</f>
        <v>829</v>
      </c>
      <c r="J1859" s="9">
        <v>2</v>
      </c>
      <c r="K1859" s="9">
        <f>I1859+J1859</f>
        <v>831</v>
      </c>
      <c r="L1859" s="9" t="s">
        <v>1124</v>
      </c>
      <c r="M1859" s="9" t="str">
        <f>CONCATENATE(H1859,"!",L1859,K1859)</f>
        <v>Input!F831</v>
      </c>
      <c r="N1859" s="9">
        <f>_xlfn.XLOOKUP(F1859,'Raw Data'!$I$4:$I$5000,'Raw Data'!$E$4:$E$5000,100,0)</f>
        <v>100</v>
      </c>
      <c r="O1859" s="9" t="str">
        <f>IF(N1859=0,_xlfn.XLOOKUP(F1859,'Raw Data'!$I$4:$I$5000,'Raw Data'!$H$4:$H$5000,"",0),"")</f>
        <v/>
      </c>
      <c r="P1859" s="9" t="str" cm="1">
        <f t="array" aca="1" ref="P1859" ca="1">IF(INDIRECT(M1859) = "","",INDIRECT(M1859))</f>
        <v/>
      </c>
      <c r="Q1859" s="359" t="s">
        <v>4381</v>
      </c>
    </row>
    <row r="1860" spans="1:18" x14ac:dyDescent="0.35">
      <c r="A1860" t="s">
        <v>3984</v>
      </c>
      <c r="E1860" t="str">
        <f>_xlfn.XLOOKUP(F1860,'Raw Data'!$I$4:$I$5000,'Raw Data'!$D$4:$D$5000,"*** Mnemonic not found ***",0)</f>
        <v>*** Mnemonic not found ***</v>
      </c>
      <c r="F1860" t="str">
        <f t="shared" si="442"/>
        <v>SUCMIRRMODDUR__</v>
      </c>
      <c r="G1860" t="s">
        <v>1176</v>
      </c>
      <c r="H1860" s="9" t="s">
        <v>1137</v>
      </c>
      <c r="I1860" s="289">
        <f>ROW(section_interest_rate)</f>
        <v>836</v>
      </c>
      <c r="J1860" s="9">
        <v>2</v>
      </c>
      <c r="K1860" s="9">
        <f>I1860+J1860</f>
        <v>838</v>
      </c>
      <c r="L1860" s="9" t="s">
        <v>1145</v>
      </c>
      <c r="M1860" s="9" t="str">
        <f>CONCATENATE(H1860,"!",L1860,K1860)</f>
        <v>Input!G838</v>
      </c>
      <c r="N1860" s="9">
        <f>_xlfn.XLOOKUP(F1860,'Raw Data'!$I$4:$I$5000,'Raw Data'!$E$4:$E$5000,100,0)</f>
        <v>100</v>
      </c>
      <c r="O1860" s="9" t="str">
        <f>IF(N1860=0,_xlfn.XLOOKUP(F1860,'Raw Data'!$I$4:$I$5000,'Raw Data'!$H$4:$H$5000,"",0),"")</f>
        <v/>
      </c>
      <c r="P1860" s="9" t="str" cm="1">
        <f t="array" aca="1" ref="P1860" ca="1">IF(INDIRECT(M1860) = "","",INDIRECT(M1860))</f>
        <v>No</v>
      </c>
      <c r="Q1860" s="359" t="s">
        <v>4380</v>
      </c>
    </row>
    <row r="1861" spans="1:18" x14ac:dyDescent="0.35">
      <c r="A1861" t="s">
        <v>2882</v>
      </c>
      <c r="E1861" t="str">
        <f>_xlfn.XLOOKUP(F1861,'Raw Data'!$I$4:$I$5000,'Raw Data'!$D$4:$D$5000,"*** Mnemonic not found ***",0)</f>
        <v>*** Mnemonic not found ***</v>
      </c>
      <c r="F1861" t="str">
        <f t="shared" si="442"/>
        <v>SUCMCOMDURMISMATCH__</v>
      </c>
      <c r="H1861" s="9" t="s">
        <v>1137</v>
      </c>
      <c r="K1861" s="9">
        <f>K1860+1</f>
        <v>839</v>
      </c>
      <c r="L1861" s="9" t="str">
        <f>L1860</f>
        <v>G</v>
      </c>
      <c r="M1861" s="9" t="str">
        <f>CONCATENATE(H1861,"!",L1861,K1861)</f>
        <v>Input!G839</v>
      </c>
      <c r="N1861" s="9">
        <f>_xlfn.XLOOKUP(F1861,'Raw Data'!$I$4:$I$5000,'Raw Data'!$E$4:$E$5000,100,0)</f>
        <v>100</v>
      </c>
      <c r="O1861" s="9" t="str">
        <f>IF(N1861=0,_xlfn.XLOOKUP(F1861,'Raw Data'!$I$4:$I$5000,'Raw Data'!$H$4:$H$5000,"",0),"")</f>
        <v/>
      </c>
      <c r="P1861" s="9" t="str" cm="1">
        <f t="array" aca="1" ref="P1861" ca="1">IF(INDIRECT(M1861) = "","",INDIRECT(M1861))</f>
        <v/>
      </c>
      <c r="Q1861" s="359" t="s">
        <v>4381</v>
      </c>
    </row>
    <row r="1862" spans="1:18" x14ac:dyDescent="0.35">
      <c r="A1862" s="694" t="s">
        <v>4495</v>
      </c>
      <c r="E1862" t="str">
        <f>_xlfn.XLOOKUP(F1862,'Raw Data'!$I$4:$I$5000,'Raw Data'!$D$4:$D$5000,"*** Mnemonic not found ***",0)</f>
        <v>*** Mnemonic not found ***</v>
      </c>
      <c r="F1862" t="str">
        <f t="shared" ref="F1862:F1865" si="468">CONCATENATE(A1862,"_",B1862,"_",D1862)</f>
        <v>SUCMIRRNCMV_9999__</v>
      </c>
      <c r="H1862" s="9" t="s">
        <v>1137</v>
      </c>
      <c r="K1862" s="9">
        <f>K1861</f>
        <v>839</v>
      </c>
      <c r="L1862" s="9" t="s">
        <v>1375</v>
      </c>
      <c r="M1862" s="9" t="str">
        <f t="shared" ref="M1862:M1865" si="469">CONCATENATE(H1862,"!",L1862,K1862)</f>
        <v>Input!I839</v>
      </c>
      <c r="N1862" s="9">
        <f>_xlfn.XLOOKUP(F1862,'Raw Data'!$I$4:$I$5000,'Raw Data'!$E$4:$E$5000,100,0)</f>
        <v>100</v>
      </c>
      <c r="O1862" s="9" t="str">
        <f>IF(N1862=0,_xlfn.XLOOKUP(F1862,'Raw Data'!$I$4:$I$5000,'Raw Data'!$H$4:$H$5000,"",0),"")</f>
        <v/>
      </c>
      <c r="P1862" s="9" t="str" cm="1">
        <f t="array" aca="1" ref="P1862" ca="1">IF(INDIRECT(M1862) = "","",INDIRECT(M1862))</f>
        <v/>
      </c>
      <c r="Q1862" s="359" t="s">
        <v>4381</v>
      </c>
      <c r="R1862" t="s">
        <v>4368</v>
      </c>
    </row>
    <row r="1863" spans="1:18" x14ac:dyDescent="0.35">
      <c r="A1863" s="694" t="s">
        <v>4496</v>
      </c>
      <c r="E1863" t="str">
        <f>_xlfn.XLOOKUP(F1863,'Raw Data'!$I$4:$I$5000,'Raw Data'!$D$4:$D$5000,"*** Mnemonic not found ***",0)</f>
        <v>*** Mnemonic not found ***</v>
      </c>
      <c r="F1863" t="str">
        <f t="shared" si="468"/>
        <v>SUCMIRRNCMV_9995__</v>
      </c>
      <c r="H1863" s="9" t="s">
        <v>1137</v>
      </c>
      <c r="K1863" s="9">
        <f t="shared" ref="K1863:K1865" si="470">K1862</f>
        <v>839</v>
      </c>
      <c r="L1863" s="9" t="s">
        <v>1376</v>
      </c>
      <c r="M1863" s="9" t="str">
        <f t="shared" si="469"/>
        <v>Input!J839</v>
      </c>
      <c r="N1863" s="9">
        <f>_xlfn.XLOOKUP(F1863,'Raw Data'!$I$4:$I$5000,'Raw Data'!$E$4:$E$5000,100,0)</f>
        <v>100</v>
      </c>
      <c r="O1863" s="9" t="str">
        <f>IF(N1863=0,_xlfn.XLOOKUP(F1863,'Raw Data'!$I$4:$I$5000,'Raw Data'!$H$4:$H$5000,"",0),"")</f>
        <v/>
      </c>
      <c r="P1863" s="9" t="str" cm="1">
        <f t="array" aca="1" ref="P1863" ca="1">IF(INDIRECT(M1863) = "","",INDIRECT(M1863))</f>
        <v/>
      </c>
      <c r="Q1863" s="359" t="s">
        <v>4381</v>
      </c>
      <c r="R1863" t="s">
        <v>4369</v>
      </c>
    </row>
    <row r="1864" spans="1:18" x14ac:dyDescent="0.35">
      <c r="A1864" s="694" t="s">
        <v>4497</v>
      </c>
      <c r="E1864" t="str">
        <f>_xlfn.XLOOKUP(F1864,'Raw Data'!$I$4:$I$5000,'Raw Data'!$D$4:$D$5000,"*** Mnemonic not found ***",0)</f>
        <v>*** Mnemonic not found ***</v>
      </c>
      <c r="F1864" t="str">
        <f t="shared" si="468"/>
        <v>SUCMIRRNCMV_9980__</v>
      </c>
      <c r="H1864" s="9" t="s">
        <v>1137</v>
      </c>
      <c r="K1864" s="9">
        <f t="shared" si="470"/>
        <v>839</v>
      </c>
      <c r="L1864" s="9" t="s">
        <v>1377</v>
      </c>
      <c r="M1864" s="9" t="str">
        <f t="shared" si="469"/>
        <v>Input!K839</v>
      </c>
      <c r="N1864" s="9">
        <f>_xlfn.XLOOKUP(F1864,'Raw Data'!$I$4:$I$5000,'Raw Data'!$E$4:$E$5000,100,0)</f>
        <v>100</v>
      </c>
      <c r="O1864" s="9" t="str">
        <f>IF(N1864=0,_xlfn.XLOOKUP(F1864,'Raw Data'!$I$4:$I$5000,'Raw Data'!$H$4:$H$5000,"",0),"")</f>
        <v/>
      </c>
      <c r="P1864" s="9" t="str" cm="1">
        <f t="array" aca="1" ref="P1864" ca="1">IF(INDIRECT(M1864) = "","",INDIRECT(M1864))</f>
        <v/>
      </c>
      <c r="Q1864" s="359" t="s">
        <v>4381</v>
      </c>
      <c r="R1864" t="s">
        <v>4370</v>
      </c>
    </row>
    <row r="1865" spans="1:18" x14ac:dyDescent="0.35">
      <c r="A1865" s="694" t="s">
        <v>4498</v>
      </c>
      <c r="E1865" t="str">
        <f>_xlfn.XLOOKUP(F1865,'Raw Data'!$I$4:$I$5000,'Raw Data'!$D$4:$D$5000,"*** Mnemonic not found ***",0)</f>
        <v>*** Mnemonic not found ***</v>
      </c>
      <c r="F1865" t="str">
        <f t="shared" si="468"/>
        <v>SUCMIRRNCMV_9950__</v>
      </c>
      <c r="H1865" s="9" t="s">
        <v>1137</v>
      </c>
      <c r="K1865" s="9">
        <f t="shared" si="470"/>
        <v>839</v>
      </c>
      <c r="L1865" s="9" t="s">
        <v>1378</v>
      </c>
      <c r="M1865" s="9" t="str">
        <f t="shared" si="469"/>
        <v>Input!L839</v>
      </c>
      <c r="N1865" s="9">
        <f>_xlfn.XLOOKUP(F1865,'Raw Data'!$I$4:$I$5000,'Raw Data'!$E$4:$E$5000,100,0)</f>
        <v>100</v>
      </c>
      <c r="O1865" s="9" t="str">
        <f>IF(N1865=0,_xlfn.XLOOKUP(F1865,'Raw Data'!$I$4:$I$5000,'Raw Data'!$H$4:$H$5000,"",0),"")</f>
        <v/>
      </c>
      <c r="P1865" s="9" t="str" cm="1">
        <f t="array" aca="1" ref="P1865" ca="1">IF(INDIRECT(M1865) = "","",INDIRECT(M1865))</f>
        <v/>
      </c>
      <c r="Q1865" s="359" t="s">
        <v>4381</v>
      </c>
      <c r="R1865" t="s">
        <v>4371</v>
      </c>
    </row>
    <row r="1866" spans="1:18" x14ac:dyDescent="0.35">
      <c r="A1866" t="s">
        <v>2883</v>
      </c>
      <c r="E1866" t="str">
        <f>_xlfn.XLOOKUP(F1866,'Raw Data'!$I$4:$I$5000,'Raw Data'!$D$4:$D$5000,"*** Mnemonic not found ***",0)</f>
        <v>*** Mnemonic not found ***</v>
      </c>
      <c r="F1866" t="str">
        <f t="shared" si="442"/>
        <v>SUCMONEROUSSTRESS__</v>
      </c>
      <c r="H1866" s="9" t="s">
        <v>1137</v>
      </c>
      <c r="K1866" s="9">
        <f>K1865+1</f>
        <v>840</v>
      </c>
      <c r="L1866" s="9" t="s">
        <v>1145</v>
      </c>
      <c r="M1866" s="9" t="str">
        <f t="shared" ref="M1866:M2024" si="471">CONCATENATE(H1866,"!",L1866,K1866)</f>
        <v>Input!G840</v>
      </c>
      <c r="N1866" s="9">
        <f>_xlfn.XLOOKUP(F1866,'Raw Data'!$I$4:$I$5000,'Raw Data'!$E$4:$E$5000,100,0)</f>
        <v>100</v>
      </c>
      <c r="O1866" s="9" t="str">
        <f>IF(N1866=0,_xlfn.XLOOKUP(F1866,'Raw Data'!$I$4:$I$5000,'Raw Data'!$H$4:$H$5000,"",0),"")</f>
        <v/>
      </c>
      <c r="P1866" s="9" t="str" cm="1">
        <f t="array" aca="1" ref="P1866" ca="1">IF(INDIRECT(M1866) = "","",INDIRECT(M1866))</f>
        <v/>
      </c>
      <c r="Q1866" s="359" t="s">
        <v>4380</v>
      </c>
    </row>
    <row r="1867" spans="1:18" x14ac:dyDescent="0.35">
      <c r="A1867" t="s">
        <v>2884</v>
      </c>
      <c r="E1867" t="str">
        <f>_xlfn.XLOOKUP(F1867,'Raw Data'!$I$4:$I$5000,'Raw Data'!$D$4:$D$5000,"*** Mnemonic not found ***",0)</f>
        <v>*** Mnemonic not found ***</v>
      </c>
      <c r="F1867" t="str">
        <f t="shared" si="442"/>
        <v>SUCMDURNONLIFELIAB__</v>
      </c>
      <c r="H1867" s="9" t="s">
        <v>1137</v>
      </c>
      <c r="K1867" s="9">
        <f>K1866+2</f>
        <v>842</v>
      </c>
      <c r="L1867" s="9" t="str">
        <f t="shared" ref="L1867:L1869" si="472">L1866</f>
        <v>G</v>
      </c>
      <c r="M1867" s="9" t="str">
        <f t="shared" si="471"/>
        <v>Input!G842</v>
      </c>
      <c r="N1867" s="9">
        <f>_xlfn.XLOOKUP(F1867,'Raw Data'!$I$4:$I$5000,'Raw Data'!$E$4:$E$5000,100,0)</f>
        <v>100</v>
      </c>
      <c r="O1867" s="9" t="str">
        <f>IF(N1867=0,_xlfn.XLOOKUP(F1867,'Raw Data'!$I$4:$I$5000,'Raw Data'!$H$4:$H$5000,"",0),"")</f>
        <v/>
      </c>
      <c r="P1867" s="9" t="str" cm="1">
        <f t="array" aca="1" ref="P1867" ca="1">IF(INDIRECT(M1867) = "","",INDIRECT(M1867))</f>
        <v/>
      </c>
      <c r="Q1867" s="359" t="s">
        <v>4381</v>
      </c>
    </row>
    <row r="1868" spans="1:18" x14ac:dyDescent="0.35">
      <c r="A1868" t="s">
        <v>2885</v>
      </c>
      <c r="E1868" t="str">
        <f>_xlfn.XLOOKUP(F1868,'Raw Data'!$I$4:$I$5000,'Raw Data'!$D$4:$D$5000,"*** Mnemonic not found ***",0)</f>
        <v>*** Mnemonic not found ***</v>
      </c>
      <c r="F1868" t="str">
        <f t="shared" si="442"/>
        <v>SUCMDURXSASSETYEARS__</v>
      </c>
      <c r="H1868" s="9" t="s">
        <v>1137</v>
      </c>
      <c r="K1868" s="9">
        <f t="shared" ref="K1868" si="473">K1867+1</f>
        <v>843</v>
      </c>
      <c r="L1868" s="9" t="str">
        <f t="shared" si="472"/>
        <v>G</v>
      </c>
      <c r="M1868" s="9" t="str">
        <f t="shared" si="471"/>
        <v>Input!G843</v>
      </c>
      <c r="N1868" s="9">
        <f>_xlfn.XLOOKUP(F1868,'Raw Data'!$I$4:$I$5000,'Raw Data'!$E$4:$E$5000,100,0)</f>
        <v>100</v>
      </c>
      <c r="O1868" s="9" t="str">
        <f>IF(N1868=0,_xlfn.XLOOKUP(F1868,'Raw Data'!$I$4:$I$5000,'Raw Data'!$H$4:$H$5000,"",0),"")</f>
        <v/>
      </c>
      <c r="P1868" s="9" t="str" cm="1">
        <f t="array" aca="1" ref="P1868" ca="1">IF(INDIRECT(M1868) = "","",INDIRECT(M1868))</f>
        <v/>
      </c>
      <c r="Q1868" s="359" t="s">
        <v>4381</v>
      </c>
    </row>
    <row r="1869" spans="1:18" x14ac:dyDescent="0.35">
      <c r="A1869" t="s">
        <v>3985</v>
      </c>
      <c r="E1869" t="str">
        <f>_xlfn.XLOOKUP(F1869,'Raw Data'!$I$4:$I$5000,'Raw Data'!$D$4:$D$5000,"*** Mnemonic not found ***",0)</f>
        <v>*** Mnemonic not found ***</v>
      </c>
      <c r="F1869" t="str">
        <f t="shared" ref="F1869:F1932" si="474">CONCATENATE(A1869,"_",B1869,"_",D1869)</f>
        <v>SUCMONEROUSTOT__</v>
      </c>
      <c r="H1869" s="9" t="s">
        <v>1137</v>
      </c>
      <c r="K1869" s="9">
        <f>K1868+2</f>
        <v>845</v>
      </c>
      <c r="L1869" s="9" t="str">
        <f t="shared" si="472"/>
        <v>G</v>
      </c>
      <c r="M1869" s="9" t="str">
        <f t="shared" si="471"/>
        <v>Input!G845</v>
      </c>
      <c r="N1869" s="9">
        <f>_xlfn.XLOOKUP(F1869,'Raw Data'!$I$4:$I$5000,'Raw Data'!$E$4:$E$5000,100,0)</f>
        <v>100</v>
      </c>
      <c r="O1869" s="9" t="str">
        <f>IF(N1869=0,_xlfn.XLOOKUP(F1869,'Raw Data'!$I$4:$I$5000,'Raw Data'!$H$4:$H$5000,"",0),"")</f>
        <v/>
      </c>
      <c r="P1869" s="9" t="str" cm="1">
        <f t="array" aca="1" ref="P1869" ca="1">IF(INDIRECT(M1869) = "","",INDIRECT(M1869))</f>
        <v>No</v>
      </c>
      <c r="Q1869" s="359" t="s">
        <v>4380</v>
      </c>
    </row>
    <row r="1870" spans="1:18" x14ac:dyDescent="0.35">
      <c r="A1870" t="s">
        <v>2886</v>
      </c>
      <c r="E1870" t="str">
        <f>_xlfn.XLOOKUP(F1870,'Raw Data'!$I$4:$I$5000,'Raw Data'!$D$4:$D$5000,"*** Mnemonic not found ***",0)</f>
        <v>*** Mnemonic not found ***</v>
      </c>
      <c r="F1870" t="str">
        <f t="shared" si="474"/>
        <v>SUCMONEROUSSTRESS_LIF__</v>
      </c>
      <c r="H1870" s="9" t="s">
        <v>1137</v>
      </c>
      <c r="K1870" s="9">
        <f>K1869+2</f>
        <v>847</v>
      </c>
      <c r="L1870" s="9" t="str">
        <f>L1868</f>
        <v>G</v>
      </c>
      <c r="M1870" s="9" t="str">
        <f t="shared" si="471"/>
        <v>Input!G847</v>
      </c>
      <c r="N1870" s="9">
        <f>_xlfn.XLOOKUP(F1870,'Raw Data'!$I$4:$I$5000,'Raw Data'!$E$4:$E$5000,100,0)</f>
        <v>100</v>
      </c>
      <c r="O1870" s="9" t="str">
        <f>IF(N1870=0,_xlfn.XLOOKUP(F1870,'Raw Data'!$I$4:$I$5000,'Raw Data'!$H$4:$H$5000,"",0),"")</f>
        <v/>
      </c>
      <c r="P1870" s="9" t="str" cm="1">
        <f t="array" aca="1" ref="P1870" ca="1">IF(INDIRECT(M1870) = "","",INDIRECT(M1870))</f>
        <v>Unknown</v>
      </c>
      <c r="Q1870" s="359" t="s">
        <v>4380</v>
      </c>
    </row>
    <row r="1871" spans="1:18" x14ac:dyDescent="0.35">
      <c r="A1871" t="s">
        <v>2887</v>
      </c>
      <c r="E1871" t="str">
        <f>_xlfn.XLOOKUP(F1871,'Raw Data'!$I$4:$I$5000,'Raw Data'!$D$4:$D$5000,"*** Mnemonic not found ***",0)</f>
        <v>*** Mnemonic not found ***</v>
      </c>
      <c r="F1871" t="str">
        <f t="shared" si="474"/>
        <v>SUCMONEROUSSTRESS_NON__</v>
      </c>
      <c r="H1871" s="9" t="s">
        <v>1137</v>
      </c>
      <c r="K1871" s="9">
        <f>K1870</f>
        <v>847</v>
      </c>
      <c r="L1871" s="9" t="s">
        <v>1144</v>
      </c>
      <c r="M1871" s="9" t="str">
        <f t="shared" si="471"/>
        <v>Input!H847</v>
      </c>
      <c r="N1871" s="9">
        <f>_xlfn.XLOOKUP(F1871,'Raw Data'!$I$4:$I$5000,'Raw Data'!$E$4:$E$5000,100,0)</f>
        <v>100</v>
      </c>
      <c r="O1871" s="9" t="str">
        <f>IF(N1871=0,_xlfn.XLOOKUP(F1871,'Raw Data'!$I$4:$I$5000,'Raw Data'!$H$4:$H$5000,"",0),"")</f>
        <v/>
      </c>
      <c r="P1871" s="9" t="str" cm="1">
        <f t="array" aca="1" ref="P1871" ca="1">IF(INDIRECT(M1871) = "","",INDIRECT(M1871))</f>
        <v>Unknown</v>
      </c>
      <c r="Q1871" s="359" t="s">
        <v>4380</v>
      </c>
    </row>
    <row r="1872" spans="1:18" x14ac:dyDescent="0.35">
      <c r="A1872" t="s">
        <v>3780</v>
      </c>
      <c r="E1872" t="str">
        <f>_xlfn.XLOOKUP(F1872,'Raw Data'!$I$4:$I$5000,'Raw Data'!$D$4:$D$5000,"*** Mnemonic not found ***",0)</f>
        <v>*** Mnemonic not found ***</v>
      </c>
      <c r="F1872" t="str">
        <f t="shared" si="474"/>
        <v>SUCMFORCURRPROD__</v>
      </c>
      <c r="H1872" s="9" t="s">
        <v>1137</v>
      </c>
      <c r="K1872" s="9">
        <f>K1871+11</f>
        <v>858</v>
      </c>
      <c r="L1872" s="9" t="s">
        <v>1145</v>
      </c>
      <c r="M1872" s="9" t="str">
        <f t="shared" ref="M1872" si="475">CONCATENATE(H1872,"!",L1872,K1872)</f>
        <v>Input!G858</v>
      </c>
      <c r="N1872" s="9">
        <f>_xlfn.XLOOKUP(F1872,'Raw Data'!$I$4:$I$5000,'Raw Data'!$E$4:$E$5000,100,0)</f>
        <v>100</v>
      </c>
      <c r="O1872" s="9" t="str">
        <f>IF(N1872=0,_xlfn.XLOOKUP(F1872,'Raw Data'!$I$4:$I$5000,'Raw Data'!$H$4:$H$5000,"",0),"")</f>
        <v/>
      </c>
      <c r="P1872" s="9" t="str" cm="1">
        <f t="array" aca="1" ref="P1872" ca="1">IF(INDIRECT(M1872) = "","",INDIRECT(M1872))</f>
        <v>No</v>
      </c>
      <c r="Q1872" s="359" t="s">
        <v>4380</v>
      </c>
    </row>
    <row r="1873" spans="1:17" x14ac:dyDescent="0.35">
      <c r="A1873" t="s">
        <v>2888</v>
      </c>
      <c r="E1873" t="str">
        <f>_xlfn.XLOOKUP(F1873,'Raw Data'!$I$4:$I$5000,'Raw Data'!$D$4:$D$5000,"*** Mnemonic not found ***",0)</f>
        <v>*** Mnemonic not found ***</v>
      </c>
      <c r="F1873" t="str">
        <f t="shared" si="474"/>
        <v>SUCMFORCURRCTRY1__</v>
      </c>
      <c r="H1873" s="9" t="s">
        <v>1137</v>
      </c>
      <c r="K1873" s="9">
        <f>K1871+15</f>
        <v>862</v>
      </c>
      <c r="L1873" s="9" t="s">
        <v>1121</v>
      </c>
      <c r="M1873" s="9" t="str">
        <f t="shared" si="471"/>
        <v>Input!C862</v>
      </c>
      <c r="N1873" s="9">
        <f>_xlfn.XLOOKUP(F1873,'Raw Data'!$I$4:$I$5000,'Raw Data'!$E$4:$E$5000,100,0)</f>
        <v>100</v>
      </c>
      <c r="O1873" s="9" t="str">
        <f>IF(N1873=0,_xlfn.XLOOKUP(F1873,'Raw Data'!$I$4:$I$5000,'Raw Data'!$H$4:$H$5000,"",0),"")</f>
        <v/>
      </c>
      <c r="P1873" s="9" t="str" cm="1">
        <f t="array" aca="1" ref="P1873" ca="1">IF(INDIRECT(M1873) = "","",INDIRECT(M1873))</f>
        <v/>
      </c>
      <c r="Q1873" s="359" t="s">
        <v>4380</v>
      </c>
    </row>
    <row r="1874" spans="1:17" x14ac:dyDescent="0.35">
      <c r="A1874" t="s">
        <v>2889</v>
      </c>
      <c r="E1874" t="str">
        <f>_xlfn.XLOOKUP(F1874,'Raw Data'!$I$4:$I$5000,'Raw Data'!$D$4:$D$5000,"*** Mnemonic not found ***",0)</f>
        <v>*** Mnemonic not found ***</v>
      </c>
      <c r="F1874" t="str">
        <f t="shared" si="474"/>
        <v>SUCMFORCURRCTRY2__</v>
      </c>
      <c r="H1874" s="9" t="s">
        <v>1137</v>
      </c>
      <c r="K1874" s="9">
        <f t="shared" ref="K1874:K1907" si="476">K1873+1</f>
        <v>863</v>
      </c>
      <c r="L1874" s="9" t="str">
        <f t="shared" ref="L1874:L1907" si="477">L1873</f>
        <v>C</v>
      </c>
      <c r="M1874" s="9" t="str">
        <f t="shared" si="471"/>
        <v>Input!C863</v>
      </c>
      <c r="N1874" s="9">
        <f>_xlfn.XLOOKUP(F1874,'Raw Data'!$I$4:$I$5000,'Raw Data'!$E$4:$E$5000,100,0)</f>
        <v>100</v>
      </c>
      <c r="O1874" s="9" t="str">
        <f>IF(N1874=0,_xlfn.XLOOKUP(F1874,'Raw Data'!$I$4:$I$5000,'Raw Data'!$H$4:$H$5000,"",0),"")</f>
        <v/>
      </c>
      <c r="P1874" s="9" t="str" cm="1">
        <f t="array" aca="1" ref="P1874" ca="1">IF(INDIRECT(M1874) = "","",INDIRECT(M1874))</f>
        <v/>
      </c>
      <c r="Q1874" s="359" t="s">
        <v>4380</v>
      </c>
    </row>
    <row r="1875" spans="1:17" x14ac:dyDescent="0.35">
      <c r="A1875" t="s">
        <v>2890</v>
      </c>
      <c r="E1875" t="str">
        <f>_xlfn.XLOOKUP(F1875,'Raw Data'!$I$4:$I$5000,'Raw Data'!$D$4:$D$5000,"*** Mnemonic not found ***",0)</f>
        <v>*** Mnemonic not found ***</v>
      </c>
      <c r="F1875" t="str">
        <f t="shared" si="474"/>
        <v>SUCMFORCURRCTRY3__</v>
      </c>
      <c r="H1875" s="9" t="s">
        <v>1137</v>
      </c>
      <c r="K1875" s="9">
        <f t="shared" si="476"/>
        <v>864</v>
      </c>
      <c r="L1875" s="9" t="str">
        <f t="shared" si="477"/>
        <v>C</v>
      </c>
      <c r="M1875" s="9" t="str">
        <f t="shared" si="471"/>
        <v>Input!C864</v>
      </c>
      <c r="N1875" s="9">
        <f>_xlfn.XLOOKUP(F1875,'Raw Data'!$I$4:$I$5000,'Raw Data'!$E$4:$E$5000,100,0)</f>
        <v>100</v>
      </c>
      <c r="O1875" s="9" t="str">
        <f>IF(N1875=0,_xlfn.XLOOKUP(F1875,'Raw Data'!$I$4:$I$5000,'Raw Data'!$H$4:$H$5000,"",0),"")</f>
        <v/>
      </c>
      <c r="P1875" s="9" t="str" cm="1">
        <f t="array" aca="1" ref="P1875" ca="1">IF(INDIRECT(M1875) = "","",INDIRECT(M1875))</f>
        <v/>
      </c>
      <c r="Q1875" s="359" t="s">
        <v>4380</v>
      </c>
    </row>
    <row r="1876" spans="1:17" x14ac:dyDescent="0.35">
      <c r="A1876" t="s">
        <v>2891</v>
      </c>
      <c r="E1876" t="str">
        <f>_xlfn.XLOOKUP(F1876,'Raw Data'!$I$4:$I$5000,'Raw Data'!$D$4:$D$5000,"*** Mnemonic not found ***",0)</f>
        <v>*** Mnemonic not found ***</v>
      </c>
      <c r="F1876" t="str">
        <f t="shared" si="474"/>
        <v>SUCMFORCURRCTRY4__</v>
      </c>
      <c r="H1876" s="9" t="s">
        <v>1137</v>
      </c>
      <c r="K1876" s="9">
        <f t="shared" si="476"/>
        <v>865</v>
      </c>
      <c r="L1876" s="9" t="str">
        <f t="shared" si="477"/>
        <v>C</v>
      </c>
      <c r="M1876" s="9" t="str">
        <f t="shared" si="471"/>
        <v>Input!C865</v>
      </c>
      <c r="N1876" s="9">
        <f>_xlfn.XLOOKUP(F1876,'Raw Data'!$I$4:$I$5000,'Raw Data'!$E$4:$E$5000,100,0)</f>
        <v>100</v>
      </c>
      <c r="O1876" s="9" t="str">
        <f>IF(N1876=0,_xlfn.XLOOKUP(F1876,'Raw Data'!$I$4:$I$5000,'Raw Data'!$H$4:$H$5000,"",0),"")</f>
        <v/>
      </c>
      <c r="P1876" s="9" t="str" cm="1">
        <f t="array" aca="1" ref="P1876" ca="1">IF(INDIRECT(M1876) = "","",INDIRECT(M1876))</f>
        <v/>
      </c>
      <c r="Q1876" s="359" t="s">
        <v>4380</v>
      </c>
    </row>
    <row r="1877" spans="1:17" x14ac:dyDescent="0.35">
      <c r="A1877" t="s">
        <v>2892</v>
      </c>
      <c r="E1877" t="str">
        <f>_xlfn.XLOOKUP(F1877,'Raw Data'!$I$4:$I$5000,'Raw Data'!$D$4:$D$5000,"*** Mnemonic not found ***",0)</f>
        <v>*** Mnemonic not found ***</v>
      </c>
      <c r="F1877" t="str">
        <f t="shared" si="474"/>
        <v>SUCMFORCURRCTRY5__</v>
      </c>
      <c r="H1877" s="9" t="s">
        <v>1137</v>
      </c>
      <c r="K1877" s="9">
        <f t="shared" si="476"/>
        <v>866</v>
      </c>
      <c r="L1877" s="9" t="str">
        <f t="shared" si="477"/>
        <v>C</v>
      </c>
      <c r="M1877" s="9" t="str">
        <f t="shared" si="471"/>
        <v>Input!C866</v>
      </c>
      <c r="N1877" s="9">
        <f>_xlfn.XLOOKUP(F1877,'Raw Data'!$I$4:$I$5000,'Raw Data'!$E$4:$E$5000,100,0)</f>
        <v>100</v>
      </c>
      <c r="O1877" s="9" t="str">
        <f>IF(N1877=0,_xlfn.XLOOKUP(F1877,'Raw Data'!$I$4:$I$5000,'Raw Data'!$H$4:$H$5000,"",0),"")</f>
        <v/>
      </c>
      <c r="P1877" s="9" t="str" cm="1">
        <f t="array" aca="1" ref="P1877" ca="1">IF(INDIRECT(M1877) = "","",INDIRECT(M1877))</f>
        <v/>
      </c>
      <c r="Q1877" s="359" t="s">
        <v>4380</v>
      </c>
    </row>
    <row r="1878" spans="1:17" x14ac:dyDescent="0.35">
      <c r="A1878" t="s">
        <v>2893</v>
      </c>
      <c r="E1878" t="str">
        <f>_xlfn.XLOOKUP(F1878,'Raw Data'!$I$4:$I$5000,'Raw Data'!$D$4:$D$5000,"*** Mnemonic not found ***",0)</f>
        <v>*** Mnemonic not found ***</v>
      </c>
      <c r="F1878" t="str">
        <f t="shared" si="474"/>
        <v>SUCMFORCURRCTRY6__</v>
      </c>
      <c r="H1878" s="9" t="s">
        <v>1137</v>
      </c>
      <c r="K1878" s="9">
        <f t="shared" si="476"/>
        <v>867</v>
      </c>
      <c r="L1878" s="9" t="str">
        <f t="shared" si="477"/>
        <v>C</v>
      </c>
      <c r="M1878" s="9" t="str">
        <f t="shared" si="471"/>
        <v>Input!C867</v>
      </c>
      <c r="N1878" s="9">
        <f>_xlfn.XLOOKUP(F1878,'Raw Data'!$I$4:$I$5000,'Raw Data'!$E$4:$E$5000,100,0)</f>
        <v>100</v>
      </c>
      <c r="O1878" s="9" t="str">
        <f>IF(N1878=0,_xlfn.XLOOKUP(F1878,'Raw Data'!$I$4:$I$5000,'Raw Data'!$H$4:$H$5000,"",0),"")</f>
        <v/>
      </c>
      <c r="P1878" s="9" t="str" cm="1">
        <f t="array" aca="1" ref="P1878" ca="1">IF(INDIRECT(M1878) = "","",INDIRECT(M1878))</f>
        <v/>
      </c>
      <c r="Q1878" s="359" t="s">
        <v>4380</v>
      </c>
    </row>
    <row r="1879" spans="1:17" x14ac:dyDescent="0.35">
      <c r="A1879" t="s">
        <v>2894</v>
      </c>
      <c r="E1879" t="str">
        <f>_xlfn.XLOOKUP(F1879,'Raw Data'!$I$4:$I$5000,'Raw Data'!$D$4:$D$5000,"*** Mnemonic not found ***",0)</f>
        <v>*** Mnemonic not found ***</v>
      </c>
      <c r="F1879" t="str">
        <f t="shared" si="474"/>
        <v>SUCMFORCURRCTRY7__</v>
      </c>
      <c r="H1879" s="9" t="s">
        <v>1137</v>
      </c>
      <c r="K1879" s="9">
        <f t="shared" si="476"/>
        <v>868</v>
      </c>
      <c r="L1879" s="9" t="str">
        <f t="shared" si="477"/>
        <v>C</v>
      </c>
      <c r="M1879" s="9" t="str">
        <f t="shared" si="471"/>
        <v>Input!C868</v>
      </c>
      <c r="N1879" s="9">
        <f>_xlfn.XLOOKUP(F1879,'Raw Data'!$I$4:$I$5000,'Raw Data'!$E$4:$E$5000,100,0)</f>
        <v>100</v>
      </c>
      <c r="O1879" s="9" t="str">
        <f>IF(N1879=0,_xlfn.XLOOKUP(F1879,'Raw Data'!$I$4:$I$5000,'Raw Data'!$H$4:$H$5000,"",0),"")</f>
        <v/>
      </c>
      <c r="P1879" s="9" t="str" cm="1">
        <f t="array" aca="1" ref="P1879" ca="1">IF(INDIRECT(M1879) = "","",INDIRECT(M1879))</f>
        <v/>
      </c>
      <c r="Q1879" s="359" t="s">
        <v>4380</v>
      </c>
    </row>
    <row r="1880" spans="1:17" x14ac:dyDescent="0.35">
      <c r="A1880" t="s">
        <v>2895</v>
      </c>
      <c r="E1880" t="str">
        <f>_xlfn.XLOOKUP(F1880,'Raw Data'!$I$4:$I$5000,'Raw Data'!$D$4:$D$5000,"*** Mnemonic not found ***",0)</f>
        <v>*** Mnemonic not found ***</v>
      </c>
      <c r="F1880" t="str">
        <f t="shared" si="474"/>
        <v>SUCMFORCURRCTRY8__</v>
      </c>
      <c r="H1880" s="9" t="s">
        <v>1137</v>
      </c>
      <c r="K1880" s="9">
        <f t="shared" si="476"/>
        <v>869</v>
      </c>
      <c r="L1880" s="9" t="str">
        <f t="shared" si="477"/>
        <v>C</v>
      </c>
      <c r="M1880" s="9" t="str">
        <f t="shared" si="471"/>
        <v>Input!C869</v>
      </c>
      <c r="N1880" s="9">
        <f>_xlfn.XLOOKUP(F1880,'Raw Data'!$I$4:$I$5000,'Raw Data'!$E$4:$E$5000,100,0)</f>
        <v>100</v>
      </c>
      <c r="O1880" s="9" t="str">
        <f>IF(N1880=0,_xlfn.XLOOKUP(F1880,'Raw Data'!$I$4:$I$5000,'Raw Data'!$H$4:$H$5000,"",0),"")</f>
        <v/>
      </c>
      <c r="P1880" s="9" t="str" cm="1">
        <f t="array" aca="1" ref="P1880" ca="1">IF(INDIRECT(M1880) = "","",INDIRECT(M1880))</f>
        <v/>
      </c>
      <c r="Q1880" s="359" t="s">
        <v>4380</v>
      </c>
    </row>
    <row r="1881" spans="1:17" x14ac:dyDescent="0.35">
      <c r="A1881" t="s">
        <v>2896</v>
      </c>
      <c r="E1881" t="str">
        <f>_xlfn.XLOOKUP(F1881,'Raw Data'!$I$4:$I$5000,'Raw Data'!$D$4:$D$5000,"*** Mnemonic not found ***",0)</f>
        <v>*** Mnemonic not found ***</v>
      </c>
      <c r="F1881" t="str">
        <f t="shared" si="474"/>
        <v>SUCMFORCURRCTRY9__</v>
      </c>
      <c r="H1881" s="9" t="s">
        <v>1137</v>
      </c>
      <c r="K1881" s="9">
        <f t="shared" si="476"/>
        <v>870</v>
      </c>
      <c r="L1881" s="9" t="str">
        <f t="shared" si="477"/>
        <v>C</v>
      </c>
      <c r="M1881" s="9" t="str">
        <f t="shared" si="471"/>
        <v>Input!C870</v>
      </c>
      <c r="N1881" s="9">
        <f>_xlfn.XLOOKUP(F1881,'Raw Data'!$I$4:$I$5000,'Raw Data'!$E$4:$E$5000,100,0)</f>
        <v>100</v>
      </c>
      <c r="O1881" s="9" t="str">
        <f>IF(N1881=0,_xlfn.XLOOKUP(F1881,'Raw Data'!$I$4:$I$5000,'Raw Data'!$H$4:$H$5000,"",0),"")</f>
        <v/>
      </c>
      <c r="P1881" s="9" t="str" cm="1">
        <f t="array" aca="1" ref="P1881" ca="1">IF(INDIRECT(M1881) = "","",INDIRECT(M1881))</f>
        <v/>
      </c>
      <c r="Q1881" s="359" t="s">
        <v>4380</v>
      </c>
    </row>
    <row r="1882" spans="1:17" x14ac:dyDescent="0.35">
      <c r="A1882" t="s">
        <v>2897</v>
      </c>
      <c r="E1882" t="str">
        <f>_xlfn.XLOOKUP(F1882,'Raw Data'!$I$4:$I$5000,'Raw Data'!$D$4:$D$5000,"*** Mnemonic not found ***",0)</f>
        <v>*** Mnemonic not found ***</v>
      </c>
      <c r="F1882" t="str">
        <f t="shared" si="474"/>
        <v>SUCMFORCURRCTRY10__</v>
      </c>
      <c r="H1882" s="9" t="s">
        <v>1137</v>
      </c>
      <c r="K1882" s="9">
        <f t="shared" si="476"/>
        <v>871</v>
      </c>
      <c r="L1882" s="9" t="str">
        <f t="shared" si="477"/>
        <v>C</v>
      </c>
      <c r="M1882" s="9" t="str">
        <f t="shared" si="471"/>
        <v>Input!C871</v>
      </c>
      <c r="N1882" s="9">
        <f>_xlfn.XLOOKUP(F1882,'Raw Data'!$I$4:$I$5000,'Raw Data'!$E$4:$E$5000,100,0)</f>
        <v>100</v>
      </c>
      <c r="O1882" s="9" t="str">
        <f>IF(N1882=0,_xlfn.XLOOKUP(F1882,'Raw Data'!$I$4:$I$5000,'Raw Data'!$H$4:$H$5000,"",0),"")</f>
        <v/>
      </c>
      <c r="P1882" s="9" t="str" cm="1">
        <f t="array" aca="1" ref="P1882" ca="1">IF(INDIRECT(M1882) = "","",INDIRECT(M1882))</f>
        <v/>
      </c>
      <c r="Q1882" s="359" t="s">
        <v>4380</v>
      </c>
    </row>
    <row r="1883" spans="1:17" x14ac:dyDescent="0.35">
      <c r="A1883" t="s">
        <v>2898</v>
      </c>
      <c r="E1883" t="str">
        <f>_xlfn.XLOOKUP(F1883,'Raw Data'!$I$4:$I$5000,'Raw Data'!$D$4:$D$5000,"*** Mnemonic not found ***",0)</f>
        <v>*** Mnemonic not found ***</v>
      </c>
      <c r="F1883" t="str">
        <f t="shared" si="474"/>
        <v>SUCMFORCURRCTRY11__</v>
      </c>
      <c r="H1883" s="9" t="s">
        <v>1137</v>
      </c>
      <c r="K1883" s="9">
        <f t="shared" si="476"/>
        <v>872</v>
      </c>
      <c r="L1883" s="9" t="str">
        <f t="shared" si="477"/>
        <v>C</v>
      </c>
      <c r="M1883" s="9" t="str">
        <f t="shared" si="471"/>
        <v>Input!C872</v>
      </c>
      <c r="N1883" s="9">
        <f>_xlfn.XLOOKUP(F1883,'Raw Data'!$I$4:$I$5000,'Raw Data'!$E$4:$E$5000,100,0)</f>
        <v>100</v>
      </c>
      <c r="O1883" s="9" t="str">
        <f>IF(N1883=0,_xlfn.XLOOKUP(F1883,'Raw Data'!$I$4:$I$5000,'Raw Data'!$H$4:$H$5000,"",0),"")</f>
        <v/>
      </c>
      <c r="P1883" s="9" t="str" cm="1">
        <f t="array" aca="1" ref="P1883" ca="1">IF(INDIRECT(M1883) = "","",INDIRECT(M1883))</f>
        <v/>
      </c>
      <c r="Q1883" s="359" t="s">
        <v>4380</v>
      </c>
    </row>
    <row r="1884" spans="1:17" x14ac:dyDescent="0.35">
      <c r="A1884" t="s">
        <v>2899</v>
      </c>
      <c r="E1884" t="str">
        <f>_xlfn.XLOOKUP(F1884,'Raw Data'!$I$4:$I$5000,'Raw Data'!$D$4:$D$5000,"*** Mnemonic not found ***",0)</f>
        <v>*** Mnemonic not found ***</v>
      </c>
      <c r="F1884" t="str">
        <f t="shared" si="474"/>
        <v>SUCMFORCURRCTRY12__</v>
      </c>
      <c r="H1884" s="9" t="s">
        <v>1137</v>
      </c>
      <c r="K1884" s="9">
        <f t="shared" si="476"/>
        <v>873</v>
      </c>
      <c r="L1884" s="9" t="str">
        <f t="shared" si="477"/>
        <v>C</v>
      </c>
      <c r="M1884" s="9" t="str">
        <f t="shared" si="471"/>
        <v>Input!C873</v>
      </c>
      <c r="N1884" s="9">
        <f>_xlfn.XLOOKUP(F1884,'Raw Data'!$I$4:$I$5000,'Raw Data'!$E$4:$E$5000,100,0)</f>
        <v>100</v>
      </c>
      <c r="O1884" s="9" t="str">
        <f>IF(N1884=0,_xlfn.XLOOKUP(F1884,'Raw Data'!$I$4:$I$5000,'Raw Data'!$H$4:$H$5000,"",0),"")</f>
        <v/>
      </c>
      <c r="P1884" s="9" t="str" cm="1">
        <f t="array" aca="1" ref="P1884" ca="1">IF(INDIRECT(M1884) = "","",INDIRECT(M1884))</f>
        <v/>
      </c>
      <c r="Q1884" s="359" t="s">
        <v>4380</v>
      </c>
    </row>
    <row r="1885" spans="1:17" x14ac:dyDescent="0.35">
      <c r="A1885" t="s">
        <v>2900</v>
      </c>
      <c r="E1885" t="str">
        <f>_xlfn.XLOOKUP(F1885,'Raw Data'!$I$4:$I$5000,'Raw Data'!$D$4:$D$5000,"*** Mnemonic not found ***",0)</f>
        <v>*** Mnemonic not found ***</v>
      </c>
      <c r="F1885" t="str">
        <f t="shared" si="474"/>
        <v>SUCMFORCURRCTRY13__</v>
      </c>
      <c r="H1885" s="9" t="s">
        <v>1137</v>
      </c>
      <c r="K1885" s="9">
        <f t="shared" si="476"/>
        <v>874</v>
      </c>
      <c r="L1885" s="9" t="str">
        <f t="shared" si="477"/>
        <v>C</v>
      </c>
      <c r="M1885" s="9" t="str">
        <f t="shared" si="471"/>
        <v>Input!C874</v>
      </c>
      <c r="N1885" s="9">
        <f>_xlfn.XLOOKUP(F1885,'Raw Data'!$I$4:$I$5000,'Raw Data'!$E$4:$E$5000,100,0)</f>
        <v>100</v>
      </c>
      <c r="O1885" s="9" t="str">
        <f>IF(N1885=0,_xlfn.XLOOKUP(F1885,'Raw Data'!$I$4:$I$5000,'Raw Data'!$H$4:$H$5000,"",0),"")</f>
        <v/>
      </c>
      <c r="P1885" s="9" t="str" cm="1">
        <f t="array" aca="1" ref="P1885" ca="1">IF(INDIRECT(M1885) = "","",INDIRECT(M1885))</f>
        <v/>
      </c>
      <c r="Q1885" s="359" t="s">
        <v>4380</v>
      </c>
    </row>
    <row r="1886" spans="1:17" x14ac:dyDescent="0.35">
      <c r="A1886" t="s">
        <v>2901</v>
      </c>
      <c r="E1886" t="str">
        <f>_xlfn.XLOOKUP(F1886,'Raw Data'!$I$4:$I$5000,'Raw Data'!$D$4:$D$5000,"*** Mnemonic not found ***",0)</f>
        <v>*** Mnemonic not found ***</v>
      </c>
      <c r="F1886" t="str">
        <f t="shared" si="474"/>
        <v>SUCMFORCURRCTRY14__</v>
      </c>
      <c r="H1886" s="9" t="s">
        <v>1137</v>
      </c>
      <c r="K1886" s="9">
        <f t="shared" si="476"/>
        <v>875</v>
      </c>
      <c r="L1886" s="9" t="str">
        <f t="shared" si="477"/>
        <v>C</v>
      </c>
      <c r="M1886" s="9" t="str">
        <f t="shared" si="471"/>
        <v>Input!C875</v>
      </c>
      <c r="N1886" s="9">
        <f>_xlfn.XLOOKUP(F1886,'Raw Data'!$I$4:$I$5000,'Raw Data'!$E$4:$E$5000,100,0)</f>
        <v>100</v>
      </c>
      <c r="O1886" s="9" t="str">
        <f>IF(N1886=0,_xlfn.XLOOKUP(F1886,'Raw Data'!$I$4:$I$5000,'Raw Data'!$H$4:$H$5000,"",0),"")</f>
        <v/>
      </c>
      <c r="P1886" s="9" t="str" cm="1">
        <f t="array" aca="1" ref="P1886" ca="1">IF(INDIRECT(M1886) = "","",INDIRECT(M1886))</f>
        <v/>
      </c>
      <c r="Q1886" s="359" t="s">
        <v>4380</v>
      </c>
    </row>
    <row r="1887" spans="1:17" x14ac:dyDescent="0.35">
      <c r="A1887" t="s">
        <v>2902</v>
      </c>
      <c r="E1887" t="str">
        <f>_xlfn.XLOOKUP(F1887,'Raw Data'!$I$4:$I$5000,'Raw Data'!$D$4:$D$5000,"*** Mnemonic not found ***",0)</f>
        <v>*** Mnemonic not found ***</v>
      </c>
      <c r="F1887" t="str">
        <f t="shared" si="474"/>
        <v>SUCMFORCURRCTRY15__</v>
      </c>
      <c r="H1887" s="9" t="s">
        <v>1137</v>
      </c>
      <c r="K1887" s="9">
        <f t="shared" si="476"/>
        <v>876</v>
      </c>
      <c r="L1887" s="9" t="str">
        <f t="shared" si="477"/>
        <v>C</v>
      </c>
      <c r="M1887" s="9" t="str">
        <f t="shared" si="471"/>
        <v>Input!C876</v>
      </c>
      <c r="N1887" s="9">
        <f>_xlfn.XLOOKUP(F1887,'Raw Data'!$I$4:$I$5000,'Raw Data'!$E$4:$E$5000,100,0)</f>
        <v>100</v>
      </c>
      <c r="O1887" s="9" t="str">
        <f>IF(N1887=0,_xlfn.XLOOKUP(F1887,'Raw Data'!$I$4:$I$5000,'Raw Data'!$H$4:$H$5000,"",0),"")</f>
        <v/>
      </c>
      <c r="P1887" s="9" t="str" cm="1">
        <f t="array" aca="1" ref="P1887" ca="1">IF(INDIRECT(M1887) = "","",INDIRECT(M1887))</f>
        <v/>
      </c>
      <c r="Q1887" s="359" t="s">
        <v>4380</v>
      </c>
    </row>
    <row r="1888" spans="1:17" x14ac:dyDescent="0.35">
      <c r="A1888" t="s">
        <v>2962</v>
      </c>
      <c r="E1888" t="str">
        <f>_xlfn.XLOOKUP(F1888,'Raw Data'!$I$4:$I$5000,'Raw Data'!$D$4:$D$5000,"*** Mnemonic not found ***",0)</f>
        <v>*** Mnemonic not found ***</v>
      </c>
      <c r="F1888" t="str">
        <f t="shared" si="474"/>
        <v>SUCMFORCURRCTRY16__</v>
      </c>
      <c r="H1888" s="9" t="s">
        <v>1137</v>
      </c>
      <c r="K1888" s="9">
        <f t="shared" si="476"/>
        <v>877</v>
      </c>
      <c r="L1888" s="9" t="str">
        <f t="shared" si="477"/>
        <v>C</v>
      </c>
      <c r="M1888" s="9" t="str">
        <f t="shared" si="471"/>
        <v>Input!C877</v>
      </c>
      <c r="N1888" s="9">
        <f>_xlfn.XLOOKUP(F1888,'Raw Data'!$I$4:$I$5000,'Raw Data'!$E$4:$E$5000,100,0)</f>
        <v>100</v>
      </c>
      <c r="O1888" s="9" t="str">
        <f>IF(N1888=0,_xlfn.XLOOKUP(F1888,'Raw Data'!$I$4:$I$5000,'Raw Data'!$H$4:$H$5000,"",0),"")</f>
        <v/>
      </c>
      <c r="P1888" s="9" t="str" cm="1">
        <f t="array" aca="1" ref="P1888" ca="1">IF(INDIRECT(M1888) = "","",INDIRECT(M1888))</f>
        <v/>
      </c>
      <c r="Q1888" s="359" t="s">
        <v>4380</v>
      </c>
    </row>
    <row r="1889" spans="1:17" x14ac:dyDescent="0.35">
      <c r="A1889" t="s">
        <v>2963</v>
      </c>
      <c r="E1889" t="str">
        <f>_xlfn.XLOOKUP(F1889,'Raw Data'!$I$4:$I$5000,'Raw Data'!$D$4:$D$5000,"*** Mnemonic not found ***",0)</f>
        <v>*** Mnemonic not found ***</v>
      </c>
      <c r="F1889" t="str">
        <f t="shared" si="474"/>
        <v>SUCMFORCURRCTRY17__</v>
      </c>
      <c r="H1889" s="9" t="s">
        <v>1137</v>
      </c>
      <c r="K1889" s="9">
        <f t="shared" si="476"/>
        <v>878</v>
      </c>
      <c r="L1889" s="9" t="str">
        <f t="shared" si="477"/>
        <v>C</v>
      </c>
      <c r="M1889" s="9" t="str">
        <f t="shared" si="471"/>
        <v>Input!C878</v>
      </c>
      <c r="N1889" s="9">
        <f>_xlfn.XLOOKUP(F1889,'Raw Data'!$I$4:$I$5000,'Raw Data'!$E$4:$E$5000,100,0)</f>
        <v>100</v>
      </c>
      <c r="O1889" s="9" t="str">
        <f>IF(N1889=0,_xlfn.XLOOKUP(F1889,'Raw Data'!$I$4:$I$5000,'Raw Data'!$H$4:$H$5000,"",0),"")</f>
        <v/>
      </c>
      <c r="P1889" s="9" t="str" cm="1">
        <f t="array" aca="1" ref="P1889" ca="1">IF(INDIRECT(M1889) = "","",INDIRECT(M1889))</f>
        <v/>
      </c>
      <c r="Q1889" s="359" t="s">
        <v>4380</v>
      </c>
    </row>
    <row r="1890" spans="1:17" x14ac:dyDescent="0.35">
      <c r="A1890" t="s">
        <v>2964</v>
      </c>
      <c r="E1890" t="str">
        <f>_xlfn.XLOOKUP(F1890,'Raw Data'!$I$4:$I$5000,'Raw Data'!$D$4:$D$5000,"*** Mnemonic not found ***",0)</f>
        <v>*** Mnemonic not found ***</v>
      </c>
      <c r="F1890" t="str">
        <f t="shared" si="474"/>
        <v>SUCMFORCURRCTRY18__</v>
      </c>
      <c r="H1890" s="9" t="s">
        <v>1137</v>
      </c>
      <c r="K1890" s="9">
        <f t="shared" si="476"/>
        <v>879</v>
      </c>
      <c r="L1890" s="9" t="str">
        <f t="shared" si="477"/>
        <v>C</v>
      </c>
      <c r="M1890" s="9" t="str">
        <f t="shared" si="471"/>
        <v>Input!C879</v>
      </c>
      <c r="N1890" s="9">
        <f>_xlfn.XLOOKUP(F1890,'Raw Data'!$I$4:$I$5000,'Raw Data'!$E$4:$E$5000,100,0)</f>
        <v>100</v>
      </c>
      <c r="O1890" s="9" t="str">
        <f>IF(N1890=0,_xlfn.XLOOKUP(F1890,'Raw Data'!$I$4:$I$5000,'Raw Data'!$H$4:$H$5000,"",0),"")</f>
        <v/>
      </c>
      <c r="P1890" s="9" t="str" cm="1">
        <f t="array" aca="1" ref="P1890" ca="1">IF(INDIRECT(M1890) = "","",INDIRECT(M1890))</f>
        <v/>
      </c>
      <c r="Q1890" s="359" t="s">
        <v>4380</v>
      </c>
    </row>
    <row r="1891" spans="1:17" x14ac:dyDescent="0.35">
      <c r="A1891" t="s">
        <v>2965</v>
      </c>
      <c r="E1891" t="str">
        <f>_xlfn.XLOOKUP(F1891,'Raw Data'!$I$4:$I$5000,'Raw Data'!$D$4:$D$5000,"*** Mnemonic not found ***",0)</f>
        <v>*** Mnemonic not found ***</v>
      </c>
      <c r="F1891" t="str">
        <f t="shared" si="474"/>
        <v>SUCMFORCURRCTRY19__</v>
      </c>
      <c r="H1891" s="9" t="s">
        <v>1137</v>
      </c>
      <c r="K1891" s="9">
        <f t="shared" si="476"/>
        <v>880</v>
      </c>
      <c r="L1891" s="9" t="str">
        <f t="shared" si="477"/>
        <v>C</v>
      </c>
      <c r="M1891" s="9" t="str">
        <f t="shared" si="471"/>
        <v>Input!C880</v>
      </c>
      <c r="N1891" s="9">
        <f>_xlfn.XLOOKUP(F1891,'Raw Data'!$I$4:$I$5000,'Raw Data'!$E$4:$E$5000,100,0)</f>
        <v>100</v>
      </c>
      <c r="O1891" s="9" t="str">
        <f>IF(N1891=0,_xlfn.XLOOKUP(F1891,'Raw Data'!$I$4:$I$5000,'Raw Data'!$H$4:$H$5000,"",0),"")</f>
        <v/>
      </c>
      <c r="P1891" s="9" t="str" cm="1">
        <f t="array" aca="1" ref="P1891" ca="1">IF(INDIRECT(M1891) = "","",INDIRECT(M1891))</f>
        <v/>
      </c>
      <c r="Q1891" s="359" t="s">
        <v>4380</v>
      </c>
    </row>
    <row r="1892" spans="1:17" x14ac:dyDescent="0.35">
      <c r="A1892" t="s">
        <v>2966</v>
      </c>
      <c r="E1892" t="str">
        <f>_xlfn.XLOOKUP(F1892,'Raw Data'!$I$4:$I$5000,'Raw Data'!$D$4:$D$5000,"*** Mnemonic not found ***",0)</f>
        <v>*** Mnemonic not found ***</v>
      </c>
      <c r="F1892" t="str">
        <f t="shared" si="474"/>
        <v>SUCMFORCURRCTRY20__</v>
      </c>
      <c r="H1892" s="9" t="s">
        <v>1137</v>
      </c>
      <c r="K1892" s="9">
        <f t="shared" si="476"/>
        <v>881</v>
      </c>
      <c r="L1892" s="9" t="str">
        <f t="shared" si="477"/>
        <v>C</v>
      </c>
      <c r="M1892" s="9" t="str">
        <f t="shared" si="471"/>
        <v>Input!C881</v>
      </c>
      <c r="N1892" s="9">
        <f>_xlfn.XLOOKUP(F1892,'Raw Data'!$I$4:$I$5000,'Raw Data'!$E$4:$E$5000,100,0)</f>
        <v>100</v>
      </c>
      <c r="O1892" s="9" t="str">
        <f>IF(N1892=0,_xlfn.XLOOKUP(F1892,'Raw Data'!$I$4:$I$5000,'Raw Data'!$H$4:$H$5000,"",0),"")</f>
        <v/>
      </c>
      <c r="P1892" s="9" t="str" cm="1">
        <f t="array" aca="1" ref="P1892" ca="1">IF(INDIRECT(M1892) = "","",INDIRECT(M1892))</f>
        <v/>
      </c>
      <c r="Q1892" s="359" t="s">
        <v>4380</v>
      </c>
    </row>
    <row r="1893" spans="1:17" x14ac:dyDescent="0.35">
      <c r="A1893" t="s">
        <v>2967</v>
      </c>
      <c r="E1893" t="str">
        <f>_xlfn.XLOOKUP(F1893,'Raw Data'!$I$4:$I$5000,'Raw Data'!$D$4:$D$5000,"*** Mnemonic not found ***",0)</f>
        <v>*** Mnemonic not found ***</v>
      </c>
      <c r="F1893" t="str">
        <f t="shared" si="474"/>
        <v>SUCMFORCURRCTRY21__</v>
      </c>
      <c r="H1893" s="9" t="s">
        <v>1137</v>
      </c>
      <c r="K1893" s="9">
        <f t="shared" si="476"/>
        <v>882</v>
      </c>
      <c r="L1893" s="9" t="str">
        <f t="shared" si="477"/>
        <v>C</v>
      </c>
      <c r="M1893" s="9" t="str">
        <f t="shared" si="471"/>
        <v>Input!C882</v>
      </c>
      <c r="N1893" s="9">
        <f>_xlfn.XLOOKUP(F1893,'Raw Data'!$I$4:$I$5000,'Raw Data'!$E$4:$E$5000,100,0)</f>
        <v>100</v>
      </c>
      <c r="O1893" s="9" t="str">
        <f>IF(N1893=0,_xlfn.XLOOKUP(F1893,'Raw Data'!$I$4:$I$5000,'Raw Data'!$H$4:$H$5000,"",0),"")</f>
        <v/>
      </c>
      <c r="P1893" s="9" t="str" cm="1">
        <f t="array" aca="1" ref="P1893" ca="1">IF(INDIRECT(M1893) = "","",INDIRECT(M1893))</f>
        <v/>
      </c>
      <c r="Q1893" s="359" t="s">
        <v>4380</v>
      </c>
    </row>
    <row r="1894" spans="1:17" x14ac:dyDescent="0.35">
      <c r="A1894" t="s">
        <v>2968</v>
      </c>
      <c r="E1894" t="str">
        <f>_xlfn.XLOOKUP(F1894,'Raw Data'!$I$4:$I$5000,'Raw Data'!$D$4:$D$5000,"*** Mnemonic not found ***",0)</f>
        <v>*** Mnemonic not found ***</v>
      </c>
      <c r="F1894" t="str">
        <f t="shared" si="474"/>
        <v>SUCMFORCURRCTRY22__</v>
      </c>
      <c r="H1894" s="9" t="s">
        <v>1137</v>
      </c>
      <c r="K1894" s="9">
        <f t="shared" si="476"/>
        <v>883</v>
      </c>
      <c r="L1894" s="9" t="str">
        <f t="shared" si="477"/>
        <v>C</v>
      </c>
      <c r="M1894" s="9" t="str">
        <f t="shared" si="471"/>
        <v>Input!C883</v>
      </c>
      <c r="N1894" s="9">
        <f>_xlfn.XLOOKUP(F1894,'Raw Data'!$I$4:$I$5000,'Raw Data'!$E$4:$E$5000,100,0)</f>
        <v>100</v>
      </c>
      <c r="O1894" s="9" t="str">
        <f>IF(N1894=0,_xlfn.XLOOKUP(F1894,'Raw Data'!$I$4:$I$5000,'Raw Data'!$H$4:$H$5000,"",0),"")</f>
        <v/>
      </c>
      <c r="P1894" s="9" t="str" cm="1">
        <f t="array" aca="1" ref="P1894" ca="1">IF(INDIRECT(M1894) = "","",INDIRECT(M1894))</f>
        <v/>
      </c>
      <c r="Q1894" s="359" t="s">
        <v>4380</v>
      </c>
    </row>
    <row r="1895" spans="1:17" x14ac:dyDescent="0.35">
      <c r="A1895" t="s">
        <v>2969</v>
      </c>
      <c r="E1895" t="str">
        <f>_xlfn.XLOOKUP(F1895,'Raw Data'!$I$4:$I$5000,'Raw Data'!$D$4:$D$5000,"*** Mnemonic not found ***",0)</f>
        <v>*** Mnemonic not found ***</v>
      </c>
      <c r="F1895" t="str">
        <f t="shared" si="474"/>
        <v>SUCMFORCURRCTRY23__</v>
      </c>
      <c r="H1895" s="9" t="s">
        <v>1137</v>
      </c>
      <c r="K1895" s="9">
        <f t="shared" si="476"/>
        <v>884</v>
      </c>
      <c r="L1895" s="9" t="str">
        <f t="shared" si="477"/>
        <v>C</v>
      </c>
      <c r="M1895" s="9" t="str">
        <f t="shared" si="471"/>
        <v>Input!C884</v>
      </c>
      <c r="N1895" s="9">
        <f>_xlfn.XLOOKUP(F1895,'Raw Data'!$I$4:$I$5000,'Raw Data'!$E$4:$E$5000,100,0)</f>
        <v>100</v>
      </c>
      <c r="O1895" s="9" t="str">
        <f>IF(N1895=0,_xlfn.XLOOKUP(F1895,'Raw Data'!$I$4:$I$5000,'Raw Data'!$H$4:$H$5000,"",0),"")</f>
        <v/>
      </c>
      <c r="P1895" s="9" t="str" cm="1">
        <f t="array" aca="1" ref="P1895" ca="1">IF(INDIRECT(M1895) = "","",INDIRECT(M1895))</f>
        <v/>
      </c>
      <c r="Q1895" s="359" t="s">
        <v>4380</v>
      </c>
    </row>
    <row r="1896" spans="1:17" x14ac:dyDescent="0.35">
      <c r="A1896" t="s">
        <v>2970</v>
      </c>
      <c r="E1896" t="str">
        <f>_xlfn.XLOOKUP(F1896,'Raw Data'!$I$4:$I$5000,'Raw Data'!$D$4:$D$5000,"*** Mnemonic not found ***",0)</f>
        <v>*** Mnemonic not found ***</v>
      </c>
      <c r="F1896" t="str">
        <f t="shared" si="474"/>
        <v>SUCMFORCURRCTRY24__</v>
      </c>
      <c r="H1896" s="9" t="s">
        <v>1137</v>
      </c>
      <c r="K1896" s="9">
        <f t="shared" si="476"/>
        <v>885</v>
      </c>
      <c r="L1896" s="9" t="str">
        <f t="shared" si="477"/>
        <v>C</v>
      </c>
      <c r="M1896" s="9" t="str">
        <f t="shared" si="471"/>
        <v>Input!C885</v>
      </c>
      <c r="N1896" s="9">
        <f>_xlfn.XLOOKUP(F1896,'Raw Data'!$I$4:$I$5000,'Raw Data'!$E$4:$E$5000,100,0)</f>
        <v>100</v>
      </c>
      <c r="O1896" s="9" t="str">
        <f>IF(N1896=0,_xlfn.XLOOKUP(F1896,'Raw Data'!$I$4:$I$5000,'Raw Data'!$H$4:$H$5000,"",0),"")</f>
        <v/>
      </c>
      <c r="P1896" s="9" t="str" cm="1">
        <f t="array" aca="1" ref="P1896" ca="1">IF(INDIRECT(M1896) = "","",INDIRECT(M1896))</f>
        <v/>
      </c>
      <c r="Q1896" s="359" t="s">
        <v>4380</v>
      </c>
    </row>
    <row r="1897" spans="1:17" x14ac:dyDescent="0.35">
      <c r="A1897" t="s">
        <v>2971</v>
      </c>
      <c r="E1897" t="str">
        <f>_xlfn.XLOOKUP(F1897,'Raw Data'!$I$4:$I$5000,'Raw Data'!$D$4:$D$5000,"*** Mnemonic not found ***",0)</f>
        <v>*** Mnemonic not found ***</v>
      </c>
      <c r="F1897" t="str">
        <f t="shared" si="474"/>
        <v>SUCMFORCURRCTRY25__</v>
      </c>
      <c r="H1897" s="9" t="s">
        <v>1137</v>
      </c>
      <c r="K1897" s="9">
        <f t="shared" si="476"/>
        <v>886</v>
      </c>
      <c r="L1897" s="9" t="str">
        <f t="shared" si="477"/>
        <v>C</v>
      </c>
      <c r="M1897" s="9" t="str">
        <f t="shared" si="471"/>
        <v>Input!C886</v>
      </c>
      <c r="N1897" s="9">
        <f>_xlfn.XLOOKUP(F1897,'Raw Data'!$I$4:$I$5000,'Raw Data'!$E$4:$E$5000,100,0)</f>
        <v>100</v>
      </c>
      <c r="O1897" s="9" t="str">
        <f>IF(N1897=0,_xlfn.XLOOKUP(F1897,'Raw Data'!$I$4:$I$5000,'Raw Data'!$H$4:$H$5000,"",0),"")</f>
        <v/>
      </c>
      <c r="P1897" s="9" t="str" cm="1">
        <f t="array" aca="1" ref="P1897" ca="1">IF(INDIRECT(M1897) = "","",INDIRECT(M1897))</f>
        <v/>
      </c>
      <c r="Q1897" s="359" t="s">
        <v>4380</v>
      </c>
    </row>
    <row r="1898" spans="1:17" x14ac:dyDescent="0.35">
      <c r="A1898" t="s">
        <v>2972</v>
      </c>
      <c r="E1898" t="str">
        <f>_xlfn.XLOOKUP(F1898,'Raw Data'!$I$4:$I$5000,'Raw Data'!$D$4:$D$5000,"*** Mnemonic not found ***",0)</f>
        <v>*** Mnemonic not found ***</v>
      </c>
      <c r="F1898" t="str">
        <f t="shared" si="474"/>
        <v>SUCMFORCURRCTRY26__</v>
      </c>
      <c r="H1898" s="9" t="s">
        <v>1137</v>
      </c>
      <c r="K1898" s="9">
        <f t="shared" si="476"/>
        <v>887</v>
      </c>
      <c r="L1898" s="9" t="str">
        <f t="shared" si="477"/>
        <v>C</v>
      </c>
      <c r="M1898" s="9" t="str">
        <f t="shared" si="471"/>
        <v>Input!C887</v>
      </c>
      <c r="N1898" s="9">
        <f>_xlfn.XLOOKUP(F1898,'Raw Data'!$I$4:$I$5000,'Raw Data'!$E$4:$E$5000,100,0)</f>
        <v>100</v>
      </c>
      <c r="O1898" s="9" t="str">
        <f>IF(N1898=0,_xlfn.XLOOKUP(F1898,'Raw Data'!$I$4:$I$5000,'Raw Data'!$H$4:$H$5000,"",0),"")</f>
        <v/>
      </c>
      <c r="P1898" s="9" t="str" cm="1">
        <f t="array" aca="1" ref="P1898" ca="1">IF(INDIRECT(M1898) = "","",INDIRECT(M1898))</f>
        <v/>
      </c>
      <c r="Q1898" s="359" t="s">
        <v>4380</v>
      </c>
    </row>
    <row r="1899" spans="1:17" x14ac:dyDescent="0.35">
      <c r="A1899" t="s">
        <v>2973</v>
      </c>
      <c r="E1899" t="str">
        <f>_xlfn.XLOOKUP(F1899,'Raw Data'!$I$4:$I$5000,'Raw Data'!$D$4:$D$5000,"*** Mnemonic not found ***",0)</f>
        <v>*** Mnemonic not found ***</v>
      </c>
      <c r="F1899" t="str">
        <f t="shared" si="474"/>
        <v>SUCMFORCURRCTRY27__</v>
      </c>
      <c r="H1899" s="9" t="s">
        <v>1137</v>
      </c>
      <c r="K1899" s="9">
        <f t="shared" si="476"/>
        <v>888</v>
      </c>
      <c r="L1899" s="9" t="str">
        <f t="shared" si="477"/>
        <v>C</v>
      </c>
      <c r="M1899" s="9" t="str">
        <f t="shared" si="471"/>
        <v>Input!C888</v>
      </c>
      <c r="N1899" s="9">
        <f>_xlfn.XLOOKUP(F1899,'Raw Data'!$I$4:$I$5000,'Raw Data'!$E$4:$E$5000,100,0)</f>
        <v>100</v>
      </c>
      <c r="O1899" s="9" t="str">
        <f>IF(N1899=0,_xlfn.XLOOKUP(F1899,'Raw Data'!$I$4:$I$5000,'Raw Data'!$H$4:$H$5000,"",0),"")</f>
        <v/>
      </c>
      <c r="P1899" s="9" t="str" cm="1">
        <f t="array" aca="1" ref="P1899" ca="1">IF(INDIRECT(M1899) = "","",INDIRECT(M1899))</f>
        <v/>
      </c>
      <c r="Q1899" s="359" t="s">
        <v>4380</v>
      </c>
    </row>
    <row r="1900" spans="1:17" x14ac:dyDescent="0.35">
      <c r="A1900" t="s">
        <v>2974</v>
      </c>
      <c r="E1900" t="str">
        <f>_xlfn.XLOOKUP(F1900,'Raw Data'!$I$4:$I$5000,'Raw Data'!$D$4:$D$5000,"*** Mnemonic not found ***",0)</f>
        <v>*** Mnemonic not found ***</v>
      </c>
      <c r="F1900" t="str">
        <f t="shared" si="474"/>
        <v>SUCMFORCURRCTRY28__</v>
      </c>
      <c r="H1900" s="9" t="s">
        <v>1137</v>
      </c>
      <c r="K1900" s="9">
        <f t="shared" si="476"/>
        <v>889</v>
      </c>
      <c r="L1900" s="9" t="str">
        <f t="shared" si="477"/>
        <v>C</v>
      </c>
      <c r="M1900" s="9" t="str">
        <f t="shared" si="471"/>
        <v>Input!C889</v>
      </c>
      <c r="N1900" s="9">
        <f>_xlfn.XLOOKUP(F1900,'Raw Data'!$I$4:$I$5000,'Raw Data'!$E$4:$E$5000,100,0)</f>
        <v>100</v>
      </c>
      <c r="O1900" s="9" t="str">
        <f>IF(N1900=0,_xlfn.XLOOKUP(F1900,'Raw Data'!$I$4:$I$5000,'Raw Data'!$H$4:$H$5000,"",0),"")</f>
        <v/>
      </c>
      <c r="P1900" s="9" t="str" cm="1">
        <f t="array" aca="1" ref="P1900" ca="1">IF(INDIRECT(M1900) = "","",INDIRECT(M1900))</f>
        <v/>
      </c>
      <c r="Q1900" s="359" t="s">
        <v>4380</v>
      </c>
    </row>
    <row r="1901" spans="1:17" x14ac:dyDescent="0.35">
      <c r="A1901" t="s">
        <v>2975</v>
      </c>
      <c r="E1901" t="str">
        <f>_xlfn.XLOOKUP(F1901,'Raw Data'!$I$4:$I$5000,'Raw Data'!$D$4:$D$5000,"*** Mnemonic not found ***",0)</f>
        <v>*** Mnemonic not found ***</v>
      </c>
      <c r="F1901" t="str">
        <f t="shared" si="474"/>
        <v>SUCMFORCURRCTRY29__</v>
      </c>
      <c r="H1901" s="9" t="s">
        <v>1137</v>
      </c>
      <c r="K1901" s="9">
        <f t="shared" si="476"/>
        <v>890</v>
      </c>
      <c r="L1901" s="9" t="str">
        <f t="shared" si="477"/>
        <v>C</v>
      </c>
      <c r="M1901" s="9" t="str">
        <f t="shared" si="471"/>
        <v>Input!C890</v>
      </c>
      <c r="N1901" s="9">
        <f>_xlfn.XLOOKUP(F1901,'Raw Data'!$I$4:$I$5000,'Raw Data'!$E$4:$E$5000,100,0)</f>
        <v>100</v>
      </c>
      <c r="O1901" s="9" t="str">
        <f>IF(N1901=0,_xlfn.XLOOKUP(F1901,'Raw Data'!$I$4:$I$5000,'Raw Data'!$H$4:$H$5000,"",0),"")</f>
        <v/>
      </c>
      <c r="P1901" s="9" t="str" cm="1">
        <f t="array" aca="1" ref="P1901" ca="1">IF(INDIRECT(M1901) = "","",INDIRECT(M1901))</f>
        <v/>
      </c>
      <c r="Q1901" s="359" t="s">
        <v>4380</v>
      </c>
    </row>
    <row r="1902" spans="1:17" x14ac:dyDescent="0.35">
      <c r="A1902" t="s">
        <v>2976</v>
      </c>
      <c r="E1902" t="str">
        <f>_xlfn.XLOOKUP(F1902,'Raw Data'!$I$4:$I$5000,'Raw Data'!$D$4:$D$5000,"*** Mnemonic not found ***",0)</f>
        <v>*** Mnemonic not found ***</v>
      </c>
      <c r="F1902" t="str">
        <f t="shared" si="474"/>
        <v>SUCMFORCURRCTRY30__</v>
      </c>
      <c r="H1902" s="9" t="s">
        <v>1137</v>
      </c>
      <c r="K1902" s="9">
        <f t="shared" si="476"/>
        <v>891</v>
      </c>
      <c r="L1902" s="9" t="str">
        <f t="shared" si="477"/>
        <v>C</v>
      </c>
      <c r="M1902" s="9" t="str">
        <f t="shared" si="471"/>
        <v>Input!C891</v>
      </c>
      <c r="N1902" s="9">
        <f>_xlfn.XLOOKUP(F1902,'Raw Data'!$I$4:$I$5000,'Raw Data'!$E$4:$E$5000,100,0)</f>
        <v>100</v>
      </c>
      <c r="O1902" s="9" t="str">
        <f>IF(N1902=0,_xlfn.XLOOKUP(F1902,'Raw Data'!$I$4:$I$5000,'Raw Data'!$H$4:$H$5000,"",0),"")</f>
        <v/>
      </c>
      <c r="P1902" s="9" t="str" cm="1">
        <f t="array" aca="1" ref="P1902" ca="1">IF(INDIRECT(M1902) = "","",INDIRECT(M1902))</f>
        <v/>
      </c>
      <c r="Q1902" s="359" t="s">
        <v>4380</v>
      </c>
    </row>
    <row r="1903" spans="1:17" x14ac:dyDescent="0.35">
      <c r="A1903" t="s">
        <v>2977</v>
      </c>
      <c r="E1903" t="str">
        <f>_xlfn.XLOOKUP(F1903,'Raw Data'!$I$4:$I$5000,'Raw Data'!$D$4:$D$5000,"*** Mnemonic not found ***",0)</f>
        <v>*** Mnemonic not found ***</v>
      </c>
      <c r="F1903" t="str">
        <f t="shared" si="474"/>
        <v>SUCMFORCURRCTRY31__</v>
      </c>
      <c r="H1903" s="9" t="s">
        <v>1137</v>
      </c>
      <c r="K1903" s="9">
        <f t="shared" si="476"/>
        <v>892</v>
      </c>
      <c r="L1903" s="9" t="str">
        <f t="shared" si="477"/>
        <v>C</v>
      </c>
      <c r="M1903" s="9" t="str">
        <f t="shared" si="471"/>
        <v>Input!C892</v>
      </c>
      <c r="N1903" s="9">
        <f>_xlfn.XLOOKUP(F1903,'Raw Data'!$I$4:$I$5000,'Raw Data'!$E$4:$E$5000,100,0)</f>
        <v>100</v>
      </c>
      <c r="O1903" s="9" t="str">
        <f>IF(N1903=0,_xlfn.XLOOKUP(F1903,'Raw Data'!$I$4:$I$5000,'Raw Data'!$H$4:$H$5000,"",0),"")</f>
        <v/>
      </c>
      <c r="P1903" s="9" t="str" cm="1">
        <f t="array" aca="1" ref="P1903" ca="1">IF(INDIRECT(M1903) = "","",INDIRECT(M1903))</f>
        <v/>
      </c>
      <c r="Q1903" s="359" t="s">
        <v>4380</v>
      </c>
    </row>
    <row r="1904" spans="1:17" x14ac:dyDescent="0.35">
      <c r="A1904" t="s">
        <v>2978</v>
      </c>
      <c r="E1904" t="str">
        <f>_xlfn.XLOOKUP(F1904,'Raw Data'!$I$4:$I$5000,'Raw Data'!$D$4:$D$5000,"*** Mnemonic not found ***",0)</f>
        <v>*** Mnemonic not found ***</v>
      </c>
      <c r="F1904" t="str">
        <f t="shared" si="474"/>
        <v>SUCMFORCURRCTRY32__</v>
      </c>
      <c r="H1904" s="9" t="s">
        <v>1137</v>
      </c>
      <c r="K1904" s="9">
        <f t="shared" si="476"/>
        <v>893</v>
      </c>
      <c r="L1904" s="9" t="str">
        <f t="shared" si="477"/>
        <v>C</v>
      </c>
      <c r="M1904" s="9" t="str">
        <f t="shared" si="471"/>
        <v>Input!C893</v>
      </c>
      <c r="N1904" s="9">
        <f>_xlfn.XLOOKUP(F1904,'Raw Data'!$I$4:$I$5000,'Raw Data'!$E$4:$E$5000,100,0)</f>
        <v>100</v>
      </c>
      <c r="O1904" s="9" t="str">
        <f>IF(N1904=0,_xlfn.XLOOKUP(F1904,'Raw Data'!$I$4:$I$5000,'Raw Data'!$H$4:$H$5000,"",0),"")</f>
        <v/>
      </c>
      <c r="P1904" s="9" t="str" cm="1">
        <f t="array" aca="1" ref="P1904" ca="1">IF(INDIRECT(M1904) = "","",INDIRECT(M1904))</f>
        <v/>
      </c>
      <c r="Q1904" s="359" t="s">
        <v>4380</v>
      </c>
    </row>
    <row r="1905" spans="1:17" x14ac:dyDescent="0.35">
      <c r="A1905" t="s">
        <v>2979</v>
      </c>
      <c r="E1905" t="str">
        <f>_xlfn.XLOOKUP(F1905,'Raw Data'!$I$4:$I$5000,'Raw Data'!$D$4:$D$5000,"*** Mnemonic not found ***",0)</f>
        <v>*** Mnemonic not found ***</v>
      </c>
      <c r="F1905" t="str">
        <f t="shared" si="474"/>
        <v>SUCMFORCURRCTRY33__</v>
      </c>
      <c r="H1905" s="9" t="s">
        <v>1137</v>
      </c>
      <c r="K1905" s="9">
        <f t="shared" si="476"/>
        <v>894</v>
      </c>
      <c r="L1905" s="9" t="str">
        <f t="shared" si="477"/>
        <v>C</v>
      </c>
      <c r="M1905" s="9" t="str">
        <f t="shared" si="471"/>
        <v>Input!C894</v>
      </c>
      <c r="N1905" s="9">
        <f>_xlfn.XLOOKUP(F1905,'Raw Data'!$I$4:$I$5000,'Raw Data'!$E$4:$E$5000,100,0)</f>
        <v>100</v>
      </c>
      <c r="O1905" s="9" t="str">
        <f>IF(N1905=0,_xlfn.XLOOKUP(F1905,'Raw Data'!$I$4:$I$5000,'Raw Data'!$H$4:$H$5000,"",0),"")</f>
        <v/>
      </c>
      <c r="P1905" s="9" t="str" cm="1">
        <f t="array" aca="1" ref="P1905" ca="1">IF(INDIRECT(M1905) = "","",INDIRECT(M1905))</f>
        <v/>
      </c>
      <c r="Q1905" s="359" t="s">
        <v>4380</v>
      </c>
    </row>
    <row r="1906" spans="1:17" x14ac:dyDescent="0.35">
      <c r="A1906" t="s">
        <v>2980</v>
      </c>
      <c r="E1906" t="str">
        <f>_xlfn.XLOOKUP(F1906,'Raw Data'!$I$4:$I$5000,'Raw Data'!$D$4:$D$5000,"*** Mnemonic not found ***",0)</f>
        <v>*** Mnemonic not found ***</v>
      </c>
      <c r="F1906" t="str">
        <f t="shared" si="474"/>
        <v>SUCMFORCURRCTRY34__</v>
      </c>
      <c r="H1906" s="9" t="s">
        <v>1137</v>
      </c>
      <c r="K1906" s="9">
        <f t="shared" si="476"/>
        <v>895</v>
      </c>
      <c r="L1906" s="9" t="str">
        <f t="shared" si="477"/>
        <v>C</v>
      </c>
      <c r="M1906" s="9" t="str">
        <f t="shared" si="471"/>
        <v>Input!C895</v>
      </c>
      <c r="N1906" s="9">
        <f>_xlfn.XLOOKUP(F1906,'Raw Data'!$I$4:$I$5000,'Raw Data'!$E$4:$E$5000,100,0)</f>
        <v>100</v>
      </c>
      <c r="O1906" s="9" t="str">
        <f>IF(N1906=0,_xlfn.XLOOKUP(F1906,'Raw Data'!$I$4:$I$5000,'Raw Data'!$H$4:$H$5000,"",0),"")</f>
        <v/>
      </c>
      <c r="P1906" s="9" t="str" cm="1">
        <f t="array" aca="1" ref="P1906" ca="1">IF(INDIRECT(M1906) = "","",INDIRECT(M1906))</f>
        <v/>
      </c>
      <c r="Q1906" s="359" t="s">
        <v>4380</v>
      </c>
    </row>
    <row r="1907" spans="1:17" x14ac:dyDescent="0.35">
      <c r="A1907" t="s">
        <v>2981</v>
      </c>
      <c r="E1907" t="str">
        <f>_xlfn.XLOOKUP(F1907,'Raw Data'!$I$4:$I$5000,'Raw Data'!$D$4:$D$5000,"*** Mnemonic not found ***",0)</f>
        <v>*** Mnemonic not found ***</v>
      </c>
      <c r="F1907" t="str">
        <f t="shared" si="474"/>
        <v>SUCMFORCURRCTRY35__</v>
      </c>
      <c r="H1907" s="9" t="s">
        <v>1137</v>
      </c>
      <c r="K1907" s="9">
        <f t="shared" si="476"/>
        <v>896</v>
      </c>
      <c r="L1907" s="9" t="str">
        <f t="shared" si="477"/>
        <v>C</v>
      </c>
      <c r="M1907" s="9" t="str">
        <f t="shared" si="471"/>
        <v>Input!C896</v>
      </c>
      <c r="N1907" s="9">
        <f>_xlfn.XLOOKUP(F1907,'Raw Data'!$I$4:$I$5000,'Raw Data'!$E$4:$E$5000,100,0)</f>
        <v>100</v>
      </c>
      <c r="O1907" s="9" t="str">
        <f>IF(N1907=0,_xlfn.XLOOKUP(F1907,'Raw Data'!$I$4:$I$5000,'Raw Data'!$H$4:$H$5000,"",0),"")</f>
        <v/>
      </c>
      <c r="P1907" s="9" t="str" cm="1">
        <f t="array" aca="1" ref="P1907" ca="1">IF(INDIRECT(M1907) = "","",INDIRECT(M1907))</f>
        <v/>
      </c>
      <c r="Q1907" s="359" t="s">
        <v>4380</v>
      </c>
    </row>
    <row r="1908" spans="1:17" x14ac:dyDescent="0.35">
      <c r="A1908" t="s">
        <v>2903</v>
      </c>
      <c r="E1908" t="str">
        <f>_xlfn.XLOOKUP(F1908,'Raw Data'!$I$4:$I$5000,'Raw Data'!$D$4:$D$5000,"*** Mnemonic not found ***",0)</f>
        <v>*** Mnemonic not found ***</v>
      </c>
      <c r="F1908" t="str">
        <f t="shared" si="474"/>
        <v>SUCMFORCURRCTRY_IRRSK2__</v>
      </c>
      <c r="H1908" s="9" t="s">
        <v>1137</v>
      </c>
      <c r="K1908" s="9">
        <f>K1874</f>
        <v>863</v>
      </c>
      <c r="L1908" s="9" t="s">
        <v>1123</v>
      </c>
      <c r="M1908" s="9" t="str">
        <f t="shared" si="471"/>
        <v>Input!D863</v>
      </c>
      <c r="N1908" s="9">
        <f>_xlfn.XLOOKUP(F1908,'Raw Data'!$I$4:$I$5000,'Raw Data'!$E$4:$E$5000,100,0)</f>
        <v>100</v>
      </c>
      <c r="O1908" s="9" t="str">
        <f>IF(N1908=0,_xlfn.XLOOKUP(F1908,'Raw Data'!$I$4:$I$5000,'Raw Data'!$H$4:$H$5000,"",0),"")</f>
        <v/>
      </c>
      <c r="P1908" s="9" t="str" cm="1">
        <f t="array" aca="1" ref="P1908" ca="1">IF(INDIRECT(M1908) = "","",INDIRECT(M1908))</f>
        <v/>
      </c>
      <c r="Q1908" s="359" t="s">
        <v>4380</v>
      </c>
    </row>
    <row r="1909" spans="1:17" x14ac:dyDescent="0.35">
      <c r="A1909" t="s">
        <v>2904</v>
      </c>
      <c r="E1909" t="str">
        <f>_xlfn.XLOOKUP(F1909,'Raw Data'!$I$4:$I$5000,'Raw Data'!$D$4:$D$5000,"*** Mnemonic not found ***",0)</f>
        <v>*** Mnemonic not found ***</v>
      </c>
      <c r="F1909" t="str">
        <f t="shared" si="474"/>
        <v>SUCMFORCURRCTRY_IRRSK3__</v>
      </c>
      <c r="H1909" s="9" t="s">
        <v>1137</v>
      </c>
      <c r="K1909" s="9">
        <f t="shared" ref="K1909:K1941" si="478">K1908+1</f>
        <v>864</v>
      </c>
      <c r="L1909" s="9" t="str">
        <f t="shared" ref="L1909:L1941" si="479">L1908</f>
        <v>D</v>
      </c>
      <c r="M1909" s="9" t="str">
        <f t="shared" si="471"/>
        <v>Input!D864</v>
      </c>
      <c r="N1909" s="9">
        <f>_xlfn.XLOOKUP(F1909,'Raw Data'!$I$4:$I$5000,'Raw Data'!$E$4:$E$5000,100,0)</f>
        <v>100</v>
      </c>
      <c r="O1909" s="9" t="str">
        <f>IF(N1909=0,_xlfn.XLOOKUP(F1909,'Raw Data'!$I$4:$I$5000,'Raw Data'!$H$4:$H$5000,"",0),"")</f>
        <v/>
      </c>
      <c r="P1909" s="9" t="str" cm="1">
        <f t="array" aca="1" ref="P1909" ca="1">IF(INDIRECT(M1909) = "","",INDIRECT(M1909))</f>
        <v/>
      </c>
      <c r="Q1909" s="359" t="s">
        <v>4380</v>
      </c>
    </row>
    <row r="1910" spans="1:17" x14ac:dyDescent="0.35">
      <c r="A1910" t="s">
        <v>2905</v>
      </c>
      <c r="E1910" t="str">
        <f>_xlfn.XLOOKUP(F1910,'Raw Data'!$I$4:$I$5000,'Raw Data'!$D$4:$D$5000,"*** Mnemonic not found ***",0)</f>
        <v>*** Mnemonic not found ***</v>
      </c>
      <c r="F1910" t="str">
        <f t="shared" si="474"/>
        <v>SUCMFORCURRCTRY_IRRSK4__</v>
      </c>
      <c r="H1910" s="9" t="s">
        <v>1137</v>
      </c>
      <c r="K1910" s="9">
        <f t="shared" si="478"/>
        <v>865</v>
      </c>
      <c r="L1910" s="9" t="str">
        <f t="shared" si="479"/>
        <v>D</v>
      </c>
      <c r="M1910" s="9" t="str">
        <f t="shared" si="471"/>
        <v>Input!D865</v>
      </c>
      <c r="N1910" s="9">
        <f>_xlfn.XLOOKUP(F1910,'Raw Data'!$I$4:$I$5000,'Raw Data'!$E$4:$E$5000,100,0)</f>
        <v>100</v>
      </c>
      <c r="O1910" s="9" t="str">
        <f>IF(N1910=0,_xlfn.XLOOKUP(F1910,'Raw Data'!$I$4:$I$5000,'Raw Data'!$H$4:$H$5000,"",0),"")</f>
        <v/>
      </c>
      <c r="P1910" s="9" t="str" cm="1">
        <f t="array" aca="1" ref="P1910" ca="1">IF(INDIRECT(M1910) = "","",INDIRECT(M1910))</f>
        <v/>
      </c>
      <c r="Q1910" s="359" t="s">
        <v>4380</v>
      </c>
    </row>
    <row r="1911" spans="1:17" x14ac:dyDescent="0.35">
      <c r="A1911" t="s">
        <v>2906</v>
      </c>
      <c r="E1911" t="str">
        <f>_xlfn.XLOOKUP(F1911,'Raw Data'!$I$4:$I$5000,'Raw Data'!$D$4:$D$5000,"*** Mnemonic not found ***",0)</f>
        <v>*** Mnemonic not found ***</v>
      </c>
      <c r="F1911" t="str">
        <f t="shared" si="474"/>
        <v>SUCMFORCURRCTRY_IRRSK5__</v>
      </c>
      <c r="H1911" s="9" t="s">
        <v>1137</v>
      </c>
      <c r="K1911" s="9">
        <f t="shared" si="478"/>
        <v>866</v>
      </c>
      <c r="L1911" s="9" t="str">
        <f t="shared" si="479"/>
        <v>D</v>
      </c>
      <c r="M1911" s="9" t="str">
        <f t="shared" si="471"/>
        <v>Input!D866</v>
      </c>
      <c r="N1911" s="9">
        <f>_xlfn.XLOOKUP(F1911,'Raw Data'!$I$4:$I$5000,'Raw Data'!$E$4:$E$5000,100,0)</f>
        <v>100</v>
      </c>
      <c r="O1911" s="9" t="str">
        <f>IF(N1911=0,_xlfn.XLOOKUP(F1911,'Raw Data'!$I$4:$I$5000,'Raw Data'!$H$4:$H$5000,"",0),"")</f>
        <v/>
      </c>
      <c r="P1911" s="9" t="str" cm="1">
        <f t="array" aca="1" ref="P1911" ca="1">IF(INDIRECT(M1911) = "","",INDIRECT(M1911))</f>
        <v/>
      </c>
      <c r="Q1911" s="359" t="s">
        <v>4380</v>
      </c>
    </row>
    <row r="1912" spans="1:17" x14ac:dyDescent="0.35">
      <c r="A1912" t="s">
        <v>2907</v>
      </c>
      <c r="E1912" t="str">
        <f>_xlfn.XLOOKUP(F1912,'Raw Data'!$I$4:$I$5000,'Raw Data'!$D$4:$D$5000,"*** Mnemonic not found ***",0)</f>
        <v>*** Mnemonic not found ***</v>
      </c>
      <c r="F1912" t="str">
        <f t="shared" si="474"/>
        <v>SUCMFORCURRCTRY_IRRSK6__</v>
      </c>
      <c r="H1912" s="9" t="s">
        <v>1137</v>
      </c>
      <c r="K1912" s="9">
        <f t="shared" si="478"/>
        <v>867</v>
      </c>
      <c r="L1912" s="9" t="str">
        <f t="shared" si="479"/>
        <v>D</v>
      </c>
      <c r="M1912" s="9" t="str">
        <f t="shared" si="471"/>
        <v>Input!D867</v>
      </c>
      <c r="N1912" s="9">
        <f>_xlfn.XLOOKUP(F1912,'Raw Data'!$I$4:$I$5000,'Raw Data'!$E$4:$E$5000,100,0)</f>
        <v>100</v>
      </c>
      <c r="O1912" s="9" t="str">
        <f>IF(N1912=0,_xlfn.XLOOKUP(F1912,'Raw Data'!$I$4:$I$5000,'Raw Data'!$H$4:$H$5000,"",0),"")</f>
        <v/>
      </c>
      <c r="P1912" s="9" t="str" cm="1">
        <f t="array" aca="1" ref="P1912" ca="1">IF(INDIRECT(M1912) = "","",INDIRECT(M1912))</f>
        <v/>
      </c>
      <c r="Q1912" s="359" t="s">
        <v>4380</v>
      </c>
    </row>
    <row r="1913" spans="1:17" x14ac:dyDescent="0.35">
      <c r="A1913" t="s">
        <v>2908</v>
      </c>
      <c r="E1913" t="str">
        <f>_xlfn.XLOOKUP(F1913,'Raw Data'!$I$4:$I$5000,'Raw Data'!$D$4:$D$5000,"*** Mnemonic not found ***",0)</f>
        <v>*** Mnemonic not found ***</v>
      </c>
      <c r="F1913" t="str">
        <f t="shared" si="474"/>
        <v>SUCMFORCURRCTRY_IRRSK7__</v>
      </c>
      <c r="H1913" s="9" t="s">
        <v>1137</v>
      </c>
      <c r="K1913" s="9">
        <f t="shared" si="478"/>
        <v>868</v>
      </c>
      <c r="L1913" s="9" t="str">
        <f t="shared" si="479"/>
        <v>D</v>
      </c>
      <c r="M1913" s="9" t="str">
        <f t="shared" si="471"/>
        <v>Input!D868</v>
      </c>
      <c r="N1913" s="9">
        <f>_xlfn.XLOOKUP(F1913,'Raw Data'!$I$4:$I$5000,'Raw Data'!$E$4:$E$5000,100,0)</f>
        <v>100</v>
      </c>
      <c r="O1913" s="9" t="str">
        <f>IF(N1913=0,_xlfn.XLOOKUP(F1913,'Raw Data'!$I$4:$I$5000,'Raw Data'!$H$4:$H$5000,"",0),"")</f>
        <v/>
      </c>
      <c r="P1913" s="9" t="str" cm="1">
        <f t="array" aca="1" ref="P1913" ca="1">IF(INDIRECT(M1913) = "","",INDIRECT(M1913))</f>
        <v/>
      </c>
      <c r="Q1913" s="359" t="s">
        <v>4380</v>
      </c>
    </row>
    <row r="1914" spans="1:17" x14ac:dyDescent="0.35">
      <c r="A1914" t="s">
        <v>2909</v>
      </c>
      <c r="E1914" t="str">
        <f>_xlfn.XLOOKUP(F1914,'Raw Data'!$I$4:$I$5000,'Raw Data'!$D$4:$D$5000,"*** Mnemonic not found ***",0)</f>
        <v>*** Mnemonic not found ***</v>
      </c>
      <c r="F1914" t="str">
        <f t="shared" si="474"/>
        <v>SUCMFORCURRCTRY_IRRSK8__</v>
      </c>
      <c r="H1914" s="9" t="s">
        <v>1137</v>
      </c>
      <c r="K1914" s="9">
        <f t="shared" si="478"/>
        <v>869</v>
      </c>
      <c r="L1914" s="9" t="str">
        <f t="shared" si="479"/>
        <v>D</v>
      </c>
      <c r="M1914" s="9" t="str">
        <f t="shared" si="471"/>
        <v>Input!D869</v>
      </c>
      <c r="N1914" s="9">
        <f>_xlfn.XLOOKUP(F1914,'Raw Data'!$I$4:$I$5000,'Raw Data'!$E$4:$E$5000,100,0)</f>
        <v>100</v>
      </c>
      <c r="O1914" s="9" t="str">
        <f>IF(N1914=0,_xlfn.XLOOKUP(F1914,'Raw Data'!$I$4:$I$5000,'Raw Data'!$H$4:$H$5000,"",0),"")</f>
        <v/>
      </c>
      <c r="P1914" s="9" t="str" cm="1">
        <f t="array" aca="1" ref="P1914" ca="1">IF(INDIRECT(M1914) = "","",INDIRECT(M1914))</f>
        <v/>
      </c>
      <c r="Q1914" s="359" t="s">
        <v>4380</v>
      </c>
    </row>
    <row r="1915" spans="1:17" x14ac:dyDescent="0.35">
      <c r="A1915" t="s">
        <v>2910</v>
      </c>
      <c r="E1915" t="str">
        <f>_xlfn.XLOOKUP(F1915,'Raw Data'!$I$4:$I$5000,'Raw Data'!$D$4:$D$5000,"*** Mnemonic not found ***",0)</f>
        <v>*** Mnemonic not found ***</v>
      </c>
      <c r="F1915" t="str">
        <f t="shared" si="474"/>
        <v>SUCMFORCURRCTRY_IRRSK9__</v>
      </c>
      <c r="H1915" s="9" t="s">
        <v>1137</v>
      </c>
      <c r="K1915" s="9">
        <f t="shared" si="478"/>
        <v>870</v>
      </c>
      <c r="L1915" s="9" t="str">
        <f t="shared" si="479"/>
        <v>D</v>
      </c>
      <c r="M1915" s="9" t="str">
        <f t="shared" si="471"/>
        <v>Input!D870</v>
      </c>
      <c r="N1915" s="9">
        <f>_xlfn.XLOOKUP(F1915,'Raw Data'!$I$4:$I$5000,'Raw Data'!$E$4:$E$5000,100,0)</f>
        <v>100</v>
      </c>
      <c r="O1915" s="9" t="str">
        <f>IF(N1915=0,_xlfn.XLOOKUP(F1915,'Raw Data'!$I$4:$I$5000,'Raw Data'!$H$4:$H$5000,"",0),"")</f>
        <v/>
      </c>
      <c r="P1915" s="9" t="str" cm="1">
        <f t="array" aca="1" ref="P1915" ca="1">IF(INDIRECT(M1915) = "","",INDIRECT(M1915))</f>
        <v/>
      </c>
      <c r="Q1915" s="359" t="s">
        <v>4380</v>
      </c>
    </row>
    <row r="1916" spans="1:17" x14ac:dyDescent="0.35">
      <c r="A1916" t="s">
        <v>2911</v>
      </c>
      <c r="E1916" t="str">
        <f>_xlfn.XLOOKUP(F1916,'Raw Data'!$I$4:$I$5000,'Raw Data'!$D$4:$D$5000,"*** Mnemonic not found ***",0)</f>
        <v>*** Mnemonic not found ***</v>
      </c>
      <c r="F1916" t="str">
        <f t="shared" si="474"/>
        <v>SUCMFORCURRCTRY_IRRSK10__</v>
      </c>
      <c r="H1916" s="9" t="s">
        <v>1137</v>
      </c>
      <c r="K1916" s="9">
        <f t="shared" si="478"/>
        <v>871</v>
      </c>
      <c r="L1916" s="9" t="str">
        <f t="shared" si="479"/>
        <v>D</v>
      </c>
      <c r="M1916" s="9" t="str">
        <f t="shared" si="471"/>
        <v>Input!D871</v>
      </c>
      <c r="N1916" s="9">
        <f>_xlfn.XLOOKUP(F1916,'Raw Data'!$I$4:$I$5000,'Raw Data'!$E$4:$E$5000,100,0)</f>
        <v>100</v>
      </c>
      <c r="O1916" s="9" t="str">
        <f>IF(N1916=0,_xlfn.XLOOKUP(F1916,'Raw Data'!$I$4:$I$5000,'Raw Data'!$H$4:$H$5000,"",0),"")</f>
        <v/>
      </c>
      <c r="P1916" s="9" t="str" cm="1">
        <f t="array" aca="1" ref="P1916" ca="1">IF(INDIRECT(M1916) = "","",INDIRECT(M1916))</f>
        <v/>
      </c>
      <c r="Q1916" s="359" t="s">
        <v>4380</v>
      </c>
    </row>
    <row r="1917" spans="1:17" x14ac:dyDescent="0.35">
      <c r="A1917" t="s">
        <v>2912</v>
      </c>
      <c r="E1917" t="str">
        <f>_xlfn.XLOOKUP(F1917,'Raw Data'!$I$4:$I$5000,'Raw Data'!$D$4:$D$5000,"*** Mnemonic not found ***",0)</f>
        <v>*** Mnemonic not found ***</v>
      </c>
      <c r="F1917" t="str">
        <f t="shared" si="474"/>
        <v>SUCMFORCURRCTRY_IRRSK11__</v>
      </c>
      <c r="H1917" s="9" t="s">
        <v>1137</v>
      </c>
      <c r="K1917" s="9">
        <f t="shared" si="478"/>
        <v>872</v>
      </c>
      <c r="L1917" s="9" t="str">
        <f t="shared" si="479"/>
        <v>D</v>
      </c>
      <c r="M1917" s="9" t="str">
        <f t="shared" si="471"/>
        <v>Input!D872</v>
      </c>
      <c r="N1917" s="9">
        <f>_xlfn.XLOOKUP(F1917,'Raw Data'!$I$4:$I$5000,'Raw Data'!$E$4:$E$5000,100,0)</f>
        <v>100</v>
      </c>
      <c r="O1917" s="9" t="str">
        <f>IF(N1917=0,_xlfn.XLOOKUP(F1917,'Raw Data'!$I$4:$I$5000,'Raw Data'!$H$4:$H$5000,"",0),"")</f>
        <v/>
      </c>
      <c r="P1917" s="9" t="str" cm="1">
        <f t="array" aca="1" ref="P1917" ca="1">IF(INDIRECT(M1917) = "","",INDIRECT(M1917))</f>
        <v/>
      </c>
      <c r="Q1917" s="359" t="s">
        <v>4380</v>
      </c>
    </row>
    <row r="1918" spans="1:17" x14ac:dyDescent="0.35">
      <c r="A1918" t="s">
        <v>2913</v>
      </c>
      <c r="E1918" t="str">
        <f>_xlfn.XLOOKUP(F1918,'Raw Data'!$I$4:$I$5000,'Raw Data'!$D$4:$D$5000,"*** Mnemonic not found ***",0)</f>
        <v>*** Mnemonic not found ***</v>
      </c>
      <c r="F1918" t="str">
        <f t="shared" si="474"/>
        <v>SUCMFORCURRCTRY_IRRSK12__</v>
      </c>
      <c r="H1918" s="9" t="s">
        <v>1137</v>
      </c>
      <c r="K1918" s="9">
        <f t="shared" si="478"/>
        <v>873</v>
      </c>
      <c r="L1918" s="9" t="str">
        <f t="shared" si="479"/>
        <v>D</v>
      </c>
      <c r="M1918" s="9" t="str">
        <f t="shared" si="471"/>
        <v>Input!D873</v>
      </c>
      <c r="N1918" s="9">
        <f>_xlfn.XLOOKUP(F1918,'Raw Data'!$I$4:$I$5000,'Raw Data'!$E$4:$E$5000,100,0)</f>
        <v>100</v>
      </c>
      <c r="O1918" s="9" t="str">
        <f>IF(N1918=0,_xlfn.XLOOKUP(F1918,'Raw Data'!$I$4:$I$5000,'Raw Data'!$H$4:$H$5000,"",0),"")</f>
        <v/>
      </c>
      <c r="P1918" s="9" t="str" cm="1">
        <f t="array" aca="1" ref="P1918" ca="1">IF(INDIRECT(M1918) = "","",INDIRECT(M1918))</f>
        <v/>
      </c>
      <c r="Q1918" s="359" t="s">
        <v>4380</v>
      </c>
    </row>
    <row r="1919" spans="1:17" x14ac:dyDescent="0.35">
      <c r="A1919" t="s">
        <v>2914</v>
      </c>
      <c r="E1919" t="str">
        <f>_xlfn.XLOOKUP(F1919,'Raw Data'!$I$4:$I$5000,'Raw Data'!$D$4:$D$5000,"*** Mnemonic not found ***",0)</f>
        <v>*** Mnemonic not found ***</v>
      </c>
      <c r="F1919" t="str">
        <f t="shared" si="474"/>
        <v>SUCMFORCURRCTRY_IRRSK13__</v>
      </c>
      <c r="H1919" s="9" t="s">
        <v>1137</v>
      </c>
      <c r="K1919" s="9">
        <f t="shared" si="478"/>
        <v>874</v>
      </c>
      <c r="L1919" s="9" t="str">
        <f t="shared" si="479"/>
        <v>D</v>
      </c>
      <c r="M1919" s="9" t="str">
        <f t="shared" si="471"/>
        <v>Input!D874</v>
      </c>
      <c r="N1919" s="9">
        <f>_xlfn.XLOOKUP(F1919,'Raw Data'!$I$4:$I$5000,'Raw Data'!$E$4:$E$5000,100,0)</f>
        <v>100</v>
      </c>
      <c r="O1919" s="9" t="str">
        <f>IF(N1919=0,_xlfn.XLOOKUP(F1919,'Raw Data'!$I$4:$I$5000,'Raw Data'!$H$4:$H$5000,"",0),"")</f>
        <v/>
      </c>
      <c r="P1919" s="9" t="str" cm="1">
        <f t="array" aca="1" ref="P1919" ca="1">IF(INDIRECT(M1919) = "","",INDIRECT(M1919))</f>
        <v/>
      </c>
      <c r="Q1919" s="359" t="s">
        <v>4380</v>
      </c>
    </row>
    <row r="1920" spans="1:17" x14ac:dyDescent="0.35">
      <c r="A1920" t="s">
        <v>2915</v>
      </c>
      <c r="E1920" t="str">
        <f>_xlfn.XLOOKUP(F1920,'Raw Data'!$I$4:$I$5000,'Raw Data'!$D$4:$D$5000,"*** Mnemonic not found ***",0)</f>
        <v>*** Mnemonic not found ***</v>
      </c>
      <c r="F1920" t="str">
        <f t="shared" si="474"/>
        <v>SUCMFORCURRCTRY_IRRSK14__</v>
      </c>
      <c r="H1920" s="9" t="s">
        <v>1137</v>
      </c>
      <c r="K1920" s="9">
        <f t="shared" si="478"/>
        <v>875</v>
      </c>
      <c r="L1920" s="9" t="str">
        <f t="shared" si="479"/>
        <v>D</v>
      </c>
      <c r="M1920" s="9" t="str">
        <f t="shared" si="471"/>
        <v>Input!D875</v>
      </c>
      <c r="N1920" s="9">
        <f>_xlfn.XLOOKUP(F1920,'Raw Data'!$I$4:$I$5000,'Raw Data'!$E$4:$E$5000,100,0)</f>
        <v>100</v>
      </c>
      <c r="O1920" s="9" t="str">
        <f>IF(N1920=0,_xlfn.XLOOKUP(F1920,'Raw Data'!$I$4:$I$5000,'Raw Data'!$H$4:$H$5000,"",0),"")</f>
        <v/>
      </c>
      <c r="P1920" s="9" t="str" cm="1">
        <f t="array" aca="1" ref="P1920" ca="1">IF(INDIRECT(M1920) = "","",INDIRECT(M1920))</f>
        <v/>
      </c>
      <c r="Q1920" s="359" t="s">
        <v>4380</v>
      </c>
    </row>
    <row r="1921" spans="1:17" x14ac:dyDescent="0.35">
      <c r="A1921" t="s">
        <v>2916</v>
      </c>
      <c r="E1921" t="str">
        <f>_xlfn.XLOOKUP(F1921,'Raw Data'!$I$4:$I$5000,'Raw Data'!$D$4:$D$5000,"*** Mnemonic not found ***",0)</f>
        <v>*** Mnemonic not found ***</v>
      </c>
      <c r="F1921" t="str">
        <f t="shared" si="474"/>
        <v>SUCMFORCURRCTRY_IRRSK15__</v>
      </c>
      <c r="H1921" s="9" t="s">
        <v>1137</v>
      </c>
      <c r="K1921" s="9">
        <f t="shared" si="478"/>
        <v>876</v>
      </c>
      <c r="L1921" s="9" t="str">
        <f t="shared" si="479"/>
        <v>D</v>
      </c>
      <c r="M1921" s="9" t="str">
        <f t="shared" si="471"/>
        <v>Input!D876</v>
      </c>
      <c r="N1921" s="9">
        <f>_xlfn.XLOOKUP(F1921,'Raw Data'!$I$4:$I$5000,'Raw Data'!$E$4:$E$5000,100,0)</f>
        <v>100</v>
      </c>
      <c r="O1921" s="9" t="str">
        <f>IF(N1921=0,_xlfn.XLOOKUP(F1921,'Raw Data'!$I$4:$I$5000,'Raw Data'!$H$4:$H$5000,"",0),"")</f>
        <v/>
      </c>
      <c r="P1921" s="9" t="str" cm="1">
        <f t="array" aca="1" ref="P1921" ca="1">IF(INDIRECT(M1921) = "","",INDIRECT(M1921))</f>
        <v/>
      </c>
      <c r="Q1921" s="359" t="s">
        <v>4380</v>
      </c>
    </row>
    <row r="1922" spans="1:17" x14ac:dyDescent="0.35">
      <c r="A1922" t="s">
        <v>2982</v>
      </c>
      <c r="E1922" t="str">
        <f>_xlfn.XLOOKUP(F1922,'Raw Data'!$I$4:$I$5000,'Raw Data'!$D$4:$D$5000,"*** Mnemonic not found ***",0)</f>
        <v>*** Mnemonic not found ***</v>
      </c>
      <c r="F1922" t="str">
        <f t="shared" si="474"/>
        <v>SUCMFORCURRCTRY_IRRSK16__</v>
      </c>
      <c r="H1922" s="9" t="s">
        <v>1137</v>
      </c>
      <c r="K1922" s="9">
        <f t="shared" si="478"/>
        <v>877</v>
      </c>
      <c r="L1922" s="9" t="str">
        <f t="shared" si="479"/>
        <v>D</v>
      </c>
      <c r="M1922" s="9" t="str">
        <f t="shared" si="471"/>
        <v>Input!D877</v>
      </c>
      <c r="N1922" s="9">
        <f>_xlfn.XLOOKUP(F1922,'Raw Data'!$I$4:$I$5000,'Raw Data'!$E$4:$E$5000,100,0)</f>
        <v>100</v>
      </c>
      <c r="O1922" s="9" t="str">
        <f>IF(N1922=0,_xlfn.XLOOKUP(F1922,'Raw Data'!$I$4:$I$5000,'Raw Data'!$H$4:$H$5000,"",0),"")</f>
        <v/>
      </c>
      <c r="P1922" s="9" t="str" cm="1">
        <f t="array" aca="1" ref="P1922" ca="1">IF(INDIRECT(M1922) = "","",INDIRECT(M1922))</f>
        <v/>
      </c>
      <c r="Q1922" s="359" t="s">
        <v>4380</v>
      </c>
    </row>
    <row r="1923" spans="1:17" x14ac:dyDescent="0.35">
      <c r="A1923" t="s">
        <v>2983</v>
      </c>
      <c r="E1923" t="str">
        <f>_xlfn.XLOOKUP(F1923,'Raw Data'!$I$4:$I$5000,'Raw Data'!$D$4:$D$5000,"*** Mnemonic not found ***",0)</f>
        <v>*** Mnemonic not found ***</v>
      </c>
      <c r="F1923" t="str">
        <f t="shared" si="474"/>
        <v>SUCMFORCURRCTRY_IRRSK17__</v>
      </c>
      <c r="H1923" s="9" t="s">
        <v>1137</v>
      </c>
      <c r="K1923" s="9">
        <f t="shared" si="478"/>
        <v>878</v>
      </c>
      <c r="L1923" s="9" t="str">
        <f t="shared" si="479"/>
        <v>D</v>
      </c>
      <c r="M1923" s="9" t="str">
        <f t="shared" si="471"/>
        <v>Input!D878</v>
      </c>
      <c r="N1923" s="9">
        <f>_xlfn.XLOOKUP(F1923,'Raw Data'!$I$4:$I$5000,'Raw Data'!$E$4:$E$5000,100,0)</f>
        <v>100</v>
      </c>
      <c r="O1923" s="9" t="str">
        <f>IF(N1923=0,_xlfn.XLOOKUP(F1923,'Raw Data'!$I$4:$I$5000,'Raw Data'!$H$4:$H$5000,"",0),"")</f>
        <v/>
      </c>
      <c r="P1923" s="9" t="str" cm="1">
        <f t="array" aca="1" ref="P1923" ca="1">IF(INDIRECT(M1923) = "","",INDIRECT(M1923))</f>
        <v/>
      </c>
      <c r="Q1923" s="359" t="s">
        <v>4380</v>
      </c>
    </row>
    <row r="1924" spans="1:17" x14ac:dyDescent="0.35">
      <c r="A1924" t="s">
        <v>2984</v>
      </c>
      <c r="E1924" t="str">
        <f>_xlfn.XLOOKUP(F1924,'Raw Data'!$I$4:$I$5000,'Raw Data'!$D$4:$D$5000,"*** Mnemonic not found ***",0)</f>
        <v>*** Mnemonic not found ***</v>
      </c>
      <c r="F1924" t="str">
        <f t="shared" si="474"/>
        <v>SUCMFORCURRCTRY_IRRSK18__</v>
      </c>
      <c r="H1924" s="9" t="s">
        <v>1137</v>
      </c>
      <c r="K1924" s="9">
        <f t="shared" si="478"/>
        <v>879</v>
      </c>
      <c r="L1924" s="9" t="str">
        <f t="shared" si="479"/>
        <v>D</v>
      </c>
      <c r="M1924" s="9" t="str">
        <f t="shared" si="471"/>
        <v>Input!D879</v>
      </c>
      <c r="N1924" s="9">
        <f>_xlfn.XLOOKUP(F1924,'Raw Data'!$I$4:$I$5000,'Raw Data'!$E$4:$E$5000,100,0)</f>
        <v>100</v>
      </c>
      <c r="O1924" s="9" t="str">
        <f>IF(N1924=0,_xlfn.XLOOKUP(F1924,'Raw Data'!$I$4:$I$5000,'Raw Data'!$H$4:$H$5000,"",0),"")</f>
        <v/>
      </c>
      <c r="P1924" s="9" t="str" cm="1">
        <f t="array" aca="1" ref="P1924" ca="1">IF(INDIRECT(M1924) = "","",INDIRECT(M1924))</f>
        <v/>
      </c>
      <c r="Q1924" s="359" t="s">
        <v>4380</v>
      </c>
    </row>
    <row r="1925" spans="1:17" x14ac:dyDescent="0.35">
      <c r="A1925" t="s">
        <v>2985</v>
      </c>
      <c r="E1925" t="str">
        <f>_xlfn.XLOOKUP(F1925,'Raw Data'!$I$4:$I$5000,'Raw Data'!$D$4:$D$5000,"*** Mnemonic not found ***",0)</f>
        <v>*** Mnemonic not found ***</v>
      </c>
      <c r="F1925" t="str">
        <f t="shared" si="474"/>
        <v>SUCMFORCURRCTRY_IRRSK19__</v>
      </c>
      <c r="H1925" s="9" t="s">
        <v>1137</v>
      </c>
      <c r="K1925" s="9">
        <f t="shared" si="478"/>
        <v>880</v>
      </c>
      <c r="L1925" s="9" t="str">
        <f t="shared" si="479"/>
        <v>D</v>
      </c>
      <c r="M1925" s="9" t="str">
        <f t="shared" si="471"/>
        <v>Input!D880</v>
      </c>
      <c r="N1925" s="9">
        <f>_xlfn.XLOOKUP(F1925,'Raw Data'!$I$4:$I$5000,'Raw Data'!$E$4:$E$5000,100,0)</f>
        <v>100</v>
      </c>
      <c r="O1925" s="9" t="str">
        <f>IF(N1925=0,_xlfn.XLOOKUP(F1925,'Raw Data'!$I$4:$I$5000,'Raw Data'!$H$4:$H$5000,"",0),"")</f>
        <v/>
      </c>
      <c r="P1925" s="9" t="str" cm="1">
        <f t="array" aca="1" ref="P1925" ca="1">IF(INDIRECT(M1925) = "","",INDIRECT(M1925))</f>
        <v/>
      </c>
      <c r="Q1925" s="359" t="s">
        <v>4380</v>
      </c>
    </row>
    <row r="1926" spans="1:17" x14ac:dyDescent="0.35">
      <c r="A1926" t="s">
        <v>2986</v>
      </c>
      <c r="E1926" t="str">
        <f>_xlfn.XLOOKUP(F1926,'Raw Data'!$I$4:$I$5000,'Raw Data'!$D$4:$D$5000,"*** Mnemonic not found ***",0)</f>
        <v>*** Mnemonic not found ***</v>
      </c>
      <c r="F1926" t="str">
        <f t="shared" si="474"/>
        <v>SUCMFORCURRCTRY_IRRSK20__</v>
      </c>
      <c r="H1926" s="9" t="s">
        <v>1137</v>
      </c>
      <c r="K1926" s="9">
        <f t="shared" si="478"/>
        <v>881</v>
      </c>
      <c r="L1926" s="9" t="str">
        <f t="shared" si="479"/>
        <v>D</v>
      </c>
      <c r="M1926" s="9" t="str">
        <f t="shared" si="471"/>
        <v>Input!D881</v>
      </c>
      <c r="N1926" s="9">
        <f>_xlfn.XLOOKUP(F1926,'Raw Data'!$I$4:$I$5000,'Raw Data'!$E$4:$E$5000,100,0)</f>
        <v>100</v>
      </c>
      <c r="O1926" s="9" t="str">
        <f>IF(N1926=0,_xlfn.XLOOKUP(F1926,'Raw Data'!$I$4:$I$5000,'Raw Data'!$H$4:$H$5000,"",0),"")</f>
        <v/>
      </c>
      <c r="P1926" s="9" t="str" cm="1">
        <f t="array" aca="1" ref="P1926" ca="1">IF(INDIRECT(M1926) = "","",INDIRECT(M1926))</f>
        <v/>
      </c>
      <c r="Q1926" s="359" t="s">
        <v>4380</v>
      </c>
    </row>
    <row r="1927" spans="1:17" x14ac:dyDescent="0.35">
      <c r="A1927" t="s">
        <v>2987</v>
      </c>
      <c r="E1927" t="str">
        <f>_xlfn.XLOOKUP(F1927,'Raw Data'!$I$4:$I$5000,'Raw Data'!$D$4:$D$5000,"*** Mnemonic not found ***",0)</f>
        <v>*** Mnemonic not found ***</v>
      </c>
      <c r="F1927" t="str">
        <f t="shared" si="474"/>
        <v>SUCMFORCURRCTRY_IRRSK21__</v>
      </c>
      <c r="H1927" s="9" t="s">
        <v>1137</v>
      </c>
      <c r="K1927" s="9">
        <f t="shared" si="478"/>
        <v>882</v>
      </c>
      <c r="L1927" s="9" t="str">
        <f t="shared" si="479"/>
        <v>D</v>
      </c>
      <c r="M1927" s="9" t="str">
        <f t="shared" si="471"/>
        <v>Input!D882</v>
      </c>
      <c r="N1927" s="9">
        <f>_xlfn.XLOOKUP(F1927,'Raw Data'!$I$4:$I$5000,'Raw Data'!$E$4:$E$5000,100,0)</f>
        <v>100</v>
      </c>
      <c r="O1927" s="9" t="str">
        <f>IF(N1927=0,_xlfn.XLOOKUP(F1927,'Raw Data'!$I$4:$I$5000,'Raw Data'!$H$4:$H$5000,"",0),"")</f>
        <v/>
      </c>
      <c r="P1927" s="9" t="str" cm="1">
        <f t="array" aca="1" ref="P1927" ca="1">IF(INDIRECT(M1927) = "","",INDIRECT(M1927))</f>
        <v/>
      </c>
      <c r="Q1927" s="359" t="s">
        <v>4380</v>
      </c>
    </row>
    <row r="1928" spans="1:17" x14ac:dyDescent="0.35">
      <c r="A1928" t="s">
        <v>2988</v>
      </c>
      <c r="E1928" t="str">
        <f>_xlfn.XLOOKUP(F1928,'Raw Data'!$I$4:$I$5000,'Raw Data'!$D$4:$D$5000,"*** Mnemonic not found ***",0)</f>
        <v>*** Mnemonic not found ***</v>
      </c>
      <c r="F1928" t="str">
        <f t="shared" si="474"/>
        <v>SUCMFORCURRCTRY_IRRSK22__</v>
      </c>
      <c r="H1928" s="9" t="s">
        <v>1137</v>
      </c>
      <c r="K1928" s="9">
        <f t="shared" si="478"/>
        <v>883</v>
      </c>
      <c r="L1928" s="9" t="str">
        <f t="shared" si="479"/>
        <v>D</v>
      </c>
      <c r="M1928" s="9" t="str">
        <f t="shared" si="471"/>
        <v>Input!D883</v>
      </c>
      <c r="N1928" s="9">
        <f>_xlfn.XLOOKUP(F1928,'Raw Data'!$I$4:$I$5000,'Raw Data'!$E$4:$E$5000,100,0)</f>
        <v>100</v>
      </c>
      <c r="O1928" s="9" t="str">
        <f>IF(N1928=0,_xlfn.XLOOKUP(F1928,'Raw Data'!$I$4:$I$5000,'Raw Data'!$H$4:$H$5000,"",0),"")</f>
        <v/>
      </c>
      <c r="P1928" s="9" t="str" cm="1">
        <f t="array" aca="1" ref="P1928" ca="1">IF(INDIRECT(M1928) = "","",INDIRECT(M1928))</f>
        <v/>
      </c>
      <c r="Q1928" s="359" t="s">
        <v>4380</v>
      </c>
    </row>
    <row r="1929" spans="1:17" x14ac:dyDescent="0.35">
      <c r="A1929" t="s">
        <v>2989</v>
      </c>
      <c r="E1929" t="str">
        <f>_xlfn.XLOOKUP(F1929,'Raw Data'!$I$4:$I$5000,'Raw Data'!$D$4:$D$5000,"*** Mnemonic not found ***",0)</f>
        <v>*** Mnemonic not found ***</v>
      </c>
      <c r="F1929" t="str">
        <f t="shared" si="474"/>
        <v>SUCMFORCURRCTRY_IRRSK23__</v>
      </c>
      <c r="H1929" s="9" t="s">
        <v>1137</v>
      </c>
      <c r="K1929" s="9">
        <f t="shared" si="478"/>
        <v>884</v>
      </c>
      <c r="L1929" s="9" t="str">
        <f t="shared" si="479"/>
        <v>D</v>
      </c>
      <c r="M1929" s="9" t="str">
        <f t="shared" si="471"/>
        <v>Input!D884</v>
      </c>
      <c r="N1929" s="9">
        <f>_xlfn.XLOOKUP(F1929,'Raw Data'!$I$4:$I$5000,'Raw Data'!$E$4:$E$5000,100,0)</f>
        <v>100</v>
      </c>
      <c r="O1929" s="9" t="str">
        <f>IF(N1929=0,_xlfn.XLOOKUP(F1929,'Raw Data'!$I$4:$I$5000,'Raw Data'!$H$4:$H$5000,"",0),"")</f>
        <v/>
      </c>
      <c r="P1929" s="9" t="str" cm="1">
        <f t="array" aca="1" ref="P1929" ca="1">IF(INDIRECT(M1929) = "","",INDIRECT(M1929))</f>
        <v/>
      </c>
      <c r="Q1929" s="359" t="s">
        <v>4380</v>
      </c>
    </row>
    <row r="1930" spans="1:17" x14ac:dyDescent="0.35">
      <c r="A1930" t="s">
        <v>2990</v>
      </c>
      <c r="E1930" t="str">
        <f>_xlfn.XLOOKUP(F1930,'Raw Data'!$I$4:$I$5000,'Raw Data'!$D$4:$D$5000,"*** Mnemonic not found ***",0)</f>
        <v>*** Mnemonic not found ***</v>
      </c>
      <c r="F1930" t="str">
        <f t="shared" si="474"/>
        <v>SUCMFORCURRCTRY_IRRSK24__</v>
      </c>
      <c r="H1930" s="9" t="s">
        <v>1137</v>
      </c>
      <c r="K1930" s="9">
        <f t="shared" si="478"/>
        <v>885</v>
      </c>
      <c r="L1930" s="9" t="str">
        <f t="shared" si="479"/>
        <v>D</v>
      </c>
      <c r="M1930" s="9" t="str">
        <f t="shared" si="471"/>
        <v>Input!D885</v>
      </c>
      <c r="N1930" s="9">
        <f>_xlfn.XLOOKUP(F1930,'Raw Data'!$I$4:$I$5000,'Raw Data'!$E$4:$E$5000,100,0)</f>
        <v>100</v>
      </c>
      <c r="O1930" s="9" t="str">
        <f>IF(N1930=0,_xlfn.XLOOKUP(F1930,'Raw Data'!$I$4:$I$5000,'Raw Data'!$H$4:$H$5000,"",0),"")</f>
        <v/>
      </c>
      <c r="P1930" s="9" t="str" cm="1">
        <f t="array" aca="1" ref="P1930" ca="1">IF(INDIRECT(M1930) = "","",INDIRECT(M1930))</f>
        <v/>
      </c>
      <c r="Q1930" s="359" t="s">
        <v>4380</v>
      </c>
    </row>
    <row r="1931" spans="1:17" x14ac:dyDescent="0.35">
      <c r="A1931" t="s">
        <v>2991</v>
      </c>
      <c r="E1931" t="str">
        <f>_xlfn.XLOOKUP(F1931,'Raw Data'!$I$4:$I$5000,'Raw Data'!$D$4:$D$5000,"*** Mnemonic not found ***",0)</f>
        <v>*** Mnemonic not found ***</v>
      </c>
      <c r="F1931" t="str">
        <f t="shared" si="474"/>
        <v>SUCMFORCURRCTRY_IRRSK25__</v>
      </c>
      <c r="H1931" s="9" t="s">
        <v>1137</v>
      </c>
      <c r="K1931" s="9">
        <f t="shared" si="478"/>
        <v>886</v>
      </c>
      <c r="L1931" s="9" t="str">
        <f t="shared" si="479"/>
        <v>D</v>
      </c>
      <c r="M1931" s="9" t="str">
        <f t="shared" si="471"/>
        <v>Input!D886</v>
      </c>
      <c r="N1931" s="9">
        <f>_xlfn.XLOOKUP(F1931,'Raw Data'!$I$4:$I$5000,'Raw Data'!$E$4:$E$5000,100,0)</f>
        <v>100</v>
      </c>
      <c r="O1931" s="9" t="str">
        <f>IF(N1931=0,_xlfn.XLOOKUP(F1931,'Raw Data'!$I$4:$I$5000,'Raw Data'!$H$4:$H$5000,"",0),"")</f>
        <v/>
      </c>
      <c r="P1931" s="9" t="str" cm="1">
        <f t="array" aca="1" ref="P1931" ca="1">IF(INDIRECT(M1931) = "","",INDIRECT(M1931))</f>
        <v/>
      </c>
      <c r="Q1931" s="359" t="s">
        <v>4380</v>
      </c>
    </row>
    <row r="1932" spans="1:17" x14ac:dyDescent="0.35">
      <c r="A1932" t="s">
        <v>2992</v>
      </c>
      <c r="E1932" t="str">
        <f>_xlfn.XLOOKUP(F1932,'Raw Data'!$I$4:$I$5000,'Raw Data'!$D$4:$D$5000,"*** Mnemonic not found ***",0)</f>
        <v>*** Mnemonic not found ***</v>
      </c>
      <c r="F1932" t="str">
        <f t="shared" si="474"/>
        <v>SUCMFORCURRCTRY_IRRSK26__</v>
      </c>
      <c r="H1932" s="9" t="s">
        <v>1137</v>
      </c>
      <c r="K1932" s="9">
        <f t="shared" si="478"/>
        <v>887</v>
      </c>
      <c r="L1932" s="9" t="str">
        <f t="shared" si="479"/>
        <v>D</v>
      </c>
      <c r="M1932" s="9" t="str">
        <f t="shared" si="471"/>
        <v>Input!D887</v>
      </c>
      <c r="N1932" s="9">
        <f>_xlfn.XLOOKUP(F1932,'Raw Data'!$I$4:$I$5000,'Raw Data'!$E$4:$E$5000,100,0)</f>
        <v>100</v>
      </c>
      <c r="O1932" s="9" t="str">
        <f>IF(N1932=0,_xlfn.XLOOKUP(F1932,'Raw Data'!$I$4:$I$5000,'Raw Data'!$H$4:$H$5000,"",0),"")</f>
        <v/>
      </c>
      <c r="P1932" s="9" t="str" cm="1">
        <f t="array" aca="1" ref="P1932" ca="1">IF(INDIRECT(M1932) = "","",INDIRECT(M1932))</f>
        <v/>
      </c>
      <c r="Q1932" s="359" t="s">
        <v>4380</v>
      </c>
    </row>
    <row r="1933" spans="1:17" x14ac:dyDescent="0.35">
      <c r="A1933" t="s">
        <v>2993</v>
      </c>
      <c r="E1933" t="str">
        <f>_xlfn.XLOOKUP(F1933,'Raw Data'!$I$4:$I$5000,'Raw Data'!$D$4:$D$5000,"*** Mnemonic not found ***",0)</f>
        <v>*** Mnemonic not found ***</v>
      </c>
      <c r="F1933" t="str">
        <f t="shared" ref="F1933:F1996" si="480">CONCATENATE(A1933,"_",B1933,"_",D1933)</f>
        <v>SUCMFORCURRCTRY_IRRSK27__</v>
      </c>
      <c r="H1933" s="9" t="s">
        <v>1137</v>
      </c>
      <c r="K1933" s="9">
        <f t="shared" si="478"/>
        <v>888</v>
      </c>
      <c r="L1933" s="9" t="str">
        <f t="shared" si="479"/>
        <v>D</v>
      </c>
      <c r="M1933" s="9" t="str">
        <f t="shared" si="471"/>
        <v>Input!D888</v>
      </c>
      <c r="N1933" s="9">
        <f>_xlfn.XLOOKUP(F1933,'Raw Data'!$I$4:$I$5000,'Raw Data'!$E$4:$E$5000,100,0)</f>
        <v>100</v>
      </c>
      <c r="O1933" s="9" t="str">
        <f>IF(N1933=0,_xlfn.XLOOKUP(F1933,'Raw Data'!$I$4:$I$5000,'Raw Data'!$H$4:$H$5000,"",0),"")</f>
        <v/>
      </c>
      <c r="P1933" s="9" t="str" cm="1">
        <f t="array" aca="1" ref="P1933" ca="1">IF(INDIRECT(M1933) = "","",INDIRECT(M1933))</f>
        <v/>
      </c>
      <c r="Q1933" s="359" t="s">
        <v>4380</v>
      </c>
    </row>
    <row r="1934" spans="1:17" x14ac:dyDescent="0.35">
      <c r="A1934" t="s">
        <v>2994</v>
      </c>
      <c r="E1934" t="str">
        <f>_xlfn.XLOOKUP(F1934,'Raw Data'!$I$4:$I$5000,'Raw Data'!$D$4:$D$5000,"*** Mnemonic not found ***",0)</f>
        <v>*** Mnemonic not found ***</v>
      </c>
      <c r="F1934" t="str">
        <f t="shared" si="480"/>
        <v>SUCMFORCURRCTRY_IRRSK28__</v>
      </c>
      <c r="H1934" s="9" t="s">
        <v>1137</v>
      </c>
      <c r="K1934" s="9">
        <f t="shared" si="478"/>
        <v>889</v>
      </c>
      <c r="L1934" s="9" t="str">
        <f t="shared" si="479"/>
        <v>D</v>
      </c>
      <c r="M1934" s="9" t="str">
        <f t="shared" si="471"/>
        <v>Input!D889</v>
      </c>
      <c r="N1934" s="9">
        <f>_xlfn.XLOOKUP(F1934,'Raw Data'!$I$4:$I$5000,'Raw Data'!$E$4:$E$5000,100,0)</f>
        <v>100</v>
      </c>
      <c r="O1934" s="9" t="str">
        <f>IF(N1934=0,_xlfn.XLOOKUP(F1934,'Raw Data'!$I$4:$I$5000,'Raw Data'!$H$4:$H$5000,"",0),"")</f>
        <v/>
      </c>
      <c r="P1934" s="9" t="str" cm="1">
        <f t="array" aca="1" ref="P1934" ca="1">IF(INDIRECT(M1934) = "","",INDIRECT(M1934))</f>
        <v/>
      </c>
      <c r="Q1934" s="359" t="s">
        <v>4380</v>
      </c>
    </row>
    <row r="1935" spans="1:17" x14ac:dyDescent="0.35">
      <c r="A1935" t="s">
        <v>2995</v>
      </c>
      <c r="E1935" t="str">
        <f>_xlfn.XLOOKUP(F1935,'Raw Data'!$I$4:$I$5000,'Raw Data'!$D$4:$D$5000,"*** Mnemonic not found ***",0)</f>
        <v>*** Mnemonic not found ***</v>
      </c>
      <c r="F1935" t="str">
        <f t="shared" si="480"/>
        <v>SUCMFORCURRCTRY_IRRSK29__</v>
      </c>
      <c r="H1935" s="9" t="s">
        <v>1137</v>
      </c>
      <c r="K1935" s="9">
        <f t="shared" si="478"/>
        <v>890</v>
      </c>
      <c r="L1935" s="9" t="str">
        <f t="shared" si="479"/>
        <v>D</v>
      </c>
      <c r="M1935" s="9" t="str">
        <f t="shared" si="471"/>
        <v>Input!D890</v>
      </c>
      <c r="N1935" s="9">
        <f>_xlfn.XLOOKUP(F1935,'Raw Data'!$I$4:$I$5000,'Raw Data'!$E$4:$E$5000,100,0)</f>
        <v>100</v>
      </c>
      <c r="O1935" s="9" t="str">
        <f>IF(N1935=0,_xlfn.XLOOKUP(F1935,'Raw Data'!$I$4:$I$5000,'Raw Data'!$H$4:$H$5000,"",0),"")</f>
        <v/>
      </c>
      <c r="P1935" s="9" t="str" cm="1">
        <f t="array" aca="1" ref="P1935" ca="1">IF(INDIRECT(M1935) = "","",INDIRECT(M1935))</f>
        <v/>
      </c>
      <c r="Q1935" s="359" t="s">
        <v>4380</v>
      </c>
    </row>
    <row r="1936" spans="1:17" x14ac:dyDescent="0.35">
      <c r="A1936" t="s">
        <v>2996</v>
      </c>
      <c r="E1936" t="str">
        <f>_xlfn.XLOOKUP(F1936,'Raw Data'!$I$4:$I$5000,'Raw Data'!$D$4:$D$5000,"*** Mnemonic not found ***",0)</f>
        <v>*** Mnemonic not found ***</v>
      </c>
      <c r="F1936" t="str">
        <f t="shared" si="480"/>
        <v>SUCMFORCURRCTRY_IRRSK30__</v>
      </c>
      <c r="H1936" s="9" t="s">
        <v>1137</v>
      </c>
      <c r="K1936" s="9">
        <f t="shared" si="478"/>
        <v>891</v>
      </c>
      <c r="L1936" s="9" t="str">
        <f t="shared" si="479"/>
        <v>D</v>
      </c>
      <c r="M1936" s="9" t="str">
        <f t="shared" si="471"/>
        <v>Input!D891</v>
      </c>
      <c r="N1936" s="9">
        <f>_xlfn.XLOOKUP(F1936,'Raw Data'!$I$4:$I$5000,'Raw Data'!$E$4:$E$5000,100,0)</f>
        <v>100</v>
      </c>
      <c r="O1936" s="9" t="str">
        <f>IF(N1936=0,_xlfn.XLOOKUP(F1936,'Raw Data'!$I$4:$I$5000,'Raw Data'!$H$4:$H$5000,"",0),"")</f>
        <v/>
      </c>
      <c r="P1936" s="9" t="str" cm="1">
        <f t="array" aca="1" ref="P1936" ca="1">IF(INDIRECT(M1936) = "","",INDIRECT(M1936))</f>
        <v/>
      </c>
      <c r="Q1936" s="359" t="s">
        <v>4380</v>
      </c>
    </row>
    <row r="1937" spans="1:17" x14ac:dyDescent="0.35">
      <c r="A1937" t="s">
        <v>2997</v>
      </c>
      <c r="E1937" t="str">
        <f>_xlfn.XLOOKUP(F1937,'Raw Data'!$I$4:$I$5000,'Raw Data'!$D$4:$D$5000,"*** Mnemonic not found ***",0)</f>
        <v>*** Mnemonic not found ***</v>
      </c>
      <c r="F1937" t="str">
        <f t="shared" si="480"/>
        <v>SUCMFORCURRCTRY_IRRSK31__</v>
      </c>
      <c r="H1937" s="9" t="s">
        <v>1137</v>
      </c>
      <c r="K1937" s="9">
        <f t="shared" si="478"/>
        <v>892</v>
      </c>
      <c r="L1937" s="9" t="str">
        <f t="shared" si="479"/>
        <v>D</v>
      </c>
      <c r="M1937" s="9" t="str">
        <f t="shared" si="471"/>
        <v>Input!D892</v>
      </c>
      <c r="N1937" s="9">
        <f>_xlfn.XLOOKUP(F1937,'Raw Data'!$I$4:$I$5000,'Raw Data'!$E$4:$E$5000,100,0)</f>
        <v>100</v>
      </c>
      <c r="O1937" s="9" t="str">
        <f>IF(N1937=0,_xlfn.XLOOKUP(F1937,'Raw Data'!$I$4:$I$5000,'Raw Data'!$H$4:$H$5000,"",0),"")</f>
        <v/>
      </c>
      <c r="P1937" s="9" t="str" cm="1">
        <f t="array" aca="1" ref="P1937" ca="1">IF(INDIRECT(M1937) = "","",INDIRECT(M1937))</f>
        <v/>
      </c>
      <c r="Q1937" s="359" t="s">
        <v>4380</v>
      </c>
    </row>
    <row r="1938" spans="1:17" x14ac:dyDescent="0.35">
      <c r="A1938" t="s">
        <v>2998</v>
      </c>
      <c r="E1938" t="str">
        <f>_xlfn.XLOOKUP(F1938,'Raw Data'!$I$4:$I$5000,'Raw Data'!$D$4:$D$5000,"*** Mnemonic not found ***",0)</f>
        <v>*** Mnemonic not found ***</v>
      </c>
      <c r="F1938" t="str">
        <f t="shared" si="480"/>
        <v>SUCMFORCURRCTRY_IRRSK32__</v>
      </c>
      <c r="H1938" s="9" t="s">
        <v>1137</v>
      </c>
      <c r="K1938" s="9">
        <f t="shared" si="478"/>
        <v>893</v>
      </c>
      <c r="L1938" s="9" t="str">
        <f t="shared" si="479"/>
        <v>D</v>
      </c>
      <c r="M1938" s="9" t="str">
        <f t="shared" si="471"/>
        <v>Input!D893</v>
      </c>
      <c r="N1938" s="9">
        <f>_xlfn.XLOOKUP(F1938,'Raw Data'!$I$4:$I$5000,'Raw Data'!$E$4:$E$5000,100,0)</f>
        <v>100</v>
      </c>
      <c r="O1938" s="9" t="str">
        <f>IF(N1938=0,_xlfn.XLOOKUP(F1938,'Raw Data'!$I$4:$I$5000,'Raw Data'!$H$4:$H$5000,"",0),"")</f>
        <v/>
      </c>
      <c r="P1938" s="9" t="str" cm="1">
        <f t="array" aca="1" ref="P1938" ca="1">IF(INDIRECT(M1938) = "","",INDIRECT(M1938))</f>
        <v/>
      </c>
      <c r="Q1938" s="359" t="s">
        <v>4380</v>
      </c>
    </row>
    <row r="1939" spans="1:17" x14ac:dyDescent="0.35">
      <c r="A1939" t="s">
        <v>2999</v>
      </c>
      <c r="E1939" t="str">
        <f>_xlfn.XLOOKUP(F1939,'Raw Data'!$I$4:$I$5000,'Raw Data'!$D$4:$D$5000,"*** Mnemonic not found ***",0)</f>
        <v>*** Mnemonic not found ***</v>
      </c>
      <c r="F1939" t="str">
        <f t="shared" si="480"/>
        <v>SUCMFORCURRCTRY_IRRSK33__</v>
      </c>
      <c r="H1939" s="9" t="s">
        <v>1137</v>
      </c>
      <c r="K1939" s="9">
        <f t="shared" si="478"/>
        <v>894</v>
      </c>
      <c r="L1939" s="9" t="str">
        <f t="shared" si="479"/>
        <v>D</v>
      </c>
      <c r="M1939" s="9" t="str">
        <f t="shared" si="471"/>
        <v>Input!D894</v>
      </c>
      <c r="N1939" s="9">
        <f>_xlfn.XLOOKUP(F1939,'Raw Data'!$I$4:$I$5000,'Raw Data'!$E$4:$E$5000,100,0)</f>
        <v>100</v>
      </c>
      <c r="O1939" s="9" t="str">
        <f>IF(N1939=0,_xlfn.XLOOKUP(F1939,'Raw Data'!$I$4:$I$5000,'Raw Data'!$H$4:$H$5000,"",0),"")</f>
        <v/>
      </c>
      <c r="P1939" s="9" t="str" cm="1">
        <f t="array" aca="1" ref="P1939" ca="1">IF(INDIRECT(M1939) = "","",INDIRECT(M1939))</f>
        <v/>
      </c>
      <c r="Q1939" s="359" t="s">
        <v>4380</v>
      </c>
    </row>
    <row r="1940" spans="1:17" x14ac:dyDescent="0.35">
      <c r="A1940" t="s">
        <v>3000</v>
      </c>
      <c r="E1940" t="str">
        <f>_xlfn.XLOOKUP(F1940,'Raw Data'!$I$4:$I$5000,'Raw Data'!$D$4:$D$5000,"*** Mnemonic not found ***",0)</f>
        <v>*** Mnemonic not found ***</v>
      </c>
      <c r="F1940" t="str">
        <f t="shared" si="480"/>
        <v>SUCMFORCURRCTRY_IRRSK34__</v>
      </c>
      <c r="H1940" s="9" t="s">
        <v>1137</v>
      </c>
      <c r="K1940" s="9">
        <f t="shared" si="478"/>
        <v>895</v>
      </c>
      <c r="L1940" s="9" t="str">
        <f t="shared" si="479"/>
        <v>D</v>
      </c>
      <c r="M1940" s="9" t="str">
        <f t="shared" si="471"/>
        <v>Input!D895</v>
      </c>
      <c r="N1940" s="9">
        <f>_xlfn.XLOOKUP(F1940,'Raw Data'!$I$4:$I$5000,'Raw Data'!$E$4:$E$5000,100,0)</f>
        <v>100</v>
      </c>
      <c r="O1940" s="9" t="str">
        <f>IF(N1940=0,_xlfn.XLOOKUP(F1940,'Raw Data'!$I$4:$I$5000,'Raw Data'!$H$4:$H$5000,"",0),"")</f>
        <v/>
      </c>
      <c r="P1940" s="9" t="str" cm="1">
        <f t="array" aca="1" ref="P1940" ca="1">IF(INDIRECT(M1940) = "","",INDIRECT(M1940))</f>
        <v/>
      </c>
      <c r="Q1940" s="359" t="s">
        <v>4380</v>
      </c>
    </row>
    <row r="1941" spans="1:17" x14ac:dyDescent="0.35">
      <c r="A1941" t="s">
        <v>3001</v>
      </c>
      <c r="E1941" t="str">
        <f>_xlfn.XLOOKUP(F1941,'Raw Data'!$I$4:$I$5000,'Raw Data'!$D$4:$D$5000,"*** Mnemonic not found ***",0)</f>
        <v>*** Mnemonic not found ***</v>
      </c>
      <c r="F1941" t="str">
        <f t="shared" si="480"/>
        <v>SUCMFORCURRCTRY_IRRSK35__</v>
      </c>
      <c r="H1941" s="9" t="s">
        <v>1137</v>
      </c>
      <c r="K1941" s="9">
        <f t="shared" si="478"/>
        <v>896</v>
      </c>
      <c r="L1941" s="9" t="str">
        <f t="shared" si="479"/>
        <v>D</v>
      </c>
      <c r="M1941" s="9" t="str">
        <f t="shared" si="471"/>
        <v>Input!D896</v>
      </c>
      <c r="N1941" s="9">
        <f>_xlfn.XLOOKUP(F1941,'Raw Data'!$I$4:$I$5000,'Raw Data'!$E$4:$E$5000,100,0)</f>
        <v>100</v>
      </c>
      <c r="O1941" s="9" t="str">
        <f>IF(N1941=0,_xlfn.XLOOKUP(F1941,'Raw Data'!$I$4:$I$5000,'Raw Data'!$H$4:$H$5000,"",0),"")</f>
        <v/>
      </c>
      <c r="P1941" s="9" t="str" cm="1">
        <f t="array" aca="1" ref="P1941" ca="1">IF(INDIRECT(M1941) = "","",INDIRECT(M1941))</f>
        <v/>
      </c>
      <c r="Q1941" s="359" t="s">
        <v>4380</v>
      </c>
    </row>
    <row r="1942" spans="1:17" x14ac:dyDescent="0.35">
      <c r="A1942" t="s">
        <v>2917</v>
      </c>
      <c r="E1942" t="str">
        <f>_xlfn.XLOOKUP(F1942,'Raw Data'!$I$4:$I$5000,'Raw Data'!$D$4:$D$5000,"*** Mnemonic not found ***",0)</f>
        <v>*** Mnemonic not found ***</v>
      </c>
      <c r="F1942" t="str">
        <f t="shared" si="480"/>
        <v>SUCMFORCURRPRODSEG2__</v>
      </c>
      <c r="H1942" s="9" t="s">
        <v>1137</v>
      </c>
      <c r="K1942" s="9">
        <f>K1908</f>
        <v>863</v>
      </c>
      <c r="L1942" s="9" t="s">
        <v>1122</v>
      </c>
      <c r="M1942" s="9" t="str">
        <f t="shared" si="471"/>
        <v>Input!E863</v>
      </c>
      <c r="N1942" s="9">
        <f>_xlfn.XLOOKUP(F1942,'Raw Data'!$I$4:$I$5000,'Raw Data'!$E$4:$E$5000,100,0)</f>
        <v>100</v>
      </c>
      <c r="O1942" s="9" t="str">
        <f>IF(N1942=0,_xlfn.XLOOKUP(F1942,'Raw Data'!$I$4:$I$5000,'Raw Data'!$H$4:$H$5000,"",0),"")</f>
        <v/>
      </c>
      <c r="P1942" s="9" t="str" cm="1">
        <f t="array" aca="1" ref="P1942" ca="1">IF(INDIRECT(M1942) = "","",INDIRECT(M1942))</f>
        <v/>
      </c>
      <c r="Q1942" s="359" t="s">
        <v>4380</v>
      </c>
    </row>
    <row r="1943" spans="1:17" x14ac:dyDescent="0.35">
      <c r="A1943" t="s">
        <v>2918</v>
      </c>
      <c r="E1943" t="str">
        <f>_xlfn.XLOOKUP(F1943,'Raw Data'!$I$4:$I$5000,'Raw Data'!$D$4:$D$5000,"*** Mnemonic not found ***",0)</f>
        <v>*** Mnemonic not found ***</v>
      </c>
      <c r="F1943" t="str">
        <f t="shared" si="480"/>
        <v>SUCMFORCURRPRODSEG3__</v>
      </c>
      <c r="H1943" s="9" t="s">
        <v>1137</v>
      </c>
      <c r="K1943" s="9">
        <f t="shared" ref="K1943:K1975" si="481">K1942+1</f>
        <v>864</v>
      </c>
      <c r="L1943" s="9" t="str">
        <f t="shared" ref="L1943:L1975" si="482">L1942</f>
        <v>E</v>
      </c>
      <c r="M1943" s="9" t="str">
        <f t="shared" si="471"/>
        <v>Input!E864</v>
      </c>
      <c r="N1943" s="9">
        <f>_xlfn.XLOOKUP(F1943,'Raw Data'!$I$4:$I$5000,'Raw Data'!$E$4:$E$5000,100,0)</f>
        <v>100</v>
      </c>
      <c r="O1943" s="9" t="str">
        <f>IF(N1943=0,_xlfn.XLOOKUP(F1943,'Raw Data'!$I$4:$I$5000,'Raw Data'!$H$4:$H$5000,"",0),"")</f>
        <v/>
      </c>
      <c r="P1943" s="9" t="str" cm="1">
        <f t="array" aca="1" ref="P1943" ca="1">IF(INDIRECT(M1943) = "","",INDIRECT(M1943))</f>
        <v/>
      </c>
      <c r="Q1943" s="359" t="s">
        <v>4380</v>
      </c>
    </row>
    <row r="1944" spans="1:17" x14ac:dyDescent="0.35">
      <c r="A1944" t="s">
        <v>2919</v>
      </c>
      <c r="E1944" t="str">
        <f>_xlfn.XLOOKUP(F1944,'Raw Data'!$I$4:$I$5000,'Raw Data'!$D$4:$D$5000,"*** Mnemonic not found ***",0)</f>
        <v>*** Mnemonic not found ***</v>
      </c>
      <c r="F1944" t="str">
        <f t="shared" si="480"/>
        <v>SUCMFORCURRPRODSEG4__</v>
      </c>
      <c r="H1944" s="9" t="s">
        <v>1137</v>
      </c>
      <c r="K1944" s="9">
        <f t="shared" si="481"/>
        <v>865</v>
      </c>
      <c r="L1944" s="9" t="str">
        <f t="shared" si="482"/>
        <v>E</v>
      </c>
      <c r="M1944" s="9" t="str">
        <f t="shared" si="471"/>
        <v>Input!E865</v>
      </c>
      <c r="N1944" s="9">
        <f>_xlfn.XLOOKUP(F1944,'Raw Data'!$I$4:$I$5000,'Raw Data'!$E$4:$E$5000,100,0)</f>
        <v>100</v>
      </c>
      <c r="O1944" s="9" t="str">
        <f>IF(N1944=0,_xlfn.XLOOKUP(F1944,'Raw Data'!$I$4:$I$5000,'Raw Data'!$H$4:$H$5000,"",0),"")</f>
        <v/>
      </c>
      <c r="P1944" s="9" t="str" cm="1">
        <f t="array" aca="1" ref="P1944" ca="1">IF(INDIRECT(M1944) = "","",INDIRECT(M1944))</f>
        <v/>
      </c>
      <c r="Q1944" s="359" t="s">
        <v>4380</v>
      </c>
    </row>
    <row r="1945" spans="1:17" x14ac:dyDescent="0.35">
      <c r="A1945" t="s">
        <v>2920</v>
      </c>
      <c r="E1945" t="str">
        <f>_xlfn.XLOOKUP(F1945,'Raw Data'!$I$4:$I$5000,'Raw Data'!$D$4:$D$5000,"*** Mnemonic not found ***",0)</f>
        <v>*** Mnemonic not found ***</v>
      </c>
      <c r="F1945" t="str">
        <f t="shared" si="480"/>
        <v>SUCMFORCURRPRODSEG5__</v>
      </c>
      <c r="H1945" s="9" t="s">
        <v>1137</v>
      </c>
      <c r="K1945" s="9">
        <f t="shared" si="481"/>
        <v>866</v>
      </c>
      <c r="L1945" s="9" t="str">
        <f t="shared" si="482"/>
        <v>E</v>
      </c>
      <c r="M1945" s="9" t="str">
        <f t="shared" si="471"/>
        <v>Input!E866</v>
      </c>
      <c r="N1945" s="9">
        <f>_xlfn.XLOOKUP(F1945,'Raw Data'!$I$4:$I$5000,'Raw Data'!$E$4:$E$5000,100,0)</f>
        <v>100</v>
      </c>
      <c r="O1945" s="9" t="str">
        <f>IF(N1945=0,_xlfn.XLOOKUP(F1945,'Raw Data'!$I$4:$I$5000,'Raw Data'!$H$4:$H$5000,"",0),"")</f>
        <v/>
      </c>
      <c r="P1945" s="9" t="str" cm="1">
        <f t="array" aca="1" ref="P1945" ca="1">IF(INDIRECT(M1945) = "","",INDIRECT(M1945))</f>
        <v/>
      </c>
      <c r="Q1945" s="359" t="s">
        <v>4380</v>
      </c>
    </row>
    <row r="1946" spans="1:17" x14ac:dyDescent="0.35">
      <c r="A1946" t="s">
        <v>2921</v>
      </c>
      <c r="E1946" t="str">
        <f>_xlfn.XLOOKUP(F1946,'Raw Data'!$I$4:$I$5000,'Raw Data'!$D$4:$D$5000,"*** Mnemonic not found ***",0)</f>
        <v>*** Mnemonic not found ***</v>
      </c>
      <c r="F1946" t="str">
        <f t="shared" si="480"/>
        <v>SUCMFORCURRPRODSEG6__</v>
      </c>
      <c r="H1946" s="9" t="s">
        <v>1137</v>
      </c>
      <c r="K1946" s="9">
        <f t="shared" si="481"/>
        <v>867</v>
      </c>
      <c r="L1946" s="9" t="str">
        <f t="shared" si="482"/>
        <v>E</v>
      </c>
      <c r="M1946" s="9" t="str">
        <f t="shared" si="471"/>
        <v>Input!E867</v>
      </c>
      <c r="N1946" s="9">
        <f>_xlfn.XLOOKUP(F1946,'Raw Data'!$I$4:$I$5000,'Raw Data'!$E$4:$E$5000,100,0)</f>
        <v>100</v>
      </c>
      <c r="O1946" s="9" t="str">
        <f>IF(N1946=0,_xlfn.XLOOKUP(F1946,'Raw Data'!$I$4:$I$5000,'Raw Data'!$H$4:$H$5000,"",0),"")</f>
        <v/>
      </c>
      <c r="P1946" s="9" t="str" cm="1">
        <f t="array" aca="1" ref="P1946" ca="1">IF(INDIRECT(M1946) = "","",INDIRECT(M1946))</f>
        <v/>
      </c>
      <c r="Q1946" s="359" t="s">
        <v>4380</v>
      </c>
    </row>
    <row r="1947" spans="1:17" x14ac:dyDescent="0.35">
      <c r="A1947" t="s">
        <v>2922</v>
      </c>
      <c r="E1947" t="str">
        <f>_xlfn.XLOOKUP(F1947,'Raw Data'!$I$4:$I$5000,'Raw Data'!$D$4:$D$5000,"*** Mnemonic not found ***",0)</f>
        <v>*** Mnemonic not found ***</v>
      </c>
      <c r="F1947" t="str">
        <f t="shared" si="480"/>
        <v>SUCMFORCURRPRODSEG7__</v>
      </c>
      <c r="H1947" s="9" t="s">
        <v>1137</v>
      </c>
      <c r="K1947" s="9">
        <f t="shared" si="481"/>
        <v>868</v>
      </c>
      <c r="L1947" s="9" t="str">
        <f t="shared" si="482"/>
        <v>E</v>
      </c>
      <c r="M1947" s="9" t="str">
        <f t="shared" si="471"/>
        <v>Input!E868</v>
      </c>
      <c r="N1947" s="9">
        <f>_xlfn.XLOOKUP(F1947,'Raw Data'!$I$4:$I$5000,'Raw Data'!$E$4:$E$5000,100,0)</f>
        <v>100</v>
      </c>
      <c r="O1947" s="9" t="str">
        <f>IF(N1947=0,_xlfn.XLOOKUP(F1947,'Raw Data'!$I$4:$I$5000,'Raw Data'!$H$4:$H$5000,"",0),"")</f>
        <v/>
      </c>
      <c r="P1947" s="9" t="str" cm="1">
        <f t="array" aca="1" ref="P1947" ca="1">IF(INDIRECT(M1947) = "","",INDIRECT(M1947))</f>
        <v/>
      </c>
      <c r="Q1947" s="359" t="s">
        <v>4380</v>
      </c>
    </row>
    <row r="1948" spans="1:17" x14ac:dyDescent="0.35">
      <c r="A1948" t="s">
        <v>2923</v>
      </c>
      <c r="E1948" t="str">
        <f>_xlfn.XLOOKUP(F1948,'Raw Data'!$I$4:$I$5000,'Raw Data'!$D$4:$D$5000,"*** Mnemonic not found ***",0)</f>
        <v>*** Mnemonic not found ***</v>
      </c>
      <c r="F1948" t="str">
        <f t="shared" si="480"/>
        <v>SUCMFORCURRPRODSEG8__</v>
      </c>
      <c r="H1948" s="9" t="s">
        <v>1137</v>
      </c>
      <c r="K1948" s="9">
        <f t="shared" si="481"/>
        <v>869</v>
      </c>
      <c r="L1948" s="9" t="str">
        <f t="shared" si="482"/>
        <v>E</v>
      </c>
      <c r="M1948" s="9" t="str">
        <f t="shared" si="471"/>
        <v>Input!E869</v>
      </c>
      <c r="N1948" s="9">
        <f>_xlfn.XLOOKUP(F1948,'Raw Data'!$I$4:$I$5000,'Raw Data'!$E$4:$E$5000,100,0)</f>
        <v>100</v>
      </c>
      <c r="O1948" s="9" t="str">
        <f>IF(N1948=0,_xlfn.XLOOKUP(F1948,'Raw Data'!$I$4:$I$5000,'Raw Data'!$H$4:$H$5000,"",0),"")</f>
        <v/>
      </c>
      <c r="P1948" s="9" t="str" cm="1">
        <f t="array" aca="1" ref="P1948" ca="1">IF(INDIRECT(M1948) = "","",INDIRECT(M1948))</f>
        <v/>
      </c>
      <c r="Q1948" s="359" t="s">
        <v>4380</v>
      </c>
    </row>
    <row r="1949" spans="1:17" x14ac:dyDescent="0.35">
      <c r="A1949" t="s">
        <v>2924</v>
      </c>
      <c r="E1949" t="str">
        <f>_xlfn.XLOOKUP(F1949,'Raw Data'!$I$4:$I$5000,'Raw Data'!$D$4:$D$5000,"*** Mnemonic not found ***",0)</f>
        <v>*** Mnemonic not found ***</v>
      </c>
      <c r="F1949" t="str">
        <f t="shared" si="480"/>
        <v>SUCMFORCURRPRODSEG9__</v>
      </c>
      <c r="H1949" s="9" t="s">
        <v>1137</v>
      </c>
      <c r="K1949" s="9">
        <f t="shared" si="481"/>
        <v>870</v>
      </c>
      <c r="L1949" s="9" t="str">
        <f t="shared" si="482"/>
        <v>E</v>
      </c>
      <c r="M1949" s="9" t="str">
        <f t="shared" si="471"/>
        <v>Input!E870</v>
      </c>
      <c r="N1949" s="9">
        <f>_xlfn.XLOOKUP(F1949,'Raw Data'!$I$4:$I$5000,'Raw Data'!$E$4:$E$5000,100,0)</f>
        <v>100</v>
      </c>
      <c r="O1949" s="9" t="str">
        <f>IF(N1949=0,_xlfn.XLOOKUP(F1949,'Raw Data'!$I$4:$I$5000,'Raw Data'!$H$4:$H$5000,"",0),"")</f>
        <v/>
      </c>
      <c r="P1949" s="9" t="str" cm="1">
        <f t="array" aca="1" ref="P1949" ca="1">IF(INDIRECT(M1949) = "","",INDIRECT(M1949))</f>
        <v/>
      </c>
      <c r="Q1949" s="359" t="s">
        <v>4380</v>
      </c>
    </row>
    <row r="1950" spans="1:17" x14ac:dyDescent="0.35">
      <c r="A1950" t="s">
        <v>2925</v>
      </c>
      <c r="E1950" t="str">
        <f>_xlfn.XLOOKUP(F1950,'Raw Data'!$I$4:$I$5000,'Raw Data'!$D$4:$D$5000,"*** Mnemonic not found ***",0)</f>
        <v>*** Mnemonic not found ***</v>
      </c>
      <c r="F1950" t="str">
        <f t="shared" si="480"/>
        <v>SUCMFORCURRPRODSEG10__</v>
      </c>
      <c r="H1950" s="9" t="s">
        <v>1137</v>
      </c>
      <c r="K1950" s="9">
        <f t="shared" si="481"/>
        <v>871</v>
      </c>
      <c r="L1950" s="9" t="str">
        <f t="shared" si="482"/>
        <v>E</v>
      </c>
      <c r="M1950" s="9" t="str">
        <f t="shared" si="471"/>
        <v>Input!E871</v>
      </c>
      <c r="N1950" s="9">
        <f>_xlfn.XLOOKUP(F1950,'Raw Data'!$I$4:$I$5000,'Raw Data'!$E$4:$E$5000,100,0)</f>
        <v>100</v>
      </c>
      <c r="O1950" s="9" t="str">
        <f>IF(N1950=0,_xlfn.XLOOKUP(F1950,'Raw Data'!$I$4:$I$5000,'Raw Data'!$H$4:$H$5000,"",0),"")</f>
        <v/>
      </c>
      <c r="P1950" s="9" t="str" cm="1">
        <f t="array" aca="1" ref="P1950" ca="1">IF(INDIRECT(M1950) = "","",INDIRECT(M1950))</f>
        <v/>
      </c>
      <c r="Q1950" s="359" t="s">
        <v>4380</v>
      </c>
    </row>
    <row r="1951" spans="1:17" x14ac:dyDescent="0.35">
      <c r="A1951" t="s">
        <v>2926</v>
      </c>
      <c r="E1951" t="str">
        <f>_xlfn.XLOOKUP(F1951,'Raw Data'!$I$4:$I$5000,'Raw Data'!$D$4:$D$5000,"*** Mnemonic not found ***",0)</f>
        <v>*** Mnemonic not found ***</v>
      </c>
      <c r="F1951" t="str">
        <f t="shared" si="480"/>
        <v>SUCMFORCURRPRODSEG11__</v>
      </c>
      <c r="H1951" s="9" t="s">
        <v>1137</v>
      </c>
      <c r="K1951" s="9">
        <f t="shared" si="481"/>
        <v>872</v>
      </c>
      <c r="L1951" s="9" t="str">
        <f t="shared" si="482"/>
        <v>E</v>
      </c>
      <c r="M1951" s="9" t="str">
        <f t="shared" si="471"/>
        <v>Input!E872</v>
      </c>
      <c r="N1951" s="9">
        <f>_xlfn.XLOOKUP(F1951,'Raw Data'!$I$4:$I$5000,'Raw Data'!$E$4:$E$5000,100,0)</f>
        <v>100</v>
      </c>
      <c r="O1951" s="9" t="str">
        <f>IF(N1951=0,_xlfn.XLOOKUP(F1951,'Raw Data'!$I$4:$I$5000,'Raw Data'!$H$4:$H$5000,"",0),"")</f>
        <v/>
      </c>
      <c r="P1951" s="9" t="str" cm="1">
        <f t="array" aca="1" ref="P1951" ca="1">IF(INDIRECT(M1951) = "","",INDIRECT(M1951))</f>
        <v/>
      </c>
      <c r="Q1951" s="359" t="s">
        <v>4380</v>
      </c>
    </row>
    <row r="1952" spans="1:17" x14ac:dyDescent="0.35">
      <c r="A1952" t="s">
        <v>2927</v>
      </c>
      <c r="E1952" t="str">
        <f>_xlfn.XLOOKUP(F1952,'Raw Data'!$I$4:$I$5000,'Raw Data'!$D$4:$D$5000,"*** Mnemonic not found ***",0)</f>
        <v>*** Mnemonic not found ***</v>
      </c>
      <c r="F1952" t="str">
        <f t="shared" si="480"/>
        <v>SUCMFORCURRPRODSEG12__</v>
      </c>
      <c r="H1952" s="9" t="s">
        <v>1137</v>
      </c>
      <c r="K1952" s="9">
        <f t="shared" si="481"/>
        <v>873</v>
      </c>
      <c r="L1952" s="9" t="str">
        <f t="shared" si="482"/>
        <v>E</v>
      </c>
      <c r="M1952" s="9" t="str">
        <f t="shared" si="471"/>
        <v>Input!E873</v>
      </c>
      <c r="N1952" s="9">
        <f>_xlfn.XLOOKUP(F1952,'Raw Data'!$I$4:$I$5000,'Raw Data'!$E$4:$E$5000,100,0)</f>
        <v>100</v>
      </c>
      <c r="O1952" s="9" t="str">
        <f>IF(N1952=0,_xlfn.XLOOKUP(F1952,'Raw Data'!$I$4:$I$5000,'Raw Data'!$H$4:$H$5000,"",0),"")</f>
        <v/>
      </c>
      <c r="P1952" s="9" t="str" cm="1">
        <f t="array" aca="1" ref="P1952" ca="1">IF(INDIRECT(M1952) = "","",INDIRECT(M1952))</f>
        <v/>
      </c>
      <c r="Q1952" s="359" t="s">
        <v>4380</v>
      </c>
    </row>
    <row r="1953" spans="1:17" x14ac:dyDescent="0.35">
      <c r="A1953" t="s">
        <v>2928</v>
      </c>
      <c r="E1953" t="str">
        <f>_xlfn.XLOOKUP(F1953,'Raw Data'!$I$4:$I$5000,'Raw Data'!$D$4:$D$5000,"*** Mnemonic not found ***",0)</f>
        <v>*** Mnemonic not found ***</v>
      </c>
      <c r="F1953" t="str">
        <f t="shared" si="480"/>
        <v>SUCMFORCURRPRODSEG13__</v>
      </c>
      <c r="H1953" s="9" t="s">
        <v>1137</v>
      </c>
      <c r="K1953" s="9">
        <f t="shared" si="481"/>
        <v>874</v>
      </c>
      <c r="L1953" s="9" t="str">
        <f t="shared" si="482"/>
        <v>E</v>
      </c>
      <c r="M1953" s="9" t="str">
        <f t="shared" si="471"/>
        <v>Input!E874</v>
      </c>
      <c r="N1953" s="9">
        <f>_xlfn.XLOOKUP(F1953,'Raw Data'!$I$4:$I$5000,'Raw Data'!$E$4:$E$5000,100,0)</f>
        <v>100</v>
      </c>
      <c r="O1953" s="9" t="str">
        <f>IF(N1953=0,_xlfn.XLOOKUP(F1953,'Raw Data'!$I$4:$I$5000,'Raw Data'!$H$4:$H$5000,"",0),"")</f>
        <v/>
      </c>
      <c r="P1953" s="9" t="str" cm="1">
        <f t="array" aca="1" ref="P1953" ca="1">IF(INDIRECT(M1953) = "","",INDIRECT(M1953))</f>
        <v/>
      </c>
      <c r="Q1953" s="359" t="s">
        <v>4380</v>
      </c>
    </row>
    <row r="1954" spans="1:17" x14ac:dyDescent="0.35">
      <c r="A1954" t="s">
        <v>2929</v>
      </c>
      <c r="E1954" t="str">
        <f>_xlfn.XLOOKUP(F1954,'Raw Data'!$I$4:$I$5000,'Raw Data'!$D$4:$D$5000,"*** Mnemonic not found ***",0)</f>
        <v>*** Mnemonic not found ***</v>
      </c>
      <c r="F1954" t="str">
        <f t="shared" si="480"/>
        <v>SUCMFORCURRPRODSEG14__</v>
      </c>
      <c r="H1954" s="9" t="s">
        <v>1137</v>
      </c>
      <c r="K1954" s="9">
        <f t="shared" si="481"/>
        <v>875</v>
      </c>
      <c r="L1954" s="9" t="str">
        <f t="shared" si="482"/>
        <v>E</v>
      </c>
      <c r="M1954" s="9" t="str">
        <f t="shared" si="471"/>
        <v>Input!E875</v>
      </c>
      <c r="N1954" s="9">
        <f>_xlfn.XLOOKUP(F1954,'Raw Data'!$I$4:$I$5000,'Raw Data'!$E$4:$E$5000,100,0)</f>
        <v>100</v>
      </c>
      <c r="O1954" s="9" t="str">
        <f>IF(N1954=0,_xlfn.XLOOKUP(F1954,'Raw Data'!$I$4:$I$5000,'Raw Data'!$H$4:$H$5000,"",0),"")</f>
        <v/>
      </c>
      <c r="P1954" s="9" t="str" cm="1">
        <f t="array" aca="1" ref="P1954" ca="1">IF(INDIRECT(M1954) = "","",INDIRECT(M1954))</f>
        <v/>
      </c>
      <c r="Q1954" s="359" t="s">
        <v>4380</v>
      </c>
    </row>
    <row r="1955" spans="1:17" x14ac:dyDescent="0.35">
      <c r="A1955" t="s">
        <v>2930</v>
      </c>
      <c r="E1955" t="str">
        <f>_xlfn.XLOOKUP(F1955,'Raw Data'!$I$4:$I$5000,'Raw Data'!$D$4:$D$5000,"*** Mnemonic not found ***",0)</f>
        <v>*** Mnemonic not found ***</v>
      </c>
      <c r="F1955" t="str">
        <f t="shared" si="480"/>
        <v>SUCMFORCURRPRODSEG15__</v>
      </c>
      <c r="H1955" s="9" t="s">
        <v>1137</v>
      </c>
      <c r="K1955" s="9">
        <f t="shared" si="481"/>
        <v>876</v>
      </c>
      <c r="L1955" s="9" t="str">
        <f t="shared" si="482"/>
        <v>E</v>
      </c>
      <c r="M1955" s="9" t="str">
        <f t="shared" si="471"/>
        <v>Input!E876</v>
      </c>
      <c r="N1955" s="9">
        <f>_xlfn.XLOOKUP(F1955,'Raw Data'!$I$4:$I$5000,'Raw Data'!$E$4:$E$5000,100,0)</f>
        <v>100</v>
      </c>
      <c r="O1955" s="9" t="str">
        <f>IF(N1955=0,_xlfn.XLOOKUP(F1955,'Raw Data'!$I$4:$I$5000,'Raw Data'!$H$4:$H$5000,"",0),"")</f>
        <v/>
      </c>
      <c r="P1955" s="9" t="str" cm="1">
        <f t="array" aca="1" ref="P1955" ca="1">IF(INDIRECT(M1955) = "","",INDIRECT(M1955))</f>
        <v/>
      </c>
      <c r="Q1955" s="359" t="s">
        <v>4380</v>
      </c>
    </row>
    <row r="1956" spans="1:17" x14ac:dyDescent="0.35">
      <c r="A1956" t="s">
        <v>3002</v>
      </c>
      <c r="E1956" t="str">
        <f>_xlfn.XLOOKUP(F1956,'Raw Data'!$I$4:$I$5000,'Raw Data'!$D$4:$D$5000,"*** Mnemonic not found ***",0)</f>
        <v>*** Mnemonic not found ***</v>
      </c>
      <c r="F1956" t="str">
        <f t="shared" si="480"/>
        <v>SUCMFORCURRPRODSEG16__</v>
      </c>
      <c r="H1956" s="9" t="s">
        <v>1137</v>
      </c>
      <c r="K1956" s="9">
        <f t="shared" si="481"/>
        <v>877</v>
      </c>
      <c r="L1956" s="9" t="str">
        <f t="shared" si="482"/>
        <v>E</v>
      </c>
      <c r="M1956" s="9" t="str">
        <f t="shared" si="471"/>
        <v>Input!E877</v>
      </c>
      <c r="N1956" s="9">
        <f>_xlfn.XLOOKUP(F1956,'Raw Data'!$I$4:$I$5000,'Raw Data'!$E$4:$E$5000,100,0)</f>
        <v>100</v>
      </c>
      <c r="O1956" s="9" t="str">
        <f>IF(N1956=0,_xlfn.XLOOKUP(F1956,'Raw Data'!$I$4:$I$5000,'Raw Data'!$H$4:$H$5000,"",0),"")</f>
        <v/>
      </c>
      <c r="P1956" s="9" t="str" cm="1">
        <f t="array" aca="1" ref="P1956" ca="1">IF(INDIRECT(M1956) = "","",INDIRECT(M1956))</f>
        <v/>
      </c>
      <c r="Q1956" s="359" t="s">
        <v>4380</v>
      </c>
    </row>
    <row r="1957" spans="1:17" x14ac:dyDescent="0.35">
      <c r="A1957" t="s">
        <v>3003</v>
      </c>
      <c r="E1957" t="str">
        <f>_xlfn.XLOOKUP(F1957,'Raw Data'!$I$4:$I$5000,'Raw Data'!$D$4:$D$5000,"*** Mnemonic not found ***",0)</f>
        <v>*** Mnemonic not found ***</v>
      </c>
      <c r="F1957" t="str">
        <f t="shared" si="480"/>
        <v>SUCMFORCURRPRODSEG17__</v>
      </c>
      <c r="H1957" s="9" t="s">
        <v>1137</v>
      </c>
      <c r="K1957" s="9">
        <f t="shared" si="481"/>
        <v>878</v>
      </c>
      <c r="L1957" s="9" t="str">
        <f t="shared" si="482"/>
        <v>E</v>
      </c>
      <c r="M1957" s="9" t="str">
        <f t="shared" si="471"/>
        <v>Input!E878</v>
      </c>
      <c r="N1957" s="9">
        <f>_xlfn.XLOOKUP(F1957,'Raw Data'!$I$4:$I$5000,'Raw Data'!$E$4:$E$5000,100,0)</f>
        <v>100</v>
      </c>
      <c r="O1957" s="9" t="str">
        <f>IF(N1957=0,_xlfn.XLOOKUP(F1957,'Raw Data'!$I$4:$I$5000,'Raw Data'!$H$4:$H$5000,"",0),"")</f>
        <v/>
      </c>
      <c r="P1957" s="9" t="str" cm="1">
        <f t="array" aca="1" ref="P1957" ca="1">IF(INDIRECT(M1957) = "","",INDIRECT(M1957))</f>
        <v/>
      </c>
      <c r="Q1957" s="359" t="s">
        <v>4380</v>
      </c>
    </row>
    <row r="1958" spans="1:17" x14ac:dyDescent="0.35">
      <c r="A1958" t="s">
        <v>3004</v>
      </c>
      <c r="E1958" t="str">
        <f>_xlfn.XLOOKUP(F1958,'Raw Data'!$I$4:$I$5000,'Raw Data'!$D$4:$D$5000,"*** Mnemonic not found ***",0)</f>
        <v>*** Mnemonic not found ***</v>
      </c>
      <c r="F1958" t="str">
        <f t="shared" si="480"/>
        <v>SUCMFORCURRPRODSEG18__</v>
      </c>
      <c r="H1958" s="9" t="s">
        <v>1137</v>
      </c>
      <c r="K1958" s="9">
        <f t="shared" si="481"/>
        <v>879</v>
      </c>
      <c r="L1958" s="9" t="str">
        <f t="shared" si="482"/>
        <v>E</v>
      </c>
      <c r="M1958" s="9" t="str">
        <f t="shared" si="471"/>
        <v>Input!E879</v>
      </c>
      <c r="N1958" s="9">
        <f>_xlfn.XLOOKUP(F1958,'Raw Data'!$I$4:$I$5000,'Raw Data'!$E$4:$E$5000,100,0)</f>
        <v>100</v>
      </c>
      <c r="O1958" s="9" t="str">
        <f>IF(N1958=0,_xlfn.XLOOKUP(F1958,'Raw Data'!$I$4:$I$5000,'Raw Data'!$H$4:$H$5000,"",0),"")</f>
        <v/>
      </c>
      <c r="P1958" s="9" t="str" cm="1">
        <f t="array" aca="1" ref="P1958" ca="1">IF(INDIRECT(M1958) = "","",INDIRECT(M1958))</f>
        <v/>
      </c>
      <c r="Q1958" s="359" t="s">
        <v>4380</v>
      </c>
    </row>
    <row r="1959" spans="1:17" x14ac:dyDescent="0.35">
      <c r="A1959" t="s">
        <v>3005</v>
      </c>
      <c r="E1959" t="str">
        <f>_xlfn.XLOOKUP(F1959,'Raw Data'!$I$4:$I$5000,'Raw Data'!$D$4:$D$5000,"*** Mnemonic not found ***",0)</f>
        <v>*** Mnemonic not found ***</v>
      </c>
      <c r="F1959" t="str">
        <f t="shared" si="480"/>
        <v>SUCMFORCURRPRODSEG19__</v>
      </c>
      <c r="H1959" s="9" t="s">
        <v>1137</v>
      </c>
      <c r="K1959" s="9">
        <f t="shared" si="481"/>
        <v>880</v>
      </c>
      <c r="L1959" s="9" t="str">
        <f t="shared" si="482"/>
        <v>E</v>
      </c>
      <c r="M1959" s="9" t="str">
        <f t="shared" si="471"/>
        <v>Input!E880</v>
      </c>
      <c r="N1959" s="9">
        <f>_xlfn.XLOOKUP(F1959,'Raw Data'!$I$4:$I$5000,'Raw Data'!$E$4:$E$5000,100,0)</f>
        <v>100</v>
      </c>
      <c r="O1959" s="9" t="str">
        <f>IF(N1959=0,_xlfn.XLOOKUP(F1959,'Raw Data'!$I$4:$I$5000,'Raw Data'!$H$4:$H$5000,"",0),"")</f>
        <v/>
      </c>
      <c r="P1959" s="9" t="str" cm="1">
        <f t="array" aca="1" ref="P1959" ca="1">IF(INDIRECT(M1959) = "","",INDIRECT(M1959))</f>
        <v/>
      </c>
      <c r="Q1959" s="359" t="s">
        <v>4380</v>
      </c>
    </row>
    <row r="1960" spans="1:17" x14ac:dyDescent="0.35">
      <c r="A1960" t="s">
        <v>3006</v>
      </c>
      <c r="E1960" t="str">
        <f>_xlfn.XLOOKUP(F1960,'Raw Data'!$I$4:$I$5000,'Raw Data'!$D$4:$D$5000,"*** Mnemonic not found ***",0)</f>
        <v>*** Mnemonic not found ***</v>
      </c>
      <c r="F1960" t="str">
        <f t="shared" si="480"/>
        <v>SUCMFORCURRPRODSEG20__</v>
      </c>
      <c r="H1960" s="9" t="s">
        <v>1137</v>
      </c>
      <c r="K1960" s="9">
        <f t="shared" si="481"/>
        <v>881</v>
      </c>
      <c r="L1960" s="9" t="str">
        <f t="shared" si="482"/>
        <v>E</v>
      </c>
      <c r="M1960" s="9" t="str">
        <f t="shared" si="471"/>
        <v>Input!E881</v>
      </c>
      <c r="N1960" s="9">
        <f>_xlfn.XLOOKUP(F1960,'Raw Data'!$I$4:$I$5000,'Raw Data'!$E$4:$E$5000,100,0)</f>
        <v>100</v>
      </c>
      <c r="O1960" s="9" t="str">
        <f>IF(N1960=0,_xlfn.XLOOKUP(F1960,'Raw Data'!$I$4:$I$5000,'Raw Data'!$H$4:$H$5000,"",0),"")</f>
        <v/>
      </c>
      <c r="P1960" s="9" t="str" cm="1">
        <f t="array" aca="1" ref="P1960" ca="1">IF(INDIRECT(M1960) = "","",INDIRECT(M1960))</f>
        <v/>
      </c>
      <c r="Q1960" s="359" t="s">
        <v>4380</v>
      </c>
    </row>
    <row r="1961" spans="1:17" x14ac:dyDescent="0.35">
      <c r="A1961" t="s">
        <v>3007</v>
      </c>
      <c r="E1961" t="str">
        <f>_xlfn.XLOOKUP(F1961,'Raw Data'!$I$4:$I$5000,'Raw Data'!$D$4:$D$5000,"*** Mnemonic not found ***",0)</f>
        <v>*** Mnemonic not found ***</v>
      </c>
      <c r="F1961" t="str">
        <f t="shared" si="480"/>
        <v>SUCMFORCURRPRODSEG21__</v>
      </c>
      <c r="H1961" s="9" t="s">
        <v>1137</v>
      </c>
      <c r="K1961" s="9">
        <f t="shared" si="481"/>
        <v>882</v>
      </c>
      <c r="L1961" s="9" t="str">
        <f t="shared" si="482"/>
        <v>E</v>
      </c>
      <c r="M1961" s="9" t="str">
        <f t="shared" si="471"/>
        <v>Input!E882</v>
      </c>
      <c r="N1961" s="9">
        <f>_xlfn.XLOOKUP(F1961,'Raw Data'!$I$4:$I$5000,'Raw Data'!$E$4:$E$5000,100,0)</f>
        <v>100</v>
      </c>
      <c r="O1961" s="9" t="str">
        <f>IF(N1961=0,_xlfn.XLOOKUP(F1961,'Raw Data'!$I$4:$I$5000,'Raw Data'!$H$4:$H$5000,"",0),"")</f>
        <v/>
      </c>
      <c r="P1961" s="9" t="str" cm="1">
        <f t="array" aca="1" ref="P1961" ca="1">IF(INDIRECT(M1961) = "","",INDIRECT(M1961))</f>
        <v/>
      </c>
      <c r="Q1961" s="359" t="s">
        <v>4380</v>
      </c>
    </row>
    <row r="1962" spans="1:17" x14ac:dyDescent="0.35">
      <c r="A1962" t="s">
        <v>3008</v>
      </c>
      <c r="E1962" t="str">
        <f>_xlfn.XLOOKUP(F1962,'Raw Data'!$I$4:$I$5000,'Raw Data'!$D$4:$D$5000,"*** Mnemonic not found ***",0)</f>
        <v>*** Mnemonic not found ***</v>
      </c>
      <c r="F1962" t="str">
        <f t="shared" si="480"/>
        <v>SUCMFORCURRPRODSEG22__</v>
      </c>
      <c r="H1962" s="9" t="s">
        <v>1137</v>
      </c>
      <c r="K1962" s="9">
        <f t="shared" si="481"/>
        <v>883</v>
      </c>
      <c r="L1962" s="9" t="str">
        <f t="shared" si="482"/>
        <v>E</v>
      </c>
      <c r="M1962" s="9" t="str">
        <f t="shared" si="471"/>
        <v>Input!E883</v>
      </c>
      <c r="N1962" s="9">
        <f>_xlfn.XLOOKUP(F1962,'Raw Data'!$I$4:$I$5000,'Raw Data'!$E$4:$E$5000,100,0)</f>
        <v>100</v>
      </c>
      <c r="O1962" s="9" t="str">
        <f>IF(N1962=0,_xlfn.XLOOKUP(F1962,'Raw Data'!$I$4:$I$5000,'Raw Data'!$H$4:$H$5000,"",0),"")</f>
        <v/>
      </c>
      <c r="P1962" s="9" t="str" cm="1">
        <f t="array" aca="1" ref="P1962" ca="1">IF(INDIRECT(M1962) = "","",INDIRECT(M1962))</f>
        <v/>
      </c>
      <c r="Q1962" s="359" t="s">
        <v>4380</v>
      </c>
    </row>
    <row r="1963" spans="1:17" x14ac:dyDescent="0.35">
      <c r="A1963" t="s">
        <v>3009</v>
      </c>
      <c r="E1963" t="str">
        <f>_xlfn.XLOOKUP(F1963,'Raw Data'!$I$4:$I$5000,'Raw Data'!$D$4:$D$5000,"*** Mnemonic not found ***",0)</f>
        <v>*** Mnemonic not found ***</v>
      </c>
      <c r="F1963" t="str">
        <f t="shared" si="480"/>
        <v>SUCMFORCURRPRODSEG23__</v>
      </c>
      <c r="H1963" s="9" t="s">
        <v>1137</v>
      </c>
      <c r="K1963" s="9">
        <f t="shared" si="481"/>
        <v>884</v>
      </c>
      <c r="L1963" s="9" t="str">
        <f t="shared" si="482"/>
        <v>E</v>
      </c>
      <c r="M1963" s="9" t="str">
        <f t="shared" si="471"/>
        <v>Input!E884</v>
      </c>
      <c r="N1963" s="9">
        <f>_xlfn.XLOOKUP(F1963,'Raw Data'!$I$4:$I$5000,'Raw Data'!$E$4:$E$5000,100,0)</f>
        <v>100</v>
      </c>
      <c r="O1963" s="9" t="str">
        <f>IF(N1963=0,_xlfn.XLOOKUP(F1963,'Raw Data'!$I$4:$I$5000,'Raw Data'!$H$4:$H$5000,"",0),"")</f>
        <v/>
      </c>
      <c r="P1963" s="9" t="str" cm="1">
        <f t="array" aca="1" ref="P1963" ca="1">IF(INDIRECT(M1963) = "","",INDIRECT(M1963))</f>
        <v/>
      </c>
      <c r="Q1963" s="359" t="s">
        <v>4380</v>
      </c>
    </row>
    <row r="1964" spans="1:17" x14ac:dyDescent="0.35">
      <c r="A1964" t="s">
        <v>3010</v>
      </c>
      <c r="E1964" t="str">
        <f>_xlfn.XLOOKUP(F1964,'Raw Data'!$I$4:$I$5000,'Raw Data'!$D$4:$D$5000,"*** Mnemonic not found ***",0)</f>
        <v>*** Mnemonic not found ***</v>
      </c>
      <c r="F1964" t="str">
        <f t="shared" si="480"/>
        <v>SUCMFORCURRPRODSEG24__</v>
      </c>
      <c r="H1964" s="9" t="s">
        <v>1137</v>
      </c>
      <c r="K1964" s="9">
        <f t="shared" si="481"/>
        <v>885</v>
      </c>
      <c r="L1964" s="9" t="str">
        <f t="shared" si="482"/>
        <v>E</v>
      </c>
      <c r="M1964" s="9" t="str">
        <f t="shared" si="471"/>
        <v>Input!E885</v>
      </c>
      <c r="N1964" s="9">
        <f>_xlfn.XLOOKUP(F1964,'Raw Data'!$I$4:$I$5000,'Raw Data'!$E$4:$E$5000,100,0)</f>
        <v>100</v>
      </c>
      <c r="O1964" s="9" t="str">
        <f>IF(N1964=0,_xlfn.XLOOKUP(F1964,'Raw Data'!$I$4:$I$5000,'Raw Data'!$H$4:$H$5000,"",0),"")</f>
        <v/>
      </c>
      <c r="P1964" s="9" t="str" cm="1">
        <f t="array" aca="1" ref="P1964" ca="1">IF(INDIRECT(M1964) = "","",INDIRECT(M1964))</f>
        <v/>
      </c>
      <c r="Q1964" s="359" t="s">
        <v>4380</v>
      </c>
    </row>
    <row r="1965" spans="1:17" x14ac:dyDescent="0.35">
      <c r="A1965" t="s">
        <v>3011</v>
      </c>
      <c r="E1965" t="str">
        <f>_xlfn.XLOOKUP(F1965,'Raw Data'!$I$4:$I$5000,'Raw Data'!$D$4:$D$5000,"*** Mnemonic not found ***",0)</f>
        <v>*** Mnemonic not found ***</v>
      </c>
      <c r="F1965" t="str">
        <f t="shared" si="480"/>
        <v>SUCMFORCURRPRODSEG25__</v>
      </c>
      <c r="H1965" s="9" t="s">
        <v>1137</v>
      </c>
      <c r="K1965" s="9">
        <f t="shared" si="481"/>
        <v>886</v>
      </c>
      <c r="L1965" s="9" t="str">
        <f t="shared" si="482"/>
        <v>E</v>
      </c>
      <c r="M1965" s="9" t="str">
        <f t="shared" si="471"/>
        <v>Input!E886</v>
      </c>
      <c r="N1965" s="9">
        <f>_xlfn.XLOOKUP(F1965,'Raw Data'!$I$4:$I$5000,'Raw Data'!$E$4:$E$5000,100,0)</f>
        <v>100</v>
      </c>
      <c r="O1965" s="9" t="str">
        <f>IF(N1965=0,_xlfn.XLOOKUP(F1965,'Raw Data'!$I$4:$I$5000,'Raw Data'!$H$4:$H$5000,"",0),"")</f>
        <v/>
      </c>
      <c r="P1965" s="9" t="str" cm="1">
        <f t="array" aca="1" ref="P1965" ca="1">IF(INDIRECT(M1965) = "","",INDIRECT(M1965))</f>
        <v/>
      </c>
      <c r="Q1965" s="359" t="s">
        <v>4380</v>
      </c>
    </row>
    <row r="1966" spans="1:17" x14ac:dyDescent="0.35">
      <c r="A1966" t="s">
        <v>3012</v>
      </c>
      <c r="E1966" t="str">
        <f>_xlfn.XLOOKUP(F1966,'Raw Data'!$I$4:$I$5000,'Raw Data'!$D$4:$D$5000,"*** Mnemonic not found ***",0)</f>
        <v>*** Mnemonic not found ***</v>
      </c>
      <c r="F1966" t="str">
        <f t="shared" si="480"/>
        <v>SUCMFORCURRPRODSEG26__</v>
      </c>
      <c r="H1966" s="9" t="s">
        <v>1137</v>
      </c>
      <c r="K1966" s="9">
        <f t="shared" si="481"/>
        <v>887</v>
      </c>
      <c r="L1966" s="9" t="str">
        <f t="shared" si="482"/>
        <v>E</v>
      </c>
      <c r="M1966" s="9" t="str">
        <f t="shared" si="471"/>
        <v>Input!E887</v>
      </c>
      <c r="N1966" s="9">
        <f>_xlfn.XLOOKUP(F1966,'Raw Data'!$I$4:$I$5000,'Raw Data'!$E$4:$E$5000,100,0)</f>
        <v>100</v>
      </c>
      <c r="O1966" s="9" t="str">
        <f>IF(N1966=0,_xlfn.XLOOKUP(F1966,'Raw Data'!$I$4:$I$5000,'Raw Data'!$H$4:$H$5000,"",0),"")</f>
        <v/>
      </c>
      <c r="P1966" s="9" t="str" cm="1">
        <f t="array" aca="1" ref="P1966" ca="1">IF(INDIRECT(M1966) = "","",INDIRECT(M1966))</f>
        <v/>
      </c>
      <c r="Q1966" s="359" t="s">
        <v>4380</v>
      </c>
    </row>
    <row r="1967" spans="1:17" x14ac:dyDescent="0.35">
      <c r="A1967" t="s">
        <v>3013</v>
      </c>
      <c r="E1967" t="str">
        <f>_xlfn.XLOOKUP(F1967,'Raw Data'!$I$4:$I$5000,'Raw Data'!$D$4:$D$5000,"*** Mnemonic not found ***",0)</f>
        <v>*** Mnemonic not found ***</v>
      </c>
      <c r="F1967" t="str">
        <f t="shared" si="480"/>
        <v>SUCMFORCURRPRODSEG27__</v>
      </c>
      <c r="H1967" s="9" t="s">
        <v>1137</v>
      </c>
      <c r="K1967" s="9">
        <f t="shared" si="481"/>
        <v>888</v>
      </c>
      <c r="L1967" s="9" t="str">
        <f t="shared" si="482"/>
        <v>E</v>
      </c>
      <c r="M1967" s="9" t="str">
        <f t="shared" si="471"/>
        <v>Input!E888</v>
      </c>
      <c r="N1967" s="9">
        <f>_xlfn.XLOOKUP(F1967,'Raw Data'!$I$4:$I$5000,'Raw Data'!$E$4:$E$5000,100,0)</f>
        <v>100</v>
      </c>
      <c r="O1967" s="9" t="str">
        <f>IF(N1967=0,_xlfn.XLOOKUP(F1967,'Raw Data'!$I$4:$I$5000,'Raw Data'!$H$4:$H$5000,"",0),"")</f>
        <v/>
      </c>
      <c r="P1967" s="9" t="str" cm="1">
        <f t="array" aca="1" ref="P1967" ca="1">IF(INDIRECT(M1967) = "","",INDIRECT(M1967))</f>
        <v/>
      </c>
      <c r="Q1967" s="359" t="s">
        <v>4380</v>
      </c>
    </row>
    <row r="1968" spans="1:17" x14ac:dyDescent="0.35">
      <c r="A1968" t="s">
        <v>3014</v>
      </c>
      <c r="E1968" t="str">
        <f>_xlfn.XLOOKUP(F1968,'Raw Data'!$I$4:$I$5000,'Raw Data'!$D$4:$D$5000,"*** Mnemonic not found ***",0)</f>
        <v>*** Mnemonic not found ***</v>
      </c>
      <c r="F1968" t="str">
        <f t="shared" si="480"/>
        <v>SUCMFORCURRPRODSEG28__</v>
      </c>
      <c r="H1968" s="9" t="s">
        <v>1137</v>
      </c>
      <c r="K1968" s="9">
        <f t="shared" si="481"/>
        <v>889</v>
      </c>
      <c r="L1968" s="9" t="str">
        <f t="shared" si="482"/>
        <v>E</v>
      </c>
      <c r="M1968" s="9" t="str">
        <f t="shared" si="471"/>
        <v>Input!E889</v>
      </c>
      <c r="N1968" s="9">
        <f>_xlfn.XLOOKUP(F1968,'Raw Data'!$I$4:$I$5000,'Raw Data'!$E$4:$E$5000,100,0)</f>
        <v>100</v>
      </c>
      <c r="O1968" s="9" t="str">
        <f>IF(N1968=0,_xlfn.XLOOKUP(F1968,'Raw Data'!$I$4:$I$5000,'Raw Data'!$H$4:$H$5000,"",0),"")</f>
        <v/>
      </c>
      <c r="P1968" s="9" t="str" cm="1">
        <f t="array" aca="1" ref="P1968" ca="1">IF(INDIRECT(M1968) = "","",INDIRECT(M1968))</f>
        <v/>
      </c>
      <c r="Q1968" s="359" t="s">
        <v>4380</v>
      </c>
    </row>
    <row r="1969" spans="1:17" x14ac:dyDescent="0.35">
      <c r="A1969" t="s">
        <v>3015</v>
      </c>
      <c r="E1969" t="str">
        <f>_xlfn.XLOOKUP(F1969,'Raw Data'!$I$4:$I$5000,'Raw Data'!$D$4:$D$5000,"*** Mnemonic not found ***",0)</f>
        <v>*** Mnemonic not found ***</v>
      </c>
      <c r="F1969" t="str">
        <f t="shared" si="480"/>
        <v>SUCMFORCURRPRODSEG29__</v>
      </c>
      <c r="H1969" s="9" t="s">
        <v>1137</v>
      </c>
      <c r="K1969" s="9">
        <f t="shared" si="481"/>
        <v>890</v>
      </c>
      <c r="L1969" s="9" t="str">
        <f t="shared" si="482"/>
        <v>E</v>
      </c>
      <c r="M1969" s="9" t="str">
        <f t="shared" si="471"/>
        <v>Input!E890</v>
      </c>
      <c r="N1969" s="9">
        <f>_xlfn.XLOOKUP(F1969,'Raw Data'!$I$4:$I$5000,'Raw Data'!$E$4:$E$5000,100,0)</f>
        <v>100</v>
      </c>
      <c r="O1969" s="9" t="str">
        <f>IF(N1969=0,_xlfn.XLOOKUP(F1969,'Raw Data'!$I$4:$I$5000,'Raw Data'!$H$4:$H$5000,"",0),"")</f>
        <v/>
      </c>
      <c r="P1969" s="9" t="str" cm="1">
        <f t="array" aca="1" ref="P1969" ca="1">IF(INDIRECT(M1969) = "","",INDIRECT(M1969))</f>
        <v/>
      </c>
      <c r="Q1969" s="359" t="s">
        <v>4380</v>
      </c>
    </row>
    <row r="1970" spans="1:17" x14ac:dyDescent="0.35">
      <c r="A1970" t="s">
        <v>3016</v>
      </c>
      <c r="E1970" t="str">
        <f>_xlfn.XLOOKUP(F1970,'Raw Data'!$I$4:$I$5000,'Raw Data'!$D$4:$D$5000,"*** Mnemonic not found ***",0)</f>
        <v>*** Mnemonic not found ***</v>
      </c>
      <c r="F1970" t="str">
        <f t="shared" si="480"/>
        <v>SUCMFORCURRPRODSEG30__</v>
      </c>
      <c r="H1970" s="9" t="s">
        <v>1137</v>
      </c>
      <c r="K1970" s="9">
        <f t="shared" si="481"/>
        <v>891</v>
      </c>
      <c r="L1970" s="9" t="str">
        <f t="shared" si="482"/>
        <v>E</v>
      </c>
      <c r="M1970" s="9" t="str">
        <f t="shared" si="471"/>
        <v>Input!E891</v>
      </c>
      <c r="N1970" s="9">
        <f>_xlfn.XLOOKUP(F1970,'Raw Data'!$I$4:$I$5000,'Raw Data'!$E$4:$E$5000,100,0)</f>
        <v>100</v>
      </c>
      <c r="O1970" s="9" t="str">
        <f>IF(N1970=0,_xlfn.XLOOKUP(F1970,'Raw Data'!$I$4:$I$5000,'Raw Data'!$H$4:$H$5000,"",0),"")</f>
        <v/>
      </c>
      <c r="P1970" s="9" t="str" cm="1">
        <f t="array" aca="1" ref="P1970" ca="1">IF(INDIRECT(M1970) = "","",INDIRECT(M1970))</f>
        <v/>
      </c>
      <c r="Q1970" s="359" t="s">
        <v>4380</v>
      </c>
    </row>
    <row r="1971" spans="1:17" x14ac:dyDescent="0.35">
      <c r="A1971" t="s">
        <v>3017</v>
      </c>
      <c r="E1971" t="str">
        <f>_xlfn.XLOOKUP(F1971,'Raw Data'!$I$4:$I$5000,'Raw Data'!$D$4:$D$5000,"*** Mnemonic not found ***",0)</f>
        <v>*** Mnemonic not found ***</v>
      </c>
      <c r="F1971" t="str">
        <f t="shared" si="480"/>
        <v>SUCMFORCURRPRODSEG31__</v>
      </c>
      <c r="H1971" s="9" t="s">
        <v>1137</v>
      </c>
      <c r="K1971" s="9">
        <f t="shared" si="481"/>
        <v>892</v>
      </c>
      <c r="L1971" s="9" t="str">
        <f t="shared" si="482"/>
        <v>E</v>
      </c>
      <c r="M1971" s="9" t="str">
        <f t="shared" si="471"/>
        <v>Input!E892</v>
      </c>
      <c r="N1971" s="9">
        <f>_xlfn.XLOOKUP(F1971,'Raw Data'!$I$4:$I$5000,'Raw Data'!$E$4:$E$5000,100,0)</f>
        <v>100</v>
      </c>
      <c r="O1971" s="9" t="str">
        <f>IF(N1971=0,_xlfn.XLOOKUP(F1971,'Raw Data'!$I$4:$I$5000,'Raw Data'!$H$4:$H$5000,"",0),"")</f>
        <v/>
      </c>
      <c r="P1971" s="9" t="str" cm="1">
        <f t="array" aca="1" ref="P1971" ca="1">IF(INDIRECT(M1971) = "","",INDIRECT(M1971))</f>
        <v/>
      </c>
      <c r="Q1971" s="359" t="s">
        <v>4380</v>
      </c>
    </row>
    <row r="1972" spans="1:17" x14ac:dyDescent="0.35">
      <c r="A1972" t="s">
        <v>3018</v>
      </c>
      <c r="E1972" t="str">
        <f>_xlfn.XLOOKUP(F1972,'Raw Data'!$I$4:$I$5000,'Raw Data'!$D$4:$D$5000,"*** Mnemonic not found ***",0)</f>
        <v>*** Mnemonic not found ***</v>
      </c>
      <c r="F1972" t="str">
        <f t="shared" si="480"/>
        <v>SUCMFORCURRPRODSEG32__</v>
      </c>
      <c r="H1972" s="9" t="s">
        <v>1137</v>
      </c>
      <c r="K1972" s="9">
        <f t="shared" si="481"/>
        <v>893</v>
      </c>
      <c r="L1972" s="9" t="str">
        <f t="shared" si="482"/>
        <v>E</v>
      </c>
      <c r="M1972" s="9" t="str">
        <f t="shared" si="471"/>
        <v>Input!E893</v>
      </c>
      <c r="N1972" s="9">
        <f>_xlfn.XLOOKUP(F1972,'Raw Data'!$I$4:$I$5000,'Raw Data'!$E$4:$E$5000,100,0)</f>
        <v>100</v>
      </c>
      <c r="O1972" s="9" t="str">
        <f>IF(N1972=0,_xlfn.XLOOKUP(F1972,'Raw Data'!$I$4:$I$5000,'Raw Data'!$H$4:$H$5000,"",0),"")</f>
        <v/>
      </c>
      <c r="P1972" s="9" t="str" cm="1">
        <f t="array" aca="1" ref="P1972" ca="1">IF(INDIRECT(M1972) = "","",INDIRECT(M1972))</f>
        <v/>
      </c>
      <c r="Q1972" s="359" t="s">
        <v>4380</v>
      </c>
    </row>
    <row r="1973" spans="1:17" x14ac:dyDescent="0.35">
      <c r="A1973" t="s">
        <v>3019</v>
      </c>
      <c r="E1973" t="str">
        <f>_xlfn.XLOOKUP(F1973,'Raw Data'!$I$4:$I$5000,'Raw Data'!$D$4:$D$5000,"*** Mnemonic not found ***",0)</f>
        <v>*** Mnemonic not found ***</v>
      </c>
      <c r="F1973" t="str">
        <f t="shared" si="480"/>
        <v>SUCMFORCURRPRODSEG33__</v>
      </c>
      <c r="H1973" s="9" t="s">
        <v>1137</v>
      </c>
      <c r="K1973" s="9">
        <f t="shared" si="481"/>
        <v>894</v>
      </c>
      <c r="L1973" s="9" t="str">
        <f t="shared" si="482"/>
        <v>E</v>
      </c>
      <c r="M1973" s="9" t="str">
        <f t="shared" si="471"/>
        <v>Input!E894</v>
      </c>
      <c r="N1973" s="9">
        <f>_xlfn.XLOOKUP(F1973,'Raw Data'!$I$4:$I$5000,'Raw Data'!$E$4:$E$5000,100,0)</f>
        <v>100</v>
      </c>
      <c r="O1973" s="9" t="str">
        <f>IF(N1973=0,_xlfn.XLOOKUP(F1973,'Raw Data'!$I$4:$I$5000,'Raw Data'!$H$4:$H$5000,"",0),"")</f>
        <v/>
      </c>
      <c r="P1973" s="9" t="str" cm="1">
        <f t="array" aca="1" ref="P1973" ca="1">IF(INDIRECT(M1973) = "","",INDIRECT(M1973))</f>
        <v/>
      </c>
      <c r="Q1973" s="359" t="s">
        <v>4380</v>
      </c>
    </row>
    <row r="1974" spans="1:17" x14ac:dyDescent="0.35">
      <c r="A1974" t="s">
        <v>3020</v>
      </c>
      <c r="E1974" t="str">
        <f>_xlfn.XLOOKUP(F1974,'Raw Data'!$I$4:$I$5000,'Raw Data'!$D$4:$D$5000,"*** Mnemonic not found ***",0)</f>
        <v>*** Mnemonic not found ***</v>
      </c>
      <c r="F1974" t="str">
        <f t="shared" si="480"/>
        <v>SUCMFORCURRPRODSEG34__</v>
      </c>
      <c r="H1974" s="9" t="s">
        <v>1137</v>
      </c>
      <c r="K1974" s="9">
        <f t="shared" si="481"/>
        <v>895</v>
      </c>
      <c r="L1974" s="9" t="str">
        <f t="shared" si="482"/>
        <v>E</v>
      </c>
      <c r="M1974" s="9" t="str">
        <f t="shared" si="471"/>
        <v>Input!E895</v>
      </c>
      <c r="N1974" s="9">
        <f>_xlfn.XLOOKUP(F1974,'Raw Data'!$I$4:$I$5000,'Raw Data'!$E$4:$E$5000,100,0)</f>
        <v>100</v>
      </c>
      <c r="O1974" s="9" t="str">
        <f>IF(N1974=0,_xlfn.XLOOKUP(F1974,'Raw Data'!$I$4:$I$5000,'Raw Data'!$H$4:$H$5000,"",0),"")</f>
        <v/>
      </c>
      <c r="P1974" s="9" t="str" cm="1">
        <f t="array" aca="1" ref="P1974" ca="1">IF(INDIRECT(M1974) = "","",INDIRECT(M1974))</f>
        <v/>
      </c>
      <c r="Q1974" s="359" t="s">
        <v>4380</v>
      </c>
    </row>
    <row r="1975" spans="1:17" x14ac:dyDescent="0.35">
      <c r="A1975" t="s">
        <v>3021</v>
      </c>
      <c r="E1975" t="str">
        <f>_xlfn.XLOOKUP(F1975,'Raw Data'!$I$4:$I$5000,'Raw Data'!$D$4:$D$5000,"*** Mnemonic not found ***",0)</f>
        <v>*** Mnemonic not found ***</v>
      </c>
      <c r="F1975" t="str">
        <f t="shared" si="480"/>
        <v>SUCMFORCURRPRODSEG35__</v>
      </c>
      <c r="H1975" s="9" t="s">
        <v>1137</v>
      </c>
      <c r="K1975" s="9">
        <f t="shared" si="481"/>
        <v>896</v>
      </c>
      <c r="L1975" s="9" t="str">
        <f t="shared" si="482"/>
        <v>E</v>
      </c>
      <c r="M1975" s="9" t="str">
        <f t="shared" si="471"/>
        <v>Input!E896</v>
      </c>
      <c r="N1975" s="9">
        <f>_xlfn.XLOOKUP(F1975,'Raw Data'!$I$4:$I$5000,'Raw Data'!$E$4:$E$5000,100,0)</f>
        <v>100</v>
      </c>
      <c r="O1975" s="9" t="str">
        <f>IF(N1975=0,_xlfn.XLOOKUP(F1975,'Raw Data'!$I$4:$I$5000,'Raw Data'!$H$4:$H$5000,"",0),"")</f>
        <v/>
      </c>
      <c r="P1975" s="9" t="str" cm="1">
        <f t="array" aca="1" ref="P1975" ca="1">IF(INDIRECT(M1975) = "","",INDIRECT(M1975))</f>
        <v/>
      </c>
      <c r="Q1975" s="359" t="s">
        <v>4380</v>
      </c>
    </row>
    <row r="1976" spans="1:17" x14ac:dyDescent="0.35">
      <c r="A1976" t="s">
        <v>2931</v>
      </c>
      <c r="E1976" t="str">
        <f>_xlfn.XLOOKUP(F1976,'Raw Data'!$I$4:$I$5000,'Raw Data'!$D$4:$D$5000,"*** Mnemonic not found ***",0)</f>
        <v>*** Mnemonic not found ***</v>
      </c>
      <c r="F1976" t="str">
        <f t="shared" si="480"/>
        <v>SUCMFORCURREXPAMT1__</v>
      </c>
      <c r="H1976" s="9" t="s">
        <v>1137</v>
      </c>
      <c r="K1976" s="9">
        <f>K1873</f>
        <v>862</v>
      </c>
      <c r="L1976" s="9" t="s">
        <v>1124</v>
      </c>
      <c r="M1976" s="9" t="str">
        <f t="shared" si="471"/>
        <v>Input!F862</v>
      </c>
      <c r="N1976" s="9">
        <f>_xlfn.XLOOKUP(F1976,'Raw Data'!$I$4:$I$5000,'Raw Data'!$E$4:$E$5000,100,0)</f>
        <v>100</v>
      </c>
      <c r="O1976" s="9" t="str">
        <f>IF(N1976=0,_xlfn.XLOOKUP(F1976,'Raw Data'!$I$4:$I$5000,'Raw Data'!$H$4:$H$5000,"",0),"")</f>
        <v/>
      </c>
      <c r="P1976" s="9" t="str" cm="1">
        <f t="array" aca="1" ref="P1976" ca="1">IF(INDIRECT(M1976) = "","",INDIRECT(M1976))</f>
        <v/>
      </c>
      <c r="Q1976" s="359" t="s">
        <v>4381</v>
      </c>
    </row>
    <row r="1977" spans="1:17" x14ac:dyDescent="0.35">
      <c r="A1977" t="s">
        <v>2932</v>
      </c>
      <c r="E1977" t="str">
        <f>_xlfn.XLOOKUP(F1977,'Raw Data'!$I$4:$I$5000,'Raw Data'!$D$4:$D$5000,"*** Mnemonic not found ***",0)</f>
        <v>*** Mnemonic not found ***</v>
      </c>
      <c r="F1977" t="str">
        <f t="shared" si="480"/>
        <v>SUCMFORCURREXPAMT2__</v>
      </c>
      <c r="H1977" s="9" t="s">
        <v>1137</v>
      </c>
      <c r="K1977" s="9">
        <f t="shared" ref="K1977:K2010" si="483">K1976+1</f>
        <v>863</v>
      </c>
      <c r="L1977" s="9" t="str">
        <f t="shared" ref="L1977:L2010" si="484">L1976</f>
        <v>F</v>
      </c>
      <c r="M1977" s="9" t="str">
        <f t="shared" si="471"/>
        <v>Input!F863</v>
      </c>
      <c r="N1977" s="9">
        <f>_xlfn.XLOOKUP(F1977,'Raw Data'!$I$4:$I$5000,'Raw Data'!$E$4:$E$5000,100,0)</f>
        <v>100</v>
      </c>
      <c r="O1977" s="9" t="str">
        <f>IF(N1977=0,_xlfn.XLOOKUP(F1977,'Raw Data'!$I$4:$I$5000,'Raw Data'!$H$4:$H$5000,"",0),"")</f>
        <v/>
      </c>
      <c r="P1977" s="9" t="str" cm="1">
        <f t="array" aca="1" ref="P1977" ca="1">IF(INDIRECT(M1977) = "","",INDIRECT(M1977))</f>
        <v/>
      </c>
      <c r="Q1977" s="359" t="s">
        <v>4381</v>
      </c>
    </row>
    <row r="1978" spans="1:17" x14ac:dyDescent="0.35">
      <c r="A1978" t="s">
        <v>2933</v>
      </c>
      <c r="E1978" t="str">
        <f>_xlfn.XLOOKUP(F1978,'Raw Data'!$I$4:$I$5000,'Raw Data'!$D$4:$D$5000,"*** Mnemonic not found ***",0)</f>
        <v>*** Mnemonic not found ***</v>
      </c>
      <c r="F1978" t="str">
        <f t="shared" si="480"/>
        <v>SUCMFORCURREXPAMT3__</v>
      </c>
      <c r="H1978" s="9" t="s">
        <v>1137</v>
      </c>
      <c r="K1978" s="9">
        <f t="shared" si="483"/>
        <v>864</v>
      </c>
      <c r="L1978" s="9" t="str">
        <f t="shared" si="484"/>
        <v>F</v>
      </c>
      <c r="M1978" s="9" t="str">
        <f t="shared" si="471"/>
        <v>Input!F864</v>
      </c>
      <c r="N1978" s="9">
        <f>_xlfn.XLOOKUP(F1978,'Raw Data'!$I$4:$I$5000,'Raw Data'!$E$4:$E$5000,100,0)</f>
        <v>100</v>
      </c>
      <c r="O1978" s="9" t="str">
        <f>IF(N1978=0,_xlfn.XLOOKUP(F1978,'Raw Data'!$I$4:$I$5000,'Raw Data'!$H$4:$H$5000,"",0),"")</f>
        <v/>
      </c>
      <c r="P1978" s="9" t="str" cm="1">
        <f t="array" aca="1" ref="P1978" ca="1">IF(INDIRECT(M1978) = "","",INDIRECT(M1978))</f>
        <v/>
      </c>
      <c r="Q1978" s="359" t="s">
        <v>4381</v>
      </c>
    </row>
    <row r="1979" spans="1:17" x14ac:dyDescent="0.35">
      <c r="A1979" t="s">
        <v>2934</v>
      </c>
      <c r="E1979" t="str">
        <f>_xlfn.XLOOKUP(F1979,'Raw Data'!$I$4:$I$5000,'Raw Data'!$D$4:$D$5000,"*** Mnemonic not found ***",0)</f>
        <v>*** Mnemonic not found ***</v>
      </c>
      <c r="F1979" t="str">
        <f t="shared" si="480"/>
        <v>SUCMFORCURREXPAMT4__</v>
      </c>
      <c r="H1979" s="9" t="s">
        <v>1137</v>
      </c>
      <c r="K1979" s="9">
        <f t="shared" si="483"/>
        <v>865</v>
      </c>
      <c r="L1979" s="9" t="str">
        <f t="shared" si="484"/>
        <v>F</v>
      </c>
      <c r="M1979" s="9" t="str">
        <f t="shared" si="471"/>
        <v>Input!F865</v>
      </c>
      <c r="N1979" s="9">
        <f>_xlfn.XLOOKUP(F1979,'Raw Data'!$I$4:$I$5000,'Raw Data'!$E$4:$E$5000,100,0)</f>
        <v>100</v>
      </c>
      <c r="O1979" s="9" t="str">
        <f>IF(N1979=0,_xlfn.XLOOKUP(F1979,'Raw Data'!$I$4:$I$5000,'Raw Data'!$H$4:$H$5000,"",0),"")</f>
        <v/>
      </c>
      <c r="P1979" s="9" t="str" cm="1">
        <f t="array" aca="1" ref="P1979" ca="1">IF(INDIRECT(M1979) = "","",INDIRECT(M1979))</f>
        <v/>
      </c>
      <c r="Q1979" s="359" t="s">
        <v>4381</v>
      </c>
    </row>
    <row r="1980" spans="1:17" x14ac:dyDescent="0.35">
      <c r="A1980" t="s">
        <v>2935</v>
      </c>
      <c r="E1980" t="str">
        <f>_xlfn.XLOOKUP(F1980,'Raw Data'!$I$4:$I$5000,'Raw Data'!$D$4:$D$5000,"*** Mnemonic not found ***",0)</f>
        <v>*** Mnemonic not found ***</v>
      </c>
      <c r="F1980" t="str">
        <f t="shared" si="480"/>
        <v>SUCMFORCURREXPAMT5__</v>
      </c>
      <c r="H1980" s="9" t="s">
        <v>1137</v>
      </c>
      <c r="K1980" s="9">
        <f t="shared" si="483"/>
        <v>866</v>
      </c>
      <c r="L1980" s="9" t="str">
        <f t="shared" si="484"/>
        <v>F</v>
      </c>
      <c r="M1980" s="9" t="str">
        <f t="shared" si="471"/>
        <v>Input!F866</v>
      </c>
      <c r="N1980" s="9">
        <f>_xlfn.XLOOKUP(F1980,'Raw Data'!$I$4:$I$5000,'Raw Data'!$E$4:$E$5000,100,0)</f>
        <v>100</v>
      </c>
      <c r="O1980" s="9" t="str">
        <f>IF(N1980=0,_xlfn.XLOOKUP(F1980,'Raw Data'!$I$4:$I$5000,'Raw Data'!$H$4:$H$5000,"",0),"")</f>
        <v/>
      </c>
      <c r="P1980" s="9" t="str" cm="1">
        <f t="array" aca="1" ref="P1980" ca="1">IF(INDIRECT(M1980) = "","",INDIRECT(M1980))</f>
        <v/>
      </c>
      <c r="Q1980" s="359" t="s">
        <v>4381</v>
      </c>
    </row>
    <row r="1981" spans="1:17" x14ac:dyDescent="0.35">
      <c r="A1981" t="s">
        <v>2936</v>
      </c>
      <c r="E1981" t="str">
        <f>_xlfn.XLOOKUP(F1981,'Raw Data'!$I$4:$I$5000,'Raw Data'!$D$4:$D$5000,"*** Mnemonic not found ***",0)</f>
        <v>*** Mnemonic not found ***</v>
      </c>
      <c r="F1981" t="str">
        <f t="shared" si="480"/>
        <v>SUCMFORCURREXPAMT6__</v>
      </c>
      <c r="H1981" s="9" t="s">
        <v>1137</v>
      </c>
      <c r="K1981" s="9">
        <f t="shared" si="483"/>
        <v>867</v>
      </c>
      <c r="L1981" s="9" t="str">
        <f t="shared" si="484"/>
        <v>F</v>
      </c>
      <c r="M1981" s="9" t="str">
        <f t="shared" si="471"/>
        <v>Input!F867</v>
      </c>
      <c r="N1981" s="9">
        <f>_xlfn.XLOOKUP(F1981,'Raw Data'!$I$4:$I$5000,'Raw Data'!$E$4:$E$5000,100,0)</f>
        <v>100</v>
      </c>
      <c r="O1981" s="9" t="str">
        <f>IF(N1981=0,_xlfn.XLOOKUP(F1981,'Raw Data'!$I$4:$I$5000,'Raw Data'!$H$4:$H$5000,"",0),"")</f>
        <v/>
      </c>
      <c r="P1981" s="9" t="str" cm="1">
        <f t="array" aca="1" ref="P1981" ca="1">IF(INDIRECT(M1981) = "","",INDIRECT(M1981))</f>
        <v/>
      </c>
      <c r="Q1981" s="359" t="s">
        <v>4381</v>
      </c>
    </row>
    <row r="1982" spans="1:17" x14ac:dyDescent="0.35">
      <c r="A1982" t="s">
        <v>2937</v>
      </c>
      <c r="E1982" t="str">
        <f>_xlfn.XLOOKUP(F1982,'Raw Data'!$I$4:$I$5000,'Raw Data'!$D$4:$D$5000,"*** Mnemonic not found ***",0)</f>
        <v>*** Mnemonic not found ***</v>
      </c>
      <c r="F1982" t="str">
        <f t="shared" si="480"/>
        <v>SUCMFORCURREXPAMT7__</v>
      </c>
      <c r="H1982" s="9" t="s">
        <v>1137</v>
      </c>
      <c r="K1982" s="9">
        <f t="shared" si="483"/>
        <v>868</v>
      </c>
      <c r="L1982" s="9" t="str">
        <f t="shared" si="484"/>
        <v>F</v>
      </c>
      <c r="M1982" s="9" t="str">
        <f t="shared" si="471"/>
        <v>Input!F868</v>
      </c>
      <c r="N1982" s="9">
        <f>_xlfn.XLOOKUP(F1982,'Raw Data'!$I$4:$I$5000,'Raw Data'!$E$4:$E$5000,100,0)</f>
        <v>100</v>
      </c>
      <c r="O1982" s="9" t="str">
        <f>IF(N1982=0,_xlfn.XLOOKUP(F1982,'Raw Data'!$I$4:$I$5000,'Raw Data'!$H$4:$H$5000,"",0),"")</f>
        <v/>
      </c>
      <c r="P1982" s="9" t="str" cm="1">
        <f t="array" aca="1" ref="P1982" ca="1">IF(INDIRECT(M1982) = "","",INDIRECT(M1982))</f>
        <v/>
      </c>
      <c r="Q1982" s="359" t="s">
        <v>4381</v>
      </c>
    </row>
    <row r="1983" spans="1:17" x14ac:dyDescent="0.35">
      <c r="A1983" t="s">
        <v>2938</v>
      </c>
      <c r="E1983" t="str">
        <f>_xlfn.XLOOKUP(F1983,'Raw Data'!$I$4:$I$5000,'Raw Data'!$D$4:$D$5000,"*** Mnemonic not found ***",0)</f>
        <v>*** Mnemonic not found ***</v>
      </c>
      <c r="F1983" t="str">
        <f t="shared" si="480"/>
        <v>SUCMFORCURREXPAMT8__</v>
      </c>
      <c r="H1983" s="9" t="s">
        <v>1137</v>
      </c>
      <c r="K1983" s="9">
        <f t="shared" si="483"/>
        <v>869</v>
      </c>
      <c r="L1983" s="9" t="str">
        <f t="shared" si="484"/>
        <v>F</v>
      </c>
      <c r="M1983" s="9" t="str">
        <f t="shared" si="471"/>
        <v>Input!F869</v>
      </c>
      <c r="N1983" s="9">
        <f>_xlfn.XLOOKUP(F1983,'Raw Data'!$I$4:$I$5000,'Raw Data'!$E$4:$E$5000,100,0)</f>
        <v>100</v>
      </c>
      <c r="O1983" s="9" t="str">
        <f>IF(N1983=0,_xlfn.XLOOKUP(F1983,'Raw Data'!$I$4:$I$5000,'Raw Data'!$H$4:$H$5000,"",0),"")</f>
        <v/>
      </c>
      <c r="P1983" s="9" t="str" cm="1">
        <f t="array" aca="1" ref="P1983" ca="1">IF(INDIRECT(M1983) = "","",INDIRECT(M1983))</f>
        <v/>
      </c>
      <c r="Q1983" s="359" t="s">
        <v>4381</v>
      </c>
    </row>
    <row r="1984" spans="1:17" x14ac:dyDescent="0.35">
      <c r="A1984" t="s">
        <v>2939</v>
      </c>
      <c r="E1984" t="str">
        <f>_xlfn.XLOOKUP(F1984,'Raw Data'!$I$4:$I$5000,'Raw Data'!$D$4:$D$5000,"*** Mnemonic not found ***",0)</f>
        <v>*** Mnemonic not found ***</v>
      </c>
      <c r="F1984" t="str">
        <f t="shared" si="480"/>
        <v>SUCMFORCURREXPAMT9__</v>
      </c>
      <c r="H1984" s="9" t="s">
        <v>1137</v>
      </c>
      <c r="K1984" s="9">
        <f t="shared" si="483"/>
        <v>870</v>
      </c>
      <c r="L1984" s="9" t="str">
        <f t="shared" si="484"/>
        <v>F</v>
      </c>
      <c r="M1984" s="9" t="str">
        <f t="shared" si="471"/>
        <v>Input!F870</v>
      </c>
      <c r="N1984" s="9">
        <f>_xlfn.XLOOKUP(F1984,'Raw Data'!$I$4:$I$5000,'Raw Data'!$E$4:$E$5000,100,0)</f>
        <v>100</v>
      </c>
      <c r="O1984" s="9" t="str">
        <f>IF(N1984=0,_xlfn.XLOOKUP(F1984,'Raw Data'!$I$4:$I$5000,'Raw Data'!$H$4:$H$5000,"",0),"")</f>
        <v/>
      </c>
      <c r="P1984" s="9" t="str" cm="1">
        <f t="array" aca="1" ref="P1984" ca="1">IF(INDIRECT(M1984) = "","",INDIRECT(M1984))</f>
        <v/>
      </c>
      <c r="Q1984" s="359" t="s">
        <v>4381</v>
      </c>
    </row>
    <row r="1985" spans="1:17" x14ac:dyDescent="0.35">
      <c r="A1985" t="s">
        <v>2940</v>
      </c>
      <c r="E1985" t="str">
        <f>_xlfn.XLOOKUP(F1985,'Raw Data'!$I$4:$I$5000,'Raw Data'!$D$4:$D$5000,"*** Mnemonic not found ***",0)</f>
        <v>*** Mnemonic not found ***</v>
      </c>
      <c r="F1985" t="str">
        <f t="shared" si="480"/>
        <v>SUCMFORCURREXPAMT10__</v>
      </c>
      <c r="H1985" s="9" t="s">
        <v>1137</v>
      </c>
      <c r="K1985" s="9">
        <f t="shared" si="483"/>
        <v>871</v>
      </c>
      <c r="L1985" s="9" t="str">
        <f t="shared" si="484"/>
        <v>F</v>
      </c>
      <c r="M1985" s="9" t="str">
        <f t="shared" si="471"/>
        <v>Input!F871</v>
      </c>
      <c r="N1985" s="9">
        <f>_xlfn.XLOOKUP(F1985,'Raw Data'!$I$4:$I$5000,'Raw Data'!$E$4:$E$5000,100,0)</f>
        <v>100</v>
      </c>
      <c r="O1985" s="9" t="str">
        <f>IF(N1985=0,_xlfn.XLOOKUP(F1985,'Raw Data'!$I$4:$I$5000,'Raw Data'!$H$4:$H$5000,"",0),"")</f>
        <v/>
      </c>
      <c r="P1985" s="9" t="str" cm="1">
        <f t="array" aca="1" ref="P1985" ca="1">IF(INDIRECT(M1985) = "","",INDIRECT(M1985))</f>
        <v/>
      </c>
      <c r="Q1985" s="359" t="s">
        <v>4381</v>
      </c>
    </row>
    <row r="1986" spans="1:17" x14ac:dyDescent="0.35">
      <c r="A1986" t="s">
        <v>2941</v>
      </c>
      <c r="E1986" t="str">
        <f>_xlfn.XLOOKUP(F1986,'Raw Data'!$I$4:$I$5000,'Raw Data'!$D$4:$D$5000,"*** Mnemonic not found ***",0)</f>
        <v>*** Mnemonic not found ***</v>
      </c>
      <c r="F1986" t="str">
        <f t="shared" si="480"/>
        <v>SUCMFORCURREXPAMT11__</v>
      </c>
      <c r="H1986" s="9" t="s">
        <v>1137</v>
      </c>
      <c r="K1986" s="9">
        <f t="shared" si="483"/>
        <v>872</v>
      </c>
      <c r="L1986" s="9" t="str">
        <f t="shared" si="484"/>
        <v>F</v>
      </c>
      <c r="M1986" s="9" t="str">
        <f t="shared" si="471"/>
        <v>Input!F872</v>
      </c>
      <c r="N1986" s="9">
        <f>_xlfn.XLOOKUP(F1986,'Raw Data'!$I$4:$I$5000,'Raw Data'!$E$4:$E$5000,100,0)</f>
        <v>100</v>
      </c>
      <c r="O1986" s="9" t="str">
        <f>IF(N1986=0,_xlfn.XLOOKUP(F1986,'Raw Data'!$I$4:$I$5000,'Raw Data'!$H$4:$H$5000,"",0),"")</f>
        <v/>
      </c>
      <c r="P1986" s="9" t="str" cm="1">
        <f t="array" aca="1" ref="P1986" ca="1">IF(INDIRECT(M1986) = "","",INDIRECT(M1986))</f>
        <v/>
      </c>
      <c r="Q1986" s="359" t="s">
        <v>4381</v>
      </c>
    </row>
    <row r="1987" spans="1:17" x14ac:dyDescent="0.35">
      <c r="A1987" t="s">
        <v>2942</v>
      </c>
      <c r="E1987" t="str">
        <f>_xlfn.XLOOKUP(F1987,'Raw Data'!$I$4:$I$5000,'Raw Data'!$D$4:$D$5000,"*** Mnemonic not found ***",0)</f>
        <v>*** Mnemonic not found ***</v>
      </c>
      <c r="F1987" t="str">
        <f t="shared" si="480"/>
        <v>SUCMFORCURREXPAMT12__</v>
      </c>
      <c r="H1987" s="9" t="s">
        <v>1137</v>
      </c>
      <c r="K1987" s="9">
        <f t="shared" si="483"/>
        <v>873</v>
      </c>
      <c r="L1987" s="9" t="str">
        <f t="shared" si="484"/>
        <v>F</v>
      </c>
      <c r="M1987" s="9" t="str">
        <f t="shared" si="471"/>
        <v>Input!F873</v>
      </c>
      <c r="N1987" s="9">
        <f>_xlfn.XLOOKUP(F1987,'Raw Data'!$I$4:$I$5000,'Raw Data'!$E$4:$E$5000,100,0)</f>
        <v>100</v>
      </c>
      <c r="O1987" s="9" t="str">
        <f>IF(N1987=0,_xlfn.XLOOKUP(F1987,'Raw Data'!$I$4:$I$5000,'Raw Data'!$H$4:$H$5000,"",0),"")</f>
        <v/>
      </c>
      <c r="P1987" s="9" t="str" cm="1">
        <f t="array" aca="1" ref="P1987" ca="1">IF(INDIRECT(M1987) = "","",INDIRECT(M1987))</f>
        <v/>
      </c>
      <c r="Q1987" s="359" t="s">
        <v>4381</v>
      </c>
    </row>
    <row r="1988" spans="1:17" x14ac:dyDescent="0.35">
      <c r="A1988" t="s">
        <v>2943</v>
      </c>
      <c r="E1988" t="str">
        <f>_xlfn.XLOOKUP(F1988,'Raw Data'!$I$4:$I$5000,'Raw Data'!$D$4:$D$5000,"*** Mnemonic not found ***",0)</f>
        <v>*** Mnemonic not found ***</v>
      </c>
      <c r="F1988" t="str">
        <f t="shared" si="480"/>
        <v>SUCMFORCURREXPAMT13__</v>
      </c>
      <c r="H1988" s="9" t="s">
        <v>1137</v>
      </c>
      <c r="K1988" s="9">
        <f t="shared" si="483"/>
        <v>874</v>
      </c>
      <c r="L1988" s="9" t="str">
        <f t="shared" si="484"/>
        <v>F</v>
      </c>
      <c r="M1988" s="9" t="str">
        <f t="shared" si="471"/>
        <v>Input!F874</v>
      </c>
      <c r="N1988" s="9">
        <f>_xlfn.XLOOKUP(F1988,'Raw Data'!$I$4:$I$5000,'Raw Data'!$E$4:$E$5000,100,0)</f>
        <v>100</v>
      </c>
      <c r="O1988" s="9" t="str">
        <f>IF(N1988=0,_xlfn.XLOOKUP(F1988,'Raw Data'!$I$4:$I$5000,'Raw Data'!$H$4:$H$5000,"",0),"")</f>
        <v/>
      </c>
      <c r="P1988" s="9" t="str" cm="1">
        <f t="array" aca="1" ref="P1988" ca="1">IF(INDIRECT(M1988) = "","",INDIRECT(M1988))</f>
        <v/>
      </c>
      <c r="Q1988" s="359" t="s">
        <v>4381</v>
      </c>
    </row>
    <row r="1989" spans="1:17" x14ac:dyDescent="0.35">
      <c r="A1989" t="s">
        <v>2944</v>
      </c>
      <c r="E1989" t="str">
        <f>_xlfn.XLOOKUP(F1989,'Raw Data'!$I$4:$I$5000,'Raw Data'!$D$4:$D$5000,"*** Mnemonic not found ***",0)</f>
        <v>*** Mnemonic not found ***</v>
      </c>
      <c r="F1989" t="str">
        <f t="shared" si="480"/>
        <v>SUCMFORCURREXPAMT14__</v>
      </c>
      <c r="H1989" s="9" t="s">
        <v>1137</v>
      </c>
      <c r="K1989" s="9">
        <f t="shared" si="483"/>
        <v>875</v>
      </c>
      <c r="L1989" s="9" t="str">
        <f t="shared" si="484"/>
        <v>F</v>
      </c>
      <c r="M1989" s="9" t="str">
        <f t="shared" si="471"/>
        <v>Input!F875</v>
      </c>
      <c r="N1989" s="9">
        <f>_xlfn.XLOOKUP(F1989,'Raw Data'!$I$4:$I$5000,'Raw Data'!$E$4:$E$5000,100,0)</f>
        <v>100</v>
      </c>
      <c r="O1989" s="9" t="str">
        <f>IF(N1989=0,_xlfn.XLOOKUP(F1989,'Raw Data'!$I$4:$I$5000,'Raw Data'!$H$4:$H$5000,"",0),"")</f>
        <v/>
      </c>
      <c r="P1989" s="9" t="str" cm="1">
        <f t="array" aca="1" ref="P1989" ca="1">IF(INDIRECT(M1989) = "","",INDIRECT(M1989))</f>
        <v/>
      </c>
      <c r="Q1989" s="359" t="s">
        <v>4381</v>
      </c>
    </row>
    <row r="1990" spans="1:17" x14ac:dyDescent="0.35">
      <c r="A1990" t="s">
        <v>2945</v>
      </c>
      <c r="E1990" t="str">
        <f>_xlfn.XLOOKUP(F1990,'Raw Data'!$I$4:$I$5000,'Raw Data'!$D$4:$D$5000,"*** Mnemonic not found ***",0)</f>
        <v>*** Mnemonic not found ***</v>
      </c>
      <c r="F1990" t="str">
        <f t="shared" si="480"/>
        <v>SUCMFORCURREXPAMT15__</v>
      </c>
      <c r="H1990" s="9" t="s">
        <v>1137</v>
      </c>
      <c r="K1990" s="9">
        <f t="shared" si="483"/>
        <v>876</v>
      </c>
      <c r="L1990" s="9" t="str">
        <f t="shared" si="484"/>
        <v>F</v>
      </c>
      <c r="M1990" s="9" t="str">
        <f t="shared" si="471"/>
        <v>Input!F876</v>
      </c>
      <c r="N1990" s="9">
        <f>_xlfn.XLOOKUP(F1990,'Raw Data'!$I$4:$I$5000,'Raw Data'!$E$4:$E$5000,100,0)</f>
        <v>100</v>
      </c>
      <c r="O1990" s="9" t="str">
        <f>IF(N1990=0,_xlfn.XLOOKUP(F1990,'Raw Data'!$I$4:$I$5000,'Raw Data'!$H$4:$H$5000,"",0),"")</f>
        <v/>
      </c>
      <c r="P1990" s="9" t="str" cm="1">
        <f t="array" aca="1" ref="P1990" ca="1">IF(INDIRECT(M1990) = "","",INDIRECT(M1990))</f>
        <v/>
      </c>
      <c r="Q1990" s="359" t="s">
        <v>4381</v>
      </c>
    </row>
    <row r="1991" spans="1:17" x14ac:dyDescent="0.35">
      <c r="A1991" t="s">
        <v>3022</v>
      </c>
      <c r="E1991" t="str">
        <f>_xlfn.XLOOKUP(F1991,'Raw Data'!$I$4:$I$5000,'Raw Data'!$D$4:$D$5000,"*** Mnemonic not found ***",0)</f>
        <v>*** Mnemonic not found ***</v>
      </c>
      <c r="F1991" t="str">
        <f t="shared" si="480"/>
        <v>SUCMFORCURREXPAMT16__</v>
      </c>
      <c r="H1991" s="9" t="s">
        <v>1137</v>
      </c>
      <c r="K1991" s="9">
        <f t="shared" si="483"/>
        <v>877</v>
      </c>
      <c r="L1991" s="9" t="str">
        <f t="shared" si="484"/>
        <v>F</v>
      </c>
      <c r="M1991" s="9" t="str">
        <f t="shared" si="471"/>
        <v>Input!F877</v>
      </c>
      <c r="N1991" s="9">
        <f>_xlfn.XLOOKUP(F1991,'Raw Data'!$I$4:$I$5000,'Raw Data'!$E$4:$E$5000,100,0)</f>
        <v>100</v>
      </c>
      <c r="O1991" s="9" t="str">
        <f>IF(N1991=0,_xlfn.XLOOKUP(F1991,'Raw Data'!$I$4:$I$5000,'Raw Data'!$H$4:$H$5000,"",0),"")</f>
        <v/>
      </c>
      <c r="P1991" s="9" t="str" cm="1">
        <f t="array" aca="1" ref="P1991" ca="1">IF(INDIRECT(M1991) = "","",INDIRECT(M1991))</f>
        <v/>
      </c>
      <c r="Q1991" s="359" t="s">
        <v>4381</v>
      </c>
    </row>
    <row r="1992" spans="1:17" x14ac:dyDescent="0.35">
      <c r="A1992" t="s">
        <v>3023</v>
      </c>
      <c r="E1992" t="str">
        <f>_xlfn.XLOOKUP(F1992,'Raw Data'!$I$4:$I$5000,'Raw Data'!$D$4:$D$5000,"*** Mnemonic not found ***",0)</f>
        <v>*** Mnemonic not found ***</v>
      </c>
      <c r="F1992" t="str">
        <f t="shared" si="480"/>
        <v>SUCMFORCURREXPAMT17__</v>
      </c>
      <c r="H1992" s="9" t="s">
        <v>1137</v>
      </c>
      <c r="K1992" s="9">
        <f t="shared" si="483"/>
        <v>878</v>
      </c>
      <c r="L1992" s="9" t="str">
        <f t="shared" si="484"/>
        <v>F</v>
      </c>
      <c r="M1992" s="9" t="str">
        <f t="shared" si="471"/>
        <v>Input!F878</v>
      </c>
      <c r="N1992" s="9">
        <f>_xlfn.XLOOKUP(F1992,'Raw Data'!$I$4:$I$5000,'Raw Data'!$E$4:$E$5000,100,0)</f>
        <v>100</v>
      </c>
      <c r="O1992" s="9" t="str">
        <f>IF(N1992=0,_xlfn.XLOOKUP(F1992,'Raw Data'!$I$4:$I$5000,'Raw Data'!$H$4:$H$5000,"",0),"")</f>
        <v/>
      </c>
      <c r="P1992" s="9" t="str" cm="1">
        <f t="array" aca="1" ref="P1992" ca="1">IF(INDIRECT(M1992) = "","",INDIRECT(M1992))</f>
        <v/>
      </c>
      <c r="Q1992" s="359" t="s">
        <v>4381</v>
      </c>
    </row>
    <row r="1993" spans="1:17" x14ac:dyDescent="0.35">
      <c r="A1993" t="s">
        <v>3024</v>
      </c>
      <c r="E1993" t="str">
        <f>_xlfn.XLOOKUP(F1993,'Raw Data'!$I$4:$I$5000,'Raw Data'!$D$4:$D$5000,"*** Mnemonic not found ***",0)</f>
        <v>*** Mnemonic not found ***</v>
      </c>
      <c r="F1993" t="str">
        <f t="shared" si="480"/>
        <v>SUCMFORCURREXPAMT18__</v>
      </c>
      <c r="H1993" s="9" t="s">
        <v>1137</v>
      </c>
      <c r="K1993" s="9">
        <f t="shared" si="483"/>
        <v>879</v>
      </c>
      <c r="L1993" s="9" t="str">
        <f t="shared" si="484"/>
        <v>F</v>
      </c>
      <c r="M1993" s="9" t="str">
        <f t="shared" si="471"/>
        <v>Input!F879</v>
      </c>
      <c r="N1993" s="9">
        <f>_xlfn.XLOOKUP(F1993,'Raw Data'!$I$4:$I$5000,'Raw Data'!$E$4:$E$5000,100,0)</f>
        <v>100</v>
      </c>
      <c r="O1993" s="9" t="str">
        <f>IF(N1993=0,_xlfn.XLOOKUP(F1993,'Raw Data'!$I$4:$I$5000,'Raw Data'!$H$4:$H$5000,"",0),"")</f>
        <v/>
      </c>
      <c r="P1993" s="9" t="str" cm="1">
        <f t="array" aca="1" ref="P1993" ca="1">IF(INDIRECT(M1993) = "","",INDIRECT(M1993))</f>
        <v/>
      </c>
      <c r="Q1993" s="359" t="s">
        <v>4381</v>
      </c>
    </row>
    <row r="1994" spans="1:17" x14ac:dyDescent="0.35">
      <c r="A1994" t="s">
        <v>3025</v>
      </c>
      <c r="E1994" t="str">
        <f>_xlfn.XLOOKUP(F1994,'Raw Data'!$I$4:$I$5000,'Raw Data'!$D$4:$D$5000,"*** Mnemonic not found ***",0)</f>
        <v>*** Mnemonic not found ***</v>
      </c>
      <c r="F1994" t="str">
        <f t="shared" si="480"/>
        <v>SUCMFORCURREXPAMT19__</v>
      </c>
      <c r="H1994" s="9" t="s">
        <v>1137</v>
      </c>
      <c r="K1994" s="9">
        <f t="shared" si="483"/>
        <v>880</v>
      </c>
      <c r="L1994" s="9" t="str">
        <f t="shared" si="484"/>
        <v>F</v>
      </c>
      <c r="M1994" s="9" t="str">
        <f t="shared" si="471"/>
        <v>Input!F880</v>
      </c>
      <c r="N1994" s="9">
        <f>_xlfn.XLOOKUP(F1994,'Raw Data'!$I$4:$I$5000,'Raw Data'!$E$4:$E$5000,100,0)</f>
        <v>100</v>
      </c>
      <c r="O1994" s="9" t="str">
        <f>IF(N1994=0,_xlfn.XLOOKUP(F1994,'Raw Data'!$I$4:$I$5000,'Raw Data'!$H$4:$H$5000,"",0),"")</f>
        <v/>
      </c>
      <c r="P1994" s="9" t="str" cm="1">
        <f t="array" aca="1" ref="P1994" ca="1">IF(INDIRECT(M1994) = "","",INDIRECT(M1994))</f>
        <v/>
      </c>
      <c r="Q1994" s="359" t="s">
        <v>4381</v>
      </c>
    </row>
    <row r="1995" spans="1:17" x14ac:dyDescent="0.35">
      <c r="A1995" t="s">
        <v>3026</v>
      </c>
      <c r="E1995" t="str">
        <f>_xlfn.XLOOKUP(F1995,'Raw Data'!$I$4:$I$5000,'Raw Data'!$D$4:$D$5000,"*** Mnemonic not found ***",0)</f>
        <v>*** Mnemonic not found ***</v>
      </c>
      <c r="F1995" t="str">
        <f t="shared" si="480"/>
        <v>SUCMFORCURREXPAMT20__</v>
      </c>
      <c r="H1995" s="9" t="s">
        <v>1137</v>
      </c>
      <c r="K1995" s="9">
        <f t="shared" si="483"/>
        <v>881</v>
      </c>
      <c r="L1995" s="9" t="str">
        <f t="shared" si="484"/>
        <v>F</v>
      </c>
      <c r="M1995" s="9" t="str">
        <f t="shared" si="471"/>
        <v>Input!F881</v>
      </c>
      <c r="N1995" s="9">
        <f>_xlfn.XLOOKUP(F1995,'Raw Data'!$I$4:$I$5000,'Raw Data'!$E$4:$E$5000,100,0)</f>
        <v>100</v>
      </c>
      <c r="O1995" s="9" t="str">
        <f>IF(N1995=0,_xlfn.XLOOKUP(F1995,'Raw Data'!$I$4:$I$5000,'Raw Data'!$H$4:$H$5000,"",0),"")</f>
        <v/>
      </c>
      <c r="P1995" s="9" t="str" cm="1">
        <f t="array" aca="1" ref="P1995" ca="1">IF(INDIRECT(M1995) = "","",INDIRECT(M1995))</f>
        <v/>
      </c>
      <c r="Q1995" s="359" t="s">
        <v>4381</v>
      </c>
    </row>
    <row r="1996" spans="1:17" x14ac:dyDescent="0.35">
      <c r="A1996" t="s">
        <v>3027</v>
      </c>
      <c r="E1996" t="str">
        <f>_xlfn.XLOOKUP(F1996,'Raw Data'!$I$4:$I$5000,'Raw Data'!$D$4:$D$5000,"*** Mnemonic not found ***",0)</f>
        <v>*** Mnemonic not found ***</v>
      </c>
      <c r="F1996" t="str">
        <f t="shared" si="480"/>
        <v>SUCMFORCURREXPAMT21__</v>
      </c>
      <c r="H1996" s="9" t="s">
        <v>1137</v>
      </c>
      <c r="K1996" s="9">
        <f t="shared" si="483"/>
        <v>882</v>
      </c>
      <c r="L1996" s="9" t="str">
        <f t="shared" si="484"/>
        <v>F</v>
      </c>
      <c r="M1996" s="9" t="str">
        <f t="shared" si="471"/>
        <v>Input!F882</v>
      </c>
      <c r="N1996" s="9">
        <f>_xlfn.XLOOKUP(F1996,'Raw Data'!$I$4:$I$5000,'Raw Data'!$E$4:$E$5000,100,0)</f>
        <v>100</v>
      </c>
      <c r="O1996" s="9" t="str">
        <f>IF(N1996=0,_xlfn.XLOOKUP(F1996,'Raw Data'!$I$4:$I$5000,'Raw Data'!$H$4:$H$5000,"",0),"")</f>
        <v/>
      </c>
      <c r="P1996" s="9" t="str" cm="1">
        <f t="array" aca="1" ref="P1996" ca="1">IF(INDIRECT(M1996) = "","",INDIRECT(M1996))</f>
        <v/>
      </c>
      <c r="Q1996" s="359" t="s">
        <v>4381</v>
      </c>
    </row>
    <row r="1997" spans="1:17" x14ac:dyDescent="0.35">
      <c r="A1997" t="s">
        <v>3028</v>
      </c>
      <c r="E1997" t="str">
        <f>_xlfn.XLOOKUP(F1997,'Raw Data'!$I$4:$I$5000,'Raw Data'!$D$4:$D$5000,"*** Mnemonic not found ***",0)</f>
        <v>*** Mnemonic not found ***</v>
      </c>
      <c r="F1997" t="str">
        <f t="shared" ref="F1997:F2060" si="485">CONCATENATE(A1997,"_",B1997,"_",D1997)</f>
        <v>SUCMFORCURREXPAMT22__</v>
      </c>
      <c r="H1997" s="9" t="s">
        <v>1137</v>
      </c>
      <c r="K1997" s="9">
        <f t="shared" si="483"/>
        <v>883</v>
      </c>
      <c r="L1997" s="9" t="str">
        <f t="shared" si="484"/>
        <v>F</v>
      </c>
      <c r="M1997" s="9" t="str">
        <f t="shared" si="471"/>
        <v>Input!F883</v>
      </c>
      <c r="N1997" s="9">
        <f>_xlfn.XLOOKUP(F1997,'Raw Data'!$I$4:$I$5000,'Raw Data'!$E$4:$E$5000,100,0)</f>
        <v>100</v>
      </c>
      <c r="O1997" s="9" t="str">
        <f>IF(N1997=0,_xlfn.XLOOKUP(F1997,'Raw Data'!$I$4:$I$5000,'Raw Data'!$H$4:$H$5000,"",0),"")</f>
        <v/>
      </c>
      <c r="P1997" s="9" t="str" cm="1">
        <f t="array" aca="1" ref="P1997" ca="1">IF(INDIRECT(M1997) = "","",INDIRECT(M1997))</f>
        <v/>
      </c>
      <c r="Q1997" s="359" t="s">
        <v>4381</v>
      </c>
    </row>
    <row r="1998" spans="1:17" x14ac:dyDescent="0.35">
      <c r="A1998" t="s">
        <v>3029</v>
      </c>
      <c r="E1998" t="str">
        <f>_xlfn.XLOOKUP(F1998,'Raw Data'!$I$4:$I$5000,'Raw Data'!$D$4:$D$5000,"*** Mnemonic not found ***",0)</f>
        <v>*** Mnemonic not found ***</v>
      </c>
      <c r="F1998" t="str">
        <f t="shared" si="485"/>
        <v>SUCMFORCURREXPAMT23__</v>
      </c>
      <c r="H1998" s="9" t="s">
        <v>1137</v>
      </c>
      <c r="K1998" s="9">
        <f t="shared" si="483"/>
        <v>884</v>
      </c>
      <c r="L1998" s="9" t="str">
        <f t="shared" si="484"/>
        <v>F</v>
      </c>
      <c r="M1998" s="9" t="str">
        <f t="shared" si="471"/>
        <v>Input!F884</v>
      </c>
      <c r="N1998" s="9">
        <f>_xlfn.XLOOKUP(F1998,'Raw Data'!$I$4:$I$5000,'Raw Data'!$E$4:$E$5000,100,0)</f>
        <v>100</v>
      </c>
      <c r="O1998" s="9" t="str">
        <f>IF(N1998=0,_xlfn.XLOOKUP(F1998,'Raw Data'!$I$4:$I$5000,'Raw Data'!$H$4:$H$5000,"",0),"")</f>
        <v/>
      </c>
      <c r="P1998" s="9" t="str" cm="1">
        <f t="array" aca="1" ref="P1998" ca="1">IF(INDIRECT(M1998) = "","",INDIRECT(M1998))</f>
        <v/>
      </c>
      <c r="Q1998" s="359" t="s">
        <v>4381</v>
      </c>
    </row>
    <row r="1999" spans="1:17" x14ac:dyDescent="0.35">
      <c r="A1999" t="s">
        <v>3030</v>
      </c>
      <c r="E1999" t="str">
        <f>_xlfn.XLOOKUP(F1999,'Raw Data'!$I$4:$I$5000,'Raw Data'!$D$4:$D$5000,"*** Mnemonic not found ***",0)</f>
        <v>*** Mnemonic not found ***</v>
      </c>
      <c r="F1999" t="str">
        <f t="shared" si="485"/>
        <v>SUCMFORCURREXPAMT24__</v>
      </c>
      <c r="H1999" s="9" t="s">
        <v>1137</v>
      </c>
      <c r="K1999" s="9">
        <f t="shared" si="483"/>
        <v>885</v>
      </c>
      <c r="L1999" s="9" t="str">
        <f t="shared" si="484"/>
        <v>F</v>
      </c>
      <c r="M1999" s="9" t="str">
        <f t="shared" si="471"/>
        <v>Input!F885</v>
      </c>
      <c r="N1999" s="9">
        <f>_xlfn.XLOOKUP(F1999,'Raw Data'!$I$4:$I$5000,'Raw Data'!$E$4:$E$5000,100,0)</f>
        <v>100</v>
      </c>
      <c r="O1999" s="9" t="str">
        <f>IF(N1999=0,_xlfn.XLOOKUP(F1999,'Raw Data'!$I$4:$I$5000,'Raw Data'!$H$4:$H$5000,"",0),"")</f>
        <v/>
      </c>
      <c r="P1999" s="9" t="str" cm="1">
        <f t="array" aca="1" ref="P1999" ca="1">IF(INDIRECT(M1999) = "","",INDIRECT(M1999))</f>
        <v/>
      </c>
      <c r="Q1999" s="359" t="s">
        <v>4381</v>
      </c>
    </row>
    <row r="2000" spans="1:17" x14ac:dyDescent="0.35">
      <c r="A2000" t="s">
        <v>3031</v>
      </c>
      <c r="E2000" t="str">
        <f>_xlfn.XLOOKUP(F2000,'Raw Data'!$I$4:$I$5000,'Raw Data'!$D$4:$D$5000,"*** Mnemonic not found ***",0)</f>
        <v>*** Mnemonic not found ***</v>
      </c>
      <c r="F2000" t="str">
        <f t="shared" si="485"/>
        <v>SUCMFORCURREXPAMT25__</v>
      </c>
      <c r="H2000" s="9" t="s">
        <v>1137</v>
      </c>
      <c r="K2000" s="9">
        <f t="shared" si="483"/>
        <v>886</v>
      </c>
      <c r="L2000" s="9" t="str">
        <f t="shared" si="484"/>
        <v>F</v>
      </c>
      <c r="M2000" s="9" t="str">
        <f t="shared" si="471"/>
        <v>Input!F886</v>
      </c>
      <c r="N2000" s="9">
        <f>_xlfn.XLOOKUP(F2000,'Raw Data'!$I$4:$I$5000,'Raw Data'!$E$4:$E$5000,100,0)</f>
        <v>100</v>
      </c>
      <c r="O2000" s="9" t="str">
        <f>IF(N2000=0,_xlfn.XLOOKUP(F2000,'Raw Data'!$I$4:$I$5000,'Raw Data'!$H$4:$H$5000,"",0),"")</f>
        <v/>
      </c>
      <c r="P2000" s="9" t="str" cm="1">
        <f t="array" aca="1" ref="P2000" ca="1">IF(INDIRECT(M2000) = "","",INDIRECT(M2000))</f>
        <v/>
      </c>
      <c r="Q2000" s="359" t="s">
        <v>4381</v>
      </c>
    </row>
    <row r="2001" spans="1:17" x14ac:dyDescent="0.35">
      <c r="A2001" t="s">
        <v>3032</v>
      </c>
      <c r="E2001" t="str">
        <f>_xlfn.XLOOKUP(F2001,'Raw Data'!$I$4:$I$5000,'Raw Data'!$D$4:$D$5000,"*** Mnemonic not found ***",0)</f>
        <v>*** Mnemonic not found ***</v>
      </c>
      <c r="F2001" t="str">
        <f t="shared" si="485"/>
        <v>SUCMFORCURREXPAMT26__</v>
      </c>
      <c r="H2001" s="9" t="s">
        <v>1137</v>
      </c>
      <c r="K2001" s="9">
        <f t="shared" si="483"/>
        <v>887</v>
      </c>
      <c r="L2001" s="9" t="str">
        <f t="shared" si="484"/>
        <v>F</v>
      </c>
      <c r="M2001" s="9" t="str">
        <f t="shared" si="471"/>
        <v>Input!F887</v>
      </c>
      <c r="N2001" s="9">
        <f>_xlfn.XLOOKUP(F2001,'Raw Data'!$I$4:$I$5000,'Raw Data'!$E$4:$E$5000,100,0)</f>
        <v>100</v>
      </c>
      <c r="O2001" s="9" t="str">
        <f>IF(N2001=0,_xlfn.XLOOKUP(F2001,'Raw Data'!$I$4:$I$5000,'Raw Data'!$H$4:$H$5000,"",0),"")</f>
        <v/>
      </c>
      <c r="P2001" s="9" t="str" cm="1">
        <f t="array" aca="1" ref="P2001" ca="1">IF(INDIRECT(M2001) = "","",INDIRECT(M2001))</f>
        <v/>
      </c>
      <c r="Q2001" s="359" t="s">
        <v>4381</v>
      </c>
    </row>
    <row r="2002" spans="1:17" x14ac:dyDescent="0.35">
      <c r="A2002" t="s">
        <v>3033</v>
      </c>
      <c r="E2002" t="str">
        <f>_xlfn.XLOOKUP(F2002,'Raw Data'!$I$4:$I$5000,'Raw Data'!$D$4:$D$5000,"*** Mnemonic not found ***",0)</f>
        <v>*** Mnemonic not found ***</v>
      </c>
      <c r="F2002" t="str">
        <f t="shared" si="485"/>
        <v>SUCMFORCURREXPAMT27__</v>
      </c>
      <c r="H2002" s="9" t="s">
        <v>1137</v>
      </c>
      <c r="K2002" s="9">
        <f t="shared" si="483"/>
        <v>888</v>
      </c>
      <c r="L2002" s="9" t="str">
        <f t="shared" si="484"/>
        <v>F</v>
      </c>
      <c r="M2002" s="9" t="str">
        <f t="shared" si="471"/>
        <v>Input!F888</v>
      </c>
      <c r="N2002" s="9">
        <f>_xlfn.XLOOKUP(F2002,'Raw Data'!$I$4:$I$5000,'Raw Data'!$E$4:$E$5000,100,0)</f>
        <v>100</v>
      </c>
      <c r="O2002" s="9" t="str">
        <f>IF(N2002=0,_xlfn.XLOOKUP(F2002,'Raw Data'!$I$4:$I$5000,'Raw Data'!$H$4:$H$5000,"",0),"")</f>
        <v/>
      </c>
      <c r="P2002" s="9" t="str" cm="1">
        <f t="array" aca="1" ref="P2002" ca="1">IF(INDIRECT(M2002) = "","",INDIRECT(M2002))</f>
        <v/>
      </c>
      <c r="Q2002" s="359" t="s">
        <v>4381</v>
      </c>
    </row>
    <row r="2003" spans="1:17" x14ac:dyDescent="0.35">
      <c r="A2003" t="s">
        <v>3034</v>
      </c>
      <c r="E2003" t="str">
        <f>_xlfn.XLOOKUP(F2003,'Raw Data'!$I$4:$I$5000,'Raw Data'!$D$4:$D$5000,"*** Mnemonic not found ***",0)</f>
        <v>*** Mnemonic not found ***</v>
      </c>
      <c r="F2003" t="str">
        <f t="shared" si="485"/>
        <v>SUCMFORCURREXPAMT28__</v>
      </c>
      <c r="H2003" s="9" t="s">
        <v>1137</v>
      </c>
      <c r="K2003" s="9">
        <f t="shared" si="483"/>
        <v>889</v>
      </c>
      <c r="L2003" s="9" t="str">
        <f t="shared" si="484"/>
        <v>F</v>
      </c>
      <c r="M2003" s="9" t="str">
        <f t="shared" si="471"/>
        <v>Input!F889</v>
      </c>
      <c r="N2003" s="9">
        <f>_xlfn.XLOOKUP(F2003,'Raw Data'!$I$4:$I$5000,'Raw Data'!$E$4:$E$5000,100,0)</f>
        <v>100</v>
      </c>
      <c r="O2003" s="9" t="str">
        <f>IF(N2003=0,_xlfn.XLOOKUP(F2003,'Raw Data'!$I$4:$I$5000,'Raw Data'!$H$4:$H$5000,"",0),"")</f>
        <v/>
      </c>
      <c r="P2003" s="9" t="str" cm="1">
        <f t="array" aca="1" ref="P2003" ca="1">IF(INDIRECT(M2003) = "","",INDIRECT(M2003))</f>
        <v/>
      </c>
      <c r="Q2003" s="359" t="s">
        <v>4381</v>
      </c>
    </row>
    <row r="2004" spans="1:17" x14ac:dyDescent="0.35">
      <c r="A2004" t="s">
        <v>3035</v>
      </c>
      <c r="E2004" t="str">
        <f>_xlfn.XLOOKUP(F2004,'Raw Data'!$I$4:$I$5000,'Raw Data'!$D$4:$D$5000,"*** Mnemonic not found ***",0)</f>
        <v>*** Mnemonic not found ***</v>
      </c>
      <c r="F2004" t="str">
        <f t="shared" si="485"/>
        <v>SUCMFORCURREXPAMT29__</v>
      </c>
      <c r="H2004" s="9" t="s">
        <v>1137</v>
      </c>
      <c r="K2004" s="9">
        <f t="shared" si="483"/>
        <v>890</v>
      </c>
      <c r="L2004" s="9" t="str">
        <f t="shared" si="484"/>
        <v>F</v>
      </c>
      <c r="M2004" s="9" t="str">
        <f t="shared" si="471"/>
        <v>Input!F890</v>
      </c>
      <c r="N2004" s="9">
        <f>_xlfn.XLOOKUP(F2004,'Raw Data'!$I$4:$I$5000,'Raw Data'!$E$4:$E$5000,100,0)</f>
        <v>100</v>
      </c>
      <c r="O2004" s="9" t="str">
        <f>IF(N2004=0,_xlfn.XLOOKUP(F2004,'Raw Data'!$I$4:$I$5000,'Raw Data'!$H$4:$H$5000,"",0),"")</f>
        <v/>
      </c>
      <c r="P2004" s="9" t="str" cm="1">
        <f t="array" aca="1" ref="P2004" ca="1">IF(INDIRECT(M2004) = "","",INDIRECT(M2004))</f>
        <v/>
      </c>
      <c r="Q2004" s="359" t="s">
        <v>4381</v>
      </c>
    </row>
    <row r="2005" spans="1:17" x14ac:dyDescent="0.35">
      <c r="A2005" t="s">
        <v>3036</v>
      </c>
      <c r="E2005" t="str">
        <f>_xlfn.XLOOKUP(F2005,'Raw Data'!$I$4:$I$5000,'Raw Data'!$D$4:$D$5000,"*** Mnemonic not found ***",0)</f>
        <v>*** Mnemonic not found ***</v>
      </c>
      <c r="F2005" t="str">
        <f t="shared" si="485"/>
        <v>SUCMFORCURREXPAMT30__</v>
      </c>
      <c r="H2005" s="9" t="s">
        <v>1137</v>
      </c>
      <c r="K2005" s="9">
        <f t="shared" si="483"/>
        <v>891</v>
      </c>
      <c r="L2005" s="9" t="str">
        <f t="shared" si="484"/>
        <v>F</v>
      </c>
      <c r="M2005" s="9" t="str">
        <f t="shared" si="471"/>
        <v>Input!F891</v>
      </c>
      <c r="N2005" s="9">
        <f>_xlfn.XLOOKUP(F2005,'Raw Data'!$I$4:$I$5000,'Raw Data'!$E$4:$E$5000,100,0)</f>
        <v>100</v>
      </c>
      <c r="O2005" s="9" t="str">
        <f>IF(N2005=0,_xlfn.XLOOKUP(F2005,'Raw Data'!$I$4:$I$5000,'Raw Data'!$H$4:$H$5000,"",0),"")</f>
        <v/>
      </c>
      <c r="P2005" s="9" t="str" cm="1">
        <f t="array" aca="1" ref="P2005" ca="1">IF(INDIRECT(M2005) = "","",INDIRECT(M2005))</f>
        <v/>
      </c>
      <c r="Q2005" s="359" t="s">
        <v>4381</v>
      </c>
    </row>
    <row r="2006" spans="1:17" x14ac:dyDescent="0.35">
      <c r="A2006" t="s">
        <v>3037</v>
      </c>
      <c r="E2006" t="str">
        <f>_xlfn.XLOOKUP(F2006,'Raw Data'!$I$4:$I$5000,'Raw Data'!$D$4:$D$5000,"*** Mnemonic not found ***",0)</f>
        <v>*** Mnemonic not found ***</v>
      </c>
      <c r="F2006" t="str">
        <f t="shared" si="485"/>
        <v>SUCMFORCURREXPAMT31__</v>
      </c>
      <c r="H2006" s="9" t="s">
        <v>1137</v>
      </c>
      <c r="K2006" s="9">
        <f t="shared" si="483"/>
        <v>892</v>
      </c>
      <c r="L2006" s="9" t="str">
        <f t="shared" si="484"/>
        <v>F</v>
      </c>
      <c r="M2006" s="9" t="str">
        <f t="shared" si="471"/>
        <v>Input!F892</v>
      </c>
      <c r="N2006" s="9">
        <f>_xlfn.XLOOKUP(F2006,'Raw Data'!$I$4:$I$5000,'Raw Data'!$E$4:$E$5000,100,0)</f>
        <v>100</v>
      </c>
      <c r="O2006" s="9" t="str">
        <f>IF(N2006=0,_xlfn.XLOOKUP(F2006,'Raw Data'!$I$4:$I$5000,'Raw Data'!$H$4:$H$5000,"",0),"")</f>
        <v/>
      </c>
      <c r="P2006" s="9" t="str" cm="1">
        <f t="array" aca="1" ref="P2006" ca="1">IF(INDIRECT(M2006) = "","",INDIRECT(M2006))</f>
        <v/>
      </c>
      <c r="Q2006" s="359" t="s">
        <v>4381</v>
      </c>
    </row>
    <row r="2007" spans="1:17" x14ac:dyDescent="0.35">
      <c r="A2007" t="s">
        <v>3038</v>
      </c>
      <c r="E2007" t="str">
        <f>_xlfn.XLOOKUP(F2007,'Raw Data'!$I$4:$I$5000,'Raw Data'!$D$4:$D$5000,"*** Mnemonic not found ***",0)</f>
        <v>*** Mnemonic not found ***</v>
      </c>
      <c r="F2007" t="str">
        <f t="shared" si="485"/>
        <v>SUCMFORCURREXPAMT32__</v>
      </c>
      <c r="H2007" s="9" t="s">
        <v>1137</v>
      </c>
      <c r="K2007" s="9">
        <f t="shared" si="483"/>
        <v>893</v>
      </c>
      <c r="L2007" s="9" t="str">
        <f t="shared" si="484"/>
        <v>F</v>
      </c>
      <c r="M2007" s="9" t="str">
        <f t="shared" si="471"/>
        <v>Input!F893</v>
      </c>
      <c r="N2007" s="9">
        <f>_xlfn.XLOOKUP(F2007,'Raw Data'!$I$4:$I$5000,'Raw Data'!$E$4:$E$5000,100,0)</f>
        <v>100</v>
      </c>
      <c r="O2007" s="9" t="str">
        <f>IF(N2007=0,_xlfn.XLOOKUP(F2007,'Raw Data'!$I$4:$I$5000,'Raw Data'!$H$4:$H$5000,"",0),"")</f>
        <v/>
      </c>
      <c r="P2007" s="9" t="str" cm="1">
        <f t="array" aca="1" ref="P2007" ca="1">IF(INDIRECT(M2007) = "","",INDIRECT(M2007))</f>
        <v/>
      </c>
      <c r="Q2007" s="359" t="s">
        <v>4381</v>
      </c>
    </row>
    <row r="2008" spans="1:17" x14ac:dyDescent="0.35">
      <c r="A2008" t="s">
        <v>3039</v>
      </c>
      <c r="E2008" t="str">
        <f>_xlfn.XLOOKUP(F2008,'Raw Data'!$I$4:$I$5000,'Raw Data'!$D$4:$D$5000,"*** Mnemonic not found ***",0)</f>
        <v>*** Mnemonic not found ***</v>
      </c>
      <c r="F2008" t="str">
        <f t="shared" si="485"/>
        <v>SUCMFORCURREXPAMT33__</v>
      </c>
      <c r="H2008" s="9" t="s">
        <v>1137</v>
      </c>
      <c r="K2008" s="9">
        <f t="shared" si="483"/>
        <v>894</v>
      </c>
      <c r="L2008" s="9" t="str">
        <f t="shared" si="484"/>
        <v>F</v>
      </c>
      <c r="M2008" s="9" t="str">
        <f t="shared" si="471"/>
        <v>Input!F894</v>
      </c>
      <c r="N2008" s="9">
        <f>_xlfn.XLOOKUP(F2008,'Raw Data'!$I$4:$I$5000,'Raw Data'!$E$4:$E$5000,100,0)</f>
        <v>100</v>
      </c>
      <c r="O2008" s="9" t="str">
        <f>IF(N2008=0,_xlfn.XLOOKUP(F2008,'Raw Data'!$I$4:$I$5000,'Raw Data'!$H$4:$H$5000,"",0),"")</f>
        <v/>
      </c>
      <c r="P2008" s="9" t="str" cm="1">
        <f t="array" aca="1" ref="P2008" ca="1">IF(INDIRECT(M2008) = "","",INDIRECT(M2008))</f>
        <v/>
      </c>
      <c r="Q2008" s="359" t="s">
        <v>4381</v>
      </c>
    </row>
    <row r="2009" spans="1:17" x14ac:dyDescent="0.35">
      <c r="A2009" t="s">
        <v>3040</v>
      </c>
      <c r="E2009" t="str">
        <f>_xlfn.XLOOKUP(F2009,'Raw Data'!$I$4:$I$5000,'Raw Data'!$D$4:$D$5000,"*** Mnemonic not found ***",0)</f>
        <v>*** Mnemonic not found ***</v>
      </c>
      <c r="F2009" t="str">
        <f t="shared" si="485"/>
        <v>SUCMFORCURREXPAMT34__</v>
      </c>
      <c r="H2009" s="9" t="s">
        <v>1137</v>
      </c>
      <c r="K2009" s="9">
        <f t="shared" si="483"/>
        <v>895</v>
      </c>
      <c r="L2009" s="9" t="str">
        <f t="shared" si="484"/>
        <v>F</v>
      </c>
      <c r="M2009" s="9" t="str">
        <f t="shared" si="471"/>
        <v>Input!F895</v>
      </c>
      <c r="N2009" s="9">
        <f>_xlfn.XLOOKUP(F2009,'Raw Data'!$I$4:$I$5000,'Raw Data'!$E$4:$E$5000,100,0)</f>
        <v>100</v>
      </c>
      <c r="O2009" s="9" t="str">
        <f>IF(N2009=0,_xlfn.XLOOKUP(F2009,'Raw Data'!$I$4:$I$5000,'Raw Data'!$H$4:$H$5000,"",0),"")</f>
        <v/>
      </c>
      <c r="P2009" s="9" t="str" cm="1">
        <f t="array" aca="1" ref="P2009" ca="1">IF(INDIRECT(M2009) = "","",INDIRECT(M2009))</f>
        <v/>
      </c>
      <c r="Q2009" s="359" t="s">
        <v>4381</v>
      </c>
    </row>
    <row r="2010" spans="1:17" x14ac:dyDescent="0.35">
      <c r="A2010" t="s">
        <v>3041</v>
      </c>
      <c r="E2010" t="str">
        <f>_xlfn.XLOOKUP(F2010,'Raw Data'!$I$4:$I$5000,'Raw Data'!$D$4:$D$5000,"*** Mnemonic not found ***",0)</f>
        <v>*** Mnemonic not found ***</v>
      </c>
      <c r="F2010" t="str">
        <f t="shared" si="485"/>
        <v>SUCMFORCURREXPAMT35__</v>
      </c>
      <c r="H2010" s="9" t="s">
        <v>1137</v>
      </c>
      <c r="K2010" s="9">
        <f t="shared" si="483"/>
        <v>896</v>
      </c>
      <c r="L2010" s="9" t="str">
        <f t="shared" si="484"/>
        <v>F</v>
      </c>
      <c r="M2010" s="9" t="str">
        <f t="shared" si="471"/>
        <v>Input!F896</v>
      </c>
      <c r="N2010" s="9">
        <f>_xlfn.XLOOKUP(F2010,'Raw Data'!$I$4:$I$5000,'Raw Data'!$E$4:$E$5000,100,0)</f>
        <v>100</v>
      </c>
      <c r="O2010" s="9" t="str">
        <f>IF(N2010=0,_xlfn.XLOOKUP(F2010,'Raw Data'!$I$4:$I$5000,'Raw Data'!$H$4:$H$5000,"",0),"")</f>
        <v/>
      </c>
      <c r="P2010" s="9" t="str" cm="1">
        <f t="array" aca="1" ref="P2010" ca="1">IF(INDIRECT(M2010) = "","",INDIRECT(M2010))</f>
        <v/>
      </c>
      <c r="Q2010" s="359" t="s">
        <v>4381</v>
      </c>
    </row>
    <row r="2011" spans="1:17" x14ac:dyDescent="0.35">
      <c r="A2011" t="s">
        <v>2946</v>
      </c>
      <c r="E2011" t="str">
        <f>_xlfn.XLOOKUP(F2011,'Raw Data'!$I$4:$I$5000,'Raw Data'!$D$4:$D$5000,"*** Mnemonic not found ***",0)</f>
        <v>*** Mnemonic not found ***</v>
      </c>
      <c r="F2011" t="str">
        <f t="shared" si="485"/>
        <v>SUCMFORCURRADJAMT1__</v>
      </c>
      <c r="H2011" s="9" t="s">
        <v>1137</v>
      </c>
      <c r="K2011" s="9">
        <f>K1976</f>
        <v>862</v>
      </c>
      <c r="L2011" s="9" t="s">
        <v>1145</v>
      </c>
      <c r="M2011" s="9" t="str">
        <f t="shared" si="471"/>
        <v>Input!G862</v>
      </c>
      <c r="N2011" s="9">
        <f>_xlfn.XLOOKUP(F2011,'Raw Data'!$I$4:$I$5000,'Raw Data'!$E$4:$E$5000,100,0)</f>
        <v>100</v>
      </c>
      <c r="O2011" s="9" t="str">
        <f>IF(N2011=0,_xlfn.XLOOKUP(F2011,'Raw Data'!$I$4:$I$5000,'Raw Data'!$H$4:$H$5000,"",0),"")</f>
        <v/>
      </c>
      <c r="P2011" s="9" t="str" cm="1">
        <f t="array" aca="1" ref="P2011" ca="1">IF(INDIRECT(M2011) = "","",INDIRECT(M2011))</f>
        <v/>
      </c>
      <c r="Q2011" s="359" t="s">
        <v>4381</v>
      </c>
    </row>
    <row r="2012" spans="1:17" x14ac:dyDescent="0.35">
      <c r="A2012" t="s">
        <v>2947</v>
      </c>
      <c r="E2012" t="str">
        <f>_xlfn.XLOOKUP(F2012,'Raw Data'!$I$4:$I$5000,'Raw Data'!$D$4:$D$5000,"*** Mnemonic not found ***",0)</f>
        <v>*** Mnemonic not found ***</v>
      </c>
      <c r="F2012" t="str">
        <f t="shared" si="485"/>
        <v>SUCMFORCURRADJAMT2__</v>
      </c>
      <c r="H2012" s="9" t="s">
        <v>1137</v>
      </c>
      <c r="K2012" s="9">
        <f t="shared" ref="K2012:K2115" si="486">K2011+1</f>
        <v>863</v>
      </c>
      <c r="L2012" s="9" t="str">
        <f t="shared" ref="L2012:L2115" si="487">L2011</f>
        <v>G</v>
      </c>
      <c r="M2012" s="9" t="str">
        <f t="shared" si="471"/>
        <v>Input!G863</v>
      </c>
      <c r="N2012" s="9">
        <f>_xlfn.XLOOKUP(F2012,'Raw Data'!$I$4:$I$5000,'Raw Data'!$E$4:$E$5000,100,0)</f>
        <v>100</v>
      </c>
      <c r="O2012" s="9" t="str">
        <f>IF(N2012=0,_xlfn.XLOOKUP(F2012,'Raw Data'!$I$4:$I$5000,'Raw Data'!$H$4:$H$5000,"",0),"")</f>
        <v/>
      </c>
      <c r="P2012" s="9" t="str" cm="1">
        <f t="array" aca="1" ref="P2012" ca="1">IF(INDIRECT(M2012) = "","",INDIRECT(M2012))</f>
        <v/>
      </c>
      <c r="Q2012" s="359" t="s">
        <v>4381</v>
      </c>
    </row>
    <row r="2013" spans="1:17" x14ac:dyDescent="0.35">
      <c r="A2013" t="s">
        <v>2948</v>
      </c>
      <c r="E2013" t="str">
        <f>_xlfn.XLOOKUP(F2013,'Raw Data'!$I$4:$I$5000,'Raw Data'!$D$4:$D$5000,"*** Mnemonic not found ***",0)</f>
        <v>*** Mnemonic not found ***</v>
      </c>
      <c r="F2013" t="str">
        <f t="shared" si="485"/>
        <v>SUCMFORCURRADJAMT3__</v>
      </c>
      <c r="H2013" s="9" t="s">
        <v>1137</v>
      </c>
      <c r="K2013" s="9">
        <f t="shared" si="486"/>
        <v>864</v>
      </c>
      <c r="L2013" s="9" t="str">
        <f t="shared" si="487"/>
        <v>G</v>
      </c>
      <c r="M2013" s="9" t="str">
        <f t="shared" si="471"/>
        <v>Input!G864</v>
      </c>
      <c r="N2013" s="9">
        <f>_xlfn.XLOOKUP(F2013,'Raw Data'!$I$4:$I$5000,'Raw Data'!$E$4:$E$5000,100,0)</f>
        <v>100</v>
      </c>
      <c r="O2013" s="9" t="str">
        <f>IF(N2013=0,_xlfn.XLOOKUP(F2013,'Raw Data'!$I$4:$I$5000,'Raw Data'!$H$4:$H$5000,"",0),"")</f>
        <v/>
      </c>
      <c r="P2013" s="9" t="str" cm="1">
        <f t="array" aca="1" ref="P2013" ca="1">IF(INDIRECT(M2013) = "","",INDIRECT(M2013))</f>
        <v/>
      </c>
      <c r="Q2013" s="359" t="s">
        <v>4381</v>
      </c>
    </row>
    <row r="2014" spans="1:17" x14ac:dyDescent="0.35">
      <c r="A2014" t="s">
        <v>2949</v>
      </c>
      <c r="E2014" t="str">
        <f>_xlfn.XLOOKUP(F2014,'Raw Data'!$I$4:$I$5000,'Raw Data'!$D$4:$D$5000,"*** Mnemonic not found ***",0)</f>
        <v>*** Mnemonic not found ***</v>
      </c>
      <c r="F2014" t="str">
        <f t="shared" si="485"/>
        <v>SUCMFORCURRADJAMT4__</v>
      </c>
      <c r="H2014" s="9" t="s">
        <v>1137</v>
      </c>
      <c r="K2014" s="9">
        <f t="shared" si="486"/>
        <v>865</v>
      </c>
      <c r="L2014" s="9" t="str">
        <f t="shared" si="487"/>
        <v>G</v>
      </c>
      <c r="M2014" s="9" t="str">
        <f t="shared" si="471"/>
        <v>Input!G865</v>
      </c>
      <c r="N2014" s="9">
        <f>_xlfn.XLOOKUP(F2014,'Raw Data'!$I$4:$I$5000,'Raw Data'!$E$4:$E$5000,100,0)</f>
        <v>100</v>
      </c>
      <c r="O2014" s="9" t="str">
        <f>IF(N2014=0,_xlfn.XLOOKUP(F2014,'Raw Data'!$I$4:$I$5000,'Raw Data'!$H$4:$H$5000,"",0),"")</f>
        <v/>
      </c>
      <c r="P2014" s="9" t="str" cm="1">
        <f t="array" aca="1" ref="P2014" ca="1">IF(INDIRECT(M2014) = "","",INDIRECT(M2014))</f>
        <v/>
      </c>
      <c r="Q2014" s="359" t="s">
        <v>4381</v>
      </c>
    </row>
    <row r="2015" spans="1:17" x14ac:dyDescent="0.35">
      <c r="A2015" t="s">
        <v>2950</v>
      </c>
      <c r="E2015" t="str">
        <f>_xlfn.XLOOKUP(F2015,'Raw Data'!$I$4:$I$5000,'Raw Data'!$D$4:$D$5000,"*** Mnemonic not found ***",0)</f>
        <v>*** Mnemonic not found ***</v>
      </c>
      <c r="F2015" t="str">
        <f t="shared" si="485"/>
        <v>SUCMFORCURRADJAMT5__</v>
      </c>
      <c r="H2015" s="9" t="s">
        <v>1137</v>
      </c>
      <c r="K2015" s="9">
        <f t="shared" si="486"/>
        <v>866</v>
      </c>
      <c r="L2015" s="9" t="str">
        <f t="shared" si="487"/>
        <v>G</v>
      </c>
      <c r="M2015" s="9" t="str">
        <f t="shared" si="471"/>
        <v>Input!G866</v>
      </c>
      <c r="N2015" s="9">
        <f>_xlfn.XLOOKUP(F2015,'Raw Data'!$I$4:$I$5000,'Raw Data'!$E$4:$E$5000,100,0)</f>
        <v>100</v>
      </c>
      <c r="O2015" s="9" t="str">
        <f>IF(N2015=0,_xlfn.XLOOKUP(F2015,'Raw Data'!$I$4:$I$5000,'Raw Data'!$H$4:$H$5000,"",0),"")</f>
        <v/>
      </c>
      <c r="P2015" s="9" t="str" cm="1">
        <f t="array" aca="1" ref="P2015" ca="1">IF(INDIRECT(M2015) = "","",INDIRECT(M2015))</f>
        <v/>
      </c>
      <c r="Q2015" s="359" t="s">
        <v>4381</v>
      </c>
    </row>
    <row r="2016" spans="1:17" x14ac:dyDescent="0.35">
      <c r="A2016" t="s">
        <v>2951</v>
      </c>
      <c r="E2016" t="str">
        <f>_xlfn.XLOOKUP(F2016,'Raw Data'!$I$4:$I$5000,'Raw Data'!$D$4:$D$5000,"*** Mnemonic not found ***",0)</f>
        <v>*** Mnemonic not found ***</v>
      </c>
      <c r="F2016" t="str">
        <f t="shared" si="485"/>
        <v>SUCMFORCURRADJAMT6__</v>
      </c>
      <c r="H2016" s="9" t="s">
        <v>1137</v>
      </c>
      <c r="K2016" s="9">
        <f t="shared" si="486"/>
        <v>867</v>
      </c>
      <c r="L2016" s="9" t="str">
        <f t="shared" si="487"/>
        <v>G</v>
      </c>
      <c r="M2016" s="9" t="str">
        <f t="shared" si="471"/>
        <v>Input!G867</v>
      </c>
      <c r="N2016" s="9">
        <f>_xlfn.XLOOKUP(F2016,'Raw Data'!$I$4:$I$5000,'Raw Data'!$E$4:$E$5000,100,0)</f>
        <v>100</v>
      </c>
      <c r="O2016" s="9" t="str">
        <f>IF(N2016=0,_xlfn.XLOOKUP(F2016,'Raw Data'!$I$4:$I$5000,'Raw Data'!$H$4:$H$5000,"",0),"")</f>
        <v/>
      </c>
      <c r="P2016" s="9" t="str" cm="1">
        <f t="array" aca="1" ref="P2016" ca="1">IF(INDIRECT(M2016) = "","",INDIRECT(M2016))</f>
        <v/>
      </c>
      <c r="Q2016" s="359" t="s">
        <v>4381</v>
      </c>
    </row>
    <row r="2017" spans="1:17" x14ac:dyDescent="0.35">
      <c r="A2017" t="s">
        <v>2952</v>
      </c>
      <c r="E2017" t="str">
        <f>_xlfn.XLOOKUP(F2017,'Raw Data'!$I$4:$I$5000,'Raw Data'!$D$4:$D$5000,"*** Mnemonic not found ***",0)</f>
        <v>*** Mnemonic not found ***</v>
      </c>
      <c r="F2017" t="str">
        <f t="shared" si="485"/>
        <v>SUCMFORCURRADJAMT7__</v>
      </c>
      <c r="H2017" s="9" t="s">
        <v>1137</v>
      </c>
      <c r="K2017" s="9">
        <f t="shared" si="486"/>
        <v>868</v>
      </c>
      <c r="L2017" s="9" t="str">
        <f t="shared" si="487"/>
        <v>G</v>
      </c>
      <c r="M2017" s="9" t="str">
        <f t="shared" si="471"/>
        <v>Input!G868</v>
      </c>
      <c r="N2017" s="9">
        <f>_xlfn.XLOOKUP(F2017,'Raw Data'!$I$4:$I$5000,'Raw Data'!$E$4:$E$5000,100,0)</f>
        <v>100</v>
      </c>
      <c r="O2017" s="9" t="str">
        <f>IF(N2017=0,_xlfn.XLOOKUP(F2017,'Raw Data'!$I$4:$I$5000,'Raw Data'!$H$4:$H$5000,"",0),"")</f>
        <v/>
      </c>
      <c r="P2017" s="9" t="str" cm="1">
        <f t="array" aca="1" ref="P2017" ca="1">IF(INDIRECT(M2017) = "","",INDIRECT(M2017))</f>
        <v/>
      </c>
      <c r="Q2017" s="359" t="s">
        <v>4381</v>
      </c>
    </row>
    <row r="2018" spans="1:17" x14ac:dyDescent="0.35">
      <c r="A2018" t="s">
        <v>2953</v>
      </c>
      <c r="E2018" t="str">
        <f>_xlfn.XLOOKUP(F2018,'Raw Data'!$I$4:$I$5000,'Raw Data'!$D$4:$D$5000,"*** Mnemonic not found ***",0)</f>
        <v>*** Mnemonic not found ***</v>
      </c>
      <c r="F2018" t="str">
        <f t="shared" si="485"/>
        <v>SUCMFORCURRADJAMT8__</v>
      </c>
      <c r="H2018" s="9" t="s">
        <v>1137</v>
      </c>
      <c r="K2018" s="9">
        <f t="shared" si="486"/>
        <v>869</v>
      </c>
      <c r="L2018" s="9" t="str">
        <f t="shared" si="487"/>
        <v>G</v>
      </c>
      <c r="M2018" s="9" t="str">
        <f t="shared" si="471"/>
        <v>Input!G869</v>
      </c>
      <c r="N2018" s="9">
        <f>_xlfn.XLOOKUP(F2018,'Raw Data'!$I$4:$I$5000,'Raw Data'!$E$4:$E$5000,100,0)</f>
        <v>100</v>
      </c>
      <c r="O2018" s="9" t="str">
        <f>IF(N2018=0,_xlfn.XLOOKUP(F2018,'Raw Data'!$I$4:$I$5000,'Raw Data'!$H$4:$H$5000,"",0),"")</f>
        <v/>
      </c>
      <c r="P2018" s="9" t="str" cm="1">
        <f t="array" aca="1" ref="P2018" ca="1">IF(INDIRECT(M2018) = "","",INDIRECT(M2018))</f>
        <v/>
      </c>
      <c r="Q2018" s="359" t="s">
        <v>4381</v>
      </c>
    </row>
    <row r="2019" spans="1:17" x14ac:dyDescent="0.35">
      <c r="A2019" t="s">
        <v>2954</v>
      </c>
      <c r="E2019" t="str">
        <f>_xlfn.XLOOKUP(F2019,'Raw Data'!$I$4:$I$5000,'Raw Data'!$D$4:$D$5000,"*** Mnemonic not found ***",0)</f>
        <v>*** Mnemonic not found ***</v>
      </c>
      <c r="F2019" t="str">
        <f t="shared" si="485"/>
        <v>SUCMFORCURRADJAMT9__</v>
      </c>
      <c r="H2019" s="9" t="s">
        <v>1137</v>
      </c>
      <c r="K2019" s="9">
        <f t="shared" si="486"/>
        <v>870</v>
      </c>
      <c r="L2019" s="9" t="str">
        <f t="shared" si="487"/>
        <v>G</v>
      </c>
      <c r="M2019" s="9" t="str">
        <f t="shared" si="471"/>
        <v>Input!G870</v>
      </c>
      <c r="N2019" s="9">
        <f>_xlfn.XLOOKUP(F2019,'Raw Data'!$I$4:$I$5000,'Raw Data'!$E$4:$E$5000,100,0)</f>
        <v>100</v>
      </c>
      <c r="O2019" s="9" t="str">
        <f>IF(N2019=0,_xlfn.XLOOKUP(F2019,'Raw Data'!$I$4:$I$5000,'Raw Data'!$H$4:$H$5000,"",0),"")</f>
        <v/>
      </c>
      <c r="P2019" s="9" t="str" cm="1">
        <f t="array" aca="1" ref="P2019" ca="1">IF(INDIRECT(M2019) = "","",INDIRECT(M2019))</f>
        <v/>
      </c>
      <c r="Q2019" s="359" t="s">
        <v>4381</v>
      </c>
    </row>
    <row r="2020" spans="1:17" x14ac:dyDescent="0.35">
      <c r="A2020" t="s">
        <v>2955</v>
      </c>
      <c r="E2020" t="str">
        <f>_xlfn.XLOOKUP(F2020,'Raw Data'!$I$4:$I$5000,'Raw Data'!$D$4:$D$5000,"*** Mnemonic not found ***",0)</f>
        <v>*** Mnemonic not found ***</v>
      </c>
      <c r="F2020" t="str">
        <f t="shared" si="485"/>
        <v>SUCMFORCURRADJAMT10__</v>
      </c>
      <c r="H2020" s="9" t="s">
        <v>1137</v>
      </c>
      <c r="K2020" s="9">
        <f t="shared" si="486"/>
        <v>871</v>
      </c>
      <c r="L2020" s="9" t="str">
        <f t="shared" si="487"/>
        <v>G</v>
      </c>
      <c r="M2020" s="9" t="str">
        <f t="shared" si="471"/>
        <v>Input!G871</v>
      </c>
      <c r="N2020" s="9">
        <f>_xlfn.XLOOKUP(F2020,'Raw Data'!$I$4:$I$5000,'Raw Data'!$E$4:$E$5000,100,0)</f>
        <v>100</v>
      </c>
      <c r="O2020" s="9" t="str">
        <f>IF(N2020=0,_xlfn.XLOOKUP(F2020,'Raw Data'!$I$4:$I$5000,'Raw Data'!$H$4:$H$5000,"",0),"")</f>
        <v/>
      </c>
      <c r="P2020" s="9" t="str" cm="1">
        <f t="array" aca="1" ref="P2020" ca="1">IF(INDIRECT(M2020) = "","",INDIRECT(M2020))</f>
        <v/>
      </c>
      <c r="Q2020" s="359" t="s">
        <v>4381</v>
      </c>
    </row>
    <row r="2021" spans="1:17" x14ac:dyDescent="0.35">
      <c r="A2021" t="s">
        <v>2956</v>
      </c>
      <c r="E2021" t="str">
        <f>_xlfn.XLOOKUP(F2021,'Raw Data'!$I$4:$I$5000,'Raw Data'!$D$4:$D$5000,"*** Mnemonic not found ***",0)</f>
        <v>*** Mnemonic not found ***</v>
      </c>
      <c r="F2021" t="str">
        <f t="shared" si="485"/>
        <v>SUCMFORCURRADJAMT11__</v>
      </c>
      <c r="H2021" s="9" t="s">
        <v>1137</v>
      </c>
      <c r="K2021" s="9">
        <f t="shared" si="486"/>
        <v>872</v>
      </c>
      <c r="L2021" s="9" t="str">
        <f t="shared" si="487"/>
        <v>G</v>
      </c>
      <c r="M2021" s="9" t="str">
        <f t="shared" si="471"/>
        <v>Input!G872</v>
      </c>
      <c r="N2021" s="9">
        <f>_xlfn.XLOOKUP(F2021,'Raw Data'!$I$4:$I$5000,'Raw Data'!$E$4:$E$5000,100,0)</f>
        <v>100</v>
      </c>
      <c r="O2021" s="9" t="str">
        <f>IF(N2021=0,_xlfn.XLOOKUP(F2021,'Raw Data'!$I$4:$I$5000,'Raw Data'!$H$4:$H$5000,"",0),"")</f>
        <v/>
      </c>
      <c r="P2021" s="9" t="str" cm="1">
        <f t="array" aca="1" ref="P2021" ca="1">IF(INDIRECT(M2021) = "","",INDIRECT(M2021))</f>
        <v/>
      </c>
      <c r="Q2021" s="359" t="s">
        <v>4381</v>
      </c>
    </row>
    <row r="2022" spans="1:17" x14ac:dyDescent="0.35">
      <c r="A2022" t="s">
        <v>2957</v>
      </c>
      <c r="E2022" t="str">
        <f>_xlfn.XLOOKUP(F2022,'Raw Data'!$I$4:$I$5000,'Raw Data'!$D$4:$D$5000,"*** Mnemonic not found ***",0)</f>
        <v>*** Mnemonic not found ***</v>
      </c>
      <c r="F2022" t="str">
        <f t="shared" si="485"/>
        <v>SUCMFORCURRADJAMT12__</v>
      </c>
      <c r="H2022" s="9" t="s">
        <v>1137</v>
      </c>
      <c r="K2022" s="9">
        <f t="shared" si="486"/>
        <v>873</v>
      </c>
      <c r="L2022" s="9" t="str">
        <f t="shared" si="487"/>
        <v>G</v>
      </c>
      <c r="M2022" s="9" t="str">
        <f t="shared" si="471"/>
        <v>Input!G873</v>
      </c>
      <c r="N2022" s="9">
        <f>_xlfn.XLOOKUP(F2022,'Raw Data'!$I$4:$I$5000,'Raw Data'!$E$4:$E$5000,100,0)</f>
        <v>100</v>
      </c>
      <c r="O2022" s="9" t="str">
        <f>IF(N2022=0,_xlfn.XLOOKUP(F2022,'Raw Data'!$I$4:$I$5000,'Raw Data'!$H$4:$H$5000,"",0),"")</f>
        <v/>
      </c>
      <c r="P2022" s="9" t="str" cm="1">
        <f t="array" aca="1" ref="P2022" ca="1">IF(INDIRECT(M2022) = "","",INDIRECT(M2022))</f>
        <v/>
      </c>
      <c r="Q2022" s="359" t="s">
        <v>4381</v>
      </c>
    </row>
    <row r="2023" spans="1:17" x14ac:dyDescent="0.35">
      <c r="A2023" t="s">
        <v>2958</v>
      </c>
      <c r="E2023" t="str">
        <f>_xlfn.XLOOKUP(F2023,'Raw Data'!$I$4:$I$5000,'Raw Data'!$D$4:$D$5000,"*** Mnemonic not found ***",0)</f>
        <v>*** Mnemonic not found ***</v>
      </c>
      <c r="F2023" t="str">
        <f t="shared" si="485"/>
        <v>SUCMFORCURRADJAMT13__</v>
      </c>
      <c r="H2023" s="9" t="s">
        <v>1137</v>
      </c>
      <c r="K2023" s="9">
        <f t="shared" si="486"/>
        <v>874</v>
      </c>
      <c r="L2023" s="9" t="str">
        <f t="shared" si="487"/>
        <v>G</v>
      </c>
      <c r="M2023" s="9" t="str">
        <f t="shared" si="471"/>
        <v>Input!G874</v>
      </c>
      <c r="N2023" s="9">
        <f>_xlfn.XLOOKUP(F2023,'Raw Data'!$I$4:$I$5000,'Raw Data'!$E$4:$E$5000,100,0)</f>
        <v>100</v>
      </c>
      <c r="O2023" s="9" t="str">
        <f>IF(N2023=0,_xlfn.XLOOKUP(F2023,'Raw Data'!$I$4:$I$5000,'Raw Data'!$H$4:$H$5000,"",0),"")</f>
        <v/>
      </c>
      <c r="P2023" s="9" t="str" cm="1">
        <f t="array" aca="1" ref="P2023" ca="1">IF(INDIRECT(M2023) = "","",INDIRECT(M2023))</f>
        <v/>
      </c>
      <c r="Q2023" s="359" t="s">
        <v>4381</v>
      </c>
    </row>
    <row r="2024" spans="1:17" x14ac:dyDescent="0.35">
      <c r="A2024" t="s">
        <v>2959</v>
      </c>
      <c r="E2024" t="str">
        <f>_xlfn.XLOOKUP(F2024,'Raw Data'!$I$4:$I$5000,'Raw Data'!$D$4:$D$5000,"*** Mnemonic not found ***",0)</f>
        <v>*** Mnemonic not found ***</v>
      </c>
      <c r="F2024" t="str">
        <f t="shared" si="485"/>
        <v>SUCMFORCURRADJAMT14__</v>
      </c>
      <c r="H2024" s="9" t="s">
        <v>1137</v>
      </c>
      <c r="K2024" s="9">
        <f t="shared" si="486"/>
        <v>875</v>
      </c>
      <c r="L2024" s="9" t="str">
        <f t="shared" si="487"/>
        <v>G</v>
      </c>
      <c r="M2024" s="9" t="str">
        <f t="shared" si="471"/>
        <v>Input!G875</v>
      </c>
      <c r="N2024" s="9">
        <f>_xlfn.XLOOKUP(F2024,'Raw Data'!$I$4:$I$5000,'Raw Data'!$E$4:$E$5000,100,0)</f>
        <v>100</v>
      </c>
      <c r="O2024" s="9" t="str">
        <f>IF(N2024=0,_xlfn.XLOOKUP(F2024,'Raw Data'!$I$4:$I$5000,'Raw Data'!$H$4:$H$5000,"",0),"")</f>
        <v/>
      </c>
      <c r="P2024" s="9" t="str" cm="1">
        <f t="array" aca="1" ref="P2024" ca="1">IF(INDIRECT(M2024) = "","",INDIRECT(M2024))</f>
        <v/>
      </c>
      <c r="Q2024" s="359" t="s">
        <v>4381</v>
      </c>
    </row>
    <row r="2025" spans="1:17" x14ac:dyDescent="0.35">
      <c r="A2025" t="s">
        <v>2960</v>
      </c>
      <c r="E2025" t="str">
        <f>_xlfn.XLOOKUP(F2025,'Raw Data'!$I$4:$I$5000,'Raw Data'!$D$4:$D$5000,"*** Mnemonic not found ***",0)</f>
        <v>*** Mnemonic not found ***</v>
      </c>
      <c r="F2025" t="str">
        <f t="shared" si="485"/>
        <v>SUCMFORCURRADJAMT15__</v>
      </c>
      <c r="H2025" s="9" t="s">
        <v>1137</v>
      </c>
      <c r="K2025" s="9">
        <f t="shared" si="486"/>
        <v>876</v>
      </c>
      <c r="L2025" s="9" t="str">
        <f t="shared" si="487"/>
        <v>G</v>
      </c>
      <c r="M2025" s="9" t="str">
        <f t="shared" ref="M2025:M2162" si="488">CONCATENATE(H2025,"!",L2025,K2025)</f>
        <v>Input!G876</v>
      </c>
      <c r="N2025" s="9">
        <f>_xlfn.XLOOKUP(F2025,'Raw Data'!$I$4:$I$5000,'Raw Data'!$E$4:$E$5000,100,0)</f>
        <v>100</v>
      </c>
      <c r="O2025" s="9" t="str">
        <f>IF(N2025=0,_xlfn.XLOOKUP(F2025,'Raw Data'!$I$4:$I$5000,'Raw Data'!$H$4:$H$5000,"",0),"")</f>
        <v/>
      </c>
      <c r="P2025" s="9" t="str" cm="1">
        <f t="array" aca="1" ref="P2025" ca="1">IF(INDIRECT(M2025) = "","",INDIRECT(M2025))</f>
        <v/>
      </c>
      <c r="Q2025" s="359" t="s">
        <v>4381</v>
      </c>
    </row>
    <row r="2026" spans="1:17" x14ac:dyDescent="0.35">
      <c r="A2026" t="s">
        <v>3064</v>
      </c>
      <c r="E2026" t="str">
        <f>_xlfn.XLOOKUP(F2026,'Raw Data'!$I$4:$I$5000,'Raw Data'!$D$4:$D$5000,"*** Mnemonic not found ***",0)</f>
        <v>*** Mnemonic not found ***</v>
      </c>
      <c r="F2026" t="str">
        <f t="shared" si="485"/>
        <v>SUCMFORCURRADJAMT16__</v>
      </c>
      <c r="H2026" s="9" t="s">
        <v>1137</v>
      </c>
      <c r="K2026" s="9">
        <f t="shared" si="486"/>
        <v>877</v>
      </c>
      <c r="L2026" s="9" t="str">
        <f t="shared" si="487"/>
        <v>G</v>
      </c>
      <c r="M2026" s="9" t="str">
        <f t="shared" si="488"/>
        <v>Input!G877</v>
      </c>
      <c r="N2026" s="9">
        <f>_xlfn.XLOOKUP(F2026,'Raw Data'!$I$4:$I$5000,'Raw Data'!$E$4:$E$5000,100,0)</f>
        <v>100</v>
      </c>
      <c r="O2026" s="9" t="str">
        <f>IF(N2026=0,_xlfn.XLOOKUP(F2026,'Raw Data'!$I$4:$I$5000,'Raw Data'!$H$4:$H$5000,"",0),"")</f>
        <v/>
      </c>
      <c r="P2026" s="9" t="str" cm="1">
        <f t="array" aca="1" ref="P2026" ca="1">IF(INDIRECT(M2026) = "","",INDIRECT(M2026))</f>
        <v/>
      </c>
      <c r="Q2026" s="359" t="s">
        <v>4381</v>
      </c>
    </row>
    <row r="2027" spans="1:17" x14ac:dyDescent="0.35">
      <c r="A2027" t="s">
        <v>3065</v>
      </c>
      <c r="E2027" t="str">
        <f>_xlfn.XLOOKUP(F2027,'Raw Data'!$I$4:$I$5000,'Raw Data'!$D$4:$D$5000,"*** Mnemonic not found ***",0)</f>
        <v>*** Mnemonic not found ***</v>
      </c>
      <c r="F2027" t="str">
        <f t="shared" si="485"/>
        <v>SUCMFORCURRADJAMT17__</v>
      </c>
      <c r="H2027" s="9" t="s">
        <v>1137</v>
      </c>
      <c r="K2027" s="9">
        <f t="shared" si="486"/>
        <v>878</v>
      </c>
      <c r="L2027" s="9" t="str">
        <f t="shared" si="487"/>
        <v>G</v>
      </c>
      <c r="M2027" s="9" t="str">
        <f t="shared" si="488"/>
        <v>Input!G878</v>
      </c>
      <c r="N2027" s="9">
        <f>_xlfn.XLOOKUP(F2027,'Raw Data'!$I$4:$I$5000,'Raw Data'!$E$4:$E$5000,100,0)</f>
        <v>100</v>
      </c>
      <c r="O2027" s="9" t="str">
        <f>IF(N2027=0,_xlfn.XLOOKUP(F2027,'Raw Data'!$I$4:$I$5000,'Raw Data'!$H$4:$H$5000,"",0),"")</f>
        <v/>
      </c>
      <c r="P2027" s="9" t="str" cm="1">
        <f t="array" aca="1" ref="P2027" ca="1">IF(INDIRECT(M2027) = "","",INDIRECT(M2027))</f>
        <v/>
      </c>
      <c r="Q2027" s="359" t="s">
        <v>4381</v>
      </c>
    </row>
    <row r="2028" spans="1:17" x14ac:dyDescent="0.35">
      <c r="A2028" t="s">
        <v>3066</v>
      </c>
      <c r="E2028" t="str">
        <f>_xlfn.XLOOKUP(F2028,'Raw Data'!$I$4:$I$5000,'Raw Data'!$D$4:$D$5000,"*** Mnemonic not found ***",0)</f>
        <v>*** Mnemonic not found ***</v>
      </c>
      <c r="F2028" t="str">
        <f t="shared" si="485"/>
        <v>SUCMFORCURRADJAMT18__</v>
      </c>
      <c r="H2028" s="9" t="s">
        <v>1137</v>
      </c>
      <c r="K2028" s="9">
        <f t="shared" si="486"/>
        <v>879</v>
      </c>
      <c r="L2028" s="9" t="str">
        <f t="shared" si="487"/>
        <v>G</v>
      </c>
      <c r="M2028" s="9" t="str">
        <f t="shared" si="488"/>
        <v>Input!G879</v>
      </c>
      <c r="N2028" s="9">
        <f>_xlfn.XLOOKUP(F2028,'Raw Data'!$I$4:$I$5000,'Raw Data'!$E$4:$E$5000,100,0)</f>
        <v>100</v>
      </c>
      <c r="O2028" s="9" t="str">
        <f>IF(N2028=0,_xlfn.XLOOKUP(F2028,'Raw Data'!$I$4:$I$5000,'Raw Data'!$H$4:$H$5000,"",0),"")</f>
        <v/>
      </c>
      <c r="P2028" s="9" t="str" cm="1">
        <f t="array" aca="1" ref="P2028" ca="1">IF(INDIRECT(M2028) = "","",INDIRECT(M2028))</f>
        <v/>
      </c>
      <c r="Q2028" s="359" t="s">
        <v>4381</v>
      </c>
    </row>
    <row r="2029" spans="1:17" x14ac:dyDescent="0.35">
      <c r="A2029" t="s">
        <v>3067</v>
      </c>
      <c r="E2029" t="str">
        <f>_xlfn.XLOOKUP(F2029,'Raw Data'!$I$4:$I$5000,'Raw Data'!$D$4:$D$5000,"*** Mnemonic not found ***",0)</f>
        <v>*** Mnemonic not found ***</v>
      </c>
      <c r="F2029" t="str">
        <f t="shared" si="485"/>
        <v>SUCMFORCURRADJAMT19__</v>
      </c>
      <c r="H2029" s="9" t="s">
        <v>1137</v>
      </c>
      <c r="K2029" s="9">
        <f t="shared" si="486"/>
        <v>880</v>
      </c>
      <c r="L2029" s="9" t="str">
        <f t="shared" si="487"/>
        <v>G</v>
      </c>
      <c r="M2029" s="9" t="str">
        <f t="shared" si="488"/>
        <v>Input!G880</v>
      </c>
      <c r="N2029" s="9">
        <f>_xlfn.XLOOKUP(F2029,'Raw Data'!$I$4:$I$5000,'Raw Data'!$E$4:$E$5000,100,0)</f>
        <v>100</v>
      </c>
      <c r="O2029" s="9" t="str">
        <f>IF(N2029=0,_xlfn.XLOOKUP(F2029,'Raw Data'!$I$4:$I$5000,'Raw Data'!$H$4:$H$5000,"",0),"")</f>
        <v/>
      </c>
      <c r="P2029" s="9" t="str" cm="1">
        <f t="array" aca="1" ref="P2029" ca="1">IF(INDIRECT(M2029) = "","",INDIRECT(M2029))</f>
        <v/>
      </c>
      <c r="Q2029" s="359" t="s">
        <v>4381</v>
      </c>
    </row>
    <row r="2030" spans="1:17" x14ac:dyDescent="0.35">
      <c r="A2030" t="s">
        <v>3068</v>
      </c>
      <c r="E2030" t="str">
        <f>_xlfn.XLOOKUP(F2030,'Raw Data'!$I$4:$I$5000,'Raw Data'!$D$4:$D$5000,"*** Mnemonic not found ***",0)</f>
        <v>*** Mnemonic not found ***</v>
      </c>
      <c r="F2030" t="str">
        <f t="shared" si="485"/>
        <v>SUCMFORCURRADJAMT20__</v>
      </c>
      <c r="H2030" s="9" t="s">
        <v>1137</v>
      </c>
      <c r="K2030" s="9">
        <f t="shared" si="486"/>
        <v>881</v>
      </c>
      <c r="L2030" s="9" t="str">
        <f t="shared" si="487"/>
        <v>G</v>
      </c>
      <c r="M2030" s="9" t="str">
        <f t="shared" si="488"/>
        <v>Input!G881</v>
      </c>
      <c r="N2030" s="9">
        <f>_xlfn.XLOOKUP(F2030,'Raw Data'!$I$4:$I$5000,'Raw Data'!$E$4:$E$5000,100,0)</f>
        <v>100</v>
      </c>
      <c r="O2030" s="9" t="str">
        <f>IF(N2030=0,_xlfn.XLOOKUP(F2030,'Raw Data'!$I$4:$I$5000,'Raw Data'!$H$4:$H$5000,"",0),"")</f>
        <v/>
      </c>
      <c r="P2030" s="9" t="str" cm="1">
        <f t="array" aca="1" ref="P2030" ca="1">IF(INDIRECT(M2030) = "","",INDIRECT(M2030))</f>
        <v/>
      </c>
      <c r="Q2030" s="359" t="s">
        <v>4381</v>
      </c>
    </row>
    <row r="2031" spans="1:17" x14ac:dyDescent="0.35">
      <c r="A2031" t="s">
        <v>3069</v>
      </c>
      <c r="E2031" t="str">
        <f>_xlfn.XLOOKUP(F2031,'Raw Data'!$I$4:$I$5000,'Raw Data'!$D$4:$D$5000,"*** Mnemonic not found ***",0)</f>
        <v>*** Mnemonic not found ***</v>
      </c>
      <c r="F2031" t="str">
        <f t="shared" si="485"/>
        <v>SUCMFORCURRADJAMT21__</v>
      </c>
      <c r="H2031" s="9" t="s">
        <v>1137</v>
      </c>
      <c r="K2031" s="9">
        <f t="shared" si="486"/>
        <v>882</v>
      </c>
      <c r="L2031" s="9" t="str">
        <f t="shared" si="487"/>
        <v>G</v>
      </c>
      <c r="M2031" s="9" t="str">
        <f t="shared" si="488"/>
        <v>Input!G882</v>
      </c>
      <c r="N2031" s="9">
        <f>_xlfn.XLOOKUP(F2031,'Raw Data'!$I$4:$I$5000,'Raw Data'!$E$4:$E$5000,100,0)</f>
        <v>100</v>
      </c>
      <c r="O2031" s="9" t="str">
        <f>IF(N2031=0,_xlfn.XLOOKUP(F2031,'Raw Data'!$I$4:$I$5000,'Raw Data'!$H$4:$H$5000,"",0),"")</f>
        <v/>
      </c>
      <c r="P2031" s="9" t="str" cm="1">
        <f t="array" aca="1" ref="P2031" ca="1">IF(INDIRECT(M2031) = "","",INDIRECT(M2031))</f>
        <v/>
      </c>
      <c r="Q2031" s="359" t="s">
        <v>4381</v>
      </c>
    </row>
    <row r="2032" spans="1:17" x14ac:dyDescent="0.35">
      <c r="A2032" t="s">
        <v>3070</v>
      </c>
      <c r="E2032" t="str">
        <f>_xlfn.XLOOKUP(F2032,'Raw Data'!$I$4:$I$5000,'Raw Data'!$D$4:$D$5000,"*** Mnemonic not found ***",0)</f>
        <v>*** Mnemonic not found ***</v>
      </c>
      <c r="F2032" t="str">
        <f t="shared" si="485"/>
        <v>SUCMFORCURRADJAMT22__</v>
      </c>
      <c r="H2032" s="9" t="s">
        <v>1137</v>
      </c>
      <c r="K2032" s="9">
        <f t="shared" si="486"/>
        <v>883</v>
      </c>
      <c r="L2032" s="9" t="str">
        <f t="shared" si="487"/>
        <v>G</v>
      </c>
      <c r="M2032" s="9" t="str">
        <f t="shared" si="488"/>
        <v>Input!G883</v>
      </c>
      <c r="N2032" s="9">
        <f>_xlfn.XLOOKUP(F2032,'Raw Data'!$I$4:$I$5000,'Raw Data'!$E$4:$E$5000,100,0)</f>
        <v>100</v>
      </c>
      <c r="O2032" s="9" t="str">
        <f>IF(N2032=0,_xlfn.XLOOKUP(F2032,'Raw Data'!$I$4:$I$5000,'Raw Data'!$H$4:$H$5000,"",0),"")</f>
        <v/>
      </c>
      <c r="P2032" s="9" t="str" cm="1">
        <f t="array" aca="1" ref="P2032" ca="1">IF(INDIRECT(M2032) = "","",INDIRECT(M2032))</f>
        <v/>
      </c>
      <c r="Q2032" s="359" t="s">
        <v>4381</v>
      </c>
    </row>
    <row r="2033" spans="1:17" x14ac:dyDescent="0.35">
      <c r="A2033" t="s">
        <v>3071</v>
      </c>
      <c r="E2033" t="str">
        <f>_xlfn.XLOOKUP(F2033,'Raw Data'!$I$4:$I$5000,'Raw Data'!$D$4:$D$5000,"*** Mnemonic not found ***",0)</f>
        <v>*** Mnemonic not found ***</v>
      </c>
      <c r="F2033" t="str">
        <f t="shared" si="485"/>
        <v>SUCMFORCURRADJAMT23__</v>
      </c>
      <c r="H2033" s="9" t="s">
        <v>1137</v>
      </c>
      <c r="K2033" s="9">
        <f t="shared" si="486"/>
        <v>884</v>
      </c>
      <c r="L2033" s="9" t="str">
        <f t="shared" si="487"/>
        <v>G</v>
      </c>
      <c r="M2033" s="9" t="str">
        <f t="shared" si="488"/>
        <v>Input!G884</v>
      </c>
      <c r="N2033" s="9">
        <f>_xlfn.XLOOKUP(F2033,'Raw Data'!$I$4:$I$5000,'Raw Data'!$E$4:$E$5000,100,0)</f>
        <v>100</v>
      </c>
      <c r="O2033" s="9" t="str">
        <f>IF(N2033=0,_xlfn.XLOOKUP(F2033,'Raw Data'!$I$4:$I$5000,'Raw Data'!$H$4:$H$5000,"",0),"")</f>
        <v/>
      </c>
      <c r="P2033" s="9" t="str" cm="1">
        <f t="array" aca="1" ref="P2033" ca="1">IF(INDIRECT(M2033) = "","",INDIRECT(M2033))</f>
        <v/>
      </c>
      <c r="Q2033" s="359" t="s">
        <v>4381</v>
      </c>
    </row>
    <row r="2034" spans="1:17" x14ac:dyDescent="0.35">
      <c r="A2034" t="s">
        <v>3072</v>
      </c>
      <c r="E2034" t="str">
        <f>_xlfn.XLOOKUP(F2034,'Raw Data'!$I$4:$I$5000,'Raw Data'!$D$4:$D$5000,"*** Mnemonic not found ***",0)</f>
        <v>*** Mnemonic not found ***</v>
      </c>
      <c r="F2034" t="str">
        <f t="shared" si="485"/>
        <v>SUCMFORCURRADJAMT24__</v>
      </c>
      <c r="H2034" s="9" t="s">
        <v>1137</v>
      </c>
      <c r="K2034" s="9">
        <f t="shared" si="486"/>
        <v>885</v>
      </c>
      <c r="L2034" s="9" t="str">
        <f t="shared" si="487"/>
        <v>G</v>
      </c>
      <c r="M2034" s="9" t="str">
        <f t="shared" si="488"/>
        <v>Input!G885</v>
      </c>
      <c r="N2034" s="9">
        <f>_xlfn.XLOOKUP(F2034,'Raw Data'!$I$4:$I$5000,'Raw Data'!$E$4:$E$5000,100,0)</f>
        <v>100</v>
      </c>
      <c r="O2034" s="9" t="str">
        <f>IF(N2034=0,_xlfn.XLOOKUP(F2034,'Raw Data'!$I$4:$I$5000,'Raw Data'!$H$4:$H$5000,"",0),"")</f>
        <v/>
      </c>
      <c r="P2034" s="9" t="str" cm="1">
        <f t="array" aca="1" ref="P2034" ca="1">IF(INDIRECT(M2034) = "","",INDIRECT(M2034))</f>
        <v/>
      </c>
      <c r="Q2034" s="359" t="s">
        <v>4381</v>
      </c>
    </row>
    <row r="2035" spans="1:17" x14ac:dyDescent="0.35">
      <c r="A2035" t="s">
        <v>3073</v>
      </c>
      <c r="E2035" t="str">
        <f>_xlfn.XLOOKUP(F2035,'Raw Data'!$I$4:$I$5000,'Raw Data'!$D$4:$D$5000,"*** Mnemonic not found ***",0)</f>
        <v>*** Mnemonic not found ***</v>
      </c>
      <c r="F2035" t="str">
        <f t="shared" si="485"/>
        <v>SUCMFORCURRADJAMT25__</v>
      </c>
      <c r="H2035" s="9" t="s">
        <v>1137</v>
      </c>
      <c r="K2035" s="9">
        <f t="shared" si="486"/>
        <v>886</v>
      </c>
      <c r="L2035" s="9" t="str">
        <f t="shared" si="487"/>
        <v>G</v>
      </c>
      <c r="M2035" s="9" t="str">
        <f t="shared" si="488"/>
        <v>Input!G886</v>
      </c>
      <c r="N2035" s="9">
        <f>_xlfn.XLOOKUP(F2035,'Raw Data'!$I$4:$I$5000,'Raw Data'!$E$4:$E$5000,100,0)</f>
        <v>100</v>
      </c>
      <c r="O2035" s="9" t="str">
        <f>IF(N2035=0,_xlfn.XLOOKUP(F2035,'Raw Data'!$I$4:$I$5000,'Raw Data'!$H$4:$H$5000,"",0),"")</f>
        <v/>
      </c>
      <c r="P2035" s="9" t="str" cm="1">
        <f t="array" aca="1" ref="P2035" ca="1">IF(INDIRECT(M2035) = "","",INDIRECT(M2035))</f>
        <v/>
      </c>
      <c r="Q2035" s="359" t="s">
        <v>4381</v>
      </c>
    </row>
    <row r="2036" spans="1:17" x14ac:dyDescent="0.35">
      <c r="A2036" t="s">
        <v>3074</v>
      </c>
      <c r="E2036" t="str">
        <f>_xlfn.XLOOKUP(F2036,'Raw Data'!$I$4:$I$5000,'Raw Data'!$D$4:$D$5000,"*** Mnemonic not found ***",0)</f>
        <v>*** Mnemonic not found ***</v>
      </c>
      <c r="F2036" t="str">
        <f t="shared" si="485"/>
        <v>SUCMFORCURRADJAMT26__</v>
      </c>
      <c r="H2036" s="9" t="s">
        <v>1137</v>
      </c>
      <c r="K2036" s="9">
        <f t="shared" si="486"/>
        <v>887</v>
      </c>
      <c r="L2036" s="9" t="str">
        <f t="shared" si="487"/>
        <v>G</v>
      </c>
      <c r="M2036" s="9" t="str">
        <f t="shared" si="488"/>
        <v>Input!G887</v>
      </c>
      <c r="N2036" s="9">
        <f>_xlfn.XLOOKUP(F2036,'Raw Data'!$I$4:$I$5000,'Raw Data'!$E$4:$E$5000,100,0)</f>
        <v>100</v>
      </c>
      <c r="O2036" s="9" t="str">
        <f>IF(N2036=0,_xlfn.XLOOKUP(F2036,'Raw Data'!$I$4:$I$5000,'Raw Data'!$H$4:$H$5000,"",0),"")</f>
        <v/>
      </c>
      <c r="P2036" s="9" t="str" cm="1">
        <f t="array" aca="1" ref="P2036" ca="1">IF(INDIRECT(M2036) = "","",INDIRECT(M2036))</f>
        <v/>
      </c>
      <c r="Q2036" s="359" t="s">
        <v>4381</v>
      </c>
    </row>
    <row r="2037" spans="1:17" x14ac:dyDescent="0.35">
      <c r="A2037" t="s">
        <v>3075</v>
      </c>
      <c r="E2037" t="str">
        <f>_xlfn.XLOOKUP(F2037,'Raw Data'!$I$4:$I$5000,'Raw Data'!$D$4:$D$5000,"*** Mnemonic not found ***",0)</f>
        <v>*** Mnemonic not found ***</v>
      </c>
      <c r="F2037" t="str">
        <f t="shared" si="485"/>
        <v>SUCMFORCURRADJAMT27__</v>
      </c>
      <c r="H2037" s="9" t="s">
        <v>1137</v>
      </c>
      <c r="K2037" s="9">
        <f t="shared" si="486"/>
        <v>888</v>
      </c>
      <c r="L2037" s="9" t="str">
        <f t="shared" si="487"/>
        <v>G</v>
      </c>
      <c r="M2037" s="9" t="str">
        <f t="shared" si="488"/>
        <v>Input!G888</v>
      </c>
      <c r="N2037" s="9">
        <f>_xlfn.XLOOKUP(F2037,'Raw Data'!$I$4:$I$5000,'Raw Data'!$E$4:$E$5000,100,0)</f>
        <v>100</v>
      </c>
      <c r="O2037" s="9" t="str">
        <f>IF(N2037=0,_xlfn.XLOOKUP(F2037,'Raw Data'!$I$4:$I$5000,'Raw Data'!$H$4:$H$5000,"",0),"")</f>
        <v/>
      </c>
      <c r="P2037" s="9" t="str" cm="1">
        <f t="array" aca="1" ref="P2037" ca="1">IF(INDIRECT(M2037) = "","",INDIRECT(M2037))</f>
        <v/>
      </c>
      <c r="Q2037" s="359" t="s">
        <v>4381</v>
      </c>
    </row>
    <row r="2038" spans="1:17" x14ac:dyDescent="0.35">
      <c r="A2038" t="s">
        <v>3076</v>
      </c>
      <c r="E2038" t="str">
        <f>_xlfn.XLOOKUP(F2038,'Raw Data'!$I$4:$I$5000,'Raw Data'!$D$4:$D$5000,"*** Mnemonic not found ***",0)</f>
        <v>*** Mnemonic not found ***</v>
      </c>
      <c r="F2038" t="str">
        <f t="shared" si="485"/>
        <v>SUCMFORCURRADJAMT28__</v>
      </c>
      <c r="H2038" s="9" t="s">
        <v>1137</v>
      </c>
      <c r="K2038" s="9">
        <f t="shared" si="486"/>
        <v>889</v>
      </c>
      <c r="L2038" s="9" t="str">
        <f t="shared" si="487"/>
        <v>G</v>
      </c>
      <c r="M2038" s="9" t="str">
        <f t="shared" si="488"/>
        <v>Input!G889</v>
      </c>
      <c r="N2038" s="9">
        <f>_xlfn.XLOOKUP(F2038,'Raw Data'!$I$4:$I$5000,'Raw Data'!$E$4:$E$5000,100,0)</f>
        <v>100</v>
      </c>
      <c r="O2038" s="9" t="str">
        <f>IF(N2038=0,_xlfn.XLOOKUP(F2038,'Raw Data'!$I$4:$I$5000,'Raw Data'!$H$4:$H$5000,"",0),"")</f>
        <v/>
      </c>
      <c r="P2038" s="9" t="str" cm="1">
        <f t="array" aca="1" ref="P2038" ca="1">IF(INDIRECT(M2038) = "","",INDIRECT(M2038))</f>
        <v/>
      </c>
      <c r="Q2038" s="359" t="s">
        <v>4381</v>
      </c>
    </row>
    <row r="2039" spans="1:17" x14ac:dyDescent="0.35">
      <c r="A2039" t="s">
        <v>3077</v>
      </c>
      <c r="E2039" t="str">
        <f>_xlfn.XLOOKUP(F2039,'Raw Data'!$I$4:$I$5000,'Raw Data'!$D$4:$D$5000,"*** Mnemonic not found ***",0)</f>
        <v>*** Mnemonic not found ***</v>
      </c>
      <c r="F2039" t="str">
        <f t="shared" si="485"/>
        <v>SUCMFORCURRADJAMT29__</v>
      </c>
      <c r="H2039" s="9" t="s">
        <v>1137</v>
      </c>
      <c r="K2039" s="9">
        <f t="shared" si="486"/>
        <v>890</v>
      </c>
      <c r="L2039" s="9" t="str">
        <f t="shared" si="487"/>
        <v>G</v>
      </c>
      <c r="M2039" s="9" t="str">
        <f t="shared" si="488"/>
        <v>Input!G890</v>
      </c>
      <c r="N2039" s="9">
        <f>_xlfn.XLOOKUP(F2039,'Raw Data'!$I$4:$I$5000,'Raw Data'!$E$4:$E$5000,100,0)</f>
        <v>100</v>
      </c>
      <c r="O2039" s="9" t="str">
        <f>IF(N2039=0,_xlfn.XLOOKUP(F2039,'Raw Data'!$I$4:$I$5000,'Raw Data'!$H$4:$H$5000,"",0),"")</f>
        <v/>
      </c>
      <c r="P2039" s="9" t="str" cm="1">
        <f t="array" aca="1" ref="P2039" ca="1">IF(INDIRECT(M2039) = "","",INDIRECT(M2039))</f>
        <v/>
      </c>
      <c r="Q2039" s="359" t="s">
        <v>4381</v>
      </c>
    </row>
    <row r="2040" spans="1:17" x14ac:dyDescent="0.35">
      <c r="A2040" t="s">
        <v>3078</v>
      </c>
      <c r="E2040" t="str">
        <f>_xlfn.XLOOKUP(F2040,'Raw Data'!$I$4:$I$5000,'Raw Data'!$D$4:$D$5000,"*** Mnemonic not found ***",0)</f>
        <v>*** Mnemonic not found ***</v>
      </c>
      <c r="F2040" t="str">
        <f t="shared" si="485"/>
        <v>SUCMFORCURRADJAMT30__</v>
      </c>
      <c r="H2040" s="9" t="s">
        <v>1137</v>
      </c>
      <c r="K2040" s="9">
        <f t="shared" si="486"/>
        <v>891</v>
      </c>
      <c r="L2040" s="9" t="str">
        <f t="shared" si="487"/>
        <v>G</v>
      </c>
      <c r="M2040" s="9" t="str">
        <f t="shared" si="488"/>
        <v>Input!G891</v>
      </c>
      <c r="N2040" s="9">
        <f>_xlfn.XLOOKUP(F2040,'Raw Data'!$I$4:$I$5000,'Raw Data'!$E$4:$E$5000,100,0)</f>
        <v>100</v>
      </c>
      <c r="O2040" s="9" t="str">
        <f>IF(N2040=0,_xlfn.XLOOKUP(F2040,'Raw Data'!$I$4:$I$5000,'Raw Data'!$H$4:$H$5000,"",0),"")</f>
        <v/>
      </c>
      <c r="P2040" s="9" t="str" cm="1">
        <f t="array" aca="1" ref="P2040" ca="1">IF(INDIRECT(M2040) = "","",INDIRECT(M2040))</f>
        <v/>
      </c>
      <c r="Q2040" s="359" t="s">
        <v>4381</v>
      </c>
    </row>
    <row r="2041" spans="1:17" x14ac:dyDescent="0.35">
      <c r="A2041" t="s">
        <v>3079</v>
      </c>
      <c r="E2041" t="str">
        <f>_xlfn.XLOOKUP(F2041,'Raw Data'!$I$4:$I$5000,'Raw Data'!$D$4:$D$5000,"*** Mnemonic not found ***",0)</f>
        <v>*** Mnemonic not found ***</v>
      </c>
      <c r="F2041" t="str">
        <f t="shared" si="485"/>
        <v>SUCMFORCURRADJAMT31__</v>
      </c>
      <c r="H2041" s="9" t="s">
        <v>1137</v>
      </c>
      <c r="K2041" s="9">
        <f t="shared" si="486"/>
        <v>892</v>
      </c>
      <c r="L2041" s="9" t="str">
        <f t="shared" si="487"/>
        <v>G</v>
      </c>
      <c r="M2041" s="9" t="str">
        <f t="shared" si="488"/>
        <v>Input!G892</v>
      </c>
      <c r="N2041" s="9">
        <f>_xlfn.XLOOKUP(F2041,'Raw Data'!$I$4:$I$5000,'Raw Data'!$E$4:$E$5000,100,0)</f>
        <v>100</v>
      </c>
      <c r="O2041" s="9" t="str">
        <f>IF(N2041=0,_xlfn.XLOOKUP(F2041,'Raw Data'!$I$4:$I$5000,'Raw Data'!$H$4:$H$5000,"",0),"")</f>
        <v/>
      </c>
      <c r="P2041" s="9" t="str" cm="1">
        <f t="array" aca="1" ref="P2041" ca="1">IF(INDIRECT(M2041) = "","",INDIRECT(M2041))</f>
        <v/>
      </c>
      <c r="Q2041" s="359" t="s">
        <v>4381</v>
      </c>
    </row>
    <row r="2042" spans="1:17" x14ac:dyDescent="0.35">
      <c r="A2042" t="s">
        <v>3080</v>
      </c>
      <c r="E2042" t="str">
        <f>_xlfn.XLOOKUP(F2042,'Raw Data'!$I$4:$I$5000,'Raw Data'!$D$4:$D$5000,"*** Mnemonic not found ***",0)</f>
        <v>*** Mnemonic not found ***</v>
      </c>
      <c r="F2042" t="str">
        <f t="shared" si="485"/>
        <v>SUCMFORCURRADJAMT32__</v>
      </c>
      <c r="H2042" s="9" t="s">
        <v>1137</v>
      </c>
      <c r="K2042" s="9">
        <f t="shared" si="486"/>
        <v>893</v>
      </c>
      <c r="L2042" s="9" t="str">
        <f t="shared" si="487"/>
        <v>G</v>
      </c>
      <c r="M2042" s="9" t="str">
        <f t="shared" si="488"/>
        <v>Input!G893</v>
      </c>
      <c r="N2042" s="9">
        <f>_xlfn.XLOOKUP(F2042,'Raw Data'!$I$4:$I$5000,'Raw Data'!$E$4:$E$5000,100,0)</f>
        <v>100</v>
      </c>
      <c r="O2042" s="9" t="str">
        <f>IF(N2042=0,_xlfn.XLOOKUP(F2042,'Raw Data'!$I$4:$I$5000,'Raw Data'!$H$4:$H$5000,"",0),"")</f>
        <v/>
      </c>
      <c r="P2042" s="9" t="str" cm="1">
        <f t="array" aca="1" ref="P2042" ca="1">IF(INDIRECT(M2042) = "","",INDIRECT(M2042))</f>
        <v/>
      </c>
      <c r="Q2042" s="359" t="s">
        <v>4381</v>
      </c>
    </row>
    <row r="2043" spans="1:17" x14ac:dyDescent="0.35">
      <c r="A2043" t="s">
        <v>3081</v>
      </c>
      <c r="E2043" t="str">
        <f>_xlfn.XLOOKUP(F2043,'Raw Data'!$I$4:$I$5000,'Raw Data'!$D$4:$D$5000,"*** Mnemonic not found ***",0)</f>
        <v>*** Mnemonic not found ***</v>
      </c>
      <c r="F2043" t="str">
        <f t="shared" si="485"/>
        <v>SUCMFORCURRADJAMT33__</v>
      </c>
      <c r="H2043" s="9" t="s">
        <v>1137</v>
      </c>
      <c r="K2043" s="9">
        <f t="shared" si="486"/>
        <v>894</v>
      </c>
      <c r="L2043" s="9" t="str">
        <f t="shared" si="487"/>
        <v>G</v>
      </c>
      <c r="M2043" s="9" t="str">
        <f t="shared" si="488"/>
        <v>Input!G894</v>
      </c>
      <c r="N2043" s="9">
        <f>_xlfn.XLOOKUP(F2043,'Raw Data'!$I$4:$I$5000,'Raw Data'!$E$4:$E$5000,100,0)</f>
        <v>100</v>
      </c>
      <c r="O2043" s="9" t="str">
        <f>IF(N2043=0,_xlfn.XLOOKUP(F2043,'Raw Data'!$I$4:$I$5000,'Raw Data'!$H$4:$H$5000,"",0),"")</f>
        <v/>
      </c>
      <c r="P2043" s="9" t="str" cm="1">
        <f t="array" aca="1" ref="P2043" ca="1">IF(INDIRECT(M2043) = "","",INDIRECT(M2043))</f>
        <v/>
      </c>
      <c r="Q2043" s="359" t="s">
        <v>4381</v>
      </c>
    </row>
    <row r="2044" spans="1:17" x14ac:dyDescent="0.35">
      <c r="A2044" t="s">
        <v>3082</v>
      </c>
      <c r="E2044" t="str">
        <f>_xlfn.XLOOKUP(F2044,'Raw Data'!$I$4:$I$5000,'Raw Data'!$D$4:$D$5000,"*** Mnemonic not found ***",0)</f>
        <v>*** Mnemonic not found ***</v>
      </c>
      <c r="F2044" t="str">
        <f t="shared" si="485"/>
        <v>SUCMFORCURRADJAMT34__</v>
      </c>
      <c r="H2044" s="9" t="s">
        <v>1137</v>
      </c>
      <c r="K2044" s="9">
        <f t="shared" si="486"/>
        <v>895</v>
      </c>
      <c r="L2044" s="9" t="str">
        <f t="shared" si="487"/>
        <v>G</v>
      </c>
      <c r="M2044" s="9" t="str">
        <f t="shared" si="488"/>
        <v>Input!G895</v>
      </c>
      <c r="N2044" s="9">
        <f>_xlfn.XLOOKUP(F2044,'Raw Data'!$I$4:$I$5000,'Raw Data'!$E$4:$E$5000,100,0)</f>
        <v>100</v>
      </c>
      <c r="O2044" s="9" t="str">
        <f>IF(N2044=0,_xlfn.XLOOKUP(F2044,'Raw Data'!$I$4:$I$5000,'Raw Data'!$H$4:$H$5000,"",0),"")</f>
        <v/>
      </c>
      <c r="P2044" s="9" t="str" cm="1">
        <f t="array" aca="1" ref="P2044" ca="1">IF(INDIRECT(M2044) = "","",INDIRECT(M2044))</f>
        <v/>
      </c>
      <c r="Q2044" s="359" t="s">
        <v>4381</v>
      </c>
    </row>
    <row r="2045" spans="1:17" x14ac:dyDescent="0.35">
      <c r="A2045" t="s">
        <v>3083</v>
      </c>
      <c r="E2045" t="str">
        <f>_xlfn.XLOOKUP(F2045,'Raw Data'!$I$4:$I$5000,'Raw Data'!$D$4:$D$5000,"*** Mnemonic not found ***",0)</f>
        <v>*** Mnemonic not found ***</v>
      </c>
      <c r="F2045" t="str">
        <f t="shared" si="485"/>
        <v>SUCMFORCURRADJAMT35__</v>
      </c>
      <c r="H2045" s="9" t="s">
        <v>1137</v>
      </c>
      <c r="K2045" s="9">
        <f t="shared" si="486"/>
        <v>896</v>
      </c>
      <c r="L2045" s="9" t="str">
        <f t="shared" si="487"/>
        <v>G</v>
      </c>
      <c r="M2045" s="9" t="str">
        <f t="shared" si="488"/>
        <v>Input!G896</v>
      </c>
      <c r="N2045" s="9">
        <f>_xlfn.XLOOKUP(F2045,'Raw Data'!$I$4:$I$5000,'Raw Data'!$E$4:$E$5000,100,0)</f>
        <v>100</v>
      </c>
      <c r="O2045" s="9" t="str">
        <f>IF(N2045=0,_xlfn.XLOOKUP(F2045,'Raw Data'!$I$4:$I$5000,'Raw Data'!$H$4:$H$5000,"",0),"")</f>
        <v/>
      </c>
      <c r="P2045" s="9" t="str" cm="1">
        <f t="array" aca="1" ref="P2045" ca="1">IF(INDIRECT(M2045) = "","",INDIRECT(M2045))</f>
        <v/>
      </c>
      <c r="Q2045" s="359" t="s">
        <v>4381</v>
      </c>
    </row>
    <row r="2046" spans="1:17" x14ac:dyDescent="0.35">
      <c r="A2046" t="s">
        <v>3666</v>
      </c>
      <c r="E2046" t="str">
        <f>_xlfn.XLOOKUP(F2046,'Raw Data'!$I$4:$I$5000,'Raw Data'!$D$4:$D$5000,"*** Mnemonic not found ***",0)</f>
        <v>*** Mnemonic not found ***</v>
      </c>
      <c r="F2046" t="str">
        <f t="shared" si="485"/>
        <v>SUCMFORCURRIRR1__</v>
      </c>
      <c r="H2046" s="9" t="s">
        <v>1137</v>
      </c>
      <c r="K2046" s="9">
        <f>K2011</f>
        <v>862</v>
      </c>
      <c r="L2046" s="9" t="s">
        <v>1144</v>
      </c>
      <c r="M2046" s="9" t="str">
        <f t="shared" si="488"/>
        <v>Input!H862</v>
      </c>
      <c r="N2046" s="9">
        <f>_xlfn.XLOOKUP(F2046,'Raw Data'!$I$4:$I$5000,'Raw Data'!$E$4:$E$5000,100,0)</f>
        <v>100</v>
      </c>
      <c r="O2046" s="9" t="str">
        <f>IF(N2046=0,_xlfn.XLOOKUP(F2046,'Raw Data'!$I$4:$I$5000,'Raw Data'!$H$4:$H$5000,"",0),"")</f>
        <v/>
      </c>
      <c r="P2046" s="9" t="str" cm="1">
        <f t="array" aca="1" ref="P2046" ca="1">IF(INDIRECT(M2046) = "","",INDIRECT(M2046))</f>
        <v/>
      </c>
      <c r="Q2046" s="359" t="s">
        <v>4381</v>
      </c>
    </row>
    <row r="2047" spans="1:17" x14ac:dyDescent="0.35">
      <c r="A2047" t="s">
        <v>3667</v>
      </c>
      <c r="E2047" t="str">
        <f>_xlfn.XLOOKUP(F2047,'Raw Data'!$I$4:$I$5000,'Raw Data'!$D$4:$D$5000,"*** Mnemonic not found ***",0)</f>
        <v>*** Mnemonic not found ***</v>
      </c>
      <c r="F2047" t="str">
        <f t="shared" si="485"/>
        <v>SUCMFORCURRIRR2__</v>
      </c>
      <c r="H2047" s="9" t="s">
        <v>1137</v>
      </c>
      <c r="K2047" s="9">
        <f t="shared" si="486"/>
        <v>863</v>
      </c>
      <c r="L2047" s="9" t="str">
        <f t="shared" si="487"/>
        <v>H</v>
      </c>
      <c r="M2047" s="9" t="str">
        <f t="shared" si="488"/>
        <v>Input!H863</v>
      </c>
      <c r="N2047" s="9">
        <f>_xlfn.XLOOKUP(F2047,'Raw Data'!$I$4:$I$5000,'Raw Data'!$E$4:$E$5000,100,0)</f>
        <v>100</v>
      </c>
      <c r="O2047" s="9" t="str">
        <f>IF(N2047=0,_xlfn.XLOOKUP(F2047,'Raw Data'!$I$4:$I$5000,'Raw Data'!$H$4:$H$5000,"",0),"")</f>
        <v/>
      </c>
      <c r="P2047" s="9" t="str" cm="1">
        <f t="array" aca="1" ref="P2047" ca="1">IF(INDIRECT(M2047) = "","",INDIRECT(M2047))</f>
        <v/>
      </c>
      <c r="Q2047" s="359" t="s">
        <v>4381</v>
      </c>
    </row>
    <row r="2048" spans="1:17" x14ac:dyDescent="0.35">
      <c r="A2048" t="s">
        <v>3668</v>
      </c>
      <c r="E2048" t="str">
        <f>_xlfn.XLOOKUP(F2048,'Raw Data'!$I$4:$I$5000,'Raw Data'!$D$4:$D$5000,"*** Mnemonic not found ***",0)</f>
        <v>*** Mnemonic not found ***</v>
      </c>
      <c r="F2048" t="str">
        <f t="shared" si="485"/>
        <v>SUCMFORCURRIRR3__</v>
      </c>
      <c r="H2048" s="9" t="s">
        <v>1137</v>
      </c>
      <c r="K2048" s="9">
        <f t="shared" si="486"/>
        <v>864</v>
      </c>
      <c r="L2048" s="9" t="str">
        <f t="shared" si="487"/>
        <v>H</v>
      </c>
      <c r="M2048" s="9" t="str">
        <f t="shared" si="488"/>
        <v>Input!H864</v>
      </c>
      <c r="N2048" s="9">
        <f>_xlfn.XLOOKUP(F2048,'Raw Data'!$I$4:$I$5000,'Raw Data'!$E$4:$E$5000,100,0)</f>
        <v>100</v>
      </c>
      <c r="O2048" s="9" t="str">
        <f>IF(N2048=0,_xlfn.XLOOKUP(F2048,'Raw Data'!$I$4:$I$5000,'Raw Data'!$H$4:$H$5000,"",0),"")</f>
        <v/>
      </c>
      <c r="P2048" s="9" t="str" cm="1">
        <f t="array" aca="1" ref="P2048" ca="1">IF(INDIRECT(M2048) = "","",INDIRECT(M2048))</f>
        <v/>
      </c>
      <c r="Q2048" s="359" t="s">
        <v>4381</v>
      </c>
    </row>
    <row r="2049" spans="1:17" x14ac:dyDescent="0.35">
      <c r="A2049" t="s">
        <v>3669</v>
      </c>
      <c r="E2049" t="str">
        <f>_xlfn.XLOOKUP(F2049,'Raw Data'!$I$4:$I$5000,'Raw Data'!$D$4:$D$5000,"*** Mnemonic not found ***",0)</f>
        <v>*** Mnemonic not found ***</v>
      </c>
      <c r="F2049" t="str">
        <f t="shared" si="485"/>
        <v>SUCMFORCURRIRR4__</v>
      </c>
      <c r="H2049" s="9" t="s">
        <v>1137</v>
      </c>
      <c r="K2049" s="9">
        <f t="shared" si="486"/>
        <v>865</v>
      </c>
      <c r="L2049" s="9" t="str">
        <f t="shared" si="487"/>
        <v>H</v>
      </c>
      <c r="M2049" s="9" t="str">
        <f t="shared" si="488"/>
        <v>Input!H865</v>
      </c>
      <c r="N2049" s="9">
        <f>_xlfn.XLOOKUP(F2049,'Raw Data'!$I$4:$I$5000,'Raw Data'!$E$4:$E$5000,100,0)</f>
        <v>100</v>
      </c>
      <c r="O2049" s="9" t="str">
        <f>IF(N2049=0,_xlfn.XLOOKUP(F2049,'Raw Data'!$I$4:$I$5000,'Raw Data'!$H$4:$H$5000,"",0),"")</f>
        <v/>
      </c>
      <c r="P2049" s="9" t="str" cm="1">
        <f t="array" aca="1" ref="P2049" ca="1">IF(INDIRECT(M2049) = "","",INDIRECT(M2049))</f>
        <v/>
      </c>
      <c r="Q2049" s="359" t="s">
        <v>4381</v>
      </c>
    </row>
    <row r="2050" spans="1:17" x14ac:dyDescent="0.35">
      <c r="A2050" t="s">
        <v>3670</v>
      </c>
      <c r="E2050" t="str">
        <f>_xlfn.XLOOKUP(F2050,'Raw Data'!$I$4:$I$5000,'Raw Data'!$D$4:$D$5000,"*** Mnemonic not found ***",0)</f>
        <v>*** Mnemonic not found ***</v>
      </c>
      <c r="F2050" t="str">
        <f t="shared" si="485"/>
        <v>SUCMFORCURRIRR5__</v>
      </c>
      <c r="H2050" s="9" t="s">
        <v>1137</v>
      </c>
      <c r="K2050" s="9">
        <f t="shared" si="486"/>
        <v>866</v>
      </c>
      <c r="L2050" s="9" t="str">
        <f t="shared" si="487"/>
        <v>H</v>
      </c>
      <c r="M2050" s="9" t="str">
        <f t="shared" si="488"/>
        <v>Input!H866</v>
      </c>
      <c r="N2050" s="9">
        <f>_xlfn.XLOOKUP(F2050,'Raw Data'!$I$4:$I$5000,'Raw Data'!$E$4:$E$5000,100,0)</f>
        <v>100</v>
      </c>
      <c r="O2050" s="9" t="str">
        <f>IF(N2050=0,_xlfn.XLOOKUP(F2050,'Raw Data'!$I$4:$I$5000,'Raw Data'!$H$4:$H$5000,"",0),"")</f>
        <v/>
      </c>
      <c r="P2050" s="9" t="str" cm="1">
        <f t="array" aca="1" ref="P2050" ca="1">IF(INDIRECT(M2050) = "","",INDIRECT(M2050))</f>
        <v/>
      </c>
      <c r="Q2050" s="359" t="s">
        <v>4381</v>
      </c>
    </row>
    <row r="2051" spans="1:17" x14ac:dyDescent="0.35">
      <c r="A2051" t="s">
        <v>3671</v>
      </c>
      <c r="E2051" t="str">
        <f>_xlfn.XLOOKUP(F2051,'Raw Data'!$I$4:$I$5000,'Raw Data'!$D$4:$D$5000,"*** Mnemonic not found ***",0)</f>
        <v>*** Mnemonic not found ***</v>
      </c>
      <c r="F2051" t="str">
        <f t="shared" si="485"/>
        <v>SUCMFORCURRIRR6__</v>
      </c>
      <c r="H2051" s="9" t="s">
        <v>1137</v>
      </c>
      <c r="K2051" s="9">
        <f t="shared" si="486"/>
        <v>867</v>
      </c>
      <c r="L2051" s="9" t="str">
        <f t="shared" si="487"/>
        <v>H</v>
      </c>
      <c r="M2051" s="9" t="str">
        <f t="shared" si="488"/>
        <v>Input!H867</v>
      </c>
      <c r="N2051" s="9">
        <f>_xlfn.XLOOKUP(F2051,'Raw Data'!$I$4:$I$5000,'Raw Data'!$E$4:$E$5000,100,0)</f>
        <v>100</v>
      </c>
      <c r="O2051" s="9" t="str">
        <f>IF(N2051=0,_xlfn.XLOOKUP(F2051,'Raw Data'!$I$4:$I$5000,'Raw Data'!$H$4:$H$5000,"",0),"")</f>
        <v/>
      </c>
      <c r="P2051" s="9" t="str" cm="1">
        <f t="array" aca="1" ref="P2051" ca="1">IF(INDIRECT(M2051) = "","",INDIRECT(M2051))</f>
        <v/>
      </c>
      <c r="Q2051" s="359" t="s">
        <v>4381</v>
      </c>
    </row>
    <row r="2052" spans="1:17" x14ac:dyDescent="0.35">
      <c r="A2052" t="s">
        <v>3672</v>
      </c>
      <c r="E2052" t="str">
        <f>_xlfn.XLOOKUP(F2052,'Raw Data'!$I$4:$I$5000,'Raw Data'!$D$4:$D$5000,"*** Mnemonic not found ***",0)</f>
        <v>*** Mnemonic not found ***</v>
      </c>
      <c r="F2052" t="str">
        <f t="shared" si="485"/>
        <v>SUCMFORCURRIRR7__</v>
      </c>
      <c r="H2052" s="9" t="s">
        <v>1137</v>
      </c>
      <c r="K2052" s="9">
        <f t="shared" si="486"/>
        <v>868</v>
      </c>
      <c r="L2052" s="9" t="str">
        <f t="shared" si="487"/>
        <v>H</v>
      </c>
      <c r="M2052" s="9" t="str">
        <f t="shared" si="488"/>
        <v>Input!H868</v>
      </c>
      <c r="N2052" s="9">
        <f>_xlfn.XLOOKUP(F2052,'Raw Data'!$I$4:$I$5000,'Raw Data'!$E$4:$E$5000,100,0)</f>
        <v>100</v>
      </c>
      <c r="O2052" s="9" t="str">
        <f>IF(N2052=0,_xlfn.XLOOKUP(F2052,'Raw Data'!$I$4:$I$5000,'Raw Data'!$H$4:$H$5000,"",0),"")</f>
        <v/>
      </c>
      <c r="P2052" s="9" t="str" cm="1">
        <f t="array" aca="1" ref="P2052" ca="1">IF(INDIRECT(M2052) = "","",INDIRECT(M2052))</f>
        <v/>
      </c>
      <c r="Q2052" s="359" t="s">
        <v>4381</v>
      </c>
    </row>
    <row r="2053" spans="1:17" x14ac:dyDescent="0.35">
      <c r="A2053" t="s">
        <v>3673</v>
      </c>
      <c r="E2053" t="str">
        <f>_xlfn.XLOOKUP(F2053,'Raw Data'!$I$4:$I$5000,'Raw Data'!$D$4:$D$5000,"*** Mnemonic not found ***",0)</f>
        <v>*** Mnemonic not found ***</v>
      </c>
      <c r="F2053" t="str">
        <f t="shared" si="485"/>
        <v>SUCMFORCURRIRR8__</v>
      </c>
      <c r="H2053" s="9" t="s">
        <v>1137</v>
      </c>
      <c r="K2053" s="9">
        <f t="shared" si="486"/>
        <v>869</v>
      </c>
      <c r="L2053" s="9" t="str">
        <f t="shared" si="487"/>
        <v>H</v>
      </c>
      <c r="M2053" s="9" t="str">
        <f t="shared" si="488"/>
        <v>Input!H869</v>
      </c>
      <c r="N2053" s="9">
        <f>_xlfn.XLOOKUP(F2053,'Raw Data'!$I$4:$I$5000,'Raw Data'!$E$4:$E$5000,100,0)</f>
        <v>100</v>
      </c>
      <c r="O2053" s="9" t="str">
        <f>IF(N2053=0,_xlfn.XLOOKUP(F2053,'Raw Data'!$I$4:$I$5000,'Raw Data'!$H$4:$H$5000,"",0),"")</f>
        <v/>
      </c>
      <c r="P2053" s="9" t="str" cm="1">
        <f t="array" aca="1" ref="P2053" ca="1">IF(INDIRECT(M2053) = "","",INDIRECT(M2053))</f>
        <v/>
      </c>
      <c r="Q2053" s="359" t="s">
        <v>4381</v>
      </c>
    </row>
    <row r="2054" spans="1:17" x14ac:dyDescent="0.35">
      <c r="A2054" t="s">
        <v>3674</v>
      </c>
      <c r="E2054" t="str">
        <f>_xlfn.XLOOKUP(F2054,'Raw Data'!$I$4:$I$5000,'Raw Data'!$D$4:$D$5000,"*** Mnemonic not found ***",0)</f>
        <v>*** Mnemonic not found ***</v>
      </c>
      <c r="F2054" t="str">
        <f t="shared" si="485"/>
        <v>SUCMFORCURRIRR9__</v>
      </c>
      <c r="H2054" s="9" t="s">
        <v>1137</v>
      </c>
      <c r="K2054" s="9">
        <f t="shared" si="486"/>
        <v>870</v>
      </c>
      <c r="L2054" s="9" t="str">
        <f t="shared" si="487"/>
        <v>H</v>
      </c>
      <c r="M2054" s="9" t="str">
        <f t="shared" si="488"/>
        <v>Input!H870</v>
      </c>
      <c r="N2054" s="9">
        <f>_xlfn.XLOOKUP(F2054,'Raw Data'!$I$4:$I$5000,'Raw Data'!$E$4:$E$5000,100,0)</f>
        <v>100</v>
      </c>
      <c r="O2054" s="9" t="str">
        <f>IF(N2054=0,_xlfn.XLOOKUP(F2054,'Raw Data'!$I$4:$I$5000,'Raw Data'!$H$4:$H$5000,"",0),"")</f>
        <v/>
      </c>
      <c r="P2054" s="9" t="str" cm="1">
        <f t="array" aca="1" ref="P2054" ca="1">IF(INDIRECT(M2054) = "","",INDIRECT(M2054))</f>
        <v/>
      </c>
      <c r="Q2054" s="359" t="s">
        <v>4381</v>
      </c>
    </row>
    <row r="2055" spans="1:17" x14ac:dyDescent="0.35">
      <c r="A2055" t="s">
        <v>3675</v>
      </c>
      <c r="E2055" t="str">
        <f>_xlfn.XLOOKUP(F2055,'Raw Data'!$I$4:$I$5000,'Raw Data'!$D$4:$D$5000,"*** Mnemonic not found ***",0)</f>
        <v>*** Mnemonic not found ***</v>
      </c>
      <c r="F2055" t="str">
        <f t="shared" si="485"/>
        <v>SUCMFORCURRIRR10__</v>
      </c>
      <c r="H2055" s="9" t="s">
        <v>1137</v>
      </c>
      <c r="K2055" s="9">
        <f t="shared" si="486"/>
        <v>871</v>
      </c>
      <c r="L2055" s="9" t="str">
        <f t="shared" si="487"/>
        <v>H</v>
      </c>
      <c r="M2055" s="9" t="str">
        <f t="shared" si="488"/>
        <v>Input!H871</v>
      </c>
      <c r="N2055" s="9">
        <f>_xlfn.XLOOKUP(F2055,'Raw Data'!$I$4:$I$5000,'Raw Data'!$E$4:$E$5000,100,0)</f>
        <v>100</v>
      </c>
      <c r="O2055" s="9" t="str">
        <f>IF(N2055=0,_xlfn.XLOOKUP(F2055,'Raw Data'!$I$4:$I$5000,'Raw Data'!$H$4:$H$5000,"",0),"")</f>
        <v/>
      </c>
      <c r="P2055" s="9" t="str" cm="1">
        <f t="array" aca="1" ref="P2055" ca="1">IF(INDIRECT(M2055) = "","",INDIRECT(M2055))</f>
        <v/>
      </c>
      <c r="Q2055" s="359" t="s">
        <v>4381</v>
      </c>
    </row>
    <row r="2056" spans="1:17" x14ac:dyDescent="0.35">
      <c r="A2056" t="s">
        <v>3676</v>
      </c>
      <c r="E2056" t="str">
        <f>_xlfn.XLOOKUP(F2056,'Raw Data'!$I$4:$I$5000,'Raw Data'!$D$4:$D$5000,"*** Mnemonic not found ***",0)</f>
        <v>*** Mnemonic not found ***</v>
      </c>
      <c r="F2056" t="str">
        <f t="shared" si="485"/>
        <v>SUCMFORCURRIRR11__</v>
      </c>
      <c r="H2056" s="9" t="s">
        <v>1137</v>
      </c>
      <c r="K2056" s="9">
        <f t="shared" si="486"/>
        <v>872</v>
      </c>
      <c r="L2056" s="9" t="str">
        <f t="shared" si="487"/>
        <v>H</v>
      </c>
      <c r="M2056" s="9" t="str">
        <f t="shared" si="488"/>
        <v>Input!H872</v>
      </c>
      <c r="N2056" s="9">
        <f>_xlfn.XLOOKUP(F2056,'Raw Data'!$I$4:$I$5000,'Raw Data'!$E$4:$E$5000,100,0)</f>
        <v>100</v>
      </c>
      <c r="O2056" s="9" t="str">
        <f>IF(N2056=0,_xlfn.XLOOKUP(F2056,'Raw Data'!$I$4:$I$5000,'Raw Data'!$H$4:$H$5000,"",0),"")</f>
        <v/>
      </c>
      <c r="P2056" s="9" t="str" cm="1">
        <f t="array" aca="1" ref="P2056" ca="1">IF(INDIRECT(M2056) = "","",INDIRECT(M2056))</f>
        <v/>
      </c>
      <c r="Q2056" s="359" t="s">
        <v>4381</v>
      </c>
    </row>
    <row r="2057" spans="1:17" x14ac:dyDescent="0.35">
      <c r="A2057" t="s">
        <v>3677</v>
      </c>
      <c r="E2057" t="str">
        <f>_xlfn.XLOOKUP(F2057,'Raw Data'!$I$4:$I$5000,'Raw Data'!$D$4:$D$5000,"*** Mnemonic not found ***",0)</f>
        <v>*** Mnemonic not found ***</v>
      </c>
      <c r="F2057" t="str">
        <f t="shared" si="485"/>
        <v>SUCMFORCURRIRR12__</v>
      </c>
      <c r="H2057" s="9" t="s">
        <v>1137</v>
      </c>
      <c r="K2057" s="9">
        <f t="shared" si="486"/>
        <v>873</v>
      </c>
      <c r="L2057" s="9" t="str">
        <f t="shared" si="487"/>
        <v>H</v>
      </c>
      <c r="M2057" s="9" t="str">
        <f t="shared" si="488"/>
        <v>Input!H873</v>
      </c>
      <c r="N2057" s="9">
        <f>_xlfn.XLOOKUP(F2057,'Raw Data'!$I$4:$I$5000,'Raw Data'!$E$4:$E$5000,100,0)</f>
        <v>100</v>
      </c>
      <c r="O2057" s="9" t="str">
        <f>IF(N2057=0,_xlfn.XLOOKUP(F2057,'Raw Data'!$I$4:$I$5000,'Raw Data'!$H$4:$H$5000,"",0),"")</f>
        <v/>
      </c>
      <c r="P2057" s="9" t="str" cm="1">
        <f t="array" aca="1" ref="P2057" ca="1">IF(INDIRECT(M2057) = "","",INDIRECT(M2057))</f>
        <v/>
      </c>
      <c r="Q2057" s="359" t="s">
        <v>4381</v>
      </c>
    </row>
    <row r="2058" spans="1:17" x14ac:dyDescent="0.35">
      <c r="A2058" t="s">
        <v>3678</v>
      </c>
      <c r="E2058" t="str">
        <f>_xlfn.XLOOKUP(F2058,'Raw Data'!$I$4:$I$5000,'Raw Data'!$D$4:$D$5000,"*** Mnemonic not found ***",0)</f>
        <v>*** Mnemonic not found ***</v>
      </c>
      <c r="F2058" t="str">
        <f t="shared" si="485"/>
        <v>SUCMFORCURRIRR13__</v>
      </c>
      <c r="H2058" s="9" t="s">
        <v>1137</v>
      </c>
      <c r="K2058" s="9">
        <f t="shared" si="486"/>
        <v>874</v>
      </c>
      <c r="L2058" s="9" t="str">
        <f t="shared" si="487"/>
        <v>H</v>
      </c>
      <c r="M2058" s="9" t="str">
        <f t="shared" si="488"/>
        <v>Input!H874</v>
      </c>
      <c r="N2058" s="9">
        <f>_xlfn.XLOOKUP(F2058,'Raw Data'!$I$4:$I$5000,'Raw Data'!$E$4:$E$5000,100,0)</f>
        <v>100</v>
      </c>
      <c r="O2058" s="9" t="str">
        <f>IF(N2058=0,_xlfn.XLOOKUP(F2058,'Raw Data'!$I$4:$I$5000,'Raw Data'!$H$4:$H$5000,"",0),"")</f>
        <v/>
      </c>
      <c r="P2058" s="9" t="str" cm="1">
        <f t="array" aca="1" ref="P2058" ca="1">IF(INDIRECT(M2058) = "","",INDIRECT(M2058))</f>
        <v/>
      </c>
      <c r="Q2058" s="359" t="s">
        <v>4381</v>
      </c>
    </row>
    <row r="2059" spans="1:17" x14ac:dyDescent="0.35">
      <c r="A2059" t="s">
        <v>3679</v>
      </c>
      <c r="E2059" t="str">
        <f>_xlfn.XLOOKUP(F2059,'Raw Data'!$I$4:$I$5000,'Raw Data'!$D$4:$D$5000,"*** Mnemonic not found ***",0)</f>
        <v>*** Mnemonic not found ***</v>
      </c>
      <c r="F2059" t="str">
        <f t="shared" si="485"/>
        <v>SUCMFORCURRIRR14__</v>
      </c>
      <c r="H2059" s="9" t="s">
        <v>1137</v>
      </c>
      <c r="K2059" s="9">
        <f t="shared" si="486"/>
        <v>875</v>
      </c>
      <c r="L2059" s="9" t="str">
        <f t="shared" si="487"/>
        <v>H</v>
      </c>
      <c r="M2059" s="9" t="str">
        <f t="shared" si="488"/>
        <v>Input!H875</v>
      </c>
      <c r="N2059" s="9">
        <f>_xlfn.XLOOKUP(F2059,'Raw Data'!$I$4:$I$5000,'Raw Data'!$E$4:$E$5000,100,0)</f>
        <v>100</v>
      </c>
      <c r="O2059" s="9" t="str">
        <f>IF(N2059=0,_xlfn.XLOOKUP(F2059,'Raw Data'!$I$4:$I$5000,'Raw Data'!$H$4:$H$5000,"",0),"")</f>
        <v/>
      </c>
      <c r="P2059" s="9" t="str" cm="1">
        <f t="array" aca="1" ref="P2059" ca="1">IF(INDIRECT(M2059) = "","",INDIRECT(M2059))</f>
        <v/>
      </c>
      <c r="Q2059" s="359" t="s">
        <v>4381</v>
      </c>
    </row>
    <row r="2060" spans="1:17" x14ac:dyDescent="0.35">
      <c r="A2060" t="s">
        <v>3680</v>
      </c>
      <c r="E2060" t="str">
        <f>_xlfn.XLOOKUP(F2060,'Raw Data'!$I$4:$I$5000,'Raw Data'!$D$4:$D$5000,"*** Mnemonic not found ***",0)</f>
        <v>*** Mnemonic not found ***</v>
      </c>
      <c r="F2060" t="str">
        <f t="shared" si="485"/>
        <v>SUCMFORCURRIRR15__</v>
      </c>
      <c r="H2060" s="9" t="s">
        <v>1137</v>
      </c>
      <c r="K2060" s="9">
        <f t="shared" si="486"/>
        <v>876</v>
      </c>
      <c r="L2060" s="9" t="str">
        <f t="shared" si="487"/>
        <v>H</v>
      </c>
      <c r="M2060" s="9" t="str">
        <f t="shared" ref="M2060:M2094" si="489">CONCATENATE(H2060,"!",L2060,K2060)</f>
        <v>Input!H876</v>
      </c>
      <c r="N2060" s="9">
        <f>_xlfn.XLOOKUP(F2060,'Raw Data'!$I$4:$I$5000,'Raw Data'!$E$4:$E$5000,100,0)</f>
        <v>100</v>
      </c>
      <c r="O2060" s="9" t="str">
        <f>IF(N2060=0,_xlfn.XLOOKUP(F2060,'Raw Data'!$I$4:$I$5000,'Raw Data'!$H$4:$H$5000,"",0),"")</f>
        <v/>
      </c>
      <c r="P2060" s="9" t="str" cm="1">
        <f t="array" aca="1" ref="P2060" ca="1">IF(INDIRECT(M2060) = "","",INDIRECT(M2060))</f>
        <v/>
      </c>
      <c r="Q2060" s="359" t="s">
        <v>4381</v>
      </c>
    </row>
    <row r="2061" spans="1:17" x14ac:dyDescent="0.35">
      <c r="A2061" t="s">
        <v>3681</v>
      </c>
      <c r="E2061" t="str">
        <f>_xlfn.XLOOKUP(F2061,'Raw Data'!$I$4:$I$5000,'Raw Data'!$D$4:$D$5000,"*** Mnemonic not found ***",0)</f>
        <v>*** Mnemonic not found ***</v>
      </c>
      <c r="F2061" t="str">
        <f t="shared" ref="F2061:F2124" si="490">CONCATENATE(A2061,"_",B2061,"_",D2061)</f>
        <v>SUCMFORCURRIRR16__</v>
      </c>
      <c r="H2061" s="9" t="s">
        <v>1137</v>
      </c>
      <c r="K2061" s="9">
        <f t="shared" si="486"/>
        <v>877</v>
      </c>
      <c r="L2061" s="9" t="str">
        <f t="shared" si="487"/>
        <v>H</v>
      </c>
      <c r="M2061" s="9" t="str">
        <f t="shared" si="489"/>
        <v>Input!H877</v>
      </c>
      <c r="N2061" s="9">
        <f>_xlfn.XLOOKUP(F2061,'Raw Data'!$I$4:$I$5000,'Raw Data'!$E$4:$E$5000,100,0)</f>
        <v>100</v>
      </c>
      <c r="O2061" s="9" t="str">
        <f>IF(N2061=0,_xlfn.XLOOKUP(F2061,'Raw Data'!$I$4:$I$5000,'Raw Data'!$H$4:$H$5000,"",0),"")</f>
        <v/>
      </c>
      <c r="P2061" s="9" t="str" cm="1">
        <f t="array" aca="1" ref="P2061" ca="1">IF(INDIRECT(M2061) = "","",INDIRECT(M2061))</f>
        <v/>
      </c>
      <c r="Q2061" s="359" t="s">
        <v>4381</v>
      </c>
    </row>
    <row r="2062" spans="1:17" x14ac:dyDescent="0.35">
      <c r="A2062" t="s">
        <v>3682</v>
      </c>
      <c r="E2062" t="str">
        <f>_xlfn.XLOOKUP(F2062,'Raw Data'!$I$4:$I$5000,'Raw Data'!$D$4:$D$5000,"*** Mnemonic not found ***",0)</f>
        <v>*** Mnemonic not found ***</v>
      </c>
      <c r="F2062" t="str">
        <f t="shared" si="490"/>
        <v>SUCMFORCURRIRR17__</v>
      </c>
      <c r="H2062" s="9" t="s">
        <v>1137</v>
      </c>
      <c r="K2062" s="9">
        <f t="shared" si="486"/>
        <v>878</v>
      </c>
      <c r="L2062" s="9" t="str">
        <f t="shared" si="487"/>
        <v>H</v>
      </c>
      <c r="M2062" s="9" t="str">
        <f t="shared" si="489"/>
        <v>Input!H878</v>
      </c>
      <c r="N2062" s="9">
        <f>_xlfn.XLOOKUP(F2062,'Raw Data'!$I$4:$I$5000,'Raw Data'!$E$4:$E$5000,100,0)</f>
        <v>100</v>
      </c>
      <c r="O2062" s="9" t="str">
        <f>IF(N2062=0,_xlfn.XLOOKUP(F2062,'Raw Data'!$I$4:$I$5000,'Raw Data'!$H$4:$H$5000,"",0),"")</f>
        <v/>
      </c>
      <c r="P2062" s="9" t="str" cm="1">
        <f t="array" aca="1" ref="P2062" ca="1">IF(INDIRECT(M2062) = "","",INDIRECT(M2062))</f>
        <v/>
      </c>
      <c r="Q2062" s="359" t="s">
        <v>4381</v>
      </c>
    </row>
    <row r="2063" spans="1:17" x14ac:dyDescent="0.35">
      <c r="A2063" t="s">
        <v>3683</v>
      </c>
      <c r="E2063" t="str">
        <f>_xlfn.XLOOKUP(F2063,'Raw Data'!$I$4:$I$5000,'Raw Data'!$D$4:$D$5000,"*** Mnemonic not found ***",0)</f>
        <v>*** Mnemonic not found ***</v>
      </c>
      <c r="F2063" t="str">
        <f t="shared" si="490"/>
        <v>SUCMFORCURRIRR18__</v>
      </c>
      <c r="H2063" s="9" t="s">
        <v>1137</v>
      </c>
      <c r="K2063" s="9">
        <f t="shared" si="486"/>
        <v>879</v>
      </c>
      <c r="L2063" s="9" t="str">
        <f t="shared" si="487"/>
        <v>H</v>
      </c>
      <c r="M2063" s="9" t="str">
        <f t="shared" si="489"/>
        <v>Input!H879</v>
      </c>
      <c r="N2063" s="9">
        <f>_xlfn.XLOOKUP(F2063,'Raw Data'!$I$4:$I$5000,'Raw Data'!$E$4:$E$5000,100,0)</f>
        <v>100</v>
      </c>
      <c r="O2063" s="9" t="str">
        <f>IF(N2063=0,_xlfn.XLOOKUP(F2063,'Raw Data'!$I$4:$I$5000,'Raw Data'!$H$4:$H$5000,"",0),"")</f>
        <v/>
      </c>
      <c r="P2063" s="9" t="str" cm="1">
        <f t="array" aca="1" ref="P2063" ca="1">IF(INDIRECT(M2063) = "","",INDIRECT(M2063))</f>
        <v/>
      </c>
      <c r="Q2063" s="359" t="s">
        <v>4381</v>
      </c>
    </row>
    <row r="2064" spans="1:17" x14ac:dyDescent="0.35">
      <c r="A2064" t="s">
        <v>3684</v>
      </c>
      <c r="E2064" t="str">
        <f>_xlfn.XLOOKUP(F2064,'Raw Data'!$I$4:$I$5000,'Raw Data'!$D$4:$D$5000,"*** Mnemonic not found ***",0)</f>
        <v>*** Mnemonic not found ***</v>
      </c>
      <c r="F2064" t="str">
        <f t="shared" si="490"/>
        <v>SUCMFORCURRIRR19__</v>
      </c>
      <c r="H2064" s="9" t="s">
        <v>1137</v>
      </c>
      <c r="K2064" s="9">
        <f t="shared" si="486"/>
        <v>880</v>
      </c>
      <c r="L2064" s="9" t="str">
        <f t="shared" si="487"/>
        <v>H</v>
      </c>
      <c r="M2064" s="9" t="str">
        <f t="shared" si="489"/>
        <v>Input!H880</v>
      </c>
      <c r="N2064" s="9">
        <f>_xlfn.XLOOKUP(F2064,'Raw Data'!$I$4:$I$5000,'Raw Data'!$E$4:$E$5000,100,0)</f>
        <v>100</v>
      </c>
      <c r="O2064" s="9" t="str">
        <f>IF(N2064=0,_xlfn.XLOOKUP(F2064,'Raw Data'!$I$4:$I$5000,'Raw Data'!$H$4:$H$5000,"",0),"")</f>
        <v/>
      </c>
      <c r="P2064" s="9" t="str" cm="1">
        <f t="array" aca="1" ref="P2064" ca="1">IF(INDIRECT(M2064) = "","",INDIRECT(M2064))</f>
        <v/>
      </c>
      <c r="Q2064" s="359" t="s">
        <v>4381</v>
      </c>
    </row>
    <row r="2065" spans="1:17" x14ac:dyDescent="0.35">
      <c r="A2065" t="s">
        <v>3685</v>
      </c>
      <c r="E2065" t="str">
        <f>_xlfn.XLOOKUP(F2065,'Raw Data'!$I$4:$I$5000,'Raw Data'!$D$4:$D$5000,"*** Mnemonic not found ***",0)</f>
        <v>*** Mnemonic not found ***</v>
      </c>
      <c r="F2065" t="str">
        <f t="shared" si="490"/>
        <v>SUCMFORCURRIRR20__</v>
      </c>
      <c r="H2065" s="9" t="s">
        <v>1137</v>
      </c>
      <c r="K2065" s="9">
        <f t="shared" si="486"/>
        <v>881</v>
      </c>
      <c r="L2065" s="9" t="str">
        <f t="shared" si="487"/>
        <v>H</v>
      </c>
      <c r="M2065" s="9" t="str">
        <f t="shared" si="489"/>
        <v>Input!H881</v>
      </c>
      <c r="N2065" s="9">
        <f>_xlfn.XLOOKUP(F2065,'Raw Data'!$I$4:$I$5000,'Raw Data'!$E$4:$E$5000,100,0)</f>
        <v>100</v>
      </c>
      <c r="O2065" s="9" t="str">
        <f>IF(N2065=0,_xlfn.XLOOKUP(F2065,'Raw Data'!$I$4:$I$5000,'Raw Data'!$H$4:$H$5000,"",0),"")</f>
        <v/>
      </c>
      <c r="P2065" s="9" t="str" cm="1">
        <f t="array" aca="1" ref="P2065" ca="1">IF(INDIRECT(M2065) = "","",INDIRECT(M2065))</f>
        <v/>
      </c>
      <c r="Q2065" s="359" t="s">
        <v>4381</v>
      </c>
    </row>
    <row r="2066" spans="1:17" x14ac:dyDescent="0.35">
      <c r="A2066" t="s">
        <v>3686</v>
      </c>
      <c r="E2066" t="str">
        <f>_xlfn.XLOOKUP(F2066,'Raw Data'!$I$4:$I$5000,'Raw Data'!$D$4:$D$5000,"*** Mnemonic not found ***",0)</f>
        <v>*** Mnemonic not found ***</v>
      </c>
      <c r="F2066" t="str">
        <f t="shared" si="490"/>
        <v>SUCMFORCURRIRR21__</v>
      </c>
      <c r="H2066" s="9" t="s">
        <v>1137</v>
      </c>
      <c r="K2066" s="9">
        <f t="shared" si="486"/>
        <v>882</v>
      </c>
      <c r="L2066" s="9" t="str">
        <f t="shared" si="487"/>
        <v>H</v>
      </c>
      <c r="M2066" s="9" t="str">
        <f t="shared" si="489"/>
        <v>Input!H882</v>
      </c>
      <c r="N2066" s="9">
        <f>_xlfn.XLOOKUP(F2066,'Raw Data'!$I$4:$I$5000,'Raw Data'!$E$4:$E$5000,100,0)</f>
        <v>100</v>
      </c>
      <c r="O2066" s="9" t="str">
        <f>IF(N2066=0,_xlfn.XLOOKUP(F2066,'Raw Data'!$I$4:$I$5000,'Raw Data'!$H$4:$H$5000,"",0),"")</f>
        <v/>
      </c>
      <c r="P2066" s="9" t="str" cm="1">
        <f t="array" aca="1" ref="P2066" ca="1">IF(INDIRECT(M2066) = "","",INDIRECT(M2066))</f>
        <v/>
      </c>
      <c r="Q2066" s="359" t="s">
        <v>4381</v>
      </c>
    </row>
    <row r="2067" spans="1:17" x14ac:dyDescent="0.35">
      <c r="A2067" t="s">
        <v>3687</v>
      </c>
      <c r="E2067" t="str">
        <f>_xlfn.XLOOKUP(F2067,'Raw Data'!$I$4:$I$5000,'Raw Data'!$D$4:$D$5000,"*** Mnemonic not found ***",0)</f>
        <v>*** Mnemonic not found ***</v>
      </c>
      <c r="F2067" t="str">
        <f t="shared" si="490"/>
        <v>SUCMFORCURRIRR22__</v>
      </c>
      <c r="H2067" s="9" t="s">
        <v>1137</v>
      </c>
      <c r="K2067" s="9">
        <f t="shared" si="486"/>
        <v>883</v>
      </c>
      <c r="L2067" s="9" t="str">
        <f t="shared" si="487"/>
        <v>H</v>
      </c>
      <c r="M2067" s="9" t="str">
        <f t="shared" si="489"/>
        <v>Input!H883</v>
      </c>
      <c r="N2067" s="9">
        <f>_xlfn.XLOOKUP(F2067,'Raw Data'!$I$4:$I$5000,'Raw Data'!$E$4:$E$5000,100,0)</f>
        <v>100</v>
      </c>
      <c r="O2067" s="9" t="str">
        <f>IF(N2067=0,_xlfn.XLOOKUP(F2067,'Raw Data'!$I$4:$I$5000,'Raw Data'!$H$4:$H$5000,"",0),"")</f>
        <v/>
      </c>
      <c r="P2067" s="9" t="str" cm="1">
        <f t="array" aca="1" ref="P2067" ca="1">IF(INDIRECT(M2067) = "","",INDIRECT(M2067))</f>
        <v/>
      </c>
      <c r="Q2067" s="359" t="s">
        <v>4381</v>
      </c>
    </row>
    <row r="2068" spans="1:17" x14ac:dyDescent="0.35">
      <c r="A2068" t="s">
        <v>3688</v>
      </c>
      <c r="E2068" t="str">
        <f>_xlfn.XLOOKUP(F2068,'Raw Data'!$I$4:$I$5000,'Raw Data'!$D$4:$D$5000,"*** Mnemonic not found ***",0)</f>
        <v>*** Mnemonic not found ***</v>
      </c>
      <c r="F2068" t="str">
        <f t="shared" si="490"/>
        <v>SUCMFORCURRIRR23__</v>
      </c>
      <c r="H2068" s="9" t="s">
        <v>1137</v>
      </c>
      <c r="K2068" s="9">
        <f t="shared" si="486"/>
        <v>884</v>
      </c>
      <c r="L2068" s="9" t="str">
        <f t="shared" si="487"/>
        <v>H</v>
      </c>
      <c r="M2068" s="9" t="str">
        <f t="shared" si="489"/>
        <v>Input!H884</v>
      </c>
      <c r="N2068" s="9">
        <f>_xlfn.XLOOKUP(F2068,'Raw Data'!$I$4:$I$5000,'Raw Data'!$E$4:$E$5000,100,0)</f>
        <v>100</v>
      </c>
      <c r="O2068" s="9" t="str">
        <f>IF(N2068=0,_xlfn.XLOOKUP(F2068,'Raw Data'!$I$4:$I$5000,'Raw Data'!$H$4:$H$5000,"",0),"")</f>
        <v/>
      </c>
      <c r="P2068" s="9" t="str" cm="1">
        <f t="array" aca="1" ref="P2068" ca="1">IF(INDIRECT(M2068) = "","",INDIRECT(M2068))</f>
        <v/>
      </c>
      <c r="Q2068" s="359" t="s">
        <v>4381</v>
      </c>
    </row>
    <row r="2069" spans="1:17" x14ac:dyDescent="0.35">
      <c r="A2069" t="s">
        <v>3689</v>
      </c>
      <c r="E2069" t="str">
        <f>_xlfn.XLOOKUP(F2069,'Raw Data'!$I$4:$I$5000,'Raw Data'!$D$4:$D$5000,"*** Mnemonic not found ***",0)</f>
        <v>*** Mnemonic not found ***</v>
      </c>
      <c r="F2069" t="str">
        <f t="shared" si="490"/>
        <v>SUCMFORCURRIRR24__</v>
      </c>
      <c r="H2069" s="9" t="s">
        <v>1137</v>
      </c>
      <c r="K2069" s="9">
        <f t="shared" si="486"/>
        <v>885</v>
      </c>
      <c r="L2069" s="9" t="str">
        <f t="shared" si="487"/>
        <v>H</v>
      </c>
      <c r="M2069" s="9" t="str">
        <f t="shared" si="489"/>
        <v>Input!H885</v>
      </c>
      <c r="N2069" s="9">
        <f>_xlfn.XLOOKUP(F2069,'Raw Data'!$I$4:$I$5000,'Raw Data'!$E$4:$E$5000,100,0)</f>
        <v>100</v>
      </c>
      <c r="O2069" s="9" t="str">
        <f>IF(N2069=0,_xlfn.XLOOKUP(F2069,'Raw Data'!$I$4:$I$5000,'Raw Data'!$H$4:$H$5000,"",0),"")</f>
        <v/>
      </c>
      <c r="P2069" s="9" t="str" cm="1">
        <f t="array" aca="1" ref="P2069" ca="1">IF(INDIRECT(M2069) = "","",INDIRECT(M2069))</f>
        <v/>
      </c>
      <c r="Q2069" s="359" t="s">
        <v>4381</v>
      </c>
    </row>
    <row r="2070" spans="1:17" x14ac:dyDescent="0.35">
      <c r="A2070" t="s">
        <v>3690</v>
      </c>
      <c r="E2070" t="str">
        <f>_xlfn.XLOOKUP(F2070,'Raw Data'!$I$4:$I$5000,'Raw Data'!$D$4:$D$5000,"*** Mnemonic not found ***",0)</f>
        <v>*** Mnemonic not found ***</v>
      </c>
      <c r="F2070" t="str">
        <f t="shared" si="490"/>
        <v>SUCMFORCURRIRR25__</v>
      </c>
      <c r="H2070" s="9" t="s">
        <v>1137</v>
      </c>
      <c r="K2070" s="9">
        <f t="shared" si="486"/>
        <v>886</v>
      </c>
      <c r="L2070" s="9" t="str">
        <f t="shared" si="487"/>
        <v>H</v>
      </c>
      <c r="M2070" s="9" t="str">
        <f t="shared" si="489"/>
        <v>Input!H886</v>
      </c>
      <c r="N2070" s="9">
        <f>_xlfn.XLOOKUP(F2070,'Raw Data'!$I$4:$I$5000,'Raw Data'!$E$4:$E$5000,100,0)</f>
        <v>100</v>
      </c>
      <c r="O2070" s="9" t="str">
        <f>IF(N2070=0,_xlfn.XLOOKUP(F2070,'Raw Data'!$I$4:$I$5000,'Raw Data'!$H$4:$H$5000,"",0),"")</f>
        <v/>
      </c>
      <c r="P2070" s="9" t="str" cm="1">
        <f t="array" aca="1" ref="P2070" ca="1">IF(INDIRECT(M2070) = "","",INDIRECT(M2070))</f>
        <v/>
      </c>
      <c r="Q2070" s="359" t="s">
        <v>4381</v>
      </c>
    </row>
    <row r="2071" spans="1:17" x14ac:dyDescent="0.35">
      <c r="A2071" t="s">
        <v>3691</v>
      </c>
      <c r="E2071" t="str">
        <f>_xlfn.XLOOKUP(F2071,'Raw Data'!$I$4:$I$5000,'Raw Data'!$D$4:$D$5000,"*** Mnemonic not found ***",0)</f>
        <v>*** Mnemonic not found ***</v>
      </c>
      <c r="F2071" t="str">
        <f t="shared" si="490"/>
        <v>SUCMFORCURRIRR26__</v>
      </c>
      <c r="H2071" s="9" t="s">
        <v>1137</v>
      </c>
      <c r="K2071" s="9">
        <f t="shared" si="486"/>
        <v>887</v>
      </c>
      <c r="L2071" s="9" t="str">
        <f t="shared" si="487"/>
        <v>H</v>
      </c>
      <c r="M2071" s="9" t="str">
        <f t="shared" si="489"/>
        <v>Input!H887</v>
      </c>
      <c r="N2071" s="9">
        <f>_xlfn.XLOOKUP(F2071,'Raw Data'!$I$4:$I$5000,'Raw Data'!$E$4:$E$5000,100,0)</f>
        <v>100</v>
      </c>
      <c r="O2071" s="9" t="str">
        <f>IF(N2071=0,_xlfn.XLOOKUP(F2071,'Raw Data'!$I$4:$I$5000,'Raw Data'!$H$4:$H$5000,"",0),"")</f>
        <v/>
      </c>
      <c r="P2071" s="9" t="str" cm="1">
        <f t="array" aca="1" ref="P2071" ca="1">IF(INDIRECT(M2071) = "","",INDIRECT(M2071))</f>
        <v/>
      </c>
      <c r="Q2071" s="359" t="s">
        <v>4381</v>
      </c>
    </row>
    <row r="2072" spans="1:17" x14ac:dyDescent="0.35">
      <c r="A2072" t="s">
        <v>3692</v>
      </c>
      <c r="E2072" t="str">
        <f>_xlfn.XLOOKUP(F2072,'Raw Data'!$I$4:$I$5000,'Raw Data'!$D$4:$D$5000,"*** Mnemonic not found ***",0)</f>
        <v>*** Mnemonic not found ***</v>
      </c>
      <c r="F2072" t="str">
        <f t="shared" si="490"/>
        <v>SUCMFORCURRIRR27__</v>
      </c>
      <c r="H2072" s="9" t="s">
        <v>1137</v>
      </c>
      <c r="K2072" s="9">
        <f t="shared" si="486"/>
        <v>888</v>
      </c>
      <c r="L2072" s="9" t="str">
        <f t="shared" si="487"/>
        <v>H</v>
      </c>
      <c r="M2072" s="9" t="str">
        <f t="shared" si="489"/>
        <v>Input!H888</v>
      </c>
      <c r="N2072" s="9">
        <f>_xlfn.XLOOKUP(F2072,'Raw Data'!$I$4:$I$5000,'Raw Data'!$E$4:$E$5000,100,0)</f>
        <v>100</v>
      </c>
      <c r="O2072" s="9" t="str">
        <f>IF(N2072=0,_xlfn.XLOOKUP(F2072,'Raw Data'!$I$4:$I$5000,'Raw Data'!$H$4:$H$5000,"",0),"")</f>
        <v/>
      </c>
      <c r="P2072" s="9" t="str" cm="1">
        <f t="array" aca="1" ref="P2072" ca="1">IF(INDIRECT(M2072) = "","",INDIRECT(M2072))</f>
        <v/>
      </c>
      <c r="Q2072" s="359" t="s">
        <v>4381</v>
      </c>
    </row>
    <row r="2073" spans="1:17" x14ac:dyDescent="0.35">
      <c r="A2073" t="s">
        <v>3693</v>
      </c>
      <c r="E2073" t="str">
        <f>_xlfn.XLOOKUP(F2073,'Raw Data'!$I$4:$I$5000,'Raw Data'!$D$4:$D$5000,"*** Mnemonic not found ***",0)</f>
        <v>*** Mnemonic not found ***</v>
      </c>
      <c r="F2073" t="str">
        <f t="shared" si="490"/>
        <v>SUCMFORCURRIRR28__</v>
      </c>
      <c r="H2073" s="9" t="s">
        <v>1137</v>
      </c>
      <c r="K2073" s="9">
        <f t="shared" si="486"/>
        <v>889</v>
      </c>
      <c r="L2073" s="9" t="str">
        <f t="shared" si="487"/>
        <v>H</v>
      </c>
      <c r="M2073" s="9" t="str">
        <f t="shared" si="489"/>
        <v>Input!H889</v>
      </c>
      <c r="N2073" s="9">
        <f>_xlfn.XLOOKUP(F2073,'Raw Data'!$I$4:$I$5000,'Raw Data'!$E$4:$E$5000,100,0)</f>
        <v>100</v>
      </c>
      <c r="O2073" s="9" t="str">
        <f>IF(N2073=0,_xlfn.XLOOKUP(F2073,'Raw Data'!$I$4:$I$5000,'Raw Data'!$H$4:$H$5000,"",0),"")</f>
        <v/>
      </c>
      <c r="P2073" s="9" t="str" cm="1">
        <f t="array" aca="1" ref="P2073" ca="1">IF(INDIRECT(M2073) = "","",INDIRECT(M2073))</f>
        <v/>
      </c>
      <c r="Q2073" s="359" t="s">
        <v>4381</v>
      </c>
    </row>
    <row r="2074" spans="1:17" x14ac:dyDescent="0.35">
      <c r="A2074" t="s">
        <v>3694</v>
      </c>
      <c r="E2074" t="str">
        <f>_xlfn.XLOOKUP(F2074,'Raw Data'!$I$4:$I$5000,'Raw Data'!$D$4:$D$5000,"*** Mnemonic not found ***",0)</f>
        <v>*** Mnemonic not found ***</v>
      </c>
      <c r="F2074" t="str">
        <f t="shared" si="490"/>
        <v>SUCMFORCURRIRR29__</v>
      </c>
      <c r="H2074" s="9" t="s">
        <v>1137</v>
      </c>
      <c r="K2074" s="9">
        <f t="shared" si="486"/>
        <v>890</v>
      </c>
      <c r="L2074" s="9" t="str">
        <f t="shared" si="487"/>
        <v>H</v>
      </c>
      <c r="M2074" s="9" t="str">
        <f t="shared" si="489"/>
        <v>Input!H890</v>
      </c>
      <c r="N2074" s="9">
        <f>_xlfn.XLOOKUP(F2074,'Raw Data'!$I$4:$I$5000,'Raw Data'!$E$4:$E$5000,100,0)</f>
        <v>100</v>
      </c>
      <c r="O2074" s="9" t="str">
        <f>IF(N2074=0,_xlfn.XLOOKUP(F2074,'Raw Data'!$I$4:$I$5000,'Raw Data'!$H$4:$H$5000,"",0),"")</f>
        <v/>
      </c>
      <c r="P2074" s="9" t="str" cm="1">
        <f t="array" aca="1" ref="P2074" ca="1">IF(INDIRECT(M2074) = "","",INDIRECT(M2074))</f>
        <v/>
      </c>
      <c r="Q2074" s="359" t="s">
        <v>4381</v>
      </c>
    </row>
    <row r="2075" spans="1:17" x14ac:dyDescent="0.35">
      <c r="A2075" t="s">
        <v>3695</v>
      </c>
      <c r="E2075" t="str">
        <f>_xlfn.XLOOKUP(F2075,'Raw Data'!$I$4:$I$5000,'Raw Data'!$D$4:$D$5000,"*** Mnemonic not found ***",0)</f>
        <v>*** Mnemonic not found ***</v>
      </c>
      <c r="F2075" t="str">
        <f t="shared" si="490"/>
        <v>SUCMFORCURRIRR30__</v>
      </c>
      <c r="H2075" s="9" t="s">
        <v>1137</v>
      </c>
      <c r="K2075" s="9">
        <f t="shared" si="486"/>
        <v>891</v>
      </c>
      <c r="L2075" s="9" t="str">
        <f t="shared" si="487"/>
        <v>H</v>
      </c>
      <c r="M2075" s="9" t="str">
        <f t="shared" si="489"/>
        <v>Input!H891</v>
      </c>
      <c r="N2075" s="9">
        <f>_xlfn.XLOOKUP(F2075,'Raw Data'!$I$4:$I$5000,'Raw Data'!$E$4:$E$5000,100,0)</f>
        <v>100</v>
      </c>
      <c r="O2075" s="9" t="str">
        <f>IF(N2075=0,_xlfn.XLOOKUP(F2075,'Raw Data'!$I$4:$I$5000,'Raw Data'!$H$4:$H$5000,"",0),"")</f>
        <v/>
      </c>
      <c r="P2075" s="9" t="str" cm="1">
        <f t="array" aca="1" ref="P2075" ca="1">IF(INDIRECT(M2075) = "","",INDIRECT(M2075))</f>
        <v/>
      </c>
      <c r="Q2075" s="359" t="s">
        <v>4381</v>
      </c>
    </row>
    <row r="2076" spans="1:17" x14ac:dyDescent="0.35">
      <c r="A2076" t="s">
        <v>3696</v>
      </c>
      <c r="E2076" t="str">
        <f>_xlfn.XLOOKUP(F2076,'Raw Data'!$I$4:$I$5000,'Raw Data'!$D$4:$D$5000,"*** Mnemonic not found ***",0)</f>
        <v>*** Mnemonic not found ***</v>
      </c>
      <c r="F2076" t="str">
        <f t="shared" si="490"/>
        <v>SUCMFORCURRIRR31__</v>
      </c>
      <c r="H2076" s="9" t="s">
        <v>1137</v>
      </c>
      <c r="K2076" s="9">
        <f t="shared" si="486"/>
        <v>892</v>
      </c>
      <c r="L2076" s="9" t="str">
        <f t="shared" si="487"/>
        <v>H</v>
      </c>
      <c r="M2076" s="9" t="str">
        <f t="shared" si="489"/>
        <v>Input!H892</v>
      </c>
      <c r="N2076" s="9">
        <f>_xlfn.XLOOKUP(F2076,'Raw Data'!$I$4:$I$5000,'Raw Data'!$E$4:$E$5000,100,0)</f>
        <v>100</v>
      </c>
      <c r="O2076" s="9" t="str">
        <f>IF(N2076=0,_xlfn.XLOOKUP(F2076,'Raw Data'!$I$4:$I$5000,'Raw Data'!$H$4:$H$5000,"",0),"")</f>
        <v/>
      </c>
      <c r="P2076" s="9" t="str" cm="1">
        <f t="array" aca="1" ref="P2076" ca="1">IF(INDIRECT(M2076) = "","",INDIRECT(M2076))</f>
        <v/>
      </c>
      <c r="Q2076" s="359" t="s">
        <v>4381</v>
      </c>
    </row>
    <row r="2077" spans="1:17" x14ac:dyDescent="0.35">
      <c r="A2077" t="s">
        <v>3697</v>
      </c>
      <c r="E2077" t="str">
        <f>_xlfn.XLOOKUP(F2077,'Raw Data'!$I$4:$I$5000,'Raw Data'!$D$4:$D$5000,"*** Mnemonic not found ***",0)</f>
        <v>*** Mnemonic not found ***</v>
      </c>
      <c r="F2077" t="str">
        <f t="shared" si="490"/>
        <v>SUCMFORCURRIRR32__</v>
      </c>
      <c r="H2077" s="9" t="s">
        <v>1137</v>
      </c>
      <c r="K2077" s="9">
        <f t="shared" si="486"/>
        <v>893</v>
      </c>
      <c r="L2077" s="9" t="str">
        <f t="shared" si="487"/>
        <v>H</v>
      </c>
      <c r="M2077" s="9" t="str">
        <f t="shared" si="489"/>
        <v>Input!H893</v>
      </c>
      <c r="N2077" s="9">
        <f>_xlfn.XLOOKUP(F2077,'Raw Data'!$I$4:$I$5000,'Raw Data'!$E$4:$E$5000,100,0)</f>
        <v>100</v>
      </c>
      <c r="O2077" s="9" t="str">
        <f>IF(N2077=0,_xlfn.XLOOKUP(F2077,'Raw Data'!$I$4:$I$5000,'Raw Data'!$H$4:$H$5000,"",0),"")</f>
        <v/>
      </c>
      <c r="P2077" s="9" t="str" cm="1">
        <f t="array" aca="1" ref="P2077" ca="1">IF(INDIRECT(M2077) = "","",INDIRECT(M2077))</f>
        <v/>
      </c>
      <c r="Q2077" s="359" t="s">
        <v>4381</v>
      </c>
    </row>
    <row r="2078" spans="1:17" x14ac:dyDescent="0.35">
      <c r="A2078" t="s">
        <v>3698</v>
      </c>
      <c r="E2078" t="str">
        <f>_xlfn.XLOOKUP(F2078,'Raw Data'!$I$4:$I$5000,'Raw Data'!$D$4:$D$5000,"*** Mnemonic not found ***",0)</f>
        <v>*** Mnemonic not found ***</v>
      </c>
      <c r="F2078" t="str">
        <f t="shared" si="490"/>
        <v>SUCMFORCURRIRR33__</v>
      </c>
      <c r="H2078" s="9" t="s">
        <v>1137</v>
      </c>
      <c r="K2078" s="9">
        <f t="shared" si="486"/>
        <v>894</v>
      </c>
      <c r="L2078" s="9" t="str">
        <f t="shared" si="487"/>
        <v>H</v>
      </c>
      <c r="M2078" s="9" t="str">
        <f t="shared" si="489"/>
        <v>Input!H894</v>
      </c>
      <c r="N2078" s="9">
        <f>_xlfn.XLOOKUP(F2078,'Raw Data'!$I$4:$I$5000,'Raw Data'!$E$4:$E$5000,100,0)</f>
        <v>100</v>
      </c>
      <c r="O2078" s="9" t="str">
        <f>IF(N2078=0,_xlfn.XLOOKUP(F2078,'Raw Data'!$I$4:$I$5000,'Raw Data'!$H$4:$H$5000,"",0),"")</f>
        <v/>
      </c>
      <c r="P2078" s="9" t="str" cm="1">
        <f t="array" aca="1" ref="P2078" ca="1">IF(INDIRECT(M2078) = "","",INDIRECT(M2078))</f>
        <v/>
      </c>
      <c r="Q2078" s="359" t="s">
        <v>4381</v>
      </c>
    </row>
    <row r="2079" spans="1:17" x14ac:dyDescent="0.35">
      <c r="A2079" t="s">
        <v>3699</v>
      </c>
      <c r="E2079" t="str">
        <f>_xlfn.XLOOKUP(F2079,'Raw Data'!$I$4:$I$5000,'Raw Data'!$D$4:$D$5000,"*** Mnemonic not found ***",0)</f>
        <v>*** Mnemonic not found ***</v>
      </c>
      <c r="F2079" t="str">
        <f t="shared" si="490"/>
        <v>SUCMFORCURRIRR34__</v>
      </c>
      <c r="H2079" s="9" t="s">
        <v>1137</v>
      </c>
      <c r="K2079" s="9">
        <f t="shared" si="486"/>
        <v>895</v>
      </c>
      <c r="L2079" s="9" t="str">
        <f t="shared" si="487"/>
        <v>H</v>
      </c>
      <c r="M2079" s="9" t="str">
        <f t="shared" si="489"/>
        <v>Input!H895</v>
      </c>
      <c r="N2079" s="9">
        <f>_xlfn.XLOOKUP(F2079,'Raw Data'!$I$4:$I$5000,'Raw Data'!$E$4:$E$5000,100,0)</f>
        <v>100</v>
      </c>
      <c r="O2079" s="9" t="str">
        <f>IF(N2079=0,_xlfn.XLOOKUP(F2079,'Raw Data'!$I$4:$I$5000,'Raw Data'!$H$4:$H$5000,"",0),"")</f>
        <v/>
      </c>
      <c r="P2079" s="9" t="str" cm="1">
        <f t="array" aca="1" ref="P2079" ca="1">IF(INDIRECT(M2079) = "","",INDIRECT(M2079))</f>
        <v/>
      </c>
      <c r="Q2079" s="359" t="s">
        <v>4381</v>
      </c>
    </row>
    <row r="2080" spans="1:17" x14ac:dyDescent="0.35">
      <c r="A2080" t="s">
        <v>3700</v>
      </c>
      <c r="E2080" t="str">
        <f>_xlfn.XLOOKUP(F2080,'Raw Data'!$I$4:$I$5000,'Raw Data'!$D$4:$D$5000,"*** Mnemonic not found ***",0)</f>
        <v>*** Mnemonic not found ***</v>
      </c>
      <c r="F2080" t="str">
        <f t="shared" si="490"/>
        <v>SUCMFORCURRIRR35__</v>
      </c>
      <c r="H2080" s="9" t="s">
        <v>1137</v>
      </c>
      <c r="K2080" s="9">
        <f t="shared" si="486"/>
        <v>896</v>
      </c>
      <c r="L2080" s="9" t="str">
        <f t="shared" si="487"/>
        <v>H</v>
      </c>
      <c r="M2080" s="9" t="str">
        <f t="shared" si="489"/>
        <v>Input!H896</v>
      </c>
      <c r="N2080" s="9">
        <f>_xlfn.XLOOKUP(F2080,'Raw Data'!$I$4:$I$5000,'Raw Data'!$E$4:$E$5000,100,0)</f>
        <v>100</v>
      </c>
      <c r="O2080" s="9" t="str">
        <f>IF(N2080=0,_xlfn.XLOOKUP(F2080,'Raw Data'!$I$4:$I$5000,'Raw Data'!$H$4:$H$5000,"",0),"")</f>
        <v/>
      </c>
      <c r="P2080" s="9" t="str" cm="1">
        <f t="array" aca="1" ref="P2080" ca="1">IF(INDIRECT(M2080) = "","",INDIRECT(M2080))</f>
        <v/>
      </c>
      <c r="Q2080" s="359" t="s">
        <v>4381</v>
      </c>
    </row>
    <row r="2081" spans="1:17" x14ac:dyDescent="0.35">
      <c r="A2081" t="s">
        <v>3701</v>
      </c>
      <c r="E2081" t="str">
        <f>_xlfn.XLOOKUP(F2081,'Raw Data'!$I$4:$I$5000,'Raw Data'!$D$4:$D$5000,"*** Mnemonic not found ***",0)</f>
        <v>*** Mnemonic not found ***</v>
      </c>
      <c r="F2081" t="str">
        <f t="shared" si="490"/>
        <v>SUCMFORCURRDURMIS1__</v>
      </c>
      <c r="H2081" s="9" t="s">
        <v>1137</v>
      </c>
      <c r="K2081" s="9">
        <f>K2046</f>
        <v>862</v>
      </c>
      <c r="L2081" s="9" t="s">
        <v>1375</v>
      </c>
      <c r="M2081" s="9" t="str">
        <f t="shared" si="489"/>
        <v>Input!I862</v>
      </c>
      <c r="N2081" s="9">
        <f>_xlfn.XLOOKUP(F2081,'Raw Data'!$I$4:$I$5000,'Raw Data'!$E$4:$E$5000,100,0)</f>
        <v>100</v>
      </c>
      <c r="O2081" s="9" t="str">
        <f>IF(N2081=0,_xlfn.XLOOKUP(F2081,'Raw Data'!$I$4:$I$5000,'Raw Data'!$H$4:$H$5000,"",0),"")</f>
        <v/>
      </c>
      <c r="P2081" s="9" t="str" cm="1">
        <f t="array" aca="1" ref="P2081" ca="1">IF(INDIRECT(M2081) = "","",INDIRECT(M2081))</f>
        <v/>
      </c>
      <c r="Q2081" s="359" t="s">
        <v>4380</v>
      </c>
    </row>
    <row r="2082" spans="1:17" x14ac:dyDescent="0.35">
      <c r="A2082" t="s">
        <v>3702</v>
      </c>
      <c r="E2082" t="str">
        <f>_xlfn.XLOOKUP(F2082,'Raw Data'!$I$4:$I$5000,'Raw Data'!$D$4:$D$5000,"*** Mnemonic not found ***",0)</f>
        <v>*** Mnemonic not found ***</v>
      </c>
      <c r="F2082" t="str">
        <f t="shared" si="490"/>
        <v>SUCMFORCURRDURMIS2__</v>
      </c>
      <c r="H2082" s="9" t="s">
        <v>1137</v>
      </c>
      <c r="K2082" s="9">
        <f t="shared" si="486"/>
        <v>863</v>
      </c>
      <c r="L2082" s="9" t="str">
        <f t="shared" si="487"/>
        <v>I</v>
      </c>
      <c r="M2082" s="9" t="str">
        <f t="shared" si="489"/>
        <v>Input!I863</v>
      </c>
      <c r="N2082" s="9">
        <f>_xlfn.XLOOKUP(F2082,'Raw Data'!$I$4:$I$5000,'Raw Data'!$E$4:$E$5000,100,0)</f>
        <v>100</v>
      </c>
      <c r="O2082" s="9" t="str">
        <f>IF(N2082=0,_xlfn.XLOOKUP(F2082,'Raw Data'!$I$4:$I$5000,'Raw Data'!$H$4:$H$5000,"",0),"")</f>
        <v/>
      </c>
      <c r="P2082" s="9" t="str" cm="1">
        <f t="array" aca="1" ref="P2082" ca="1">IF(INDIRECT(M2082) = "","",INDIRECT(M2082))</f>
        <v/>
      </c>
      <c r="Q2082" s="359" t="s">
        <v>4380</v>
      </c>
    </row>
    <row r="2083" spans="1:17" x14ac:dyDescent="0.35">
      <c r="A2083" t="s">
        <v>3703</v>
      </c>
      <c r="E2083" t="str">
        <f>_xlfn.XLOOKUP(F2083,'Raw Data'!$I$4:$I$5000,'Raw Data'!$D$4:$D$5000,"*** Mnemonic not found ***",0)</f>
        <v>*** Mnemonic not found ***</v>
      </c>
      <c r="F2083" t="str">
        <f t="shared" si="490"/>
        <v>SUCMFORCURRDURMIS3__</v>
      </c>
      <c r="H2083" s="9" t="s">
        <v>1137</v>
      </c>
      <c r="K2083" s="9">
        <f t="shared" si="486"/>
        <v>864</v>
      </c>
      <c r="L2083" s="9" t="str">
        <f t="shared" si="487"/>
        <v>I</v>
      </c>
      <c r="M2083" s="9" t="str">
        <f t="shared" si="489"/>
        <v>Input!I864</v>
      </c>
      <c r="N2083" s="9">
        <f>_xlfn.XLOOKUP(F2083,'Raw Data'!$I$4:$I$5000,'Raw Data'!$E$4:$E$5000,100,0)</f>
        <v>100</v>
      </c>
      <c r="O2083" s="9" t="str">
        <f>IF(N2083=0,_xlfn.XLOOKUP(F2083,'Raw Data'!$I$4:$I$5000,'Raw Data'!$H$4:$H$5000,"",0),"")</f>
        <v/>
      </c>
      <c r="P2083" s="9" t="str" cm="1">
        <f t="array" aca="1" ref="P2083" ca="1">IF(INDIRECT(M2083) = "","",INDIRECT(M2083))</f>
        <v/>
      </c>
      <c r="Q2083" s="359" t="s">
        <v>4380</v>
      </c>
    </row>
    <row r="2084" spans="1:17" x14ac:dyDescent="0.35">
      <c r="A2084" t="s">
        <v>3704</v>
      </c>
      <c r="E2084" t="str">
        <f>_xlfn.XLOOKUP(F2084,'Raw Data'!$I$4:$I$5000,'Raw Data'!$D$4:$D$5000,"*** Mnemonic not found ***",0)</f>
        <v>*** Mnemonic not found ***</v>
      </c>
      <c r="F2084" t="str">
        <f t="shared" si="490"/>
        <v>SUCMFORCURRDURMIS4__</v>
      </c>
      <c r="H2084" s="9" t="s">
        <v>1137</v>
      </c>
      <c r="K2084" s="9">
        <f t="shared" si="486"/>
        <v>865</v>
      </c>
      <c r="L2084" s="9" t="str">
        <f t="shared" si="487"/>
        <v>I</v>
      </c>
      <c r="M2084" s="9" t="str">
        <f t="shared" si="489"/>
        <v>Input!I865</v>
      </c>
      <c r="N2084" s="9">
        <f>_xlfn.XLOOKUP(F2084,'Raw Data'!$I$4:$I$5000,'Raw Data'!$E$4:$E$5000,100,0)</f>
        <v>100</v>
      </c>
      <c r="O2084" s="9" t="str">
        <f>IF(N2084=0,_xlfn.XLOOKUP(F2084,'Raw Data'!$I$4:$I$5000,'Raw Data'!$H$4:$H$5000,"",0),"")</f>
        <v/>
      </c>
      <c r="P2084" s="9" t="str" cm="1">
        <f t="array" aca="1" ref="P2084" ca="1">IF(INDIRECT(M2084) = "","",INDIRECT(M2084))</f>
        <v/>
      </c>
      <c r="Q2084" s="359" t="s">
        <v>4380</v>
      </c>
    </row>
    <row r="2085" spans="1:17" x14ac:dyDescent="0.35">
      <c r="A2085" t="s">
        <v>3705</v>
      </c>
      <c r="E2085" t="str">
        <f>_xlfn.XLOOKUP(F2085,'Raw Data'!$I$4:$I$5000,'Raw Data'!$D$4:$D$5000,"*** Mnemonic not found ***",0)</f>
        <v>*** Mnemonic not found ***</v>
      </c>
      <c r="F2085" t="str">
        <f t="shared" si="490"/>
        <v>SUCMFORCURRDURMIS5__</v>
      </c>
      <c r="H2085" s="9" t="s">
        <v>1137</v>
      </c>
      <c r="K2085" s="9">
        <f t="shared" si="486"/>
        <v>866</v>
      </c>
      <c r="L2085" s="9" t="str">
        <f t="shared" si="487"/>
        <v>I</v>
      </c>
      <c r="M2085" s="9" t="str">
        <f t="shared" si="489"/>
        <v>Input!I866</v>
      </c>
      <c r="N2085" s="9">
        <f>_xlfn.XLOOKUP(F2085,'Raw Data'!$I$4:$I$5000,'Raw Data'!$E$4:$E$5000,100,0)</f>
        <v>100</v>
      </c>
      <c r="O2085" s="9" t="str">
        <f>IF(N2085=0,_xlfn.XLOOKUP(F2085,'Raw Data'!$I$4:$I$5000,'Raw Data'!$H$4:$H$5000,"",0),"")</f>
        <v/>
      </c>
      <c r="P2085" s="9" t="str" cm="1">
        <f t="array" aca="1" ref="P2085" ca="1">IF(INDIRECT(M2085) = "","",INDIRECT(M2085))</f>
        <v/>
      </c>
      <c r="Q2085" s="359" t="s">
        <v>4380</v>
      </c>
    </row>
    <row r="2086" spans="1:17" x14ac:dyDescent="0.35">
      <c r="A2086" t="s">
        <v>3706</v>
      </c>
      <c r="E2086" t="str">
        <f>_xlfn.XLOOKUP(F2086,'Raw Data'!$I$4:$I$5000,'Raw Data'!$D$4:$D$5000,"*** Mnemonic not found ***",0)</f>
        <v>*** Mnemonic not found ***</v>
      </c>
      <c r="F2086" t="str">
        <f t="shared" si="490"/>
        <v>SUCMFORCURRDURMIS6__</v>
      </c>
      <c r="H2086" s="9" t="s">
        <v>1137</v>
      </c>
      <c r="K2086" s="9">
        <f t="shared" si="486"/>
        <v>867</v>
      </c>
      <c r="L2086" s="9" t="str">
        <f t="shared" si="487"/>
        <v>I</v>
      </c>
      <c r="M2086" s="9" t="str">
        <f t="shared" si="489"/>
        <v>Input!I867</v>
      </c>
      <c r="N2086" s="9">
        <f>_xlfn.XLOOKUP(F2086,'Raw Data'!$I$4:$I$5000,'Raw Data'!$E$4:$E$5000,100,0)</f>
        <v>100</v>
      </c>
      <c r="O2086" s="9" t="str">
        <f>IF(N2086=0,_xlfn.XLOOKUP(F2086,'Raw Data'!$I$4:$I$5000,'Raw Data'!$H$4:$H$5000,"",0),"")</f>
        <v/>
      </c>
      <c r="P2086" s="9" t="str" cm="1">
        <f t="array" aca="1" ref="P2086" ca="1">IF(INDIRECT(M2086) = "","",INDIRECT(M2086))</f>
        <v/>
      </c>
      <c r="Q2086" s="359" t="s">
        <v>4380</v>
      </c>
    </row>
    <row r="2087" spans="1:17" x14ac:dyDescent="0.35">
      <c r="A2087" t="s">
        <v>3707</v>
      </c>
      <c r="E2087" t="str">
        <f>_xlfn.XLOOKUP(F2087,'Raw Data'!$I$4:$I$5000,'Raw Data'!$D$4:$D$5000,"*** Mnemonic not found ***",0)</f>
        <v>*** Mnemonic not found ***</v>
      </c>
      <c r="F2087" t="str">
        <f t="shared" si="490"/>
        <v>SUCMFORCURRDURMIS7__</v>
      </c>
      <c r="H2087" s="9" t="s">
        <v>1137</v>
      </c>
      <c r="K2087" s="9">
        <f t="shared" si="486"/>
        <v>868</v>
      </c>
      <c r="L2087" s="9" t="str">
        <f t="shared" si="487"/>
        <v>I</v>
      </c>
      <c r="M2087" s="9" t="str">
        <f t="shared" si="489"/>
        <v>Input!I868</v>
      </c>
      <c r="N2087" s="9">
        <f>_xlfn.XLOOKUP(F2087,'Raw Data'!$I$4:$I$5000,'Raw Data'!$E$4:$E$5000,100,0)</f>
        <v>100</v>
      </c>
      <c r="O2087" s="9" t="str">
        <f>IF(N2087=0,_xlfn.XLOOKUP(F2087,'Raw Data'!$I$4:$I$5000,'Raw Data'!$H$4:$H$5000,"",0),"")</f>
        <v/>
      </c>
      <c r="P2087" s="9" t="str" cm="1">
        <f t="array" aca="1" ref="P2087" ca="1">IF(INDIRECT(M2087) = "","",INDIRECT(M2087))</f>
        <v/>
      </c>
      <c r="Q2087" s="359" t="s">
        <v>4380</v>
      </c>
    </row>
    <row r="2088" spans="1:17" x14ac:dyDescent="0.35">
      <c r="A2088" t="s">
        <v>3708</v>
      </c>
      <c r="E2088" t="str">
        <f>_xlfn.XLOOKUP(F2088,'Raw Data'!$I$4:$I$5000,'Raw Data'!$D$4:$D$5000,"*** Mnemonic not found ***",0)</f>
        <v>*** Mnemonic not found ***</v>
      </c>
      <c r="F2088" t="str">
        <f t="shared" si="490"/>
        <v>SUCMFORCURRDURMIS8__</v>
      </c>
      <c r="H2088" s="9" t="s">
        <v>1137</v>
      </c>
      <c r="K2088" s="9">
        <f t="shared" si="486"/>
        <v>869</v>
      </c>
      <c r="L2088" s="9" t="str">
        <f t="shared" si="487"/>
        <v>I</v>
      </c>
      <c r="M2088" s="9" t="str">
        <f t="shared" si="489"/>
        <v>Input!I869</v>
      </c>
      <c r="N2088" s="9">
        <f>_xlfn.XLOOKUP(F2088,'Raw Data'!$I$4:$I$5000,'Raw Data'!$E$4:$E$5000,100,0)</f>
        <v>100</v>
      </c>
      <c r="O2088" s="9" t="str">
        <f>IF(N2088=0,_xlfn.XLOOKUP(F2088,'Raw Data'!$I$4:$I$5000,'Raw Data'!$H$4:$H$5000,"",0),"")</f>
        <v/>
      </c>
      <c r="P2088" s="9" t="str" cm="1">
        <f t="array" aca="1" ref="P2088" ca="1">IF(INDIRECT(M2088) = "","",INDIRECT(M2088))</f>
        <v/>
      </c>
      <c r="Q2088" s="359" t="s">
        <v>4380</v>
      </c>
    </row>
    <row r="2089" spans="1:17" x14ac:dyDescent="0.35">
      <c r="A2089" t="s">
        <v>3709</v>
      </c>
      <c r="E2089" t="str">
        <f>_xlfn.XLOOKUP(F2089,'Raw Data'!$I$4:$I$5000,'Raw Data'!$D$4:$D$5000,"*** Mnemonic not found ***",0)</f>
        <v>*** Mnemonic not found ***</v>
      </c>
      <c r="F2089" t="str">
        <f t="shared" si="490"/>
        <v>SUCMFORCURRDURMIS9__</v>
      </c>
      <c r="H2089" s="9" t="s">
        <v>1137</v>
      </c>
      <c r="K2089" s="9">
        <f t="shared" si="486"/>
        <v>870</v>
      </c>
      <c r="L2089" s="9" t="str">
        <f t="shared" si="487"/>
        <v>I</v>
      </c>
      <c r="M2089" s="9" t="str">
        <f t="shared" si="489"/>
        <v>Input!I870</v>
      </c>
      <c r="N2089" s="9">
        <f>_xlfn.XLOOKUP(F2089,'Raw Data'!$I$4:$I$5000,'Raw Data'!$E$4:$E$5000,100,0)</f>
        <v>100</v>
      </c>
      <c r="O2089" s="9" t="str">
        <f>IF(N2089=0,_xlfn.XLOOKUP(F2089,'Raw Data'!$I$4:$I$5000,'Raw Data'!$H$4:$H$5000,"",0),"")</f>
        <v/>
      </c>
      <c r="P2089" s="9" t="str" cm="1">
        <f t="array" aca="1" ref="P2089" ca="1">IF(INDIRECT(M2089) = "","",INDIRECT(M2089))</f>
        <v/>
      </c>
      <c r="Q2089" s="359" t="s">
        <v>4380</v>
      </c>
    </row>
    <row r="2090" spans="1:17" x14ac:dyDescent="0.35">
      <c r="A2090" t="s">
        <v>3710</v>
      </c>
      <c r="E2090" t="str">
        <f>_xlfn.XLOOKUP(F2090,'Raw Data'!$I$4:$I$5000,'Raw Data'!$D$4:$D$5000,"*** Mnemonic not found ***",0)</f>
        <v>*** Mnemonic not found ***</v>
      </c>
      <c r="F2090" t="str">
        <f t="shared" si="490"/>
        <v>SUCMFORCURRDURMIS10__</v>
      </c>
      <c r="H2090" s="9" t="s">
        <v>1137</v>
      </c>
      <c r="K2090" s="9">
        <f t="shared" si="486"/>
        <v>871</v>
      </c>
      <c r="L2090" s="9" t="str">
        <f t="shared" si="487"/>
        <v>I</v>
      </c>
      <c r="M2090" s="9" t="str">
        <f t="shared" si="489"/>
        <v>Input!I871</v>
      </c>
      <c r="N2090" s="9">
        <f>_xlfn.XLOOKUP(F2090,'Raw Data'!$I$4:$I$5000,'Raw Data'!$E$4:$E$5000,100,0)</f>
        <v>100</v>
      </c>
      <c r="O2090" s="9" t="str">
        <f>IF(N2090=0,_xlfn.XLOOKUP(F2090,'Raw Data'!$I$4:$I$5000,'Raw Data'!$H$4:$H$5000,"",0),"")</f>
        <v/>
      </c>
      <c r="P2090" s="9" t="str" cm="1">
        <f t="array" aca="1" ref="P2090" ca="1">IF(INDIRECT(M2090) = "","",INDIRECT(M2090))</f>
        <v/>
      </c>
      <c r="Q2090" s="359" t="s">
        <v>4380</v>
      </c>
    </row>
    <row r="2091" spans="1:17" x14ac:dyDescent="0.35">
      <c r="A2091" t="s">
        <v>3711</v>
      </c>
      <c r="E2091" t="str">
        <f>_xlfn.XLOOKUP(F2091,'Raw Data'!$I$4:$I$5000,'Raw Data'!$D$4:$D$5000,"*** Mnemonic not found ***",0)</f>
        <v>*** Mnemonic not found ***</v>
      </c>
      <c r="F2091" t="str">
        <f t="shared" si="490"/>
        <v>SUCMFORCURRDURMIS11__</v>
      </c>
      <c r="H2091" s="9" t="s">
        <v>1137</v>
      </c>
      <c r="K2091" s="9">
        <f t="shared" si="486"/>
        <v>872</v>
      </c>
      <c r="L2091" s="9" t="str">
        <f t="shared" si="487"/>
        <v>I</v>
      </c>
      <c r="M2091" s="9" t="str">
        <f t="shared" si="489"/>
        <v>Input!I872</v>
      </c>
      <c r="N2091" s="9">
        <f>_xlfn.XLOOKUP(F2091,'Raw Data'!$I$4:$I$5000,'Raw Data'!$E$4:$E$5000,100,0)</f>
        <v>100</v>
      </c>
      <c r="O2091" s="9" t="str">
        <f>IF(N2091=0,_xlfn.XLOOKUP(F2091,'Raw Data'!$I$4:$I$5000,'Raw Data'!$H$4:$H$5000,"",0),"")</f>
        <v/>
      </c>
      <c r="P2091" s="9" t="str" cm="1">
        <f t="array" aca="1" ref="P2091" ca="1">IF(INDIRECT(M2091) = "","",INDIRECT(M2091))</f>
        <v/>
      </c>
      <c r="Q2091" s="359" t="s">
        <v>4380</v>
      </c>
    </row>
    <row r="2092" spans="1:17" x14ac:dyDescent="0.35">
      <c r="A2092" t="s">
        <v>3712</v>
      </c>
      <c r="E2092" t="str">
        <f>_xlfn.XLOOKUP(F2092,'Raw Data'!$I$4:$I$5000,'Raw Data'!$D$4:$D$5000,"*** Mnemonic not found ***",0)</f>
        <v>*** Mnemonic not found ***</v>
      </c>
      <c r="F2092" t="str">
        <f t="shared" si="490"/>
        <v>SUCMFORCURRDURMIS12__</v>
      </c>
      <c r="H2092" s="9" t="s">
        <v>1137</v>
      </c>
      <c r="K2092" s="9">
        <f t="shared" si="486"/>
        <v>873</v>
      </c>
      <c r="L2092" s="9" t="str">
        <f t="shared" si="487"/>
        <v>I</v>
      </c>
      <c r="M2092" s="9" t="str">
        <f t="shared" si="489"/>
        <v>Input!I873</v>
      </c>
      <c r="N2092" s="9">
        <f>_xlfn.XLOOKUP(F2092,'Raw Data'!$I$4:$I$5000,'Raw Data'!$E$4:$E$5000,100,0)</f>
        <v>100</v>
      </c>
      <c r="O2092" s="9" t="str">
        <f>IF(N2092=0,_xlfn.XLOOKUP(F2092,'Raw Data'!$I$4:$I$5000,'Raw Data'!$H$4:$H$5000,"",0),"")</f>
        <v/>
      </c>
      <c r="P2092" s="9" t="str" cm="1">
        <f t="array" aca="1" ref="P2092" ca="1">IF(INDIRECT(M2092) = "","",INDIRECT(M2092))</f>
        <v/>
      </c>
      <c r="Q2092" s="359" t="s">
        <v>4380</v>
      </c>
    </row>
    <row r="2093" spans="1:17" x14ac:dyDescent="0.35">
      <c r="A2093" t="s">
        <v>3713</v>
      </c>
      <c r="E2093" t="str">
        <f>_xlfn.XLOOKUP(F2093,'Raw Data'!$I$4:$I$5000,'Raw Data'!$D$4:$D$5000,"*** Mnemonic not found ***",0)</f>
        <v>*** Mnemonic not found ***</v>
      </c>
      <c r="F2093" t="str">
        <f t="shared" si="490"/>
        <v>SUCMFORCURRDURMIS13__</v>
      </c>
      <c r="H2093" s="9" t="s">
        <v>1137</v>
      </c>
      <c r="K2093" s="9">
        <f t="shared" si="486"/>
        <v>874</v>
      </c>
      <c r="L2093" s="9" t="str">
        <f t="shared" si="487"/>
        <v>I</v>
      </c>
      <c r="M2093" s="9" t="str">
        <f t="shared" si="489"/>
        <v>Input!I874</v>
      </c>
      <c r="N2093" s="9">
        <f>_xlfn.XLOOKUP(F2093,'Raw Data'!$I$4:$I$5000,'Raw Data'!$E$4:$E$5000,100,0)</f>
        <v>100</v>
      </c>
      <c r="O2093" s="9" t="str">
        <f>IF(N2093=0,_xlfn.XLOOKUP(F2093,'Raw Data'!$I$4:$I$5000,'Raw Data'!$H$4:$H$5000,"",0),"")</f>
        <v/>
      </c>
      <c r="P2093" s="9" t="str" cm="1">
        <f t="array" aca="1" ref="P2093" ca="1">IF(INDIRECT(M2093) = "","",INDIRECT(M2093))</f>
        <v/>
      </c>
      <c r="Q2093" s="359" t="s">
        <v>4380</v>
      </c>
    </row>
    <row r="2094" spans="1:17" x14ac:dyDescent="0.35">
      <c r="A2094" t="s">
        <v>3714</v>
      </c>
      <c r="E2094" t="str">
        <f>_xlfn.XLOOKUP(F2094,'Raw Data'!$I$4:$I$5000,'Raw Data'!$D$4:$D$5000,"*** Mnemonic not found ***",0)</f>
        <v>*** Mnemonic not found ***</v>
      </c>
      <c r="F2094" t="str">
        <f t="shared" si="490"/>
        <v>SUCMFORCURRDURMIS14__</v>
      </c>
      <c r="H2094" s="9" t="s">
        <v>1137</v>
      </c>
      <c r="K2094" s="9">
        <f t="shared" si="486"/>
        <v>875</v>
      </c>
      <c r="L2094" s="9" t="str">
        <f t="shared" si="487"/>
        <v>I</v>
      </c>
      <c r="M2094" s="9" t="str">
        <f t="shared" si="489"/>
        <v>Input!I875</v>
      </c>
      <c r="N2094" s="9">
        <f>_xlfn.XLOOKUP(F2094,'Raw Data'!$I$4:$I$5000,'Raw Data'!$E$4:$E$5000,100,0)</f>
        <v>100</v>
      </c>
      <c r="O2094" s="9" t="str">
        <f>IF(N2094=0,_xlfn.XLOOKUP(F2094,'Raw Data'!$I$4:$I$5000,'Raw Data'!$H$4:$H$5000,"",0),"")</f>
        <v/>
      </c>
      <c r="P2094" s="9" t="str" cm="1">
        <f t="array" aca="1" ref="P2094" ca="1">IF(INDIRECT(M2094) = "","",INDIRECT(M2094))</f>
        <v/>
      </c>
      <c r="Q2094" s="359" t="s">
        <v>4380</v>
      </c>
    </row>
    <row r="2095" spans="1:17" x14ac:dyDescent="0.35">
      <c r="A2095" t="s">
        <v>3715</v>
      </c>
      <c r="E2095" t="str">
        <f>_xlfn.XLOOKUP(F2095,'Raw Data'!$I$4:$I$5000,'Raw Data'!$D$4:$D$5000,"*** Mnemonic not found ***",0)</f>
        <v>*** Mnemonic not found ***</v>
      </c>
      <c r="F2095" t="str">
        <f t="shared" si="490"/>
        <v>SUCMFORCURRDURMIS15__</v>
      </c>
      <c r="H2095" s="9" t="s">
        <v>1137</v>
      </c>
      <c r="K2095" s="9">
        <f t="shared" si="486"/>
        <v>876</v>
      </c>
      <c r="L2095" s="9" t="str">
        <f t="shared" si="487"/>
        <v>I</v>
      </c>
      <c r="M2095" s="9" t="str">
        <f t="shared" ref="M2095:M2115" si="491">CONCATENATE(H2095,"!",L2095,K2095)</f>
        <v>Input!I876</v>
      </c>
      <c r="N2095" s="9">
        <f>_xlfn.XLOOKUP(F2095,'Raw Data'!$I$4:$I$5000,'Raw Data'!$E$4:$E$5000,100,0)</f>
        <v>100</v>
      </c>
      <c r="O2095" s="9" t="str">
        <f>IF(N2095=0,_xlfn.XLOOKUP(F2095,'Raw Data'!$I$4:$I$5000,'Raw Data'!$H$4:$H$5000,"",0),"")</f>
        <v/>
      </c>
      <c r="P2095" s="9" t="str" cm="1">
        <f t="array" aca="1" ref="P2095" ca="1">IF(INDIRECT(M2095) = "","",INDIRECT(M2095))</f>
        <v/>
      </c>
      <c r="Q2095" s="359" t="s">
        <v>4380</v>
      </c>
    </row>
    <row r="2096" spans="1:17" x14ac:dyDescent="0.35">
      <c r="A2096" t="s">
        <v>3716</v>
      </c>
      <c r="E2096" t="str">
        <f>_xlfn.XLOOKUP(F2096,'Raw Data'!$I$4:$I$5000,'Raw Data'!$D$4:$D$5000,"*** Mnemonic not found ***",0)</f>
        <v>*** Mnemonic not found ***</v>
      </c>
      <c r="F2096" t="str">
        <f t="shared" si="490"/>
        <v>SUCMFORCURRDURMIS16__</v>
      </c>
      <c r="H2096" s="9" t="s">
        <v>1137</v>
      </c>
      <c r="K2096" s="9">
        <f t="shared" si="486"/>
        <v>877</v>
      </c>
      <c r="L2096" s="9" t="str">
        <f t="shared" si="487"/>
        <v>I</v>
      </c>
      <c r="M2096" s="9" t="str">
        <f t="shared" si="491"/>
        <v>Input!I877</v>
      </c>
      <c r="N2096" s="9">
        <f>_xlfn.XLOOKUP(F2096,'Raw Data'!$I$4:$I$5000,'Raw Data'!$E$4:$E$5000,100,0)</f>
        <v>100</v>
      </c>
      <c r="O2096" s="9" t="str">
        <f>IF(N2096=0,_xlfn.XLOOKUP(F2096,'Raw Data'!$I$4:$I$5000,'Raw Data'!$H$4:$H$5000,"",0),"")</f>
        <v/>
      </c>
      <c r="P2096" s="9" t="str" cm="1">
        <f t="array" aca="1" ref="P2096" ca="1">IF(INDIRECT(M2096) = "","",INDIRECT(M2096))</f>
        <v/>
      </c>
      <c r="Q2096" s="359" t="s">
        <v>4380</v>
      </c>
    </row>
    <row r="2097" spans="1:17" x14ac:dyDescent="0.35">
      <c r="A2097" t="s">
        <v>3717</v>
      </c>
      <c r="E2097" t="str">
        <f>_xlfn.XLOOKUP(F2097,'Raw Data'!$I$4:$I$5000,'Raw Data'!$D$4:$D$5000,"*** Mnemonic not found ***",0)</f>
        <v>*** Mnemonic not found ***</v>
      </c>
      <c r="F2097" t="str">
        <f t="shared" si="490"/>
        <v>SUCMFORCURRDURMIS17__</v>
      </c>
      <c r="H2097" s="9" t="s">
        <v>1137</v>
      </c>
      <c r="K2097" s="9">
        <f t="shared" si="486"/>
        <v>878</v>
      </c>
      <c r="L2097" s="9" t="str">
        <f t="shared" si="487"/>
        <v>I</v>
      </c>
      <c r="M2097" s="9" t="str">
        <f t="shared" si="491"/>
        <v>Input!I878</v>
      </c>
      <c r="N2097" s="9">
        <f>_xlfn.XLOOKUP(F2097,'Raw Data'!$I$4:$I$5000,'Raw Data'!$E$4:$E$5000,100,0)</f>
        <v>100</v>
      </c>
      <c r="O2097" s="9" t="str">
        <f>IF(N2097=0,_xlfn.XLOOKUP(F2097,'Raw Data'!$I$4:$I$5000,'Raw Data'!$H$4:$H$5000,"",0),"")</f>
        <v/>
      </c>
      <c r="P2097" s="9" t="str" cm="1">
        <f t="array" aca="1" ref="P2097" ca="1">IF(INDIRECT(M2097) = "","",INDIRECT(M2097))</f>
        <v/>
      </c>
      <c r="Q2097" s="359" t="s">
        <v>4380</v>
      </c>
    </row>
    <row r="2098" spans="1:17" x14ac:dyDescent="0.35">
      <c r="A2098" t="s">
        <v>3718</v>
      </c>
      <c r="E2098" t="str">
        <f>_xlfn.XLOOKUP(F2098,'Raw Data'!$I$4:$I$5000,'Raw Data'!$D$4:$D$5000,"*** Mnemonic not found ***",0)</f>
        <v>*** Mnemonic not found ***</v>
      </c>
      <c r="F2098" t="str">
        <f t="shared" si="490"/>
        <v>SUCMFORCURRDURMIS18__</v>
      </c>
      <c r="H2098" s="9" t="s">
        <v>1137</v>
      </c>
      <c r="K2098" s="9">
        <f t="shared" si="486"/>
        <v>879</v>
      </c>
      <c r="L2098" s="9" t="str">
        <f t="shared" si="487"/>
        <v>I</v>
      </c>
      <c r="M2098" s="9" t="str">
        <f t="shared" si="491"/>
        <v>Input!I879</v>
      </c>
      <c r="N2098" s="9">
        <f>_xlfn.XLOOKUP(F2098,'Raw Data'!$I$4:$I$5000,'Raw Data'!$E$4:$E$5000,100,0)</f>
        <v>100</v>
      </c>
      <c r="O2098" s="9" t="str">
        <f>IF(N2098=0,_xlfn.XLOOKUP(F2098,'Raw Data'!$I$4:$I$5000,'Raw Data'!$H$4:$H$5000,"",0),"")</f>
        <v/>
      </c>
      <c r="P2098" s="9" t="str" cm="1">
        <f t="array" aca="1" ref="P2098" ca="1">IF(INDIRECT(M2098) = "","",INDIRECT(M2098))</f>
        <v/>
      </c>
      <c r="Q2098" s="359" t="s">
        <v>4380</v>
      </c>
    </row>
    <row r="2099" spans="1:17" x14ac:dyDescent="0.35">
      <c r="A2099" t="s">
        <v>3719</v>
      </c>
      <c r="E2099" t="str">
        <f>_xlfn.XLOOKUP(F2099,'Raw Data'!$I$4:$I$5000,'Raw Data'!$D$4:$D$5000,"*** Mnemonic not found ***",0)</f>
        <v>*** Mnemonic not found ***</v>
      </c>
      <c r="F2099" t="str">
        <f t="shared" si="490"/>
        <v>SUCMFORCURRDURMIS19__</v>
      </c>
      <c r="H2099" s="9" t="s">
        <v>1137</v>
      </c>
      <c r="K2099" s="9">
        <f t="shared" si="486"/>
        <v>880</v>
      </c>
      <c r="L2099" s="9" t="str">
        <f t="shared" si="487"/>
        <v>I</v>
      </c>
      <c r="M2099" s="9" t="str">
        <f t="shared" si="491"/>
        <v>Input!I880</v>
      </c>
      <c r="N2099" s="9">
        <f>_xlfn.XLOOKUP(F2099,'Raw Data'!$I$4:$I$5000,'Raw Data'!$E$4:$E$5000,100,0)</f>
        <v>100</v>
      </c>
      <c r="O2099" s="9" t="str">
        <f>IF(N2099=0,_xlfn.XLOOKUP(F2099,'Raw Data'!$I$4:$I$5000,'Raw Data'!$H$4:$H$5000,"",0),"")</f>
        <v/>
      </c>
      <c r="P2099" s="9" t="str" cm="1">
        <f t="array" aca="1" ref="P2099" ca="1">IF(INDIRECT(M2099) = "","",INDIRECT(M2099))</f>
        <v/>
      </c>
      <c r="Q2099" s="359" t="s">
        <v>4380</v>
      </c>
    </row>
    <row r="2100" spans="1:17" x14ac:dyDescent="0.35">
      <c r="A2100" t="s">
        <v>3720</v>
      </c>
      <c r="E2100" t="str">
        <f>_xlfn.XLOOKUP(F2100,'Raw Data'!$I$4:$I$5000,'Raw Data'!$D$4:$D$5000,"*** Mnemonic not found ***",0)</f>
        <v>*** Mnemonic not found ***</v>
      </c>
      <c r="F2100" t="str">
        <f t="shared" si="490"/>
        <v>SUCMFORCURRDURMIS20__</v>
      </c>
      <c r="H2100" s="9" t="s">
        <v>1137</v>
      </c>
      <c r="K2100" s="9">
        <f t="shared" si="486"/>
        <v>881</v>
      </c>
      <c r="L2100" s="9" t="str">
        <f t="shared" si="487"/>
        <v>I</v>
      </c>
      <c r="M2100" s="9" t="str">
        <f t="shared" si="491"/>
        <v>Input!I881</v>
      </c>
      <c r="N2100" s="9">
        <f>_xlfn.XLOOKUP(F2100,'Raw Data'!$I$4:$I$5000,'Raw Data'!$E$4:$E$5000,100,0)</f>
        <v>100</v>
      </c>
      <c r="O2100" s="9" t="str">
        <f>IF(N2100=0,_xlfn.XLOOKUP(F2100,'Raw Data'!$I$4:$I$5000,'Raw Data'!$H$4:$H$5000,"",0),"")</f>
        <v/>
      </c>
      <c r="P2100" s="9" t="str" cm="1">
        <f t="array" aca="1" ref="P2100" ca="1">IF(INDIRECT(M2100) = "","",INDIRECT(M2100))</f>
        <v/>
      </c>
      <c r="Q2100" s="359" t="s">
        <v>4380</v>
      </c>
    </row>
    <row r="2101" spans="1:17" x14ac:dyDescent="0.35">
      <c r="A2101" t="s">
        <v>3721</v>
      </c>
      <c r="E2101" t="str">
        <f>_xlfn.XLOOKUP(F2101,'Raw Data'!$I$4:$I$5000,'Raw Data'!$D$4:$D$5000,"*** Mnemonic not found ***",0)</f>
        <v>*** Mnemonic not found ***</v>
      </c>
      <c r="F2101" t="str">
        <f t="shared" si="490"/>
        <v>SUCMFORCURRDURMIS21__</v>
      </c>
      <c r="H2101" s="9" t="s">
        <v>1137</v>
      </c>
      <c r="K2101" s="9">
        <f t="shared" si="486"/>
        <v>882</v>
      </c>
      <c r="L2101" s="9" t="str">
        <f t="shared" si="487"/>
        <v>I</v>
      </c>
      <c r="M2101" s="9" t="str">
        <f t="shared" si="491"/>
        <v>Input!I882</v>
      </c>
      <c r="N2101" s="9">
        <f>_xlfn.XLOOKUP(F2101,'Raw Data'!$I$4:$I$5000,'Raw Data'!$E$4:$E$5000,100,0)</f>
        <v>100</v>
      </c>
      <c r="O2101" s="9" t="str">
        <f>IF(N2101=0,_xlfn.XLOOKUP(F2101,'Raw Data'!$I$4:$I$5000,'Raw Data'!$H$4:$H$5000,"",0),"")</f>
        <v/>
      </c>
      <c r="P2101" s="9" t="str" cm="1">
        <f t="array" aca="1" ref="P2101" ca="1">IF(INDIRECT(M2101) = "","",INDIRECT(M2101))</f>
        <v/>
      </c>
      <c r="Q2101" s="359" t="s">
        <v>4380</v>
      </c>
    </row>
    <row r="2102" spans="1:17" x14ac:dyDescent="0.35">
      <c r="A2102" t="s">
        <v>3722</v>
      </c>
      <c r="E2102" t="str">
        <f>_xlfn.XLOOKUP(F2102,'Raw Data'!$I$4:$I$5000,'Raw Data'!$D$4:$D$5000,"*** Mnemonic not found ***",0)</f>
        <v>*** Mnemonic not found ***</v>
      </c>
      <c r="F2102" t="str">
        <f t="shared" si="490"/>
        <v>SUCMFORCURRDURMIS22__</v>
      </c>
      <c r="H2102" s="9" t="s">
        <v>1137</v>
      </c>
      <c r="K2102" s="9">
        <f t="shared" si="486"/>
        <v>883</v>
      </c>
      <c r="L2102" s="9" t="str">
        <f t="shared" si="487"/>
        <v>I</v>
      </c>
      <c r="M2102" s="9" t="str">
        <f t="shared" si="491"/>
        <v>Input!I883</v>
      </c>
      <c r="N2102" s="9">
        <f>_xlfn.XLOOKUP(F2102,'Raw Data'!$I$4:$I$5000,'Raw Data'!$E$4:$E$5000,100,0)</f>
        <v>100</v>
      </c>
      <c r="O2102" s="9" t="str">
        <f>IF(N2102=0,_xlfn.XLOOKUP(F2102,'Raw Data'!$I$4:$I$5000,'Raw Data'!$H$4:$H$5000,"",0),"")</f>
        <v/>
      </c>
      <c r="P2102" s="9" t="str" cm="1">
        <f t="array" aca="1" ref="P2102" ca="1">IF(INDIRECT(M2102) = "","",INDIRECT(M2102))</f>
        <v/>
      </c>
      <c r="Q2102" s="359" t="s">
        <v>4380</v>
      </c>
    </row>
    <row r="2103" spans="1:17" x14ac:dyDescent="0.35">
      <c r="A2103" t="s">
        <v>3723</v>
      </c>
      <c r="E2103" t="str">
        <f>_xlfn.XLOOKUP(F2103,'Raw Data'!$I$4:$I$5000,'Raw Data'!$D$4:$D$5000,"*** Mnemonic not found ***",0)</f>
        <v>*** Mnemonic not found ***</v>
      </c>
      <c r="F2103" t="str">
        <f t="shared" si="490"/>
        <v>SUCMFORCURRDURMIS23__</v>
      </c>
      <c r="H2103" s="9" t="s">
        <v>1137</v>
      </c>
      <c r="K2103" s="9">
        <f t="shared" si="486"/>
        <v>884</v>
      </c>
      <c r="L2103" s="9" t="str">
        <f t="shared" si="487"/>
        <v>I</v>
      </c>
      <c r="M2103" s="9" t="str">
        <f t="shared" si="491"/>
        <v>Input!I884</v>
      </c>
      <c r="N2103" s="9">
        <f>_xlfn.XLOOKUP(F2103,'Raw Data'!$I$4:$I$5000,'Raw Data'!$E$4:$E$5000,100,0)</f>
        <v>100</v>
      </c>
      <c r="O2103" s="9" t="str">
        <f>IF(N2103=0,_xlfn.XLOOKUP(F2103,'Raw Data'!$I$4:$I$5000,'Raw Data'!$H$4:$H$5000,"",0),"")</f>
        <v/>
      </c>
      <c r="P2103" s="9" t="str" cm="1">
        <f t="array" aca="1" ref="P2103" ca="1">IF(INDIRECT(M2103) = "","",INDIRECT(M2103))</f>
        <v/>
      </c>
      <c r="Q2103" s="359" t="s">
        <v>4380</v>
      </c>
    </row>
    <row r="2104" spans="1:17" x14ac:dyDescent="0.35">
      <c r="A2104" t="s">
        <v>3724</v>
      </c>
      <c r="E2104" t="str">
        <f>_xlfn.XLOOKUP(F2104,'Raw Data'!$I$4:$I$5000,'Raw Data'!$D$4:$D$5000,"*** Mnemonic not found ***",0)</f>
        <v>*** Mnemonic not found ***</v>
      </c>
      <c r="F2104" t="str">
        <f t="shared" si="490"/>
        <v>SUCMFORCURRDURMIS24__</v>
      </c>
      <c r="H2104" s="9" t="s">
        <v>1137</v>
      </c>
      <c r="K2104" s="9">
        <f t="shared" si="486"/>
        <v>885</v>
      </c>
      <c r="L2104" s="9" t="str">
        <f t="shared" si="487"/>
        <v>I</v>
      </c>
      <c r="M2104" s="9" t="str">
        <f t="shared" si="491"/>
        <v>Input!I885</v>
      </c>
      <c r="N2104" s="9">
        <f>_xlfn.XLOOKUP(F2104,'Raw Data'!$I$4:$I$5000,'Raw Data'!$E$4:$E$5000,100,0)</f>
        <v>100</v>
      </c>
      <c r="O2104" s="9" t="str">
        <f>IF(N2104=0,_xlfn.XLOOKUP(F2104,'Raw Data'!$I$4:$I$5000,'Raw Data'!$H$4:$H$5000,"",0),"")</f>
        <v/>
      </c>
      <c r="P2104" s="9" t="str" cm="1">
        <f t="array" aca="1" ref="P2104" ca="1">IF(INDIRECT(M2104) = "","",INDIRECT(M2104))</f>
        <v/>
      </c>
      <c r="Q2104" s="359" t="s">
        <v>4380</v>
      </c>
    </row>
    <row r="2105" spans="1:17" x14ac:dyDescent="0.35">
      <c r="A2105" t="s">
        <v>3725</v>
      </c>
      <c r="E2105" t="str">
        <f>_xlfn.XLOOKUP(F2105,'Raw Data'!$I$4:$I$5000,'Raw Data'!$D$4:$D$5000,"*** Mnemonic not found ***",0)</f>
        <v>*** Mnemonic not found ***</v>
      </c>
      <c r="F2105" t="str">
        <f t="shared" si="490"/>
        <v>SUCMFORCURRDURMIS25__</v>
      </c>
      <c r="H2105" s="9" t="s">
        <v>1137</v>
      </c>
      <c r="K2105" s="9">
        <f t="shared" si="486"/>
        <v>886</v>
      </c>
      <c r="L2105" s="9" t="str">
        <f t="shared" si="487"/>
        <v>I</v>
      </c>
      <c r="M2105" s="9" t="str">
        <f t="shared" si="491"/>
        <v>Input!I886</v>
      </c>
      <c r="N2105" s="9">
        <f>_xlfn.XLOOKUP(F2105,'Raw Data'!$I$4:$I$5000,'Raw Data'!$E$4:$E$5000,100,0)</f>
        <v>100</v>
      </c>
      <c r="O2105" s="9" t="str">
        <f>IF(N2105=0,_xlfn.XLOOKUP(F2105,'Raw Data'!$I$4:$I$5000,'Raw Data'!$H$4:$H$5000,"",0),"")</f>
        <v/>
      </c>
      <c r="P2105" s="9" t="str" cm="1">
        <f t="array" aca="1" ref="P2105" ca="1">IF(INDIRECT(M2105) = "","",INDIRECT(M2105))</f>
        <v/>
      </c>
      <c r="Q2105" s="359" t="s">
        <v>4380</v>
      </c>
    </row>
    <row r="2106" spans="1:17" x14ac:dyDescent="0.35">
      <c r="A2106" t="s">
        <v>3726</v>
      </c>
      <c r="E2106" t="str">
        <f>_xlfn.XLOOKUP(F2106,'Raw Data'!$I$4:$I$5000,'Raw Data'!$D$4:$D$5000,"*** Mnemonic not found ***",0)</f>
        <v>*** Mnemonic not found ***</v>
      </c>
      <c r="F2106" t="str">
        <f t="shared" si="490"/>
        <v>SUCMFORCURRDURMIS26__</v>
      </c>
      <c r="H2106" s="9" t="s">
        <v>1137</v>
      </c>
      <c r="K2106" s="9">
        <f t="shared" si="486"/>
        <v>887</v>
      </c>
      <c r="L2106" s="9" t="str">
        <f t="shared" si="487"/>
        <v>I</v>
      </c>
      <c r="M2106" s="9" t="str">
        <f t="shared" si="491"/>
        <v>Input!I887</v>
      </c>
      <c r="N2106" s="9">
        <f>_xlfn.XLOOKUP(F2106,'Raw Data'!$I$4:$I$5000,'Raw Data'!$E$4:$E$5000,100,0)</f>
        <v>100</v>
      </c>
      <c r="O2106" s="9" t="str">
        <f>IF(N2106=0,_xlfn.XLOOKUP(F2106,'Raw Data'!$I$4:$I$5000,'Raw Data'!$H$4:$H$5000,"",0),"")</f>
        <v/>
      </c>
      <c r="P2106" s="9" t="str" cm="1">
        <f t="array" aca="1" ref="P2106" ca="1">IF(INDIRECT(M2106) = "","",INDIRECT(M2106))</f>
        <v/>
      </c>
      <c r="Q2106" s="359" t="s">
        <v>4380</v>
      </c>
    </row>
    <row r="2107" spans="1:17" x14ac:dyDescent="0.35">
      <c r="A2107" t="s">
        <v>3727</v>
      </c>
      <c r="E2107" t="str">
        <f>_xlfn.XLOOKUP(F2107,'Raw Data'!$I$4:$I$5000,'Raw Data'!$D$4:$D$5000,"*** Mnemonic not found ***",0)</f>
        <v>*** Mnemonic not found ***</v>
      </c>
      <c r="F2107" t="str">
        <f t="shared" si="490"/>
        <v>SUCMFORCURRDURMIS27__</v>
      </c>
      <c r="H2107" s="9" t="s">
        <v>1137</v>
      </c>
      <c r="K2107" s="9">
        <f t="shared" si="486"/>
        <v>888</v>
      </c>
      <c r="L2107" s="9" t="str">
        <f t="shared" si="487"/>
        <v>I</v>
      </c>
      <c r="M2107" s="9" t="str">
        <f t="shared" si="491"/>
        <v>Input!I888</v>
      </c>
      <c r="N2107" s="9">
        <f>_xlfn.XLOOKUP(F2107,'Raw Data'!$I$4:$I$5000,'Raw Data'!$E$4:$E$5000,100,0)</f>
        <v>100</v>
      </c>
      <c r="O2107" s="9" t="str">
        <f>IF(N2107=0,_xlfn.XLOOKUP(F2107,'Raw Data'!$I$4:$I$5000,'Raw Data'!$H$4:$H$5000,"",0),"")</f>
        <v/>
      </c>
      <c r="P2107" s="9" t="str" cm="1">
        <f t="array" aca="1" ref="P2107" ca="1">IF(INDIRECT(M2107) = "","",INDIRECT(M2107))</f>
        <v/>
      </c>
      <c r="Q2107" s="359" t="s">
        <v>4380</v>
      </c>
    </row>
    <row r="2108" spans="1:17" x14ac:dyDescent="0.35">
      <c r="A2108" t="s">
        <v>3728</v>
      </c>
      <c r="E2108" t="str">
        <f>_xlfn.XLOOKUP(F2108,'Raw Data'!$I$4:$I$5000,'Raw Data'!$D$4:$D$5000,"*** Mnemonic not found ***",0)</f>
        <v>*** Mnemonic not found ***</v>
      </c>
      <c r="F2108" t="str">
        <f t="shared" si="490"/>
        <v>SUCMFORCURRDURMIS28__</v>
      </c>
      <c r="H2108" s="9" t="s">
        <v>1137</v>
      </c>
      <c r="K2108" s="9">
        <f t="shared" si="486"/>
        <v>889</v>
      </c>
      <c r="L2108" s="9" t="str">
        <f t="shared" si="487"/>
        <v>I</v>
      </c>
      <c r="M2108" s="9" t="str">
        <f t="shared" si="491"/>
        <v>Input!I889</v>
      </c>
      <c r="N2108" s="9">
        <f>_xlfn.XLOOKUP(F2108,'Raw Data'!$I$4:$I$5000,'Raw Data'!$E$4:$E$5000,100,0)</f>
        <v>100</v>
      </c>
      <c r="O2108" s="9" t="str">
        <f>IF(N2108=0,_xlfn.XLOOKUP(F2108,'Raw Data'!$I$4:$I$5000,'Raw Data'!$H$4:$H$5000,"",0),"")</f>
        <v/>
      </c>
      <c r="P2108" s="9" t="str" cm="1">
        <f t="array" aca="1" ref="P2108" ca="1">IF(INDIRECT(M2108) = "","",INDIRECT(M2108))</f>
        <v/>
      </c>
      <c r="Q2108" s="359" t="s">
        <v>4380</v>
      </c>
    </row>
    <row r="2109" spans="1:17" x14ac:dyDescent="0.35">
      <c r="A2109" t="s">
        <v>3729</v>
      </c>
      <c r="E2109" t="str">
        <f>_xlfn.XLOOKUP(F2109,'Raw Data'!$I$4:$I$5000,'Raw Data'!$D$4:$D$5000,"*** Mnemonic not found ***",0)</f>
        <v>*** Mnemonic not found ***</v>
      </c>
      <c r="F2109" t="str">
        <f t="shared" si="490"/>
        <v>SUCMFORCURRDURMIS29__</v>
      </c>
      <c r="H2109" s="9" t="s">
        <v>1137</v>
      </c>
      <c r="K2109" s="9">
        <f t="shared" si="486"/>
        <v>890</v>
      </c>
      <c r="L2109" s="9" t="str">
        <f t="shared" si="487"/>
        <v>I</v>
      </c>
      <c r="M2109" s="9" t="str">
        <f t="shared" si="491"/>
        <v>Input!I890</v>
      </c>
      <c r="N2109" s="9">
        <f>_xlfn.XLOOKUP(F2109,'Raw Data'!$I$4:$I$5000,'Raw Data'!$E$4:$E$5000,100,0)</f>
        <v>100</v>
      </c>
      <c r="O2109" s="9" t="str">
        <f>IF(N2109=0,_xlfn.XLOOKUP(F2109,'Raw Data'!$I$4:$I$5000,'Raw Data'!$H$4:$H$5000,"",0),"")</f>
        <v/>
      </c>
      <c r="P2109" s="9" t="str" cm="1">
        <f t="array" aca="1" ref="P2109" ca="1">IF(INDIRECT(M2109) = "","",INDIRECT(M2109))</f>
        <v/>
      </c>
      <c r="Q2109" s="359" t="s">
        <v>4380</v>
      </c>
    </row>
    <row r="2110" spans="1:17" x14ac:dyDescent="0.35">
      <c r="A2110" t="s">
        <v>3730</v>
      </c>
      <c r="E2110" t="str">
        <f>_xlfn.XLOOKUP(F2110,'Raw Data'!$I$4:$I$5000,'Raw Data'!$D$4:$D$5000,"*** Mnemonic not found ***",0)</f>
        <v>*** Mnemonic not found ***</v>
      </c>
      <c r="F2110" t="str">
        <f t="shared" si="490"/>
        <v>SUCMFORCURRDURMIS30__</v>
      </c>
      <c r="H2110" s="9" t="s">
        <v>1137</v>
      </c>
      <c r="K2110" s="9">
        <f t="shared" si="486"/>
        <v>891</v>
      </c>
      <c r="L2110" s="9" t="str">
        <f t="shared" si="487"/>
        <v>I</v>
      </c>
      <c r="M2110" s="9" t="str">
        <f t="shared" si="491"/>
        <v>Input!I891</v>
      </c>
      <c r="N2110" s="9">
        <f>_xlfn.XLOOKUP(F2110,'Raw Data'!$I$4:$I$5000,'Raw Data'!$E$4:$E$5000,100,0)</f>
        <v>100</v>
      </c>
      <c r="O2110" s="9" t="str">
        <f>IF(N2110=0,_xlfn.XLOOKUP(F2110,'Raw Data'!$I$4:$I$5000,'Raw Data'!$H$4:$H$5000,"",0),"")</f>
        <v/>
      </c>
      <c r="P2110" s="9" t="str" cm="1">
        <f t="array" aca="1" ref="P2110" ca="1">IF(INDIRECT(M2110) = "","",INDIRECT(M2110))</f>
        <v/>
      </c>
      <c r="Q2110" s="359" t="s">
        <v>4380</v>
      </c>
    </row>
    <row r="2111" spans="1:17" x14ac:dyDescent="0.35">
      <c r="A2111" t="s">
        <v>3731</v>
      </c>
      <c r="E2111" t="str">
        <f>_xlfn.XLOOKUP(F2111,'Raw Data'!$I$4:$I$5000,'Raw Data'!$D$4:$D$5000,"*** Mnemonic not found ***",0)</f>
        <v>*** Mnemonic not found ***</v>
      </c>
      <c r="F2111" t="str">
        <f t="shared" si="490"/>
        <v>SUCMFORCURRDURMIS31__</v>
      </c>
      <c r="H2111" s="9" t="s">
        <v>1137</v>
      </c>
      <c r="K2111" s="9">
        <f t="shared" si="486"/>
        <v>892</v>
      </c>
      <c r="L2111" s="9" t="str">
        <f t="shared" si="487"/>
        <v>I</v>
      </c>
      <c r="M2111" s="9" t="str">
        <f t="shared" si="491"/>
        <v>Input!I892</v>
      </c>
      <c r="N2111" s="9">
        <f>_xlfn.XLOOKUP(F2111,'Raw Data'!$I$4:$I$5000,'Raw Data'!$E$4:$E$5000,100,0)</f>
        <v>100</v>
      </c>
      <c r="O2111" s="9" t="str">
        <f>IF(N2111=0,_xlfn.XLOOKUP(F2111,'Raw Data'!$I$4:$I$5000,'Raw Data'!$H$4:$H$5000,"",0),"")</f>
        <v/>
      </c>
      <c r="P2111" s="9" t="str" cm="1">
        <f t="array" aca="1" ref="P2111" ca="1">IF(INDIRECT(M2111) = "","",INDIRECT(M2111))</f>
        <v/>
      </c>
      <c r="Q2111" s="359" t="s">
        <v>4380</v>
      </c>
    </row>
    <row r="2112" spans="1:17" x14ac:dyDescent="0.35">
      <c r="A2112" t="s">
        <v>3732</v>
      </c>
      <c r="E2112" t="str">
        <f>_xlfn.XLOOKUP(F2112,'Raw Data'!$I$4:$I$5000,'Raw Data'!$D$4:$D$5000,"*** Mnemonic not found ***",0)</f>
        <v>*** Mnemonic not found ***</v>
      </c>
      <c r="F2112" t="str">
        <f t="shared" si="490"/>
        <v>SUCMFORCURRDURMIS32__</v>
      </c>
      <c r="H2112" s="9" t="s">
        <v>1137</v>
      </c>
      <c r="K2112" s="9">
        <f t="shared" si="486"/>
        <v>893</v>
      </c>
      <c r="L2112" s="9" t="str">
        <f t="shared" si="487"/>
        <v>I</v>
      </c>
      <c r="M2112" s="9" t="str">
        <f t="shared" si="491"/>
        <v>Input!I893</v>
      </c>
      <c r="N2112" s="9">
        <f>_xlfn.XLOOKUP(F2112,'Raw Data'!$I$4:$I$5000,'Raw Data'!$E$4:$E$5000,100,0)</f>
        <v>100</v>
      </c>
      <c r="O2112" s="9" t="str">
        <f>IF(N2112=0,_xlfn.XLOOKUP(F2112,'Raw Data'!$I$4:$I$5000,'Raw Data'!$H$4:$H$5000,"",0),"")</f>
        <v/>
      </c>
      <c r="P2112" s="9" t="str" cm="1">
        <f t="array" aca="1" ref="P2112" ca="1">IF(INDIRECT(M2112) = "","",INDIRECT(M2112))</f>
        <v/>
      </c>
      <c r="Q2112" s="359" t="s">
        <v>4380</v>
      </c>
    </row>
    <row r="2113" spans="1:17" x14ac:dyDescent="0.35">
      <c r="A2113" t="s">
        <v>3733</v>
      </c>
      <c r="E2113" t="str">
        <f>_xlfn.XLOOKUP(F2113,'Raw Data'!$I$4:$I$5000,'Raw Data'!$D$4:$D$5000,"*** Mnemonic not found ***",0)</f>
        <v>*** Mnemonic not found ***</v>
      </c>
      <c r="F2113" t="str">
        <f t="shared" si="490"/>
        <v>SUCMFORCURRDURMIS33__</v>
      </c>
      <c r="H2113" s="9" t="s">
        <v>1137</v>
      </c>
      <c r="K2113" s="9">
        <f t="shared" si="486"/>
        <v>894</v>
      </c>
      <c r="L2113" s="9" t="str">
        <f t="shared" si="487"/>
        <v>I</v>
      </c>
      <c r="M2113" s="9" t="str">
        <f t="shared" si="491"/>
        <v>Input!I894</v>
      </c>
      <c r="N2113" s="9">
        <f>_xlfn.XLOOKUP(F2113,'Raw Data'!$I$4:$I$5000,'Raw Data'!$E$4:$E$5000,100,0)</f>
        <v>100</v>
      </c>
      <c r="O2113" s="9" t="str">
        <f>IF(N2113=0,_xlfn.XLOOKUP(F2113,'Raw Data'!$I$4:$I$5000,'Raw Data'!$H$4:$H$5000,"",0),"")</f>
        <v/>
      </c>
      <c r="P2113" s="9" t="str" cm="1">
        <f t="array" aca="1" ref="P2113" ca="1">IF(INDIRECT(M2113) = "","",INDIRECT(M2113))</f>
        <v/>
      </c>
      <c r="Q2113" s="359" t="s">
        <v>4380</v>
      </c>
    </row>
    <row r="2114" spans="1:17" x14ac:dyDescent="0.35">
      <c r="A2114" t="s">
        <v>3734</v>
      </c>
      <c r="E2114" t="str">
        <f>_xlfn.XLOOKUP(F2114,'Raw Data'!$I$4:$I$5000,'Raw Data'!$D$4:$D$5000,"*** Mnemonic not found ***",0)</f>
        <v>*** Mnemonic not found ***</v>
      </c>
      <c r="F2114" t="str">
        <f t="shared" si="490"/>
        <v>SUCMFORCURRDURMIS34__</v>
      </c>
      <c r="H2114" s="9" t="s">
        <v>1137</v>
      </c>
      <c r="K2114" s="9">
        <f t="shared" si="486"/>
        <v>895</v>
      </c>
      <c r="L2114" s="9" t="str">
        <f t="shared" si="487"/>
        <v>I</v>
      </c>
      <c r="M2114" s="9" t="str">
        <f t="shared" si="491"/>
        <v>Input!I895</v>
      </c>
      <c r="N2114" s="9">
        <f>_xlfn.XLOOKUP(F2114,'Raw Data'!$I$4:$I$5000,'Raw Data'!$E$4:$E$5000,100,0)</f>
        <v>100</v>
      </c>
      <c r="O2114" s="9" t="str">
        <f>IF(N2114=0,_xlfn.XLOOKUP(F2114,'Raw Data'!$I$4:$I$5000,'Raw Data'!$H$4:$H$5000,"",0),"")</f>
        <v/>
      </c>
      <c r="P2114" s="9" t="str" cm="1">
        <f t="array" aca="1" ref="P2114" ca="1">IF(INDIRECT(M2114) = "","",INDIRECT(M2114))</f>
        <v/>
      </c>
      <c r="Q2114" s="359" t="s">
        <v>4380</v>
      </c>
    </row>
    <row r="2115" spans="1:17" x14ac:dyDescent="0.35">
      <c r="A2115" t="s">
        <v>3735</v>
      </c>
      <c r="E2115" t="str">
        <f>_xlfn.XLOOKUP(F2115,'Raw Data'!$I$4:$I$5000,'Raw Data'!$D$4:$D$5000,"*** Mnemonic not found ***",0)</f>
        <v>*** Mnemonic not found ***</v>
      </c>
      <c r="F2115" t="str">
        <f t="shared" si="490"/>
        <v>SUCMFORCURRDURMIS35__</v>
      </c>
      <c r="H2115" s="9" t="s">
        <v>1137</v>
      </c>
      <c r="K2115" s="9">
        <f t="shared" si="486"/>
        <v>896</v>
      </c>
      <c r="L2115" s="9" t="str">
        <f t="shared" si="487"/>
        <v>I</v>
      </c>
      <c r="M2115" s="9" t="str">
        <f t="shared" si="491"/>
        <v>Input!I896</v>
      </c>
      <c r="N2115" s="9">
        <f>_xlfn.XLOOKUP(F2115,'Raw Data'!$I$4:$I$5000,'Raw Data'!$E$4:$E$5000,100,0)</f>
        <v>100</v>
      </c>
      <c r="O2115" s="9" t="str">
        <f>IF(N2115=0,_xlfn.XLOOKUP(F2115,'Raw Data'!$I$4:$I$5000,'Raw Data'!$H$4:$H$5000,"",0),"")</f>
        <v/>
      </c>
      <c r="P2115" s="9" t="str" cm="1">
        <f t="array" aca="1" ref="P2115" ca="1">IF(INDIRECT(M2115) = "","",INDIRECT(M2115))</f>
        <v/>
      </c>
      <c r="Q2115" s="359" t="s">
        <v>4380</v>
      </c>
    </row>
    <row r="2116" spans="1:17" x14ac:dyDescent="0.35">
      <c r="A2116" t="s">
        <v>3736</v>
      </c>
      <c r="E2116" t="str">
        <f>_xlfn.XLOOKUP(F2116,'Raw Data'!$I$4:$I$5000,'Raw Data'!$D$4:$D$5000,"*** Mnemonic not found ***",0)</f>
        <v>*** Mnemonic not found ***</v>
      </c>
      <c r="F2116" t="str">
        <f t="shared" si="490"/>
        <v>SUCMAIREGSOLVRATIO__</v>
      </c>
      <c r="G2116" t="s">
        <v>3133</v>
      </c>
      <c r="H2116" s="9" t="s">
        <v>1137</v>
      </c>
      <c r="I2116" s="289">
        <f>ROW(section_additional_information)</f>
        <v>899</v>
      </c>
      <c r="J2116" s="9">
        <v>2</v>
      </c>
      <c r="K2116" s="9">
        <f>I2116+J2116</f>
        <v>901</v>
      </c>
      <c r="L2116" s="9" t="s">
        <v>1124</v>
      </c>
      <c r="M2116" s="9" t="str">
        <f t="shared" ref="M2116:M2118" si="492">CONCATENATE(H2116,"!",L2116,K2116)</f>
        <v>Input!F901</v>
      </c>
      <c r="N2116" s="9">
        <f>_xlfn.XLOOKUP(F2116,'Raw Data'!$I$4:$I$5000,'Raw Data'!$E$4:$E$5000,100,0)</f>
        <v>100</v>
      </c>
      <c r="O2116" s="9" t="str">
        <f>IF(N2116=0,_xlfn.XLOOKUP(F2116,'Raw Data'!$I$4:$I$5000,'Raw Data'!$H$4:$H$5000,"",0),"")</f>
        <v/>
      </c>
      <c r="P2116" s="9" t="str" cm="1">
        <f t="array" aca="1" ref="P2116" ca="1">IF(INDIRECT(M2116) = "","",INDIRECT(M2116))</f>
        <v/>
      </c>
      <c r="Q2116" s="359" t="s">
        <v>4381</v>
      </c>
    </row>
    <row r="2117" spans="1:17" x14ac:dyDescent="0.35">
      <c r="A2117" t="s">
        <v>3739</v>
      </c>
      <c r="E2117" t="str">
        <f>_xlfn.XLOOKUP(F2117,'Raw Data'!$I$4:$I$5000,'Raw Data'!$D$4:$D$5000,"*** Mnemonic not found ***",0)</f>
        <v>*** Mnemonic not found ***</v>
      </c>
      <c r="F2117" t="str">
        <f t="shared" si="490"/>
        <v>SUCMAIASOF__</v>
      </c>
      <c r="H2117" s="9" t="s">
        <v>1137</v>
      </c>
      <c r="K2117" s="9">
        <f>K2116</f>
        <v>901</v>
      </c>
      <c r="L2117" s="9" t="s">
        <v>1144</v>
      </c>
      <c r="M2117" s="9" t="str">
        <f t="shared" si="492"/>
        <v>Input!H901</v>
      </c>
      <c r="N2117" s="9">
        <f>_xlfn.XLOOKUP(F2117,'Raw Data'!$I$4:$I$5000,'Raw Data'!$E$4:$E$5000,100,0)</f>
        <v>100</v>
      </c>
      <c r="O2117" s="9" t="str">
        <f>IF(N2117=0,_xlfn.XLOOKUP(F2117,'Raw Data'!$I$4:$I$5000,'Raw Data'!$H$4:$H$5000,"",0),"")</f>
        <v/>
      </c>
      <c r="P2117" s="9" t="str" cm="1">
        <f t="array" aca="1" ref="P2117" ca="1">IF(INDIRECT(M2117) = "","",INDIRECT(M2117))</f>
        <v/>
      </c>
      <c r="Q2117" s="359" t="s">
        <v>4380</v>
      </c>
    </row>
    <row r="2118" spans="1:17" x14ac:dyDescent="0.35">
      <c r="A2118" t="s">
        <v>3737</v>
      </c>
      <c r="E2118" t="str">
        <f>_xlfn.XLOOKUP(F2118,'Raw Data'!$I$4:$I$5000,'Raw Data'!$D$4:$D$5000,"*** Mnemonic not found ***",0)</f>
        <v>*** Mnemonic not found ***</v>
      </c>
      <c r="F2118" t="str">
        <f t="shared" si="490"/>
        <v>SUCMAINONLIFEDAC__</v>
      </c>
      <c r="H2118" s="9" t="s">
        <v>1137</v>
      </c>
      <c r="K2118" s="9">
        <f>K2117+1</f>
        <v>902</v>
      </c>
      <c r="L2118" s="9" t="str">
        <f>L2116</f>
        <v>F</v>
      </c>
      <c r="M2118" s="9" t="str">
        <f t="shared" si="492"/>
        <v>Input!F902</v>
      </c>
      <c r="N2118" s="9">
        <f>_xlfn.XLOOKUP(F2118,'Raw Data'!$I$4:$I$5000,'Raw Data'!$E$4:$E$5000,100,0)</f>
        <v>100</v>
      </c>
      <c r="O2118" s="9" t="str">
        <f>IF(N2118=0,_xlfn.XLOOKUP(F2118,'Raw Data'!$I$4:$I$5000,'Raw Data'!$H$4:$H$5000,"",0),"")</f>
        <v/>
      </c>
      <c r="P2118" s="9" t="str" cm="1">
        <f t="array" aca="1" ref="P2118" ca="1">IF(INDIRECT(M2118) = "","",INDIRECT(M2118))</f>
        <v/>
      </c>
      <c r="Q2118" s="359" t="s">
        <v>4381</v>
      </c>
    </row>
    <row r="2119" spans="1:17" x14ac:dyDescent="0.35">
      <c r="A2119" t="s">
        <v>3738</v>
      </c>
      <c r="E2119" t="str">
        <f>_xlfn.XLOOKUP(F2119,'Raw Data'!$I$4:$I$5000,'Raw Data'!$D$4:$D$5000,"*** Mnemonic not found ***",0)</f>
        <v>*** Mnemonic not found ***</v>
      </c>
      <c r="F2119" t="str">
        <f t="shared" si="490"/>
        <v>SUCMAINETUPR__</v>
      </c>
      <c r="H2119" s="9" t="s">
        <v>1137</v>
      </c>
      <c r="K2119" s="9">
        <f>K2118+1</f>
        <v>903</v>
      </c>
      <c r="L2119" s="9" t="str">
        <f>L2116</f>
        <v>F</v>
      </c>
      <c r="M2119" s="9" t="str">
        <f t="shared" ref="M2119" si="493">CONCATENATE(H2119,"!",L2119,K2119)</f>
        <v>Input!F903</v>
      </c>
      <c r="N2119" s="9">
        <f>_xlfn.XLOOKUP(F2119,'Raw Data'!$I$4:$I$5000,'Raw Data'!$E$4:$E$5000,100,0)</f>
        <v>100</v>
      </c>
      <c r="O2119" s="9" t="str">
        <f>IF(N2119=0,_xlfn.XLOOKUP(F2119,'Raw Data'!$I$4:$I$5000,'Raw Data'!$H$4:$H$5000,"",0),"")</f>
        <v/>
      </c>
      <c r="P2119" s="9" t="str" cm="1">
        <f t="array" aca="1" ref="P2119" ca="1">IF(INDIRECT(M2119) = "","",INDIRECT(M2119))</f>
        <v/>
      </c>
      <c r="Q2119" s="359" t="s">
        <v>4381</v>
      </c>
    </row>
    <row r="2120" spans="1:17" x14ac:dyDescent="0.35">
      <c r="A2120" t="s">
        <v>3784</v>
      </c>
      <c r="E2120" t="str">
        <f>_xlfn.XLOOKUP(F2120,'Raw Data'!$I$4:$I$5000,'Raw Data'!$D$4:$D$5000,"*** Mnemonic not found ***",0)</f>
        <v>*** Mnemonic not found ***</v>
      </c>
      <c r="F2120" t="str">
        <f t="shared" si="490"/>
        <v>ADJCAPCOMCAT1__</v>
      </c>
      <c r="G2120" t="s">
        <v>3042</v>
      </c>
      <c r="H2120" s="9" t="s">
        <v>276</v>
      </c>
      <c r="I2120" s="289">
        <f>ROW(section_adj_req_capital)</f>
        <v>2</v>
      </c>
      <c r="J2120" s="9">
        <v>3</v>
      </c>
      <c r="K2120" s="9">
        <f>I2120+J2120</f>
        <v>5</v>
      </c>
      <c r="L2120" s="9" t="s">
        <v>1123</v>
      </c>
      <c r="M2120" s="9" t="str">
        <f t="shared" si="488"/>
        <v>Adjustment!D5</v>
      </c>
      <c r="N2120" s="9">
        <f>_xlfn.XLOOKUP(F2120,'Raw Data'!$I$4:$I$5000,'Raw Data'!$E$4:$E$5000,100,0)</f>
        <v>100</v>
      </c>
      <c r="O2120" s="9" t="str">
        <f>IF(N2120=0,_xlfn.XLOOKUP(F2120,'Raw Data'!$I$4:$I$5000,'Raw Data'!$H$4:$H$5000,"",0),"")</f>
        <v/>
      </c>
      <c r="P2120" s="9" t="str" cm="1">
        <f t="array" aca="1" ref="P2120" ca="1">IF(INDIRECT(M2120) = "","",INDIRECT(M2120))</f>
        <v/>
      </c>
      <c r="Q2120" s="359" t="s">
        <v>4380</v>
      </c>
    </row>
    <row r="2121" spans="1:17" x14ac:dyDescent="0.35">
      <c r="A2121" t="s">
        <v>3785</v>
      </c>
      <c r="E2121" t="str">
        <f>_xlfn.XLOOKUP(F2121,'Raw Data'!$I$4:$I$5000,'Raw Data'!$D$4:$D$5000,"*** Mnemonic not found ***",0)</f>
        <v>*** Mnemonic not found ***</v>
      </c>
      <c r="F2121" t="str">
        <f t="shared" si="490"/>
        <v>ADJCAPCOMCAT2__</v>
      </c>
      <c r="H2121" s="9" t="s">
        <v>276</v>
      </c>
      <c r="K2121" s="9">
        <f>K2120+1</f>
        <v>6</v>
      </c>
      <c r="L2121" s="9" t="str">
        <f>L2120</f>
        <v>D</v>
      </c>
      <c r="M2121" s="9" t="str">
        <f t="shared" si="488"/>
        <v>Adjustment!D6</v>
      </c>
      <c r="N2121" s="9">
        <f>_xlfn.XLOOKUP(F2121,'Raw Data'!$I$4:$I$5000,'Raw Data'!$E$4:$E$5000,100,0)</f>
        <v>100</v>
      </c>
      <c r="O2121" s="9" t="str">
        <f>IF(N2121=0,_xlfn.XLOOKUP(F2121,'Raw Data'!$I$4:$I$5000,'Raw Data'!$H$4:$H$5000,"",0),"")</f>
        <v/>
      </c>
      <c r="P2121" s="9" t="str" cm="1">
        <f t="array" aca="1" ref="P2121" ca="1">IF(INDIRECT(M2121) = "","",INDIRECT(M2121))</f>
        <v/>
      </c>
      <c r="Q2121" s="359" t="s">
        <v>4380</v>
      </c>
    </row>
    <row r="2122" spans="1:17" x14ac:dyDescent="0.35">
      <c r="A2122" t="s">
        <v>3786</v>
      </c>
      <c r="E2122" t="str">
        <f>_xlfn.XLOOKUP(F2122,'Raw Data'!$I$4:$I$5000,'Raw Data'!$D$4:$D$5000,"*** Mnemonic not found ***",0)</f>
        <v>*** Mnemonic not found ***</v>
      </c>
      <c r="F2122" t="str">
        <f t="shared" si="490"/>
        <v>ADJCAPCOMCAT3__</v>
      </c>
      <c r="H2122" s="9" t="s">
        <v>276</v>
      </c>
      <c r="K2122" s="9">
        <f t="shared" ref="K2122:K2139" si="494">K2121+1</f>
        <v>7</v>
      </c>
      <c r="L2122" s="9" t="str">
        <f t="shared" ref="L2122:L2139" si="495">L2121</f>
        <v>D</v>
      </c>
      <c r="M2122" s="9" t="str">
        <f t="shared" si="488"/>
        <v>Adjustment!D7</v>
      </c>
      <c r="N2122" s="9">
        <f>_xlfn.XLOOKUP(F2122,'Raw Data'!$I$4:$I$5000,'Raw Data'!$E$4:$E$5000,100,0)</f>
        <v>100</v>
      </c>
      <c r="O2122" s="9" t="str">
        <f>IF(N2122=0,_xlfn.XLOOKUP(F2122,'Raw Data'!$I$4:$I$5000,'Raw Data'!$H$4:$H$5000,"",0),"")</f>
        <v/>
      </c>
      <c r="P2122" s="9" t="str" cm="1">
        <f t="array" aca="1" ref="P2122" ca="1">IF(INDIRECT(M2122) = "","",INDIRECT(M2122))</f>
        <v/>
      </c>
      <c r="Q2122" s="359" t="s">
        <v>4380</v>
      </c>
    </row>
    <row r="2123" spans="1:17" x14ac:dyDescent="0.35">
      <c r="A2123" t="s">
        <v>3787</v>
      </c>
      <c r="E2123" t="str">
        <f>_xlfn.XLOOKUP(F2123,'Raw Data'!$I$4:$I$5000,'Raw Data'!$D$4:$D$5000,"*** Mnemonic not found ***",0)</f>
        <v>*** Mnemonic not found ***</v>
      </c>
      <c r="F2123" t="str">
        <f t="shared" si="490"/>
        <v>ADJCAPCOMCAT4__</v>
      </c>
      <c r="H2123" s="9" t="s">
        <v>276</v>
      </c>
      <c r="K2123" s="9">
        <f t="shared" si="494"/>
        <v>8</v>
      </c>
      <c r="L2123" s="9" t="str">
        <f t="shared" si="495"/>
        <v>D</v>
      </c>
      <c r="M2123" s="9" t="str">
        <f t="shared" si="488"/>
        <v>Adjustment!D8</v>
      </c>
      <c r="N2123" s="9">
        <f>_xlfn.XLOOKUP(F2123,'Raw Data'!$I$4:$I$5000,'Raw Data'!$E$4:$E$5000,100,0)</f>
        <v>100</v>
      </c>
      <c r="O2123" s="9" t="str">
        <f>IF(N2123=0,_xlfn.XLOOKUP(F2123,'Raw Data'!$I$4:$I$5000,'Raw Data'!$H$4:$H$5000,"",0),"")</f>
        <v/>
      </c>
      <c r="P2123" s="9" t="str" cm="1">
        <f t="array" aca="1" ref="P2123" ca="1">IF(INDIRECT(M2123) = "","",INDIRECT(M2123))</f>
        <v/>
      </c>
      <c r="Q2123" s="359" t="s">
        <v>4380</v>
      </c>
    </row>
    <row r="2124" spans="1:17" x14ac:dyDescent="0.35">
      <c r="A2124" t="s">
        <v>3788</v>
      </c>
      <c r="E2124" t="str">
        <f>_xlfn.XLOOKUP(F2124,'Raw Data'!$I$4:$I$5000,'Raw Data'!$D$4:$D$5000,"*** Mnemonic not found ***",0)</f>
        <v>*** Mnemonic not found ***</v>
      </c>
      <c r="F2124" t="str">
        <f t="shared" si="490"/>
        <v>ADJCAPCOMCAT5__</v>
      </c>
      <c r="H2124" s="9" t="s">
        <v>276</v>
      </c>
      <c r="K2124" s="9">
        <f t="shared" si="494"/>
        <v>9</v>
      </c>
      <c r="L2124" s="9" t="str">
        <f t="shared" si="495"/>
        <v>D</v>
      </c>
      <c r="M2124" s="9" t="str">
        <f t="shared" si="488"/>
        <v>Adjustment!D9</v>
      </c>
      <c r="N2124" s="9">
        <f>_xlfn.XLOOKUP(F2124,'Raw Data'!$I$4:$I$5000,'Raw Data'!$E$4:$E$5000,100,0)</f>
        <v>100</v>
      </c>
      <c r="O2124" s="9" t="str">
        <f>IF(N2124=0,_xlfn.XLOOKUP(F2124,'Raw Data'!$I$4:$I$5000,'Raw Data'!$H$4:$H$5000,"",0),"")</f>
        <v/>
      </c>
      <c r="P2124" s="9" t="str" cm="1">
        <f t="array" aca="1" ref="P2124" ca="1">IF(INDIRECT(M2124) = "","",INDIRECT(M2124))</f>
        <v/>
      </c>
      <c r="Q2124" s="359" t="s">
        <v>4380</v>
      </c>
    </row>
    <row r="2125" spans="1:17" x14ac:dyDescent="0.35">
      <c r="A2125" t="s">
        <v>3789</v>
      </c>
      <c r="E2125" t="str">
        <f>_xlfn.XLOOKUP(F2125,'Raw Data'!$I$4:$I$5000,'Raw Data'!$D$4:$D$5000,"*** Mnemonic not found ***",0)</f>
        <v>*** Mnemonic not found ***</v>
      </c>
      <c r="F2125" t="str">
        <f t="shared" ref="F2125:F2188" si="496">CONCATENATE(A2125,"_",B2125,"_",D2125)</f>
        <v>ADJCAPCOMCAT6__</v>
      </c>
      <c r="H2125" s="9" t="s">
        <v>276</v>
      </c>
      <c r="K2125" s="9">
        <f t="shared" si="494"/>
        <v>10</v>
      </c>
      <c r="L2125" s="9" t="str">
        <f t="shared" si="495"/>
        <v>D</v>
      </c>
      <c r="M2125" s="9" t="str">
        <f t="shared" si="488"/>
        <v>Adjustment!D10</v>
      </c>
      <c r="N2125" s="9">
        <f>_xlfn.XLOOKUP(F2125,'Raw Data'!$I$4:$I$5000,'Raw Data'!$E$4:$E$5000,100,0)</f>
        <v>100</v>
      </c>
      <c r="O2125" s="9" t="str">
        <f>IF(N2125=0,_xlfn.XLOOKUP(F2125,'Raw Data'!$I$4:$I$5000,'Raw Data'!$H$4:$H$5000,"",0),"")</f>
        <v/>
      </c>
      <c r="P2125" s="9" t="str" cm="1">
        <f t="array" aca="1" ref="P2125" ca="1">IF(INDIRECT(M2125) = "","",INDIRECT(M2125))</f>
        <v/>
      </c>
      <c r="Q2125" s="359" t="s">
        <v>4380</v>
      </c>
    </row>
    <row r="2126" spans="1:17" x14ac:dyDescent="0.35">
      <c r="A2126" t="s">
        <v>3790</v>
      </c>
      <c r="E2126" t="str">
        <f>_xlfn.XLOOKUP(F2126,'Raw Data'!$I$4:$I$5000,'Raw Data'!$D$4:$D$5000,"*** Mnemonic not found ***",0)</f>
        <v>*** Mnemonic not found ***</v>
      </c>
      <c r="F2126" t="str">
        <f t="shared" si="496"/>
        <v>ADJCAPCOMCAT7__</v>
      </c>
      <c r="H2126" s="9" t="s">
        <v>276</v>
      </c>
      <c r="K2126" s="9">
        <f t="shared" si="494"/>
        <v>11</v>
      </c>
      <c r="L2126" s="9" t="str">
        <f t="shared" si="495"/>
        <v>D</v>
      </c>
      <c r="M2126" s="9" t="str">
        <f t="shared" si="488"/>
        <v>Adjustment!D11</v>
      </c>
      <c r="N2126" s="9">
        <f>_xlfn.XLOOKUP(F2126,'Raw Data'!$I$4:$I$5000,'Raw Data'!$E$4:$E$5000,100,0)</f>
        <v>100</v>
      </c>
      <c r="O2126" s="9" t="str">
        <f>IF(N2126=0,_xlfn.XLOOKUP(F2126,'Raw Data'!$I$4:$I$5000,'Raw Data'!$H$4:$H$5000,"",0),"")</f>
        <v/>
      </c>
      <c r="P2126" s="9" t="str" cm="1">
        <f t="array" aca="1" ref="P2126" ca="1">IF(INDIRECT(M2126) = "","",INDIRECT(M2126))</f>
        <v/>
      </c>
      <c r="Q2126" s="359" t="s">
        <v>4380</v>
      </c>
    </row>
    <row r="2127" spans="1:17" x14ac:dyDescent="0.35">
      <c r="A2127" t="s">
        <v>3791</v>
      </c>
      <c r="E2127" t="str">
        <f>_xlfn.XLOOKUP(F2127,'Raw Data'!$I$4:$I$5000,'Raw Data'!$D$4:$D$5000,"*** Mnemonic not found ***",0)</f>
        <v>*** Mnemonic not found ***</v>
      </c>
      <c r="F2127" t="str">
        <f t="shared" si="496"/>
        <v>ADJCAPCOMCAT8__</v>
      </c>
      <c r="H2127" s="9" t="s">
        <v>276</v>
      </c>
      <c r="K2127" s="9">
        <f t="shared" si="494"/>
        <v>12</v>
      </c>
      <c r="L2127" s="9" t="str">
        <f t="shared" si="495"/>
        <v>D</v>
      </c>
      <c r="M2127" s="9" t="str">
        <f t="shared" si="488"/>
        <v>Adjustment!D12</v>
      </c>
      <c r="N2127" s="9">
        <f>_xlfn.XLOOKUP(F2127,'Raw Data'!$I$4:$I$5000,'Raw Data'!$E$4:$E$5000,100,0)</f>
        <v>100</v>
      </c>
      <c r="O2127" s="9" t="str">
        <f>IF(N2127=0,_xlfn.XLOOKUP(F2127,'Raw Data'!$I$4:$I$5000,'Raw Data'!$H$4:$H$5000,"",0),"")</f>
        <v/>
      </c>
      <c r="P2127" s="9" t="str" cm="1">
        <f t="array" aca="1" ref="P2127" ca="1">IF(INDIRECT(M2127) = "","",INDIRECT(M2127))</f>
        <v/>
      </c>
      <c r="Q2127" s="359" t="s">
        <v>4380</v>
      </c>
    </row>
    <row r="2128" spans="1:17" x14ac:dyDescent="0.35">
      <c r="A2128" t="s">
        <v>3792</v>
      </c>
      <c r="E2128" t="str">
        <f>_xlfn.XLOOKUP(F2128,'Raw Data'!$I$4:$I$5000,'Raw Data'!$D$4:$D$5000,"*** Mnemonic not found ***",0)</f>
        <v>*** Mnemonic not found ***</v>
      </c>
      <c r="F2128" t="str">
        <f t="shared" si="496"/>
        <v>ADJCAPCOMCAT9__</v>
      </c>
      <c r="H2128" s="9" t="s">
        <v>276</v>
      </c>
      <c r="K2128" s="9">
        <f t="shared" si="494"/>
        <v>13</v>
      </c>
      <c r="L2128" s="9" t="str">
        <f t="shared" si="495"/>
        <v>D</v>
      </c>
      <c r="M2128" s="9" t="str">
        <f t="shared" si="488"/>
        <v>Adjustment!D13</v>
      </c>
      <c r="N2128" s="9">
        <f>_xlfn.XLOOKUP(F2128,'Raw Data'!$I$4:$I$5000,'Raw Data'!$E$4:$E$5000,100,0)</f>
        <v>100</v>
      </c>
      <c r="O2128" s="9" t="str">
        <f>IF(N2128=0,_xlfn.XLOOKUP(F2128,'Raw Data'!$I$4:$I$5000,'Raw Data'!$H$4:$H$5000,"",0),"")</f>
        <v/>
      </c>
      <c r="P2128" s="9" t="str" cm="1">
        <f t="array" aca="1" ref="P2128" ca="1">IF(INDIRECT(M2128) = "","",INDIRECT(M2128))</f>
        <v/>
      </c>
      <c r="Q2128" s="359" t="s">
        <v>4380</v>
      </c>
    </row>
    <row r="2129" spans="1:17" x14ac:dyDescent="0.35">
      <c r="A2129" t="s">
        <v>3793</v>
      </c>
      <c r="E2129" t="str">
        <f>_xlfn.XLOOKUP(F2129,'Raw Data'!$I$4:$I$5000,'Raw Data'!$D$4:$D$5000,"*** Mnemonic not found ***",0)</f>
        <v>*** Mnemonic not found ***</v>
      </c>
      <c r="F2129" t="str">
        <f t="shared" si="496"/>
        <v>ADJCAPCOMCAT10__</v>
      </c>
      <c r="H2129" s="9" t="s">
        <v>276</v>
      </c>
      <c r="K2129" s="9">
        <f t="shared" si="494"/>
        <v>14</v>
      </c>
      <c r="L2129" s="9" t="str">
        <f t="shared" si="495"/>
        <v>D</v>
      </c>
      <c r="M2129" s="9" t="str">
        <f t="shared" si="488"/>
        <v>Adjustment!D14</v>
      </c>
      <c r="N2129" s="9">
        <f>_xlfn.XLOOKUP(F2129,'Raw Data'!$I$4:$I$5000,'Raw Data'!$E$4:$E$5000,100,0)</f>
        <v>100</v>
      </c>
      <c r="O2129" s="9" t="str">
        <f>IF(N2129=0,_xlfn.XLOOKUP(F2129,'Raw Data'!$I$4:$I$5000,'Raw Data'!$H$4:$H$5000,"",0),"")</f>
        <v/>
      </c>
      <c r="P2129" s="9" t="str" cm="1">
        <f t="array" aca="1" ref="P2129" ca="1">IF(INDIRECT(M2129) = "","",INDIRECT(M2129))</f>
        <v/>
      </c>
      <c r="Q2129" s="359" t="s">
        <v>4380</v>
      </c>
    </row>
    <row r="2130" spans="1:17" x14ac:dyDescent="0.35">
      <c r="A2130" t="s">
        <v>3794</v>
      </c>
      <c r="E2130" t="str">
        <f>_xlfn.XLOOKUP(F2130,'Raw Data'!$I$4:$I$5000,'Raw Data'!$D$4:$D$5000,"*** Mnemonic not found ***",0)</f>
        <v>*** Mnemonic not found ***</v>
      </c>
      <c r="F2130" t="str">
        <f t="shared" si="496"/>
        <v>ADJCAPCOMCAT11__</v>
      </c>
      <c r="H2130" s="9" t="s">
        <v>276</v>
      </c>
      <c r="K2130" s="9">
        <f t="shared" si="494"/>
        <v>15</v>
      </c>
      <c r="L2130" s="9" t="str">
        <f t="shared" si="495"/>
        <v>D</v>
      </c>
      <c r="M2130" s="9" t="str">
        <f t="shared" si="488"/>
        <v>Adjustment!D15</v>
      </c>
      <c r="N2130" s="9">
        <f>_xlfn.XLOOKUP(F2130,'Raw Data'!$I$4:$I$5000,'Raw Data'!$E$4:$E$5000,100,0)</f>
        <v>100</v>
      </c>
      <c r="O2130" s="9" t="str">
        <f>IF(N2130=0,_xlfn.XLOOKUP(F2130,'Raw Data'!$I$4:$I$5000,'Raw Data'!$H$4:$H$5000,"",0),"")</f>
        <v/>
      </c>
      <c r="P2130" s="9" t="str" cm="1">
        <f t="array" aca="1" ref="P2130" ca="1">IF(INDIRECT(M2130) = "","",INDIRECT(M2130))</f>
        <v/>
      </c>
      <c r="Q2130" s="359" t="s">
        <v>4380</v>
      </c>
    </row>
    <row r="2131" spans="1:17" x14ac:dyDescent="0.35">
      <c r="A2131" t="s">
        <v>3795</v>
      </c>
      <c r="E2131" t="str">
        <f>_xlfn.XLOOKUP(F2131,'Raw Data'!$I$4:$I$5000,'Raw Data'!$D$4:$D$5000,"*** Mnemonic not found ***",0)</f>
        <v>*** Mnemonic not found ***</v>
      </c>
      <c r="F2131" t="str">
        <f t="shared" si="496"/>
        <v>ADJCAPCOMCAT12__</v>
      </c>
      <c r="H2131" s="9" t="s">
        <v>276</v>
      </c>
      <c r="K2131" s="9">
        <f t="shared" si="494"/>
        <v>16</v>
      </c>
      <c r="L2131" s="9" t="str">
        <f t="shared" si="495"/>
        <v>D</v>
      </c>
      <c r="M2131" s="9" t="str">
        <f t="shared" si="488"/>
        <v>Adjustment!D16</v>
      </c>
      <c r="N2131" s="9">
        <f>_xlfn.XLOOKUP(F2131,'Raw Data'!$I$4:$I$5000,'Raw Data'!$E$4:$E$5000,100,0)</f>
        <v>100</v>
      </c>
      <c r="O2131" s="9" t="str">
        <f>IF(N2131=0,_xlfn.XLOOKUP(F2131,'Raw Data'!$I$4:$I$5000,'Raw Data'!$H$4:$H$5000,"",0),"")</f>
        <v/>
      </c>
      <c r="P2131" s="9" t="str" cm="1">
        <f t="array" aca="1" ref="P2131" ca="1">IF(INDIRECT(M2131) = "","",INDIRECT(M2131))</f>
        <v/>
      </c>
      <c r="Q2131" s="359" t="s">
        <v>4380</v>
      </c>
    </row>
    <row r="2132" spans="1:17" x14ac:dyDescent="0.35">
      <c r="A2132" t="s">
        <v>3796</v>
      </c>
      <c r="E2132" t="str">
        <f>_xlfn.XLOOKUP(F2132,'Raw Data'!$I$4:$I$5000,'Raw Data'!$D$4:$D$5000,"*** Mnemonic not found ***",0)</f>
        <v>*** Mnemonic not found ***</v>
      </c>
      <c r="F2132" t="str">
        <f t="shared" si="496"/>
        <v>ADJCAPCOMCAT13__</v>
      </c>
      <c r="H2132" s="9" t="s">
        <v>276</v>
      </c>
      <c r="K2132" s="9">
        <f t="shared" si="494"/>
        <v>17</v>
      </c>
      <c r="L2132" s="9" t="str">
        <f t="shared" si="495"/>
        <v>D</v>
      </c>
      <c r="M2132" s="9" t="str">
        <f t="shared" si="488"/>
        <v>Adjustment!D17</v>
      </c>
      <c r="N2132" s="9">
        <f>_xlfn.XLOOKUP(F2132,'Raw Data'!$I$4:$I$5000,'Raw Data'!$E$4:$E$5000,100,0)</f>
        <v>100</v>
      </c>
      <c r="O2132" s="9" t="str">
        <f>IF(N2132=0,_xlfn.XLOOKUP(F2132,'Raw Data'!$I$4:$I$5000,'Raw Data'!$H$4:$H$5000,"",0),"")</f>
        <v/>
      </c>
      <c r="P2132" s="9" t="str" cm="1">
        <f t="array" aca="1" ref="P2132" ca="1">IF(INDIRECT(M2132) = "","",INDIRECT(M2132))</f>
        <v/>
      </c>
      <c r="Q2132" s="359" t="s">
        <v>4380</v>
      </c>
    </row>
    <row r="2133" spans="1:17" x14ac:dyDescent="0.35">
      <c r="A2133" t="s">
        <v>3797</v>
      </c>
      <c r="E2133" t="str">
        <f>_xlfn.XLOOKUP(F2133,'Raw Data'!$I$4:$I$5000,'Raw Data'!$D$4:$D$5000,"*** Mnemonic not found ***",0)</f>
        <v>*** Mnemonic not found ***</v>
      </c>
      <c r="F2133" t="str">
        <f t="shared" si="496"/>
        <v>ADJCAPCOMCAT14__</v>
      </c>
      <c r="H2133" s="9" t="s">
        <v>276</v>
      </c>
      <c r="K2133" s="9">
        <f t="shared" si="494"/>
        <v>18</v>
      </c>
      <c r="L2133" s="9" t="str">
        <f t="shared" si="495"/>
        <v>D</v>
      </c>
      <c r="M2133" s="9" t="str">
        <f t="shared" si="488"/>
        <v>Adjustment!D18</v>
      </c>
      <c r="N2133" s="9">
        <f>_xlfn.XLOOKUP(F2133,'Raw Data'!$I$4:$I$5000,'Raw Data'!$E$4:$E$5000,100,0)</f>
        <v>100</v>
      </c>
      <c r="O2133" s="9" t="str">
        <f>IF(N2133=0,_xlfn.XLOOKUP(F2133,'Raw Data'!$I$4:$I$5000,'Raw Data'!$H$4:$H$5000,"",0),"")</f>
        <v/>
      </c>
      <c r="P2133" s="9" t="str" cm="1">
        <f t="array" aca="1" ref="P2133" ca="1">IF(INDIRECT(M2133) = "","",INDIRECT(M2133))</f>
        <v/>
      </c>
      <c r="Q2133" s="359" t="s">
        <v>4380</v>
      </c>
    </row>
    <row r="2134" spans="1:17" x14ac:dyDescent="0.35">
      <c r="A2134" t="s">
        <v>3798</v>
      </c>
      <c r="E2134" t="str">
        <f>_xlfn.XLOOKUP(F2134,'Raw Data'!$I$4:$I$5000,'Raw Data'!$D$4:$D$5000,"*** Mnemonic not found ***",0)</f>
        <v>*** Mnemonic not found ***</v>
      </c>
      <c r="F2134" t="str">
        <f t="shared" si="496"/>
        <v>ADJCAPCOMCAT15__</v>
      </c>
      <c r="H2134" s="9" t="s">
        <v>276</v>
      </c>
      <c r="K2134" s="9">
        <f t="shared" si="494"/>
        <v>19</v>
      </c>
      <c r="L2134" s="9" t="str">
        <f t="shared" si="495"/>
        <v>D</v>
      </c>
      <c r="M2134" s="9" t="str">
        <f t="shared" si="488"/>
        <v>Adjustment!D19</v>
      </c>
      <c r="N2134" s="9">
        <f>_xlfn.XLOOKUP(F2134,'Raw Data'!$I$4:$I$5000,'Raw Data'!$E$4:$E$5000,100,0)</f>
        <v>100</v>
      </c>
      <c r="O2134" s="9" t="str">
        <f>IF(N2134=0,_xlfn.XLOOKUP(F2134,'Raw Data'!$I$4:$I$5000,'Raw Data'!$H$4:$H$5000,"",0),"")</f>
        <v/>
      </c>
      <c r="P2134" s="9" t="str" cm="1">
        <f t="array" aca="1" ref="P2134" ca="1">IF(INDIRECT(M2134) = "","",INDIRECT(M2134))</f>
        <v/>
      </c>
      <c r="Q2134" s="359" t="s">
        <v>4380</v>
      </c>
    </row>
    <row r="2135" spans="1:17" x14ac:dyDescent="0.35">
      <c r="A2135" t="s">
        <v>3799</v>
      </c>
      <c r="E2135" t="str">
        <f>_xlfn.XLOOKUP(F2135,'Raw Data'!$I$4:$I$5000,'Raw Data'!$D$4:$D$5000,"*** Mnemonic not found ***",0)</f>
        <v>*** Mnemonic not found ***</v>
      </c>
      <c r="F2135" t="str">
        <f t="shared" si="496"/>
        <v>ADJCAPCOMCAT16__</v>
      </c>
      <c r="H2135" s="9" t="s">
        <v>276</v>
      </c>
      <c r="K2135" s="9">
        <f t="shared" si="494"/>
        <v>20</v>
      </c>
      <c r="L2135" s="9" t="str">
        <f t="shared" si="495"/>
        <v>D</v>
      </c>
      <c r="M2135" s="9" t="str">
        <f t="shared" si="488"/>
        <v>Adjustment!D20</v>
      </c>
      <c r="N2135" s="9">
        <f>_xlfn.XLOOKUP(F2135,'Raw Data'!$I$4:$I$5000,'Raw Data'!$E$4:$E$5000,100,0)</f>
        <v>100</v>
      </c>
      <c r="O2135" s="9" t="str">
        <f>IF(N2135=0,_xlfn.XLOOKUP(F2135,'Raw Data'!$I$4:$I$5000,'Raw Data'!$H$4:$H$5000,"",0),"")</f>
        <v/>
      </c>
      <c r="P2135" s="9" t="str" cm="1">
        <f t="array" aca="1" ref="P2135" ca="1">IF(INDIRECT(M2135) = "","",INDIRECT(M2135))</f>
        <v/>
      </c>
      <c r="Q2135" s="359" t="s">
        <v>4380</v>
      </c>
    </row>
    <row r="2136" spans="1:17" x14ac:dyDescent="0.35">
      <c r="A2136" t="s">
        <v>3800</v>
      </c>
      <c r="E2136" t="str">
        <f>_xlfn.XLOOKUP(F2136,'Raw Data'!$I$4:$I$5000,'Raw Data'!$D$4:$D$5000,"*** Mnemonic not found ***",0)</f>
        <v>*** Mnemonic not found ***</v>
      </c>
      <c r="F2136" t="str">
        <f t="shared" si="496"/>
        <v>ADJCAPCOMCAT17__</v>
      </c>
      <c r="H2136" s="9" t="s">
        <v>276</v>
      </c>
      <c r="K2136" s="9">
        <f t="shared" si="494"/>
        <v>21</v>
      </c>
      <c r="L2136" s="9" t="str">
        <f t="shared" si="495"/>
        <v>D</v>
      </c>
      <c r="M2136" s="9" t="str">
        <f t="shared" si="488"/>
        <v>Adjustment!D21</v>
      </c>
      <c r="N2136" s="9">
        <f>_xlfn.XLOOKUP(F2136,'Raw Data'!$I$4:$I$5000,'Raw Data'!$E$4:$E$5000,100,0)</f>
        <v>100</v>
      </c>
      <c r="O2136" s="9" t="str">
        <f>IF(N2136=0,_xlfn.XLOOKUP(F2136,'Raw Data'!$I$4:$I$5000,'Raw Data'!$H$4:$H$5000,"",0),"")</f>
        <v/>
      </c>
      <c r="P2136" s="9" t="str" cm="1">
        <f t="array" aca="1" ref="P2136" ca="1">IF(INDIRECT(M2136) = "","",INDIRECT(M2136))</f>
        <v/>
      </c>
      <c r="Q2136" s="359" t="s">
        <v>4380</v>
      </c>
    </row>
    <row r="2137" spans="1:17" x14ac:dyDescent="0.35">
      <c r="A2137" t="s">
        <v>3801</v>
      </c>
      <c r="E2137" t="str">
        <f>_xlfn.XLOOKUP(F2137,'Raw Data'!$I$4:$I$5000,'Raw Data'!$D$4:$D$5000,"*** Mnemonic not found ***",0)</f>
        <v>*** Mnemonic not found ***</v>
      </c>
      <c r="F2137" t="str">
        <f t="shared" si="496"/>
        <v>ADJCAPCOMCAT18__</v>
      </c>
      <c r="H2137" s="9" t="s">
        <v>276</v>
      </c>
      <c r="K2137" s="9">
        <f t="shared" si="494"/>
        <v>22</v>
      </c>
      <c r="L2137" s="9" t="str">
        <f t="shared" si="495"/>
        <v>D</v>
      </c>
      <c r="M2137" s="9" t="str">
        <f t="shared" si="488"/>
        <v>Adjustment!D22</v>
      </c>
      <c r="N2137" s="9">
        <f>_xlfn.XLOOKUP(F2137,'Raw Data'!$I$4:$I$5000,'Raw Data'!$E$4:$E$5000,100,0)</f>
        <v>100</v>
      </c>
      <c r="O2137" s="9" t="str">
        <f>IF(N2137=0,_xlfn.XLOOKUP(F2137,'Raw Data'!$I$4:$I$5000,'Raw Data'!$H$4:$H$5000,"",0),"")</f>
        <v/>
      </c>
      <c r="P2137" s="9" t="str" cm="1">
        <f t="array" aca="1" ref="P2137" ca="1">IF(INDIRECT(M2137) = "","",INDIRECT(M2137))</f>
        <v/>
      </c>
      <c r="Q2137" s="359" t="s">
        <v>4380</v>
      </c>
    </row>
    <row r="2138" spans="1:17" x14ac:dyDescent="0.35">
      <c r="A2138" t="s">
        <v>3802</v>
      </c>
      <c r="E2138" t="str">
        <f>_xlfn.XLOOKUP(F2138,'Raw Data'!$I$4:$I$5000,'Raw Data'!$D$4:$D$5000,"*** Mnemonic not found ***",0)</f>
        <v>*** Mnemonic not found ***</v>
      </c>
      <c r="F2138" t="str">
        <f t="shared" si="496"/>
        <v>ADJCAPCOMCAT19__</v>
      </c>
      <c r="H2138" s="9" t="s">
        <v>276</v>
      </c>
      <c r="K2138" s="9">
        <f t="shared" si="494"/>
        <v>23</v>
      </c>
      <c r="L2138" s="9" t="str">
        <f t="shared" si="495"/>
        <v>D</v>
      </c>
      <c r="M2138" s="9" t="str">
        <f t="shared" si="488"/>
        <v>Adjustment!D23</v>
      </c>
      <c r="N2138" s="9">
        <f>_xlfn.XLOOKUP(F2138,'Raw Data'!$I$4:$I$5000,'Raw Data'!$E$4:$E$5000,100,0)</f>
        <v>100</v>
      </c>
      <c r="O2138" s="9" t="str">
        <f>IF(N2138=0,_xlfn.XLOOKUP(F2138,'Raw Data'!$I$4:$I$5000,'Raw Data'!$H$4:$H$5000,"",0),"")</f>
        <v/>
      </c>
      <c r="P2138" s="9" t="str" cm="1">
        <f t="array" aca="1" ref="P2138" ca="1">IF(INDIRECT(M2138) = "","",INDIRECT(M2138))</f>
        <v/>
      </c>
      <c r="Q2138" s="359" t="s">
        <v>4380</v>
      </c>
    </row>
    <row r="2139" spans="1:17" x14ac:dyDescent="0.35">
      <c r="A2139" t="s">
        <v>3803</v>
      </c>
      <c r="E2139" t="str">
        <f>_xlfn.XLOOKUP(F2139,'Raw Data'!$I$4:$I$5000,'Raw Data'!$D$4:$D$5000,"*** Mnemonic not found ***",0)</f>
        <v>*** Mnemonic not found ***</v>
      </c>
      <c r="F2139" t="str">
        <f t="shared" si="496"/>
        <v>ADJCAPCOMCAT20__</v>
      </c>
      <c r="H2139" s="9" t="s">
        <v>276</v>
      </c>
      <c r="K2139" s="9">
        <f t="shared" si="494"/>
        <v>24</v>
      </c>
      <c r="L2139" s="9" t="str">
        <f t="shared" si="495"/>
        <v>D</v>
      </c>
      <c r="M2139" s="9" t="str">
        <f t="shared" si="488"/>
        <v>Adjustment!D24</v>
      </c>
      <c r="N2139" s="9">
        <f>_xlfn.XLOOKUP(F2139,'Raw Data'!$I$4:$I$5000,'Raw Data'!$E$4:$E$5000,100,0)</f>
        <v>100</v>
      </c>
      <c r="O2139" s="9" t="str">
        <f>IF(N2139=0,_xlfn.XLOOKUP(F2139,'Raw Data'!$I$4:$I$5000,'Raw Data'!$H$4:$H$5000,"",0),"")</f>
        <v/>
      </c>
      <c r="P2139" s="9" t="str" cm="1">
        <f t="array" aca="1" ref="P2139" ca="1">IF(INDIRECT(M2139) = "","",INDIRECT(M2139))</f>
        <v/>
      </c>
      <c r="Q2139" s="359" t="s">
        <v>4380</v>
      </c>
    </row>
    <row r="2140" spans="1:17" x14ac:dyDescent="0.35">
      <c r="A2140" t="s">
        <v>3804</v>
      </c>
      <c r="E2140" t="str">
        <f>_xlfn.XLOOKUP(F2140,'Raw Data'!$I$4:$I$5000,'Raw Data'!$D$4:$D$5000,"*** Mnemonic not found ***",0)</f>
        <v>*** Mnemonic not found ***</v>
      </c>
      <c r="F2140" t="str">
        <f t="shared" si="496"/>
        <v>ADJCAPCOMEXPAMT1__</v>
      </c>
      <c r="H2140" s="9" t="s">
        <v>276</v>
      </c>
      <c r="K2140" s="9">
        <f>K2120</f>
        <v>5</v>
      </c>
      <c r="L2140" s="9" t="s">
        <v>1122</v>
      </c>
      <c r="M2140" s="9" t="str">
        <f t="shared" si="488"/>
        <v>Adjustment!E5</v>
      </c>
      <c r="N2140" s="9">
        <f>_xlfn.XLOOKUP(F2140,'Raw Data'!$I$4:$I$5000,'Raw Data'!$E$4:$E$5000,100,0)</f>
        <v>100</v>
      </c>
      <c r="O2140" s="9" t="str">
        <f>IF(N2140=0,_xlfn.XLOOKUP(F2140,'Raw Data'!$I$4:$I$5000,'Raw Data'!$H$4:$H$5000,"",0),"")</f>
        <v/>
      </c>
      <c r="P2140" s="9" t="str" cm="1">
        <f t="array" aca="1" ref="P2140" ca="1">IF(INDIRECT(M2140) = "","",INDIRECT(M2140))</f>
        <v/>
      </c>
      <c r="Q2140" s="359" t="s">
        <v>4381</v>
      </c>
    </row>
    <row r="2141" spans="1:17" x14ac:dyDescent="0.35">
      <c r="A2141" t="s">
        <v>3805</v>
      </c>
      <c r="E2141" t="str">
        <f>_xlfn.XLOOKUP(F2141,'Raw Data'!$I$4:$I$5000,'Raw Data'!$D$4:$D$5000,"*** Mnemonic not found ***",0)</f>
        <v>*** Mnemonic not found ***</v>
      </c>
      <c r="F2141" t="str">
        <f t="shared" si="496"/>
        <v>ADJCAPCOMEXPAMT2__</v>
      </c>
      <c r="H2141" s="9" t="s">
        <v>276</v>
      </c>
      <c r="K2141" s="9">
        <f>K2140+1</f>
        <v>6</v>
      </c>
      <c r="L2141" s="9" t="str">
        <f>L2140</f>
        <v>E</v>
      </c>
      <c r="M2141" s="9" t="str">
        <f t="shared" si="488"/>
        <v>Adjustment!E6</v>
      </c>
      <c r="N2141" s="9">
        <f>_xlfn.XLOOKUP(F2141,'Raw Data'!$I$4:$I$5000,'Raw Data'!$E$4:$E$5000,100,0)</f>
        <v>100</v>
      </c>
      <c r="O2141" s="9" t="str">
        <f>IF(N2141=0,_xlfn.XLOOKUP(F2141,'Raw Data'!$I$4:$I$5000,'Raw Data'!$H$4:$H$5000,"",0),"")</f>
        <v/>
      </c>
      <c r="P2141" s="9" t="str" cm="1">
        <f t="array" aca="1" ref="P2141" ca="1">IF(INDIRECT(M2141) = "","",INDIRECT(M2141))</f>
        <v/>
      </c>
      <c r="Q2141" s="359" t="s">
        <v>4381</v>
      </c>
    </row>
    <row r="2142" spans="1:17" x14ac:dyDescent="0.35">
      <c r="A2142" t="s">
        <v>3806</v>
      </c>
      <c r="E2142" t="str">
        <f>_xlfn.XLOOKUP(F2142,'Raw Data'!$I$4:$I$5000,'Raw Data'!$D$4:$D$5000,"*** Mnemonic not found ***",0)</f>
        <v>*** Mnemonic not found ***</v>
      </c>
      <c r="F2142" t="str">
        <f t="shared" si="496"/>
        <v>ADJCAPCOMEXPAMT3__</v>
      </c>
      <c r="H2142" s="9" t="s">
        <v>276</v>
      </c>
      <c r="K2142" s="9">
        <f t="shared" ref="K2142:K2159" si="497">K2141+1</f>
        <v>7</v>
      </c>
      <c r="L2142" s="9" t="str">
        <f t="shared" ref="L2142:L2159" si="498">L2141</f>
        <v>E</v>
      </c>
      <c r="M2142" s="9" t="str">
        <f t="shared" si="488"/>
        <v>Adjustment!E7</v>
      </c>
      <c r="N2142" s="9">
        <f>_xlfn.XLOOKUP(F2142,'Raw Data'!$I$4:$I$5000,'Raw Data'!$E$4:$E$5000,100,0)</f>
        <v>100</v>
      </c>
      <c r="O2142" s="9" t="str">
        <f>IF(N2142=0,_xlfn.XLOOKUP(F2142,'Raw Data'!$I$4:$I$5000,'Raw Data'!$H$4:$H$5000,"",0),"")</f>
        <v/>
      </c>
      <c r="P2142" s="9" t="str" cm="1">
        <f t="array" aca="1" ref="P2142" ca="1">IF(INDIRECT(M2142) = "","",INDIRECT(M2142))</f>
        <v/>
      </c>
      <c r="Q2142" s="359" t="s">
        <v>4381</v>
      </c>
    </row>
    <row r="2143" spans="1:17" x14ac:dyDescent="0.35">
      <c r="A2143" t="s">
        <v>3807</v>
      </c>
      <c r="E2143" t="str">
        <f>_xlfn.XLOOKUP(F2143,'Raw Data'!$I$4:$I$5000,'Raw Data'!$D$4:$D$5000,"*** Mnemonic not found ***",0)</f>
        <v>*** Mnemonic not found ***</v>
      </c>
      <c r="F2143" t="str">
        <f t="shared" si="496"/>
        <v>ADJCAPCOMEXPAMT4__</v>
      </c>
      <c r="H2143" s="9" t="s">
        <v>276</v>
      </c>
      <c r="K2143" s="9">
        <f t="shared" si="497"/>
        <v>8</v>
      </c>
      <c r="L2143" s="9" t="str">
        <f t="shared" si="498"/>
        <v>E</v>
      </c>
      <c r="M2143" s="9" t="str">
        <f t="shared" si="488"/>
        <v>Adjustment!E8</v>
      </c>
      <c r="N2143" s="9">
        <f>_xlfn.XLOOKUP(F2143,'Raw Data'!$I$4:$I$5000,'Raw Data'!$E$4:$E$5000,100,0)</f>
        <v>100</v>
      </c>
      <c r="O2143" s="9" t="str">
        <f>IF(N2143=0,_xlfn.XLOOKUP(F2143,'Raw Data'!$I$4:$I$5000,'Raw Data'!$H$4:$H$5000,"",0),"")</f>
        <v/>
      </c>
      <c r="P2143" s="9" t="str" cm="1">
        <f t="array" aca="1" ref="P2143" ca="1">IF(INDIRECT(M2143) = "","",INDIRECT(M2143))</f>
        <v/>
      </c>
      <c r="Q2143" s="359" t="s">
        <v>4381</v>
      </c>
    </row>
    <row r="2144" spans="1:17" x14ac:dyDescent="0.35">
      <c r="A2144" t="s">
        <v>3808</v>
      </c>
      <c r="E2144" t="str">
        <f>_xlfn.XLOOKUP(F2144,'Raw Data'!$I$4:$I$5000,'Raw Data'!$D$4:$D$5000,"*** Mnemonic not found ***",0)</f>
        <v>*** Mnemonic not found ***</v>
      </c>
      <c r="F2144" t="str">
        <f t="shared" si="496"/>
        <v>ADJCAPCOMEXPAMT5__</v>
      </c>
      <c r="H2144" s="9" t="s">
        <v>276</v>
      </c>
      <c r="K2144" s="9">
        <f t="shared" si="497"/>
        <v>9</v>
      </c>
      <c r="L2144" s="9" t="str">
        <f t="shared" si="498"/>
        <v>E</v>
      </c>
      <c r="M2144" s="9" t="str">
        <f t="shared" si="488"/>
        <v>Adjustment!E9</v>
      </c>
      <c r="N2144" s="9">
        <f>_xlfn.XLOOKUP(F2144,'Raw Data'!$I$4:$I$5000,'Raw Data'!$E$4:$E$5000,100,0)</f>
        <v>100</v>
      </c>
      <c r="O2144" s="9" t="str">
        <f>IF(N2144=0,_xlfn.XLOOKUP(F2144,'Raw Data'!$I$4:$I$5000,'Raw Data'!$H$4:$H$5000,"",0),"")</f>
        <v/>
      </c>
      <c r="P2144" s="9" t="str" cm="1">
        <f t="array" aca="1" ref="P2144" ca="1">IF(INDIRECT(M2144) = "","",INDIRECT(M2144))</f>
        <v/>
      </c>
      <c r="Q2144" s="359" t="s">
        <v>4381</v>
      </c>
    </row>
    <row r="2145" spans="1:17" x14ac:dyDescent="0.35">
      <c r="A2145" t="s">
        <v>3809</v>
      </c>
      <c r="E2145" t="str">
        <f>_xlfn.XLOOKUP(F2145,'Raw Data'!$I$4:$I$5000,'Raw Data'!$D$4:$D$5000,"*** Mnemonic not found ***",0)</f>
        <v>*** Mnemonic not found ***</v>
      </c>
      <c r="F2145" t="str">
        <f t="shared" si="496"/>
        <v>ADJCAPCOMEXPAMT6__</v>
      </c>
      <c r="H2145" s="9" t="s">
        <v>276</v>
      </c>
      <c r="K2145" s="9">
        <f t="shared" si="497"/>
        <v>10</v>
      </c>
      <c r="L2145" s="9" t="str">
        <f t="shared" si="498"/>
        <v>E</v>
      </c>
      <c r="M2145" s="9" t="str">
        <f t="shared" si="488"/>
        <v>Adjustment!E10</v>
      </c>
      <c r="N2145" s="9">
        <f>_xlfn.XLOOKUP(F2145,'Raw Data'!$I$4:$I$5000,'Raw Data'!$E$4:$E$5000,100,0)</f>
        <v>100</v>
      </c>
      <c r="O2145" s="9" t="str">
        <f>IF(N2145=0,_xlfn.XLOOKUP(F2145,'Raw Data'!$I$4:$I$5000,'Raw Data'!$H$4:$H$5000,"",0),"")</f>
        <v/>
      </c>
      <c r="P2145" s="9" t="str" cm="1">
        <f t="array" aca="1" ref="P2145" ca="1">IF(INDIRECT(M2145) = "","",INDIRECT(M2145))</f>
        <v/>
      </c>
      <c r="Q2145" s="359" t="s">
        <v>4381</v>
      </c>
    </row>
    <row r="2146" spans="1:17" x14ac:dyDescent="0.35">
      <c r="A2146" t="s">
        <v>3810</v>
      </c>
      <c r="E2146" t="str">
        <f>_xlfn.XLOOKUP(F2146,'Raw Data'!$I$4:$I$5000,'Raw Data'!$D$4:$D$5000,"*** Mnemonic not found ***",0)</f>
        <v>*** Mnemonic not found ***</v>
      </c>
      <c r="F2146" t="str">
        <f t="shared" si="496"/>
        <v>ADJCAPCOMEXPAMT7__</v>
      </c>
      <c r="H2146" s="9" t="s">
        <v>276</v>
      </c>
      <c r="K2146" s="9">
        <f t="shared" si="497"/>
        <v>11</v>
      </c>
      <c r="L2146" s="9" t="str">
        <f t="shared" si="498"/>
        <v>E</v>
      </c>
      <c r="M2146" s="9" t="str">
        <f t="shared" si="488"/>
        <v>Adjustment!E11</v>
      </c>
      <c r="N2146" s="9">
        <f>_xlfn.XLOOKUP(F2146,'Raw Data'!$I$4:$I$5000,'Raw Data'!$E$4:$E$5000,100,0)</f>
        <v>100</v>
      </c>
      <c r="O2146" s="9" t="str">
        <f>IF(N2146=0,_xlfn.XLOOKUP(F2146,'Raw Data'!$I$4:$I$5000,'Raw Data'!$H$4:$H$5000,"",0),"")</f>
        <v/>
      </c>
      <c r="P2146" s="9" t="str" cm="1">
        <f t="array" aca="1" ref="P2146" ca="1">IF(INDIRECT(M2146) = "","",INDIRECT(M2146))</f>
        <v/>
      </c>
      <c r="Q2146" s="359" t="s">
        <v>4381</v>
      </c>
    </row>
    <row r="2147" spans="1:17" x14ac:dyDescent="0.35">
      <c r="A2147" t="s">
        <v>3811</v>
      </c>
      <c r="E2147" t="str">
        <f>_xlfn.XLOOKUP(F2147,'Raw Data'!$I$4:$I$5000,'Raw Data'!$D$4:$D$5000,"*** Mnemonic not found ***",0)</f>
        <v>*** Mnemonic not found ***</v>
      </c>
      <c r="F2147" t="str">
        <f t="shared" si="496"/>
        <v>ADJCAPCOMEXPAMT8__</v>
      </c>
      <c r="H2147" s="9" t="s">
        <v>276</v>
      </c>
      <c r="K2147" s="9">
        <f t="shared" si="497"/>
        <v>12</v>
      </c>
      <c r="L2147" s="9" t="str">
        <f t="shared" si="498"/>
        <v>E</v>
      </c>
      <c r="M2147" s="9" t="str">
        <f t="shared" si="488"/>
        <v>Adjustment!E12</v>
      </c>
      <c r="N2147" s="9">
        <f>_xlfn.XLOOKUP(F2147,'Raw Data'!$I$4:$I$5000,'Raw Data'!$E$4:$E$5000,100,0)</f>
        <v>100</v>
      </c>
      <c r="O2147" s="9" t="str">
        <f>IF(N2147=0,_xlfn.XLOOKUP(F2147,'Raw Data'!$I$4:$I$5000,'Raw Data'!$H$4:$H$5000,"",0),"")</f>
        <v/>
      </c>
      <c r="P2147" s="9" t="str" cm="1">
        <f t="array" aca="1" ref="P2147" ca="1">IF(INDIRECT(M2147) = "","",INDIRECT(M2147))</f>
        <v/>
      </c>
      <c r="Q2147" s="359" t="s">
        <v>4381</v>
      </c>
    </row>
    <row r="2148" spans="1:17" x14ac:dyDescent="0.35">
      <c r="A2148" t="s">
        <v>3812</v>
      </c>
      <c r="E2148" t="str">
        <f>_xlfn.XLOOKUP(F2148,'Raw Data'!$I$4:$I$5000,'Raw Data'!$D$4:$D$5000,"*** Mnemonic not found ***",0)</f>
        <v>*** Mnemonic not found ***</v>
      </c>
      <c r="F2148" t="str">
        <f t="shared" si="496"/>
        <v>ADJCAPCOMEXPAMT9__</v>
      </c>
      <c r="H2148" s="9" t="s">
        <v>276</v>
      </c>
      <c r="K2148" s="9">
        <f t="shared" si="497"/>
        <v>13</v>
      </c>
      <c r="L2148" s="9" t="str">
        <f t="shared" si="498"/>
        <v>E</v>
      </c>
      <c r="M2148" s="9" t="str">
        <f t="shared" si="488"/>
        <v>Adjustment!E13</v>
      </c>
      <c r="N2148" s="9">
        <f>_xlfn.XLOOKUP(F2148,'Raw Data'!$I$4:$I$5000,'Raw Data'!$E$4:$E$5000,100,0)</f>
        <v>100</v>
      </c>
      <c r="O2148" s="9" t="str">
        <f>IF(N2148=0,_xlfn.XLOOKUP(F2148,'Raw Data'!$I$4:$I$5000,'Raw Data'!$H$4:$H$5000,"",0),"")</f>
        <v/>
      </c>
      <c r="P2148" s="9" t="str" cm="1">
        <f t="array" aca="1" ref="P2148" ca="1">IF(INDIRECT(M2148) = "","",INDIRECT(M2148))</f>
        <v/>
      </c>
      <c r="Q2148" s="359" t="s">
        <v>4381</v>
      </c>
    </row>
    <row r="2149" spans="1:17" x14ac:dyDescent="0.35">
      <c r="A2149" t="s">
        <v>3813</v>
      </c>
      <c r="E2149" t="str">
        <f>_xlfn.XLOOKUP(F2149,'Raw Data'!$I$4:$I$5000,'Raw Data'!$D$4:$D$5000,"*** Mnemonic not found ***",0)</f>
        <v>*** Mnemonic not found ***</v>
      </c>
      <c r="F2149" t="str">
        <f t="shared" si="496"/>
        <v>ADJCAPCOMEXPAMT10__</v>
      </c>
      <c r="H2149" s="9" t="s">
        <v>276</v>
      </c>
      <c r="K2149" s="9">
        <f t="shared" si="497"/>
        <v>14</v>
      </c>
      <c r="L2149" s="9" t="str">
        <f t="shared" si="498"/>
        <v>E</v>
      </c>
      <c r="M2149" s="9" t="str">
        <f t="shared" si="488"/>
        <v>Adjustment!E14</v>
      </c>
      <c r="N2149" s="9">
        <f>_xlfn.XLOOKUP(F2149,'Raw Data'!$I$4:$I$5000,'Raw Data'!$E$4:$E$5000,100,0)</f>
        <v>100</v>
      </c>
      <c r="O2149" s="9" t="str">
        <f>IF(N2149=0,_xlfn.XLOOKUP(F2149,'Raw Data'!$I$4:$I$5000,'Raw Data'!$H$4:$H$5000,"",0),"")</f>
        <v/>
      </c>
      <c r="P2149" s="9" t="str" cm="1">
        <f t="array" aca="1" ref="P2149" ca="1">IF(INDIRECT(M2149) = "","",INDIRECT(M2149))</f>
        <v/>
      </c>
      <c r="Q2149" s="359" t="s">
        <v>4381</v>
      </c>
    </row>
    <row r="2150" spans="1:17" x14ac:dyDescent="0.35">
      <c r="A2150" t="s">
        <v>3814</v>
      </c>
      <c r="E2150" t="str">
        <f>_xlfn.XLOOKUP(F2150,'Raw Data'!$I$4:$I$5000,'Raw Data'!$D$4:$D$5000,"*** Mnemonic not found ***",0)</f>
        <v>*** Mnemonic not found ***</v>
      </c>
      <c r="F2150" t="str">
        <f t="shared" si="496"/>
        <v>ADJCAPCOMEXPAMT11__</v>
      </c>
      <c r="H2150" s="9" t="s">
        <v>276</v>
      </c>
      <c r="K2150" s="9">
        <f t="shared" si="497"/>
        <v>15</v>
      </c>
      <c r="L2150" s="9" t="str">
        <f t="shared" si="498"/>
        <v>E</v>
      </c>
      <c r="M2150" s="9" t="str">
        <f t="shared" si="488"/>
        <v>Adjustment!E15</v>
      </c>
      <c r="N2150" s="9">
        <f>_xlfn.XLOOKUP(F2150,'Raw Data'!$I$4:$I$5000,'Raw Data'!$E$4:$E$5000,100,0)</f>
        <v>100</v>
      </c>
      <c r="O2150" s="9" t="str">
        <f>IF(N2150=0,_xlfn.XLOOKUP(F2150,'Raw Data'!$I$4:$I$5000,'Raw Data'!$H$4:$H$5000,"",0),"")</f>
        <v/>
      </c>
      <c r="P2150" s="9" t="str" cm="1">
        <f t="array" aca="1" ref="P2150" ca="1">IF(INDIRECT(M2150) = "","",INDIRECT(M2150))</f>
        <v/>
      </c>
      <c r="Q2150" s="359" t="s">
        <v>4381</v>
      </c>
    </row>
    <row r="2151" spans="1:17" x14ac:dyDescent="0.35">
      <c r="A2151" t="s">
        <v>3815</v>
      </c>
      <c r="E2151" t="str">
        <f>_xlfn.XLOOKUP(F2151,'Raw Data'!$I$4:$I$5000,'Raw Data'!$D$4:$D$5000,"*** Mnemonic not found ***",0)</f>
        <v>*** Mnemonic not found ***</v>
      </c>
      <c r="F2151" t="str">
        <f t="shared" si="496"/>
        <v>ADJCAPCOMEXPAMT12__</v>
      </c>
      <c r="H2151" s="9" t="s">
        <v>276</v>
      </c>
      <c r="K2151" s="9">
        <f t="shared" si="497"/>
        <v>16</v>
      </c>
      <c r="L2151" s="9" t="str">
        <f t="shared" si="498"/>
        <v>E</v>
      </c>
      <c r="M2151" s="9" t="str">
        <f t="shared" si="488"/>
        <v>Adjustment!E16</v>
      </c>
      <c r="N2151" s="9">
        <f>_xlfn.XLOOKUP(F2151,'Raw Data'!$I$4:$I$5000,'Raw Data'!$E$4:$E$5000,100,0)</f>
        <v>100</v>
      </c>
      <c r="O2151" s="9" t="str">
        <f>IF(N2151=0,_xlfn.XLOOKUP(F2151,'Raw Data'!$I$4:$I$5000,'Raw Data'!$H$4:$H$5000,"",0),"")</f>
        <v/>
      </c>
      <c r="P2151" s="9" t="str" cm="1">
        <f t="array" aca="1" ref="P2151" ca="1">IF(INDIRECT(M2151) = "","",INDIRECT(M2151))</f>
        <v/>
      </c>
      <c r="Q2151" s="359" t="s">
        <v>4381</v>
      </c>
    </row>
    <row r="2152" spans="1:17" x14ac:dyDescent="0.35">
      <c r="A2152" t="s">
        <v>3816</v>
      </c>
      <c r="E2152" t="str">
        <f>_xlfn.XLOOKUP(F2152,'Raw Data'!$I$4:$I$5000,'Raw Data'!$D$4:$D$5000,"*** Mnemonic not found ***",0)</f>
        <v>*** Mnemonic not found ***</v>
      </c>
      <c r="F2152" t="str">
        <f t="shared" si="496"/>
        <v>ADJCAPCOMEXPAMT13__</v>
      </c>
      <c r="H2152" s="9" t="s">
        <v>276</v>
      </c>
      <c r="K2152" s="9">
        <f t="shared" si="497"/>
        <v>17</v>
      </c>
      <c r="L2152" s="9" t="str">
        <f t="shared" si="498"/>
        <v>E</v>
      </c>
      <c r="M2152" s="9" t="str">
        <f t="shared" si="488"/>
        <v>Adjustment!E17</v>
      </c>
      <c r="N2152" s="9">
        <f>_xlfn.XLOOKUP(F2152,'Raw Data'!$I$4:$I$5000,'Raw Data'!$E$4:$E$5000,100,0)</f>
        <v>100</v>
      </c>
      <c r="O2152" s="9" t="str">
        <f>IF(N2152=0,_xlfn.XLOOKUP(F2152,'Raw Data'!$I$4:$I$5000,'Raw Data'!$H$4:$H$5000,"",0),"")</f>
        <v/>
      </c>
      <c r="P2152" s="9" t="str" cm="1">
        <f t="array" aca="1" ref="P2152" ca="1">IF(INDIRECT(M2152) = "","",INDIRECT(M2152))</f>
        <v/>
      </c>
      <c r="Q2152" s="359" t="s">
        <v>4381</v>
      </c>
    </row>
    <row r="2153" spans="1:17" x14ac:dyDescent="0.35">
      <c r="A2153" t="s">
        <v>3817</v>
      </c>
      <c r="E2153" t="str">
        <f>_xlfn.XLOOKUP(F2153,'Raw Data'!$I$4:$I$5000,'Raw Data'!$D$4:$D$5000,"*** Mnemonic not found ***",0)</f>
        <v>*** Mnemonic not found ***</v>
      </c>
      <c r="F2153" t="str">
        <f t="shared" si="496"/>
        <v>ADJCAPCOMEXPAMT14__</v>
      </c>
      <c r="H2153" s="9" t="s">
        <v>276</v>
      </c>
      <c r="K2153" s="9">
        <f t="shared" si="497"/>
        <v>18</v>
      </c>
      <c r="L2153" s="9" t="str">
        <f t="shared" si="498"/>
        <v>E</v>
      </c>
      <c r="M2153" s="9" t="str">
        <f t="shared" si="488"/>
        <v>Adjustment!E18</v>
      </c>
      <c r="N2153" s="9">
        <f>_xlfn.XLOOKUP(F2153,'Raw Data'!$I$4:$I$5000,'Raw Data'!$E$4:$E$5000,100,0)</f>
        <v>100</v>
      </c>
      <c r="O2153" s="9" t="str">
        <f>IF(N2153=0,_xlfn.XLOOKUP(F2153,'Raw Data'!$I$4:$I$5000,'Raw Data'!$H$4:$H$5000,"",0),"")</f>
        <v/>
      </c>
      <c r="P2153" s="9" t="str" cm="1">
        <f t="array" aca="1" ref="P2153" ca="1">IF(INDIRECT(M2153) = "","",INDIRECT(M2153))</f>
        <v/>
      </c>
      <c r="Q2153" s="359" t="s">
        <v>4381</v>
      </c>
    </row>
    <row r="2154" spans="1:17" x14ac:dyDescent="0.35">
      <c r="A2154" t="s">
        <v>3818</v>
      </c>
      <c r="E2154" t="str">
        <f>_xlfn.XLOOKUP(F2154,'Raw Data'!$I$4:$I$5000,'Raw Data'!$D$4:$D$5000,"*** Mnemonic not found ***",0)</f>
        <v>*** Mnemonic not found ***</v>
      </c>
      <c r="F2154" t="str">
        <f t="shared" si="496"/>
        <v>ADJCAPCOMEXPAMT15__</v>
      </c>
      <c r="H2154" s="9" t="s">
        <v>276</v>
      </c>
      <c r="K2154" s="9">
        <f t="shared" si="497"/>
        <v>19</v>
      </c>
      <c r="L2154" s="9" t="str">
        <f t="shared" si="498"/>
        <v>E</v>
      </c>
      <c r="M2154" s="9" t="str">
        <f t="shared" si="488"/>
        <v>Adjustment!E19</v>
      </c>
      <c r="N2154" s="9">
        <f>_xlfn.XLOOKUP(F2154,'Raw Data'!$I$4:$I$5000,'Raw Data'!$E$4:$E$5000,100,0)</f>
        <v>100</v>
      </c>
      <c r="O2154" s="9" t="str">
        <f>IF(N2154=0,_xlfn.XLOOKUP(F2154,'Raw Data'!$I$4:$I$5000,'Raw Data'!$H$4:$H$5000,"",0),"")</f>
        <v/>
      </c>
      <c r="P2154" s="9" t="str" cm="1">
        <f t="array" aca="1" ref="P2154" ca="1">IF(INDIRECT(M2154) = "","",INDIRECT(M2154))</f>
        <v/>
      </c>
      <c r="Q2154" s="359" t="s">
        <v>4381</v>
      </c>
    </row>
    <row r="2155" spans="1:17" x14ac:dyDescent="0.35">
      <c r="A2155" t="s">
        <v>3819</v>
      </c>
      <c r="E2155" t="str">
        <f>_xlfn.XLOOKUP(F2155,'Raw Data'!$I$4:$I$5000,'Raw Data'!$D$4:$D$5000,"*** Mnemonic not found ***",0)</f>
        <v>*** Mnemonic not found ***</v>
      </c>
      <c r="F2155" t="str">
        <f t="shared" si="496"/>
        <v>ADJCAPCOMEXPAMT16__</v>
      </c>
      <c r="H2155" s="9" t="s">
        <v>276</v>
      </c>
      <c r="K2155" s="9">
        <f t="shared" si="497"/>
        <v>20</v>
      </c>
      <c r="L2155" s="9" t="str">
        <f t="shared" si="498"/>
        <v>E</v>
      </c>
      <c r="M2155" s="9" t="str">
        <f t="shared" si="488"/>
        <v>Adjustment!E20</v>
      </c>
      <c r="N2155" s="9">
        <f>_xlfn.XLOOKUP(F2155,'Raw Data'!$I$4:$I$5000,'Raw Data'!$E$4:$E$5000,100,0)</f>
        <v>100</v>
      </c>
      <c r="O2155" s="9" t="str">
        <f>IF(N2155=0,_xlfn.XLOOKUP(F2155,'Raw Data'!$I$4:$I$5000,'Raw Data'!$H$4:$H$5000,"",0),"")</f>
        <v/>
      </c>
      <c r="P2155" s="9" t="str" cm="1">
        <f t="array" aca="1" ref="P2155" ca="1">IF(INDIRECT(M2155) = "","",INDIRECT(M2155))</f>
        <v/>
      </c>
      <c r="Q2155" s="359" t="s">
        <v>4381</v>
      </c>
    </row>
    <row r="2156" spans="1:17" x14ac:dyDescent="0.35">
      <c r="A2156" t="s">
        <v>3820</v>
      </c>
      <c r="E2156" t="str">
        <f>_xlfn.XLOOKUP(F2156,'Raw Data'!$I$4:$I$5000,'Raw Data'!$D$4:$D$5000,"*** Mnemonic not found ***",0)</f>
        <v>*** Mnemonic not found ***</v>
      </c>
      <c r="F2156" t="str">
        <f t="shared" si="496"/>
        <v>ADJCAPCOMEXPAMT17__</v>
      </c>
      <c r="H2156" s="9" t="s">
        <v>276</v>
      </c>
      <c r="K2156" s="9">
        <f t="shared" si="497"/>
        <v>21</v>
      </c>
      <c r="L2156" s="9" t="str">
        <f t="shared" si="498"/>
        <v>E</v>
      </c>
      <c r="M2156" s="9" t="str">
        <f t="shared" si="488"/>
        <v>Adjustment!E21</v>
      </c>
      <c r="N2156" s="9">
        <f>_xlfn.XLOOKUP(F2156,'Raw Data'!$I$4:$I$5000,'Raw Data'!$E$4:$E$5000,100,0)</f>
        <v>100</v>
      </c>
      <c r="O2156" s="9" t="str">
        <f>IF(N2156=0,_xlfn.XLOOKUP(F2156,'Raw Data'!$I$4:$I$5000,'Raw Data'!$H$4:$H$5000,"",0),"")</f>
        <v/>
      </c>
      <c r="P2156" s="9" t="str" cm="1">
        <f t="array" aca="1" ref="P2156" ca="1">IF(INDIRECT(M2156) = "","",INDIRECT(M2156))</f>
        <v/>
      </c>
      <c r="Q2156" s="359" t="s">
        <v>4381</v>
      </c>
    </row>
    <row r="2157" spans="1:17" x14ac:dyDescent="0.35">
      <c r="A2157" t="s">
        <v>3821</v>
      </c>
      <c r="E2157" t="str">
        <f>_xlfn.XLOOKUP(F2157,'Raw Data'!$I$4:$I$5000,'Raw Data'!$D$4:$D$5000,"*** Mnemonic not found ***",0)</f>
        <v>*** Mnemonic not found ***</v>
      </c>
      <c r="F2157" t="str">
        <f t="shared" si="496"/>
        <v>ADJCAPCOMEXPAMT18__</v>
      </c>
      <c r="H2157" s="9" t="s">
        <v>276</v>
      </c>
      <c r="K2157" s="9">
        <f t="shared" si="497"/>
        <v>22</v>
      </c>
      <c r="L2157" s="9" t="str">
        <f t="shared" si="498"/>
        <v>E</v>
      </c>
      <c r="M2157" s="9" t="str">
        <f t="shared" si="488"/>
        <v>Adjustment!E22</v>
      </c>
      <c r="N2157" s="9">
        <f>_xlfn.XLOOKUP(F2157,'Raw Data'!$I$4:$I$5000,'Raw Data'!$E$4:$E$5000,100,0)</f>
        <v>100</v>
      </c>
      <c r="O2157" s="9" t="str">
        <f>IF(N2157=0,_xlfn.XLOOKUP(F2157,'Raw Data'!$I$4:$I$5000,'Raw Data'!$H$4:$H$5000,"",0),"")</f>
        <v/>
      </c>
      <c r="P2157" s="9" t="str" cm="1">
        <f t="array" aca="1" ref="P2157" ca="1">IF(INDIRECT(M2157) = "","",INDIRECT(M2157))</f>
        <v/>
      </c>
      <c r="Q2157" s="359" t="s">
        <v>4381</v>
      </c>
    </row>
    <row r="2158" spans="1:17" x14ac:dyDescent="0.35">
      <c r="A2158" t="s">
        <v>3822</v>
      </c>
      <c r="E2158" t="str">
        <f>_xlfn.XLOOKUP(F2158,'Raw Data'!$I$4:$I$5000,'Raw Data'!$D$4:$D$5000,"*** Mnemonic not found ***",0)</f>
        <v>*** Mnemonic not found ***</v>
      </c>
      <c r="F2158" t="str">
        <f t="shared" si="496"/>
        <v>ADJCAPCOMEXPAMT19__</v>
      </c>
      <c r="H2158" s="9" t="s">
        <v>276</v>
      </c>
      <c r="K2158" s="9">
        <f t="shared" si="497"/>
        <v>23</v>
      </c>
      <c r="L2158" s="9" t="str">
        <f t="shared" si="498"/>
        <v>E</v>
      </c>
      <c r="M2158" s="9" t="str">
        <f t="shared" si="488"/>
        <v>Adjustment!E23</v>
      </c>
      <c r="N2158" s="9">
        <f>_xlfn.XLOOKUP(F2158,'Raw Data'!$I$4:$I$5000,'Raw Data'!$E$4:$E$5000,100,0)</f>
        <v>100</v>
      </c>
      <c r="O2158" s="9" t="str">
        <f>IF(N2158=0,_xlfn.XLOOKUP(F2158,'Raw Data'!$I$4:$I$5000,'Raw Data'!$H$4:$H$5000,"",0),"")</f>
        <v/>
      </c>
      <c r="P2158" s="9" t="str" cm="1">
        <f t="array" aca="1" ref="P2158" ca="1">IF(INDIRECT(M2158) = "","",INDIRECT(M2158))</f>
        <v/>
      </c>
      <c r="Q2158" s="359" t="s">
        <v>4381</v>
      </c>
    </row>
    <row r="2159" spans="1:17" x14ac:dyDescent="0.35">
      <c r="A2159" t="s">
        <v>3823</v>
      </c>
      <c r="E2159" t="str">
        <f>_xlfn.XLOOKUP(F2159,'Raw Data'!$I$4:$I$5000,'Raw Data'!$D$4:$D$5000,"*** Mnemonic not found ***",0)</f>
        <v>*** Mnemonic not found ***</v>
      </c>
      <c r="F2159" t="str">
        <f t="shared" si="496"/>
        <v>ADJCAPCOMEXPAMT20__</v>
      </c>
      <c r="H2159" s="9" t="s">
        <v>276</v>
      </c>
      <c r="K2159" s="9">
        <f t="shared" si="497"/>
        <v>24</v>
      </c>
      <c r="L2159" s="9" t="str">
        <f t="shared" si="498"/>
        <v>E</v>
      </c>
      <c r="M2159" s="9" t="str">
        <f t="shared" si="488"/>
        <v>Adjustment!E24</v>
      </c>
      <c r="N2159" s="9">
        <f>_xlfn.XLOOKUP(F2159,'Raw Data'!$I$4:$I$5000,'Raw Data'!$E$4:$E$5000,100,0)</f>
        <v>100</v>
      </c>
      <c r="O2159" s="9" t="str">
        <f>IF(N2159=0,_xlfn.XLOOKUP(F2159,'Raw Data'!$I$4:$I$5000,'Raw Data'!$H$4:$H$5000,"",0),"")</f>
        <v/>
      </c>
      <c r="P2159" s="9" t="str" cm="1">
        <f t="array" aca="1" ref="P2159" ca="1">IF(INDIRECT(M2159) = "","",INDIRECT(M2159))</f>
        <v/>
      </c>
      <c r="Q2159" s="359" t="s">
        <v>4381</v>
      </c>
    </row>
    <row r="2160" spans="1:17" x14ac:dyDescent="0.35">
      <c r="A2160" t="s">
        <v>3824</v>
      </c>
      <c r="E2160" t="str">
        <f>_xlfn.XLOOKUP(F2160,'Raw Data'!$I$4:$I$5000,'Raw Data'!$D$4:$D$5000,"*** Mnemonic not found ***",0)</f>
        <v>*** Mnemonic not found ***</v>
      </c>
      <c r="F2160" t="str">
        <f t="shared" si="496"/>
        <v>ADJCAPCOM9999_1__</v>
      </c>
      <c r="H2160" s="9" t="s">
        <v>276</v>
      </c>
      <c r="K2160" s="9">
        <f>K2140</f>
        <v>5</v>
      </c>
      <c r="L2160" s="9" t="s">
        <v>1124</v>
      </c>
      <c r="M2160" s="9" t="str">
        <f t="shared" si="488"/>
        <v>Adjustment!F5</v>
      </c>
      <c r="N2160" s="9">
        <f>_xlfn.XLOOKUP(F2160,'Raw Data'!$I$4:$I$5000,'Raw Data'!$E$4:$E$5000,100,0)</f>
        <v>100</v>
      </c>
      <c r="O2160" s="9" t="str">
        <f>IF(N2160=0,_xlfn.XLOOKUP(F2160,'Raw Data'!$I$4:$I$5000,'Raw Data'!$H$4:$H$5000,"",0),"")</f>
        <v/>
      </c>
      <c r="P2160" s="9" t="str" cm="1">
        <f t="array" aca="1" ref="P2160" ca="1">IF(INDIRECT(M2160) = "","",INDIRECT(M2160))</f>
        <v/>
      </c>
      <c r="Q2160" s="359" t="s">
        <v>4381</v>
      </c>
    </row>
    <row r="2161" spans="1:17" x14ac:dyDescent="0.35">
      <c r="A2161" t="s">
        <v>3825</v>
      </c>
      <c r="E2161" t="str">
        <f>_xlfn.XLOOKUP(F2161,'Raw Data'!$I$4:$I$5000,'Raw Data'!$D$4:$D$5000,"*** Mnemonic not found ***",0)</f>
        <v>*** Mnemonic not found ***</v>
      </c>
      <c r="F2161" t="str">
        <f t="shared" si="496"/>
        <v>ADJCAPCOM9999_2__</v>
      </c>
      <c r="H2161" s="9" t="s">
        <v>276</v>
      </c>
      <c r="K2161" s="9">
        <f>K2160+1</f>
        <v>6</v>
      </c>
      <c r="L2161" s="9" t="str">
        <f>L2160</f>
        <v>F</v>
      </c>
      <c r="M2161" s="9" t="str">
        <f t="shared" si="488"/>
        <v>Adjustment!F6</v>
      </c>
      <c r="N2161" s="9">
        <f>_xlfn.XLOOKUP(F2161,'Raw Data'!$I$4:$I$5000,'Raw Data'!$E$4:$E$5000,100,0)</f>
        <v>100</v>
      </c>
      <c r="O2161" s="9" t="str">
        <f>IF(N2161=0,_xlfn.XLOOKUP(F2161,'Raw Data'!$I$4:$I$5000,'Raw Data'!$H$4:$H$5000,"",0),"")</f>
        <v/>
      </c>
      <c r="P2161" s="9" t="str" cm="1">
        <f t="array" aca="1" ref="P2161" ca="1">IF(INDIRECT(M2161) = "","",INDIRECT(M2161))</f>
        <v/>
      </c>
      <c r="Q2161" s="359" t="s">
        <v>4381</v>
      </c>
    </row>
    <row r="2162" spans="1:17" x14ac:dyDescent="0.35">
      <c r="A2162" t="s">
        <v>3826</v>
      </c>
      <c r="E2162" t="str">
        <f>_xlfn.XLOOKUP(F2162,'Raw Data'!$I$4:$I$5000,'Raw Data'!$D$4:$D$5000,"*** Mnemonic not found ***",0)</f>
        <v>*** Mnemonic not found ***</v>
      </c>
      <c r="F2162" t="str">
        <f t="shared" si="496"/>
        <v>ADJCAPCOM9999_3__</v>
      </c>
      <c r="H2162" s="9" t="s">
        <v>276</v>
      </c>
      <c r="K2162" s="9">
        <f t="shared" ref="K2162:K2179" si="499">K2161+1</f>
        <v>7</v>
      </c>
      <c r="L2162" s="9" t="str">
        <f t="shared" ref="L2162:L2179" si="500">L2161</f>
        <v>F</v>
      </c>
      <c r="M2162" s="9" t="str">
        <f t="shared" si="488"/>
        <v>Adjustment!F7</v>
      </c>
      <c r="N2162" s="9">
        <f>_xlfn.XLOOKUP(F2162,'Raw Data'!$I$4:$I$5000,'Raw Data'!$E$4:$E$5000,100,0)</f>
        <v>100</v>
      </c>
      <c r="O2162" s="9" t="str">
        <f>IF(N2162=0,_xlfn.XLOOKUP(F2162,'Raw Data'!$I$4:$I$5000,'Raw Data'!$H$4:$H$5000,"",0),"")</f>
        <v/>
      </c>
      <c r="P2162" s="9" t="str" cm="1">
        <f t="array" aca="1" ref="P2162" ca="1">IF(INDIRECT(M2162) = "","",INDIRECT(M2162))</f>
        <v/>
      </c>
      <c r="Q2162" s="359" t="s">
        <v>4381</v>
      </c>
    </row>
    <row r="2163" spans="1:17" x14ac:dyDescent="0.35">
      <c r="A2163" t="s">
        <v>3827</v>
      </c>
      <c r="E2163" t="str">
        <f>_xlfn.XLOOKUP(F2163,'Raw Data'!$I$4:$I$5000,'Raw Data'!$D$4:$D$5000,"*** Mnemonic not found ***",0)</f>
        <v>*** Mnemonic not found ***</v>
      </c>
      <c r="F2163" t="str">
        <f t="shared" si="496"/>
        <v>ADJCAPCOM9999_4__</v>
      </c>
      <c r="H2163" s="9" t="s">
        <v>276</v>
      </c>
      <c r="K2163" s="9">
        <f t="shared" si="499"/>
        <v>8</v>
      </c>
      <c r="L2163" s="9" t="str">
        <f t="shared" si="500"/>
        <v>F</v>
      </c>
      <c r="M2163" s="9" t="str">
        <f t="shared" ref="M2163:M2226" si="501">CONCATENATE(H2163,"!",L2163,K2163)</f>
        <v>Adjustment!F8</v>
      </c>
      <c r="N2163" s="9">
        <f>_xlfn.XLOOKUP(F2163,'Raw Data'!$I$4:$I$5000,'Raw Data'!$E$4:$E$5000,100,0)</f>
        <v>100</v>
      </c>
      <c r="O2163" s="9" t="str">
        <f>IF(N2163=0,_xlfn.XLOOKUP(F2163,'Raw Data'!$I$4:$I$5000,'Raw Data'!$H$4:$H$5000,"",0),"")</f>
        <v/>
      </c>
      <c r="P2163" s="9" t="str" cm="1">
        <f t="array" aca="1" ref="P2163" ca="1">IF(INDIRECT(M2163) = "","",INDIRECT(M2163))</f>
        <v/>
      </c>
      <c r="Q2163" s="359" t="s">
        <v>4381</v>
      </c>
    </row>
    <row r="2164" spans="1:17" x14ac:dyDescent="0.35">
      <c r="A2164" t="s">
        <v>3828</v>
      </c>
      <c r="E2164" t="str">
        <f>_xlfn.XLOOKUP(F2164,'Raw Data'!$I$4:$I$5000,'Raw Data'!$D$4:$D$5000,"*** Mnemonic not found ***",0)</f>
        <v>*** Mnemonic not found ***</v>
      </c>
      <c r="F2164" t="str">
        <f t="shared" si="496"/>
        <v>ADJCAPCOM9999_5__</v>
      </c>
      <c r="H2164" s="9" t="s">
        <v>276</v>
      </c>
      <c r="K2164" s="9">
        <f t="shared" si="499"/>
        <v>9</v>
      </c>
      <c r="L2164" s="9" t="str">
        <f t="shared" si="500"/>
        <v>F</v>
      </c>
      <c r="M2164" s="9" t="str">
        <f t="shared" si="501"/>
        <v>Adjustment!F9</v>
      </c>
      <c r="N2164" s="9">
        <f>_xlfn.XLOOKUP(F2164,'Raw Data'!$I$4:$I$5000,'Raw Data'!$E$4:$E$5000,100,0)</f>
        <v>100</v>
      </c>
      <c r="O2164" s="9" t="str">
        <f>IF(N2164=0,_xlfn.XLOOKUP(F2164,'Raw Data'!$I$4:$I$5000,'Raw Data'!$H$4:$H$5000,"",0),"")</f>
        <v/>
      </c>
      <c r="P2164" s="9" t="str" cm="1">
        <f t="array" aca="1" ref="P2164" ca="1">IF(INDIRECT(M2164) = "","",INDIRECT(M2164))</f>
        <v/>
      </c>
      <c r="Q2164" s="359" t="s">
        <v>4381</v>
      </c>
    </row>
    <row r="2165" spans="1:17" x14ac:dyDescent="0.35">
      <c r="A2165" t="s">
        <v>3829</v>
      </c>
      <c r="E2165" t="str">
        <f>_xlfn.XLOOKUP(F2165,'Raw Data'!$I$4:$I$5000,'Raw Data'!$D$4:$D$5000,"*** Mnemonic not found ***",0)</f>
        <v>*** Mnemonic not found ***</v>
      </c>
      <c r="F2165" t="str">
        <f t="shared" si="496"/>
        <v>ADJCAPCOM9999_6__</v>
      </c>
      <c r="H2165" s="9" t="s">
        <v>276</v>
      </c>
      <c r="K2165" s="9">
        <f t="shared" si="499"/>
        <v>10</v>
      </c>
      <c r="L2165" s="9" t="str">
        <f t="shared" si="500"/>
        <v>F</v>
      </c>
      <c r="M2165" s="9" t="str">
        <f t="shared" si="501"/>
        <v>Adjustment!F10</v>
      </c>
      <c r="N2165" s="9">
        <f>_xlfn.XLOOKUP(F2165,'Raw Data'!$I$4:$I$5000,'Raw Data'!$E$4:$E$5000,100,0)</f>
        <v>100</v>
      </c>
      <c r="O2165" s="9" t="str">
        <f>IF(N2165=0,_xlfn.XLOOKUP(F2165,'Raw Data'!$I$4:$I$5000,'Raw Data'!$H$4:$H$5000,"",0),"")</f>
        <v/>
      </c>
      <c r="P2165" s="9" t="str" cm="1">
        <f t="array" aca="1" ref="P2165" ca="1">IF(INDIRECT(M2165) = "","",INDIRECT(M2165))</f>
        <v/>
      </c>
      <c r="Q2165" s="359" t="s">
        <v>4381</v>
      </c>
    </row>
    <row r="2166" spans="1:17" x14ac:dyDescent="0.35">
      <c r="A2166" t="s">
        <v>3830</v>
      </c>
      <c r="E2166" t="str">
        <f>_xlfn.XLOOKUP(F2166,'Raw Data'!$I$4:$I$5000,'Raw Data'!$D$4:$D$5000,"*** Mnemonic not found ***",0)</f>
        <v>*** Mnemonic not found ***</v>
      </c>
      <c r="F2166" t="str">
        <f t="shared" si="496"/>
        <v>ADJCAPCOM9999_7__</v>
      </c>
      <c r="H2166" s="9" t="s">
        <v>276</v>
      </c>
      <c r="K2166" s="9">
        <f t="shared" si="499"/>
        <v>11</v>
      </c>
      <c r="L2166" s="9" t="str">
        <f t="shared" si="500"/>
        <v>F</v>
      </c>
      <c r="M2166" s="9" t="str">
        <f t="shared" si="501"/>
        <v>Adjustment!F11</v>
      </c>
      <c r="N2166" s="9">
        <f>_xlfn.XLOOKUP(F2166,'Raw Data'!$I$4:$I$5000,'Raw Data'!$E$4:$E$5000,100,0)</f>
        <v>100</v>
      </c>
      <c r="O2166" s="9" t="str">
        <f>IF(N2166=0,_xlfn.XLOOKUP(F2166,'Raw Data'!$I$4:$I$5000,'Raw Data'!$H$4:$H$5000,"",0),"")</f>
        <v/>
      </c>
      <c r="P2166" s="9" t="str" cm="1">
        <f t="array" aca="1" ref="P2166" ca="1">IF(INDIRECT(M2166) = "","",INDIRECT(M2166))</f>
        <v/>
      </c>
      <c r="Q2166" s="359" t="s">
        <v>4381</v>
      </c>
    </row>
    <row r="2167" spans="1:17" x14ac:dyDescent="0.35">
      <c r="A2167" t="s">
        <v>3831</v>
      </c>
      <c r="E2167" t="str">
        <f>_xlfn.XLOOKUP(F2167,'Raw Data'!$I$4:$I$5000,'Raw Data'!$D$4:$D$5000,"*** Mnemonic not found ***",0)</f>
        <v>*** Mnemonic not found ***</v>
      </c>
      <c r="F2167" t="str">
        <f t="shared" si="496"/>
        <v>ADJCAPCOM9999_8__</v>
      </c>
      <c r="H2167" s="9" t="s">
        <v>276</v>
      </c>
      <c r="K2167" s="9">
        <f t="shared" si="499"/>
        <v>12</v>
      </c>
      <c r="L2167" s="9" t="str">
        <f t="shared" si="500"/>
        <v>F</v>
      </c>
      <c r="M2167" s="9" t="str">
        <f t="shared" si="501"/>
        <v>Adjustment!F12</v>
      </c>
      <c r="N2167" s="9">
        <f>_xlfn.XLOOKUP(F2167,'Raw Data'!$I$4:$I$5000,'Raw Data'!$E$4:$E$5000,100,0)</f>
        <v>100</v>
      </c>
      <c r="O2167" s="9" t="str">
        <f>IF(N2167=0,_xlfn.XLOOKUP(F2167,'Raw Data'!$I$4:$I$5000,'Raw Data'!$H$4:$H$5000,"",0),"")</f>
        <v/>
      </c>
      <c r="P2167" s="9" t="str" cm="1">
        <f t="array" aca="1" ref="P2167" ca="1">IF(INDIRECT(M2167) = "","",INDIRECT(M2167))</f>
        <v/>
      </c>
      <c r="Q2167" s="359" t="s">
        <v>4381</v>
      </c>
    </row>
    <row r="2168" spans="1:17" x14ac:dyDescent="0.35">
      <c r="A2168" t="s">
        <v>3832</v>
      </c>
      <c r="E2168" t="str">
        <f>_xlfn.XLOOKUP(F2168,'Raw Data'!$I$4:$I$5000,'Raw Data'!$D$4:$D$5000,"*** Mnemonic not found ***",0)</f>
        <v>*** Mnemonic not found ***</v>
      </c>
      <c r="F2168" t="str">
        <f t="shared" si="496"/>
        <v>ADJCAPCOM9999_9__</v>
      </c>
      <c r="H2168" s="9" t="s">
        <v>276</v>
      </c>
      <c r="K2168" s="9">
        <f t="shared" si="499"/>
        <v>13</v>
      </c>
      <c r="L2168" s="9" t="str">
        <f t="shared" si="500"/>
        <v>F</v>
      </c>
      <c r="M2168" s="9" t="str">
        <f t="shared" si="501"/>
        <v>Adjustment!F13</v>
      </c>
      <c r="N2168" s="9">
        <f>_xlfn.XLOOKUP(F2168,'Raw Data'!$I$4:$I$5000,'Raw Data'!$E$4:$E$5000,100,0)</f>
        <v>100</v>
      </c>
      <c r="O2168" s="9" t="str">
        <f>IF(N2168=0,_xlfn.XLOOKUP(F2168,'Raw Data'!$I$4:$I$5000,'Raw Data'!$H$4:$H$5000,"",0),"")</f>
        <v/>
      </c>
      <c r="P2168" s="9" t="str" cm="1">
        <f t="array" aca="1" ref="P2168" ca="1">IF(INDIRECT(M2168) = "","",INDIRECT(M2168))</f>
        <v/>
      </c>
      <c r="Q2168" s="359" t="s">
        <v>4381</v>
      </c>
    </row>
    <row r="2169" spans="1:17" x14ac:dyDescent="0.35">
      <c r="A2169" t="s">
        <v>3833</v>
      </c>
      <c r="E2169" t="str">
        <f>_xlfn.XLOOKUP(F2169,'Raw Data'!$I$4:$I$5000,'Raw Data'!$D$4:$D$5000,"*** Mnemonic not found ***",0)</f>
        <v>*** Mnemonic not found ***</v>
      </c>
      <c r="F2169" t="str">
        <f t="shared" si="496"/>
        <v>ADJCAPCOM9999_10__</v>
      </c>
      <c r="H2169" s="9" t="s">
        <v>276</v>
      </c>
      <c r="K2169" s="9">
        <f t="shared" si="499"/>
        <v>14</v>
      </c>
      <c r="L2169" s="9" t="str">
        <f t="shared" si="500"/>
        <v>F</v>
      </c>
      <c r="M2169" s="9" t="str">
        <f t="shared" si="501"/>
        <v>Adjustment!F14</v>
      </c>
      <c r="N2169" s="9">
        <f>_xlfn.XLOOKUP(F2169,'Raw Data'!$I$4:$I$5000,'Raw Data'!$E$4:$E$5000,100,0)</f>
        <v>100</v>
      </c>
      <c r="O2169" s="9" t="str">
        <f>IF(N2169=0,_xlfn.XLOOKUP(F2169,'Raw Data'!$I$4:$I$5000,'Raw Data'!$H$4:$H$5000,"",0),"")</f>
        <v/>
      </c>
      <c r="P2169" s="9" t="str" cm="1">
        <f t="array" aca="1" ref="P2169" ca="1">IF(INDIRECT(M2169) = "","",INDIRECT(M2169))</f>
        <v/>
      </c>
      <c r="Q2169" s="359" t="s">
        <v>4381</v>
      </c>
    </row>
    <row r="2170" spans="1:17" x14ac:dyDescent="0.35">
      <c r="A2170" t="s">
        <v>3834</v>
      </c>
      <c r="E2170" t="str">
        <f>_xlfn.XLOOKUP(F2170,'Raw Data'!$I$4:$I$5000,'Raw Data'!$D$4:$D$5000,"*** Mnemonic not found ***",0)</f>
        <v>*** Mnemonic not found ***</v>
      </c>
      <c r="F2170" t="str">
        <f t="shared" si="496"/>
        <v>ADJCAPCOM9999_11__</v>
      </c>
      <c r="H2170" s="9" t="s">
        <v>276</v>
      </c>
      <c r="K2170" s="9">
        <f t="shared" si="499"/>
        <v>15</v>
      </c>
      <c r="L2170" s="9" t="str">
        <f t="shared" si="500"/>
        <v>F</v>
      </c>
      <c r="M2170" s="9" t="str">
        <f t="shared" si="501"/>
        <v>Adjustment!F15</v>
      </c>
      <c r="N2170" s="9">
        <f>_xlfn.XLOOKUP(F2170,'Raw Data'!$I$4:$I$5000,'Raw Data'!$E$4:$E$5000,100,0)</f>
        <v>100</v>
      </c>
      <c r="O2170" s="9" t="str">
        <f>IF(N2170=0,_xlfn.XLOOKUP(F2170,'Raw Data'!$I$4:$I$5000,'Raw Data'!$H$4:$H$5000,"",0),"")</f>
        <v/>
      </c>
      <c r="P2170" s="9" t="str" cm="1">
        <f t="array" aca="1" ref="P2170" ca="1">IF(INDIRECT(M2170) = "","",INDIRECT(M2170))</f>
        <v/>
      </c>
      <c r="Q2170" s="359" t="s">
        <v>4381</v>
      </c>
    </row>
    <row r="2171" spans="1:17" x14ac:dyDescent="0.35">
      <c r="A2171" t="s">
        <v>3835</v>
      </c>
      <c r="E2171" t="str">
        <f>_xlfn.XLOOKUP(F2171,'Raw Data'!$I$4:$I$5000,'Raw Data'!$D$4:$D$5000,"*** Mnemonic not found ***",0)</f>
        <v>*** Mnemonic not found ***</v>
      </c>
      <c r="F2171" t="str">
        <f t="shared" si="496"/>
        <v>ADJCAPCOM9999_12__</v>
      </c>
      <c r="H2171" s="9" t="s">
        <v>276</v>
      </c>
      <c r="K2171" s="9">
        <f t="shared" si="499"/>
        <v>16</v>
      </c>
      <c r="L2171" s="9" t="str">
        <f t="shared" si="500"/>
        <v>F</v>
      </c>
      <c r="M2171" s="9" t="str">
        <f t="shared" si="501"/>
        <v>Adjustment!F16</v>
      </c>
      <c r="N2171" s="9">
        <f>_xlfn.XLOOKUP(F2171,'Raw Data'!$I$4:$I$5000,'Raw Data'!$E$4:$E$5000,100,0)</f>
        <v>100</v>
      </c>
      <c r="O2171" s="9" t="str">
        <f>IF(N2171=0,_xlfn.XLOOKUP(F2171,'Raw Data'!$I$4:$I$5000,'Raw Data'!$H$4:$H$5000,"",0),"")</f>
        <v/>
      </c>
      <c r="P2171" s="9" t="str" cm="1">
        <f t="array" aca="1" ref="P2171" ca="1">IF(INDIRECT(M2171) = "","",INDIRECT(M2171))</f>
        <v/>
      </c>
      <c r="Q2171" s="359" t="s">
        <v>4381</v>
      </c>
    </row>
    <row r="2172" spans="1:17" x14ac:dyDescent="0.35">
      <c r="A2172" t="s">
        <v>3836</v>
      </c>
      <c r="E2172" t="str">
        <f>_xlfn.XLOOKUP(F2172,'Raw Data'!$I$4:$I$5000,'Raw Data'!$D$4:$D$5000,"*** Mnemonic not found ***",0)</f>
        <v>*** Mnemonic not found ***</v>
      </c>
      <c r="F2172" t="str">
        <f t="shared" si="496"/>
        <v>ADJCAPCOM9999_13__</v>
      </c>
      <c r="H2172" s="9" t="s">
        <v>276</v>
      </c>
      <c r="K2172" s="9">
        <f t="shared" si="499"/>
        <v>17</v>
      </c>
      <c r="L2172" s="9" t="str">
        <f t="shared" si="500"/>
        <v>F</v>
      </c>
      <c r="M2172" s="9" t="str">
        <f t="shared" si="501"/>
        <v>Adjustment!F17</v>
      </c>
      <c r="N2172" s="9">
        <f>_xlfn.XLOOKUP(F2172,'Raw Data'!$I$4:$I$5000,'Raw Data'!$E$4:$E$5000,100,0)</f>
        <v>100</v>
      </c>
      <c r="O2172" s="9" t="str">
        <f>IF(N2172=0,_xlfn.XLOOKUP(F2172,'Raw Data'!$I$4:$I$5000,'Raw Data'!$H$4:$H$5000,"",0),"")</f>
        <v/>
      </c>
      <c r="P2172" s="9" t="str" cm="1">
        <f t="array" aca="1" ref="P2172" ca="1">IF(INDIRECT(M2172) = "","",INDIRECT(M2172))</f>
        <v/>
      </c>
      <c r="Q2172" s="359" t="s">
        <v>4381</v>
      </c>
    </row>
    <row r="2173" spans="1:17" x14ac:dyDescent="0.35">
      <c r="A2173" t="s">
        <v>3837</v>
      </c>
      <c r="E2173" t="str">
        <f>_xlfn.XLOOKUP(F2173,'Raw Data'!$I$4:$I$5000,'Raw Data'!$D$4:$D$5000,"*** Mnemonic not found ***",0)</f>
        <v>*** Mnemonic not found ***</v>
      </c>
      <c r="F2173" t="str">
        <f t="shared" si="496"/>
        <v>ADJCAPCOM9999_14__</v>
      </c>
      <c r="H2173" s="9" t="s">
        <v>276</v>
      </c>
      <c r="K2173" s="9">
        <f t="shared" si="499"/>
        <v>18</v>
      </c>
      <c r="L2173" s="9" t="str">
        <f t="shared" si="500"/>
        <v>F</v>
      </c>
      <c r="M2173" s="9" t="str">
        <f t="shared" si="501"/>
        <v>Adjustment!F18</v>
      </c>
      <c r="N2173" s="9">
        <f>_xlfn.XLOOKUP(F2173,'Raw Data'!$I$4:$I$5000,'Raw Data'!$E$4:$E$5000,100,0)</f>
        <v>100</v>
      </c>
      <c r="O2173" s="9" t="str">
        <f>IF(N2173=0,_xlfn.XLOOKUP(F2173,'Raw Data'!$I$4:$I$5000,'Raw Data'!$H$4:$H$5000,"",0),"")</f>
        <v/>
      </c>
      <c r="P2173" s="9" t="str" cm="1">
        <f t="array" aca="1" ref="P2173" ca="1">IF(INDIRECT(M2173) = "","",INDIRECT(M2173))</f>
        <v/>
      </c>
      <c r="Q2173" s="359" t="s">
        <v>4381</v>
      </c>
    </row>
    <row r="2174" spans="1:17" x14ac:dyDescent="0.35">
      <c r="A2174" t="s">
        <v>3838</v>
      </c>
      <c r="E2174" t="str">
        <f>_xlfn.XLOOKUP(F2174,'Raw Data'!$I$4:$I$5000,'Raw Data'!$D$4:$D$5000,"*** Mnemonic not found ***",0)</f>
        <v>*** Mnemonic not found ***</v>
      </c>
      <c r="F2174" t="str">
        <f t="shared" si="496"/>
        <v>ADJCAPCOM9999_15__</v>
      </c>
      <c r="H2174" s="9" t="s">
        <v>276</v>
      </c>
      <c r="K2174" s="9">
        <f t="shared" si="499"/>
        <v>19</v>
      </c>
      <c r="L2174" s="9" t="str">
        <f t="shared" si="500"/>
        <v>F</v>
      </c>
      <c r="M2174" s="9" t="str">
        <f t="shared" si="501"/>
        <v>Adjustment!F19</v>
      </c>
      <c r="N2174" s="9">
        <f>_xlfn.XLOOKUP(F2174,'Raw Data'!$I$4:$I$5000,'Raw Data'!$E$4:$E$5000,100,0)</f>
        <v>100</v>
      </c>
      <c r="O2174" s="9" t="str">
        <f>IF(N2174=0,_xlfn.XLOOKUP(F2174,'Raw Data'!$I$4:$I$5000,'Raw Data'!$H$4:$H$5000,"",0),"")</f>
        <v/>
      </c>
      <c r="P2174" s="9" t="str" cm="1">
        <f t="array" aca="1" ref="P2174" ca="1">IF(INDIRECT(M2174) = "","",INDIRECT(M2174))</f>
        <v/>
      </c>
      <c r="Q2174" s="359" t="s">
        <v>4381</v>
      </c>
    </row>
    <row r="2175" spans="1:17" x14ac:dyDescent="0.35">
      <c r="A2175" t="s">
        <v>3839</v>
      </c>
      <c r="E2175" t="str">
        <f>_xlfn.XLOOKUP(F2175,'Raw Data'!$I$4:$I$5000,'Raw Data'!$D$4:$D$5000,"*** Mnemonic not found ***",0)</f>
        <v>*** Mnemonic not found ***</v>
      </c>
      <c r="F2175" t="str">
        <f t="shared" si="496"/>
        <v>ADJCAPCOM9999_16__</v>
      </c>
      <c r="H2175" s="9" t="s">
        <v>276</v>
      </c>
      <c r="K2175" s="9">
        <f t="shared" si="499"/>
        <v>20</v>
      </c>
      <c r="L2175" s="9" t="str">
        <f t="shared" si="500"/>
        <v>F</v>
      </c>
      <c r="M2175" s="9" t="str">
        <f t="shared" si="501"/>
        <v>Adjustment!F20</v>
      </c>
      <c r="N2175" s="9">
        <f>_xlfn.XLOOKUP(F2175,'Raw Data'!$I$4:$I$5000,'Raw Data'!$E$4:$E$5000,100,0)</f>
        <v>100</v>
      </c>
      <c r="O2175" s="9" t="str">
        <f>IF(N2175=0,_xlfn.XLOOKUP(F2175,'Raw Data'!$I$4:$I$5000,'Raw Data'!$H$4:$H$5000,"",0),"")</f>
        <v/>
      </c>
      <c r="P2175" s="9" t="str" cm="1">
        <f t="array" aca="1" ref="P2175" ca="1">IF(INDIRECT(M2175) = "","",INDIRECT(M2175))</f>
        <v/>
      </c>
      <c r="Q2175" s="359" t="s">
        <v>4381</v>
      </c>
    </row>
    <row r="2176" spans="1:17" x14ac:dyDescent="0.35">
      <c r="A2176" t="s">
        <v>3840</v>
      </c>
      <c r="E2176" t="str">
        <f>_xlfn.XLOOKUP(F2176,'Raw Data'!$I$4:$I$5000,'Raw Data'!$D$4:$D$5000,"*** Mnemonic not found ***",0)</f>
        <v>*** Mnemonic not found ***</v>
      </c>
      <c r="F2176" t="str">
        <f t="shared" si="496"/>
        <v>ADJCAPCOM9999_17__</v>
      </c>
      <c r="H2176" s="9" t="s">
        <v>276</v>
      </c>
      <c r="K2176" s="9">
        <f t="shared" si="499"/>
        <v>21</v>
      </c>
      <c r="L2176" s="9" t="str">
        <f t="shared" si="500"/>
        <v>F</v>
      </c>
      <c r="M2176" s="9" t="str">
        <f t="shared" si="501"/>
        <v>Adjustment!F21</v>
      </c>
      <c r="N2176" s="9">
        <f>_xlfn.XLOOKUP(F2176,'Raw Data'!$I$4:$I$5000,'Raw Data'!$E$4:$E$5000,100,0)</f>
        <v>100</v>
      </c>
      <c r="O2176" s="9" t="str">
        <f>IF(N2176=0,_xlfn.XLOOKUP(F2176,'Raw Data'!$I$4:$I$5000,'Raw Data'!$H$4:$H$5000,"",0),"")</f>
        <v/>
      </c>
      <c r="P2176" s="9" t="str" cm="1">
        <f t="array" aca="1" ref="P2176" ca="1">IF(INDIRECT(M2176) = "","",INDIRECT(M2176))</f>
        <v/>
      </c>
      <c r="Q2176" s="359" t="s">
        <v>4381</v>
      </c>
    </row>
    <row r="2177" spans="1:17" x14ac:dyDescent="0.35">
      <c r="A2177" t="s">
        <v>3841</v>
      </c>
      <c r="E2177" t="str">
        <f>_xlfn.XLOOKUP(F2177,'Raw Data'!$I$4:$I$5000,'Raw Data'!$D$4:$D$5000,"*** Mnemonic not found ***",0)</f>
        <v>*** Mnemonic not found ***</v>
      </c>
      <c r="F2177" t="str">
        <f t="shared" si="496"/>
        <v>ADJCAPCOM9999_18__</v>
      </c>
      <c r="H2177" s="9" t="s">
        <v>276</v>
      </c>
      <c r="K2177" s="9">
        <f t="shared" si="499"/>
        <v>22</v>
      </c>
      <c r="L2177" s="9" t="str">
        <f t="shared" si="500"/>
        <v>F</v>
      </c>
      <c r="M2177" s="9" t="str">
        <f t="shared" si="501"/>
        <v>Adjustment!F22</v>
      </c>
      <c r="N2177" s="9">
        <f>_xlfn.XLOOKUP(F2177,'Raw Data'!$I$4:$I$5000,'Raw Data'!$E$4:$E$5000,100,0)</f>
        <v>100</v>
      </c>
      <c r="O2177" s="9" t="str">
        <f>IF(N2177=0,_xlfn.XLOOKUP(F2177,'Raw Data'!$I$4:$I$5000,'Raw Data'!$H$4:$H$5000,"",0),"")</f>
        <v/>
      </c>
      <c r="P2177" s="9" t="str" cm="1">
        <f t="array" aca="1" ref="P2177" ca="1">IF(INDIRECT(M2177) = "","",INDIRECT(M2177))</f>
        <v/>
      </c>
      <c r="Q2177" s="359" t="s">
        <v>4381</v>
      </c>
    </row>
    <row r="2178" spans="1:17" x14ac:dyDescent="0.35">
      <c r="A2178" t="s">
        <v>3842</v>
      </c>
      <c r="E2178" t="str">
        <f>_xlfn.XLOOKUP(F2178,'Raw Data'!$I$4:$I$5000,'Raw Data'!$D$4:$D$5000,"*** Mnemonic not found ***",0)</f>
        <v>*** Mnemonic not found ***</v>
      </c>
      <c r="F2178" t="str">
        <f t="shared" si="496"/>
        <v>ADJCAPCOM9999_19__</v>
      </c>
      <c r="H2178" s="9" t="s">
        <v>276</v>
      </c>
      <c r="K2178" s="9">
        <f t="shared" si="499"/>
        <v>23</v>
      </c>
      <c r="L2178" s="9" t="str">
        <f t="shared" si="500"/>
        <v>F</v>
      </c>
      <c r="M2178" s="9" t="str">
        <f t="shared" si="501"/>
        <v>Adjustment!F23</v>
      </c>
      <c r="N2178" s="9">
        <f>_xlfn.XLOOKUP(F2178,'Raw Data'!$I$4:$I$5000,'Raw Data'!$E$4:$E$5000,100,0)</f>
        <v>100</v>
      </c>
      <c r="O2178" s="9" t="str">
        <f>IF(N2178=0,_xlfn.XLOOKUP(F2178,'Raw Data'!$I$4:$I$5000,'Raw Data'!$H$4:$H$5000,"",0),"")</f>
        <v/>
      </c>
      <c r="P2178" s="9" t="str" cm="1">
        <f t="array" aca="1" ref="P2178" ca="1">IF(INDIRECT(M2178) = "","",INDIRECT(M2178))</f>
        <v/>
      </c>
      <c r="Q2178" s="359" t="s">
        <v>4381</v>
      </c>
    </row>
    <row r="2179" spans="1:17" x14ac:dyDescent="0.35">
      <c r="A2179" t="s">
        <v>3843</v>
      </c>
      <c r="E2179" t="str">
        <f>_xlfn.XLOOKUP(F2179,'Raw Data'!$I$4:$I$5000,'Raw Data'!$D$4:$D$5000,"*** Mnemonic not found ***",0)</f>
        <v>*** Mnemonic not found ***</v>
      </c>
      <c r="F2179" t="str">
        <f t="shared" si="496"/>
        <v>ADJCAPCOM9999_20__</v>
      </c>
      <c r="H2179" s="9" t="s">
        <v>276</v>
      </c>
      <c r="K2179" s="9">
        <f t="shared" si="499"/>
        <v>24</v>
      </c>
      <c r="L2179" s="9" t="str">
        <f t="shared" si="500"/>
        <v>F</v>
      </c>
      <c r="M2179" s="9" t="str">
        <f t="shared" si="501"/>
        <v>Adjustment!F24</v>
      </c>
      <c r="N2179" s="9">
        <f>_xlfn.XLOOKUP(F2179,'Raw Data'!$I$4:$I$5000,'Raw Data'!$E$4:$E$5000,100,0)</f>
        <v>100</v>
      </c>
      <c r="O2179" s="9" t="str">
        <f>IF(N2179=0,_xlfn.XLOOKUP(F2179,'Raw Data'!$I$4:$I$5000,'Raw Data'!$H$4:$H$5000,"",0),"")</f>
        <v/>
      </c>
      <c r="P2179" s="9" t="str" cm="1">
        <f t="array" aca="1" ref="P2179" ca="1">IF(INDIRECT(M2179) = "","",INDIRECT(M2179))</f>
        <v/>
      </c>
      <c r="Q2179" s="359" t="s">
        <v>4381</v>
      </c>
    </row>
    <row r="2180" spans="1:17" x14ac:dyDescent="0.35">
      <c r="A2180" t="s">
        <v>3844</v>
      </c>
      <c r="E2180" t="str">
        <f>_xlfn.XLOOKUP(F2180,'Raw Data'!$I$4:$I$5000,'Raw Data'!$D$4:$D$5000,"*** Mnemonic not found ***",0)</f>
        <v>*** Mnemonic not found ***</v>
      </c>
      <c r="F2180" t="str">
        <f t="shared" si="496"/>
        <v>ADJCAPCOM9995_1__</v>
      </c>
      <c r="H2180" s="9" t="s">
        <v>276</v>
      </c>
      <c r="K2180" s="9">
        <f>K2160</f>
        <v>5</v>
      </c>
      <c r="L2180" s="9" t="s">
        <v>1145</v>
      </c>
      <c r="M2180" s="9" t="str">
        <f t="shared" si="501"/>
        <v>Adjustment!G5</v>
      </c>
      <c r="N2180" s="9">
        <f>_xlfn.XLOOKUP(F2180,'Raw Data'!$I$4:$I$5000,'Raw Data'!$E$4:$E$5000,100,0)</f>
        <v>100</v>
      </c>
      <c r="O2180" s="9" t="str">
        <f>IF(N2180=0,_xlfn.XLOOKUP(F2180,'Raw Data'!$I$4:$I$5000,'Raw Data'!$H$4:$H$5000,"",0),"")</f>
        <v/>
      </c>
      <c r="P2180" s="9" t="str" cm="1">
        <f t="array" aca="1" ref="P2180" ca="1">IF(INDIRECT(M2180) = "","",INDIRECT(M2180))</f>
        <v/>
      </c>
      <c r="Q2180" s="359" t="s">
        <v>4381</v>
      </c>
    </row>
    <row r="2181" spans="1:17" x14ac:dyDescent="0.35">
      <c r="A2181" t="s">
        <v>3845</v>
      </c>
      <c r="E2181" t="str">
        <f>_xlfn.XLOOKUP(F2181,'Raw Data'!$I$4:$I$5000,'Raw Data'!$D$4:$D$5000,"*** Mnemonic not found ***",0)</f>
        <v>*** Mnemonic not found ***</v>
      </c>
      <c r="F2181" t="str">
        <f t="shared" si="496"/>
        <v>ADJCAPCOM9995_2__</v>
      </c>
      <c r="H2181" s="9" t="s">
        <v>276</v>
      </c>
      <c r="K2181" s="9">
        <f>K2180+1</f>
        <v>6</v>
      </c>
      <c r="L2181" s="9" t="str">
        <f>L2180</f>
        <v>G</v>
      </c>
      <c r="M2181" s="9" t="str">
        <f t="shared" si="501"/>
        <v>Adjustment!G6</v>
      </c>
      <c r="N2181" s="9">
        <f>_xlfn.XLOOKUP(F2181,'Raw Data'!$I$4:$I$5000,'Raw Data'!$E$4:$E$5000,100,0)</f>
        <v>100</v>
      </c>
      <c r="O2181" s="9" t="str">
        <f>IF(N2181=0,_xlfn.XLOOKUP(F2181,'Raw Data'!$I$4:$I$5000,'Raw Data'!$H$4:$H$5000,"",0),"")</f>
        <v/>
      </c>
      <c r="P2181" s="9" t="str" cm="1">
        <f t="array" aca="1" ref="P2181" ca="1">IF(INDIRECT(M2181) = "","",INDIRECT(M2181))</f>
        <v/>
      </c>
      <c r="Q2181" s="359" t="s">
        <v>4381</v>
      </c>
    </row>
    <row r="2182" spans="1:17" x14ac:dyDescent="0.35">
      <c r="A2182" t="s">
        <v>3846</v>
      </c>
      <c r="E2182" t="str">
        <f>_xlfn.XLOOKUP(F2182,'Raw Data'!$I$4:$I$5000,'Raw Data'!$D$4:$D$5000,"*** Mnemonic not found ***",0)</f>
        <v>*** Mnemonic not found ***</v>
      </c>
      <c r="F2182" t="str">
        <f t="shared" si="496"/>
        <v>ADJCAPCOM9995_3__</v>
      </c>
      <c r="H2182" s="9" t="s">
        <v>276</v>
      </c>
      <c r="K2182" s="9">
        <f t="shared" ref="K2182:K2199" si="502">K2181+1</f>
        <v>7</v>
      </c>
      <c r="L2182" s="9" t="str">
        <f t="shared" ref="L2182:L2199" si="503">L2181</f>
        <v>G</v>
      </c>
      <c r="M2182" s="9" t="str">
        <f t="shared" si="501"/>
        <v>Adjustment!G7</v>
      </c>
      <c r="N2182" s="9">
        <f>_xlfn.XLOOKUP(F2182,'Raw Data'!$I$4:$I$5000,'Raw Data'!$E$4:$E$5000,100,0)</f>
        <v>100</v>
      </c>
      <c r="O2182" s="9" t="str">
        <f>IF(N2182=0,_xlfn.XLOOKUP(F2182,'Raw Data'!$I$4:$I$5000,'Raw Data'!$H$4:$H$5000,"",0),"")</f>
        <v/>
      </c>
      <c r="P2182" s="9" t="str" cm="1">
        <f t="array" aca="1" ref="P2182" ca="1">IF(INDIRECT(M2182) = "","",INDIRECT(M2182))</f>
        <v/>
      </c>
      <c r="Q2182" s="359" t="s">
        <v>4381</v>
      </c>
    </row>
    <row r="2183" spans="1:17" x14ac:dyDescent="0.35">
      <c r="A2183" t="s">
        <v>3847</v>
      </c>
      <c r="E2183" t="str">
        <f>_xlfn.XLOOKUP(F2183,'Raw Data'!$I$4:$I$5000,'Raw Data'!$D$4:$D$5000,"*** Mnemonic not found ***",0)</f>
        <v>*** Mnemonic not found ***</v>
      </c>
      <c r="F2183" t="str">
        <f t="shared" si="496"/>
        <v>ADJCAPCOM9995_4__</v>
      </c>
      <c r="H2183" s="9" t="s">
        <v>276</v>
      </c>
      <c r="K2183" s="9">
        <f t="shared" si="502"/>
        <v>8</v>
      </c>
      <c r="L2183" s="9" t="str">
        <f t="shared" si="503"/>
        <v>G</v>
      </c>
      <c r="M2183" s="9" t="str">
        <f t="shared" si="501"/>
        <v>Adjustment!G8</v>
      </c>
      <c r="N2183" s="9">
        <f>_xlfn.XLOOKUP(F2183,'Raw Data'!$I$4:$I$5000,'Raw Data'!$E$4:$E$5000,100,0)</f>
        <v>100</v>
      </c>
      <c r="O2183" s="9" t="str">
        <f>IF(N2183=0,_xlfn.XLOOKUP(F2183,'Raw Data'!$I$4:$I$5000,'Raw Data'!$H$4:$H$5000,"",0),"")</f>
        <v/>
      </c>
      <c r="P2183" s="9" t="str" cm="1">
        <f t="array" aca="1" ref="P2183" ca="1">IF(INDIRECT(M2183) = "","",INDIRECT(M2183))</f>
        <v/>
      </c>
      <c r="Q2183" s="359" t="s">
        <v>4381</v>
      </c>
    </row>
    <row r="2184" spans="1:17" x14ac:dyDescent="0.35">
      <c r="A2184" t="s">
        <v>3848</v>
      </c>
      <c r="E2184" t="str">
        <f>_xlfn.XLOOKUP(F2184,'Raw Data'!$I$4:$I$5000,'Raw Data'!$D$4:$D$5000,"*** Mnemonic not found ***",0)</f>
        <v>*** Mnemonic not found ***</v>
      </c>
      <c r="F2184" t="str">
        <f t="shared" si="496"/>
        <v>ADJCAPCOM9995_5__</v>
      </c>
      <c r="H2184" s="9" t="s">
        <v>276</v>
      </c>
      <c r="K2184" s="9">
        <f t="shared" si="502"/>
        <v>9</v>
      </c>
      <c r="L2184" s="9" t="str">
        <f t="shared" si="503"/>
        <v>G</v>
      </c>
      <c r="M2184" s="9" t="str">
        <f t="shared" si="501"/>
        <v>Adjustment!G9</v>
      </c>
      <c r="N2184" s="9">
        <f>_xlfn.XLOOKUP(F2184,'Raw Data'!$I$4:$I$5000,'Raw Data'!$E$4:$E$5000,100,0)</f>
        <v>100</v>
      </c>
      <c r="O2184" s="9" t="str">
        <f>IF(N2184=0,_xlfn.XLOOKUP(F2184,'Raw Data'!$I$4:$I$5000,'Raw Data'!$H$4:$H$5000,"",0),"")</f>
        <v/>
      </c>
      <c r="P2184" s="9" t="str" cm="1">
        <f t="array" aca="1" ref="P2184" ca="1">IF(INDIRECT(M2184) = "","",INDIRECT(M2184))</f>
        <v/>
      </c>
      <c r="Q2184" s="359" t="s">
        <v>4381</v>
      </c>
    </row>
    <row r="2185" spans="1:17" x14ac:dyDescent="0.35">
      <c r="A2185" t="s">
        <v>3849</v>
      </c>
      <c r="E2185" t="str">
        <f>_xlfn.XLOOKUP(F2185,'Raw Data'!$I$4:$I$5000,'Raw Data'!$D$4:$D$5000,"*** Mnemonic not found ***",0)</f>
        <v>*** Mnemonic not found ***</v>
      </c>
      <c r="F2185" t="str">
        <f t="shared" si="496"/>
        <v>ADJCAPCOM9995_6__</v>
      </c>
      <c r="H2185" s="9" t="s">
        <v>276</v>
      </c>
      <c r="K2185" s="9">
        <f t="shared" si="502"/>
        <v>10</v>
      </c>
      <c r="L2185" s="9" t="str">
        <f t="shared" si="503"/>
        <v>G</v>
      </c>
      <c r="M2185" s="9" t="str">
        <f t="shared" si="501"/>
        <v>Adjustment!G10</v>
      </c>
      <c r="N2185" s="9">
        <f>_xlfn.XLOOKUP(F2185,'Raw Data'!$I$4:$I$5000,'Raw Data'!$E$4:$E$5000,100,0)</f>
        <v>100</v>
      </c>
      <c r="O2185" s="9" t="str">
        <f>IF(N2185=0,_xlfn.XLOOKUP(F2185,'Raw Data'!$I$4:$I$5000,'Raw Data'!$H$4:$H$5000,"",0),"")</f>
        <v/>
      </c>
      <c r="P2185" s="9" t="str" cm="1">
        <f t="array" aca="1" ref="P2185" ca="1">IF(INDIRECT(M2185) = "","",INDIRECT(M2185))</f>
        <v/>
      </c>
      <c r="Q2185" s="359" t="s">
        <v>4381</v>
      </c>
    </row>
    <row r="2186" spans="1:17" x14ac:dyDescent="0.35">
      <c r="A2186" t="s">
        <v>3850</v>
      </c>
      <c r="E2186" t="str">
        <f>_xlfn.XLOOKUP(F2186,'Raw Data'!$I$4:$I$5000,'Raw Data'!$D$4:$D$5000,"*** Mnemonic not found ***",0)</f>
        <v>*** Mnemonic not found ***</v>
      </c>
      <c r="F2186" t="str">
        <f t="shared" si="496"/>
        <v>ADJCAPCOM9995_7__</v>
      </c>
      <c r="H2186" s="9" t="s">
        <v>276</v>
      </c>
      <c r="K2186" s="9">
        <f t="shared" si="502"/>
        <v>11</v>
      </c>
      <c r="L2186" s="9" t="str">
        <f t="shared" si="503"/>
        <v>G</v>
      </c>
      <c r="M2186" s="9" t="str">
        <f t="shared" si="501"/>
        <v>Adjustment!G11</v>
      </c>
      <c r="N2186" s="9">
        <f>_xlfn.XLOOKUP(F2186,'Raw Data'!$I$4:$I$5000,'Raw Data'!$E$4:$E$5000,100,0)</f>
        <v>100</v>
      </c>
      <c r="O2186" s="9" t="str">
        <f>IF(N2186=0,_xlfn.XLOOKUP(F2186,'Raw Data'!$I$4:$I$5000,'Raw Data'!$H$4:$H$5000,"",0),"")</f>
        <v/>
      </c>
      <c r="P2186" s="9" t="str" cm="1">
        <f t="array" aca="1" ref="P2186" ca="1">IF(INDIRECT(M2186) = "","",INDIRECT(M2186))</f>
        <v/>
      </c>
      <c r="Q2186" s="359" t="s">
        <v>4381</v>
      </c>
    </row>
    <row r="2187" spans="1:17" x14ac:dyDescent="0.35">
      <c r="A2187" t="s">
        <v>3851</v>
      </c>
      <c r="E2187" t="str">
        <f>_xlfn.XLOOKUP(F2187,'Raw Data'!$I$4:$I$5000,'Raw Data'!$D$4:$D$5000,"*** Mnemonic not found ***",0)</f>
        <v>*** Mnemonic not found ***</v>
      </c>
      <c r="F2187" t="str">
        <f t="shared" si="496"/>
        <v>ADJCAPCOM9995_8__</v>
      </c>
      <c r="H2187" s="9" t="s">
        <v>276</v>
      </c>
      <c r="K2187" s="9">
        <f t="shared" si="502"/>
        <v>12</v>
      </c>
      <c r="L2187" s="9" t="str">
        <f t="shared" si="503"/>
        <v>G</v>
      </c>
      <c r="M2187" s="9" t="str">
        <f t="shared" si="501"/>
        <v>Adjustment!G12</v>
      </c>
      <c r="N2187" s="9">
        <f>_xlfn.XLOOKUP(F2187,'Raw Data'!$I$4:$I$5000,'Raw Data'!$E$4:$E$5000,100,0)</f>
        <v>100</v>
      </c>
      <c r="O2187" s="9" t="str">
        <f>IF(N2187=0,_xlfn.XLOOKUP(F2187,'Raw Data'!$I$4:$I$5000,'Raw Data'!$H$4:$H$5000,"",0),"")</f>
        <v/>
      </c>
      <c r="P2187" s="9" t="str" cm="1">
        <f t="array" aca="1" ref="P2187" ca="1">IF(INDIRECT(M2187) = "","",INDIRECT(M2187))</f>
        <v/>
      </c>
      <c r="Q2187" s="359" t="s">
        <v>4381</v>
      </c>
    </row>
    <row r="2188" spans="1:17" x14ac:dyDescent="0.35">
      <c r="A2188" t="s">
        <v>3852</v>
      </c>
      <c r="E2188" t="str">
        <f>_xlfn.XLOOKUP(F2188,'Raw Data'!$I$4:$I$5000,'Raw Data'!$D$4:$D$5000,"*** Mnemonic not found ***",0)</f>
        <v>*** Mnemonic not found ***</v>
      </c>
      <c r="F2188" t="str">
        <f t="shared" si="496"/>
        <v>ADJCAPCOM9995_9__</v>
      </c>
      <c r="H2188" s="9" t="s">
        <v>276</v>
      </c>
      <c r="K2188" s="9">
        <f t="shared" si="502"/>
        <v>13</v>
      </c>
      <c r="L2188" s="9" t="str">
        <f t="shared" si="503"/>
        <v>G</v>
      </c>
      <c r="M2188" s="9" t="str">
        <f t="shared" si="501"/>
        <v>Adjustment!G13</v>
      </c>
      <c r="N2188" s="9">
        <f>_xlfn.XLOOKUP(F2188,'Raw Data'!$I$4:$I$5000,'Raw Data'!$E$4:$E$5000,100,0)</f>
        <v>100</v>
      </c>
      <c r="O2188" s="9" t="str">
        <f>IF(N2188=0,_xlfn.XLOOKUP(F2188,'Raw Data'!$I$4:$I$5000,'Raw Data'!$H$4:$H$5000,"",0),"")</f>
        <v/>
      </c>
      <c r="P2188" s="9" t="str" cm="1">
        <f t="array" aca="1" ref="P2188" ca="1">IF(INDIRECT(M2188) = "","",INDIRECT(M2188))</f>
        <v/>
      </c>
      <c r="Q2188" s="359" t="s">
        <v>4381</v>
      </c>
    </row>
    <row r="2189" spans="1:17" x14ac:dyDescent="0.35">
      <c r="A2189" t="s">
        <v>3853</v>
      </c>
      <c r="E2189" t="str">
        <f>_xlfn.XLOOKUP(F2189,'Raw Data'!$I$4:$I$5000,'Raw Data'!$D$4:$D$5000,"*** Mnemonic not found ***",0)</f>
        <v>*** Mnemonic not found ***</v>
      </c>
      <c r="F2189" t="str">
        <f t="shared" ref="F2189:F2252" si="504">CONCATENATE(A2189,"_",B2189,"_",D2189)</f>
        <v>ADJCAPCOM9995_10__</v>
      </c>
      <c r="H2189" s="9" t="s">
        <v>276</v>
      </c>
      <c r="K2189" s="9">
        <f t="shared" si="502"/>
        <v>14</v>
      </c>
      <c r="L2189" s="9" t="str">
        <f t="shared" si="503"/>
        <v>G</v>
      </c>
      <c r="M2189" s="9" t="str">
        <f t="shared" si="501"/>
        <v>Adjustment!G14</v>
      </c>
      <c r="N2189" s="9">
        <f>_xlfn.XLOOKUP(F2189,'Raw Data'!$I$4:$I$5000,'Raw Data'!$E$4:$E$5000,100,0)</f>
        <v>100</v>
      </c>
      <c r="O2189" s="9" t="str">
        <f>IF(N2189=0,_xlfn.XLOOKUP(F2189,'Raw Data'!$I$4:$I$5000,'Raw Data'!$H$4:$H$5000,"",0),"")</f>
        <v/>
      </c>
      <c r="P2189" s="9" t="str" cm="1">
        <f t="array" aca="1" ref="P2189" ca="1">IF(INDIRECT(M2189) = "","",INDIRECT(M2189))</f>
        <v/>
      </c>
      <c r="Q2189" s="359" t="s">
        <v>4381</v>
      </c>
    </row>
    <row r="2190" spans="1:17" x14ac:dyDescent="0.35">
      <c r="A2190" t="s">
        <v>3854</v>
      </c>
      <c r="E2190" t="str">
        <f>_xlfn.XLOOKUP(F2190,'Raw Data'!$I$4:$I$5000,'Raw Data'!$D$4:$D$5000,"*** Mnemonic not found ***",0)</f>
        <v>*** Mnemonic not found ***</v>
      </c>
      <c r="F2190" t="str">
        <f t="shared" si="504"/>
        <v>ADJCAPCOM9995_11__</v>
      </c>
      <c r="H2190" s="9" t="s">
        <v>276</v>
      </c>
      <c r="K2190" s="9">
        <f t="shared" si="502"/>
        <v>15</v>
      </c>
      <c r="L2190" s="9" t="str">
        <f t="shared" si="503"/>
        <v>G</v>
      </c>
      <c r="M2190" s="9" t="str">
        <f t="shared" si="501"/>
        <v>Adjustment!G15</v>
      </c>
      <c r="N2190" s="9">
        <f>_xlfn.XLOOKUP(F2190,'Raw Data'!$I$4:$I$5000,'Raw Data'!$E$4:$E$5000,100,0)</f>
        <v>100</v>
      </c>
      <c r="O2190" s="9" t="str">
        <f>IF(N2190=0,_xlfn.XLOOKUP(F2190,'Raw Data'!$I$4:$I$5000,'Raw Data'!$H$4:$H$5000,"",0),"")</f>
        <v/>
      </c>
      <c r="P2190" s="9" t="str" cm="1">
        <f t="array" aca="1" ref="P2190" ca="1">IF(INDIRECT(M2190) = "","",INDIRECT(M2190))</f>
        <v/>
      </c>
      <c r="Q2190" s="359" t="s">
        <v>4381</v>
      </c>
    </row>
    <row r="2191" spans="1:17" x14ac:dyDescent="0.35">
      <c r="A2191" t="s">
        <v>3855</v>
      </c>
      <c r="E2191" t="str">
        <f>_xlfn.XLOOKUP(F2191,'Raw Data'!$I$4:$I$5000,'Raw Data'!$D$4:$D$5000,"*** Mnemonic not found ***",0)</f>
        <v>*** Mnemonic not found ***</v>
      </c>
      <c r="F2191" t="str">
        <f t="shared" si="504"/>
        <v>ADJCAPCOM9995_12__</v>
      </c>
      <c r="H2191" s="9" t="s">
        <v>276</v>
      </c>
      <c r="K2191" s="9">
        <f t="shared" si="502"/>
        <v>16</v>
      </c>
      <c r="L2191" s="9" t="str">
        <f t="shared" si="503"/>
        <v>G</v>
      </c>
      <c r="M2191" s="9" t="str">
        <f t="shared" si="501"/>
        <v>Adjustment!G16</v>
      </c>
      <c r="N2191" s="9">
        <f>_xlfn.XLOOKUP(F2191,'Raw Data'!$I$4:$I$5000,'Raw Data'!$E$4:$E$5000,100,0)</f>
        <v>100</v>
      </c>
      <c r="O2191" s="9" t="str">
        <f>IF(N2191=0,_xlfn.XLOOKUP(F2191,'Raw Data'!$I$4:$I$5000,'Raw Data'!$H$4:$H$5000,"",0),"")</f>
        <v/>
      </c>
      <c r="P2191" s="9" t="str" cm="1">
        <f t="array" aca="1" ref="P2191" ca="1">IF(INDIRECT(M2191) = "","",INDIRECT(M2191))</f>
        <v/>
      </c>
      <c r="Q2191" s="359" t="s">
        <v>4381</v>
      </c>
    </row>
    <row r="2192" spans="1:17" x14ac:dyDescent="0.35">
      <c r="A2192" t="s">
        <v>3856</v>
      </c>
      <c r="E2192" t="str">
        <f>_xlfn.XLOOKUP(F2192,'Raw Data'!$I$4:$I$5000,'Raw Data'!$D$4:$D$5000,"*** Mnemonic not found ***",0)</f>
        <v>*** Mnemonic not found ***</v>
      </c>
      <c r="F2192" t="str">
        <f t="shared" si="504"/>
        <v>ADJCAPCOM9995_13__</v>
      </c>
      <c r="H2192" s="9" t="s">
        <v>276</v>
      </c>
      <c r="K2192" s="9">
        <f t="shared" si="502"/>
        <v>17</v>
      </c>
      <c r="L2192" s="9" t="str">
        <f t="shared" si="503"/>
        <v>G</v>
      </c>
      <c r="M2192" s="9" t="str">
        <f t="shared" si="501"/>
        <v>Adjustment!G17</v>
      </c>
      <c r="N2192" s="9">
        <f>_xlfn.XLOOKUP(F2192,'Raw Data'!$I$4:$I$5000,'Raw Data'!$E$4:$E$5000,100,0)</f>
        <v>100</v>
      </c>
      <c r="O2192" s="9" t="str">
        <f>IF(N2192=0,_xlfn.XLOOKUP(F2192,'Raw Data'!$I$4:$I$5000,'Raw Data'!$H$4:$H$5000,"",0),"")</f>
        <v/>
      </c>
      <c r="P2192" s="9" t="str" cm="1">
        <f t="array" aca="1" ref="P2192" ca="1">IF(INDIRECT(M2192) = "","",INDIRECT(M2192))</f>
        <v/>
      </c>
      <c r="Q2192" s="359" t="s">
        <v>4381</v>
      </c>
    </row>
    <row r="2193" spans="1:17" x14ac:dyDescent="0.35">
      <c r="A2193" t="s">
        <v>3857</v>
      </c>
      <c r="E2193" t="str">
        <f>_xlfn.XLOOKUP(F2193,'Raw Data'!$I$4:$I$5000,'Raw Data'!$D$4:$D$5000,"*** Mnemonic not found ***",0)</f>
        <v>*** Mnemonic not found ***</v>
      </c>
      <c r="F2193" t="str">
        <f t="shared" si="504"/>
        <v>ADJCAPCOM9995_14__</v>
      </c>
      <c r="H2193" s="9" t="s">
        <v>276</v>
      </c>
      <c r="K2193" s="9">
        <f t="shared" si="502"/>
        <v>18</v>
      </c>
      <c r="L2193" s="9" t="str">
        <f t="shared" si="503"/>
        <v>G</v>
      </c>
      <c r="M2193" s="9" t="str">
        <f t="shared" si="501"/>
        <v>Adjustment!G18</v>
      </c>
      <c r="N2193" s="9">
        <f>_xlfn.XLOOKUP(F2193,'Raw Data'!$I$4:$I$5000,'Raw Data'!$E$4:$E$5000,100,0)</f>
        <v>100</v>
      </c>
      <c r="O2193" s="9" t="str">
        <f>IF(N2193=0,_xlfn.XLOOKUP(F2193,'Raw Data'!$I$4:$I$5000,'Raw Data'!$H$4:$H$5000,"",0),"")</f>
        <v/>
      </c>
      <c r="P2193" s="9" t="str" cm="1">
        <f t="array" aca="1" ref="P2193" ca="1">IF(INDIRECT(M2193) = "","",INDIRECT(M2193))</f>
        <v/>
      </c>
      <c r="Q2193" s="359" t="s">
        <v>4381</v>
      </c>
    </row>
    <row r="2194" spans="1:17" x14ac:dyDescent="0.35">
      <c r="A2194" t="s">
        <v>3858</v>
      </c>
      <c r="E2194" t="str">
        <f>_xlfn.XLOOKUP(F2194,'Raw Data'!$I$4:$I$5000,'Raw Data'!$D$4:$D$5000,"*** Mnemonic not found ***",0)</f>
        <v>*** Mnemonic not found ***</v>
      </c>
      <c r="F2194" t="str">
        <f t="shared" si="504"/>
        <v>ADJCAPCOM9995_15__</v>
      </c>
      <c r="H2194" s="9" t="s">
        <v>276</v>
      </c>
      <c r="K2194" s="9">
        <f t="shared" si="502"/>
        <v>19</v>
      </c>
      <c r="L2194" s="9" t="str">
        <f t="shared" si="503"/>
        <v>G</v>
      </c>
      <c r="M2194" s="9" t="str">
        <f t="shared" si="501"/>
        <v>Adjustment!G19</v>
      </c>
      <c r="N2194" s="9">
        <f>_xlfn.XLOOKUP(F2194,'Raw Data'!$I$4:$I$5000,'Raw Data'!$E$4:$E$5000,100,0)</f>
        <v>100</v>
      </c>
      <c r="O2194" s="9" t="str">
        <f>IF(N2194=0,_xlfn.XLOOKUP(F2194,'Raw Data'!$I$4:$I$5000,'Raw Data'!$H$4:$H$5000,"",0),"")</f>
        <v/>
      </c>
      <c r="P2194" s="9" t="str" cm="1">
        <f t="array" aca="1" ref="P2194" ca="1">IF(INDIRECT(M2194) = "","",INDIRECT(M2194))</f>
        <v/>
      </c>
      <c r="Q2194" s="359" t="s">
        <v>4381</v>
      </c>
    </row>
    <row r="2195" spans="1:17" x14ac:dyDescent="0.35">
      <c r="A2195" t="s">
        <v>3859</v>
      </c>
      <c r="E2195" t="str">
        <f>_xlfn.XLOOKUP(F2195,'Raw Data'!$I$4:$I$5000,'Raw Data'!$D$4:$D$5000,"*** Mnemonic not found ***",0)</f>
        <v>*** Mnemonic not found ***</v>
      </c>
      <c r="F2195" t="str">
        <f t="shared" si="504"/>
        <v>ADJCAPCOM9995_16__</v>
      </c>
      <c r="H2195" s="9" t="s">
        <v>276</v>
      </c>
      <c r="K2195" s="9">
        <f t="shared" si="502"/>
        <v>20</v>
      </c>
      <c r="L2195" s="9" t="str">
        <f t="shared" si="503"/>
        <v>G</v>
      </c>
      <c r="M2195" s="9" t="str">
        <f t="shared" si="501"/>
        <v>Adjustment!G20</v>
      </c>
      <c r="N2195" s="9">
        <f>_xlfn.XLOOKUP(F2195,'Raw Data'!$I$4:$I$5000,'Raw Data'!$E$4:$E$5000,100,0)</f>
        <v>100</v>
      </c>
      <c r="O2195" s="9" t="str">
        <f>IF(N2195=0,_xlfn.XLOOKUP(F2195,'Raw Data'!$I$4:$I$5000,'Raw Data'!$H$4:$H$5000,"",0),"")</f>
        <v/>
      </c>
      <c r="P2195" s="9" t="str" cm="1">
        <f t="array" aca="1" ref="P2195" ca="1">IF(INDIRECT(M2195) = "","",INDIRECT(M2195))</f>
        <v/>
      </c>
      <c r="Q2195" s="359" t="s">
        <v>4381</v>
      </c>
    </row>
    <row r="2196" spans="1:17" x14ac:dyDescent="0.35">
      <c r="A2196" t="s">
        <v>3860</v>
      </c>
      <c r="E2196" t="str">
        <f>_xlfn.XLOOKUP(F2196,'Raw Data'!$I$4:$I$5000,'Raw Data'!$D$4:$D$5000,"*** Mnemonic not found ***",0)</f>
        <v>*** Mnemonic not found ***</v>
      </c>
      <c r="F2196" t="str">
        <f t="shared" si="504"/>
        <v>ADJCAPCOM9995_17__</v>
      </c>
      <c r="H2196" s="9" t="s">
        <v>276</v>
      </c>
      <c r="K2196" s="9">
        <f t="shared" si="502"/>
        <v>21</v>
      </c>
      <c r="L2196" s="9" t="str">
        <f t="shared" si="503"/>
        <v>G</v>
      </c>
      <c r="M2196" s="9" t="str">
        <f t="shared" si="501"/>
        <v>Adjustment!G21</v>
      </c>
      <c r="N2196" s="9">
        <f>_xlfn.XLOOKUP(F2196,'Raw Data'!$I$4:$I$5000,'Raw Data'!$E$4:$E$5000,100,0)</f>
        <v>100</v>
      </c>
      <c r="O2196" s="9" t="str">
        <f>IF(N2196=0,_xlfn.XLOOKUP(F2196,'Raw Data'!$I$4:$I$5000,'Raw Data'!$H$4:$H$5000,"",0),"")</f>
        <v/>
      </c>
      <c r="P2196" s="9" t="str" cm="1">
        <f t="array" aca="1" ref="P2196" ca="1">IF(INDIRECT(M2196) = "","",INDIRECT(M2196))</f>
        <v/>
      </c>
      <c r="Q2196" s="359" t="s">
        <v>4381</v>
      </c>
    </row>
    <row r="2197" spans="1:17" x14ac:dyDescent="0.35">
      <c r="A2197" t="s">
        <v>3861</v>
      </c>
      <c r="E2197" t="str">
        <f>_xlfn.XLOOKUP(F2197,'Raw Data'!$I$4:$I$5000,'Raw Data'!$D$4:$D$5000,"*** Mnemonic not found ***",0)</f>
        <v>*** Mnemonic not found ***</v>
      </c>
      <c r="F2197" t="str">
        <f t="shared" si="504"/>
        <v>ADJCAPCOM9995_18__</v>
      </c>
      <c r="H2197" s="9" t="s">
        <v>276</v>
      </c>
      <c r="K2197" s="9">
        <f t="shared" si="502"/>
        <v>22</v>
      </c>
      <c r="L2197" s="9" t="str">
        <f t="shared" si="503"/>
        <v>G</v>
      </c>
      <c r="M2197" s="9" t="str">
        <f t="shared" si="501"/>
        <v>Adjustment!G22</v>
      </c>
      <c r="N2197" s="9">
        <f>_xlfn.XLOOKUP(F2197,'Raw Data'!$I$4:$I$5000,'Raw Data'!$E$4:$E$5000,100,0)</f>
        <v>100</v>
      </c>
      <c r="O2197" s="9" t="str">
        <f>IF(N2197=0,_xlfn.XLOOKUP(F2197,'Raw Data'!$I$4:$I$5000,'Raw Data'!$H$4:$H$5000,"",0),"")</f>
        <v/>
      </c>
      <c r="P2197" s="9" t="str" cm="1">
        <f t="array" aca="1" ref="P2197" ca="1">IF(INDIRECT(M2197) = "","",INDIRECT(M2197))</f>
        <v/>
      </c>
      <c r="Q2197" s="359" t="s">
        <v>4381</v>
      </c>
    </row>
    <row r="2198" spans="1:17" x14ac:dyDescent="0.35">
      <c r="A2198" t="s">
        <v>3862</v>
      </c>
      <c r="E2198" t="str">
        <f>_xlfn.XLOOKUP(F2198,'Raw Data'!$I$4:$I$5000,'Raw Data'!$D$4:$D$5000,"*** Mnemonic not found ***",0)</f>
        <v>*** Mnemonic not found ***</v>
      </c>
      <c r="F2198" t="str">
        <f t="shared" si="504"/>
        <v>ADJCAPCOM9995_19__</v>
      </c>
      <c r="H2198" s="9" t="s">
        <v>276</v>
      </c>
      <c r="K2198" s="9">
        <f t="shared" si="502"/>
        <v>23</v>
      </c>
      <c r="L2198" s="9" t="str">
        <f t="shared" si="503"/>
        <v>G</v>
      </c>
      <c r="M2198" s="9" t="str">
        <f t="shared" si="501"/>
        <v>Adjustment!G23</v>
      </c>
      <c r="N2198" s="9">
        <f>_xlfn.XLOOKUP(F2198,'Raw Data'!$I$4:$I$5000,'Raw Data'!$E$4:$E$5000,100,0)</f>
        <v>100</v>
      </c>
      <c r="O2198" s="9" t="str">
        <f>IF(N2198=0,_xlfn.XLOOKUP(F2198,'Raw Data'!$I$4:$I$5000,'Raw Data'!$H$4:$H$5000,"",0),"")</f>
        <v/>
      </c>
      <c r="P2198" s="9" t="str" cm="1">
        <f t="array" aca="1" ref="P2198" ca="1">IF(INDIRECT(M2198) = "","",INDIRECT(M2198))</f>
        <v/>
      </c>
      <c r="Q2198" s="359" t="s">
        <v>4381</v>
      </c>
    </row>
    <row r="2199" spans="1:17" x14ac:dyDescent="0.35">
      <c r="A2199" t="s">
        <v>3863</v>
      </c>
      <c r="E2199" t="str">
        <f>_xlfn.XLOOKUP(F2199,'Raw Data'!$I$4:$I$5000,'Raw Data'!$D$4:$D$5000,"*** Mnemonic not found ***",0)</f>
        <v>*** Mnemonic not found ***</v>
      </c>
      <c r="F2199" t="str">
        <f t="shared" si="504"/>
        <v>ADJCAPCOM9995_20__</v>
      </c>
      <c r="H2199" s="9" t="s">
        <v>276</v>
      </c>
      <c r="K2199" s="9">
        <f t="shared" si="502"/>
        <v>24</v>
      </c>
      <c r="L2199" s="9" t="str">
        <f t="shared" si="503"/>
        <v>G</v>
      </c>
      <c r="M2199" s="9" t="str">
        <f t="shared" si="501"/>
        <v>Adjustment!G24</v>
      </c>
      <c r="N2199" s="9">
        <f>_xlfn.XLOOKUP(F2199,'Raw Data'!$I$4:$I$5000,'Raw Data'!$E$4:$E$5000,100,0)</f>
        <v>100</v>
      </c>
      <c r="O2199" s="9" t="str">
        <f>IF(N2199=0,_xlfn.XLOOKUP(F2199,'Raw Data'!$I$4:$I$5000,'Raw Data'!$H$4:$H$5000,"",0),"")</f>
        <v/>
      </c>
      <c r="P2199" s="9" t="str" cm="1">
        <f t="array" aca="1" ref="P2199" ca="1">IF(INDIRECT(M2199) = "","",INDIRECT(M2199))</f>
        <v/>
      </c>
      <c r="Q2199" s="359" t="s">
        <v>4381</v>
      </c>
    </row>
    <row r="2200" spans="1:17" x14ac:dyDescent="0.35">
      <c r="A2200" t="s">
        <v>3864</v>
      </c>
      <c r="E2200" t="str">
        <f>_xlfn.XLOOKUP(F2200,'Raw Data'!$I$4:$I$5000,'Raw Data'!$D$4:$D$5000,"*** Mnemonic not found ***",0)</f>
        <v>*** Mnemonic not found ***</v>
      </c>
      <c r="F2200" t="str">
        <f t="shared" si="504"/>
        <v>ADJCAPCOM9980_1__</v>
      </c>
      <c r="H2200" s="9" t="s">
        <v>276</v>
      </c>
      <c r="K2200" s="9">
        <f>K2180</f>
        <v>5</v>
      </c>
      <c r="L2200" s="9" t="s">
        <v>1144</v>
      </c>
      <c r="M2200" s="9" t="str">
        <f t="shared" si="501"/>
        <v>Adjustment!H5</v>
      </c>
      <c r="N2200" s="9">
        <f>_xlfn.XLOOKUP(F2200,'Raw Data'!$I$4:$I$5000,'Raw Data'!$E$4:$E$5000,100,0)</f>
        <v>100</v>
      </c>
      <c r="O2200" s="9" t="str">
        <f>IF(N2200=0,_xlfn.XLOOKUP(F2200,'Raw Data'!$I$4:$I$5000,'Raw Data'!$H$4:$H$5000,"",0),"")</f>
        <v/>
      </c>
      <c r="P2200" s="9" t="str" cm="1">
        <f t="array" aca="1" ref="P2200" ca="1">IF(INDIRECT(M2200) = "","",INDIRECT(M2200))</f>
        <v/>
      </c>
      <c r="Q2200" s="359" t="s">
        <v>4381</v>
      </c>
    </row>
    <row r="2201" spans="1:17" x14ac:dyDescent="0.35">
      <c r="A2201" t="s">
        <v>3865</v>
      </c>
      <c r="E2201" t="str">
        <f>_xlfn.XLOOKUP(F2201,'Raw Data'!$I$4:$I$5000,'Raw Data'!$D$4:$D$5000,"*** Mnemonic not found ***",0)</f>
        <v>*** Mnemonic not found ***</v>
      </c>
      <c r="F2201" t="str">
        <f t="shared" si="504"/>
        <v>ADJCAPCOM9980_2__</v>
      </c>
      <c r="H2201" s="9" t="s">
        <v>276</v>
      </c>
      <c r="K2201" s="9">
        <f>K2200+1</f>
        <v>6</v>
      </c>
      <c r="L2201" s="9" t="str">
        <f>L2200</f>
        <v>H</v>
      </c>
      <c r="M2201" s="9" t="str">
        <f t="shared" si="501"/>
        <v>Adjustment!H6</v>
      </c>
      <c r="N2201" s="9">
        <f>_xlfn.XLOOKUP(F2201,'Raw Data'!$I$4:$I$5000,'Raw Data'!$E$4:$E$5000,100,0)</f>
        <v>100</v>
      </c>
      <c r="O2201" s="9" t="str">
        <f>IF(N2201=0,_xlfn.XLOOKUP(F2201,'Raw Data'!$I$4:$I$5000,'Raw Data'!$H$4:$H$5000,"",0),"")</f>
        <v/>
      </c>
      <c r="P2201" s="9" t="str" cm="1">
        <f t="array" aca="1" ref="P2201" ca="1">IF(INDIRECT(M2201) = "","",INDIRECT(M2201))</f>
        <v/>
      </c>
      <c r="Q2201" s="359" t="s">
        <v>4381</v>
      </c>
    </row>
    <row r="2202" spans="1:17" x14ac:dyDescent="0.35">
      <c r="A2202" t="s">
        <v>3866</v>
      </c>
      <c r="E2202" t="str">
        <f>_xlfn.XLOOKUP(F2202,'Raw Data'!$I$4:$I$5000,'Raw Data'!$D$4:$D$5000,"*** Mnemonic not found ***",0)</f>
        <v>*** Mnemonic not found ***</v>
      </c>
      <c r="F2202" t="str">
        <f t="shared" si="504"/>
        <v>ADJCAPCOM9980_3__</v>
      </c>
      <c r="H2202" s="9" t="s">
        <v>276</v>
      </c>
      <c r="K2202" s="9">
        <f t="shared" ref="K2202:K2219" si="505">K2201+1</f>
        <v>7</v>
      </c>
      <c r="L2202" s="9" t="str">
        <f t="shared" ref="L2202:L2219" si="506">L2201</f>
        <v>H</v>
      </c>
      <c r="M2202" s="9" t="str">
        <f t="shared" si="501"/>
        <v>Adjustment!H7</v>
      </c>
      <c r="N2202" s="9">
        <f>_xlfn.XLOOKUP(F2202,'Raw Data'!$I$4:$I$5000,'Raw Data'!$E$4:$E$5000,100,0)</f>
        <v>100</v>
      </c>
      <c r="O2202" s="9" t="str">
        <f>IF(N2202=0,_xlfn.XLOOKUP(F2202,'Raw Data'!$I$4:$I$5000,'Raw Data'!$H$4:$H$5000,"",0),"")</f>
        <v/>
      </c>
      <c r="P2202" s="9" t="str" cm="1">
        <f t="array" aca="1" ref="P2202" ca="1">IF(INDIRECT(M2202) = "","",INDIRECT(M2202))</f>
        <v/>
      </c>
      <c r="Q2202" s="359" t="s">
        <v>4381</v>
      </c>
    </row>
    <row r="2203" spans="1:17" x14ac:dyDescent="0.35">
      <c r="A2203" t="s">
        <v>3867</v>
      </c>
      <c r="E2203" t="str">
        <f>_xlfn.XLOOKUP(F2203,'Raw Data'!$I$4:$I$5000,'Raw Data'!$D$4:$D$5000,"*** Mnemonic not found ***",0)</f>
        <v>*** Mnemonic not found ***</v>
      </c>
      <c r="F2203" t="str">
        <f t="shared" si="504"/>
        <v>ADJCAPCOM9980_4__</v>
      </c>
      <c r="H2203" s="9" t="s">
        <v>276</v>
      </c>
      <c r="K2203" s="9">
        <f t="shared" si="505"/>
        <v>8</v>
      </c>
      <c r="L2203" s="9" t="str">
        <f t="shared" si="506"/>
        <v>H</v>
      </c>
      <c r="M2203" s="9" t="str">
        <f t="shared" si="501"/>
        <v>Adjustment!H8</v>
      </c>
      <c r="N2203" s="9">
        <f>_xlfn.XLOOKUP(F2203,'Raw Data'!$I$4:$I$5000,'Raw Data'!$E$4:$E$5000,100,0)</f>
        <v>100</v>
      </c>
      <c r="O2203" s="9" t="str">
        <f>IF(N2203=0,_xlfn.XLOOKUP(F2203,'Raw Data'!$I$4:$I$5000,'Raw Data'!$H$4:$H$5000,"",0),"")</f>
        <v/>
      </c>
      <c r="P2203" s="9" t="str" cm="1">
        <f t="array" aca="1" ref="P2203" ca="1">IF(INDIRECT(M2203) = "","",INDIRECT(M2203))</f>
        <v/>
      </c>
      <c r="Q2203" s="359" t="s">
        <v>4381</v>
      </c>
    </row>
    <row r="2204" spans="1:17" x14ac:dyDescent="0.35">
      <c r="A2204" t="s">
        <v>3868</v>
      </c>
      <c r="E2204" t="str">
        <f>_xlfn.XLOOKUP(F2204,'Raw Data'!$I$4:$I$5000,'Raw Data'!$D$4:$D$5000,"*** Mnemonic not found ***",0)</f>
        <v>*** Mnemonic not found ***</v>
      </c>
      <c r="F2204" t="str">
        <f t="shared" si="504"/>
        <v>ADJCAPCOM9980_5__</v>
      </c>
      <c r="H2204" s="9" t="s">
        <v>276</v>
      </c>
      <c r="K2204" s="9">
        <f t="shared" si="505"/>
        <v>9</v>
      </c>
      <c r="L2204" s="9" t="str">
        <f t="shared" si="506"/>
        <v>H</v>
      </c>
      <c r="M2204" s="9" t="str">
        <f t="shared" si="501"/>
        <v>Adjustment!H9</v>
      </c>
      <c r="N2204" s="9">
        <f>_xlfn.XLOOKUP(F2204,'Raw Data'!$I$4:$I$5000,'Raw Data'!$E$4:$E$5000,100,0)</f>
        <v>100</v>
      </c>
      <c r="O2204" s="9" t="str">
        <f>IF(N2204=0,_xlfn.XLOOKUP(F2204,'Raw Data'!$I$4:$I$5000,'Raw Data'!$H$4:$H$5000,"",0),"")</f>
        <v/>
      </c>
      <c r="P2204" s="9" t="str" cm="1">
        <f t="array" aca="1" ref="P2204" ca="1">IF(INDIRECT(M2204) = "","",INDIRECT(M2204))</f>
        <v/>
      </c>
      <c r="Q2204" s="359" t="s">
        <v>4381</v>
      </c>
    </row>
    <row r="2205" spans="1:17" x14ac:dyDescent="0.35">
      <c r="A2205" t="s">
        <v>3869</v>
      </c>
      <c r="E2205" t="str">
        <f>_xlfn.XLOOKUP(F2205,'Raw Data'!$I$4:$I$5000,'Raw Data'!$D$4:$D$5000,"*** Mnemonic not found ***",0)</f>
        <v>*** Mnemonic not found ***</v>
      </c>
      <c r="F2205" t="str">
        <f t="shared" si="504"/>
        <v>ADJCAPCOM9980_6__</v>
      </c>
      <c r="H2205" s="9" t="s">
        <v>276</v>
      </c>
      <c r="K2205" s="9">
        <f t="shared" si="505"/>
        <v>10</v>
      </c>
      <c r="L2205" s="9" t="str">
        <f t="shared" si="506"/>
        <v>H</v>
      </c>
      <c r="M2205" s="9" t="str">
        <f t="shared" si="501"/>
        <v>Adjustment!H10</v>
      </c>
      <c r="N2205" s="9">
        <f>_xlfn.XLOOKUP(F2205,'Raw Data'!$I$4:$I$5000,'Raw Data'!$E$4:$E$5000,100,0)</f>
        <v>100</v>
      </c>
      <c r="O2205" s="9" t="str">
        <f>IF(N2205=0,_xlfn.XLOOKUP(F2205,'Raw Data'!$I$4:$I$5000,'Raw Data'!$H$4:$H$5000,"",0),"")</f>
        <v/>
      </c>
      <c r="P2205" s="9" t="str" cm="1">
        <f t="array" aca="1" ref="P2205" ca="1">IF(INDIRECT(M2205) = "","",INDIRECT(M2205))</f>
        <v/>
      </c>
      <c r="Q2205" s="359" t="s">
        <v>4381</v>
      </c>
    </row>
    <row r="2206" spans="1:17" x14ac:dyDescent="0.35">
      <c r="A2206" t="s">
        <v>3870</v>
      </c>
      <c r="E2206" t="str">
        <f>_xlfn.XLOOKUP(F2206,'Raw Data'!$I$4:$I$5000,'Raw Data'!$D$4:$D$5000,"*** Mnemonic not found ***",0)</f>
        <v>*** Mnemonic not found ***</v>
      </c>
      <c r="F2206" t="str">
        <f t="shared" si="504"/>
        <v>ADJCAPCOM9980_7__</v>
      </c>
      <c r="H2206" s="9" t="s">
        <v>276</v>
      </c>
      <c r="K2206" s="9">
        <f t="shared" si="505"/>
        <v>11</v>
      </c>
      <c r="L2206" s="9" t="str">
        <f t="shared" si="506"/>
        <v>H</v>
      </c>
      <c r="M2206" s="9" t="str">
        <f t="shared" si="501"/>
        <v>Adjustment!H11</v>
      </c>
      <c r="N2206" s="9">
        <f>_xlfn.XLOOKUP(F2206,'Raw Data'!$I$4:$I$5000,'Raw Data'!$E$4:$E$5000,100,0)</f>
        <v>100</v>
      </c>
      <c r="O2206" s="9" t="str">
        <f>IF(N2206=0,_xlfn.XLOOKUP(F2206,'Raw Data'!$I$4:$I$5000,'Raw Data'!$H$4:$H$5000,"",0),"")</f>
        <v/>
      </c>
      <c r="P2206" s="9" t="str" cm="1">
        <f t="array" aca="1" ref="P2206" ca="1">IF(INDIRECT(M2206) = "","",INDIRECT(M2206))</f>
        <v/>
      </c>
      <c r="Q2206" s="359" t="s">
        <v>4381</v>
      </c>
    </row>
    <row r="2207" spans="1:17" x14ac:dyDescent="0.35">
      <c r="A2207" t="s">
        <v>3871</v>
      </c>
      <c r="E2207" t="str">
        <f>_xlfn.XLOOKUP(F2207,'Raw Data'!$I$4:$I$5000,'Raw Data'!$D$4:$D$5000,"*** Mnemonic not found ***",0)</f>
        <v>*** Mnemonic not found ***</v>
      </c>
      <c r="F2207" t="str">
        <f t="shared" si="504"/>
        <v>ADJCAPCOM9980_8__</v>
      </c>
      <c r="H2207" s="9" t="s">
        <v>276</v>
      </c>
      <c r="K2207" s="9">
        <f t="shared" si="505"/>
        <v>12</v>
      </c>
      <c r="L2207" s="9" t="str">
        <f t="shared" si="506"/>
        <v>H</v>
      </c>
      <c r="M2207" s="9" t="str">
        <f t="shared" si="501"/>
        <v>Adjustment!H12</v>
      </c>
      <c r="N2207" s="9">
        <f>_xlfn.XLOOKUP(F2207,'Raw Data'!$I$4:$I$5000,'Raw Data'!$E$4:$E$5000,100,0)</f>
        <v>100</v>
      </c>
      <c r="O2207" s="9" t="str">
        <f>IF(N2207=0,_xlfn.XLOOKUP(F2207,'Raw Data'!$I$4:$I$5000,'Raw Data'!$H$4:$H$5000,"",0),"")</f>
        <v/>
      </c>
      <c r="P2207" s="9" t="str" cm="1">
        <f t="array" aca="1" ref="P2207" ca="1">IF(INDIRECT(M2207) = "","",INDIRECT(M2207))</f>
        <v/>
      </c>
      <c r="Q2207" s="359" t="s">
        <v>4381</v>
      </c>
    </row>
    <row r="2208" spans="1:17" x14ac:dyDescent="0.35">
      <c r="A2208" t="s">
        <v>3872</v>
      </c>
      <c r="E2208" t="str">
        <f>_xlfn.XLOOKUP(F2208,'Raw Data'!$I$4:$I$5000,'Raw Data'!$D$4:$D$5000,"*** Mnemonic not found ***",0)</f>
        <v>*** Mnemonic not found ***</v>
      </c>
      <c r="F2208" t="str">
        <f t="shared" si="504"/>
        <v>ADJCAPCOM9980_9__</v>
      </c>
      <c r="H2208" s="9" t="s">
        <v>276</v>
      </c>
      <c r="K2208" s="9">
        <f t="shared" si="505"/>
        <v>13</v>
      </c>
      <c r="L2208" s="9" t="str">
        <f t="shared" si="506"/>
        <v>H</v>
      </c>
      <c r="M2208" s="9" t="str">
        <f t="shared" si="501"/>
        <v>Adjustment!H13</v>
      </c>
      <c r="N2208" s="9">
        <f>_xlfn.XLOOKUP(F2208,'Raw Data'!$I$4:$I$5000,'Raw Data'!$E$4:$E$5000,100,0)</f>
        <v>100</v>
      </c>
      <c r="O2208" s="9" t="str">
        <f>IF(N2208=0,_xlfn.XLOOKUP(F2208,'Raw Data'!$I$4:$I$5000,'Raw Data'!$H$4:$H$5000,"",0),"")</f>
        <v/>
      </c>
      <c r="P2208" s="9" t="str" cm="1">
        <f t="array" aca="1" ref="P2208" ca="1">IF(INDIRECT(M2208) = "","",INDIRECT(M2208))</f>
        <v/>
      </c>
      <c r="Q2208" s="359" t="s">
        <v>4381</v>
      </c>
    </row>
    <row r="2209" spans="1:17" x14ac:dyDescent="0.35">
      <c r="A2209" t="s">
        <v>3873</v>
      </c>
      <c r="E2209" t="str">
        <f>_xlfn.XLOOKUP(F2209,'Raw Data'!$I$4:$I$5000,'Raw Data'!$D$4:$D$5000,"*** Mnemonic not found ***",0)</f>
        <v>*** Mnemonic not found ***</v>
      </c>
      <c r="F2209" t="str">
        <f t="shared" si="504"/>
        <v>ADJCAPCOM9980_10__</v>
      </c>
      <c r="H2209" s="9" t="s">
        <v>276</v>
      </c>
      <c r="K2209" s="9">
        <f t="shared" si="505"/>
        <v>14</v>
      </c>
      <c r="L2209" s="9" t="str">
        <f t="shared" si="506"/>
        <v>H</v>
      </c>
      <c r="M2209" s="9" t="str">
        <f t="shared" si="501"/>
        <v>Adjustment!H14</v>
      </c>
      <c r="N2209" s="9">
        <f>_xlfn.XLOOKUP(F2209,'Raw Data'!$I$4:$I$5000,'Raw Data'!$E$4:$E$5000,100,0)</f>
        <v>100</v>
      </c>
      <c r="O2209" s="9" t="str">
        <f>IF(N2209=0,_xlfn.XLOOKUP(F2209,'Raw Data'!$I$4:$I$5000,'Raw Data'!$H$4:$H$5000,"",0),"")</f>
        <v/>
      </c>
      <c r="P2209" s="9" t="str" cm="1">
        <f t="array" aca="1" ref="P2209" ca="1">IF(INDIRECT(M2209) = "","",INDIRECT(M2209))</f>
        <v/>
      </c>
      <c r="Q2209" s="359" t="s">
        <v>4381</v>
      </c>
    </row>
    <row r="2210" spans="1:17" x14ac:dyDescent="0.35">
      <c r="A2210" t="s">
        <v>3874</v>
      </c>
      <c r="E2210" t="str">
        <f>_xlfn.XLOOKUP(F2210,'Raw Data'!$I$4:$I$5000,'Raw Data'!$D$4:$D$5000,"*** Mnemonic not found ***",0)</f>
        <v>*** Mnemonic not found ***</v>
      </c>
      <c r="F2210" t="str">
        <f t="shared" si="504"/>
        <v>ADJCAPCOM9980_11__</v>
      </c>
      <c r="H2210" s="9" t="s">
        <v>276</v>
      </c>
      <c r="K2210" s="9">
        <f t="shared" si="505"/>
        <v>15</v>
      </c>
      <c r="L2210" s="9" t="str">
        <f t="shared" si="506"/>
        <v>H</v>
      </c>
      <c r="M2210" s="9" t="str">
        <f t="shared" si="501"/>
        <v>Adjustment!H15</v>
      </c>
      <c r="N2210" s="9">
        <f>_xlfn.XLOOKUP(F2210,'Raw Data'!$I$4:$I$5000,'Raw Data'!$E$4:$E$5000,100,0)</f>
        <v>100</v>
      </c>
      <c r="O2210" s="9" t="str">
        <f>IF(N2210=0,_xlfn.XLOOKUP(F2210,'Raw Data'!$I$4:$I$5000,'Raw Data'!$H$4:$H$5000,"",0),"")</f>
        <v/>
      </c>
      <c r="P2210" s="9" t="str" cm="1">
        <f t="array" aca="1" ref="P2210" ca="1">IF(INDIRECT(M2210) = "","",INDIRECT(M2210))</f>
        <v/>
      </c>
      <c r="Q2210" s="359" t="s">
        <v>4381</v>
      </c>
    </row>
    <row r="2211" spans="1:17" x14ac:dyDescent="0.35">
      <c r="A2211" t="s">
        <v>3875</v>
      </c>
      <c r="E2211" t="str">
        <f>_xlfn.XLOOKUP(F2211,'Raw Data'!$I$4:$I$5000,'Raw Data'!$D$4:$D$5000,"*** Mnemonic not found ***",0)</f>
        <v>*** Mnemonic not found ***</v>
      </c>
      <c r="F2211" t="str">
        <f t="shared" si="504"/>
        <v>ADJCAPCOM9980_12__</v>
      </c>
      <c r="H2211" s="9" t="s">
        <v>276</v>
      </c>
      <c r="K2211" s="9">
        <f t="shared" si="505"/>
        <v>16</v>
      </c>
      <c r="L2211" s="9" t="str">
        <f t="shared" si="506"/>
        <v>H</v>
      </c>
      <c r="M2211" s="9" t="str">
        <f t="shared" si="501"/>
        <v>Adjustment!H16</v>
      </c>
      <c r="N2211" s="9">
        <f>_xlfn.XLOOKUP(F2211,'Raw Data'!$I$4:$I$5000,'Raw Data'!$E$4:$E$5000,100,0)</f>
        <v>100</v>
      </c>
      <c r="O2211" s="9" t="str">
        <f>IF(N2211=0,_xlfn.XLOOKUP(F2211,'Raw Data'!$I$4:$I$5000,'Raw Data'!$H$4:$H$5000,"",0),"")</f>
        <v/>
      </c>
      <c r="P2211" s="9" t="str" cm="1">
        <f t="array" aca="1" ref="P2211" ca="1">IF(INDIRECT(M2211) = "","",INDIRECT(M2211))</f>
        <v/>
      </c>
      <c r="Q2211" s="359" t="s">
        <v>4381</v>
      </c>
    </row>
    <row r="2212" spans="1:17" x14ac:dyDescent="0.35">
      <c r="A2212" t="s">
        <v>3876</v>
      </c>
      <c r="E2212" t="str">
        <f>_xlfn.XLOOKUP(F2212,'Raw Data'!$I$4:$I$5000,'Raw Data'!$D$4:$D$5000,"*** Mnemonic not found ***",0)</f>
        <v>*** Mnemonic not found ***</v>
      </c>
      <c r="F2212" t="str">
        <f t="shared" si="504"/>
        <v>ADJCAPCOM9980_13__</v>
      </c>
      <c r="H2212" s="9" t="s">
        <v>276</v>
      </c>
      <c r="K2212" s="9">
        <f t="shared" si="505"/>
        <v>17</v>
      </c>
      <c r="L2212" s="9" t="str">
        <f t="shared" si="506"/>
        <v>H</v>
      </c>
      <c r="M2212" s="9" t="str">
        <f t="shared" si="501"/>
        <v>Adjustment!H17</v>
      </c>
      <c r="N2212" s="9">
        <f>_xlfn.XLOOKUP(F2212,'Raw Data'!$I$4:$I$5000,'Raw Data'!$E$4:$E$5000,100,0)</f>
        <v>100</v>
      </c>
      <c r="O2212" s="9" t="str">
        <f>IF(N2212=0,_xlfn.XLOOKUP(F2212,'Raw Data'!$I$4:$I$5000,'Raw Data'!$H$4:$H$5000,"",0),"")</f>
        <v/>
      </c>
      <c r="P2212" s="9" t="str" cm="1">
        <f t="array" aca="1" ref="P2212" ca="1">IF(INDIRECT(M2212) = "","",INDIRECT(M2212))</f>
        <v/>
      </c>
      <c r="Q2212" s="359" t="s">
        <v>4381</v>
      </c>
    </row>
    <row r="2213" spans="1:17" x14ac:dyDescent="0.35">
      <c r="A2213" t="s">
        <v>3877</v>
      </c>
      <c r="E2213" t="str">
        <f>_xlfn.XLOOKUP(F2213,'Raw Data'!$I$4:$I$5000,'Raw Data'!$D$4:$D$5000,"*** Mnemonic not found ***",0)</f>
        <v>*** Mnemonic not found ***</v>
      </c>
      <c r="F2213" t="str">
        <f t="shared" si="504"/>
        <v>ADJCAPCOM9980_14__</v>
      </c>
      <c r="H2213" s="9" t="s">
        <v>276</v>
      </c>
      <c r="K2213" s="9">
        <f t="shared" si="505"/>
        <v>18</v>
      </c>
      <c r="L2213" s="9" t="str">
        <f t="shared" si="506"/>
        <v>H</v>
      </c>
      <c r="M2213" s="9" t="str">
        <f t="shared" si="501"/>
        <v>Adjustment!H18</v>
      </c>
      <c r="N2213" s="9">
        <f>_xlfn.XLOOKUP(F2213,'Raw Data'!$I$4:$I$5000,'Raw Data'!$E$4:$E$5000,100,0)</f>
        <v>100</v>
      </c>
      <c r="O2213" s="9" t="str">
        <f>IF(N2213=0,_xlfn.XLOOKUP(F2213,'Raw Data'!$I$4:$I$5000,'Raw Data'!$H$4:$H$5000,"",0),"")</f>
        <v/>
      </c>
      <c r="P2213" s="9" t="str" cm="1">
        <f t="array" aca="1" ref="P2213" ca="1">IF(INDIRECT(M2213) = "","",INDIRECT(M2213))</f>
        <v/>
      </c>
      <c r="Q2213" s="359" t="s">
        <v>4381</v>
      </c>
    </row>
    <row r="2214" spans="1:17" x14ac:dyDescent="0.35">
      <c r="A2214" t="s">
        <v>3878</v>
      </c>
      <c r="E2214" t="str">
        <f>_xlfn.XLOOKUP(F2214,'Raw Data'!$I$4:$I$5000,'Raw Data'!$D$4:$D$5000,"*** Mnemonic not found ***",0)</f>
        <v>*** Mnemonic not found ***</v>
      </c>
      <c r="F2214" t="str">
        <f t="shared" si="504"/>
        <v>ADJCAPCOM9980_15__</v>
      </c>
      <c r="H2214" s="9" t="s">
        <v>276</v>
      </c>
      <c r="K2214" s="9">
        <f t="shared" si="505"/>
        <v>19</v>
      </c>
      <c r="L2214" s="9" t="str">
        <f t="shared" si="506"/>
        <v>H</v>
      </c>
      <c r="M2214" s="9" t="str">
        <f t="shared" si="501"/>
        <v>Adjustment!H19</v>
      </c>
      <c r="N2214" s="9">
        <f>_xlfn.XLOOKUP(F2214,'Raw Data'!$I$4:$I$5000,'Raw Data'!$E$4:$E$5000,100,0)</f>
        <v>100</v>
      </c>
      <c r="O2214" s="9" t="str">
        <f>IF(N2214=0,_xlfn.XLOOKUP(F2214,'Raw Data'!$I$4:$I$5000,'Raw Data'!$H$4:$H$5000,"",0),"")</f>
        <v/>
      </c>
      <c r="P2214" s="9" t="str" cm="1">
        <f t="array" aca="1" ref="P2214" ca="1">IF(INDIRECT(M2214) = "","",INDIRECT(M2214))</f>
        <v/>
      </c>
      <c r="Q2214" s="359" t="s">
        <v>4381</v>
      </c>
    </row>
    <row r="2215" spans="1:17" x14ac:dyDescent="0.35">
      <c r="A2215" t="s">
        <v>3879</v>
      </c>
      <c r="E2215" t="str">
        <f>_xlfn.XLOOKUP(F2215,'Raw Data'!$I$4:$I$5000,'Raw Data'!$D$4:$D$5000,"*** Mnemonic not found ***",0)</f>
        <v>*** Mnemonic not found ***</v>
      </c>
      <c r="F2215" t="str">
        <f t="shared" si="504"/>
        <v>ADJCAPCOM9980_16__</v>
      </c>
      <c r="H2215" s="9" t="s">
        <v>276</v>
      </c>
      <c r="K2215" s="9">
        <f t="shared" si="505"/>
        <v>20</v>
      </c>
      <c r="L2215" s="9" t="str">
        <f t="shared" si="506"/>
        <v>H</v>
      </c>
      <c r="M2215" s="9" t="str">
        <f t="shared" si="501"/>
        <v>Adjustment!H20</v>
      </c>
      <c r="N2215" s="9">
        <f>_xlfn.XLOOKUP(F2215,'Raw Data'!$I$4:$I$5000,'Raw Data'!$E$4:$E$5000,100,0)</f>
        <v>100</v>
      </c>
      <c r="O2215" s="9" t="str">
        <f>IF(N2215=0,_xlfn.XLOOKUP(F2215,'Raw Data'!$I$4:$I$5000,'Raw Data'!$H$4:$H$5000,"",0),"")</f>
        <v/>
      </c>
      <c r="P2215" s="9" t="str" cm="1">
        <f t="array" aca="1" ref="P2215" ca="1">IF(INDIRECT(M2215) = "","",INDIRECT(M2215))</f>
        <v/>
      </c>
      <c r="Q2215" s="359" t="s">
        <v>4381</v>
      </c>
    </row>
    <row r="2216" spans="1:17" x14ac:dyDescent="0.35">
      <c r="A2216" t="s">
        <v>3880</v>
      </c>
      <c r="E2216" t="str">
        <f>_xlfn.XLOOKUP(F2216,'Raw Data'!$I$4:$I$5000,'Raw Data'!$D$4:$D$5000,"*** Mnemonic not found ***",0)</f>
        <v>*** Mnemonic not found ***</v>
      </c>
      <c r="F2216" t="str">
        <f t="shared" si="504"/>
        <v>ADJCAPCOM9980_17__</v>
      </c>
      <c r="H2216" s="9" t="s">
        <v>276</v>
      </c>
      <c r="K2216" s="9">
        <f t="shared" si="505"/>
        <v>21</v>
      </c>
      <c r="L2216" s="9" t="str">
        <f t="shared" si="506"/>
        <v>H</v>
      </c>
      <c r="M2216" s="9" t="str">
        <f t="shared" si="501"/>
        <v>Adjustment!H21</v>
      </c>
      <c r="N2216" s="9">
        <f>_xlfn.XLOOKUP(F2216,'Raw Data'!$I$4:$I$5000,'Raw Data'!$E$4:$E$5000,100,0)</f>
        <v>100</v>
      </c>
      <c r="O2216" s="9" t="str">
        <f>IF(N2216=0,_xlfn.XLOOKUP(F2216,'Raw Data'!$I$4:$I$5000,'Raw Data'!$H$4:$H$5000,"",0),"")</f>
        <v/>
      </c>
      <c r="P2216" s="9" t="str" cm="1">
        <f t="array" aca="1" ref="P2216" ca="1">IF(INDIRECT(M2216) = "","",INDIRECT(M2216))</f>
        <v/>
      </c>
      <c r="Q2216" s="359" t="s">
        <v>4381</v>
      </c>
    </row>
    <row r="2217" spans="1:17" x14ac:dyDescent="0.35">
      <c r="A2217" t="s">
        <v>3881</v>
      </c>
      <c r="E2217" t="str">
        <f>_xlfn.XLOOKUP(F2217,'Raw Data'!$I$4:$I$5000,'Raw Data'!$D$4:$D$5000,"*** Mnemonic not found ***",0)</f>
        <v>*** Mnemonic not found ***</v>
      </c>
      <c r="F2217" t="str">
        <f t="shared" si="504"/>
        <v>ADJCAPCOM9980_18__</v>
      </c>
      <c r="H2217" s="9" t="s">
        <v>276</v>
      </c>
      <c r="K2217" s="9">
        <f t="shared" si="505"/>
        <v>22</v>
      </c>
      <c r="L2217" s="9" t="str">
        <f t="shared" si="506"/>
        <v>H</v>
      </c>
      <c r="M2217" s="9" t="str">
        <f t="shared" si="501"/>
        <v>Adjustment!H22</v>
      </c>
      <c r="N2217" s="9">
        <f>_xlfn.XLOOKUP(F2217,'Raw Data'!$I$4:$I$5000,'Raw Data'!$E$4:$E$5000,100,0)</f>
        <v>100</v>
      </c>
      <c r="O2217" s="9" t="str">
        <f>IF(N2217=0,_xlfn.XLOOKUP(F2217,'Raw Data'!$I$4:$I$5000,'Raw Data'!$H$4:$H$5000,"",0),"")</f>
        <v/>
      </c>
      <c r="P2217" s="9" t="str" cm="1">
        <f t="array" aca="1" ref="P2217" ca="1">IF(INDIRECT(M2217) = "","",INDIRECT(M2217))</f>
        <v/>
      </c>
      <c r="Q2217" s="359" t="s">
        <v>4381</v>
      </c>
    </row>
    <row r="2218" spans="1:17" x14ac:dyDescent="0.35">
      <c r="A2218" t="s">
        <v>3882</v>
      </c>
      <c r="E2218" t="str">
        <f>_xlfn.XLOOKUP(F2218,'Raw Data'!$I$4:$I$5000,'Raw Data'!$D$4:$D$5000,"*** Mnemonic not found ***",0)</f>
        <v>*** Mnemonic not found ***</v>
      </c>
      <c r="F2218" t="str">
        <f t="shared" si="504"/>
        <v>ADJCAPCOM9980_19__</v>
      </c>
      <c r="H2218" s="9" t="s">
        <v>276</v>
      </c>
      <c r="K2218" s="9">
        <f t="shared" si="505"/>
        <v>23</v>
      </c>
      <c r="L2218" s="9" t="str">
        <f t="shared" si="506"/>
        <v>H</v>
      </c>
      <c r="M2218" s="9" t="str">
        <f t="shared" si="501"/>
        <v>Adjustment!H23</v>
      </c>
      <c r="N2218" s="9">
        <f>_xlfn.XLOOKUP(F2218,'Raw Data'!$I$4:$I$5000,'Raw Data'!$E$4:$E$5000,100,0)</f>
        <v>100</v>
      </c>
      <c r="O2218" s="9" t="str">
        <f>IF(N2218=0,_xlfn.XLOOKUP(F2218,'Raw Data'!$I$4:$I$5000,'Raw Data'!$H$4:$H$5000,"",0),"")</f>
        <v/>
      </c>
      <c r="P2218" s="9" t="str" cm="1">
        <f t="array" aca="1" ref="P2218" ca="1">IF(INDIRECT(M2218) = "","",INDIRECT(M2218))</f>
        <v/>
      </c>
      <c r="Q2218" s="359" t="s">
        <v>4381</v>
      </c>
    </row>
    <row r="2219" spans="1:17" x14ac:dyDescent="0.35">
      <c r="A2219" t="s">
        <v>3883</v>
      </c>
      <c r="E2219" t="str">
        <f>_xlfn.XLOOKUP(F2219,'Raw Data'!$I$4:$I$5000,'Raw Data'!$D$4:$D$5000,"*** Mnemonic not found ***",0)</f>
        <v>*** Mnemonic not found ***</v>
      </c>
      <c r="F2219" t="str">
        <f t="shared" si="504"/>
        <v>ADJCAPCOM9980_20__</v>
      </c>
      <c r="H2219" s="9" t="s">
        <v>276</v>
      </c>
      <c r="K2219" s="9">
        <f t="shared" si="505"/>
        <v>24</v>
      </c>
      <c r="L2219" s="9" t="str">
        <f t="shared" si="506"/>
        <v>H</v>
      </c>
      <c r="M2219" s="9" t="str">
        <f t="shared" si="501"/>
        <v>Adjustment!H24</v>
      </c>
      <c r="N2219" s="9">
        <f>_xlfn.XLOOKUP(F2219,'Raw Data'!$I$4:$I$5000,'Raw Data'!$E$4:$E$5000,100,0)</f>
        <v>100</v>
      </c>
      <c r="O2219" s="9" t="str">
        <f>IF(N2219=0,_xlfn.XLOOKUP(F2219,'Raw Data'!$I$4:$I$5000,'Raw Data'!$H$4:$H$5000,"",0),"")</f>
        <v/>
      </c>
      <c r="P2219" s="9" t="str" cm="1">
        <f t="array" aca="1" ref="P2219" ca="1">IF(INDIRECT(M2219) = "","",INDIRECT(M2219))</f>
        <v/>
      </c>
      <c r="Q2219" s="359" t="s">
        <v>4381</v>
      </c>
    </row>
    <row r="2220" spans="1:17" x14ac:dyDescent="0.35">
      <c r="A2220" t="s">
        <v>3884</v>
      </c>
      <c r="E2220" t="str">
        <f>_xlfn.XLOOKUP(F2220,'Raw Data'!$I$4:$I$5000,'Raw Data'!$D$4:$D$5000,"*** Mnemonic not found ***",0)</f>
        <v>*** Mnemonic not found ***</v>
      </c>
      <c r="F2220" t="str">
        <f t="shared" si="504"/>
        <v>ADJCAPCOM9950_1__</v>
      </c>
      <c r="H2220" s="9" t="s">
        <v>276</v>
      </c>
      <c r="K2220" s="9">
        <f>K2200</f>
        <v>5</v>
      </c>
      <c r="L2220" s="9" t="s">
        <v>1375</v>
      </c>
      <c r="M2220" s="9" t="str">
        <f t="shared" si="501"/>
        <v>Adjustment!I5</v>
      </c>
      <c r="N2220" s="9">
        <f>_xlfn.XLOOKUP(F2220,'Raw Data'!$I$4:$I$5000,'Raw Data'!$E$4:$E$5000,100,0)</f>
        <v>100</v>
      </c>
      <c r="O2220" s="9" t="str">
        <f>IF(N2220=0,_xlfn.XLOOKUP(F2220,'Raw Data'!$I$4:$I$5000,'Raw Data'!$H$4:$H$5000,"",0),"")</f>
        <v/>
      </c>
      <c r="P2220" s="9" t="str" cm="1">
        <f t="array" aca="1" ref="P2220" ca="1">IF(INDIRECT(M2220) = "","",INDIRECT(M2220))</f>
        <v/>
      </c>
      <c r="Q2220" s="359" t="s">
        <v>4381</v>
      </c>
    </row>
    <row r="2221" spans="1:17" x14ac:dyDescent="0.35">
      <c r="A2221" t="s">
        <v>3885</v>
      </c>
      <c r="E2221" t="str">
        <f>_xlfn.XLOOKUP(F2221,'Raw Data'!$I$4:$I$5000,'Raw Data'!$D$4:$D$5000,"*** Mnemonic not found ***",0)</f>
        <v>*** Mnemonic not found ***</v>
      </c>
      <c r="F2221" t="str">
        <f t="shared" si="504"/>
        <v>ADJCAPCOM9950_2__</v>
      </c>
      <c r="H2221" s="9" t="s">
        <v>276</v>
      </c>
      <c r="K2221" s="9">
        <f>K2220+1</f>
        <v>6</v>
      </c>
      <c r="L2221" s="9" t="str">
        <f>L2220</f>
        <v>I</v>
      </c>
      <c r="M2221" s="9" t="str">
        <f t="shared" si="501"/>
        <v>Adjustment!I6</v>
      </c>
      <c r="N2221" s="9">
        <f>_xlfn.XLOOKUP(F2221,'Raw Data'!$I$4:$I$5000,'Raw Data'!$E$4:$E$5000,100,0)</f>
        <v>100</v>
      </c>
      <c r="O2221" s="9" t="str">
        <f>IF(N2221=0,_xlfn.XLOOKUP(F2221,'Raw Data'!$I$4:$I$5000,'Raw Data'!$H$4:$H$5000,"",0),"")</f>
        <v/>
      </c>
      <c r="P2221" s="9" t="str" cm="1">
        <f t="array" aca="1" ref="P2221" ca="1">IF(INDIRECT(M2221) = "","",INDIRECT(M2221))</f>
        <v/>
      </c>
      <c r="Q2221" s="359" t="s">
        <v>4381</v>
      </c>
    </row>
    <row r="2222" spans="1:17" x14ac:dyDescent="0.35">
      <c r="A2222" t="s">
        <v>3886</v>
      </c>
      <c r="E2222" t="str">
        <f>_xlfn.XLOOKUP(F2222,'Raw Data'!$I$4:$I$5000,'Raw Data'!$D$4:$D$5000,"*** Mnemonic not found ***",0)</f>
        <v>*** Mnemonic not found ***</v>
      </c>
      <c r="F2222" t="str">
        <f t="shared" si="504"/>
        <v>ADJCAPCOM9950_3__</v>
      </c>
      <c r="H2222" s="9" t="s">
        <v>276</v>
      </c>
      <c r="K2222" s="9">
        <f t="shared" ref="K2222:K2239" si="507">K2221+1</f>
        <v>7</v>
      </c>
      <c r="L2222" s="9" t="str">
        <f t="shared" ref="L2222:L2239" si="508">L2221</f>
        <v>I</v>
      </c>
      <c r="M2222" s="9" t="str">
        <f t="shared" si="501"/>
        <v>Adjustment!I7</v>
      </c>
      <c r="N2222" s="9">
        <f>_xlfn.XLOOKUP(F2222,'Raw Data'!$I$4:$I$5000,'Raw Data'!$E$4:$E$5000,100,0)</f>
        <v>100</v>
      </c>
      <c r="O2222" s="9" t="str">
        <f>IF(N2222=0,_xlfn.XLOOKUP(F2222,'Raw Data'!$I$4:$I$5000,'Raw Data'!$H$4:$H$5000,"",0),"")</f>
        <v/>
      </c>
      <c r="P2222" s="9" t="str" cm="1">
        <f t="array" aca="1" ref="P2222" ca="1">IF(INDIRECT(M2222) = "","",INDIRECT(M2222))</f>
        <v/>
      </c>
      <c r="Q2222" s="359" t="s">
        <v>4381</v>
      </c>
    </row>
    <row r="2223" spans="1:17" x14ac:dyDescent="0.35">
      <c r="A2223" t="s">
        <v>3887</v>
      </c>
      <c r="E2223" t="str">
        <f>_xlfn.XLOOKUP(F2223,'Raw Data'!$I$4:$I$5000,'Raw Data'!$D$4:$D$5000,"*** Mnemonic not found ***",0)</f>
        <v>*** Mnemonic not found ***</v>
      </c>
      <c r="F2223" t="str">
        <f t="shared" si="504"/>
        <v>ADJCAPCOM9950_4__</v>
      </c>
      <c r="H2223" s="9" t="s">
        <v>276</v>
      </c>
      <c r="K2223" s="9">
        <f t="shared" si="507"/>
        <v>8</v>
      </c>
      <c r="L2223" s="9" t="str">
        <f t="shared" si="508"/>
        <v>I</v>
      </c>
      <c r="M2223" s="9" t="str">
        <f t="shared" si="501"/>
        <v>Adjustment!I8</v>
      </c>
      <c r="N2223" s="9">
        <f>_xlfn.XLOOKUP(F2223,'Raw Data'!$I$4:$I$5000,'Raw Data'!$E$4:$E$5000,100,0)</f>
        <v>100</v>
      </c>
      <c r="O2223" s="9" t="str">
        <f>IF(N2223=0,_xlfn.XLOOKUP(F2223,'Raw Data'!$I$4:$I$5000,'Raw Data'!$H$4:$H$5000,"",0),"")</f>
        <v/>
      </c>
      <c r="P2223" s="9" t="str" cm="1">
        <f t="array" aca="1" ref="P2223" ca="1">IF(INDIRECT(M2223) = "","",INDIRECT(M2223))</f>
        <v/>
      </c>
      <c r="Q2223" s="359" t="s">
        <v>4381</v>
      </c>
    </row>
    <row r="2224" spans="1:17" x14ac:dyDescent="0.35">
      <c r="A2224" t="s">
        <v>3888</v>
      </c>
      <c r="E2224" t="str">
        <f>_xlfn.XLOOKUP(F2224,'Raw Data'!$I$4:$I$5000,'Raw Data'!$D$4:$D$5000,"*** Mnemonic not found ***",0)</f>
        <v>*** Mnemonic not found ***</v>
      </c>
      <c r="F2224" t="str">
        <f t="shared" si="504"/>
        <v>ADJCAPCOM9950_5__</v>
      </c>
      <c r="H2224" s="9" t="s">
        <v>276</v>
      </c>
      <c r="K2224" s="9">
        <f t="shared" si="507"/>
        <v>9</v>
      </c>
      <c r="L2224" s="9" t="str">
        <f t="shared" si="508"/>
        <v>I</v>
      </c>
      <c r="M2224" s="9" t="str">
        <f t="shared" si="501"/>
        <v>Adjustment!I9</v>
      </c>
      <c r="N2224" s="9">
        <f>_xlfn.XLOOKUP(F2224,'Raw Data'!$I$4:$I$5000,'Raw Data'!$E$4:$E$5000,100,0)</f>
        <v>100</v>
      </c>
      <c r="O2224" s="9" t="str">
        <f>IF(N2224=0,_xlfn.XLOOKUP(F2224,'Raw Data'!$I$4:$I$5000,'Raw Data'!$H$4:$H$5000,"",0),"")</f>
        <v/>
      </c>
      <c r="P2224" s="9" t="str" cm="1">
        <f t="array" aca="1" ref="P2224" ca="1">IF(INDIRECT(M2224) = "","",INDIRECT(M2224))</f>
        <v/>
      </c>
      <c r="Q2224" s="359" t="s">
        <v>4381</v>
      </c>
    </row>
    <row r="2225" spans="1:17" x14ac:dyDescent="0.35">
      <c r="A2225" t="s">
        <v>3889</v>
      </c>
      <c r="E2225" t="str">
        <f>_xlfn.XLOOKUP(F2225,'Raw Data'!$I$4:$I$5000,'Raw Data'!$D$4:$D$5000,"*** Mnemonic not found ***",0)</f>
        <v>*** Mnemonic not found ***</v>
      </c>
      <c r="F2225" t="str">
        <f t="shared" si="504"/>
        <v>ADJCAPCOM9950_6__</v>
      </c>
      <c r="H2225" s="9" t="s">
        <v>276</v>
      </c>
      <c r="K2225" s="9">
        <f t="shared" si="507"/>
        <v>10</v>
      </c>
      <c r="L2225" s="9" t="str">
        <f t="shared" si="508"/>
        <v>I</v>
      </c>
      <c r="M2225" s="9" t="str">
        <f t="shared" si="501"/>
        <v>Adjustment!I10</v>
      </c>
      <c r="N2225" s="9">
        <f>_xlfn.XLOOKUP(F2225,'Raw Data'!$I$4:$I$5000,'Raw Data'!$E$4:$E$5000,100,0)</f>
        <v>100</v>
      </c>
      <c r="O2225" s="9" t="str">
        <f>IF(N2225=0,_xlfn.XLOOKUP(F2225,'Raw Data'!$I$4:$I$5000,'Raw Data'!$H$4:$H$5000,"",0),"")</f>
        <v/>
      </c>
      <c r="P2225" s="9" t="str" cm="1">
        <f t="array" aca="1" ref="P2225" ca="1">IF(INDIRECT(M2225) = "","",INDIRECT(M2225))</f>
        <v/>
      </c>
      <c r="Q2225" s="359" t="s">
        <v>4381</v>
      </c>
    </row>
    <row r="2226" spans="1:17" x14ac:dyDescent="0.35">
      <c r="A2226" t="s">
        <v>3890</v>
      </c>
      <c r="E2226" t="str">
        <f>_xlfn.XLOOKUP(F2226,'Raw Data'!$I$4:$I$5000,'Raw Data'!$D$4:$D$5000,"*** Mnemonic not found ***",0)</f>
        <v>*** Mnemonic not found ***</v>
      </c>
      <c r="F2226" t="str">
        <f t="shared" si="504"/>
        <v>ADJCAPCOM9950_7__</v>
      </c>
      <c r="H2226" s="9" t="s">
        <v>276</v>
      </c>
      <c r="K2226" s="9">
        <f t="shared" si="507"/>
        <v>11</v>
      </c>
      <c r="L2226" s="9" t="str">
        <f t="shared" si="508"/>
        <v>I</v>
      </c>
      <c r="M2226" s="9" t="str">
        <f t="shared" si="501"/>
        <v>Adjustment!I11</v>
      </c>
      <c r="N2226" s="9">
        <f>_xlfn.XLOOKUP(F2226,'Raw Data'!$I$4:$I$5000,'Raw Data'!$E$4:$E$5000,100,0)</f>
        <v>100</v>
      </c>
      <c r="O2226" s="9" t="str">
        <f>IF(N2226=0,_xlfn.XLOOKUP(F2226,'Raw Data'!$I$4:$I$5000,'Raw Data'!$H$4:$H$5000,"",0),"")</f>
        <v/>
      </c>
      <c r="P2226" s="9" t="str" cm="1">
        <f t="array" aca="1" ref="P2226" ca="1">IF(INDIRECT(M2226) = "","",INDIRECT(M2226))</f>
        <v/>
      </c>
      <c r="Q2226" s="359" t="s">
        <v>4381</v>
      </c>
    </row>
    <row r="2227" spans="1:17" x14ac:dyDescent="0.35">
      <c r="A2227" t="s">
        <v>3982</v>
      </c>
      <c r="E2227" t="str">
        <f>_xlfn.XLOOKUP(F2227,'Raw Data'!$I$4:$I$5000,'Raw Data'!$D$4:$D$5000,"*** Mnemonic not found ***",0)</f>
        <v>*** Mnemonic not found ***</v>
      </c>
      <c r="F2227" t="str">
        <f t="shared" si="504"/>
        <v>ADJCAPCOM9950_8__</v>
      </c>
      <c r="H2227" s="9" t="s">
        <v>276</v>
      </c>
      <c r="K2227" s="9">
        <f t="shared" si="507"/>
        <v>12</v>
      </c>
      <c r="L2227" s="9" t="str">
        <f t="shared" si="508"/>
        <v>I</v>
      </c>
      <c r="M2227" s="9" t="str">
        <f t="shared" ref="M2227:M2290" si="509">CONCATENATE(H2227,"!",L2227,K2227)</f>
        <v>Adjustment!I12</v>
      </c>
      <c r="N2227" s="9">
        <f>_xlfn.XLOOKUP(F2227,'Raw Data'!$I$4:$I$5000,'Raw Data'!$E$4:$E$5000,100,0)</f>
        <v>100</v>
      </c>
      <c r="O2227" s="9" t="str">
        <f>IF(N2227=0,_xlfn.XLOOKUP(F2227,'Raw Data'!$I$4:$I$5000,'Raw Data'!$H$4:$H$5000,"",0),"")</f>
        <v/>
      </c>
      <c r="P2227" s="9" t="str" cm="1">
        <f t="array" aca="1" ref="P2227" ca="1">IF(INDIRECT(M2227) = "","",INDIRECT(M2227))</f>
        <v/>
      </c>
      <c r="Q2227" s="359" t="s">
        <v>4381</v>
      </c>
    </row>
    <row r="2228" spans="1:17" x14ac:dyDescent="0.35">
      <c r="A2228" t="s">
        <v>3891</v>
      </c>
      <c r="E2228" t="str">
        <f>_xlfn.XLOOKUP(F2228,'Raw Data'!$I$4:$I$5000,'Raw Data'!$D$4:$D$5000,"*** Mnemonic not found ***",0)</f>
        <v>*** Mnemonic not found ***</v>
      </c>
      <c r="F2228" t="str">
        <f t="shared" si="504"/>
        <v>ADJCAPCOM9950_9__</v>
      </c>
      <c r="H2228" s="9" t="s">
        <v>276</v>
      </c>
      <c r="K2228" s="9">
        <f t="shared" si="507"/>
        <v>13</v>
      </c>
      <c r="L2228" s="9" t="str">
        <f t="shared" si="508"/>
        <v>I</v>
      </c>
      <c r="M2228" s="9" t="str">
        <f t="shared" si="509"/>
        <v>Adjustment!I13</v>
      </c>
      <c r="N2228" s="9">
        <f>_xlfn.XLOOKUP(F2228,'Raw Data'!$I$4:$I$5000,'Raw Data'!$E$4:$E$5000,100,0)</f>
        <v>100</v>
      </c>
      <c r="O2228" s="9" t="str">
        <f>IF(N2228=0,_xlfn.XLOOKUP(F2228,'Raw Data'!$I$4:$I$5000,'Raw Data'!$H$4:$H$5000,"",0),"")</f>
        <v/>
      </c>
      <c r="P2228" s="9" t="str" cm="1">
        <f t="array" aca="1" ref="P2228" ca="1">IF(INDIRECT(M2228) = "","",INDIRECT(M2228))</f>
        <v/>
      </c>
      <c r="Q2228" s="359" t="s">
        <v>4381</v>
      </c>
    </row>
    <row r="2229" spans="1:17" x14ac:dyDescent="0.35">
      <c r="A2229" t="s">
        <v>3892</v>
      </c>
      <c r="E2229" t="str">
        <f>_xlfn.XLOOKUP(F2229,'Raw Data'!$I$4:$I$5000,'Raw Data'!$D$4:$D$5000,"*** Mnemonic not found ***",0)</f>
        <v>*** Mnemonic not found ***</v>
      </c>
      <c r="F2229" t="str">
        <f t="shared" si="504"/>
        <v>ADJCAPCOM9950_10__</v>
      </c>
      <c r="H2229" s="9" t="s">
        <v>276</v>
      </c>
      <c r="K2229" s="9">
        <f t="shared" si="507"/>
        <v>14</v>
      </c>
      <c r="L2229" s="9" t="str">
        <f t="shared" si="508"/>
        <v>I</v>
      </c>
      <c r="M2229" s="9" t="str">
        <f t="shared" si="509"/>
        <v>Adjustment!I14</v>
      </c>
      <c r="N2229" s="9">
        <f>_xlfn.XLOOKUP(F2229,'Raw Data'!$I$4:$I$5000,'Raw Data'!$E$4:$E$5000,100,0)</f>
        <v>100</v>
      </c>
      <c r="O2229" s="9" t="str">
        <f>IF(N2229=0,_xlfn.XLOOKUP(F2229,'Raw Data'!$I$4:$I$5000,'Raw Data'!$H$4:$H$5000,"",0),"")</f>
        <v/>
      </c>
      <c r="P2229" s="9" t="str" cm="1">
        <f t="array" aca="1" ref="P2229" ca="1">IF(INDIRECT(M2229) = "","",INDIRECT(M2229))</f>
        <v/>
      </c>
      <c r="Q2229" s="359" t="s">
        <v>4381</v>
      </c>
    </row>
    <row r="2230" spans="1:17" x14ac:dyDescent="0.35">
      <c r="A2230" t="s">
        <v>3893</v>
      </c>
      <c r="E2230" t="str">
        <f>_xlfn.XLOOKUP(F2230,'Raw Data'!$I$4:$I$5000,'Raw Data'!$D$4:$D$5000,"*** Mnemonic not found ***",0)</f>
        <v>*** Mnemonic not found ***</v>
      </c>
      <c r="F2230" t="str">
        <f t="shared" si="504"/>
        <v>ADJCAPCOM9950_11__</v>
      </c>
      <c r="H2230" s="9" t="s">
        <v>276</v>
      </c>
      <c r="K2230" s="9">
        <f t="shared" si="507"/>
        <v>15</v>
      </c>
      <c r="L2230" s="9" t="str">
        <f t="shared" si="508"/>
        <v>I</v>
      </c>
      <c r="M2230" s="9" t="str">
        <f t="shared" si="509"/>
        <v>Adjustment!I15</v>
      </c>
      <c r="N2230" s="9">
        <f>_xlfn.XLOOKUP(F2230,'Raw Data'!$I$4:$I$5000,'Raw Data'!$E$4:$E$5000,100,0)</f>
        <v>100</v>
      </c>
      <c r="O2230" s="9" t="str">
        <f>IF(N2230=0,_xlfn.XLOOKUP(F2230,'Raw Data'!$I$4:$I$5000,'Raw Data'!$H$4:$H$5000,"",0),"")</f>
        <v/>
      </c>
      <c r="P2230" s="9" t="str" cm="1">
        <f t="array" aca="1" ref="P2230" ca="1">IF(INDIRECT(M2230) = "","",INDIRECT(M2230))</f>
        <v/>
      </c>
      <c r="Q2230" s="359" t="s">
        <v>4381</v>
      </c>
    </row>
    <row r="2231" spans="1:17" x14ac:dyDescent="0.35">
      <c r="A2231" t="s">
        <v>3894</v>
      </c>
      <c r="E2231" t="str">
        <f>_xlfn.XLOOKUP(F2231,'Raw Data'!$I$4:$I$5000,'Raw Data'!$D$4:$D$5000,"*** Mnemonic not found ***",0)</f>
        <v>*** Mnemonic not found ***</v>
      </c>
      <c r="F2231" t="str">
        <f t="shared" si="504"/>
        <v>ADJCAPCOM9950_12__</v>
      </c>
      <c r="H2231" s="9" t="s">
        <v>276</v>
      </c>
      <c r="K2231" s="9">
        <f t="shared" si="507"/>
        <v>16</v>
      </c>
      <c r="L2231" s="9" t="str">
        <f t="shared" si="508"/>
        <v>I</v>
      </c>
      <c r="M2231" s="9" t="str">
        <f t="shared" si="509"/>
        <v>Adjustment!I16</v>
      </c>
      <c r="N2231" s="9">
        <f>_xlfn.XLOOKUP(F2231,'Raw Data'!$I$4:$I$5000,'Raw Data'!$E$4:$E$5000,100,0)</f>
        <v>100</v>
      </c>
      <c r="O2231" s="9" t="str">
        <f>IF(N2231=0,_xlfn.XLOOKUP(F2231,'Raw Data'!$I$4:$I$5000,'Raw Data'!$H$4:$H$5000,"",0),"")</f>
        <v/>
      </c>
      <c r="P2231" s="9" t="str" cm="1">
        <f t="array" aca="1" ref="P2231" ca="1">IF(INDIRECT(M2231) = "","",INDIRECT(M2231))</f>
        <v/>
      </c>
      <c r="Q2231" s="359" t="s">
        <v>4381</v>
      </c>
    </row>
    <row r="2232" spans="1:17" x14ac:dyDescent="0.35">
      <c r="A2232" t="s">
        <v>3895</v>
      </c>
      <c r="E2232" t="str">
        <f>_xlfn.XLOOKUP(F2232,'Raw Data'!$I$4:$I$5000,'Raw Data'!$D$4:$D$5000,"*** Mnemonic not found ***",0)</f>
        <v>*** Mnemonic not found ***</v>
      </c>
      <c r="F2232" t="str">
        <f t="shared" si="504"/>
        <v>ADJCAPCOM9950_13__</v>
      </c>
      <c r="H2232" s="9" t="s">
        <v>276</v>
      </c>
      <c r="K2232" s="9">
        <f t="shared" si="507"/>
        <v>17</v>
      </c>
      <c r="L2232" s="9" t="str">
        <f t="shared" si="508"/>
        <v>I</v>
      </c>
      <c r="M2232" s="9" t="str">
        <f t="shared" si="509"/>
        <v>Adjustment!I17</v>
      </c>
      <c r="N2232" s="9">
        <f>_xlfn.XLOOKUP(F2232,'Raw Data'!$I$4:$I$5000,'Raw Data'!$E$4:$E$5000,100,0)</f>
        <v>100</v>
      </c>
      <c r="O2232" s="9" t="str">
        <f>IF(N2232=0,_xlfn.XLOOKUP(F2232,'Raw Data'!$I$4:$I$5000,'Raw Data'!$H$4:$H$5000,"",0),"")</f>
        <v/>
      </c>
      <c r="P2232" s="9" t="str" cm="1">
        <f t="array" aca="1" ref="P2232" ca="1">IF(INDIRECT(M2232) = "","",INDIRECT(M2232))</f>
        <v/>
      </c>
      <c r="Q2232" s="359" t="s">
        <v>4381</v>
      </c>
    </row>
    <row r="2233" spans="1:17" x14ac:dyDescent="0.35">
      <c r="A2233" t="s">
        <v>3896</v>
      </c>
      <c r="E2233" t="str">
        <f>_xlfn.XLOOKUP(F2233,'Raw Data'!$I$4:$I$5000,'Raw Data'!$D$4:$D$5000,"*** Mnemonic not found ***",0)</f>
        <v>*** Mnemonic not found ***</v>
      </c>
      <c r="F2233" t="str">
        <f t="shared" si="504"/>
        <v>ADJCAPCOM9950_14__</v>
      </c>
      <c r="H2233" s="9" t="s">
        <v>276</v>
      </c>
      <c r="K2233" s="9">
        <f t="shared" si="507"/>
        <v>18</v>
      </c>
      <c r="L2233" s="9" t="str">
        <f t="shared" si="508"/>
        <v>I</v>
      </c>
      <c r="M2233" s="9" t="str">
        <f t="shared" si="509"/>
        <v>Adjustment!I18</v>
      </c>
      <c r="N2233" s="9">
        <f>_xlfn.XLOOKUP(F2233,'Raw Data'!$I$4:$I$5000,'Raw Data'!$E$4:$E$5000,100,0)</f>
        <v>100</v>
      </c>
      <c r="O2233" s="9" t="str">
        <f>IF(N2233=0,_xlfn.XLOOKUP(F2233,'Raw Data'!$I$4:$I$5000,'Raw Data'!$H$4:$H$5000,"",0),"")</f>
        <v/>
      </c>
      <c r="P2233" s="9" t="str" cm="1">
        <f t="array" aca="1" ref="P2233" ca="1">IF(INDIRECT(M2233) = "","",INDIRECT(M2233))</f>
        <v/>
      </c>
      <c r="Q2233" s="359" t="s">
        <v>4381</v>
      </c>
    </row>
    <row r="2234" spans="1:17" x14ac:dyDescent="0.35">
      <c r="A2234" t="s">
        <v>3897</v>
      </c>
      <c r="E2234" t="str">
        <f>_xlfn.XLOOKUP(F2234,'Raw Data'!$I$4:$I$5000,'Raw Data'!$D$4:$D$5000,"*** Mnemonic not found ***",0)</f>
        <v>*** Mnemonic not found ***</v>
      </c>
      <c r="F2234" t="str">
        <f t="shared" si="504"/>
        <v>ADJCAPCOM9950_15__</v>
      </c>
      <c r="H2234" s="9" t="s">
        <v>276</v>
      </c>
      <c r="K2234" s="9">
        <f t="shared" si="507"/>
        <v>19</v>
      </c>
      <c r="L2234" s="9" t="str">
        <f t="shared" si="508"/>
        <v>I</v>
      </c>
      <c r="M2234" s="9" t="str">
        <f t="shared" si="509"/>
        <v>Adjustment!I19</v>
      </c>
      <c r="N2234" s="9">
        <f>_xlfn.XLOOKUP(F2234,'Raw Data'!$I$4:$I$5000,'Raw Data'!$E$4:$E$5000,100,0)</f>
        <v>100</v>
      </c>
      <c r="O2234" s="9" t="str">
        <f>IF(N2234=0,_xlfn.XLOOKUP(F2234,'Raw Data'!$I$4:$I$5000,'Raw Data'!$H$4:$H$5000,"",0),"")</f>
        <v/>
      </c>
      <c r="P2234" s="9" t="str" cm="1">
        <f t="array" aca="1" ref="P2234" ca="1">IF(INDIRECT(M2234) = "","",INDIRECT(M2234))</f>
        <v/>
      </c>
      <c r="Q2234" s="359" t="s">
        <v>4381</v>
      </c>
    </row>
    <row r="2235" spans="1:17" x14ac:dyDescent="0.35">
      <c r="A2235" t="s">
        <v>3898</v>
      </c>
      <c r="E2235" t="str">
        <f>_xlfn.XLOOKUP(F2235,'Raw Data'!$I$4:$I$5000,'Raw Data'!$D$4:$D$5000,"*** Mnemonic not found ***",0)</f>
        <v>*** Mnemonic not found ***</v>
      </c>
      <c r="F2235" t="str">
        <f t="shared" si="504"/>
        <v>ADJCAPCOM9950_16__</v>
      </c>
      <c r="H2235" s="9" t="s">
        <v>276</v>
      </c>
      <c r="K2235" s="9">
        <f t="shared" si="507"/>
        <v>20</v>
      </c>
      <c r="L2235" s="9" t="str">
        <f t="shared" si="508"/>
        <v>I</v>
      </c>
      <c r="M2235" s="9" t="str">
        <f t="shared" si="509"/>
        <v>Adjustment!I20</v>
      </c>
      <c r="N2235" s="9">
        <f>_xlfn.XLOOKUP(F2235,'Raw Data'!$I$4:$I$5000,'Raw Data'!$E$4:$E$5000,100,0)</f>
        <v>100</v>
      </c>
      <c r="O2235" s="9" t="str">
        <f>IF(N2235=0,_xlfn.XLOOKUP(F2235,'Raw Data'!$I$4:$I$5000,'Raw Data'!$H$4:$H$5000,"",0),"")</f>
        <v/>
      </c>
      <c r="P2235" s="9" t="str" cm="1">
        <f t="array" aca="1" ref="P2235" ca="1">IF(INDIRECT(M2235) = "","",INDIRECT(M2235))</f>
        <v/>
      </c>
      <c r="Q2235" s="359" t="s">
        <v>4381</v>
      </c>
    </row>
    <row r="2236" spans="1:17" x14ac:dyDescent="0.35">
      <c r="A2236" t="s">
        <v>3899</v>
      </c>
      <c r="E2236" t="str">
        <f>_xlfn.XLOOKUP(F2236,'Raw Data'!$I$4:$I$5000,'Raw Data'!$D$4:$D$5000,"*** Mnemonic not found ***",0)</f>
        <v>*** Mnemonic not found ***</v>
      </c>
      <c r="F2236" t="str">
        <f t="shared" si="504"/>
        <v>ADJCAPCOM9950_17__</v>
      </c>
      <c r="H2236" s="9" t="s">
        <v>276</v>
      </c>
      <c r="K2236" s="9">
        <f t="shared" si="507"/>
        <v>21</v>
      </c>
      <c r="L2236" s="9" t="str">
        <f t="shared" si="508"/>
        <v>I</v>
      </c>
      <c r="M2236" s="9" t="str">
        <f t="shared" si="509"/>
        <v>Adjustment!I21</v>
      </c>
      <c r="N2236" s="9">
        <f>_xlfn.XLOOKUP(F2236,'Raw Data'!$I$4:$I$5000,'Raw Data'!$E$4:$E$5000,100,0)</f>
        <v>100</v>
      </c>
      <c r="O2236" s="9" t="str">
        <f>IF(N2236=0,_xlfn.XLOOKUP(F2236,'Raw Data'!$I$4:$I$5000,'Raw Data'!$H$4:$H$5000,"",0),"")</f>
        <v/>
      </c>
      <c r="P2236" s="9" t="str" cm="1">
        <f t="array" aca="1" ref="P2236" ca="1">IF(INDIRECT(M2236) = "","",INDIRECT(M2236))</f>
        <v/>
      </c>
      <c r="Q2236" s="359" t="s">
        <v>4381</v>
      </c>
    </row>
    <row r="2237" spans="1:17" x14ac:dyDescent="0.35">
      <c r="A2237" t="s">
        <v>3983</v>
      </c>
      <c r="E2237" t="str">
        <f>_xlfn.XLOOKUP(F2237,'Raw Data'!$I$4:$I$5000,'Raw Data'!$D$4:$D$5000,"*** Mnemonic not found ***",0)</f>
        <v>*** Mnemonic not found ***</v>
      </c>
      <c r="F2237" t="str">
        <f t="shared" si="504"/>
        <v>ADJCAPCOM9950_18__</v>
      </c>
      <c r="H2237" s="9" t="s">
        <v>276</v>
      </c>
      <c r="K2237" s="9">
        <f t="shared" si="507"/>
        <v>22</v>
      </c>
      <c r="L2237" s="9" t="str">
        <f t="shared" si="508"/>
        <v>I</v>
      </c>
      <c r="M2237" s="9" t="str">
        <f t="shared" si="509"/>
        <v>Adjustment!I22</v>
      </c>
      <c r="N2237" s="9">
        <f>_xlfn.XLOOKUP(F2237,'Raw Data'!$I$4:$I$5000,'Raw Data'!$E$4:$E$5000,100,0)</f>
        <v>100</v>
      </c>
      <c r="O2237" s="9" t="str">
        <f>IF(N2237=0,_xlfn.XLOOKUP(F2237,'Raw Data'!$I$4:$I$5000,'Raw Data'!$H$4:$H$5000,"",0),"")</f>
        <v/>
      </c>
      <c r="P2237" s="9" t="str" cm="1">
        <f t="array" aca="1" ref="P2237" ca="1">IF(INDIRECT(M2237) = "","",INDIRECT(M2237))</f>
        <v/>
      </c>
      <c r="Q2237" s="359" t="s">
        <v>4381</v>
      </c>
    </row>
    <row r="2238" spans="1:17" x14ac:dyDescent="0.35">
      <c r="A2238" t="s">
        <v>3900</v>
      </c>
      <c r="E2238" t="str">
        <f>_xlfn.XLOOKUP(F2238,'Raw Data'!$I$4:$I$5000,'Raw Data'!$D$4:$D$5000,"*** Mnemonic not found ***",0)</f>
        <v>*** Mnemonic not found ***</v>
      </c>
      <c r="F2238" t="str">
        <f t="shared" si="504"/>
        <v>ADJCAPCOM9950_19__</v>
      </c>
      <c r="H2238" s="9" t="s">
        <v>276</v>
      </c>
      <c r="K2238" s="9">
        <f t="shared" si="507"/>
        <v>23</v>
      </c>
      <c r="L2238" s="9" t="str">
        <f t="shared" si="508"/>
        <v>I</v>
      </c>
      <c r="M2238" s="9" t="str">
        <f t="shared" si="509"/>
        <v>Adjustment!I23</v>
      </c>
      <c r="N2238" s="9">
        <f>_xlfn.XLOOKUP(F2238,'Raw Data'!$I$4:$I$5000,'Raw Data'!$E$4:$E$5000,100,0)</f>
        <v>100</v>
      </c>
      <c r="O2238" s="9" t="str">
        <f>IF(N2238=0,_xlfn.XLOOKUP(F2238,'Raw Data'!$I$4:$I$5000,'Raw Data'!$H$4:$H$5000,"",0),"")</f>
        <v/>
      </c>
      <c r="P2238" s="9" t="str" cm="1">
        <f t="array" aca="1" ref="P2238" ca="1">IF(INDIRECT(M2238) = "","",INDIRECT(M2238))</f>
        <v/>
      </c>
      <c r="Q2238" s="359" t="s">
        <v>4381</v>
      </c>
    </row>
    <row r="2239" spans="1:17" x14ac:dyDescent="0.35">
      <c r="A2239" t="s">
        <v>3901</v>
      </c>
      <c r="E2239" t="str">
        <f>_xlfn.XLOOKUP(F2239,'Raw Data'!$I$4:$I$5000,'Raw Data'!$D$4:$D$5000,"*** Mnemonic not found ***",0)</f>
        <v>*** Mnemonic not found ***</v>
      </c>
      <c r="F2239" t="str">
        <f t="shared" si="504"/>
        <v>ADJCAPCOM9950_20__</v>
      </c>
      <c r="H2239" s="9" t="s">
        <v>276</v>
      </c>
      <c r="K2239" s="9">
        <f t="shared" si="507"/>
        <v>24</v>
      </c>
      <c r="L2239" s="9" t="str">
        <f t="shared" si="508"/>
        <v>I</v>
      </c>
      <c r="M2239" s="9" t="str">
        <f t="shared" si="509"/>
        <v>Adjustment!I24</v>
      </c>
      <c r="N2239" s="9">
        <f>_xlfn.XLOOKUP(F2239,'Raw Data'!$I$4:$I$5000,'Raw Data'!$E$4:$E$5000,100,0)</f>
        <v>100</v>
      </c>
      <c r="O2239" s="9" t="str">
        <f>IF(N2239=0,_xlfn.XLOOKUP(F2239,'Raw Data'!$I$4:$I$5000,'Raw Data'!$H$4:$H$5000,"",0),"")</f>
        <v/>
      </c>
      <c r="P2239" s="9" t="str" cm="1">
        <f t="array" aca="1" ref="P2239" ca="1">IF(INDIRECT(M2239) = "","",INDIRECT(M2239))</f>
        <v/>
      </c>
      <c r="Q2239" s="359" t="s">
        <v>4381</v>
      </c>
    </row>
    <row r="2240" spans="1:17" x14ac:dyDescent="0.35">
      <c r="A2240" t="s">
        <v>3902</v>
      </c>
      <c r="E2240" t="str">
        <f>_xlfn.XLOOKUP(F2240,'Raw Data'!$I$4:$I$5000,'Raw Data'!$D$4:$D$5000,"*** Mnemonic not found ***",0)</f>
        <v>*** Mnemonic not found ***</v>
      </c>
      <c r="F2240" t="str">
        <f t="shared" si="504"/>
        <v>ADJCAPCOMDESC1__</v>
      </c>
      <c r="H2240" s="9" t="s">
        <v>276</v>
      </c>
      <c r="K2240" s="9">
        <f>K2220</f>
        <v>5</v>
      </c>
      <c r="L2240" s="9" t="s">
        <v>1376</v>
      </c>
      <c r="M2240" s="9" t="str">
        <f t="shared" si="509"/>
        <v>Adjustment!J5</v>
      </c>
      <c r="N2240" s="9">
        <f>_xlfn.XLOOKUP(F2240,'Raw Data'!$I$4:$I$5000,'Raw Data'!$E$4:$E$5000,100,0)</f>
        <v>100</v>
      </c>
      <c r="O2240" s="9" t="str">
        <f>IF(N2240=0,_xlfn.XLOOKUP(F2240,'Raw Data'!$I$4:$I$5000,'Raw Data'!$H$4:$H$5000,"",0),"")</f>
        <v/>
      </c>
      <c r="P2240" s="9" t="str" cm="1">
        <f t="array" aca="1" ref="P2240" ca="1">IF(INDIRECT(M2240) = "","",INDIRECT(M2240))</f>
        <v/>
      </c>
      <c r="Q2240" s="359" t="s">
        <v>4380</v>
      </c>
    </row>
    <row r="2241" spans="1:17" x14ac:dyDescent="0.35">
      <c r="A2241" t="s">
        <v>3903</v>
      </c>
      <c r="E2241" t="str">
        <f>_xlfn.XLOOKUP(F2241,'Raw Data'!$I$4:$I$5000,'Raw Data'!$D$4:$D$5000,"*** Mnemonic not found ***",0)</f>
        <v>*** Mnemonic not found ***</v>
      </c>
      <c r="F2241" t="str">
        <f t="shared" si="504"/>
        <v>ADJCAPCOMDESC2__</v>
      </c>
      <c r="H2241" s="9" t="s">
        <v>276</v>
      </c>
      <c r="K2241" s="9">
        <f>K2240+1</f>
        <v>6</v>
      </c>
      <c r="L2241" s="9" t="str">
        <f>L2240</f>
        <v>J</v>
      </c>
      <c r="M2241" s="9" t="str">
        <f t="shared" si="509"/>
        <v>Adjustment!J6</v>
      </c>
      <c r="N2241" s="9">
        <f>_xlfn.XLOOKUP(F2241,'Raw Data'!$I$4:$I$5000,'Raw Data'!$E$4:$E$5000,100,0)</f>
        <v>100</v>
      </c>
      <c r="O2241" s="9" t="str">
        <f>IF(N2241=0,_xlfn.XLOOKUP(F2241,'Raw Data'!$I$4:$I$5000,'Raw Data'!$H$4:$H$5000,"",0),"")</f>
        <v/>
      </c>
      <c r="P2241" s="9" t="str" cm="1">
        <f t="array" aca="1" ref="P2241" ca="1">IF(INDIRECT(M2241) = "","",INDIRECT(M2241))</f>
        <v/>
      </c>
      <c r="Q2241" s="359" t="s">
        <v>4380</v>
      </c>
    </row>
    <row r="2242" spans="1:17" x14ac:dyDescent="0.35">
      <c r="A2242" t="s">
        <v>3904</v>
      </c>
      <c r="E2242" t="str">
        <f>_xlfn.XLOOKUP(F2242,'Raw Data'!$I$4:$I$5000,'Raw Data'!$D$4:$D$5000,"*** Mnemonic not found ***",0)</f>
        <v>*** Mnemonic not found ***</v>
      </c>
      <c r="F2242" t="str">
        <f t="shared" si="504"/>
        <v>ADJCAPCOMDESC3__</v>
      </c>
      <c r="H2242" s="9" t="s">
        <v>276</v>
      </c>
      <c r="K2242" s="9">
        <f t="shared" ref="K2242:K2259" si="510">K2241+1</f>
        <v>7</v>
      </c>
      <c r="L2242" s="9" t="str">
        <f t="shared" ref="L2242:L2259" si="511">L2241</f>
        <v>J</v>
      </c>
      <c r="M2242" s="9" t="str">
        <f t="shared" si="509"/>
        <v>Adjustment!J7</v>
      </c>
      <c r="N2242" s="9">
        <f>_xlfn.XLOOKUP(F2242,'Raw Data'!$I$4:$I$5000,'Raw Data'!$E$4:$E$5000,100,0)</f>
        <v>100</v>
      </c>
      <c r="O2242" s="9" t="str">
        <f>IF(N2242=0,_xlfn.XLOOKUP(F2242,'Raw Data'!$I$4:$I$5000,'Raw Data'!$H$4:$H$5000,"",0),"")</f>
        <v/>
      </c>
      <c r="P2242" s="9" t="str" cm="1">
        <f t="array" aca="1" ref="P2242" ca="1">IF(INDIRECT(M2242) = "","",INDIRECT(M2242))</f>
        <v/>
      </c>
      <c r="Q2242" s="359" t="s">
        <v>4380</v>
      </c>
    </row>
    <row r="2243" spans="1:17" x14ac:dyDescent="0.35">
      <c r="A2243" t="s">
        <v>3905</v>
      </c>
      <c r="E2243" t="str">
        <f>_xlfn.XLOOKUP(F2243,'Raw Data'!$I$4:$I$5000,'Raw Data'!$D$4:$D$5000,"*** Mnemonic not found ***",0)</f>
        <v>*** Mnemonic not found ***</v>
      </c>
      <c r="F2243" t="str">
        <f t="shared" si="504"/>
        <v>ADJCAPCOMDESC4__</v>
      </c>
      <c r="H2243" s="9" t="s">
        <v>276</v>
      </c>
      <c r="K2243" s="9">
        <f t="shared" si="510"/>
        <v>8</v>
      </c>
      <c r="L2243" s="9" t="str">
        <f t="shared" si="511"/>
        <v>J</v>
      </c>
      <c r="M2243" s="9" t="str">
        <f t="shared" si="509"/>
        <v>Adjustment!J8</v>
      </c>
      <c r="N2243" s="9">
        <f>_xlfn.XLOOKUP(F2243,'Raw Data'!$I$4:$I$5000,'Raw Data'!$E$4:$E$5000,100,0)</f>
        <v>100</v>
      </c>
      <c r="O2243" s="9" t="str">
        <f>IF(N2243=0,_xlfn.XLOOKUP(F2243,'Raw Data'!$I$4:$I$5000,'Raw Data'!$H$4:$H$5000,"",0),"")</f>
        <v/>
      </c>
      <c r="P2243" s="9" t="str" cm="1">
        <f t="array" aca="1" ref="P2243" ca="1">IF(INDIRECT(M2243) = "","",INDIRECT(M2243))</f>
        <v/>
      </c>
      <c r="Q2243" s="359" t="s">
        <v>4380</v>
      </c>
    </row>
    <row r="2244" spans="1:17" x14ac:dyDescent="0.35">
      <c r="A2244" t="s">
        <v>3906</v>
      </c>
      <c r="E2244" t="str">
        <f>_xlfn.XLOOKUP(F2244,'Raw Data'!$I$4:$I$5000,'Raw Data'!$D$4:$D$5000,"*** Mnemonic not found ***",0)</f>
        <v>*** Mnemonic not found ***</v>
      </c>
      <c r="F2244" t="str">
        <f t="shared" si="504"/>
        <v>ADJCAPCOMDESC5__</v>
      </c>
      <c r="H2244" s="9" t="s">
        <v>276</v>
      </c>
      <c r="K2244" s="9">
        <f t="shared" si="510"/>
        <v>9</v>
      </c>
      <c r="L2244" s="9" t="str">
        <f t="shared" si="511"/>
        <v>J</v>
      </c>
      <c r="M2244" s="9" t="str">
        <f t="shared" si="509"/>
        <v>Adjustment!J9</v>
      </c>
      <c r="N2244" s="9">
        <f>_xlfn.XLOOKUP(F2244,'Raw Data'!$I$4:$I$5000,'Raw Data'!$E$4:$E$5000,100,0)</f>
        <v>100</v>
      </c>
      <c r="O2244" s="9" t="str">
        <f>IF(N2244=0,_xlfn.XLOOKUP(F2244,'Raw Data'!$I$4:$I$5000,'Raw Data'!$H$4:$H$5000,"",0),"")</f>
        <v/>
      </c>
      <c r="P2244" s="9" t="str" cm="1">
        <f t="array" aca="1" ref="P2244" ca="1">IF(INDIRECT(M2244) = "","",INDIRECT(M2244))</f>
        <v/>
      </c>
      <c r="Q2244" s="359" t="s">
        <v>4380</v>
      </c>
    </row>
    <row r="2245" spans="1:17" x14ac:dyDescent="0.35">
      <c r="A2245" t="s">
        <v>3907</v>
      </c>
      <c r="E2245" t="str">
        <f>_xlfn.XLOOKUP(F2245,'Raw Data'!$I$4:$I$5000,'Raw Data'!$D$4:$D$5000,"*** Mnemonic not found ***",0)</f>
        <v>*** Mnemonic not found ***</v>
      </c>
      <c r="F2245" t="str">
        <f t="shared" si="504"/>
        <v>ADJCAPCOMDESC6__</v>
      </c>
      <c r="H2245" s="9" t="s">
        <v>276</v>
      </c>
      <c r="K2245" s="9">
        <f t="shared" si="510"/>
        <v>10</v>
      </c>
      <c r="L2245" s="9" t="str">
        <f t="shared" si="511"/>
        <v>J</v>
      </c>
      <c r="M2245" s="9" t="str">
        <f t="shared" si="509"/>
        <v>Adjustment!J10</v>
      </c>
      <c r="N2245" s="9">
        <f>_xlfn.XLOOKUP(F2245,'Raw Data'!$I$4:$I$5000,'Raw Data'!$E$4:$E$5000,100,0)</f>
        <v>100</v>
      </c>
      <c r="O2245" s="9" t="str">
        <f>IF(N2245=0,_xlfn.XLOOKUP(F2245,'Raw Data'!$I$4:$I$5000,'Raw Data'!$H$4:$H$5000,"",0),"")</f>
        <v/>
      </c>
      <c r="P2245" s="9" t="str" cm="1">
        <f t="array" aca="1" ref="P2245" ca="1">IF(INDIRECT(M2245) = "","",INDIRECT(M2245))</f>
        <v/>
      </c>
      <c r="Q2245" s="359" t="s">
        <v>4380</v>
      </c>
    </row>
    <row r="2246" spans="1:17" x14ac:dyDescent="0.35">
      <c r="A2246" t="s">
        <v>3908</v>
      </c>
      <c r="E2246" t="str">
        <f>_xlfn.XLOOKUP(F2246,'Raw Data'!$I$4:$I$5000,'Raw Data'!$D$4:$D$5000,"*** Mnemonic not found ***",0)</f>
        <v>*** Mnemonic not found ***</v>
      </c>
      <c r="F2246" t="str">
        <f t="shared" si="504"/>
        <v>ADJCAPCOMDESC7__</v>
      </c>
      <c r="H2246" s="9" t="s">
        <v>276</v>
      </c>
      <c r="K2246" s="9">
        <f t="shared" si="510"/>
        <v>11</v>
      </c>
      <c r="L2246" s="9" t="str">
        <f t="shared" si="511"/>
        <v>J</v>
      </c>
      <c r="M2246" s="9" t="str">
        <f t="shared" si="509"/>
        <v>Adjustment!J11</v>
      </c>
      <c r="N2246" s="9">
        <f>_xlfn.XLOOKUP(F2246,'Raw Data'!$I$4:$I$5000,'Raw Data'!$E$4:$E$5000,100,0)</f>
        <v>100</v>
      </c>
      <c r="O2246" s="9" t="str">
        <f>IF(N2246=0,_xlfn.XLOOKUP(F2246,'Raw Data'!$I$4:$I$5000,'Raw Data'!$H$4:$H$5000,"",0),"")</f>
        <v/>
      </c>
      <c r="P2246" s="9" t="str" cm="1">
        <f t="array" aca="1" ref="P2246" ca="1">IF(INDIRECT(M2246) = "","",INDIRECT(M2246))</f>
        <v/>
      </c>
      <c r="Q2246" s="359" t="s">
        <v>4380</v>
      </c>
    </row>
    <row r="2247" spans="1:17" x14ac:dyDescent="0.35">
      <c r="A2247" t="s">
        <v>3909</v>
      </c>
      <c r="E2247" t="str">
        <f>_xlfn.XLOOKUP(F2247,'Raw Data'!$I$4:$I$5000,'Raw Data'!$D$4:$D$5000,"*** Mnemonic not found ***",0)</f>
        <v>*** Mnemonic not found ***</v>
      </c>
      <c r="F2247" t="str">
        <f t="shared" si="504"/>
        <v>ADJCAPCOMDESC8__</v>
      </c>
      <c r="H2247" s="9" t="s">
        <v>276</v>
      </c>
      <c r="K2247" s="9">
        <f t="shared" si="510"/>
        <v>12</v>
      </c>
      <c r="L2247" s="9" t="str">
        <f t="shared" si="511"/>
        <v>J</v>
      </c>
      <c r="M2247" s="9" t="str">
        <f t="shared" si="509"/>
        <v>Adjustment!J12</v>
      </c>
      <c r="N2247" s="9">
        <f>_xlfn.XLOOKUP(F2247,'Raw Data'!$I$4:$I$5000,'Raw Data'!$E$4:$E$5000,100,0)</f>
        <v>100</v>
      </c>
      <c r="O2247" s="9" t="str">
        <f>IF(N2247=0,_xlfn.XLOOKUP(F2247,'Raw Data'!$I$4:$I$5000,'Raw Data'!$H$4:$H$5000,"",0),"")</f>
        <v/>
      </c>
      <c r="P2247" s="9" t="str" cm="1">
        <f t="array" aca="1" ref="P2247" ca="1">IF(INDIRECT(M2247) = "","",INDIRECT(M2247))</f>
        <v/>
      </c>
      <c r="Q2247" s="359" t="s">
        <v>4380</v>
      </c>
    </row>
    <row r="2248" spans="1:17" x14ac:dyDescent="0.35">
      <c r="A2248" t="s">
        <v>3910</v>
      </c>
      <c r="E2248" t="str">
        <f>_xlfn.XLOOKUP(F2248,'Raw Data'!$I$4:$I$5000,'Raw Data'!$D$4:$D$5000,"*** Mnemonic not found ***",0)</f>
        <v>*** Mnemonic not found ***</v>
      </c>
      <c r="F2248" t="str">
        <f t="shared" si="504"/>
        <v>ADJCAPCOMDESC9__</v>
      </c>
      <c r="H2248" s="9" t="s">
        <v>276</v>
      </c>
      <c r="K2248" s="9">
        <f t="shared" si="510"/>
        <v>13</v>
      </c>
      <c r="L2248" s="9" t="str">
        <f t="shared" si="511"/>
        <v>J</v>
      </c>
      <c r="M2248" s="9" t="str">
        <f t="shared" si="509"/>
        <v>Adjustment!J13</v>
      </c>
      <c r="N2248" s="9">
        <f>_xlfn.XLOOKUP(F2248,'Raw Data'!$I$4:$I$5000,'Raw Data'!$E$4:$E$5000,100,0)</f>
        <v>100</v>
      </c>
      <c r="O2248" s="9" t="str">
        <f>IF(N2248=0,_xlfn.XLOOKUP(F2248,'Raw Data'!$I$4:$I$5000,'Raw Data'!$H$4:$H$5000,"",0),"")</f>
        <v/>
      </c>
      <c r="P2248" s="9" t="str" cm="1">
        <f t="array" aca="1" ref="P2248" ca="1">IF(INDIRECT(M2248) = "","",INDIRECT(M2248))</f>
        <v/>
      </c>
      <c r="Q2248" s="359" t="s">
        <v>4380</v>
      </c>
    </row>
    <row r="2249" spans="1:17" x14ac:dyDescent="0.35">
      <c r="A2249" t="s">
        <v>3911</v>
      </c>
      <c r="E2249" t="str">
        <f>_xlfn.XLOOKUP(F2249,'Raw Data'!$I$4:$I$5000,'Raw Data'!$D$4:$D$5000,"*** Mnemonic not found ***",0)</f>
        <v>*** Mnemonic not found ***</v>
      </c>
      <c r="F2249" t="str">
        <f t="shared" si="504"/>
        <v>ADJCAPCOMDESC10__</v>
      </c>
      <c r="H2249" s="9" t="s">
        <v>276</v>
      </c>
      <c r="K2249" s="9">
        <f t="shared" si="510"/>
        <v>14</v>
      </c>
      <c r="L2249" s="9" t="str">
        <f t="shared" si="511"/>
        <v>J</v>
      </c>
      <c r="M2249" s="9" t="str">
        <f t="shared" si="509"/>
        <v>Adjustment!J14</v>
      </c>
      <c r="N2249" s="9">
        <f>_xlfn.XLOOKUP(F2249,'Raw Data'!$I$4:$I$5000,'Raw Data'!$E$4:$E$5000,100,0)</f>
        <v>100</v>
      </c>
      <c r="O2249" s="9" t="str">
        <f>IF(N2249=0,_xlfn.XLOOKUP(F2249,'Raw Data'!$I$4:$I$5000,'Raw Data'!$H$4:$H$5000,"",0),"")</f>
        <v/>
      </c>
      <c r="P2249" s="9" t="str" cm="1">
        <f t="array" aca="1" ref="P2249" ca="1">IF(INDIRECT(M2249) = "","",INDIRECT(M2249))</f>
        <v/>
      </c>
      <c r="Q2249" s="359" t="s">
        <v>4380</v>
      </c>
    </row>
    <row r="2250" spans="1:17" x14ac:dyDescent="0.35">
      <c r="A2250" t="s">
        <v>3912</v>
      </c>
      <c r="E2250" t="str">
        <f>_xlfn.XLOOKUP(F2250,'Raw Data'!$I$4:$I$5000,'Raw Data'!$D$4:$D$5000,"*** Mnemonic not found ***",0)</f>
        <v>*** Mnemonic not found ***</v>
      </c>
      <c r="F2250" t="str">
        <f t="shared" si="504"/>
        <v>ADJCAPCOMDESC11__</v>
      </c>
      <c r="H2250" s="9" t="s">
        <v>276</v>
      </c>
      <c r="K2250" s="9">
        <f t="shared" si="510"/>
        <v>15</v>
      </c>
      <c r="L2250" s="9" t="str">
        <f t="shared" si="511"/>
        <v>J</v>
      </c>
      <c r="M2250" s="9" t="str">
        <f t="shared" si="509"/>
        <v>Adjustment!J15</v>
      </c>
      <c r="N2250" s="9">
        <f>_xlfn.XLOOKUP(F2250,'Raw Data'!$I$4:$I$5000,'Raw Data'!$E$4:$E$5000,100,0)</f>
        <v>100</v>
      </c>
      <c r="O2250" s="9" t="str">
        <f>IF(N2250=0,_xlfn.XLOOKUP(F2250,'Raw Data'!$I$4:$I$5000,'Raw Data'!$H$4:$H$5000,"",0),"")</f>
        <v/>
      </c>
      <c r="P2250" s="9" t="str" cm="1">
        <f t="array" aca="1" ref="P2250" ca="1">IF(INDIRECT(M2250) = "","",INDIRECT(M2250))</f>
        <v/>
      </c>
      <c r="Q2250" s="359" t="s">
        <v>4380</v>
      </c>
    </row>
    <row r="2251" spans="1:17" x14ac:dyDescent="0.35">
      <c r="A2251" t="s">
        <v>3913</v>
      </c>
      <c r="E2251" t="str">
        <f>_xlfn.XLOOKUP(F2251,'Raw Data'!$I$4:$I$5000,'Raw Data'!$D$4:$D$5000,"*** Mnemonic not found ***",0)</f>
        <v>*** Mnemonic not found ***</v>
      </c>
      <c r="F2251" t="str">
        <f t="shared" si="504"/>
        <v>ADJCAPCOMDESC12__</v>
      </c>
      <c r="H2251" s="9" t="s">
        <v>276</v>
      </c>
      <c r="K2251" s="9">
        <f t="shared" si="510"/>
        <v>16</v>
      </c>
      <c r="L2251" s="9" t="str">
        <f t="shared" si="511"/>
        <v>J</v>
      </c>
      <c r="M2251" s="9" t="str">
        <f t="shared" si="509"/>
        <v>Adjustment!J16</v>
      </c>
      <c r="N2251" s="9">
        <f>_xlfn.XLOOKUP(F2251,'Raw Data'!$I$4:$I$5000,'Raw Data'!$E$4:$E$5000,100,0)</f>
        <v>100</v>
      </c>
      <c r="O2251" s="9" t="str">
        <f>IF(N2251=0,_xlfn.XLOOKUP(F2251,'Raw Data'!$I$4:$I$5000,'Raw Data'!$H$4:$H$5000,"",0),"")</f>
        <v/>
      </c>
      <c r="P2251" s="9" t="str" cm="1">
        <f t="array" aca="1" ref="P2251" ca="1">IF(INDIRECT(M2251) = "","",INDIRECT(M2251))</f>
        <v/>
      </c>
      <c r="Q2251" s="359" t="s">
        <v>4380</v>
      </c>
    </row>
    <row r="2252" spans="1:17" x14ac:dyDescent="0.35">
      <c r="A2252" t="s">
        <v>3914</v>
      </c>
      <c r="E2252" t="str">
        <f>_xlfn.XLOOKUP(F2252,'Raw Data'!$I$4:$I$5000,'Raw Data'!$D$4:$D$5000,"*** Mnemonic not found ***",0)</f>
        <v>*** Mnemonic not found ***</v>
      </c>
      <c r="F2252" t="str">
        <f t="shared" si="504"/>
        <v>ADJCAPCOMDESC13__</v>
      </c>
      <c r="H2252" s="9" t="s">
        <v>276</v>
      </c>
      <c r="K2252" s="9">
        <f t="shared" si="510"/>
        <v>17</v>
      </c>
      <c r="L2252" s="9" t="str">
        <f t="shared" si="511"/>
        <v>J</v>
      </c>
      <c r="M2252" s="9" t="str">
        <f t="shared" si="509"/>
        <v>Adjustment!J17</v>
      </c>
      <c r="N2252" s="9">
        <f>_xlfn.XLOOKUP(F2252,'Raw Data'!$I$4:$I$5000,'Raw Data'!$E$4:$E$5000,100,0)</f>
        <v>100</v>
      </c>
      <c r="O2252" s="9" t="str">
        <f>IF(N2252=0,_xlfn.XLOOKUP(F2252,'Raw Data'!$I$4:$I$5000,'Raw Data'!$H$4:$H$5000,"",0),"")</f>
        <v/>
      </c>
      <c r="P2252" s="9" t="str" cm="1">
        <f t="array" aca="1" ref="P2252" ca="1">IF(INDIRECT(M2252) = "","",INDIRECT(M2252))</f>
        <v/>
      </c>
      <c r="Q2252" s="359" t="s">
        <v>4380</v>
      </c>
    </row>
    <row r="2253" spans="1:17" x14ac:dyDescent="0.35">
      <c r="A2253" t="s">
        <v>3915</v>
      </c>
      <c r="E2253" t="str">
        <f>_xlfn.XLOOKUP(F2253,'Raw Data'!$I$4:$I$5000,'Raw Data'!$D$4:$D$5000,"*** Mnemonic not found ***",0)</f>
        <v>*** Mnemonic not found ***</v>
      </c>
      <c r="F2253" t="str">
        <f t="shared" ref="F2253:F2316" si="512">CONCATENATE(A2253,"_",B2253,"_",D2253)</f>
        <v>ADJCAPCOMDESC14__</v>
      </c>
      <c r="H2253" s="9" t="s">
        <v>276</v>
      </c>
      <c r="K2253" s="9">
        <f t="shared" si="510"/>
        <v>18</v>
      </c>
      <c r="L2253" s="9" t="str">
        <f t="shared" si="511"/>
        <v>J</v>
      </c>
      <c r="M2253" s="9" t="str">
        <f t="shared" si="509"/>
        <v>Adjustment!J18</v>
      </c>
      <c r="N2253" s="9">
        <f>_xlfn.XLOOKUP(F2253,'Raw Data'!$I$4:$I$5000,'Raw Data'!$E$4:$E$5000,100,0)</f>
        <v>100</v>
      </c>
      <c r="O2253" s="9" t="str">
        <f>IF(N2253=0,_xlfn.XLOOKUP(F2253,'Raw Data'!$I$4:$I$5000,'Raw Data'!$H$4:$H$5000,"",0),"")</f>
        <v/>
      </c>
      <c r="P2253" s="9" t="str" cm="1">
        <f t="array" aca="1" ref="P2253" ca="1">IF(INDIRECT(M2253) = "","",INDIRECT(M2253))</f>
        <v/>
      </c>
      <c r="Q2253" s="359" t="s">
        <v>4380</v>
      </c>
    </row>
    <row r="2254" spans="1:17" x14ac:dyDescent="0.35">
      <c r="A2254" t="s">
        <v>3916</v>
      </c>
      <c r="E2254" t="str">
        <f>_xlfn.XLOOKUP(F2254,'Raw Data'!$I$4:$I$5000,'Raw Data'!$D$4:$D$5000,"*** Mnemonic not found ***",0)</f>
        <v>*** Mnemonic not found ***</v>
      </c>
      <c r="F2254" t="str">
        <f t="shared" si="512"/>
        <v>ADJCAPCOMDESC15__</v>
      </c>
      <c r="H2254" s="9" t="s">
        <v>276</v>
      </c>
      <c r="K2254" s="9">
        <f t="shared" si="510"/>
        <v>19</v>
      </c>
      <c r="L2254" s="9" t="str">
        <f t="shared" si="511"/>
        <v>J</v>
      </c>
      <c r="M2254" s="9" t="str">
        <f t="shared" si="509"/>
        <v>Adjustment!J19</v>
      </c>
      <c r="N2254" s="9">
        <f>_xlfn.XLOOKUP(F2254,'Raw Data'!$I$4:$I$5000,'Raw Data'!$E$4:$E$5000,100,0)</f>
        <v>100</v>
      </c>
      <c r="O2254" s="9" t="str">
        <f>IF(N2254=0,_xlfn.XLOOKUP(F2254,'Raw Data'!$I$4:$I$5000,'Raw Data'!$H$4:$H$5000,"",0),"")</f>
        <v/>
      </c>
      <c r="P2254" s="9" t="str" cm="1">
        <f t="array" aca="1" ref="P2254" ca="1">IF(INDIRECT(M2254) = "","",INDIRECT(M2254))</f>
        <v/>
      </c>
      <c r="Q2254" s="359" t="s">
        <v>4380</v>
      </c>
    </row>
    <row r="2255" spans="1:17" x14ac:dyDescent="0.35">
      <c r="A2255" t="s">
        <v>3917</v>
      </c>
      <c r="E2255" t="str">
        <f>_xlfn.XLOOKUP(F2255,'Raw Data'!$I$4:$I$5000,'Raw Data'!$D$4:$D$5000,"*** Mnemonic not found ***",0)</f>
        <v>*** Mnemonic not found ***</v>
      </c>
      <c r="F2255" t="str">
        <f t="shared" si="512"/>
        <v>ADJCAPCOMDESC16__</v>
      </c>
      <c r="H2255" s="9" t="s">
        <v>276</v>
      </c>
      <c r="K2255" s="9">
        <f t="shared" si="510"/>
        <v>20</v>
      </c>
      <c r="L2255" s="9" t="str">
        <f t="shared" si="511"/>
        <v>J</v>
      </c>
      <c r="M2255" s="9" t="str">
        <f t="shared" si="509"/>
        <v>Adjustment!J20</v>
      </c>
      <c r="N2255" s="9">
        <f>_xlfn.XLOOKUP(F2255,'Raw Data'!$I$4:$I$5000,'Raw Data'!$E$4:$E$5000,100,0)</f>
        <v>100</v>
      </c>
      <c r="O2255" s="9" t="str">
        <f>IF(N2255=0,_xlfn.XLOOKUP(F2255,'Raw Data'!$I$4:$I$5000,'Raw Data'!$H$4:$H$5000,"",0),"")</f>
        <v/>
      </c>
      <c r="P2255" s="9" t="str" cm="1">
        <f t="array" aca="1" ref="P2255" ca="1">IF(INDIRECT(M2255) = "","",INDIRECT(M2255))</f>
        <v/>
      </c>
      <c r="Q2255" s="359" t="s">
        <v>4380</v>
      </c>
    </row>
    <row r="2256" spans="1:17" x14ac:dyDescent="0.35">
      <c r="A2256" t="s">
        <v>3918</v>
      </c>
      <c r="E2256" t="str">
        <f>_xlfn.XLOOKUP(F2256,'Raw Data'!$I$4:$I$5000,'Raw Data'!$D$4:$D$5000,"*** Mnemonic not found ***",0)</f>
        <v>*** Mnemonic not found ***</v>
      </c>
      <c r="F2256" t="str">
        <f t="shared" si="512"/>
        <v>ADJCAPCOMDESC17__</v>
      </c>
      <c r="H2256" s="9" t="s">
        <v>276</v>
      </c>
      <c r="K2256" s="9">
        <f t="shared" si="510"/>
        <v>21</v>
      </c>
      <c r="L2256" s="9" t="str">
        <f t="shared" si="511"/>
        <v>J</v>
      </c>
      <c r="M2256" s="9" t="str">
        <f t="shared" si="509"/>
        <v>Adjustment!J21</v>
      </c>
      <c r="N2256" s="9">
        <f>_xlfn.XLOOKUP(F2256,'Raw Data'!$I$4:$I$5000,'Raw Data'!$E$4:$E$5000,100,0)</f>
        <v>100</v>
      </c>
      <c r="O2256" s="9" t="str">
        <f>IF(N2256=0,_xlfn.XLOOKUP(F2256,'Raw Data'!$I$4:$I$5000,'Raw Data'!$H$4:$H$5000,"",0),"")</f>
        <v/>
      </c>
      <c r="P2256" s="9" t="str" cm="1">
        <f t="array" aca="1" ref="P2256" ca="1">IF(INDIRECT(M2256) = "","",INDIRECT(M2256))</f>
        <v/>
      </c>
      <c r="Q2256" s="359" t="s">
        <v>4380</v>
      </c>
    </row>
    <row r="2257" spans="1:17" x14ac:dyDescent="0.35">
      <c r="A2257" t="s">
        <v>3919</v>
      </c>
      <c r="E2257" t="str">
        <f>_xlfn.XLOOKUP(F2257,'Raw Data'!$I$4:$I$5000,'Raw Data'!$D$4:$D$5000,"*** Mnemonic not found ***",0)</f>
        <v>*** Mnemonic not found ***</v>
      </c>
      <c r="F2257" t="str">
        <f t="shared" si="512"/>
        <v>ADJCAPCOMDESC18__</v>
      </c>
      <c r="H2257" s="9" t="s">
        <v>276</v>
      </c>
      <c r="K2257" s="9">
        <f t="shared" si="510"/>
        <v>22</v>
      </c>
      <c r="L2257" s="9" t="str">
        <f t="shared" si="511"/>
        <v>J</v>
      </c>
      <c r="M2257" s="9" t="str">
        <f t="shared" si="509"/>
        <v>Adjustment!J22</v>
      </c>
      <c r="N2257" s="9">
        <f>_xlfn.XLOOKUP(F2257,'Raw Data'!$I$4:$I$5000,'Raw Data'!$E$4:$E$5000,100,0)</f>
        <v>100</v>
      </c>
      <c r="O2257" s="9" t="str">
        <f>IF(N2257=0,_xlfn.XLOOKUP(F2257,'Raw Data'!$I$4:$I$5000,'Raw Data'!$H$4:$H$5000,"",0),"")</f>
        <v/>
      </c>
      <c r="P2257" s="9" t="str" cm="1">
        <f t="array" aca="1" ref="P2257" ca="1">IF(INDIRECT(M2257) = "","",INDIRECT(M2257))</f>
        <v/>
      </c>
      <c r="Q2257" s="359" t="s">
        <v>4380</v>
      </c>
    </row>
    <row r="2258" spans="1:17" x14ac:dyDescent="0.35">
      <c r="A2258" t="s">
        <v>3920</v>
      </c>
      <c r="E2258" t="str">
        <f>_xlfn.XLOOKUP(F2258,'Raw Data'!$I$4:$I$5000,'Raw Data'!$D$4:$D$5000,"*** Mnemonic not found ***",0)</f>
        <v>*** Mnemonic not found ***</v>
      </c>
      <c r="F2258" t="str">
        <f t="shared" si="512"/>
        <v>ADJCAPCOMDESC19__</v>
      </c>
      <c r="H2258" s="9" t="s">
        <v>276</v>
      </c>
      <c r="K2258" s="9">
        <f t="shared" si="510"/>
        <v>23</v>
      </c>
      <c r="L2258" s="9" t="str">
        <f t="shared" si="511"/>
        <v>J</v>
      </c>
      <c r="M2258" s="9" t="str">
        <f t="shared" si="509"/>
        <v>Adjustment!J23</v>
      </c>
      <c r="N2258" s="9">
        <f>_xlfn.XLOOKUP(F2258,'Raw Data'!$I$4:$I$5000,'Raw Data'!$E$4:$E$5000,100,0)</f>
        <v>100</v>
      </c>
      <c r="O2258" s="9" t="str">
        <f>IF(N2258=0,_xlfn.XLOOKUP(F2258,'Raw Data'!$I$4:$I$5000,'Raw Data'!$H$4:$H$5000,"",0),"")</f>
        <v/>
      </c>
      <c r="P2258" s="9" t="str" cm="1">
        <f t="array" aca="1" ref="P2258" ca="1">IF(INDIRECT(M2258) = "","",INDIRECT(M2258))</f>
        <v/>
      </c>
      <c r="Q2258" s="359" t="s">
        <v>4380</v>
      </c>
    </row>
    <row r="2259" spans="1:17" x14ac:dyDescent="0.35">
      <c r="A2259" t="s">
        <v>3921</v>
      </c>
      <c r="E2259" t="str">
        <f>_xlfn.XLOOKUP(F2259,'Raw Data'!$I$4:$I$5000,'Raw Data'!$D$4:$D$5000,"*** Mnemonic not found ***",0)</f>
        <v>*** Mnemonic not found ***</v>
      </c>
      <c r="F2259" t="str">
        <f t="shared" si="512"/>
        <v>ADJCAPCOMDESC20__</v>
      </c>
      <c r="H2259" s="9" t="s">
        <v>276</v>
      </c>
      <c r="K2259" s="9">
        <f t="shared" si="510"/>
        <v>24</v>
      </c>
      <c r="L2259" s="9" t="str">
        <f t="shared" si="511"/>
        <v>J</v>
      </c>
      <c r="M2259" s="9" t="str">
        <f t="shared" si="509"/>
        <v>Adjustment!J24</v>
      </c>
      <c r="N2259" s="9">
        <f>_xlfn.XLOOKUP(F2259,'Raw Data'!$I$4:$I$5000,'Raw Data'!$E$4:$E$5000,100,0)</f>
        <v>100</v>
      </c>
      <c r="O2259" s="9" t="str">
        <f>IF(N2259=0,_xlfn.XLOOKUP(F2259,'Raw Data'!$I$4:$I$5000,'Raw Data'!$H$4:$H$5000,"",0),"")</f>
        <v/>
      </c>
      <c r="P2259" s="9" t="str" cm="1">
        <f t="array" aca="1" ref="P2259" ca="1">IF(INDIRECT(M2259) = "","",INDIRECT(M2259))</f>
        <v/>
      </c>
      <c r="Q2259" s="359" t="s">
        <v>4380</v>
      </c>
    </row>
    <row r="2260" spans="1:17" x14ac:dyDescent="0.35">
      <c r="A2260" t="s">
        <v>3922</v>
      </c>
      <c r="E2260" t="str">
        <f>_xlfn.XLOOKUP(F2260,'Raw Data'!$I$4:$I$5000,'Raw Data'!$D$4:$D$5000,"*** Mnemonic not found ***",0)</f>
        <v>*** Mnemonic not found ***</v>
      </c>
      <c r="F2260" t="str">
        <f t="shared" si="512"/>
        <v>ADJTACACECAT1__</v>
      </c>
      <c r="G2260" t="s">
        <v>3043</v>
      </c>
      <c r="H2260" s="9" t="s">
        <v>276</v>
      </c>
      <c r="I2260" s="289">
        <f>ROW(section_adj_ace_tac)</f>
        <v>27</v>
      </c>
      <c r="J2260" s="9">
        <v>3</v>
      </c>
      <c r="K2260" s="9">
        <f>I2260+J2260</f>
        <v>30</v>
      </c>
      <c r="L2260" s="9" t="s">
        <v>1123</v>
      </c>
      <c r="M2260" s="9" t="str">
        <f t="shared" si="509"/>
        <v>Adjustment!D30</v>
      </c>
      <c r="N2260" s="9">
        <f>_xlfn.XLOOKUP(F2260,'Raw Data'!$I$4:$I$5000,'Raw Data'!$E$4:$E$5000,100,0)</f>
        <v>100</v>
      </c>
      <c r="O2260" s="9" t="str">
        <f>IF(N2260=0,_xlfn.XLOOKUP(F2260,'Raw Data'!$I$4:$I$5000,'Raw Data'!$H$4:$H$5000,"",0),"")</f>
        <v/>
      </c>
      <c r="P2260" s="9" t="str" cm="1">
        <f t="array" aca="1" ref="P2260" ca="1">IF(INDIRECT(M2260) = "","",INDIRECT(M2260))</f>
        <v/>
      </c>
      <c r="Q2260" s="359" t="s">
        <v>4380</v>
      </c>
    </row>
    <row r="2261" spans="1:17" x14ac:dyDescent="0.35">
      <c r="A2261" t="s">
        <v>3923</v>
      </c>
      <c r="E2261" t="str">
        <f>_xlfn.XLOOKUP(F2261,'Raw Data'!$I$4:$I$5000,'Raw Data'!$D$4:$D$5000,"*** Mnemonic not found ***",0)</f>
        <v>*** Mnemonic not found ***</v>
      </c>
      <c r="F2261" t="str">
        <f t="shared" si="512"/>
        <v>ADJTACACECAT2__</v>
      </c>
      <c r="H2261" s="9" t="s">
        <v>276</v>
      </c>
      <c r="K2261" s="9">
        <f>K2260+1</f>
        <v>31</v>
      </c>
      <c r="L2261" s="9" t="str">
        <f>L2260</f>
        <v>D</v>
      </c>
      <c r="M2261" s="9" t="str">
        <f t="shared" si="509"/>
        <v>Adjustment!D31</v>
      </c>
      <c r="N2261" s="9">
        <f>_xlfn.XLOOKUP(F2261,'Raw Data'!$I$4:$I$5000,'Raw Data'!$E$4:$E$5000,100,0)</f>
        <v>100</v>
      </c>
      <c r="O2261" s="9" t="str">
        <f>IF(N2261=0,_xlfn.XLOOKUP(F2261,'Raw Data'!$I$4:$I$5000,'Raw Data'!$H$4:$H$5000,"",0),"")</f>
        <v/>
      </c>
      <c r="P2261" s="9" t="str" cm="1">
        <f t="array" aca="1" ref="P2261" ca="1">IF(INDIRECT(M2261) = "","",INDIRECT(M2261))</f>
        <v/>
      </c>
      <c r="Q2261" s="359" t="s">
        <v>4380</v>
      </c>
    </row>
    <row r="2262" spans="1:17" x14ac:dyDescent="0.35">
      <c r="A2262" t="s">
        <v>3924</v>
      </c>
      <c r="E2262" t="str">
        <f>_xlfn.XLOOKUP(F2262,'Raw Data'!$I$4:$I$5000,'Raw Data'!$D$4:$D$5000,"*** Mnemonic not found ***",0)</f>
        <v>*** Mnemonic not found ***</v>
      </c>
      <c r="F2262" t="str">
        <f t="shared" si="512"/>
        <v>ADJTACACECAT3__</v>
      </c>
      <c r="H2262" s="9" t="s">
        <v>276</v>
      </c>
      <c r="K2262" s="9">
        <f t="shared" ref="K2262:K2279" si="513">K2261+1</f>
        <v>32</v>
      </c>
      <c r="L2262" s="9" t="str">
        <f t="shared" ref="L2262:L2279" si="514">L2261</f>
        <v>D</v>
      </c>
      <c r="M2262" s="9" t="str">
        <f t="shared" si="509"/>
        <v>Adjustment!D32</v>
      </c>
      <c r="N2262" s="9">
        <f>_xlfn.XLOOKUP(F2262,'Raw Data'!$I$4:$I$5000,'Raw Data'!$E$4:$E$5000,100,0)</f>
        <v>100</v>
      </c>
      <c r="O2262" s="9" t="str">
        <f>IF(N2262=0,_xlfn.XLOOKUP(F2262,'Raw Data'!$I$4:$I$5000,'Raw Data'!$H$4:$H$5000,"",0),"")</f>
        <v/>
      </c>
      <c r="P2262" s="9" t="str" cm="1">
        <f t="array" aca="1" ref="P2262" ca="1">IF(INDIRECT(M2262) = "","",INDIRECT(M2262))</f>
        <v/>
      </c>
      <c r="Q2262" s="359" t="s">
        <v>4380</v>
      </c>
    </row>
    <row r="2263" spans="1:17" x14ac:dyDescent="0.35">
      <c r="A2263" t="s">
        <v>3925</v>
      </c>
      <c r="E2263" t="str">
        <f>_xlfn.XLOOKUP(F2263,'Raw Data'!$I$4:$I$5000,'Raw Data'!$D$4:$D$5000,"*** Mnemonic not found ***",0)</f>
        <v>*** Mnemonic not found ***</v>
      </c>
      <c r="F2263" t="str">
        <f t="shared" si="512"/>
        <v>ADJTACACECAT4__</v>
      </c>
      <c r="H2263" s="9" t="s">
        <v>276</v>
      </c>
      <c r="K2263" s="9">
        <f t="shared" si="513"/>
        <v>33</v>
      </c>
      <c r="L2263" s="9" t="str">
        <f t="shared" si="514"/>
        <v>D</v>
      </c>
      <c r="M2263" s="9" t="str">
        <f t="shared" si="509"/>
        <v>Adjustment!D33</v>
      </c>
      <c r="N2263" s="9">
        <f>_xlfn.XLOOKUP(F2263,'Raw Data'!$I$4:$I$5000,'Raw Data'!$E$4:$E$5000,100,0)</f>
        <v>100</v>
      </c>
      <c r="O2263" s="9" t="str">
        <f>IF(N2263=0,_xlfn.XLOOKUP(F2263,'Raw Data'!$I$4:$I$5000,'Raw Data'!$H$4:$H$5000,"",0),"")</f>
        <v/>
      </c>
      <c r="P2263" s="9" t="str" cm="1">
        <f t="array" aca="1" ref="P2263" ca="1">IF(INDIRECT(M2263) = "","",INDIRECT(M2263))</f>
        <v/>
      </c>
      <c r="Q2263" s="359" t="s">
        <v>4380</v>
      </c>
    </row>
    <row r="2264" spans="1:17" x14ac:dyDescent="0.35">
      <c r="A2264" t="s">
        <v>3926</v>
      </c>
      <c r="E2264" t="str">
        <f>_xlfn.XLOOKUP(F2264,'Raw Data'!$I$4:$I$5000,'Raw Data'!$D$4:$D$5000,"*** Mnemonic not found ***",0)</f>
        <v>*** Mnemonic not found ***</v>
      </c>
      <c r="F2264" t="str">
        <f t="shared" si="512"/>
        <v>ADJTACACECAT5__</v>
      </c>
      <c r="H2264" s="9" t="s">
        <v>276</v>
      </c>
      <c r="K2264" s="9">
        <f t="shared" si="513"/>
        <v>34</v>
      </c>
      <c r="L2264" s="9" t="str">
        <f t="shared" si="514"/>
        <v>D</v>
      </c>
      <c r="M2264" s="9" t="str">
        <f t="shared" si="509"/>
        <v>Adjustment!D34</v>
      </c>
      <c r="N2264" s="9">
        <f>_xlfn.XLOOKUP(F2264,'Raw Data'!$I$4:$I$5000,'Raw Data'!$E$4:$E$5000,100,0)</f>
        <v>100</v>
      </c>
      <c r="O2264" s="9" t="str">
        <f>IF(N2264=0,_xlfn.XLOOKUP(F2264,'Raw Data'!$I$4:$I$5000,'Raw Data'!$H$4:$H$5000,"",0),"")</f>
        <v/>
      </c>
      <c r="P2264" s="9" t="str" cm="1">
        <f t="array" aca="1" ref="P2264" ca="1">IF(INDIRECT(M2264) = "","",INDIRECT(M2264))</f>
        <v/>
      </c>
      <c r="Q2264" s="359" t="s">
        <v>4380</v>
      </c>
    </row>
    <row r="2265" spans="1:17" x14ac:dyDescent="0.35">
      <c r="A2265" t="s">
        <v>3927</v>
      </c>
      <c r="E2265" t="str">
        <f>_xlfn.XLOOKUP(F2265,'Raw Data'!$I$4:$I$5000,'Raw Data'!$D$4:$D$5000,"*** Mnemonic not found ***",0)</f>
        <v>*** Mnemonic not found ***</v>
      </c>
      <c r="F2265" t="str">
        <f t="shared" si="512"/>
        <v>ADJTACACECAT6__</v>
      </c>
      <c r="H2265" s="9" t="s">
        <v>276</v>
      </c>
      <c r="K2265" s="9">
        <f t="shared" si="513"/>
        <v>35</v>
      </c>
      <c r="L2265" s="9" t="str">
        <f t="shared" si="514"/>
        <v>D</v>
      </c>
      <c r="M2265" s="9" t="str">
        <f t="shared" si="509"/>
        <v>Adjustment!D35</v>
      </c>
      <c r="N2265" s="9">
        <f>_xlfn.XLOOKUP(F2265,'Raw Data'!$I$4:$I$5000,'Raw Data'!$E$4:$E$5000,100,0)</f>
        <v>100</v>
      </c>
      <c r="O2265" s="9" t="str">
        <f>IF(N2265=0,_xlfn.XLOOKUP(F2265,'Raw Data'!$I$4:$I$5000,'Raw Data'!$H$4:$H$5000,"",0),"")</f>
        <v/>
      </c>
      <c r="P2265" s="9" t="str" cm="1">
        <f t="array" aca="1" ref="P2265" ca="1">IF(INDIRECT(M2265) = "","",INDIRECT(M2265))</f>
        <v/>
      </c>
      <c r="Q2265" s="359" t="s">
        <v>4380</v>
      </c>
    </row>
    <row r="2266" spans="1:17" x14ac:dyDescent="0.35">
      <c r="A2266" t="s">
        <v>3928</v>
      </c>
      <c r="E2266" t="str">
        <f>_xlfn.XLOOKUP(F2266,'Raw Data'!$I$4:$I$5000,'Raw Data'!$D$4:$D$5000,"*** Mnemonic not found ***",0)</f>
        <v>*** Mnemonic not found ***</v>
      </c>
      <c r="F2266" t="str">
        <f t="shared" si="512"/>
        <v>ADJTACACECAT7__</v>
      </c>
      <c r="H2266" s="9" t="s">
        <v>276</v>
      </c>
      <c r="K2266" s="9">
        <f t="shared" si="513"/>
        <v>36</v>
      </c>
      <c r="L2266" s="9" t="str">
        <f t="shared" si="514"/>
        <v>D</v>
      </c>
      <c r="M2266" s="9" t="str">
        <f t="shared" si="509"/>
        <v>Adjustment!D36</v>
      </c>
      <c r="N2266" s="9">
        <f>_xlfn.XLOOKUP(F2266,'Raw Data'!$I$4:$I$5000,'Raw Data'!$E$4:$E$5000,100,0)</f>
        <v>100</v>
      </c>
      <c r="O2266" s="9" t="str">
        <f>IF(N2266=0,_xlfn.XLOOKUP(F2266,'Raw Data'!$I$4:$I$5000,'Raw Data'!$H$4:$H$5000,"",0),"")</f>
        <v/>
      </c>
      <c r="P2266" s="9" t="str" cm="1">
        <f t="array" aca="1" ref="P2266" ca="1">IF(INDIRECT(M2266) = "","",INDIRECT(M2266))</f>
        <v/>
      </c>
      <c r="Q2266" s="359" t="s">
        <v>4380</v>
      </c>
    </row>
    <row r="2267" spans="1:17" x14ac:dyDescent="0.35">
      <c r="A2267" t="s">
        <v>3929</v>
      </c>
      <c r="E2267" t="str">
        <f>_xlfn.XLOOKUP(F2267,'Raw Data'!$I$4:$I$5000,'Raw Data'!$D$4:$D$5000,"*** Mnemonic not found ***",0)</f>
        <v>*** Mnemonic not found ***</v>
      </c>
      <c r="F2267" t="str">
        <f t="shared" si="512"/>
        <v>ADJTACACECAT8__</v>
      </c>
      <c r="H2267" s="9" t="s">
        <v>276</v>
      </c>
      <c r="K2267" s="9">
        <f t="shared" si="513"/>
        <v>37</v>
      </c>
      <c r="L2267" s="9" t="str">
        <f t="shared" si="514"/>
        <v>D</v>
      </c>
      <c r="M2267" s="9" t="str">
        <f t="shared" si="509"/>
        <v>Adjustment!D37</v>
      </c>
      <c r="N2267" s="9">
        <f>_xlfn.XLOOKUP(F2267,'Raw Data'!$I$4:$I$5000,'Raw Data'!$E$4:$E$5000,100,0)</f>
        <v>100</v>
      </c>
      <c r="O2267" s="9" t="str">
        <f>IF(N2267=0,_xlfn.XLOOKUP(F2267,'Raw Data'!$I$4:$I$5000,'Raw Data'!$H$4:$H$5000,"",0),"")</f>
        <v/>
      </c>
      <c r="P2267" s="9" t="str" cm="1">
        <f t="array" aca="1" ref="P2267" ca="1">IF(INDIRECT(M2267) = "","",INDIRECT(M2267))</f>
        <v/>
      </c>
      <c r="Q2267" s="359" t="s">
        <v>4380</v>
      </c>
    </row>
    <row r="2268" spans="1:17" x14ac:dyDescent="0.35">
      <c r="A2268" t="s">
        <v>3930</v>
      </c>
      <c r="E2268" t="str">
        <f>_xlfn.XLOOKUP(F2268,'Raw Data'!$I$4:$I$5000,'Raw Data'!$D$4:$D$5000,"*** Mnemonic not found ***",0)</f>
        <v>*** Mnemonic not found ***</v>
      </c>
      <c r="F2268" t="str">
        <f t="shared" si="512"/>
        <v>ADJTACACECAT9__</v>
      </c>
      <c r="H2268" s="9" t="s">
        <v>276</v>
      </c>
      <c r="K2268" s="9">
        <f t="shared" si="513"/>
        <v>38</v>
      </c>
      <c r="L2268" s="9" t="str">
        <f t="shared" si="514"/>
        <v>D</v>
      </c>
      <c r="M2268" s="9" t="str">
        <f t="shared" si="509"/>
        <v>Adjustment!D38</v>
      </c>
      <c r="N2268" s="9">
        <f>_xlfn.XLOOKUP(F2268,'Raw Data'!$I$4:$I$5000,'Raw Data'!$E$4:$E$5000,100,0)</f>
        <v>100</v>
      </c>
      <c r="O2268" s="9" t="str">
        <f>IF(N2268=0,_xlfn.XLOOKUP(F2268,'Raw Data'!$I$4:$I$5000,'Raw Data'!$H$4:$H$5000,"",0),"")</f>
        <v/>
      </c>
      <c r="P2268" s="9" t="str" cm="1">
        <f t="array" aca="1" ref="P2268" ca="1">IF(INDIRECT(M2268) = "","",INDIRECT(M2268))</f>
        <v/>
      </c>
      <c r="Q2268" s="359" t="s">
        <v>4380</v>
      </c>
    </row>
    <row r="2269" spans="1:17" x14ac:dyDescent="0.35">
      <c r="A2269" t="s">
        <v>3931</v>
      </c>
      <c r="E2269" t="str">
        <f>_xlfn.XLOOKUP(F2269,'Raw Data'!$I$4:$I$5000,'Raw Data'!$D$4:$D$5000,"*** Mnemonic not found ***",0)</f>
        <v>*** Mnemonic not found ***</v>
      </c>
      <c r="F2269" t="str">
        <f t="shared" si="512"/>
        <v>ADJTACACECAT10__</v>
      </c>
      <c r="H2269" s="9" t="s">
        <v>276</v>
      </c>
      <c r="K2269" s="9">
        <f t="shared" si="513"/>
        <v>39</v>
      </c>
      <c r="L2269" s="9" t="str">
        <f t="shared" si="514"/>
        <v>D</v>
      </c>
      <c r="M2269" s="9" t="str">
        <f t="shared" si="509"/>
        <v>Adjustment!D39</v>
      </c>
      <c r="N2269" s="9">
        <f>_xlfn.XLOOKUP(F2269,'Raw Data'!$I$4:$I$5000,'Raw Data'!$E$4:$E$5000,100,0)</f>
        <v>100</v>
      </c>
      <c r="O2269" s="9" t="str">
        <f>IF(N2269=0,_xlfn.XLOOKUP(F2269,'Raw Data'!$I$4:$I$5000,'Raw Data'!$H$4:$H$5000,"",0),"")</f>
        <v/>
      </c>
      <c r="P2269" s="9" t="str" cm="1">
        <f t="array" aca="1" ref="P2269" ca="1">IF(INDIRECT(M2269) = "","",INDIRECT(M2269))</f>
        <v/>
      </c>
      <c r="Q2269" s="359" t="s">
        <v>4380</v>
      </c>
    </row>
    <row r="2270" spans="1:17" x14ac:dyDescent="0.35">
      <c r="A2270" t="s">
        <v>3932</v>
      </c>
      <c r="E2270" t="str">
        <f>_xlfn.XLOOKUP(F2270,'Raw Data'!$I$4:$I$5000,'Raw Data'!$D$4:$D$5000,"*** Mnemonic not found ***",0)</f>
        <v>*** Mnemonic not found ***</v>
      </c>
      <c r="F2270" t="str">
        <f t="shared" si="512"/>
        <v>ADJTACACECAT11__</v>
      </c>
      <c r="H2270" s="9" t="s">
        <v>276</v>
      </c>
      <c r="K2270" s="9">
        <f t="shared" si="513"/>
        <v>40</v>
      </c>
      <c r="L2270" s="9" t="str">
        <f t="shared" si="514"/>
        <v>D</v>
      </c>
      <c r="M2270" s="9" t="str">
        <f t="shared" si="509"/>
        <v>Adjustment!D40</v>
      </c>
      <c r="N2270" s="9">
        <f>_xlfn.XLOOKUP(F2270,'Raw Data'!$I$4:$I$5000,'Raw Data'!$E$4:$E$5000,100,0)</f>
        <v>100</v>
      </c>
      <c r="O2270" s="9" t="str">
        <f>IF(N2270=0,_xlfn.XLOOKUP(F2270,'Raw Data'!$I$4:$I$5000,'Raw Data'!$H$4:$H$5000,"",0),"")</f>
        <v/>
      </c>
      <c r="P2270" s="9" t="str" cm="1">
        <f t="array" aca="1" ref="P2270" ca="1">IF(INDIRECT(M2270) = "","",INDIRECT(M2270))</f>
        <v/>
      </c>
      <c r="Q2270" s="359" t="s">
        <v>4380</v>
      </c>
    </row>
    <row r="2271" spans="1:17" x14ac:dyDescent="0.35">
      <c r="A2271" t="s">
        <v>3933</v>
      </c>
      <c r="E2271" t="str">
        <f>_xlfn.XLOOKUP(F2271,'Raw Data'!$I$4:$I$5000,'Raw Data'!$D$4:$D$5000,"*** Mnemonic not found ***",0)</f>
        <v>*** Mnemonic not found ***</v>
      </c>
      <c r="F2271" t="str">
        <f t="shared" si="512"/>
        <v>ADJTACACECAT12__</v>
      </c>
      <c r="H2271" s="9" t="s">
        <v>276</v>
      </c>
      <c r="K2271" s="9">
        <f t="shared" si="513"/>
        <v>41</v>
      </c>
      <c r="L2271" s="9" t="str">
        <f t="shared" si="514"/>
        <v>D</v>
      </c>
      <c r="M2271" s="9" t="str">
        <f t="shared" si="509"/>
        <v>Adjustment!D41</v>
      </c>
      <c r="N2271" s="9">
        <f>_xlfn.XLOOKUP(F2271,'Raw Data'!$I$4:$I$5000,'Raw Data'!$E$4:$E$5000,100,0)</f>
        <v>100</v>
      </c>
      <c r="O2271" s="9" t="str">
        <f>IF(N2271=0,_xlfn.XLOOKUP(F2271,'Raw Data'!$I$4:$I$5000,'Raw Data'!$H$4:$H$5000,"",0),"")</f>
        <v/>
      </c>
      <c r="P2271" s="9" t="str" cm="1">
        <f t="array" aca="1" ref="P2271" ca="1">IF(INDIRECT(M2271) = "","",INDIRECT(M2271))</f>
        <v/>
      </c>
      <c r="Q2271" s="359" t="s">
        <v>4380</v>
      </c>
    </row>
    <row r="2272" spans="1:17" x14ac:dyDescent="0.35">
      <c r="A2272" t="s">
        <v>3934</v>
      </c>
      <c r="E2272" t="str">
        <f>_xlfn.XLOOKUP(F2272,'Raw Data'!$I$4:$I$5000,'Raw Data'!$D$4:$D$5000,"*** Mnemonic not found ***",0)</f>
        <v>*** Mnemonic not found ***</v>
      </c>
      <c r="F2272" t="str">
        <f t="shared" si="512"/>
        <v>ADJTACACECAT13__</v>
      </c>
      <c r="H2272" s="9" t="s">
        <v>276</v>
      </c>
      <c r="K2272" s="9">
        <f t="shared" si="513"/>
        <v>42</v>
      </c>
      <c r="L2272" s="9" t="str">
        <f t="shared" si="514"/>
        <v>D</v>
      </c>
      <c r="M2272" s="9" t="str">
        <f t="shared" si="509"/>
        <v>Adjustment!D42</v>
      </c>
      <c r="N2272" s="9">
        <f>_xlfn.XLOOKUP(F2272,'Raw Data'!$I$4:$I$5000,'Raw Data'!$E$4:$E$5000,100,0)</f>
        <v>100</v>
      </c>
      <c r="O2272" s="9" t="str">
        <f>IF(N2272=0,_xlfn.XLOOKUP(F2272,'Raw Data'!$I$4:$I$5000,'Raw Data'!$H$4:$H$5000,"",0),"")</f>
        <v/>
      </c>
      <c r="P2272" s="9" t="str" cm="1">
        <f t="array" aca="1" ref="P2272" ca="1">IF(INDIRECT(M2272) = "","",INDIRECT(M2272))</f>
        <v/>
      </c>
      <c r="Q2272" s="359" t="s">
        <v>4380</v>
      </c>
    </row>
    <row r="2273" spans="1:17" x14ac:dyDescent="0.35">
      <c r="A2273" t="s">
        <v>3935</v>
      </c>
      <c r="E2273" t="str">
        <f>_xlfn.XLOOKUP(F2273,'Raw Data'!$I$4:$I$5000,'Raw Data'!$D$4:$D$5000,"*** Mnemonic not found ***",0)</f>
        <v>*** Mnemonic not found ***</v>
      </c>
      <c r="F2273" t="str">
        <f t="shared" si="512"/>
        <v>ADJTACACECAT14__</v>
      </c>
      <c r="H2273" s="9" t="s">
        <v>276</v>
      </c>
      <c r="K2273" s="9">
        <f t="shared" si="513"/>
        <v>43</v>
      </c>
      <c r="L2273" s="9" t="str">
        <f t="shared" si="514"/>
        <v>D</v>
      </c>
      <c r="M2273" s="9" t="str">
        <f t="shared" si="509"/>
        <v>Adjustment!D43</v>
      </c>
      <c r="N2273" s="9">
        <f>_xlfn.XLOOKUP(F2273,'Raw Data'!$I$4:$I$5000,'Raw Data'!$E$4:$E$5000,100,0)</f>
        <v>100</v>
      </c>
      <c r="O2273" s="9" t="str">
        <f>IF(N2273=0,_xlfn.XLOOKUP(F2273,'Raw Data'!$I$4:$I$5000,'Raw Data'!$H$4:$H$5000,"",0),"")</f>
        <v/>
      </c>
      <c r="P2273" s="9" t="str" cm="1">
        <f t="array" aca="1" ref="P2273" ca="1">IF(INDIRECT(M2273) = "","",INDIRECT(M2273))</f>
        <v/>
      </c>
      <c r="Q2273" s="359" t="s">
        <v>4380</v>
      </c>
    </row>
    <row r="2274" spans="1:17" x14ac:dyDescent="0.35">
      <c r="A2274" t="s">
        <v>3936</v>
      </c>
      <c r="E2274" t="str">
        <f>_xlfn.XLOOKUP(F2274,'Raw Data'!$I$4:$I$5000,'Raw Data'!$D$4:$D$5000,"*** Mnemonic not found ***",0)</f>
        <v>*** Mnemonic not found ***</v>
      </c>
      <c r="F2274" t="str">
        <f t="shared" si="512"/>
        <v>ADJTACACECAT15__</v>
      </c>
      <c r="H2274" s="9" t="s">
        <v>276</v>
      </c>
      <c r="K2274" s="9">
        <f t="shared" si="513"/>
        <v>44</v>
      </c>
      <c r="L2274" s="9" t="str">
        <f t="shared" si="514"/>
        <v>D</v>
      </c>
      <c r="M2274" s="9" t="str">
        <f t="shared" si="509"/>
        <v>Adjustment!D44</v>
      </c>
      <c r="N2274" s="9">
        <f>_xlfn.XLOOKUP(F2274,'Raw Data'!$I$4:$I$5000,'Raw Data'!$E$4:$E$5000,100,0)</f>
        <v>100</v>
      </c>
      <c r="O2274" s="9" t="str">
        <f>IF(N2274=0,_xlfn.XLOOKUP(F2274,'Raw Data'!$I$4:$I$5000,'Raw Data'!$H$4:$H$5000,"",0),"")</f>
        <v/>
      </c>
      <c r="P2274" s="9" t="str" cm="1">
        <f t="array" aca="1" ref="P2274" ca="1">IF(INDIRECT(M2274) = "","",INDIRECT(M2274))</f>
        <v/>
      </c>
      <c r="Q2274" s="359" t="s">
        <v>4380</v>
      </c>
    </row>
    <row r="2275" spans="1:17" x14ac:dyDescent="0.35">
      <c r="A2275" t="s">
        <v>3937</v>
      </c>
      <c r="E2275" t="str">
        <f>_xlfn.XLOOKUP(F2275,'Raw Data'!$I$4:$I$5000,'Raw Data'!$D$4:$D$5000,"*** Mnemonic not found ***",0)</f>
        <v>*** Mnemonic not found ***</v>
      </c>
      <c r="F2275" t="str">
        <f t="shared" si="512"/>
        <v>ADJTACACECAT16__</v>
      </c>
      <c r="H2275" s="9" t="s">
        <v>276</v>
      </c>
      <c r="K2275" s="9">
        <f t="shared" si="513"/>
        <v>45</v>
      </c>
      <c r="L2275" s="9" t="str">
        <f t="shared" si="514"/>
        <v>D</v>
      </c>
      <c r="M2275" s="9" t="str">
        <f t="shared" si="509"/>
        <v>Adjustment!D45</v>
      </c>
      <c r="N2275" s="9">
        <f>_xlfn.XLOOKUP(F2275,'Raw Data'!$I$4:$I$5000,'Raw Data'!$E$4:$E$5000,100,0)</f>
        <v>100</v>
      </c>
      <c r="O2275" s="9" t="str">
        <f>IF(N2275=0,_xlfn.XLOOKUP(F2275,'Raw Data'!$I$4:$I$5000,'Raw Data'!$H$4:$H$5000,"",0),"")</f>
        <v/>
      </c>
      <c r="P2275" s="9" t="str" cm="1">
        <f t="array" aca="1" ref="P2275" ca="1">IF(INDIRECT(M2275) = "","",INDIRECT(M2275))</f>
        <v/>
      </c>
      <c r="Q2275" s="359" t="s">
        <v>4380</v>
      </c>
    </row>
    <row r="2276" spans="1:17" x14ac:dyDescent="0.35">
      <c r="A2276" t="s">
        <v>3938</v>
      </c>
      <c r="E2276" t="str">
        <f>_xlfn.XLOOKUP(F2276,'Raw Data'!$I$4:$I$5000,'Raw Data'!$D$4:$D$5000,"*** Mnemonic not found ***",0)</f>
        <v>*** Mnemonic not found ***</v>
      </c>
      <c r="F2276" t="str">
        <f t="shared" si="512"/>
        <v>ADJTACACECAT17__</v>
      </c>
      <c r="H2276" s="9" t="s">
        <v>276</v>
      </c>
      <c r="K2276" s="9">
        <f t="shared" si="513"/>
        <v>46</v>
      </c>
      <c r="L2276" s="9" t="str">
        <f t="shared" si="514"/>
        <v>D</v>
      </c>
      <c r="M2276" s="9" t="str">
        <f t="shared" si="509"/>
        <v>Adjustment!D46</v>
      </c>
      <c r="N2276" s="9">
        <f>_xlfn.XLOOKUP(F2276,'Raw Data'!$I$4:$I$5000,'Raw Data'!$E$4:$E$5000,100,0)</f>
        <v>100</v>
      </c>
      <c r="O2276" s="9" t="str">
        <f>IF(N2276=0,_xlfn.XLOOKUP(F2276,'Raw Data'!$I$4:$I$5000,'Raw Data'!$H$4:$H$5000,"",0),"")</f>
        <v/>
      </c>
      <c r="P2276" s="9" t="str" cm="1">
        <f t="array" aca="1" ref="P2276" ca="1">IF(INDIRECT(M2276) = "","",INDIRECT(M2276))</f>
        <v/>
      </c>
      <c r="Q2276" s="359" t="s">
        <v>4380</v>
      </c>
    </row>
    <row r="2277" spans="1:17" x14ac:dyDescent="0.35">
      <c r="A2277" t="s">
        <v>3939</v>
      </c>
      <c r="E2277" t="str">
        <f>_xlfn.XLOOKUP(F2277,'Raw Data'!$I$4:$I$5000,'Raw Data'!$D$4:$D$5000,"*** Mnemonic not found ***",0)</f>
        <v>*** Mnemonic not found ***</v>
      </c>
      <c r="F2277" t="str">
        <f t="shared" si="512"/>
        <v>ADJTACACECAT18__</v>
      </c>
      <c r="H2277" s="9" t="s">
        <v>276</v>
      </c>
      <c r="K2277" s="9">
        <f t="shared" si="513"/>
        <v>47</v>
      </c>
      <c r="L2277" s="9" t="str">
        <f t="shared" si="514"/>
        <v>D</v>
      </c>
      <c r="M2277" s="9" t="str">
        <f t="shared" si="509"/>
        <v>Adjustment!D47</v>
      </c>
      <c r="N2277" s="9">
        <f>_xlfn.XLOOKUP(F2277,'Raw Data'!$I$4:$I$5000,'Raw Data'!$E$4:$E$5000,100,0)</f>
        <v>100</v>
      </c>
      <c r="O2277" s="9" t="str">
        <f>IF(N2277=0,_xlfn.XLOOKUP(F2277,'Raw Data'!$I$4:$I$5000,'Raw Data'!$H$4:$H$5000,"",0),"")</f>
        <v/>
      </c>
      <c r="P2277" s="9" t="str" cm="1">
        <f t="array" aca="1" ref="P2277" ca="1">IF(INDIRECT(M2277) = "","",INDIRECT(M2277))</f>
        <v/>
      </c>
      <c r="Q2277" s="359" t="s">
        <v>4380</v>
      </c>
    </row>
    <row r="2278" spans="1:17" x14ac:dyDescent="0.35">
      <c r="A2278" t="s">
        <v>3940</v>
      </c>
      <c r="E2278" t="str">
        <f>_xlfn.XLOOKUP(F2278,'Raw Data'!$I$4:$I$5000,'Raw Data'!$D$4:$D$5000,"*** Mnemonic not found ***",0)</f>
        <v>*** Mnemonic not found ***</v>
      </c>
      <c r="F2278" t="str">
        <f t="shared" si="512"/>
        <v>ADJTACACECAT19__</v>
      </c>
      <c r="H2278" s="9" t="s">
        <v>276</v>
      </c>
      <c r="K2278" s="9">
        <f t="shared" si="513"/>
        <v>48</v>
      </c>
      <c r="L2278" s="9" t="str">
        <f t="shared" si="514"/>
        <v>D</v>
      </c>
      <c r="M2278" s="9" t="str">
        <f t="shared" si="509"/>
        <v>Adjustment!D48</v>
      </c>
      <c r="N2278" s="9">
        <f>_xlfn.XLOOKUP(F2278,'Raw Data'!$I$4:$I$5000,'Raw Data'!$E$4:$E$5000,100,0)</f>
        <v>100</v>
      </c>
      <c r="O2278" s="9" t="str">
        <f>IF(N2278=0,_xlfn.XLOOKUP(F2278,'Raw Data'!$I$4:$I$5000,'Raw Data'!$H$4:$H$5000,"",0),"")</f>
        <v/>
      </c>
      <c r="P2278" s="9" t="str" cm="1">
        <f t="array" aca="1" ref="P2278" ca="1">IF(INDIRECT(M2278) = "","",INDIRECT(M2278))</f>
        <v/>
      </c>
      <c r="Q2278" s="359" t="s">
        <v>4380</v>
      </c>
    </row>
    <row r="2279" spans="1:17" x14ac:dyDescent="0.35">
      <c r="A2279" t="s">
        <v>3941</v>
      </c>
      <c r="E2279" t="str">
        <f>_xlfn.XLOOKUP(F2279,'Raw Data'!$I$4:$I$5000,'Raw Data'!$D$4:$D$5000,"*** Mnemonic not found ***",0)</f>
        <v>*** Mnemonic not found ***</v>
      </c>
      <c r="F2279" t="str">
        <f t="shared" si="512"/>
        <v>ADJTACACECAT20__</v>
      </c>
      <c r="H2279" s="9" t="s">
        <v>276</v>
      </c>
      <c r="K2279" s="9">
        <f t="shared" si="513"/>
        <v>49</v>
      </c>
      <c r="L2279" s="9" t="str">
        <f t="shared" si="514"/>
        <v>D</v>
      </c>
      <c r="M2279" s="9" t="str">
        <f t="shared" si="509"/>
        <v>Adjustment!D49</v>
      </c>
      <c r="N2279" s="9">
        <f>_xlfn.XLOOKUP(F2279,'Raw Data'!$I$4:$I$5000,'Raw Data'!$E$4:$E$5000,100,0)</f>
        <v>100</v>
      </c>
      <c r="O2279" s="9" t="str">
        <f>IF(N2279=0,_xlfn.XLOOKUP(F2279,'Raw Data'!$I$4:$I$5000,'Raw Data'!$H$4:$H$5000,"",0),"")</f>
        <v/>
      </c>
      <c r="P2279" s="9" t="str" cm="1">
        <f t="array" aca="1" ref="P2279" ca="1">IF(INDIRECT(M2279) = "","",INDIRECT(M2279))</f>
        <v/>
      </c>
      <c r="Q2279" s="359" t="s">
        <v>4380</v>
      </c>
    </row>
    <row r="2280" spans="1:17" x14ac:dyDescent="0.35">
      <c r="A2280" t="s">
        <v>3942</v>
      </c>
      <c r="E2280" t="str">
        <f>_xlfn.XLOOKUP(F2280,'Raw Data'!$I$4:$I$5000,'Raw Data'!$D$4:$D$5000,"*** Mnemonic not found ***",0)</f>
        <v>*** Mnemonic not found ***</v>
      </c>
      <c r="F2280" t="str">
        <f t="shared" si="512"/>
        <v>ADJTACACEAMT1__</v>
      </c>
      <c r="H2280" s="9" t="s">
        <v>276</v>
      </c>
      <c r="K2280" s="9">
        <f>K2260</f>
        <v>30</v>
      </c>
      <c r="L2280" s="9" t="s">
        <v>1122</v>
      </c>
      <c r="M2280" s="9" t="str">
        <f t="shared" si="509"/>
        <v>Adjustment!E30</v>
      </c>
      <c r="N2280" s="9">
        <f>_xlfn.XLOOKUP(F2280,'Raw Data'!$I$4:$I$5000,'Raw Data'!$E$4:$E$5000,100,0)</f>
        <v>100</v>
      </c>
      <c r="O2280" s="9" t="str">
        <f>IF(N2280=0,_xlfn.XLOOKUP(F2280,'Raw Data'!$I$4:$I$5000,'Raw Data'!$H$4:$H$5000,"",0),"")</f>
        <v/>
      </c>
      <c r="P2280" s="9" t="str" cm="1">
        <f t="array" aca="1" ref="P2280" ca="1">IF(INDIRECT(M2280) = "","",INDIRECT(M2280))</f>
        <v/>
      </c>
      <c r="Q2280" s="359" t="s">
        <v>4381</v>
      </c>
    </row>
    <row r="2281" spans="1:17" x14ac:dyDescent="0.35">
      <c r="A2281" t="s">
        <v>3943</v>
      </c>
      <c r="E2281" t="str">
        <f>_xlfn.XLOOKUP(F2281,'Raw Data'!$I$4:$I$5000,'Raw Data'!$D$4:$D$5000,"*** Mnemonic not found ***",0)</f>
        <v>*** Mnemonic not found ***</v>
      </c>
      <c r="F2281" t="str">
        <f t="shared" si="512"/>
        <v>ADJTACACEAMT2__</v>
      </c>
      <c r="H2281" s="9" t="s">
        <v>276</v>
      </c>
      <c r="K2281" s="9">
        <f>K2280+1</f>
        <v>31</v>
      </c>
      <c r="L2281" s="9" t="str">
        <f>L2280</f>
        <v>E</v>
      </c>
      <c r="M2281" s="9" t="str">
        <f t="shared" si="509"/>
        <v>Adjustment!E31</v>
      </c>
      <c r="N2281" s="9">
        <f>_xlfn.XLOOKUP(F2281,'Raw Data'!$I$4:$I$5000,'Raw Data'!$E$4:$E$5000,100,0)</f>
        <v>100</v>
      </c>
      <c r="O2281" s="9" t="str">
        <f>IF(N2281=0,_xlfn.XLOOKUP(F2281,'Raw Data'!$I$4:$I$5000,'Raw Data'!$H$4:$H$5000,"",0),"")</f>
        <v/>
      </c>
      <c r="P2281" s="9" t="str" cm="1">
        <f t="array" aca="1" ref="P2281" ca="1">IF(INDIRECT(M2281) = "","",INDIRECT(M2281))</f>
        <v/>
      </c>
      <c r="Q2281" s="359" t="s">
        <v>4381</v>
      </c>
    </row>
    <row r="2282" spans="1:17" x14ac:dyDescent="0.35">
      <c r="A2282" t="s">
        <v>3944</v>
      </c>
      <c r="E2282" t="str">
        <f>_xlfn.XLOOKUP(F2282,'Raw Data'!$I$4:$I$5000,'Raw Data'!$D$4:$D$5000,"*** Mnemonic not found ***",0)</f>
        <v>*** Mnemonic not found ***</v>
      </c>
      <c r="F2282" t="str">
        <f t="shared" si="512"/>
        <v>ADJTACACEAMT3__</v>
      </c>
      <c r="H2282" s="9" t="s">
        <v>276</v>
      </c>
      <c r="K2282" s="9">
        <f t="shared" ref="K2282:K2299" si="515">K2281+1</f>
        <v>32</v>
      </c>
      <c r="L2282" s="9" t="str">
        <f t="shared" ref="L2282:L2299" si="516">L2281</f>
        <v>E</v>
      </c>
      <c r="M2282" s="9" t="str">
        <f t="shared" si="509"/>
        <v>Adjustment!E32</v>
      </c>
      <c r="N2282" s="9">
        <f>_xlfn.XLOOKUP(F2282,'Raw Data'!$I$4:$I$5000,'Raw Data'!$E$4:$E$5000,100,0)</f>
        <v>100</v>
      </c>
      <c r="O2282" s="9" t="str">
        <f>IF(N2282=0,_xlfn.XLOOKUP(F2282,'Raw Data'!$I$4:$I$5000,'Raw Data'!$H$4:$H$5000,"",0),"")</f>
        <v/>
      </c>
      <c r="P2282" s="9" t="str" cm="1">
        <f t="array" aca="1" ref="P2282" ca="1">IF(INDIRECT(M2282) = "","",INDIRECT(M2282))</f>
        <v/>
      </c>
      <c r="Q2282" s="359" t="s">
        <v>4381</v>
      </c>
    </row>
    <row r="2283" spans="1:17" x14ac:dyDescent="0.35">
      <c r="A2283" t="s">
        <v>3945</v>
      </c>
      <c r="E2283" t="str">
        <f>_xlfn.XLOOKUP(F2283,'Raw Data'!$I$4:$I$5000,'Raw Data'!$D$4:$D$5000,"*** Mnemonic not found ***",0)</f>
        <v>*** Mnemonic not found ***</v>
      </c>
      <c r="F2283" t="str">
        <f t="shared" si="512"/>
        <v>ADJTACACEAMT4__</v>
      </c>
      <c r="H2283" s="9" t="s">
        <v>276</v>
      </c>
      <c r="K2283" s="9">
        <f t="shared" si="515"/>
        <v>33</v>
      </c>
      <c r="L2283" s="9" t="str">
        <f t="shared" si="516"/>
        <v>E</v>
      </c>
      <c r="M2283" s="9" t="str">
        <f t="shared" si="509"/>
        <v>Adjustment!E33</v>
      </c>
      <c r="N2283" s="9">
        <f>_xlfn.XLOOKUP(F2283,'Raw Data'!$I$4:$I$5000,'Raw Data'!$E$4:$E$5000,100,0)</f>
        <v>100</v>
      </c>
      <c r="O2283" s="9" t="str">
        <f>IF(N2283=0,_xlfn.XLOOKUP(F2283,'Raw Data'!$I$4:$I$5000,'Raw Data'!$H$4:$H$5000,"",0),"")</f>
        <v/>
      </c>
      <c r="P2283" s="9" t="str" cm="1">
        <f t="array" aca="1" ref="P2283" ca="1">IF(INDIRECT(M2283) = "","",INDIRECT(M2283))</f>
        <v/>
      </c>
      <c r="Q2283" s="359" t="s">
        <v>4381</v>
      </c>
    </row>
    <row r="2284" spans="1:17" x14ac:dyDescent="0.35">
      <c r="A2284" t="s">
        <v>3946</v>
      </c>
      <c r="E2284" t="str">
        <f>_xlfn.XLOOKUP(F2284,'Raw Data'!$I$4:$I$5000,'Raw Data'!$D$4:$D$5000,"*** Mnemonic not found ***",0)</f>
        <v>*** Mnemonic not found ***</v>
      </c>
      <c r="F2284" t="str">
        <f t="shared" si="512"/>
        <v>ADJTACACEAMT5__</v>
      </c>
      <c r="H2284" s="9" t="s">
        <v>276</v>
      </c>
      <c r="K2284" s="9">
        <f t="shared" si="515"/>
        <v>34</v>
      </c>
      <c r="L2284" s="9" t="str">
        <f t="shared" si="516"/>
        <v>E</v>
      </c>
      <c r="M2284" s="9" t="str">
        <f t="shared" si="509"/>
        <v>Adjustment!E34</v>
      </c>
      <c r="N2284" s="9">
        <f>_xlfn.XLOOKUP(F2284,'Raw Data'!$I$4:$I$5000,'Raw Data'!$E$4:$E$5000,100,0)</f>
        <v>100</v>
      </c>
      <c r="O2284" s="9" t="str">
        <f>IF(N2284=0,_xlfn.XLOOKUP(F2284,'Raw Data'!$I$4:$I$5000,'Raw Data'!$H$4:$H$5000,"",0),"")</f>
        <v/>
      </c>
      <c r="P2284" s="9" t="str" cm="1">
        <f t="array" aca="1" ref="P2284" ca="1">IF(INDIRECT(M2284) = "","",INDIRECT(M2284))</f>
        <v/>
      </c>
      <c r="Q2284" s="359" t="s">
        <v>4381</v>
      </c>
    </row>
    <row r="2285" spans="1:17" x14ac:dyDescent="0.35">
      <c r="A2285" t="s">
        <v>3947</v>
      </c>
      <c r="E2285" t="str">
        <f>_xlfn.XLOOKUP(F2285,'Raw Data'!$I$4:$I$5000,'Raw Data'!$D$4:$D$5000,"*** Mnemonic not found ***",0)</f>
        <v>*** Mnemonic not found ***</v>
      </c>
      <c r="F2285" t="str">
        <f t="shared" si="512"/>
        <v>ADJTACACEAMT6__</v>
      </c>
      <c r="H2285" s="9" t="s">
        <v>276</v>
      </c>
      <c r="K2285" s="9">
        <f t="shared" si="515"/>
        <v>35</v>
      </c>
      <c r="L2285" s="9" t="str">
        <f t="shared" si="516"/>
        <v>E</v>
      </c>
      <c r="M2285" s="9" t="str">
        <f t="shared" si="509"/>
        <v>Adjustment!E35</v>
      </c>
      <c r="N2285" s="9">
        <f>_xlfn.XLOOKUP(F2285,'Raw Data'!$I$4:$I$5000,'Raw Data'!$E$4:$E$5000,100,0)</f>
        <v>100</v>
      </c>
      <c r="O2285" s="9" t="str">
        <f>IF(N2285=0,_xlfn.XLOOKUP(F2285,'Raw Data'!$I$4:$I$5000,'Raw Data'!$H$4:$H$5000,"",0),"")</f>
        <v/>
      </c>
      <c r="P2285" s="9" t="str" cm="1">
        <f t="array" aca="1" ref="P2285" ca="1">IF(INDIRECT(M2285) = "","",INDIRECT(M2285))</f>
        <v/>
      </c>
      <c r="Q2285" s="359" t="s">
        <v>4381</v>
      </c>
    </row>
    <row r="2286" spans="1:17" x14ac:dyDescent="0.35">
      <c r="A2286" t="s">
        <v>3948</v>
      </c>
      <c r="E2286" t="str">
        <f>_xlfn.XLOOKUP(F2286,'Raw Data'!$I$4:$I$5000,'Raw Data'!$D$4:$D$5000,"*** Mnemonic not found ***",0)</f>
        <v>*** Mnemonic not found ***</v>
      </c>
      <c r="F2286" t="str">
        <f t="shared" si="512"/>
        <v>ADJTACACEAMT7__</v>
      </c>
      <c r="H2286" s="9" t="s">
        <v>276</v>
      </c>
      <c r="K2286" s="9">
        <f t="shared" si="515"/>
        <v>36</v>
      </c>
      <c r="L2286" s="9" t="str">
        <f t="shared" si="516"/>
        <v>E</v>
      </c>
      <c r="M2286" s="9" t="str">
        <f t="shared" si="509"/>
        <v>Adjustment!E36</v>
      </c>
      <c r="N2286" s="9">
        <f>_xlfn.XLOOKUP(F2286,'Raw Data'!$I$4:$I$5000,'Raw Data'!$E$4:$E$5000,100,0)</f>
        <v>100</v>
      </c>
      <c r="O2286" s="9" t="str">
        <f>IF(N2286=0,_xlfn.XLOOKUP(F2286,'Raw Data'!$I$4:$I$5000,'Raw Data'!$H$4:$H$5000,"",0),"")</f>
        <v/>
      </c>
      <c r="P2286" s="9" t="str" cm="1">
        <f t="array" aca="1" ref="P2286" ca="1">IF(INDIRECT(M2286) = "","",INDIRECT(M2286))</f>
        <v/>
      </c>
      <c r="Q2286" s="359" t="s">
        <v>4381</v>
      </c>
    </row>
    <row r="2287" spans="1:17" x14ac:dyDescent="0.35">
      <c r="A2287" t="s">
        <v>3949</v>
      </c>
      <c r="E2287" t="str">
        <f>_xlfn.XLOOKUP(F2287,'Raw Data'!$I$4:$I$5000,'Raw Data'!$D$4:$D$5000,"*** Mnemonic not found ***",0)</f>
        <v>*** Mnemonic not found ***</v>
      </c>
      <c r="F2287" t="str">
        <f t="shared" si="512"/>
        <v>ADJTACACEAMT8__</v>
      </c>
      <c r="H2287" s="9" t="s">
        <v>276</v>
      </c>
      <c r="K2287" s="9">
        <f t="shared" si="515"/>
        <v>37</v>
      </c>
      <c r="L2287" s="9" t="str">
        <f t="shared" si="516"/>
        <v>E</v>
      </c>
      <c r="M2287" s="9" t="str">
        <f t="shared" si="509"/>
        <v>Adjustment!E37</v>
      </c>
      <c r="N2287" s="9">
        <f>_xlfn.XLOOKUP(F2287,'Raw Data'!$I$4:$I$5000,'Raw Data'!$E$4:$E$5000,100,0)</f>
        <v>100</v>
      </c>
      <c r="O2287" s="9" t="str">
        <f>IF(N2287=0,_xlfn.XLOOKUP(F2287,'Raw Data'!$I$4:$I$5000,'Raw Data'!$H$4:$H$5000,"",0),"")</f>
        <v/>
      </c>
      <c r="P2287" s="9" t="str" cm="1">
        <f t="array" aca="1" ref="P2287" ca="1">IF(INDIRECT(M2287) = "","",INDIRECT(M2287))</f>
        <v/>
      </c>
      <c r="Q2287" s="359" t="s">
        <v>4381</v>
      </c>
    </row>
    <row r="2288" spans="1:17" x14ac:dyDescent="0.35">
      <c r="A2288" t="s">
        <v>3950</v>
      </c>
      <c r="E2288" t="str">
        <f>_xlfn.XLOOKUP(F2288,'Raw Data'!$I$4:$I$5000,'Raw Data'!$D$4:$D$5000,"*** Mnemonic not found ***",0)</f>
        <v>*** Mnemonic not found ***</v>
      </c>
      <c r="F2288" t="str">
        <f t="shared" si="512"/>
        <v>ADJTACACEAMT9__</v>
      </c>
      <c r="H2288" s="9" t="s">
        <v>276</v>
      </c>
      <c r="K2288" s="9">
        <f t="shared" si="515"/>
        <v>38</v>
      </c>
      <c r="L2288" s="9" t="str">
        <f t="shared" si="516"/>
        <v>E</v>
      </c>
      <c r="M2288" s="9" t="str">
        <f t="shared" si="509"/>
        <v>Adjustment!E38</v>
      </c>
      <c r="N2288" s="9">
        <f>_xlfn.XLOOKUP(F2288,'Raw Data'!$I$4:$I$5000,'Raw Data'!$E$4:$E$5000,100,0)</f>
        <v>100</v>
      </c>
      <c r="O2288" s="9" t="str">
        <f>IF(N2288=0,_xlfn.XLOOKUP(F2288,'Raw Data'!$I$4:$I$5000,'Raw Data'!$H$4:$H$5000,"",0),"")</f>
        <v/>
      </c>
      <c r="P2288" s="9" t="str" cm="1">
        <f t="array" aca="1" ref="P2288" ca="1">IF(INDIRECT(M2288) = "","",INDIRECT(M2288))</f>
        <v/>
      </c>
      <c r="Q2288" s="359" t="s">
        <v>4381</v>
      </c>
    </row>
    <row r="2289" spans="1:17" x14ac:dyDescent="0.35">
      <c r="A2289" t="s">
        <v>3951</v>
      </c>
      <c r="E2289" t="str">
        <f>_xlfn.XLOOKUP(F2289,'Raw Data'!$I$4:$I$5000,'Raw Data'!$D$4:$D$5000,"*** Mnemonic not found ***",0)</f>
        <v>*** Mnemonic not found ***</v>
      </c>
      <c r="F2289" t="str">
        <f t="shared" si="512"/>
        <v>ADJTACACEAMT10__</v>
      </c>
      <c r="H2289" s="9" t="s">
        <v>276</v>
      </c>
      <c r="K2289" s="9">
        <f t="shared" si="515"/>
        <v>39</v>
      </c>
      <c r="L2289" s="9" t="str">
        <f t="shared" si="516"/>
        <v>E</v>
      </c>
      <c r="M2289" s="9" t="str">
        <f t="shared" si="509"/>
        <v>Adjustment!E39</v>
      </c>
      <c r="N2289" s="9">
        <f>_xlfn.XLOOKUP(F2289,'Raw Data'!$I$4:$I$5000,'Raw Data'!$E$4:$E$5000,100,0)</f>
        <v>100</v>
      </c>
      <c r="O2289" s="9" t="str">
        <f>IF(N2289=0,_xlfn.XLOOKUP(F2289,'Raw Data'!$I$4:$I$5000,'Raw Data'!$H$4:$H$5000,"",0),"")</f>
        <v/>
      </c>
      <c r="P2289" s="9" t="str" cm="1">
        <f t="array" aca="1" ref="P2289" ca="1">IF(INDIRECT(M2289) = "","",INDIRECT(M2289))</f>
        <v/>
      </c>
      <c r="Q2289" s="359" t="s">
        <v>4381</v>
      </c>
    </row>
    <row r="2290" spans="1:17" x14ac:dyDescent="0.35">
      <c r="A2290" t="s">
        <v>3952</v>
      </c>
      <c r="E2290" t="str">
        <f>_xlfn.XLOOKUP(F2290,'Raw Data'!$I$4:$I$5000,'Raw Data'!$D$4:$D$5000,"*** Mnemonic not found ***",0)</f>
        <v>*** Mnemonic not found ***</v>
      </c>
      <c r="F2290" t="str">
        <f t="shared" si="512"/>
        <v>ADJTACACEAMT11__</v>
      </c>
      <c r="H2290" s="9" t="s">
        <v>276</v>
      </c>
      <c r="K2290" s="9">
        <f t="shared" si="515"/>
        <v>40</v>
      </c>
      <c r="L2290" s="9" t="str">
        <f t="shared" si="516"/>
        <v>E</v>
      </c>
      <c r="M2290" s="9" t="str">
        <f t="shared" si="509"/>
        <v>Adjustment!E40</v>
      </c>
      <c r="N2290" s="9">
        <f>_xlfn.XLOOKUP(F2290,'Raw Data'!$I$4:$I$5000,'Raw Data'!$E$4:$E$5000,100,0)</f>
        <v>100</v>
      </c>
      <c r="O2290" s="9" t="str">
        <f>IF(N2290=0,_xlfn.XLOOKUP(F2290,'Raw Data'!$I$4:$I$5000,'Raw Data'!$H$4:$H$5000,"",0),"")</f>
        <v/>
      </c>
      <c r="P2290" s="9" t="str" cm="1">
        <f t="array" aca="1" ref="P2290" ca="1">IF(INDIRECT(M2290) = "","",INDIRECT(M2290))</f>
        <v/>
      </c>
      <c r="Q2290" s="359" t="s">
        <v>4381</v>
      </c>
    </row>
    <row r="2291" spans="1:17" x14ac:dyDescent="0.35">
      <c r="A2291" t="s">
        <v>3953</v>
      </c>
      <c r="E2291" t="str">
        <f>_xlfn.XLOOKUP(F2291,'Raw Data'!$I$4:$I$5000,'Raw Data'!$D$4:$D$5000,"*** Mnemonic not found ***",0)</f>
        <v>*** Mnemonic not found ***</v>
      </c>
      <c r="F2291" t="str">
        <f t="shared" si="512"/>
        <v>ADJTACACEAMT12__</v>
      </c>
      <c r="H2291" s="9" t="s">
        <v>276</v>
      </c>
      <c r="K2291" s="9">
        <f t="shared" si="515"/>
        <v>41</v>
      </c>
      <c r="L2291" s="9" t="str">
        <f t="shared" si="516"/>
        <v>E</v>
      </c>
      <c r="M2291" s="9" t="str">
        <f t="shared" ref="M2291:M2357" si="517">CONCATENATE(H2291,"!",L2291,K2291)</f>
        <v>Adjustment!E41</v>
      </c>
      <c r="N2291" s="9">
        <f>_xlfn.XLOOKUP(F2291,'Raw Data'!$I$4:$I$5000,'Raw Data'!$E$4:$E$5000,100,0)</f>
        <v>100</v>
      </c>
      <c r="O2291" s="9" t="str">
        <f>IF(N2291=0,_xlfn.XLOOKUP(F2291,'Raw Data'!$I$4:$I$5000,'Raw Data'!$H$4:$H$5000,"",0),"")</f>
        <v/>
      </c>
      <c r="P2291" s="9" t="str" cm="1">
        <f t="array" aca="1" ref="P2291" ca="1">IF(INDIRECT(M2291) = "","",INDIRECT(M2291))</f>
        <v/>
      </c>
      <c r="Q2291" s="359" t="s">
        <v>4381</v>
      </c>
    </row>
    <row r="2292" spans="1:17" x14ac:dyDescent="0.35">
      <c r="A2292" t="s">
        <v>3954</v>
      </c>
      <c r="E2292" t="str">
        <f>_xlfn.XLOOKUP(F2292,'Raw Data'!$I$4:$I$5000,'Raw Data'!$D$4:$D$5000,"*** Mnemonic not found ***",0)</f>
        <v>*** Mnemonic not found ***</v>
      </c>
      <c r="F2292" t="str">
        <f t="shared" si="512"/>
        <v>ADJTACACEAMT13__</v>
      </c>
      <c r="H2292" s="9" t="s">
        <v>276</v>
      </c>
      <c r="K2292" s="9">
        <f t="shared" si="515"/>
        <v>42</v>
      </c>
      <c r="L2292" s="9" t="str">
        <f t="shared" si="516"/>
        <v>E</v>
      </c>
      <c r="M2292" s="9" t="str">
        <f t="shared" si="517"/>
        <v>Adjustment!E42</v>
      </c>
      <c r="N2292" s="9">
        <f>_xlfn.XLOOKUP(F2292,'Raw Data'!$I$4:$I$5000,'Raw Data'!$E$4:$E$5000,100,0)</f>
        <v>100</v>
      </c>
      <c r="O2292" s="9" t="str">
        <f>IF(N2292=0,_xlfn.XLOOKUP(F2292,'Raw Data'!$I$4:$I$5000,'Raw Data'!$H$4:$H$5000,"",0),"")</f>
        <v/>
      </c>
      <c r="P2292" s="9" t="str" cm="1">
        <f t="array" aca="1" ref="P2292" ca="1">IF(INDIRECT(M2292) = "","",INDIRECT(M2292))</f>
        <v/>
      </c>
      <c r="Q2292" s="359" t="s">
        <v>4381</v>
      </c>
    </row>
    <row r="2293" spans="1:17" x14ac:dyDescent="0.35">
      <c r="A2293" t="s">
        <v>3955</v>
      </c>
      <c r="E2293" t="str">
        <f>_xlfn.XLOOKUP(F2293,'Raw Data'!$I$4:$I$5000,'Raw Data'!$D$4:$D$5000,"*** Mnemonic not found ***",0)</f>
        <v>*** Mnemonic not found ***</v>
      </c>
      <c r="F2293" t="str">
        <f t="shared" si="512"/>
        <v>ADJTACACEAMT14__</v>
      </c>
      <c r="H2293" s="9" t="s">
        <v>276</v>
      </c>
      <c r="K2293" s="9">
        <f t="shared" si="515"/>
        <v>43</v>
      </c>
      <c r="L2293" s="9" t="str">
        <f t="shared" si="516"/>
        <v>E</v>
      </c>
      <c r="M2293" s="9" t="str">
        <f t="shared" si="517"/>
        <v>Adjustment!E43</v>
      </c>
      <c r="N2293" s="9">
        <f>_xlfn.XLOOKUP(F2293,'Raw Data'!$I$4:$I$5000,'Raw Data'!$E$4:$E$5000,100,0)</f>
        <v>100</v>
      </c>
      <c r="O2293" s="9" t="str">
        <f>IF(N2293=0,_xlfn.XLOOKUP(F2293,'Raw Data'!$I$4:$I$5000,'Raw Data'!$H$4:$H$5000,"",0),"")</f>
        <v/>
      </c>
      <c r="P2293" s="9" t="str" cm="1">
        <f t="array" aca="1" ref="P2293" ca="1">IF(INDIRECT(M2293) = "","",INDIRECT(M2293))</f>
        <v/>
      </c>
      <c r="Q2293" s="359" t="s">
        <v>4381</v>
      </c>
    </row>
    <row r="2294" spans="1:17" x14ac:dyDescent="0.35">
      <c r="A2294" t="s">
        <v>3956</v>
      </c>
      <c r="E2294" t="str">
        <f>_xlfn.XLOOKUP(F2294,'Raw Data'!$I$4:$I$5000,'Raw Data'!$D$4:$D$5000,"*** Mnemonic not found ***",0)</f>
        <v>*** Mnemonic not found ***</v>
      </c>
      <c r="F2294" t="str">
        <f t="shared" si="512"/>
        <v>ADJTACACEAMT15__</v>
      </c>
      <c r="H2294" s="9" t="s">
        <v>276</v>
      </c>
      <c r="K2294" s="9">
        <f t="shared" si="515"/>
        <v>44</v>
      </c>
      <c r="L2294" s="9" t="str">
        <f t="shared" si="516"/>
        <v>E</v>
      </c>
      <c r="M2294" s="9" t="str">
        <f t="shared" si="517"/>
        <v>Adjustment!E44</v>
      </c>
      <c r="N2294" s="9">
        <f>_xlfn.XLOOKUP(F2294,'Raw Data'!$I$4:$I$5000,'Raw Data'!$E$4:$E$5000,100,0)</f>
        <v>100</v>
      </c>
      <c r="O2294" s="9" t="str">
        <f>IF(N2294=0,_xlfn.XLOOKUP(F2294,'Raw Data'!$I$4:$I$5000,'Raw Data'!$H$4:$H$5000,"",0),"")</f>
        <v/>
      </c>
      <c r="P2294" s="9" t="str" cm="1">
        <f t="array" aca="1" ref="P2294" ca="1">IF(INDIRECT(M2294) = "","",INDIRECT(M2294))</f>
        <v/>
      </c>
      <c r="Q2294" s="359" t="s">
        <v>4381</v>
      </c>
    </row>
    <row r="2295" spans="1:17" x14ac:dyDescent="0.35">
      <c r="A2295" t="s">
        <v>3957</v>
      </c>
      <c r="E2295" t="str">
        <f>_xlfn.XLOOKUP(F2295,'Raw Data'!$I$4:$I$5000,'Raw Data'!$D$4:$D$5000,"*** Mnemonic not found ***",0)</f>
        <v>*** Mnemonic not found ***</v>
      </c>
      <c r="F2295" t="str">
        <f t="shared" si="512"/>
        <v>ADJTACACEAMT16__</v>
      </c>
      <c r="H2295" s="9" t="s">
        <v>276</v>
      </c>
      <c r="K2295" s="9">
        <f t="shared" si="515"/>
        <v>45</v>
      </c>
      <c r="L2295" s="9" t="str">
        <f t="shared" si="516"/>
        <v>E</v>
      </c>
      <c r="M2295" s="9" t="str">
        <f t="shared" si="517"/>
        <v>Adjustment!E45</v>
      </c>
      <c r="N2295" s="9">
        <f>_xlfn.XLOOKUP(F2295,'Raw Data'!$I$4:$I$5000,'Raw Data'!$E$4:$E$5000,100,0)</f>
        <v>100</v>
      </c>
      <c r="O2295" s="9" t="str">
        <f>IF(N2295=0,_xlfn.XLOOKUP(F2295,'Raw Data'!$I$4:$I$5000,'Raw Data'!$H$4:$H$5000,"",0),"")</f>
        <v/>
      </c>
      <c r="P2295" s="9" t="str" cm="1">
        <f t="array" aca="1" ref="P2295" ca="1">IF(INDIRECT(M2295) = "","",INDIRECT(M2295))</f>
        <v/>
      </c>
      <c r="Q2295" s="359" t="s">
        <v>4381</v>
      </c>
    </row>
    <row r="2296" spans="1:17" x14ac:dyDescent="0.35">
      <c r="A2296" t="s">
        <v>3958</v>
      </c>
      <c r="E2296" t="str">
        <f>_xlfn.XLOOKUP(F2296,'Raw Data'!$I$4:$I$5000,'Raw Data'!$D$4:$D$5000,"*** Mnemonic not found ***",0)</f>
        <v>*** Mnemonic not found ***</v>
      </c>
      <c r="F2296" t="str">
        <f t="shared" si="512"/>
        <v>ADJTACACEAMT17__</v>
      </c>
      <c r="H2296" s="9" t="s">
        <v>276</v>
      </c>
      <c r="K2296" s="9">
        <f t="shared" si="515"/>
        <v>46</v>
      </c>
      <c r="L2296" s="9" t="str">
        <f t="shared" si="516"/>
        <v>E</v>
      </c>
      <c r="M2296" s="9" t="str">
        <f t="shared" si="517"/>
        <v>Adjustment!E46</v>
      </c>
      <c r="N2296" s="9">
        <f>_xlfn.XLOOKUP(F2296,'Raw Data'!$I$4:$I$5000,'Raw Data'!$E$4:$E$5000,100,0)</f>
        <v>100</v>
      </c>
      <c r="O2296" s="9" t="str">
        <f>IF(N2296=0,_xlfn.XLOOKUP(F2296,'Raw Data'!$I$4:$I$5000,'Raw Data'!$H$4:$H$5000,"",0),"")</f>
        <v/>
      </c>
      <c r="P2296" s="9" t="str" cm="1">
        <f t="array" aca="1" ref="P2296" ca="1">IF(INDIRECT(M2296) = "","",INDIRECT(M2296))</f>
        <v/>
      </c>
      <c r="Q2296" s="359" t="s">
        <v>4381</v>
      </c>
    </row>
    <row r="2297" spans="1:17" x14ac:dyDescent="0.35">
      <c r="A2297" t="s">
        <v>3959</v>
      </c>
      <c r="E2297" t="str">
        <f>_xlfn.XLOOKUP(F2297,'Raw Data'!$I$4:$I$5000,'Raw Data'!$D$4:$D$5000,"*** Mnemonic not found ***",0)</f>
        <v>*** Mnemonic not found ***</v>
      </c>
      <c r="F2297" t="str">
        <f t="shared" si="512"/>
        <v>ADJTACACEAMT18__</v>
      </c>
      <c r="H2297" s="9" t="s">
        <v>276</v>
      </c>
      <c r="K2297" s="9">
        <f t="shared" si="515"/>
        <v>47</v>
      </c>
      <c r="L2297" s="9" t="str">
        <f t="shared" si="516"/>
        <v>E</v>
      </c>
      <c r="M2297" s="9" t="str">
        <f t="shared" si="517"/>
        <v>Adjustment!E47</v>
      </c>
      <c r="N2297" s="9">
        <f>_xlfn.XLOOKUP(F2297,'Raw Data'!$I$4:$I$5000,'Raw Data'!$E$4:$E$5000,100,0)</f>
        <v>100</v>
      </c>
      <c r="O2297" s="9" t="str">
        <f>IF(N2297=0,_xlfn.XLOOKUP(F2297,'Raw Data'!$I$4:$I$5000,'Raw Data'!$H$4:$H$5000,"",0),"")</f>
        <v/>
      </c>
      <c r="P2297" s="9" t="str" cm="1">
        <f t="array" aca="1" ref="P2297" ca="1">IF(INDIRECT(M2297) = "","",INDIRECT(M2297))</f>
        <v/>
      </c>
      <c r="Q2297" s="359" t="s">
        <v>4381</v>
      </c>
    </row>
    <row r="2298" spans="1:17" x14ac:dyDescent="0.35">
      <c r="A2298" t="s">
        <v>3960</v>
      </c>
      <c r="E2298" t="str">
        <f>_xlfn.XLOOKUP(F2298,'Raw Data'!$I$4:$I$5000,'Raw Data'!$D$4:$D$5000,"*** Mnemonic not found ***",0)</f>
        <v>*** Mnemonic not found ***</v>
      </c>
      <c r="F2298" t="str">
        <f t="shared" si="512"/>
        <v>ADJTACACEAMT19__</v>
      </c>
      <c r="H2298" s="9" t="s">
        <v>276</v>
      </c>
      <c r="K2298" s="9">
        <f t="shared" si="515"/>
        <v>48</v>
      </c>
      <c r="L2298" s="9" t="str">
        <f t="shared" si="516"/>
        <v>E</v>
      </c>
      <c r="M2298" s="9" t="str">
        <f t="shared" si="517"/>
        <v>Adjustment!E48</v>
      </c>
      <c r="N2298" s="9">
        <f>_xlfn.XLOOKUP(F2298,'Raw Data'!$I$4:$I$5000,'Raw Data'!$E$4:$E$5000,100,0)</f>
        <v>100</v>
      </c>
      <c r="O2298" s="9" t="str">
        <f>IF(N2298=0,_xlfn.XLOOKUP(F2298,'Raw Data'!$I$4:$I$5000,'Raw Data'!$H$4:$H$5000,"",0),"")</f>
        <v/>
      </c>
      <c r="P2298" s="9" t="str" cm="1">
        <f t="array" aca="1" ref="P2298" ca="1">IF(INDIRECT(M2298) = "","",INDIRECT(M2298))</f>
        <v/>
      </c>
      <c r="Q2298" s="359" t="s">
        <v>4381</v>
      </c>
    </row>
    <row r="2299" spans="1:17" x14ac:dyDescent="0.35">
      <c r="A2299" t="s">
        <v>3961</v>
      </c>
      <c r="E2299" t="str">
        <f>_xlfn.XLOOKUP(F2299,'Raw Data'!$I$4:$I$5000,'Raw Data'!$D$4:$D$5000,"*** Mnemonic not found ***",0)</f>
        <v>*** Mnemonic not found ***</v>
      </c>
      <c r="F2299" t="str">
        <f t="shared" si="512"/>
        <v>ADJTACACEAMT20__</v>
      </c>
      <c r="H2299" s="9" t="s">
        <v>276</v>
      </c>
      <c r="K2299" s="9">
        <f t="shared" si="515"/>
        <v>49</v>
      </c>
      <c r="L2299" s="9" t="str">
        <f t="shared" si="516"/>
        <v>E</v>
      </c>
      <c r="M2299" s="9" t="str">
        <f t="shared" si="517"/>
        <v>Adjustment!E49</v>
      </c>
      <c r="N2299" s="9">
        <f>_xlfn.XLOOKUP(F2299,'Raw Data'!$I$4:$I$5000,'Raw Data'!$E$4:$E$5000,100,0)</f>
        <v>100</v>
      </c>
      <c r="O2299" s="9" t="str">
        <f>IF(N2299=0,_xlfn.XLOOKUP(F2299,'Raw Data'!$I$4:$I$5000,'Raw Data'!$H$4:$H$5000,"",0),"")</f>
        <v/>
      </c>
      <c r="P2299" s="9" t="str" cm="1">
        <f t="array" aca="1" ref="P2299" ca="1">IF(INDIRECT(M2299) = "","",INDIRECT(M2299))</f>
        <v/>
      </c>
      <c r="Q2299" s="359" t="s">
        <v>4381</v>
      </c>
    </row>
    <row r="2300" spans="1:17" x14ac:dyDescent="0.35">
      <c r="A2300" t="s">
        <v>3962</v>
      </c>
      <c r="E2300" t="str">
        <f>_xlfn.XLOOKUP(F2300,'Raw Data'!$I$4:$I$5000,'Raw Data'!$D$4:$D$5000,"*** Mnemonic not found ***",0)</f>
        <v>*** Mnemonic not found ***</v>
      </c>
      <c r="F2300" t="str">
        <f t="shared" si="512"/>
        <v>ADJTACACEDESC1__</v>
      </c>
      <c r="H2300" s="9" t="s">
        <v>276</v>
      </c>
      <c r="K2300" s="9">
        <f>K2280</f>
        <v>30</v>
      </c>
      <c r="L2300" s="9" t="s">
        <v>1124</v>
      </c>
      <c r="M2300" s="9" t="str">
        <f t="shared" si="517"/>
        <v>Adjustment!F30</v>
      </c>
      <c r="N2300" s="9">
        <f>_xlfn.XLOOKUP(F2300,'Raw Data'!$I$4:$I$5000,'Raw Data'!$E$4:$E$5000,100,0)</f>
        <v>100</v>
      </c>
      <c r="O2300" s="9" t="str">
        <f>IF(N2300=0,_xlfn.XLOOKUP(F2300,'Raw Data'!$I$4:$I$5000,'Raw Data'!$H$4:$H$5000,"",0),"")</f>
        <v/>
      </c>
      <c r="P2300" s="9" t="str" cm="1">
        <f t="array" aca="1" ref="P2300" ca="1">IF(INDIRECT(M2300) = "","",INDIRECT(M2300))</f>
        <v/>
      </c>
      <c r="Q2300" s="359" t="s">
        <v>4380</v>
      </c>
    </row>
    <row r="2301" spans="1:17" x14ac:dyDescent="0.35">
      <c r="A2301" t="s">
        <v>3963</v>
      </c>
      <c r="E2301" t="str">
        <f>_xlfn.XLOOKUP(F2301,'Raw Data'!$I$4:$I$5000,'Raw Data'!$D$4:$D$5000,"*** Mnemonic not found ***",0)</f>
        <v>*** Mnemonic not found ***</v>
      </c>
      <c r="F2301" t="str">
        <f t="shared" si="512"/>
        <v>ADJTACACEDESC2__</v>
      </c>
      <c r="H2301" s="9" t="s">
        <v>276</v>
      </c>
      <c r="K2301" s="9">
        <f>K2300+1</f>
        <v>31</v>
      </c>
      <c r="L2301" s="9" t="str">
        <f>L2300</f>
        <v>F</v>
      </c>
      <c r="M2301" s="9" t="str">
        <f t="shared" si="517"/>
        <v>Adjustment!F31</v>
      </c>
      <c r="N2301" s="9">
        <f>_xlfn.XLOOKUP(F2301,'Raw Data'!$I$4:$I$5000,'Raw Data'!$E$4:$E$5000,100,0)</f>
        <v>100</v>
      </c>
      <c r="O2301" s="9" t="str">
        <f>IF(N2301=0,_xlfn.XLOOKUP(F2301,'Raw Data'!$I$4:$I$5000,'Raw Data'!$H$4:$H$5000,"",0),"")</f>
        <v/>
      </c>
      <c r="P2301" s="9" t="str" cm="1">
        <f t="array" aca="1" ref="P2301" ca="1">IF(INDIRECT(M2301) = "","",INDIRECT(M2301))</f>
        <v/>
      </c>
      <c r="Q2301" s="359" t="s">
        <v>4380</v>
      </c>
    </row>
    <row r="2302" spans="1:17" x14ac:dyDescent="0.35">
      <c r="A2302" t="s">
        <v>3964</v>
      </c>
      <c r="E2302" t="str">
        <f>_xlfn.XLOOKUP(F2302,'Raw Data'!$I$4:$I$5000,'Raw Data'!$D$4:$D$5000,"*** Mnemonic not found ***",0)</f>
        <v>*** Mnemonic not found ***</v>
      </c>
      <c r="F2302" t="str">
        <f t="shared" si="512"/>
        <v>ADJTACACEDESC3__</v>
      </c>
      <c r="H2302" s="9" t="s">
        <v>276</v>
      </c>
      <c r="K2302" s="9">
        <f t="shared" ref="K2302:K2319" si="518">K2301+1</f>
        <v>32</v>
      </c>
      <c r="L2302" s="9" t="str">
        <f t="shared" ref="L2302:L2319" si="519">L2301</f>
        <v>F</v>
      </c>
      <c r="M2302" s="9" t="str">
        <f t="shared" si="517"/>
        <v>Adjustment!F32</v>
      </c>
      <c r="N2302" s="9">
        <f>_xlfn.XLOOKUP(F2302,'Raw Data'!$I$4:$I$5000,'Raw Data'!$E$4:$E$5000,100,0)</f>
        <v>100</v>
      </c>
      <c r="O2302" s="9" t="str">
        <f>IF(N2302=0,_xlfn.XLOOKUP(F2302,'Raw Data'!$I$4:$I$5000,'Raw Data'!$H$4:$H$5000,"",0),"")</f>
        <v/>
      </c>
      <c r="P2302" s="9" t="str" cm="1">
        <f t="array" aca="1" ref="P2302" ca="1">IF(INDIRECT(M2302) = "","",INDIRECT(M2302))</f>
        <v/>
      </c>
      <c r="Q2302" s="359" t="s">
        <v>4380</v>
      </c>
    </row>
    <row r="2303" spans="1:17" x14ac:dyDescent="0.35">
      <c r="A2303" t="s">
        <v>3965</v>
      </c>
      <c r="E2303" t="str">
        <f>_xlfn.XLOOKUP(F2303,'Raw Data'!$I$4:$I$5000,'Raw Data'!$D$4:$D$5000,"*** Mnemonic not found ***",0)</f>
        <v>*** Mnemonic not found ***</v>
      </c>
      <c r="F2303" t="str">
        <f t="shared" si="512"/>
        <v>ADJTACACEDESC4__</v>
      </c>
      <c r="H2303" s="9" t="s">
        <v>276</v>
      </c>
      <c r="K2303" s="9">
        <f t="shared" si="518"/>
        <v>33</v>
      </c>
      <c r="L2303" s="9" t="str">
        <f t="shared" si="519"/>
        <v>F</v>
      </c>
      <c r="M2303" s="9" t="str">
        <f t="shared" si="517"/>
        <v>Adjustment!F33</v>
      </c>
      <c r="N2303" s="9">
        <f>_xlfn.XLOOKUP(F2303,'Raw Data'!$I$4:$I$5000,'Raw Data'!$E$4:$E$5000,100,0)</f>
        <v>100</v>
      </c>
      <c r="O2303" s="9" t="str">
        <f>IF(N2303=0,_xlfn.XLOOKUP(F2303,'Raw Data'!$I$4:$I$5000,'Raw Data'!$H$4:$H$5000,"",0),"")</f>
        <v/>
      </c>
      <c r="P2303" s="9" t="str" cm="1">
        <f t="array" aca="1" ref="P2303" ca="1">IF(INDIRECT(M2303) = "","",INDIRECT(M2303))</f>
        <v/>
      </c>
      <c r="Q2303" s="359" t="s">
        <v>4380</v>
      </c>
    </row>
    <row r="2304" spans="1:17" x14ac:dyDescent="0.35">
      <c r="A2304" t="s">
        <v>3966</v>
      </c>
      <c r="E2304" t="str">
        <f>_xlfn.XLOOKUP(F2304,'Raw Data'!$I$4:$I$5000,'Raw Data'!$D$4:$D$5000,"*** Mnemonic not found ***",0)</f>
        <v>*** Mnemonic not found ***</v>
      </c>
      <c r="F2304" t="str">
        <f t="shared" si="512"/>
        <v>ADJTACACEDESC5__</v>
      </c>
      <c r="H2304" s="9" t="s">
        <v>276</v>
      </c>
      <c r="K2304" s="9">
        <f t="shared" si="518"/>
        <v>34</v>
      </c>
      <c r="L2304" s="9" t="str">
        <f t="shared" si="519"/>
        <v>F</v>
      </c>
      <c r="M2304" s="9" t="str">
        <f t="shared" si="517"/>
        <v>Adjustment!F34</v>
      </c>
      <c r="N2304" s="9">
        <f>_xlfn.XLOOKUP(F2304,'Raw Data'!$I$4:$I$5000,'Raw Data'!$E$4:$E$5000,100,0)</f>
        <v>100</v>
      </c>
      <c r="O2304" s="9" t="str">
        <f>IF(N2304=0,_xlfn.XLOOKUP(F2304,'Raw Data'!$I$4:$I$5000,'Raw Data'!$H$4:$H$5000,"",0),"")</f>
        <v/>
      </c>
      <c r="P2304" s="9" t="str" cm="1">
        <f t="array" aca="1" ref="P2304" ca="1">IF(INDIRECT(M2304) = "","",INDIRECT(M2304))</f>
        <v/>
      </c>
      <c r="Q2304" s="359" t="s">
        <v>4380</v>
      </c>
    </row>
    <row r="2305" spans="1:17" x14ac:dyDescent="0.35">
      <c r="A2305" t="s">
        <v>3967</v>
      </c>
      <c r="E2305" t="str">
        <f>_xlfn.XLOOKUP(F2305,'Raw Data'!$I$4:$I$5000,'Raw Data'!$D$4:$D$5000,"*** Mnemonic not found ***",0)</f>
        <v>*** Mnemonic not found ***</v>
      </c>
      <c r="F2305" t="str">
        <f t="shared" si="512"/>
        <v>ADJTACACEDESC6__</v>
      </c>
      <c r="H2305" s="9" t="s">
        <v>276</v>
      </c>
      <c r="K2305" s="9">
        <f t="shared" si="518"/>
        <v>35</v>
      </c>
      <c r="L2305" s="9" t="str">
        <f t="shared" si="519"/>
        <v>F</v>
      </c>
      <c r="M2305" s="9" t="str">
        <f t="shared" si="517"/>
        <v>Adjustment!F35</v>
      </c>
      <c r="N2305" s="9">
        <f>_xlfn.XLOOKUP(F2305,'Raw Data'!$I$4:$I$5000,'Raw Data'!$E$4:$E$5000,100,0)</f>
        <v>100</v>
      </c>
      <c r="O2305" s="9" t="str">
        <f>IF(N2305=0,_xlfn.XLOOKUP(F2305,'Raw Data'!$I$4:$I$5000,'Raw Data'!$H$4:$H$5000,"",0),"")</f>
        <v/>
      </c>
      <c r="P2305" s="9" t="str" cm="1">
        <f t="array" aca="1" ref="P2305" ca="1">IF(INDIRECT(M2305) = "","",INDIRECT(M2305))</f>
        <v/>
      </c>
      <c r="Q2305" s="359" t="s">
        <v>4380</v>
      </c>
    </row>
    <row r="2306" spans="1:17" x14ac:dyDescent="0.35">
      <c r="A2306" t="s">
        <v>3968</v>
      </c>
      <c r="E2306" t="str">
        <f>_xlfn.XLOOKUP(F2306,'Raw Data'!$I$4:$I$5000,'Raw Data'!$D$4:$D$5000,"*** Mnemonic not found ***",0)</f>
        <v>*** Mnemonic not found ***</v>
      </c>
      <c r="F2306" t="str">
        <f t="shared" si="512"/>
        <v>ADJTACACEDESC7__</v>
      </c>
      <c r="H2306" s="9" t="s">
        <v>276</v>
      </c>
      <c r="K2306" s="9">
        <f t="shared" si="518"/>
        <v>36</v>
      </c>
      <c r="L2306" s="9" t="str">
        <f t="shared" si="519"/>
        <v>F</v>
      </c>
      <c r="M2306" s="9" t="str">
        <f t="shared" si="517"/>
        <v>Adjustment!F36</v>
      </c>
      <c r="N2306" s="9">
        <f>_xlfn.XLOOKUP(F2306,'Raw Data'!$I$4:$I$5000,'Raw Data'!$E$4:$E$5000,100,0)</f>
        <v>100</v>
      </c>
      <c r="O2306" s="9" t="str">
        <f>IF(N2306=0,_xlfn.XLOOKUP(F2306,'Raw Data'!$I$4:$I$5000,'Raw Data'!$H$4:$H$5000,"",0),"")</f>
        <v/>
      </c>
      <c r="P2306" s="9" t="str" cm="1">
        <f t="array" aca="1" ref="P2306" ca="1">IF(INDIRECT(M2306) = "","",INDIRECT(M2306))</f>
        <v/>
      </c>
      <c r="Q2306" s="359" t="s">
        <v>4380</v>
      </c>
    </row>
    <row r="2307" spans="1:17" x14ac:dyDescent="0.35">
      <c r="A2307" t="s">
        <v>3969</v>
      </c>
      <c r="E2307" t="str">
        <f>_xlfn.XLOOKUP(F2307,'Raw Data'!$I$4:$I$5000,'Raw Data'!$D$4:$D$5000,"*** Mnemonic not found ***",0)</f>
        <v>*** Mnemonic not found ***</v>
      </c>
      <c r="F2307" t="str">
        <f t="shared" si="512"/>
        <v>ADJTACACEDESC8__</v>
      </c>
      <c r="H2307" s="9" t="s">
        <v>276</v>
      </c>
      <c r="K2307" s="9">
        <f t="shared" si="518"/>
        <v>37</v>
      </c>
      <c r="L2307" s="9" t="str">
        <f t="shared" si="519"/>
        <v>F</v>
      </c>
      <c r="M2307" s="9" t="str">
        <f t="shared" si="517"/>
        <v>Adjustment!F37</v>
      </c>
      <c r="N2307" s="9">
        <f>_xlfn.XLOOKUP(F2307,'Raw Data'!$I$4:$I$5000,'Raw Data'!$E$4:$E$5000,100,0)</f>
        <v>100</v>
      </c>
      <c r="O2307" s="9" t="str">
        <f>IF(N2307=0,_xlfn.XLOOKUP(F2307,'Raw Data'!$I$4:$I$5000,'Raw Data'!$H$4:$H$5000,"",0),"")</f>
        <v/>
      </c>
      <c r="P2307" s="9" t="str" cm="1">
        <f t="array" aca="1" ref="P2307" ca="1">IF(INDIRECT(M2307) = "","",INDIRECT(M2307))</f>
        <v/>
      </c>
      <c r="Q2307" s="359" t="s">
        <v>4380</v>
      </c>
    </row>
    <row r="2308" spans="1:17" x14ac:dyDescent="0.35">
      <c r="A2308" t="s">
        <v>3970</v>
      </c>
      <c r="E2308" t="str">
        <f>_xlfn.XLOOKUP(F2308,'Raw Data'!$I$4:$I$5000,'Raw Data'!$D$4:$D$5000,"*** Mnemonic not found ***",0)</f>
        <v>*** Mnemonic not found ***</v>
      </c>
      <c r="F2308" t="str">
        <f t="shared" si="512"/>
        <v>ADJTACACEDESC9__</v>
      </c>
      <c r="H2308" s="9" t="s">
        <v>276</v>
      </c>
      <c r="K2308" s="9">
        <f t="shared" si="518"/>
        <v>38</v>
      </c>
      <c r="L2308" s="9" t="str">
        <f t="shared" si="519"/>
        <v>F</v>
      </c>
      <c r="M2308" s="9" t="str">
        <f t="shared" si="517"/>
        <v>Adjustment!F38</v>
      </c>
      <c r="N2308" s="9">
        <f>_xlfn.XLOOKUP(F2308,'Raw Data'!$I$4:$I$5000,'Raw Data'!$E$4:$E$5000,100,0)</f>
        <v>100</v>
      </c>
      <c r="O2308" s="9" t="str">
        <f>IF(N2308=0,_xlfn.XLOOKUP(F2308,'Raw Data'!$I$4:$I$5000,'Raw Data'!$H$4:$H$5000,"",0),"")</f>
        <v/>
      </c>
      <c r="P2308" s="9" t="str" cm="1">
        <f t="array" aca="1" ref="P2308" ca="1">IF(INDIRECT(M2308) = "","",INDIRECT(M2308))</f>
        <v/>
      </c>
      <c r="Q2308" s="359" t="s">
        <v>4380</v>
      </c>
    </row>
    <row r="2309" spans="1:17" x14ac:dyDescent="0.35">
      <c r="A2309" t="s">
        <v>3971</v>
      </c>
      <c r="E2309" t="str">
        <f>_xlfn.XLOOKUP(F2309,'Raw Data'!$I$4:$I$5000,'Raw Data'!$D$4:$D$5000,"*** Mnemonic not found ***",0)</f>
        <v>*** Mnemonic not found ***</v>
      </c>
      <c r="F2309" t="str">
        <f t="shared" si="512"/>
        <v>ADJTACACEDESC10__</v>
      </c>
      <c r="H2309" s="9" t="s">
        <v>276</v>
      </c>
      <c r="K2309" s="9">
        <f t="shared" si="518"/>
        <v>39</v>
      </c>
      <c r="L2309" s="9" t="str">
        <f t="shared" si="519"/>
        <v>F</v>
      </c>
      <c r="M2309" s="9" t="str">
        <f t="shared" si="517"/>
        <v>Adjustment!F39</v>
      </c>
      <c r="N2309" s="9">
        <f>_xlfn.XLOOKUP(F2309,'Raw Data'!$I$4:$I$5000,'Raw Data'!$E$4:$E$5000,100,0)</f>
        <v>100</v>
      </c>
      <c r="O2309" s="9" t="str">
        <f>IF(N2309=0,_xlfn.XLOOKUP(F2309,'Raw Data'!$I$4:$I$5000,'Raw Data'!$H$4:$H$5000,"",0),"")</f>
        <v/>
      </c>
      <c r="P2309" s="9" t="str" cm="1">
        <f t="array" aca="1" ref="P2309" ca="1">IF(INDIRECT(M2309) = "","",INDIRECT(M2309))</f>
        <v/>
      </c>
      <c r="Q2309" s="359" t="s">
        <v>4380</v>
      </c>
    </row>
    <row r="2310" spans="1:17" x14ac:dyDescent="0.35">
      <c r="A2310" t="s">
        <v>3972</v>
      </c>
      <c r="E2310" t="str">
        <f>_xlfn.XLOOKUP(F2310,'Raw Data'!$I$4:$I$5000,'Raw Data'!$D$4:$D$5000,"*** Mnemonic not found ***",0)</f>
        <v>*** Mnemonic not found ***</v>
      </c>
      <c r="F2310" t="str">
        <f t="shared" si="512"/>
        <v>ADJTACACEDESC11__</v>
      </c>
      <c r="H2310" s="9" t="s">
        <v>276</v>
      </c>
      <c r="K2310" s="9">
        <f t="shared" si="518"/>
        <v>40</v>
      </c>
      <c r="L2310" s="9" t="str">
        <f t="shared" si="519"/>
        <v>F</v>
      </c>
      <c r="M2310" s="9" t="str">
        <f t="shared" si="517"/>
        <v>Adjustment!F40</v>
      </c>
      <c r="N2310" s="9">
        <f>_xlfn.XLOOKUP(F2310,'Raw Data'!$I$4:$I$5000,'Raw Data'!$E$4:$E$5000,100,0)</f>
        <v>100</v>
      </c>
      <c r="O2310" s="9" t="str">
        <f>IF(N2310=0,_xlfn.XLOOKUP(F2310,'Raw Data'!$I$4:$I$5000,'Raw Data'!$H$4:$H$5000,"",0),"")</f>
        <v/>
      </c>
      <c r="P2310" s="9" t="str" cm="1">
        <f t="array" aca="1" ref="P2310" ca="1">IF(INDIRECT(M2310) = "","",INDIRECT(M2310))</f>
        <v/>
      </c>
      <c r="Q2310" s="359" t="s">
        <v>4380</v>
      </c>
    </row>
    <row r="2311" spans="1:17" x14ac:dyDescent="0.35">
      <c r="A2311" t="s">
        <v>3973</v>
      </c>
      <c r="E2311" t="str">
        <f>_xlfn.XLOOKUP(F2311,'Raw Data'!$I$4:$I$5000,'Raw Data'!$D$4:$D$5000,"*** Mnemonic not found ***",0)</f>
        <v>*** Mnemonic not found ***</v>
      </c>
      <c r="F2311" t="str">
        <f t="shared" si="512"/>
        <v>ADJTACACEDESC12__</v>
      </c>
      <c r="H2311" s="9" t="s">
        <v>276</v>
      </c>
      <c r="K2311" s="9">
        <f t="shared" si="518"/>
        <v>41</v>
      </c>
      <c r="L2311" s="9" t="str">
        <f t="shared" si="519"/>
        <v>F</v>
      </c>
      <c r="M2311" s="9" t="str">
        <f t="shared" si="517"/>
        <v>Adjustment!F41</v>
      </c>
      <c r="N2311" s="9">
        <f>_xlfn.XLOOKUP(F2311,'Raw Data'!$I$4:$I$5000,'Raw Data'!$E$4:$E$5000,100,0)</f>
        <v>100</v>
      </c>
      <c r="O2311" s="9" t="str">
        <f>IF(N2311=0,_xlfn.XLOOKUP(F2311,'Raw Data'!$I$4:$I$5000,'Raw Data'!$H$4:$H$5000,"",0),"")</f>
        <v/>
      </c>
      <c r="P2311" s="9" t="str" cm="1">
        <f t="array" aca="1" ref="P2311" ca="1">IF(INDIRECT(M2311) = "","",INDIRECT(M2311))</f>
        <v/>
      </c>
      <c r="Q2311" s="359" t="s">
        <v>4380</v>
      </c>
    </row>
    <row r="2312" spans="1:17" x14ac:dyDescent="0.35">
      <c r="A2312" t="s">
        <v>3974</v>
      </c>
      <c r="E2312" t="str">
        <f>_xlfn.XLOOKUP(F2312,'Raw Data'!$I$4:$I$5000,'Raw Data'!$D$4:$D$5000,"*** Mnemonic not found ***",0)</f>
        <v>*** Mnemonic not found ***</v>
      </c>
      <c r="F2312" t="str">
        <f t="shared" si="512"/>
        <v>ADJTACACEDESC13__</v>
      </c>
      <c r="H2312" s="9" t="s">
        <v>276</v>
      </c>
      <c r="K2312" s="9">
        <f t="shared" si="518"/>
        <v>42</v>
      </c>
      <c r="L2312" s="9" t="str">
        <f t="shared" si="519"/>
        <v>F</v>
      </c>
      <c r="M2312" s="9" t="str">
        <f t="shared" si="517"/>
        <v>Adjustment!F42</v>
      </c>
      <c r="N2312" s="9">
        <f>_xlfn.XLOOKUP(F2312,'Raw Data'!$I$4:$I$5000,'Raw Data'!$E$4:$E$5000,100,0)</f>
        <v>100</v>
      </c>
      <c r="O2312" s="9" t="str">
        <f>IF(N2312=0,_xlfn.XLOOKUP(F2312,'Raw Data'!$I$4:$I$5000,'Raw Data'!$H$4:$H$5000,"",0),"")</f>
        <v/>
      </c>
      <c r="P2312" s="9" t="str" cm="1">
        <f t="array" aca="1" ref="P2312" ca="1">IF(INDIRECT(M2312) = "","",INDIRECT(M2312))</f>
        <v/>
      </c>
      <c r="Q2312" s="359" t="s">
        <v>4380</v>
      </c>
    </row>
    <row r="2313" spans="1:17" x14ac:dyDescent="0.35">
      <c r="A2313" t="s">
        <v>3975</v>
      </c>
      <c r="E2313" t="str">
        <f>_xlfn.XLOOKUP(F2313,'Raw Data'!$I$4:$I$5000,'Raw Data'!$D$4:$D$5000,"*** Mnemonic not found ***",0)</f>
        <v>*** Mnemonic not found ***</v>
      </c>
      <c r="F2313" t="str">
        <f t="shared" si="512"/>
        <v>ADJTACACEDESC14__</v>
      </c>
      <c r="H2313" s="9" t="s">
        <v>276</v>
      </c>
      <c r="K2313" s="9">
        <f t="shared" si="518"/>
        <v>43</v>
      </c>
      <c r="L2313" s="9" t="str">
        <f t="shared" si="519"/>
        <v>F</v>
      </c>
      <c r="M2313" s="9" t="str">
        <f t="shared" si="517"/>
        <v>Adjustment!F43</v>
      </c>
      <c r="N2313" s="9">
        <f>_xlfn.XLOOKUP(F2313,'Raw Data'!$I$4:$I$5000,'Raw Data'!$E$4:$E$5000,100,0)</f>
        <v>100</v>
      </c>
      <c r="O2313" s="9" t="str">
        <f>IF(N2313=0,_xlfn.XLOOKUP(F2313,'Raw Data'!$I$4:$I$5000,'Raw Data'!$H$4:$H$5000,"",0),"")</f>
        <v/>
      </c>
      <c r="P2313" s="9" t="str" cm="1">
        <f t="array" aca="1" ref="P2313" ca="1">IF(INDIRECT(M2313) = "","",INDIRECT(M2313))</f>
        <v/>
      </c>
      <c r="Q2313" s="359" t="s">
        <v>4380</v>
      </c>
    </row>
    <row r="2314" spans="1:17" x14ac:dyDescent="0.35">
      <c r="A2314" t="s">
        <v>3976</v>
      </c>
      <c r="E2314" t="str">
        <f>_xlfn.XLOOKUP(F2314,'Raw Data'!$I$4:$I$5000,'Raw Data'!$D$4:$D$5000,"*** Mnemonic not found ***",0)</f>
        <v>*** Mnemonic not found ***</v>
      </c>
      <c r="F2314" t="str">
        <f t="shared" si="512"/>
        <v>ADJTACACEDESC15__</v>
      </c>
      <c r="H2314" s="9" t="s">
        <v>276</v>
      </c>
      <c r="K2314" s="9">
        <f t="shared" si="518"/>
        <v>44</v>
      </c>
      <c r="L2314" s="9" t="str">
        <f t="shared" si="519"/>
        <v>F</v>
      </c>
      <c r="M2314" s="9" t="str">
        <f t="shared" si="517"/>
        <v>Adjustment!F44</v>
      </c>
      <c r="N2314" s="9">
        <f>_xlfn.XLOOKUP(F2314,'Raw Data'!$I$4:$I$5000,'Raw Data'!$E$4:$E$5000,100,0)</f>
        <v>100</v>
      </c>
      <c r="O2314" s="9" t="str">
        <f>IF(N2314=0,_xlfn.XLOOKUP(F2314,'Raw Data'!$I$4:$I$5000,'Raw Data'!$H$4:$H$5000,"",0),"")</f>
        <v/>
      </c>
      <c r="P2314" s="9" t="str" cm="1">
        <f t="array" aca="1" ref="P2314" ca="1">IF(INDIRECT(M2314) = "","",INDIRECT(M2314))</f>
        <v/>
      </c>
      <c r="Q2314" s="359" t="s">
        <v>4380</v>
      </c>
    </row>
    <row r="2315" spans="1:17" x14ac:dyDescent="0.35">
      <c r="A2315" t="s">
        <v>3977</v>
      </c>
      <c r="E2315" t="str">
        <f>_xlfn.XLOOKUP(F2315,'Raw Data'!$I$4:$I$5000,'Raw Data'!$D$4:$D$5000,"*** Mnemonic not found ***",0)</f>
        <v>*** Mnemonic not found ***</v>
      </c>
      <c r="F2315" t="str">
        <f t="shared" si="512"/>
        <v>ADJTACACEDESC16__</v>
      </c>
      <c r="H2315" s="9" t="s">
        <v>276</v>
      </c>
      <c r="K2315" s="9">
        <f t="shared" si="518"/>
        <v>45</v>
      </c>
      <c r="L2315" s="9" t="str">
        <f t="shared" si="519"/>
        <v>F</v>
      </c>
      <c r="M2315" s="9" t="str">
        <f t="shared" si="517"/>
        <v>Adjustment!F45</v>
      </c>
      <c r="N2315" s="9">
        <f>_xlfn.XLOOKUP(F2315,'Raw Data'!$I$4:$I$5000,'Raw Data'!$E$4:$E$5000,100,0)</f>
        <v>100</v>
      </c>
      <c r="O2315" s="9" t="str">
        <f>IF(N2315=0,_xlfn.XLOOKUP(F2315,'Raw Data'!$I$4:$I$5000,'Raw Data'!$H$4:$H$5000,"",0),"")</f>
        <v/>
      </c>
      <c r="P2315" s="9" t="str" cm="1">
        <f t="array" aca="1" ref="P2315" ca="1">IF(INDIRECT(M2315) = "","",INDIRECT(M2315))</f>
        <v/>
      </c>
      <c r="Q2315" s="359" t="s">
        <v>4380</v>
      </c>
    </row>
    <row r="2316" spans="1:17" x14ac:dyDescent="0.35">
      <c r="A2316" t="s">
        <v>3978</v>
      </c>
      <c r="E2316" t="str">
        <f>_xlfn.XLOOKUP(F2316,'Raw Data'!$I$4:$I$5000,'Raw Data'!$D$4:$D$5000,"*** Mnemonic not found ***",0)</f>
        <v>*** Mnemonic not found ***</v>
      </c>
      <c r="F2316" t="str">
        <f t="shared" si="512"/>
        <v>ADJTACACEDESC17__</v>
      </c>
      <c r="H2316" s="9" t="s">
        <v>276</v>
      </c>
      <c r="K2316" s="9">
        <f t="shared" si="518"/>
        <v>46</v>
      </c>
      <c r="L2316" s="9" t="str">
        <f t="shared" si="519"/>
        <v>F</v>
      </c>
      <c r="M2316" s="9" t="str">
        <f t="shared" si="517"/>
        <v>Adjustment!F46</v>
      </c>
      <c r="N2316" s="9">
        <f>_xlfn.XLOOKUP(F2316,'Raw Data'!$I$4:$I$5000,'Raw Data'!$E$4:$E$5000,100,0)</f>
        <v>100</v>
      </c>
      <c r="O2316" s="9" t="str">
        <f>IF(N2316=0,_xlfn.XLOOKUP(F2316,'Raw Data'!$I$4:$I$5000,'Raw Data'!$H$4:$H$5000,"",0),"")</f>
        <v/>
      </c>
      <c r="P2316" s="9" t="str" cm="1">
        <f t="array" aca="1" ref="P2316" ca="1">IF(INDIRECT(M2316) = "","",INDIRECT(M2316))</f>
        <v/>
      </c>
      <c r="Q2316" s="359" t="s">
        <v>4380</v>
      </c>
    </row>
    <row r="2317" spans="1:17" x14ac:dyDescent="0.35">
      <c r="A2317" t="s">
        <v>3979</v>
      </c>
      <c r="E2317" t="str">
        <f>_xlfn.XLOOKUP(F2317,'Raw Data'!$I$4:$I$5000,'Raw Data'!$D$4:$D$5000,"*** Mnemonic not found ***",0)</f>
        <v>*** Mnemonic not found ***</v>
      </c>
      <c r="F2317" t="str">
        <f t="shared" ref="F2317:F2381" si="520">CONCATENATE(A2317,"_",B2317,"_",D2317)</f>
        <v>ADJTACACEDESC18__</v>
      </c>
      <c r="H2317" s="9" t="s">
        <v>276</v>
      </c>
      <c r="K2317" s="9">
        <f t="shared" si="518"/>
        <v>47</v>
      </c>
      <c r="L2317" s="9" t="str">
        <f t="shared" si="519"/>
        <v>F</v>
      </c>
      <c r="M2317" s="9" t="str">
        <f t="shared" si="517"/>
        <v>Adjustment!F47</v>
      </c>
      <c r="N2317" s="9">
        <f>_xlfn.XLOOKUP(F2317,'Raw Data'!$I$4:$I$5000,'Raw Data'!$E$4:$E$5000,100,0)</f>
        <v>100</v>
      </c>
      <c r="O2317" s="9" t="str">
        <f>IF(N2317=0,_xlfn.XLOOKUP(F2317,'Raw Data'!$I$4:$I$5000,'Raw Data'!$H$4:$H$5000,"",0),"")</f>
        <v/>
      </c>
      <c r="P2317" s="9" t="str" cm="1">
        <f t="array" aca="1" ref="P2317" ca="1">IF(INDIRECT(M2317) = "","",INDIRECT(M2317))</f>
        <v/>
      </c>
      <c r="Q2317" s="359" t="s">
        <v>4380</v>
      </c>
    </row>
    <row r="2318" spans="1:17" x14ac:dyDescent="0.35">
      <c r="A2318" t="s">
        <v>3980</v>
      </c>
      <c r="E2318" t="str">
        <f>_xlfn.XLOOKUP(F2318,'Raw Data'!$I$4:$I$5000,'Raw Data'!$D$4:$D$5000,"*** Mnemonic not found ***",0)</f>
        <v>*** Mnemonic not found ***</v>
      </c>
      <c r="F2318" t="str">
        <f t="shared" si="520"/>
        <v>ADJTACACEDESC19__</v>
      </c>
      <c r="H2318" s="9" t="s">
        <v>276</v>
      </c>
      <c r="K2318" s="9">
        <f t="shared" si="518"/>
        <v>48</v>
      </c>
      <c r="L2318" s="9" t="str">
        <f t="shared" si="519"/>
        <v>F</v>
      </c>
      <c r="M2318" s="9" t="str">
        <f t="shared" si="517"/>
        <v>Adjustment!F48</v>
      </c>
      <c r="N2318" s="9">
        <f>_xlfn.XLOOKUP(F2318,'Raw Data'!$I$4:$I$5000,'Raw Data'!$E$4:$E$5000,100,0)</f>
        <v>100</v>
      </c>
      <c r="O2318" s="9" t="str">
        <f>IF(N2318=0,_xlfn.XLOOKUP(F2318,'Raw Data'!$I$4:$I$5000,'Raw Data'!$H$4:$H$5000,"",0),"")</f>
        <v/>
      </c>
      <c r="P2318" s="9" t="str" cm="1">
        <f t="array" aca="1" ref="P2318" ca="1">IF(INDIRECT(M2318) = "","",INDIRECT(M2318))</f>
        <v/>
      </c>
      <c r="Q2318" s="359" t="s">
        <v>4380</v>
      </c>
    </row>
    <row r="2319" spans="1:17" x14ac:dyDescent="0.35">
      <c r="A2319" t="s">
        <v>3981</v>
      </c>
      <c r="E2319" t="str">
        <f>_xlfn.XLOOKUP(F2319,'Raw Data'!$I$4:$I$5000,'Raw Data'!$D$4:$D$5000,"*** Mnemonic not found ***",0)</f>
        <v>*** Mnemonic not found ***</v>
      </c>
      <c r="F2319" t="str">
        <f t="shared" si="520"/>
        <v>ADJTACACEDESC20__</v>
      </c>
      <c r="H2319" s="9" t="s">
        <v>276</v>
      </c>
      <c r="K2319" s="9">
        <f t="shared" si="518"/>
        <v>49</v>
      </c>
      <c r="L2319" s="9" t="str">
        <f t="shared" si="519"/>
        <v>F</v>
      </c>
      <c r="M2319" s="9" t="str">
        <f t="shared" si="517"/>
        <v>Adjustment!F49</v>
      </c>
      <c r="N2319" s="9">
        <f>_xlfn.XLOOKUP(F2319,'Raw Data'!$I$4:$I$5000,'Raw Data'!$E$4:$E$5000,100,0)</f>
        <v>100</v>
      </c>
      <c r="O2319" s="9" t="str">
        <f>IF(N2319=0,_xlfn.XLOOKUP(F2319,'Raw Data'!$I$4:$I$5000,'Raw Data'!$H$4:$H$5000,"",0),"")</f>
        <v/>
      </c>
      <c r="P2319" s="9" t="str" cm="1">
        <f t="array" aca="1" ref="P2319" ca="1">IF(INDIRECT(M2319) = "","",INDIRECT(M2319))</f>
        <v/>
      </c>
      <c r="Q2319" s="359" t="s">
        <v>4380</v>
      </c>
    </row>
    <row r="2320" spans="1:17" x14ac:dyDescent="0.35">
      <c r="A2320" t="s">
        <v>3137</v>
      </c>
      <c r="E2320" t="str">
        <f>_xlfn.XLOOKUP(F2320,'Raw Data'!$I$4:$I$5000,'Raw Data'!$D$4:$D$5000,"*** Mnemonic not found ***",0)</f>
        <v>*** Mnemonic not found ***</v>
      </c>
      <c r="F2320" t="str">
        <f t="shared" si="520"/>
        <v>SUCMSUMINFO1_C__</v>
      </c>
      <c r="G2320" t="s">
        <v>3045</v>
      </c>
      <c r="H2320" s="9" t="s">
        <v>1137</v>
      </c>
      <c r="I2320" s="289">
        <f>ROW(section_summary)</f>
        <v>8</v>
      </c>
      <c r="J2320" s="9">
        <v>2</v>
      </c>
      <c r="K2320" s="9">
        <f>I2320+J2320</f>
        <v>10</v>
      </c>
      <c r="L2320" s="9" t="s">
        <v>3044</v>
      </c>
      <c r="M2320" s="9" t="str">
        <f t="shared" si="517"/>
        <v>Input!O10</v>
      </c>
      <c r="N2320" s="9">
        <f>_xlfn.XLOOKUP(F2320,'Raw Data'!$I$4:$I$5000,'Raw Data'!$E$4:$E$5000,100,0)</f>
        <v>100</v>
      </c>
      <c r="O2320" s="9" t="str">
        <f>IF(N2320=0,_xlfn.XLOOKUP(F2320,'Raw Data'!$I$4:$I$5000,'Raw Data'!$H$4:$H$5000,"",0),"")</f>
        <v/>
      </c>
      <c r="P2320" s="9" t="str" cm="1">
        <f t="array" aca="1" ref="P2320" ca="1">IF(INDIRECT(M2320) = "","",INDIRECT(M2320))</f>
        <v/>
      </c>
      <c r="Q2320" s="359" t="s">
        <v>4380</v>
      </c>
    </row>
    <row r="2321" spans="1:17" x14ac:dyDescent="0.35">
      <c r="A2321" t="s">
        <v>3138</v>
      </c>
      <c r="E2321" t="str">
        <f>_xlfn.XLOOKUP(F2321,'Raw Data'!$I$4:$I$5000,'Raw Data'!$D$4:$D$5000,"*** Mnemonic not found ***",0)</f>
        <v>*** Mnemonic not found ***</v>
      </c>
      <c r="F2321" t="str">
        <f t="shared" si="520"/>
        <v>SUCMSUMINFO2_C__</v>
      </c>
      <c r="H2321" s="9" t="s">
        <v>1137</v>
      </c>
      <c r="K2321" s="9">
        <f>K2320+1</f>
        <v>11</v>
      </c>
      <c r="L2321" s="9" t="str">
        <f>L2320</f>
        <v>O</v>
      </c>
      <c r="M2321" s="9" t="str">
        <f t="shared" si="517"/>
        <v>Input!O11</v>
      </c>
      <c r="N2321" s="9">
        <f>_xlfn.XLOOKUP(F2321,'Raw Data'!$I$4:$I$5000,'Raw Data'!$E$4:$E$5000,100,0)</f>
        <v>100</v>
      </c>
      <c r="O2321" s="9" t="str">
        <f>IF(N2321=0,_xlfn.XLOOKUP(F2321,'Raw Data'!$I$4:$I$5000,'Raw Data'!$H$4:$H$5000,"",0),"")</f>
        <v/>
      </c>
      <c r="P2321" s="9" t="str" cm="1">
        <f t="array" aca="1" ref="P2321" ca="1">IF(INDIRECT(M2321) = "","",INDIRECT(M2321))</f>
        <v/>
      </c>
      <c r="Q2321" s="359" t="s">
        <v>4380</v>
      </c>
    </row>
    <row r="2322" spans="1:17" x14ac:dyDescent="0.35">
      <c r="A2322" t="s">
        <v>3139</v>
      </c>
      <c r="E2322" t="str">
        <f>_xlfn.XLOOKUP(F2322,'Raw Data'!$I$4:$I$5000,'Raw Data'!$D$4:$D$5000,"*** Mnemonic not found ***",0)</f>
        <v>*** Mnemonic not found ***</v>
      </c>
      <c r="F2322" t="str">
        <f t="shared" si="520"/>
        <v>SUCMSUMINFO3_C__</v>
      </c>
      <c r="H2322" s="9" t="s">
        <v>1137</v>
      </c>
      <c r="K2322" s="9">
        <f>K2321+1</f>
        <v>12</v>
      </c>
      <c r="L2322" s="9" t="str">
        <f t="shared" ref="L2322:L2370" si="521">L2321</f>
        <v>O</v>
      </c>
      <c r="M2322" s="9" t="str">
        <f t="shared" si="517"/>
        <v>Input!O12</v>
      </c>
      <c r="N2322" s="9">
        <f>_xlfn.XLOOKUP(F2322,'Raw Data'!$I$4:$I$5000,'Raw Data'!$E$4:$E$5000,100,0)</f>
        <v>100</v>
      </c>
      <c r="O2322" s="9" t="str">
        <f>IF(N2322=0,_xlfn.XLOOKUP(F2322,'Raw Data'!$I$4:$I$5000,'Raw Data'!$H$4:$H$5000,"",0),"")</f>
        <v/>
      </c>
      <c r="P2322" s="9" t="str" cm="1">
        <f t="array" aca="1" ref="P2322" ca="1">IF(INDIRECT(M2322) = "","",INDIRECT(M2322))</f>
        <v/>
      </c>
      <c r="Q2322" s="359" t="s">
        <v>4380</v>
      </c>
    </row>
    <row r="2323" spans="1:17" x14ac:dyDescent="0.35">
      <c r="A2323" t="s">
        <v>3626</v>
      </c>
      <c r="E2323" t="str">
        <f>_xlfn.XLOOKUP(F2323,'Raw Data'!$I$4:$I$5000,'Raw Data'!$D$4:$D$5000,"*** Mnemonic not found ***",0)</f>
        <v>*** Mnemonic not found ***</v>
      </c>
      <c r="F2323" t="str">
        <f t="shared" si="520"/>
        <v>SUCMTACPHS_C__</v>
      </c>
      <c r="G2323" t="s">
        <v>3046</v>
      </c>
      <c r="H2323" s="9" t="s">
        <v>1137</v>
      </c>
      <c r="I2323" s="289">
        <f>ROW(section_tac)</f>
        <v>15</v>
      </c>
      <c r="J2323" s="9">
        <v>2</v>
      </c>
      <c r="K2323" s="9">
        <f>I2323+J2323</f>
        <v>17</v>
      </c>
      <c r="L2323" s="9" t="str">
        <f t="shared" si="521"/>
        <v>O</v>
      </c>
      <c r="M2323" s="9" t="str">
        <f t="shared" si="517"/>
        <v>Input!O17</v>
      </c>
      <c r="N2323" s="9">
        <f>_xlfn.XLOOKUP(F2323,'Raw Data'!$I$4:$I$5000,'Raw Data'!$E$4:$E$5000,100,0)</f>
        <v>100</v>
      </c>
      <c r="O2323" s="9" t="str">
        <f>IF(N2323=0,_xlfn.XLOOKUP(F2323,'Raw Data'!$I$4:$I$5000,'Raw Data'!$H$4:$H$5000,"",0),"")</f>
        <v/>
      </c>
      <c r="P2323" s="9" t="str" cm="1">
        <f t="array" aca="1" ref="P2323" ca="1">IF(INDIRECT(M2323) = "","",INDIRECT(M2323))</f>
        <v/>
      </c>
      <c r="Q2323" s="359" t="s">
        <v>4380</v>
      </c>
    </row>
    <row r="2324" spans="1:17" x14ac:dyDescent="0.35">
      <c r="A2324" t="s">
        <v>3627</v>
      </c>
      <c r="E2324" t="str">
        <f>_xlfn.XLOOKUP(F2324,'Raw Data'!$I$4:$I$5000,'Raw Data'!$D$4:$D$5000,"*** Mnemonic not found ***",0)</f>
        <v>*** Mnemonic not found ***</v>
      </c>
      <c r="F2324" t="str">
        <f t="shared" si="520"/>
        <v>SUCMEQMINCONSSUB_C__</v>
      </c>
      <c r="H2324" s="9" t="s">
        <v>1137</v>
      </c>
      <c r="K2324" s="9">
        <f>K2323+3</f>
        <v>20</v>
      </c>
      <c r="L2324" s="9" t="str">
        <f t="shared" si="521"/>
        <v>O</v>
      </c>
      <c r="M2324" s="9" t="str">
        <f t="shared" si="517"/>
        <v>Input!O20</v>
      </c>
      <c r="N2324" s="9">
        <f>_xlfn.XLOOKUP(F2324,'Raw Data'!$I$4:$I$5000,'Raw Data'!$E$4:$E$5000,100,0)</f>
        <v>100</v>
      </c>
      <c r="O2324" s="9" t="str">
        <f>IF(N2324=0,_xlfn.XLOOKUP(F2324,'Raw Data'!$I$4:$I$5000,'Raw Data'!$H$4:$H$5000,"",0),"")</f>
        <v/>
      </c>
      <c r="P2324" s="9" t="str" cm="1">
        <f t="array" aca="1" ref="P2324" ca="1">IF(INDIRECT(M2324) = "","",INDIRECT(M2324))</f>
        <v/>
      </c>
      <c r="Q2324" s="359" t="s">
        <v>4380</v>
      </c>
    </row>
    <row r="2325" spans="1:17" x14ac:dyDescent="0.35">
      <c r="A2325" t="s">
        <v>3628</v>
      </c>
      <c r="E2325" t="str">
        <f>_xlfn.XLOOKUP(F2325,'Raw Data'!$I$4:$I$5000,'Raw Data'!$D$4:$D$5000,"*** Mnemonic not found ***",0)</f>
        <v>*** Mnemonic not found ***</v>
      </c>
      <c r="F2325" t="str">
        <f t="shared" si="520"/>
        <v>SUCMPROPSHDVDNOTACC_C__</v>
      </c>
      <c r="H2325" s="9" t="s">
        <v>1137</v>
      </c>
      <c r="K2325" s="9">
        <f>K2324+1</f>
        <v>21</v>
      </c>
      <c r="L2325" s="9" t="str">
        <f t="shared" si="521"/>
        <v>O</v>
      </c>
      <c r="M2325" s="9" t="str">
        <f t="shared" si="517"/>
        <v>Input!O21</v>
      </c>
      <c r="N2325" s="9">
        <f>_xlfn.XLOOKUP(F2325,'Raw Data'!$I$4:$I$5000,'Raw Data'!$E$4:$E$5000,100,0)</f>
        <v>100</v>
      </c>
      <c r="O2325" s="9" t="str">
        <f>IF(N2325=0,_xlfn.XLOOKUP(F2325,'Raw Data'!$I$4:$I$5000,'Raw Data'!$H$4:$H$5000,"",0),"")</f>
        <v/>
      </c>
      <c r="P2325" s="9" t="str" cm="1">
        <f t="array" aca="1" ref="P2325" ca="1">IF(INDIRECT(M2325) = "","",INDIRECT(M2325))</f>
        <v/>
      </c>
      <c r="Q2325" s="359" t="s">
        <v>4380</v>
      </c>
    </row>
    <row r="2326" spans="1:17" x14ac:dyDescent="0.35">
      <c r="A2326" t="s">
        <v>3629</v>
      </c>
      <c r="E2326" t="str">
        <f>_xlfn.XLOOKUP(F2326,'Raw Data'!$I$4:$I$5000,'Raw Data'!$D$4:$D$5000,"*** Mnemonic not found ***",0)</f>
        <v>*** Mnemonic not found ***</v>
      </c>
      <c r="F2326" t="str">
        <f t="shared" si="520"/>
        <v>SUCMOFFBALPENSDEFAFT_C__</v>
      </c>
      <c r="H2326" s="9" t="s">
        <v>1137</v>
      </c>
      <c r="K2326" s="9">
        <f t="shared" ref="K2326:K2359" si="522">K2325+1</f>
        <v>22</v>
      </c>
      <c r="L2326" s="9" t="str">
        <f t="shared" si="521"/>
        <v>O</v>
      </c>
      <c r="M2326" s="9" t="str">
        <f t="shared" si="517"/>
        <v>Input!O22</v>
      </c>
      <c r="N2326" s="9">
        <f>_xlfn.XLOOKUP(F2326,'Raw Data'!$I$4:$I$5000,'Raw Data'!$E$4:$E$5000,100,0)</f>
        <v>100</v>
      </c>
      <c r="O2326" s="9" t="str">
        <f>IF(N2326=0,_xlfn.XLOOKUP(F2326,'Raw Data'!$I$4:$I$5000,'Raw Data'!$H$4:$H$5000,"",0),"")</f>
        <v/>
      </c>
      <c r="P2326" s="9" t="str" cm="1">
        <f t="array" aca="1" ref="P2326" ca="1">IF(INDIRECT(M2326) = "","",INDIRECT(M2326))</f>
        <v/>
      </c>
      <c r="Q2326" s="359" t="s">
        <v>4380</v>
      </c>
    </row>
    <row r="2327" spans="1:17" x14ac:dyDescent="0.35">
      <c r="A2327" t="s">
        <v>3662</v>
      </c>
      <c r="E2327" t="str">
        <f>_xlfn.XLOOKUP(F2327,'Raw Data'!$I$4:$I$5000,'Raw Data'!$D$4:$D$5000,"*** Mnemonic not found ***",0)</f>
        <v>*** Mnemonic not found ***</v>
      </c>
      <c r="F2327" t="str">
        <f t="shared" si="520"/>
        <v>SUCMOFFBALPENSURP_C__</v>
      </c>
      <c r="H2327" s="9" t="s">
        <v>1137</v>
      </c>
      <c r="K2327" s="9">
        <f t="shared" si="522"/>
        <v>23</v>
      </c>
      <c r="L2327" s="9" t="str">
        <f t="shared" si="521"/>
        <v>O</v>
      </c>
      <c r="M2327" s="9" t="str">
        <f t="shared" si="517"/>
        <v>Input!O23</v>
      </c>
      <c r="N2327" s="9">
        <f>_xlfn.XLOOKUP(F2327,'Raw Data'!$I$4:$I$5000,'Raw Data'!$E$4:$E$5000,100,0)</f>
        <v>100</v>
      </c>
      <c r="O2327" s="9" t="str">
        <f>IF(N2327=0,_xlfn.XLOOKUP(F2327,'Raw Data'!$I$4:$I$5000,'Raw Data'!$H$4:$H$5000,"",0),"")</f>
        <v/>
      </c>
      <c r="P2327" s="9" t="str" cm="1">
        <f t="array" aca="1" ref="P2327" ca="1">IF(INDIRECT(M2327) = "","",INDIRECT(M2327))</f>
        <v/>
      </c>
      <c r="Q2327" s="359" t="s">
        <v>4380</v>
      </c>
    </row>
    <row r="2328" spans="1:17" x14ac:dyDescent="0.35">
      <c r="A2328" t="s">
        <v>3663</v>
      </c>
      <c r="E2328" t="str">
        <f>_xlfn.XLOOKUP(F2328,'Raw Data'!$I$4:$I$5000,'Raw Data'!$D$4:$D$5000,"*** Mnemonic not found ***",0)</f>
        <v>*** Mnemonic not found ***</v>
      </c>
      <c r="F2328" t="str">
        <f t="shared" si="520"/>
        <v>SUCMONBALPENSURP_C__</v>
      </c>
      <c r="H2328" s="9" t="s">
        <v>1137</v>
      </c>
      <c r="K2328" s="9">
        <f t="shared" si="522"/>
        <v>24</v>
      </c>
      <c r="L2328" s="9" t="str">
        <f t="shared" si="521"/>
        <v>O</v>
      </c>
      <c r="M2328" s="9" t="str">
        <f t="shared" si="517"/>
        <v>Input!O24</v>
      </c>
      <c r="N2328" s="9">
        <f>_xlfn.XLOOKUP(F2328,'Raw Data'!$I$4:$I$5000,'Raw Data'!$E$4:$E$5000,100,0)</f>
        <v>100</v>
      </c>
      <c r="O2328" s="9" t="str">
        <f>IF(N2328=0,_xlfn.XLOOKUP(F2328,'Raw Data'!$I$4:$I$5000,'Raw Data'!$H$4:$H$5000,"",0),"")</f>
        <v/>
      </c>
      <c r="P2328" s="9" t="str" cm="1">
        <f t="array" aca="1" ref="P2328" ca="1">IF(INDIRECT(M2328) = "","",INDIRECT(M2328))</f>
        <v/>
      </c>
      <c r="Q2328" s="359" t="s">
        <v>4380</v>
      </c>
    </row>
    <row r="2329" spans="1:17" x14ac:dyDescent="0.35">
      <c r="A2329" t="s">
        <v>3630</v>
      </c>
      <c r="E2329" t="str">
        <f>_xlfn.XLOOKUP(F2329,'Raw Data'!$I$4:$I$5000,'Raw Data'!$D$4:$D$5000,"*** Mnemonic not found ***",0)</f>
        <v>*** Mnemonic not found ***</v>
      </c>
      <c r="F2329" t="str">
        <f t="shared" si="520"/>
        <v>SUCMINVOWNTREASSHRS_C__</v>
      </c>
      <c r="H2329" s="9" t="s">
        <v>1137</v>
      </c>
      <c r="K2329" s="9">
        <f t="shared" si="522"/>
        <v>25</v>
      </c>
      <c r="L2329" s="9" t="str">
        <f t="shared" si="521"/>
        <v>O</v>
      </c>
      <c r="M2329" s="9" t="str">
        <f t="shared" si="517"/>
        <v>Input!O25</v>
      </c>
      <c r="N2329" s="9">
        <f>_xlfn.XLOOKUP(F2329,'Raw Data'!$I$4:$I$5000,'Raw Data'!$E$4:$E$5000,100,0)</f>
        <v>100</v>
      </c>
      <c r="O2329" s="9" t="str">
        <f>IF(N2329=0,_xlfn.XLOOKUP(F2329,'Raw Data'!$I$4:$I$5000,'Raw Data'!$H$4:$H$5000,"",0),"")</f>
        <v/>
      </c>
      <c r="P2329" s="9" t="str" cm="1">
        <f t="array" aca="1" ref="P2329" ca="1">IF(INDIRECT(M2329) = "","",INDIRECT(M2329))</f>
        <v/>
      </c>
      <c r="Q2329" s="359" t="s">
        <v>4380</v>
      </c>
    </row>
    <row r="2330" spans="1:17" x14ac:dyDescent="0.35">
      <c r="A2330" t="s">
        <v>3631</v>
      </c>
      <c r="E2330" t="str">
        <f>_xlfn.XLOOKUP(F2330,'Raw Data'!$I$4:$I$5000,'Raw Data'!$D$4:$D$5000,"*** Mnemonic not found ***",0)</f>
        <v>*** Mnemonic not found ***</v>
      </c>
      <c r="F2330" t="str">
        <f t="shared" si="520"/>
        <v>SUCMGOODWILL_C__</v>
      </c>
      <c r="H2330" s="9" t="s">
        <v>1137</v>
      </c>
      <c r="K2330" s="9">
        <f>K2329+3</f>
        <v>28</v>
      </c>
      <c r="L2330" s="9" t="str">
        <f t="shared" si="521"/>
        <v>O</v>
      </c>
      <c r="M2330" s="9" t="str">
        <f t="shared" si="517"/>
        <v>Input!O28</v>
      </c>
      <c r="N2330" s="9">
        <f>_xlfn.XLOOKUP(F2330,'Raw Data'!$I$4:$I$5000,'Raw Data'!$E$4:$E$5000,100,0)</f>
        <v>100</v>
      </c>
      <c r="O2330" s="9" t="str">
        <f>IF(N2330=0,_xlfn.XLOOKUP(F2330,'Raw Data'!$I$4:$I$5000,'Raw Data'!$H$4:$H$5000,"",0),"")</f>
        <v/>
      </c>
      <c r="P2330" s="9" t="str" cm="1">
        <f t="array" aca="1" ref="P2330" ca="1">IF(INDIRECT(M2330) = "","",INDIRECT(M2330))</f>
        <v/>
      </c>
      <c r="Q2330" s="359" t="s">
        <v>4380</v>
      </c>
    </row>
    <row r="2331" spans="1:17" x14ac:dyDescent="0.35">
      <c r="A2331" t="s">
        <v>3632</v>
      </c>
      <c r="E2331" t="str">
        <f>_xlfn.XLOOKUP(F2331,'Raw Data'!$I$4:$I$5000,'Raw Data'!$D$4:$D$5000,"*** Mnemonic not found ***",0)</f>
        <v>*** Mnemonic not found ***</v>
      </c>
      <c r="F2331" t="str">
        <f t="shared" si="520"/>
        <v>SUCMOTHINTANGASST_C__</v>
      </c>
      <c r="H2331" s="9" t="s">
        <v>1137</v>
      </c>
      <c r="K2331" s="9">
        <f t="shared" si="522"/>
        <v>29</v>
      </c>
      <c r="L2331" s="9" t="str">
        <f t="shared" si="521"/>
        <v>O</v>
      </c>
      <c r="M2331" s="9" t="str">
        <f t="shared" si="517"/>
        <v>Input!O29</v>
      </c>
      <c r="N2331" s="9">
        <f>_xlfn.XLOOKUP(F2331,'Raw Data'!$I$4:$I$5000,'Raw Data'!$E$4:$E$5000,100,0)</f>
        <v>100</v>
      </c>
      <c r="O2331" s="9" t="str">
        <f>IF(N2331=0,_xlfn.XLOOKUP(F2331,'Raw Data'!$I$4:$I$5000,'Raw Data'!$H$4:$H$5000,"",0),"")</f>
        <v/>
      </c>
      <c r="P2331" s="9" t="str" cm="1">
        <f t="array" aca="1" ref="P2331" ca="1">IF(INDIRECT(M2331) = "","",INDIRECT(M2331))</f>
        <v/>
      </c>
      <c r="Q2331" s="359" t="s">
        <v>4380</v>
      </c>
    </row>
    <row r="2332" spans="1:17" x14ac:dyDescent="0.35">
      <c r="A2332" t="s">
        <v>3633</v>
      </c>
      <c r="E2332" t="str">
        <f>_xlfn.XLOOKUP(F2332,'Raw Data'!$I$4:$I$5000,'Raw Data'!$D$4:$D$5000,"*** Mnemonic not found ***",0)</f>
        <v>*** Mnemonic not found ***</v>
      </c>
      <c r="F2332" t="str">
        <f t="shared" si="520"/>
        <v>SUCMOFFUNRNOLIFEBNDS_C__</v>
      </c>
      <c r="H2332" s="9" t="s">
        <v>1137</v>
      </c>
      <c r="K2332" s="9">
        <f>K2331+3</f>
        <v>32</v>
      </c>
      <c r="L2332" s="9" t="str">
        <f t="shared" si="521"/>
        <v>O</v>
      </c>
      <c r="M2332" s="9" t="str">
        <f t="shared" si="517"/>
        <v>Input!O32</v>
      </c>
      <c r="N2332" s="9">
        <f>_xlfn.XLOOKUP(F2332,'Raw Data'!$I$4:$I$5000,'Raw Data'!$E$4:$E$5000,100,0)</f>
        <v>100</v>
      </c>
      <c r="O2332" s="9" t="str">
        <f>IF(N2332=0,_xlfn.XLOOKUP(F2332,'Raw Data'!$I$4:$I$5000,'Raw Data'!$H$4:$H$5000,"",0),"")</f>
        <v/>
      </c>
      <c r="P2332" s="9" t="str" cm="1">
        <f t="array" aca="1" ref="P2332" ca="1">IF(INDIRECT(M2332) = "","",INDIRECT(M2332))</f>
        <v/>
      </c>
      <c r="Q2332" s="359" t="s">
        <v>4380</v>
      </c>
    </row>
    <row r="2333" spans="1:17" x14ac:dyDescent="0.35">
      <c r="A2333" t="s">
        <v>3634</v>
      </c>
      <c r="E2333" t="str">
        <f>_xlfn.XLOOKUP(F2333,'Raw Data'!$I$4:$I$5000,'Raw Data'!$D$4:$D$5000,"*** Mnemonic not found ***",0)</f>
        <v>*** Mnemonic not found ***</v>
      </c>
      <c r="F2333" t="str">
        <f t="shared" si="520"/>
        <v>SUCMUNCONASSJOINTMV_C__</v>
      </c>
      <c r="H2333" s="9" t="s">
        <v>1137</v>
      </c>
      <c r="K2333" s="9">
        <f t="shared" si="522"/>
        <v>33</v>
      </c>
      <c r="L2333" s="9" t="str">
        <f t="shared" si="521"/>
        <v>O</v>
      </c>
      <c r="M2333" s="9" t="str">
        <f t="shared" si="517"/>
        <v>Input!O33</v>
      </c>
      <c r="N2333" s="9">
        <f>_xlfn.XLOOKUP(F2333,'Raw Data'!$I$4:$I$5000,'Raw Data'!$E$4:$E$5000,100,0)</f>
        <v>100</v>
      </c>
      <c r="O2333" s="9" t="str">
        <f>IF(N2333=0,_xlfn.XLOOKUP(F2333,'Raw Data'!$I$4:$I$5000,'Raw Data'!$H$4:$H$5000,"",0),"")</f>
        <v/>
      </c>
      <c r="P2333" s="9" t="str" cm="1">
        <f t="array" aca="1" ref="P2333" ca="1">IF(INDIRECT(M2333) = "","",INDIRECT(M2333))</f>
        <v/>
      </c>
      <c r="Q2333" s="359" t="s">
        <v>4380</v>
      </c>
    </row>
    <row r="2334" spans="1:17" x14ac:dyDescent="0.35">
      <c r="A2334" t="s">
        <v>3635</v>
      </c>
      <c r="E2334" t="str">
        <f>_xlfn.XLOOKUP(F2334,'Raw Data'!$I$4:$I$5000,'Raw Data'!$D$4:$D$5000,"*** Mnemonic not found ***",0)</f>
        <v>*** Mnemonic not found ***</v>
      </c>
      <c r="F2334" t="str">
        <f t="shared" si="520"/>
        <v>SUCMUNCONASSJOINTBV_C__</v>
      </c>
      <c r="H2334" s="9" t="s">
        <v>1137</v>
      </c>
      <c r="K2334" s="9">
        <f t="shared" si="522"/>
        <v>34</v>
      </c>
      <c r="L2334" s="9" t="str">
        <f t="shared" si="521"/>
        <v>O</v>
      </c>
      <c r="M2334" s="9" t="str">
        <f t="shared" si="517"/>
        <v>Input!O34</v>
      </c>
      <c r="N2334" s="9">
        <f>_xlfn.XLOOKUP(F2334,'Raw Data'!$I$4:$I$5000,'Raw Data'!$E$4:$E$5000,100,0)</f>
        <v>100</v>
      </c>
      <c r="O2334" s="9" t="str">
        <f>IF(N2334=0,_xlfn.XLOOKUP(F2334,'Raw Data'!$I$4:$I$5000,'Raw Data'!$H$4:$H$5000,"",0),"")</f>
        <v/>
      </c>
      <c r="P2334" s="9" t="str" cm="1">
        <f t="array" aca="1" ref="P2334" ca="1">IF(INDIRECT(M2334) = "","",INDIRECT(M2334))</f>
        <v/>
      </c>
      <c r="Q2334" s="359" t="s">
        <v>4380</v>
      </c>
    </row>
    <row r="2335" spans="1:17" x14ac:dyDescent="0.35">
      <c r="A2335" t="s">
        <v>3636</v>
      </c>
      <c r="E2335" t="str">
        <f>_xlfn.XLOOKUP(F2335,'Raw Data'!$I$4:$I$5000,'Raw Data'!$D$4:$D$5000,"*** Mnemonic not found ***",0)</f>
        <v>*** Mnemonic not found ***</v>
      </c>
      <c r="F2335" t="str">
        <f t="shared" si="520"/>
        <v>SUCMNOLIFENOTDISC_C__</v>
      </c>
      <c r="H2335" s="9" t="s">
        <v>1137</v>
      </c>
      <c r="K2335" s="9">
        <f>K2334+3</f>
        <v>37</v>
      </c>
      <c r="L2335" s="9" t="str">
        <f t="shared" si="521"/>
        <v>O</v>
      </c>
      <c r="M2335" s="9" t="str">
        <f t="shared" si="517"/>
        <v>Input!O37</v>
      </c>
      <c r="N2335" s="9">
        <f>_xlfn.XLOOKUP(F2335,'Raw Data'!$I$4:$I$5000,'Raw Data'!$E$4:$E$5000,100,0)</f>
        <v>100</v>
      </c>
      <c r="O2335" s="9" t="str">
        <f>IF(N2335=0,_xlfn.XLOOKUP(F2335,'Raw Data'!$I$4:$I$5000,'Raw Data'!$H$4:$H$5000,"",0),"")</f>
        <v/>
      </c>
      <c r="P2335" s="9" t="str" cm="1">
        <f t="array" aca="1" ref="P2335" ca="1">IF(INDIRECT(M2335) = "","",INDIRECT(M2335))</f>
        <v/>
      </c>
      <c r="Q2335" s="359" t="s">
        <v>4380</v>
      </c>
    </row>
    <row r="2336" spans="1:17" x14ac:dyDescent="0.35">
      <c r="A2336" t="s">
        <v>3637</v>
      </c>
      <c r="E2336" t="str">
        <f>_xlfn.XLOOKUP(F2336,'Raw Data'!$I$4:$I$5000,'Raw Data'!$D$4:$D$5000,"*** Mnemonic not found ***",0)</f>
        <v>*** Mnemonic not found ***</v>
      </c>
      <c r="F2336" t="str">
        <f t="shared" si="520"/>
        <v>SUCMNOLIFEDISC_C__</v>
      </c>
      <c r="H2336" s="9" t="s">
        <v>1137</v>
      </c>
      <c r="K2336" s="9">
        <f t="shared" si="522"/>
        <v>38</v>
      </c>
      <c r="L2336" s="9" t="str">
        <f t="shared" si="521"/>
        <v>O</v>
      </c>
      <c r="M2336" s="9" t="str">
        <f t="shared" si="517"/>
        <v>Input!O38</v>
      </c>
      <c r="N2336" s="9">
        <f>_xlfn.XLOOKUP(F2336,'Raw Data'!$I$4:$I$5000,'Raw Data'!$E$4:$E$5000,100,0)</f>
        <v>100</v>
      </c>
      <c r="O2336" s="9" t="str">
        <f>IF(N2336=0,_xlfn.XLOOKUP(F2336,'Raw Data'!$I$4:$I$5000,'Raw Data'!$H$4:$H$5000,"",0),"")</f>
        <v/>
      </c>
      <c r="P2336" s="9" t="str" cm="1">
        <f t="array" aca="1" ref="P2336" ca="1">IF(INDIRECT(M2336) = "","",INDIRECT(M2336))</f>
        <v/>
      </c>
      <c r="Q2336" s="359" t="s">
        <v>4380</v>
      </c>
    </row>
    <row r="2337" spans="1:18" x14ac:dyDescent="0.35">
      <c r="A2337" t="s">
        <v>3638</v>
      </c>
      <c r="E2337" t="str">
        <f>_xlfn.XLOOKUP(F2337,'Raw Data'!$I$4:$I$5000,'Raw Data'!$D$4:$D$5000,"*** Mnemonic not found ***",0)</f>
        <v>*** Mnemonic not found ***</v>
      </c>
      <c r="F2337" t="str">
        <f t="shared" si="520"/>
        <v>SUCMAPPTAXRATE_C__</v>
      </c>
      <c r="H2337" s="9" t="s">
        <v>1137</v>
      </c>
      <c r="K2337" s="9">
        <f t="shared" si="522"/>
        <v>39</v>
      </c>
      <c r="L2337" s="9" t="str">
        <f t="shared" si="521"/>
        <v>O</v>
      </c>
      <c r="M2337" s="9" t="str">
        <f t="shared" si="517"/>
        <v>Input!O39</v>
      </c>
      <c r="N2337" s="9">
        <f>_xlfn.XLOOKUP(F2337,'Raw Data'!$I$4:$I$5000,'Raw Data'!$E$4:$E$5000,100,0)</f>
        <v>100</v>
      </c>
      <c r="O2337" s="9" t="str">
        <f>IF(N2337=0,_xlfn.XLOOKUP(F2337,'Raw Data'!$I$4:$I$5000,'Raw Data'!$H$4:$H$5000,"",0),"")</f>
        <v/>
      </c>
      <c r="P2337" s="9" t="str" cm="1">
        <f t="array" aca="1" ref="P2337" ca="1">IF(INDIRECT(M2337) = "","",INDIRECT(M2337))</f>
        <v/>
      </c>
      <c r="Q2337" s="359" t="s">
        <v>4380</v>
      </c>
    </row>
    <row r="2338" spans="1:18" x14ac:dyDescent="0.35">
      <c r="A2338" t="s">
        <v>3639</v>
      </c>
      <c r="E2338" t="str">
        <f>_xlfn.XLOOKUP(F2338,'Raw Data'!$I$4:$I$5000,'Raw Data'!$D$4:$D$5000,"*** Mnemonic not found ***",0)</f>
        <v>*** Mnemonic not found ***</v>
      </c>
      <c r="F2338" t="str">
        <f t="shared" si="520"/>
        <v>SUCMONBALLOSSRESDISC_C__</v>
      </c>
      <c r="H2338" s="9" t="s">
        <v>1137</v>
      </c>
      <c r="K2338" s="9">
        <f t="shared" si="522"/>
        <v>40</v>
      </c>
      <c r="L2338" s="9" t="str">
        <f t="shared" si="521"/>
        <v>O</v>
      </c>
      <c r="M2338" s="9" t="str">
        <f t="shared" si="517"/>
        <v>Input!O40</v>
      </c>
      <c r="N2338" s="9">
        <f>_xlfn.XLOOKUP(F2338,'Raw Data'!$I$4:$I$5000,'Raw Data'!$E$4:$E$5000,100,0)</f>
        <v>100</v>
      </c>
      <c r="O2338" s="9" t="str">
        <f>IF(N2338=0,_xlfn.XLOOKUP(F2338,'Raw Data'!$I$4:$I$5000,'Raw Data'!$H$4:$H$5000,"",0),"")</f>
        <v/>
      </c>
      <c r="P2338" s="9" t="str" cm="1">
        <f t="array" aca="1" ref="P2338" ca="1">IF(INDIRECT(M2338) = "","",INDIRECT(M2338))</f>
        <v/>
      </c>
      <c r="Q2338" s="359" t="s">
        <v>4380</v>
      </c>
    </row>
    <row r="2339" spans="1:18" x14ac:dyDescent="0.35">
      <c r="A2339" t="s">
        <v>3640</v>
      </c>
      <c r="E2339" t="str">
        <f>_xlfn.XLOOKUP(F2339,'Raw Data'!$I$4:$I$5000,'Raw Data'!$D$4:$D$5000,"*** Mnemonic not found ***",0)</f>
        <v>*** Mnemonic not found ***</v>
      </c>
      <c r="F2339" t="str">
        <f t="shared" si="520"/>
        <v>SUCMRELEGVTBONDYIELD_C__</v>
      </c>
      <c r="H2339" s="9" t="s">
        <v>1137</v>
      </c>
      <c r="K2339" s="9">
        <f t="shared" si="522"/>
        <v>41</v>
      </c>
      <c r="L2339" s="9" t="str">
        <f t="shared" si="521"/>
        <v>O</v>
      </c>
      <c r="M2339" s="9" t="str">
        <f t="shared" si="517"/>
        <v>Input!O41</v>
      </c>
      <c r="N2339" s="9">
        <f>_xlfn.XLOOKUP(F2339,'Raw Data'!$I$4:$I$5000,'Raw Data'!$E$4:$E$5000,100,0)</f>
        <v>100</v>
      </c>
      <c r="O2339" s="9" t="str">
        <f>IF(N2339=0,_xlfn.XLOOKUP(F2339,'Raw Data'!$I$4:$I$5000,'Raw Data'!$H$4:$H$5000,"",0),"")</f>
        <v/>
      </c>
      <c r="P2339" s="9" t="str" cm="1">
        <f t="array" aca="1" ref="P2339" ca="1">IF(INDIRECT(M2339) = "","",INDIRECT(M2339))</f>
        <v/>
      </c>
      <c r="Q2339" s="359" t="s">
        <v>4380</v>
      </c>
    </row>
    <row r="2340" spans="1:18" x14ac:dyDescent="0.35">
      <c r="A2340" t="s">
        <v>3641</v>
      </c>
      <c r="E2340" t="str">
        <f>_xlfn.XLOOKUP(F2340,'Raw Data'!$I$4:$I$5000,'Raw Data'!$D$4:$D$5000,"*** Mnemonic not found ***",0)</f>
        <v>*** Mnemonic not found ***</v>
      </c>
      <c r="F2340" t="str">
        <f t="shared" si="520"/>
        <v>SUCMMEANTERMUNDISC_C__</v>
      </c>
      <c r="H2340" s="9" t="s">
        <v>1137</v>
      </c>
      <c r="K2340" s="9">
        <f t="shared" si="522"/>
        <v>42</v>
      </c>
      <c r="L2340" s="9" t="str">
        <f t="shared" si="521"/>
        <v>O</v>
      </c>
      <c r="M2340" s="9" t="str">
        <f t="shared" si="517"/>
        <v>Input!O42</v>
      </c>
      <c r="N2340" s="9">
        <f>_xlfn.XLOOKUP(F2340,'Raw Data'!$I$4:$I$5000,'Raw Data'!$E$4:$E$5000,100,0)</f>
        <v>100</v>
      </c>
      <c r="O2340" s="9" t="str">
        <f>IF(N2340=0,_xlfn.XLOOKUP(F2340,'Raw Data'!$I$4:$I$5000,'Raw Data'!$H$4:$H$5000,"",0),"")</f>
        <v/>
      </c>
      <c r="P2340" s="9" t="str" cm="1">
        <f t="array" aca="1" ref="P2340" ca="1">IF(INDIRECT(M2340) = "","",INDIRECT(M2340))</f>
        <v/>
      </c>
      <c r="Q2340" s="359" t="s">
        <v>4380</v>
      </c>
    </row>
    <row r="2341" spans="1:18" x14ac:dyDescent="0.35">
      <c r="A2341" t="s">
        <v>3642</v>
      </c>
      <c r="E2341" t="str">
        <f>_xlfn.XLOOKUP(F2341,'Raw Data'!$I$4:$I$5000,'Raw Data'!$D$4:$D$5000,"*** Mnemonic not found ***",0)</f>
        <v>*** Mnemonic not found ***</v>
      </c>
      <c r="F2341" t="str">
        <f t="shared" si="520"/>
        <v>SUCMPCLRSURPDEFUNDIS_C__</v>
      </c>
      <c r="H2341" s="9" t="s">
        <v>1137</v>
      </c>
      <c r="K2341" s="9">
        <f t="shared" si="522"/>
        <v>43</v>
      </c>
      <c r="L2341" s="9" t="str">
        <f t="shared" si="521"/>
        <v>O</v>
      </c>
      <c r="M2341" s="9" t="str">
        <f t="shared" si="517"/>
        <v>Input!O43</v>
      </c>
      <c r="N2341" s="9">
        <f>_xlfn.XLOOKUP(F2341,'Raw Data'!$I$4:$I$5000,'Raw Data'!$E$4:$E$5000,100,0)</f>
        <v>100</v>
      </c>
      <c r="O2341" s="9" t="str">
        <f>IF(N2341=0,_xlfn.XLOOKUP(F2341,'Raw Data'!$I$4:$I$5000,'Raw Data'!$H$4:$H$5000,"",0),"")</f>
        <v/>
      </c>
      <c r="P2341" s="9" t="str" cm="1">
        <f t="array" aca="1" ref="P2341" ca="1">IF(INDIRECT(M2341) = "","",INDIRECT(M2341))</f>
        <v/>
      </c>
      <c r="Q2341" s="359" t="s">
        <v>4380</v>
      </c>
    </row>
    <row r="2342" spans="1:18" x14ac:dyDescent="0.35">
      <c r="A2342" t="s">
        <v>3643</v>
      </c>
      <c r="E2342" t="str">
        <f>_xlfn.XLOOKUP(F2342,'Raw Data'!$I$4:$I$5000,'Raw Data'!$D$4:$D$5000,"*** Mnemonic not found ***",0)</f>
        <v>*** Mnemonic not found ***</v>
      </c>
      <c r="F2342" t="str">
        <f t="shared" si="520"/>
        <v>SUCMTACOTHEQRESNON_C__</v>
      </c>
      <c r="H2342" s="9" t="s">
        <v>1137</v>
      </c>
      <c r="K2342" s="9">
        <f t="shared" si="522"/>
        <v>44</v>
      </c>
      <c r="L2342" s="9" t="str">
        <f t="shared" si="521"/>
        <v>O</v>
      </c>
      <c r="M2342" s="9" t="str">
        <f t="shared" si="517"/>
        <v>Input!O44</v>
      </c>
      <c r="N2342" s="9">
        <f>_xlfn.XLOOKUP(F2342,'Raw Data'!$I$4:$I$5000,'Raw Data'!$E$4:$E$5000,100,0)</f>
        <v>100</v>
      </c>
      <c r="O2342" s="9" t="str">
        <f>IF(N2342=0,_xlfn.XLOOKUP(F2342,'Raw Data'!$I$4:$I$5000,'Raw Data'!$H$4:$H$5000,"",0),"")</f>
        <v/>
      </c>
      <c r="P2342" s="9" t="str" cm="1">
        <f t="array" aca="1" ref="P2342" ca="1">IF(INDIRECT(M2342) = "","",INDIRECT(M2342))</f>
        <v/>
      </c>
      <c r="Q2342" s="359" t="s">
        <v>4380</v>
      </c>
    </row>
    <row r="2343" spans="1:18" x14ac:dyDescent="0.35">
      <c r="A2343" s="217" t="s">
        <v>3659</v>
      </c>
      <c r="E2343" t="str">
        <f>_xlfn.XLOOKUP(F2343,'Raw Data'!$I$4:$I$5000,'Raw Data'!$D$4:$D$5000,"*** Mnemonic not found ***",0)</f>
        <v>*** Mnemonic not found ***</v>
      </c>
      <c r="F2343" t="str">
        <f t="shared" si="520"/>
        <v>SUCMPCLRSURPDEFDISC_C__</v>
      </c>
      <c r="H2343" s="9" t="s">
        <v>1137</v>
      </c>
      <c r="K2343" s="9">
        <f t="shared" si="522"/>
        <v>45</v>
      </c>
      <c r="L2343" s="9" t="str">
        <f t="shared" si="521"/>
        <v>O</v>
      </c>
      <c r="M2343" s="9" t="str">
        <f t="shared" ref="M2343" si="523">CONCATENATE(H2343,"!",L2343,K2343)</f>
        <v>Input!O45</v>
      </c>
      <c r="N2343" s="9">
        <f>_xlfn.XLOOKUP(F2343,'Raw Data'!$I$4:$I$5000,'Raw Data'!$E$4:$E$5000,100,0)</f>
        <v>100</v>
      </c>
      <c r="O2343" s="9" t="str">
        <f>IF(N2343=0,_xlfn.XLOOKUP(F2343,'Raw Data'!$I$4:$I$5000,'Raw Data'!$H$4:$H$5000,"",0),"")</f>
        <v/>
      </c>
      <c r="P2343" s="9" t="str" cm="1">
        <f t="array" aca="1" ref="P2343" ca="1">IF(INDIRECT(M2343) = "","",INDIRECT(M2343))</f>
        <v/>
      </c>
      <c r="Q2343" s="359" t="s">
        <v>4380</v>
      </c>
    </row>
    <row r="2344" spans="1:18" x14ac:dyDescent="0.35">
      <c r="A2344" t="s">
        <v>3644</v>
      </c>
      <c r="E2344" t="str">
        <f>_xlfn.XLOOKUP(F2344,'Raw Data'!$I$4:$I$5000,'Raw Data'!$D$4:$D$5000,"*** Mnemonic not found ***",0)</f>
        <v>*** Mnemonic not found ***</v>
      </c>
      <c r="F2344" t="str">
        <f t="shared" si="520"/>
        <v>SUCMOFFBALLIFEVIFNET_C__</v>
      </c>
      <c r="H2344" s="9" t="s">
        <v>1137</v>
      </c>
      <c r="K2344" s="9">
        <f>K2343+3</f>
        <v>48</v>
      </c>
      <c r="L2344" s="9" t="str">
        <f>L2343</f>
        <v>O</v>
      </c>
      <c r="M2344" s="9" t="str">
        <f t="shared" si="517"/>
        <v>Input!O48</v>
      </c>
      <c r="N2344" s="9">
        <f>_xlfn.XLOOKUP(F2344,'Raw Data'!$I$4:$I$5000,'Raw Data'!$E$4:$E$5000,100,0)</f>
        <v>100</v>
      </c>
      <c r="O2344" s="9" t="str">
        <f>IF(N2344=0,_xlfn.XLOOKUP(F2344,'Raw Data'!$I$4:$I$5000,'Raw Data'!$H$4:$H$5000,"",0),"")</f>
        <v/>
      </c>
      <c r="P2344" s="9" t="str" cm="1">
        <f t="array" aca="1" ref="P2344" ca="1">IF(INDIRECT(M2344) = "","",INDIRECT(M2344))</f>
        <v/>
      </c>
      <c r="Q2344" s="359" t="s">
        <v>4380</v>
      </c>
    </row>
    <row r="2345" spans="1:18" x14ac:dyDescent="0.35">
      <c r="A2345" t="s">
        <v>3645</v>
      </c>
      <c r="E2345" t="str">
        <f>_xlfn.XLOOKUP(F2345,'Raw Data'!$I$4:$I$5000,'Raw Data'!$D$4:$D$5000,"*** Mnemonic not found ***",0)</f>
        <v>*** Mnemonic not found ***</v>
      </c>
      <c r="F2345" t="str">
        <f t="shared" si="520"/>
        <v>SUCMONBALDACVOBAVIF_C__</v>
      </c>
      <c r="H2345" s="9" t="s">
        <v>1137</v>
      </c>
      <c r="K2345" s="9">
        <f>K2344+1</f>
        <v>49</v>
      </c>
      <c r="L2345" s="9" t="str">
        <f t="shared" si="521"/>
        <v>O</v>
      </c>
      <c r="M2345" s="9" t="str">
        <f t="shared" si="517"/>
        <v>Input!O49</v>
      </c>
      <c r="N2345" s="9">
        <f>_xlfn.XLOOKUP(F2345,'Raw Data'!$I$4:$I$5000,'Raw Data'!$E$4:$E$5000,100,0)</f>
        <v>100</v>
      </c>
      <c r="O2345" s="9" t="str">
        <f>IF(N2345=0,_xlfn.XLOOKUP(F2345,'Raw Data'!$I$4:$I$5000,'Raw Data'!$H$4:$H$5000,"",0),"")</f>
        <v/>
      </c>
      <c r="P2345" s="9" t="str" cm="1">
        <f t="array" aca="1" ref="P2345" ca="1">IF(INDIRECT(M2345) = "","",INDIRECT(M2345))</f>
        <v/>
      </c>
      <c r="Q2345" s="359" t="s">
        <v>4380</v>
      </c>
    </row>
    <row r="2346" spans="1:18" x14ac:dyDescent="0.35">
      <c r="A2346" t="s">
        <v>3646</v>
      </c>
      <c r="E2346" t="str">
        <f>_xlfn.XLOOKUP(F2346,'Raw Data'!$I$4:$I$5000,'Raw Data'!$D$4:$D$5000,"*** Mnemonic not found ***",0)</f>
        <v>*** Mnemonic not found ***</v>
      </c>
      <c r="F2346" t="str">
        <f t="shared" si="520"/>
        <v>SUCMTACOTHEQRESLIF_C__</v>
      </c>
      <c r="H2346" s="9" t="s">
        <v>1137</v>
      </c>
      <c r="K2346" s="9">
        <f t="shared" si="522"/>
        <v>50</v>
      </c>
      <c r="L2346" s="9" t="str">
        <f t="shared" si="521"/>
        <v>O</v>
      </c>
      <c r="M2346" s="9" t="str">
        <f t="shared" si="517"/>
        <v>Input!O50</v>
      </c>
      <c r="N2346" s="9">
        <f>_xlfn.XLOOKUP(F2346,'Raw Data'!$I$4:$I$5000,'Raw Data'!$E$4:$E$5000,100,0)</f>
        <v>100</v>
      </c>
      <c r="O2346" s="9" t="str">
        <f>IF(N2346=0,_xlfn.XLOOKUP(F2346,'Raw Data'!$I$4:$I$5000,'Raw Data'!$H$4:$H$5000,"",0),"")</f>
        <v/>
      </c>
      <c r="P2346" s="9" t="str" cm="1">
        <f t="array" aca="1" ref="P2346" ca="1">IF(INDIRECT(M2346) = "","",INDIRECT(M2346))</f>
        <v/>
      </c>
      <c r="Q2346" s="359" t="s">
        <v>4380</v>
      </c>
    </row>
    <row r="2347" spans="1:18" x14ac:dyDescent="0.35">
      <c r="A2347" t="s">
        <v>3647</v>
      </c>
      <c r="E2347" t="str">
        <f>_xlfn.XLOOKUP(F2347,'Raw Data'!$I$4:$I$5000,'Raw Data'!$D$4:$D$5000,"*** Mnemonic not found ***",0)</f>
        <v>*** Mnemonic not found ***</v>
      </c>
      <c r="F2347" t="str">
        <f t="shared" si="520"/>
        <v>SUCMLIFERESMVADJ_C__</v>
      </c>
      <c r="H2347" s="9" t="s">
        <v>1137</v>
      </c>
      <c r="K2347" s="9">
        <f t="shared" si="522"/>
        <v>51</v>
      </c>
      <c r="L2347" s="9" t="str">
        <f t="shared" si="521"/>
        <v>O</v>
      </c>
      <c r="M2347" s="9" t="str">
        <f t="shared" si="517"/>
        <v>Input!O51</v>
      </c>
      <c r="N2347" s="9">
        <f>_xlfn.XLOOKUP(F2347,'Raw Data'!$I$4:$I$5000,'Raw Data'!$E$4:$E$5000,100,0)</f>
        <v>100</v>
      </c>
      <c r="O2347" s="9" t="str">
        <f>IF(N2347=0,_xlfn.XLOOKUP(F2347,'Raw Data'!$I$4:$I$5000,'Raw Data'!$H$4:$H$5000,"",0),"")</f>
        <v/>
      </c>
      <c r="P2347" s="9" t="str" cm="1">
        <f t="array" aca="1" ref="P2347" ca="1">IF(INDIRECT(M2347) = "","",INDIRECT(M2347))</f>
        <v/>
      </c>
      <c r="Q2347" s="359" t="s">
        <v>4380</v>
      </c>
    </row>
    <row r="2348" spans="1:18" x14ac:dyDescent="0.35">
      <c r="A2348" t="s">
        <v>3648</v>
      </c>
      <c r="E2348" t="str">
        <f>_xlfn.XLOOKUP(F2348,'Raw Data'!$I$4:$I$5000,'Raw Data'!$D$4:$D$5000,"*** Mnemonic not found ***",0)</f>
        <v>*** Mnemonic not found ***</v>
      </c>
      <c r="F2348" t="str">
        <f t="shared" si="520"/>
        <v>SUCMPHCAPAVAIL_C__</v>
      </c>
      <c r="H2348" s="9" t="s">
        <v>1137</v>
      </c>
      <c r="K2348" s="9">
        <f>K2347+2</f>
        <v>53</v>
      </c>
      <c r="L2348" s="9" t="str">
        <f t="shared" si="521"/>
        <v>O</v>
      </c>
      <c r="M2348" s="9" t="str">
        <f t="shared" si="517"/>
        <v>Input!O53</v>
      </c>
      <c r="N2348" s="9">
        <f>_xlfn.XLOOKUP(F2348,'Raw Data'!$I$4:$I$5000,'Raw Data'!$E$4:$E$5000,100,0)</f>
        <v>100</v>
      </c>
      <c r="O2348" s="9" t="str">
        <f>IF(N2348=0,_xlfn.XLOOKUP(F2348,'Raw Data'!$I$4:$I$5000,'Raw Data'!$H$4:$H$5000,"",0),"")</f>
        <v/>
      </c>
      <c r="P2348" s="9" t="str" cm="1">
        <f t="array" aca="1" ref="P2348" ca="1">IF(INDIRECT(M2348) = "","",INDIRECT(M2348))</f>
        <v/>
      </c>
      <c r="Q2348" s="359" t="s">
        <v>4380</v>
      </c>
    </row>
    <row r="2349" spans="1:18" x14ac:dyDescent="0.35">
      <c r="A2349" s="694" t="s">
        <v>4499</v>
      </c>
      <c r="E2349" t="str">
        <f>_xlfn.XLOOKUP(F2349,'Raw Data'!$I$4:$I$5000,'Raw Data'!$D$4:$D$5000,"*** Mnemonic not found ***",0)</f>
        <v>*** Mnemonic not found ***</v>
      </c>
      <c r="F2349" t="str">
        <f t="shared" si="520"/>
        <v>SUCMURGINVBKLIFE_C__</v>
      </c>
      <c r="H2349" s="9" t="s">
        <v>1137</v>
      </c>
      <c r="K2349" s="9">
        <f>K2348+2</f>
        <v>55</v>
      </c>
      <c r="L2349" s="9" t="str">
        <f>L2350</f>
        <v>O</v>
      </c>
      <c r="M2349" s="9" t="str">
        <f t="shared" ref="M2349" si="524">CONCATENATE(H2349,"!",L2349,K2349)</f>
        <v>Input!O55</v>
      </c>
      <c r="N2349" s="9">
        <f>_xlfn.XLOOKUP(F2349,'Raw Data'!$I$4:$I$5000,'Raw Data'!$E$4:$E$5000,100,0)</f>
        <v>100</v>
      </c>
      <c r="O2349" s="9" t="str">
        <f>IF(N2349=0,_xlfn.XLOOKUP(F2349,'Raw Data'!$I$4:$I$5000,'Raw Data'!$H$4:$H$5000,"",0),"")</f>
        <v/>
      </c>
      <c r="P2349" s="9" t="str" cm="1">
        <f t="array" aca="1" ref="P2349" ca="1">IF(INDIRECT(M2349) = "","",INDIRECT(M2349))</f>
        <v/>
      </c>
      <c r="Q2349" s="359" t="s">
        <v>4380</v>
      </c>
      <c r="R2349" t="s">
        <v>4326</v>
      </c>
    </row>
    <row r="2350" spans="1:18" x14ac:dyDescent="0.35">
      <c r="A2350" t="s">
        <v>3649</v>
      </c>
      <c r="E2350" t="str">
        <f>_xlfn.XLOOKUP(F2350,'Raw Data'!$I$4:$I$5000,'Raw Data'!$D$4:$D$5000,"*** Mnemonic not found ***",0)</f>
        <v>*** Mnemonic not found ***</v>
      </c>
      <c r="F2350" t="str">
        <f t="shared" si="520"/>
        <v>SUCMHYBEQHIGH_C__</v>
      </c>
      <c r="H2350" s="9" t="s">
        <v>1137</v>
      </c>
      <c r="K2350" s="9">
        <f>K2349+3</f>
        <v>58</v>
      </c>
      <c r="L2350" s="9" t="str">
        <f>L2348</f>
        <v>O</v>
      </c>
      <c r="M2350" s="9" t="str">
        <f t="shared" si="517"/>
        <v>Input!O58</v>
      </c>
      <c r="N2350" s="9">
        <f>_xlfn.XLOOKUP(F2350,'Raw Data'!$I$4:$I$5000,'Raw Data'!$E$4:$E$5000,100,0)</f>
        <v>100</v>
      </c>
      <c r="O2350" s="9" t="str">
        <f>IF(N2350=0,_xlfn.XLOOKUP(F2350,'Raw Data'!$I$4:$I$5000,'Raw Data'!$H$4:$H$5000,"",0),"")</f>
        <v/>
      </c>
      <c r="P2350" s="9" t="str" cm="1">
        <f t="array" aca="1" ref="P2350" ca="1">IF(INDIRECT(M2350) = "","",INDIRECT(M2350))</f>
        <v/>
      </c>
      <c r="Q2350" s="359" t="s">
        <v>4380</v>
      </c>
    </row>
    <row r="2351" spans="1:18" x14ac:dyDescent="0.35">
      <c r="A2351" t="s">
        <v>3650</v>
      </c>
      <c r="E2351" t="str">
        <f>_xlfn.XLOOKUP(F2351,'Raw Data'!$I$4:$I$5000,'Raw Data'!$D$4:$D$5000,"*** Mnemonic not found ***",0)</f>
        <v>*** Mnemonic not found ***</v>
      </c>
      <c r="F2351" t="str">
        <f t="shared" si="520"/>
        <v>SUCMHYBEQINTERM_C__</v>
      </c>
      <c r="H2351" s="9" t="s">
        <v>1137</v>
      </c>
      <c r="K2351" s="9">
        <f>K2350+1</f>
        <v>59</v>
      </c>
      <c r="L2351" s="9" t="str">
        <f>L2350</f>
        <v>O</v>
      </c>
      <c r="M2351" s="9" t="str">
        <f t="shared" si="517"/>
        <v>Input!O59</v>
      </c>
      <c r="N2351" s="9">
        <f>_xlfn.XLOOKUP(F2351,'Raw Data'!$I$4:$I$5000,'Raw Data'!$E$4:$E$5000,100,0)</f>
        <v>100</v>
      </c>
      <c r="O2351" s="9" t="str">
        <f>IF(N2351=0,_xlfn.XLOOKUP(F2351,'Raw Data'!$I$4:$I$5000,'Raw Data'!$H$4:$H$5000,"",0),"")</f>
        <v/>
      </c>
      <c r="P2351" s="9" t="str" cm="1">
        <f t="array" aca="1" ref="P2351" ca="1">IF(INDIRECT(M2351) = "","",INDIRECT(M2351))</f>
        <v/>
      </c>
      <c r="Q2351" s="359" t="s">
        <v>4380</v>
      </c>
    </row>
    <row r="2352" spans="1:18" x14ac:dyDescent="0.35">
      <c r="A2352" t="s">
        <v>3651</v>
      </c>
      <c r="E2352" t="str">
        <f>_xlfn.XLOOKUP(F2352,'Raw Data'!$I$4:$I$5000,'Raw Data'!$D$4:$D$5000,"*** Mnemonic not found ***",0)</f>
        <v>*** Mnemonic not found ***</v>
      </c>
      <c r="F2352" t="str">
        <f t="shared" si="520"/>
        <v>SUCMHYBEQNONE_C__</v>
      </c>
      <c r="H2352" s="9" t="s">
        <v>1137</v>
      </c>
      <c r="K2352" s="9">
        <f t="shared" si="522"/>
        <v>60</v>
      </c>
      <c r="L2352" s="9" t="str">
        <f t="shared" si="521"/>
        <v>O</v>
      </c>
      <c r="M2352" s="9" t="str">
        <f t="shared" si="517"/>
        <v>Input!O60</v>
      </c>
      <c r="N2352" s="9">
        <f>_xlfn.XLOOKUP(F2352,'Raw Data'!$I$4:$I$5000,'Raw Data'!$E$4:$E$5000,100,0)</f>
        <v>100</v>
      </c>
      <c r="O2352" s="9" t="str">
        <f>IF(N2352=0,_xlfn.XLOOKUP(F2352,'Raw Data'!$I$4:$I$5000,'Raw Data'!$H$4:$H$5000,"",0),"")</f>
        <v/>
      </c>
      <c r="P2352" s="9" t="str" cm="1">
        <f t="array" aca="1" ref="P2352" ca="1">IF(INDIRECT(M2352) = "","",INDIRECT(M2352))</f>
        <v/>
      </c>
      <c r="Q2352" s="359" t="s">
        <v>4380</v>
      </c>
    </row>
    <row r="2353" spans="1:18" x14ac:dyDescent="0.35">
      <c r="A2353" t="s">
        <v>3652</v>
      </c>
      <c r="E2353" t="str">
        <f>_xlfn.XLOOKUP(F2353,'Raw Data'!$I$4:$I$5000,'Raw Data'!$D$4:$D$5000,"*** Mnemonic not found ***",0)</f>
        <v>*** Mnemonic not found ***</v>
      </c>
      <c r="F2353" t="str">
        <f t="shared" si="520"/>
        <v>SUCMHYBELIGDFC_C__</v>
      </c>
      <c r="H2353" s="9" t="s">
        <v>1137</v>
      </c>
      <c r="K2353" s="9">
        <f t="shared" si="522"/>
        <v>61</v>
      </c>
      <c r="L2353" s="9" t="str">
        <f t="shared" si="521"/>
        <v>O</v>
      </c>
      <c r="M2353" s="9" t="str">
        <f t="shared" si="517"/>
        <v>Input!O61</v>
      </c>
      <c r="N2353" s="9">
        <f>_xlfn.XLOOKUP(F2353,'Raw Data'!$I$4:$I$5000,'Raw Data'!$E$4:$E$5000,100,0)</f>
        <v>100</v>
      </c>
      <c r="O2353" s="9" t="str">
        <f>IF(N2353=0,_xlfn.XLOOKUP(F2353,'Raw Data'!$I$4:$I$5000,'Raw Data'!$H$4:$H$5000,"",0),"")</f>
        <v/>
      </c>
      <c r="P2353" s="9" t="str" cm="1">
        <f t="array" aca="1" ref="P2353" ca="1">IF(INDIRECT(M2353) = "","",INDIRECT(M2353))</f>
        <v/>
      </c>
      <c r="Q2353" s="359" t="s">
        <v>4380</v>
      </c>
    </row>
    <row r="2354" spans="1:18" x14ac:dyDescent="0.35">
      <c r="A2354" t="s">
        <v>3653</v>
      </c>
      <c r="E2354" t="str">
        <f>_xlfn.XLOOKUP(F2354,'Raw Data'!$I$4:$I$5000,'Raw Data'!$D$4:$D$5000,"*** Mnemonic not found ***",0)</f>
        <v>*** Mnemonic not found ***</v>
      </c>
      <c r="F2354" t="str">
        <f t="shared" si="520"/>
        <v>SUCMDEBTCAPELIG_C__</v>
      </c>
      <c r="H2354" s="9" t="s">
        <v>1137</v>
      </c>
      <c r="K2354" s="9">
        <f>K2353+2</f>
        <v>63</v>
      </c>
      <c r="L2354" s="9" t="str">
        <f t="shared" si="521"/>
        <v>O</v>
      </c>
      <c r="M2354" s="9" t="str">
        <f t="shared" si="517"/>
        <v>Input!O63</v>
      </c>
      <c r="N2354" s="9">
        <f>_xlfn.XLOOKUP(F2354,'Raw Data'!$I$4:$I$5000,'Raw Data'!$E$4:$E$5000,100,0)</f>
        <v>100</v>
      </c>
      <c r="O2354" s="9" t="str">
        <f>IF(N2354=0,_xlfn.XLOOKUP(F2354,'Raw Data'!$I$4:$I$5000,'Raw Data'!$H$4:$H$5000,"",0),"")</f>
        <v/>
      </c>
      <c r="P2354" s="9" t="str" cm="1">
        <f t="array" aca="1" ref="P2354" ca="1">IF(INDIRECT(M2354) = "","",INDIRECT(M2354))</f>
        <v/>
      </c>
      <c r="Q2354" s="359" t="s">
        <v>4380</v>
      </c>
    </row>
    <row r="2355" spans="1:18" x14ac:dyDescent="0.35">
      <c r="A2355" t="s">
        <v>3654</v>
      </c>
      <c r="E2355" t="str">
        <f>_xlfn.XLOOKUP(F2355,'Raw Data'!$I$4:$I$5000,'Raw Data'!$D$4:$D$5000,"*** Mnemonic not found ***",0)</f>
        <v>*** Mnemonic not found ***</v>
      </c>
      <c r="F2355" t="str">
        <f t="shared" si="520"/>
        <v>SUCMDEBTELIGDFC_C__</v>
      </c>
      <c r="H2355" s="9" t="s">
        <v>1137</v>
      </c>
      <c r="K2355" s="9">
        <f>K2354+1</f>
        <v>64</v>
      </c>
      <c r="L2355" s="9" t="str">
        <f t="shared" si="521"/>
        <v>O</v>
      </c>
      <c r="M2355" s="9" t="str">
        <f t="shared" si="517"/>
        <v>Input!O64</v>
      </c>
      <c r="N2355" s="9">
        <f>_xlfn.XLOOKUP(F2355,'Raw Data'!$I$4:$I$5000,'Raw Data'!$E$4:$E$5000,100,0)</f>
        <v>100</v>
      </c>
      <c r="O2355" s="9" t="str">
        <f>IF(N2355=0,_xlfn.XLOOKUP(F2355,'Raw Data'!$I$4:$I$5000,'Raw Data'!$H$4:$H$5000,"",0),"")</f>
        <v/>
      </c>
      <c r="P2355" s="9" t="str" cm="1">
        <f t="array" aca="1" ref="P2355" ca="1">IF(INDIRECT(M2355) = "","",INDIRECT(M2355))</f>
        <v/>
      </c>
      <c r="Q2355" s="359" t="s">
        <v>4380</v>
      </c>
    </row>
    <row r="2356" spans="1:18" x14ac:dyDescent="0.35">
      <c r="A2356" s="694" t="s">
        <v>4430</v>
      </c>
      <c r="E2356" t="str">
        <f>_xlfn.XLOOKUP(F2356,'Raw Data'!$I$4:$I$5000,'Raw Data'!$D$4:$D$5000,"*** Mnemonic not found ***",0)</f>
        <v>*** Mnemonic not found ***</v>
      </c>
      <c r="F2356" t="str">
        <f t="shared" ref="F2356" si="525">CONCATENATE(A2356,"_",B2356,"_",D2356)</f>
        <v>SUCMDEBTELIGDFCIN_C__</v>
      </c>
      <c r="H2356" s="9" t="s">
        <v>1137</v>
      </c>
      <c r="K2356" s="9">
        <f>K2355+1</f>
        <v>65</v>
      </c>
      <c r="L2356" s="9" t="str">
        <f t="shared" si="521"/>
        <v>O</v>
      </c>
      <c r="M2356" s="9" t="str">
        <f t="shared" ref="M2356" si="526">CONCATENATE(H2356,"!",L2356,K2356)</f>
        <v>Input!O65</v>
      </c>
      <c r="N2356" s="9">
        <f>_xlfn.XLOOKUP(F2356,'Raw Data'!$I$4:$I$5000,'Raw Data'!$E$4:$E$5000,100,0)</f>
        <v>100</v>
      </c>
      <c r="O2356" s="9" t="str">
        <f>IF(N2356=0,_xlfn.XLOOKUP(F2356,'Raw Data'!$I$4:$I$5000,'Raw Data'!$H$4:$H$5000,"",0),"")</f>
        <v/>
      </c>
      <c r="P2356" s="9" t="str" cm="1">
        <f t="array" aca="1" ref="P2356" ca="1">IF(INDIRECT(M2356) = "","",INDIRECT(M2356))</f>
        <v/>
      </c>
      <c r="Q2356" s="359" t="s">
        <v>4380</v>
      </c>
    </row>
    <row r="2357" spans="1:18" x14ac:dyDescent="0.35">
      <c r="A2357" t="s">
        <v>3655</v>
      </c>
      <c r="E2357" t="str">
        <f>_xlfn.XLOOKUP(F2357,'Raw Data'!$I$4:$I$5000,'Raw Data'!$D$4:$D$5000,"*** Mnemonic not found ***",0)</f>
        <v>*** Mnemonic not found ***</v>
      </c>
      <c r="F2357" t="str">
        <f t="shared" si="520"/>
        <v>SUCMDEBTNOELIGSFC_C__</v>
      </c>
      <c r="H2357" s="9" t="s">
        <v>1137</v>
      </c>
      <c r="K2357" s="9">
        <f>K2356+1</f>
        <v>66</v>
      </c>
      <c r="L2357" s="9" t="str">
        <f t="shared" si="521"/>
        <v>O</v>
      </c>
      <c r="M2357" s="9" t="str">
        <f t="shared" si="517"/>
        <v>Input!O66</v>
      </c>
      <c r="N2357" s="9">
        <f>_xlfn.XLOOKUP(F2357,'Raw Data'!$I$4:$I$5000,'Raw Data'!$E$4:$E$5000,100,0)</f>
        <v>100</v>
      </c>
      <c r="O2357" s="9" t="str">
        <f>IF(N2357=0,_xlfn.XLOOKUP(F2357,'Raw Data'!$I$4:$I$5000,'Raw Data'!$H$4:$H$5000,"",0),"")</f>
        <v/>
      </c>
      <c r="P2357" s="9" t="str" cm="1">
        <f t="array" aca="1" ref="P2357" ca="1">IF(INDIRECT(M2357) = "","",INDIRECT(M2357))</f>
        <v/>
      </c>
      <c r="Q2357" s="359" t="s">
        <v>4380</v>
      </c>
    </row>
    <row r="2358" spans="1:18" x14ac:dyDescent="0.35">
      <c r="A2358" s="694" t="s">
        <v>4500</v>
      </c>
      <c r="E2358" t="str">
        <f>_xlfn.XLOOKUP(F2358,'Raw Data'!$I$4:$I$5000,'Raw Data'!$D$4:$D$5000,"*** Mnemonic not found ***",0)</f>
        <v>*** Mnemonic not found ***</v>
      </c>
      <c r="F2358" t="str">
        <f t="shared" si="520"/>
        <v>SUCMCASHINVATNOHCAMT_C__</v>
      </c>
      <c r="H2358" s="9" t="s">
        <v>1137</v>
      </c>
      <c r="K2358" s="9">
        <f t="shared" si="522"/>
        <v>67</v>
      </c>
      <c r="L2358" s="9" t="str">
        <f t="shared" si="521"/>
        <v>O</v>
      </c>
      <c r="M2358" s="9" t="str">
        <f t="shared" ref="M2358:M2359" si="527">CONCATENATE(H2358,"!",L2358,K2358)</f>
        <v>Input!O67</v>
      </c>
      <c r="N2358" s="9">
        <f>_xlfn.XLOOKUP(F2358,'Raw Data'!$I$4:$I$5000,'Raw Data'!$E$4:$E$5000,100,0)</f>
        <v>100</v>
      </c>
      <c r="O2358" s="9" t="str">
        <f>IF(N2358=0,_xlfn.XLOOKUP(F2358,'Raw Data'!$I$4:$I$5000,'Raw Data'!$H$4:$H$5000,"",0),"")</f>
        <v/>
      </c>
      <c r="P2358" s="9" t="str" cm="1">
        <f t="array" aca="1" ref="P2358" ca="1">IF(INDIRECT(M2358) = "","",INDIRECT(M2358))</f>
        <v/>
      </c>
      <c r="Q2358" s="359" t="s">
        <v>4380</v>
      </c>
      <c r="R2358" t="s">
        <v>4327</v>
      </c>
    </row>
    <row r="2359" spans="1:18" x14ac:dyDescent="0.35">
      <c r="A2359" s="694" t="s">
        <v>4501</v>
      </c>
      <c r="E2359" t="str">
        <f>_xlfn.XLOOKUP(F2359,'Raw Data'!$I$4:$I$5000,'Raw Data'!$D$4:$D$5000,"*** Mnemonic not found ***",0)</f>
        <v>*** Mnemonic not found ***</v>
      </c>
      <c r="F2359" t="str">
        <f t="shared" si="520"/>
        <v>SUCMCASHINVATNOHCHC_C__</v>
      </c>
      <c r="H2359" s="9" t="s">
        <v>1137</v>
      </c>
      <c r="K2359" s="9">
        <f t="shared" si="522"/>
        <v>68</v>
      </c>
      <c r="L2359" s="9" t="str">
        <f t="shared" si="521"/>
        <v>O</v>
      </c>
      <c r="M2359" s="9" t="str">
        <f t="shared" si="527"/>
        <v>Input!O68</v>
      </c>
      <c r="N2359" s="9">
        <f>_xlfn.XLOOKUP(F2359,'Raw Data'!$I$4:$I$5000,'Raw Data'!$E$4:$E$5000,100,0)</f>
        <v>100</v>
      </c>
      <c r="O2359" s="9" t="str">
        <f>IF(N2359=0,_xlfn.XLOOKUP(F2359,'Raw Data'!$I$4:$I$5000,'Raw Data'!$H$4:$H$5000,"",0),"")</f>
        <v/>
      </c>
      <c r="P2359" s="9" t="str" cm="1">
        <f t="array" aca="1" ref="P2359" ca="1">IF(INDIRECT(M2359) = "","",INDIRECT(M2359))</f>
        <v/>
      </c>
      <c r="Q2359" s="359" t="s">
        <v>4380</v>
      </c>
      <c r="R2359" t="s">
        <v>4328</v>
      </c>
    </row>
    <row r="2360" spans="1:18" x14ac:dyDescent="0.35">
      <c r="A2360" t="s">
        <v>3656</v>
      </c>
      <c r="E2360" t="str">
        <f>_xlfn.XLOOKUP(F2360,'Raw Data'!$I$4:$I$5000,'Raw Data'!$D$4:$D$5000,"*** Mnemonic not found ***",0)</f>
        <v>*** Mnemonic not found ***</v>
      </c>
      <c r="F2360" t="str">
        <f t="shared" si="520"/>
        <v>SUCMTOTDEBTHYB_C__</v>
      </c>
      <c r="H2360" s="9" t="s">
        <v>1137</v>
      </c>
      <c r="K2360" s="9">
        <f>K2359+2</f>
        <v>70</v>
      </c>
      <c r="L2360" s="9" t="str">
        <f>L2359</f>
        <v>O</v>
      </c>
      <c r="M2360" s="9" t="str">
        <f t="shared" ref="M2360:M2397" si="528">CONCATENATE(H2360,"!",L2360,K2360)</f>
        <v>Input!O70</v>
      </c>
      <c r="N2360" s="9">
        <f>_xlfn.XLOOKUP(F2360,'Raw Data'!$I$4:$I$5000,'Raw Data'!$E$4:$E$5000,100,0)</f>
        <v>100</v>
      </c>
      <c r="O2360" s="9" t="str">
        <f>IF(N2360=0,_xlfn.XLOOKUP(F2360,'Raw Data'!$I$4:$I$5000,'Raw Data'!$H$4:$H$5000,"",0),"")</f>
        <v/>
      </c>
      <c r="P2360" s="9" t="str" cm="1">
        <f t="array" aca="1" ref="P2360" ca="1">IF(INDIRECT(M2360) = "","",INDIRECT(M2360))</f>
        <v/>
      </c>
      <c r="Q2360" s="359" t="s">
        <v>4380</v>
      </c>
    </row>
    <row r="2361" spans="1:18" x14ac:dyDescent="0.35">
      <c r="A2361" t="s">
        <v>3657</v>
      </c>
      <c r="E2361" t="str">
        <f>_xlfn.XLOOKUP(F2361,'Raw Data'!$I$4:$I$5000,'Raw Data'!$D$4:$D$5000,"*** Mnemonic not found ***",0)</f>
        <v>*** Mnemonic not found ***</v>
      </c>
      <c r="F2361" t="str">
        <f t="shared" si="520"/>
        <v>SUCMINVSUBDECONS_C__</v>
      </c>
      <c r="H2361" s="9" t="s">
        <v>1137</v>
      </c>
      <c r="K2361" s="9">
        <f>K2360+3</f>
        <v>73</v>
      </c>
      <c r="L2361" s="9" t="str">
        <f t="shared" si="521"/>
        <v>O</v>
      </c>
      <c r="M2361" s="9" t="str">
        <f t="shared" si="528"/>
        <v>Input!O73</v>
      </c>
      <c r="N2361" s="9">
        <f>_xlfn.XLOOKUP(F2361,'Raw Data'!$I$4:$I$5000,'Raw Data'!$E$4:$E$5000,100,0)</f>
        <v>100</v>
      </c>
      <c r="O2361" s="9" t="str">
        <f>IF(N2361=0,_xlfn.XLOOKUP(F2361,'Raw Data'!$I$4:$I$5000,'Raw Data'!$H$4:$H$5000,"",0),"")</f>
        <v/>
      </c>
      <c r="P2361" s="9" t="str" cm="1">
        <f t="array" aca="1" ref="P2361" ca="1">IF(INDIRECT(M2361) = "","",INDIRECT(M2361))</f>
        <v/>
      </c>
      <c r="Q2361" s="359" t="s">
        <v>4380</v>
      </c>
    </row>
    <row r="2362" spans="1:18" x14ac:dyDescent="0.35">
      <c r="A2362" t="s">
        <v>3658</v>
      </c>
      <c r="E2362" t="str">
        <f>_xlfn.XLOOKUP(F2362,'Raw Data'!$I$4:$I$5000,'Raw Data'!$D$4:$D$5000,"*** Mnemonic not found ***",0)</f>
        <v>*** Mnemonic not found ***</v>
      </c>
      <c r="F2362" t="str">
        <f t="shared" si="520"/>
        <v>SUCMUNCONSSUBSNOCONS_C__</v>
      </c>
      <c r="H2362" s="9" t="s">
        <v>1137</v>
      </c>
      <c r="K2362" s="9">
        <f>K2361+1</f>
        <v>74</v>
      </c>
      <c r="L2362" s="9" t="str">
        <f t="shared" si="521"/>
        <v>O</v>
      </c>
      <c r="M2362" s="9" t="str">
        <f t="shared" si="528"/>
        <v>Input!O74</v>
      </c>
      <c r="N2362" s="9">
        <f>_xlfn.XLOOKUP(F2362,'Raw Data'!$I$4:$I$5000,'Raw Data'!$E$4:$E$5000,100,0)</f>
        <v>100</v>
      </c>
      <c r="O2362" s="9" t="str">
        <f>IF(N2362=0,_xlfn.XLOOKUP(F2362,'Raw Data'!$I$4:$I$5000,'Raw Data'!$H$4:$H$5000,"",0),"")</f>
        <v/>
      </c>
      <c r="P2362" s="9" t="str" cm="1">
        <f t="array" aca="1" ref="P2362" ca="1">IF(INDIRECT(M2362) = "","",INDIRECT(M2362))</f>
        <v/>
      </c>
      <c r="Q2362" s="359" t="s">
        <v>4380</v>
      </c>
    </row>
    <row r="2363" spans="1:18" x14ac:dyDescent="0.35">
      <c r="A2363" t="s">
        <v>3140</v>
      </c>
      <c r="E2363" t="str">
        <f>_xlfn.XLOOKUP(F2363,'Raw Data'!$I$4:$I$5000,'Raw Data'!$D$4:$D$5000,"*** Mnemonic not found ***",0)</f>
        <v>*** Mnemonic not found ***</v>
      </c>
      <c r="F2363" t="str">
        <f t="shared" si="520"/>
        <v>SUCMCRRCAT1_C__</v>
      </c>
      <c r="G2363" t="s">
        <v>4446</v>
      </c>
      <c r="H2363" s="9" t="s">
        <v>1137</v>
      </c>
      <c r="I2363" s="289">
        <f>ROW(section_bonds_sp_rated)</f>
        <v>79</v>
      </c>
      <c r="J2363" s="9">
        <v>3</v>
      </c>
      <c r="K2363" s="9">
        <f>I2363+J2363</f>
        <v>82</v>
      </c>
      <c r="L2363" s="9" t="str">
        <f>L2362</f>
        <v>O</v>
      </c>
      <c r="M2363" s="9" t="str">
        <f t="shared" si="528"/>
        <v>Input!O82</v>
      </c>
      <c r="N2363" s="9">
        <f>_xlfn.XLOOKUP(F2363,'Raw Data'!$I$4:$I$5000,'Raw Data'!$E$4:$E$5000,100,0)</f>
        <v>100</v>
      </c>
      <c r="O2363" s="9" t="str">
        <f>IF(N2363=0,_xlfn.XLOOKUP(F2363,'Raw Data'!$I$4:$I$5000,'Raw Data'!$H$4:$H$5000,"",0),"")</f>
        <v/>
      </c>
      <c r="P2363" s="9" t="str" cm="1">
        <f t="array" aca="1" ref="P2363" ca="1">IF(INDIRECT(M2363) = "","",INDIRECT(M2363))</f>
        <v/>
      </c>
      <c r="Q2363" s="359" t="s">
        <v>4380</v>
      </c>
    </row>
    <row r="2364" spans="1:18" x14ac:dyDescent="0.35">
      <c r="A2364" t="s">
        <v>3141</v>
      </c>
      <c r="E2364" t="str">
        <f>_xlfn.XLOOKUP(F2364,'Raw Data'!$I$4:$I$5000,'Raw Data'!$D$4:$D$5000,"*** Mnemonic not found ***",0)</f>
        <v>*** Mnemonic not found ***</v>
      </c>
      <c r="F2364" t="str">
        <f t="shared" si="520"/>
        <v>SUCMCRRCAT1_LESS1_C__</v>
      </c>
      <c r="H2364" s="9" t="s">
        <v>1137</v>
      </c>
      <c r="K2364" s="9">
        <f t="shared" ref="K2364:K2390" si="529">K2363+1</f>
        <v>83</v>
      </c>
      <c r="L2364" s="9" t="str">
        <f t="shared" si="521"/>
        <v>O</v>
      </c>
      <c r="M2364" s="9" t="str">
        <f t="shared" si="528"/>
        <v>Input!O83</v>
      </c>
      <c r="N2364" s="9">
        <f>_xlfn.XLOOKUP(F2364,'Raw Data'!$I$4:$I$5000,'Raw Data'!$E$4:$E$5000,100,0)</f>
        <v>100</v>
      </c>
      <c r="O2364" s="9" t="str">
        <f>IF(N2364=0,_xlfn.XLOOKUP(F2364,'Raw Data'!$I$4:$I$5000,'Raw Data'!$H$4:$H$5000,"",0),"")</f>
        <v/>
      </c>
      <c r="P2364" s="9" t="str" cm="1">
        <f t="array" aca="1" ref="P2364" ca="1">IF(INDIRECT(M2364) = "","",INDIRECT(M2364))</f>
        <v/>
      </c>
      <c r="Q2364" s="359" t="s">
        <v>4380</v>
      </c>
    </row>
    <row r="2365" spans="1:18" x14ac:dyDescent="0.35">
      <c r="A2365" t="s">
        <v>3142</v>
      </c>
      <c r="E2365" t="str">
        <f>_xlfn.XLOOKUP(F2365,'Raw Data'!$I$4:$I$5000,'Raw Data'!$D$4:$D$5000,"*** Mnemonic not found ***",0)</f>
        <v>*** Mnemonic not found ***</v>
      </c>
      <c r="F2365" t="str">
        <f t="shared" si="520"/>
        <v>SUCMCRRCAT1_1TO5_C__</v>
      </c>
      <c r="H2365" s="9" t="s">
        <v>1137</v>
      </c>
      <c r="K2365" s="9">
        <f t="shared" si="529"/>
        <v>84</v>
      </c>
      <c r="L2365" s="9" t="str">
        <f t="shared" si="521"/>
        <v>O</v>
      </c>
      <c r="M2365" s="9" t="str">
        <f t="shared" si="528"/>
        <v>Input!O84</v>
      </c>
      <c r="N2365" s="9">
        <f>_xlfn.XLOOKUP(F2365,'Raw Data'!$I$4:$I$5000,'Raw Data'!$E$4:$E$5000,100,0)</f>
        <v>100</v>
      </c>
      <c r="O2365" s="9" t="str">
        <f>IF(N2365=0,_xlfn.XLOOKUP(F2365,'Raw Data'!$I$4:$I$5000,'Raw Data'!$H$4:$H$5000,"",0),"")</f>
        <v/>
      </c>
      <c r="P2365" s="9" t="str" cm="1">
        <f t="array" aca="1" ref="P2365" ca="1">IF(INDIRECT(M2365) = "","",INDIRECT(M2365))</f>
        <v/>
      </c>
      <c r="Q2365" s="359" t="s">
        <v>4380</v>
      </c>
    </row>
    <row r="2366" spans="1:18" x14ac:dyDescent="0.35">
      <c r="A2366" t="s">
        <v>3143</v>
      </c>
      <c r="E2366" t="str">
        <f>_xlfn.XLOOKUP(F2366,'Raw Data'!$I$4:$I$5000,'Raw Data'!$D$4:$D$5000,"*** Mnemonic not found ***",0)</f>
        <v>*** Mnemonic not found ***</v>
      </c>
      <c r="F2366" t="str">
        <f t="shared" si="520"/>
        <v>SUCMCRRCAT1_5TO10_C__</v>
      </c>
      <c r="H2366" s="9" t="s">
        <v>1137</v>
      </c>
      <c r="K2366" s="9">
        <f t="shared" si="529"/>
        <v>85</v>
      </c>
      <c r="L2366" s="9" t="str">
        <f t="shared" si="521"/>
        <v>O</v>
      </c>
      <c r="M2366" s="9" t="str">
        <f t="shared" si="528"/>
        <v>Input!O85</v>
      </c>
      <c r="N2366" s="9">
        <f>_xlfn.XLOOKUP(F2366,'Raw Data'!$I$4:$I$5000,'Raw Data'!$E$4:$E$5000,100,0)</f>
        <v>100</v>
      </c>
      <c r="O2366" s="9" t="str">
        <f>IF(N2366=0,_xlfn.XLOOKUP(F2366,'Raw Data'!$I$4:$I$5000,'Raw Data'!$H$4:$H$5000,"",0),"")</f>
        <v/>
      </c>
      <c r="P2366" s="9" t="str" cm="1">
        <f t="array" aca="1" ref="P2366" ca="1">IF(INDIRECT(M2366) = "","",INDIRECT(M2366))</f>
        <v/>
      </c>
      <c r="Q2366" s="359" t="s">
        <v>4380</v>
      </c>
    </row>
    <row r="2367" spans="1:18" x14ac:dyDescent="0.35">
      <c r="A2367" t="s">
        <v>3144</v>
      </c>
      <c r="E2367" t="str">
        <f>_xlfn.XLOOKUP(F2367,'Raw Data'!$I$4:$I$5000,'Raw Data'!$D$4:$D$5000,"*** Mnemonic not found ***",0)</f>
        <v>*** Mnemonic not found ***</v>
      </c>
      <c r="F2367" t="str">
        <f t="shared" si="520"/>
        <v>SUCMCRRCAT1_10TO20_C__</v>
      </c>
      <c r="H2367" s="9" t="s">
        <v>1137</v>
      </c>
      <c r="K2367" s="9">
        <f t="shared" si="529"/>
        <v>86</v>
      </c>
      <c r="L2367" s="9" t="str">
        <f t="shared" si="521"/>
        <v>O</v>
      </c>
      <c r="M2367" s="9" t="str">
        <f t="shared" si="528"/>
        <v>Input!O86</v>
      </c>
      <c r="N2367" s="9">
        <f>_xlfn.XLOOKUP(F2367,'Raw Data'!$I$4:$I$5000,'Raw Data'!$E$4:$E$5000,100,0)</f>
        <v>100</v>
      </c>
      <c r="O2367" s="9" t="str">
        <f>IF(N2367=0,_xlfn.XLOOKUP(F2367,'Raw Data'!$I$4:$I$5000,'Raw Data'!$H$4:$H$5000,"",0),"")</f>
        <v/>
      </c>
      <c r="P2367" s="9" t="str" cm="1">
        <f t="array" aca="1" ref="P2367" ca="1">IF(INDIRECT(M2367) = "","",INDIRECT(M2367))</f>
        <v/>
      </c>
      <c r="Q2367" s="359" t="s">
        <v>4380</v>
      </c>
    </row>
    <row r="2368" spans="1:18" x14ac:dyDescent="0.35">
      <c r="A2368" t="s">
        <v>3145</v>
      </c>
      <c r="E2368" t="str">
        <f>_xlfn.XLOOKUP(F2368,'Raw Data'!$I$4:$I$5000,'Raw Data'!$D$4:$D$5000,"*** Mnemonic not found ***",0)</f>
        <v>*** Mnemonic not found ***</v>
      </c>
      <c r="F2368" t="str">
        <f t="shared" si="520"/>
        <v>SUCMCRRCAT1_GRTR20_C__</v>
      </c>
      <c r="H2368" s="9" t="s">
        <v>1137</v>
      </c>
      <c r="K2368" s="9">
        <f t="shared" si="529"/>
        <v>87</v>
      </c>
      <c r="L2368" s="9" t="str">
        <f t="shared" si="521"/>
        <v>O</v>
      </c>
      <c r="M2368" s="9" t="str">
        <f t="shared" si="528"/>
        <v>Input!O87</v>
      </c>
      <c r="N2368" s="9">
        <f>_xlfn.XLOOKUP(F2368,'Raw Data'!$I$4:$I$5000,'Raw Data'!$E$4:$E$5000,100,0)</f>
        <v>100</v>
      </c>
      <c r="O2368" s="9" t="str">
        <f>IF(N2368=0,_xlfn.XLOOKUP(F2368,'Raw Data'!$I$4:$I$5000,'Raw Data'!$H$4:$H$5000,"",0),"")</f>
        <v/>
      </c>
      <c r="P2368" s="9" t="str" cm="1">
        <f t="array" aca="1" ref="P2368" ca="1">IF(INDIRECT(M2368) = "","",INDIRECT(M2368))</f>
        <v/>
      </c>
      <c r="Q2368" s="359" t="s">
        <v>4380</v>
      </c>
    </row>
    <row r="2369" spans="1:17" x14ac:dyDescent="0.35">
      <c r="A2369" t="s">
        <v>3146</v>
      </c>
      <c r="E2369" t="str">
        <f>_xlfn.XLOOKUP(F2369,'Raw Data'!$I$4:$I$5000,'Raw Data'!$D$4:$D$5000,"*** Mnemonic not found ***",0)</f>
        <v>*** Mnemonic not found ***</v>
      </c>
      <c r="F2369" t="str">
        <f t="shared" si="520"/>
        <v>SUCMCRRCAT1_TOTAL_C__</v>
      </c>
      <c r="H2369" s="9" t="s">
        <v>1137</v>
      </c>
      <c r="K2369" s="9">
        <f t="shared" si="529"/>
        <v>88</v>
      </c>
      <c r="L2369" s="9" t="str">
        <f t="shared" si="521"/>
        <v>O</v>
      </c>
      <c r="M2369" s="9" t="str">
        <f t="shared" si="528"/>
        <v>Input!O88</v>
      </c>
      <c r="N2369" s="9">
        <f>_xlfn.XLOOKUP(F2369,'Raw Data'!$I$4:$I$5000,'Raw Data'!$E$4:$E$5000,100,0)</f>
        <v>100</v>
      </c>
      <c r="O2369" s="9" t="str">
        <f>IF(N2369=0,_xlfn.XLOOKUP(F2369,'Raw Data'!$I$4:$I$5000,'Raw Data'!$H$4:$H$5000,"",0),"")</f>
        <v/>
      </c>
      <c r="P2369" s="9" t="str" cm="1">
        <f t="array" aca="1" ref="P2369" ca="1">IF(INDIRECT(M2369) = "","",INDIRECT(M2369))</f>
        <v/>
      </c>
      <c r="Q2369" s="359" t="s">
        <v>4380</v>
      </c>
    </row>
    <row r="2370" spans="1:17" x14ac:dyDescent="0.35">
      <c r="A2370" t="s">
        <v>3147</v>
      </c>
      <c r="E2370" t="str">
        <f>_xlfn.XLOOKUP(F2370,'Raw Data'!$I$4:$I$5000,'Raw Data'!$D$4:$D$5000,"*** Mnemonic not found ***",0)</f>
        <v>*** Mnemonic not found ***</v>
      </c>
      <c r="F2370" t="str">
        <f t="shared" si="520"/>
        <v>SUCMCRRCAT2_C__</v>
      </c>
      <c r="H2370" s="9" t="s">
        <v>1137</v>
      </c>
      <c r="K2370" s="9">
        <f>K2369+2</f>
        <v>90</v>
      </c>
      <c r="L2370" s="9" t="str">
        <f t="shared" si="521"/>
        <v>O</v>
      </c>
      <c r="M2370" s="9" t="str">
        <f t="shared" si="528"/>
        <v>Input!O90</v>
      </c>
      <c r="N2370" s="9">
        <f>_xlfn.XLOOKUP(F2370,'Raw Data'!$I$4:$I$5000,'Raw Data'!$E$4:$E$5000,100,0)</f>
        <v>100</v>
      </c>
      <c r="O2370" s="9" t="str">
        <f>IF(N2370=0,_xlfn.XLOOKUP(F2370,'Raw Data'!$I$4:$I$5000,'Raw Data'!$H$4:$H$5000,"",0),"")</f>
        <v/>
      </c>
      <c r="P2370" s="9" t="str" cm="1">
        <f t="array" aca="1" ref="P2370" ca="1">IF(INDIRECT(M2370) = "","",INDIRECT(M2370))</f>
        <v/>
      </c>
      <c r="Q2370" s="359" t="s">
        <v>4380</v>
      </c>
    </row>
    <row r="2371" spans="1:17" x14ac:dyDescent="0.35">
      <c r="A2371" t="s">
        <v>3148</v>
      </c>
      <c r="E2371" t="str">
        <f>_xlfn.XLOOKUP(F2371,'Raw Data'!$I$4:$I$5000,'Raw Data'!$D$4:$D$5000,"*** Mnemonic not found ***",0)</f>
        <v>*** Mnemonic not found ***</v>
      </c>
      <c r="F2371" t="str">
        <f t="shared" si="520"/>
        <v>SUCMCRRCAT2_LESS1_C__</v>
      </c>
      <c r="H2371" s="9" t="s">
        <v>1137</v>
      </c>
      <c r="K2371" s="9">
        <f t="shared" si="529"/>
        <v>91</v>
      </c>
      <c r="L2371" s="9" t="str">
        <f t="shared" ref="L2371:L2428" si="530">L2370</f>
        <v>O</v>
      </c>
      <c r="M2371" s="9" t="str">
        <f t="shared" si="528"/>
        <v>Input!O91</v>
      </c>
      <c r="N2371" s="9">
        <f>_xlfn.XLOOKUP(F2371,'Raw Data'!$I$4:$I$5000,'Raw Data'!$E$4:$E$5000,100,0)</f>
        <v>100</v>
      </c>
      <c r="O2371" s="9" t="str">
        <f>IF(N2371=0,_xlfn.XLOOKUP(F2371,'Raw Data'!$I$4:$I$5000,'Raw Data'!$H$4:$H$5000,"",0),"")</f>
        <v/>
      </c>
      <c r="P2371" s="9" t="str" cm="1">
        <f t="array" aca="1" ref="P2371" ca="1">IF(INDIRECT(M2371) = "","",INDIRECT(M2371))</f>
        <v/>
      </c>
      <c r="Q2371" s="359" t="s">
        <v>4380</v>
      </c>
    </row>
    <row r="2372" spans="1:17" x14ac:dyDescent="0.35">
      <c r="A2372" t="s">
        <v>3149</v>
      </c>
      <c r="E2372" t="str">
        <f>_xlfn.XLOOKUP(F2372,'Raw Data'!$I$4:$I$5000,'Raw Data'!$D$4:$D$5000,"*** Mnemonic not found ***",0)</f>
        <v>*** Mnemonic not found ***</v>
      </c>
      <c r="F2372" t="str">
        <f t="shared" si="520"/>
        <v>SUCMCRRCAT2_1TO5_C__</v>
      </c>
      <c r="H2372" s="9" t="s">
        <v>1137</v>
      </c>
      <c r="K2372" s="9">
        <f t="shared" si="529"/>
        <v>92</v>
      </c>
      <c r="L2372" s="9" t="str">
        <f t="shared" si="530"/>
        <v>O</v>
      </c>
      <c r="M2372" s="9" t="str">
        <f t="shared" si="528"/>
        <v>Input!O92</v>
      </c>
      <c r="N2372" s="9">
        <f>_xlfn.XLOOKUP(F2372,'Raw Data'!$I$4:$I$5000,'Raw Data'!$E$4:$E$5000,100,0)</f>
        <v>100</v>
      </c>
      <c r="O2372" s="9" t="str">
        <f>IF(N2372=0,_xlfn.XLOOKUP(F2372,'Raw Data'!$I$4:$I$5000,'Raw Data'!$H$4:$H$5000,"",0),"")</f>
        <v/>
      </c>
      <c r="P2372" s="9" t="str" cm="1">
        <f t="array" aca="1" ref="P2372" ca="1">IF(INDIRECT(M2372) = "","",INDIRECT(M2372))</f>
        <v/>
      </c>
      <c r="Q2372" s="359" t="s">
        <v>4380</v>
      </c>
    </row>
    <row r="2373" spans="1:17" x14ac:dyDescent="0.35">
      <c r="A2373" t="s">
        <v>3150</v>
      </c>
      <c r="E2373" t="str">
        <f>_xlfn.XLOOKUP(F2373,'Raw Data'!$I$4:$I$5000,'Raw Data'!$D$4:$D$5000,"*** Mnemonic not found ***",0)</f>
        <v>*** Mnemonic not found ***</v>
      </c>
      <c r="F2373" t="str">
        <f t="shared" si="520"/>
        <v>SUCMCRRCAT2_5TO10_C__</v>
      </c>
      <c r="H2373" s="9" t="s">
        <v>1137</v>
      </c>
      <c r="K2373" s="9">
        <f t="shared" si="529"/>
        <v>93</v>
      </c>
      <c r="L2373" s="9" t="str">
        <f t="shared" si="530"/>
        <v>O</v>
      </c>
      <c r="M2373" s="9" t="str">
        <f t="shared" si="528"/>
        <v>Input!O93</v>
      </c>
      <c r="N2373" s="9">
        <f>_xlfn.XLOOKUP(F2373,'Raw Data'!$I$4:$I$5000,'Raw Data'!$E$4:$E$5000,100,0)</f>
        <v>100</v>
      </c>
      <c r="O2373" s="9" t="str">
        <f>IF(N2373=0,_xlfn.XLOOKUP(F2373,'Raw Data'!$I$4:$I$5000,'Raw Data'!$H$4:$H$5000,"",0),"")</f>
        <v/>
      </c>
      <c r="P2373" s="9" t="str" cm="1">
        <f t="array" aca="1" ref="P2373" ca="1">IF(INDIRECT(M2373) = "","",INDIRECT(M2373))</f>
        <v/>
      </c>
      <c r="Q2373" s="359" t="s">
        <v>4380</v>
      </c>
    </row>
    <row r="2374" spans="1:17" x14ac:dyDescent="0.35">
      <c r="A2374" t="s">
        <v>3151</v>
      </c>
      <c r="E2374" t="str">
        <f>_xlfn.XLOOKUP(F2374,'Raw Data'!$I$4:$I$5000,'Raw Data'!$D$4:$D$5000,"*** Mnemonic not found ***",0)</f>
        <v>*** Mnemonic not found ***</v>
      </c>
      <c r="F2374" t="str">
        <f t="shared" si="520"/>
        <v>SUCMCRRCAT2_10TO20_C__</v>
      </c>
      <c r="H2374" s="9" t="s">
        <v>1137</v>
      </c>
      <c r="K2374" s="9">
        <f t="shared" si="529"/>
        <v>94</v>
      </c>
      <c r="L2374" s="9" t="str">
        <f t="shared" si="530"/>
        <v>O</v>
      </c>
      <c r="M2374" s="9" t="str">
        <f t="shared" si="528"/>
        <v>Input!O94</v>
      </c>
      <c r="N2374" s="9">
        <f>_xlfn.XLOOKUP(F2374,'Raw Data'!$I$4:$I$5000,'Raw Data'!$E$4:$E$5000,100,0)</f>
        <v>100</v>
      </c>
      <c r="O2374" s="9" t="str">
        <f>IF(N2374=0,_xlfn.XLOOKUP(F2374,'Raw Data'!$I$4:$I$5000,'Raw Data'!$H$4:$H$5000,"",0),"")</f>
        <v/>
      </c>
      <c r="P2374" s="9" t="str" cm="1">
        <f t="array" aca="1" ref="P2374" ca="1">IF(INDIRECT(M2374) = "","",INDIRECT(M2374))</f>
        <v/>
      </c>
      <c r="Q2374" s="359" t="s">
        <v>4380</v>
      </c>
    </row>
    <row r="2375" spans="1:17" x14ac:dyDescent="0.35">
      <c r="A2375" t="s">
        <v>3152</v>
      </c>
      <c r="E2375" t="str">
        <f>_xlfn.XLOOKUP(F2375,'Raw Data'!$I$4:$I$5000,'Raw Data'!$D$4:$D$5000,"*** Mnemonic not found ***",0)</f>
        <v>*** Mnemonic not found ***</v>
      </c>
      <c r="F2375" t="str">
        <f t="shared" si="520"/>
        <v>SUCMCRRCAT2_GRTR20_C__</v>
      </c>
      <c r="H2375" s="9" t="s">
        <v>1137</v>
      </c>
      <c r="K2375" s="9">
        <f t="shared" si="529"/>
        <v>95</v>
      </c>
      <c r="L2375" s="9" t="str">
        <f t="shared" si="530"/>
        <v>O</v>
      </c>
      <c r="M2375" s="9" t="str">
        <f t="shared" si="528"/>
        <v>Input!O95</v>
      </c>
      <c r="N2375" s="9">
        <f>_xlfn.XLOOKUP(F2375,'Raw Data'!$I$4:$I$5000,'Raw Data'!$E$4:$E$5000,100,0)</f>
        <v>100</v>
      </c>
      <c r="O2375" s="9" t="str">
        <f>IF(N2375=0,_xlfn.XLOOKUP(F2375,'Raw Data'!$I$4:$I$5000,'Raw Data'!$H$4:$H$5000,"",0),"")</f>
        <v/>
      </c>
      <c r="P2375" s="9" t="str" cm="1">
        <f t="array" aca="1" ref="P2375" ca="1">IF(INDIRECT(M2375) = "","",INDIRECT(M2375))</f>
        <v/>
      </c>
      <c r="Q2375" s="359" t="s">
        <v>4380</v>
      </c>
    </row>
    <row r="2376" spans="1:17" x14ac:dyDescent="0.35">
      <c r="A2376" t="s">
        <v>3153</v>
      </c>
      <c r="E2376" t="str">
        <f>_xlfn.XLOOKUP(F2376,'Raw Data'!$I$4:$I$5000,'Raw Data'!$D$4:$D$5000,"*** Mnemonic not found ***",0)</f>
        <v>*** Mnemonic not found ***</v>
      </c>
      <c r="F2376" t="str">
        <f t="shared" si="520"/>
        <v>SUCMCRRCAT2_TOTAL_C__</v>
      </c>
      <c r="H2376" s="9" t="s">
        <v>1137</v>
      </c>
      <c r="K2376" s="9">
        <f t="shared" si="529"/>
        <v>96</v>
      </c>
      <c r="L2376" s="9" t="str">
        <f t="shared" si="530"/>
        <v>O</v>
      </c>
      <c r="M2376" s="9" t="str">
        <f t="shared" si="528"/>
        <v>Input!O96</v>
      </c>
      <c r="N2376" s="9">
        <f>_xlfn.XLOOKUP(F2376,'Raw Data'!$I$4:$I$5000,'Raw Data'!$E$4:$E$5000,100,0)</f>
        <v>100</v>
      </c>
      <c r="O2376" s="9" t="str">
        <f>IF(N2376=0,_xlfn.XLOOKUP(F2376,'Raw Data'!$I$4:$I$5000,'Raw Data'!$H$4:$H$5000,"",0),"")</f>
        <v/>
      </c>
      <c r="P2376" s="9" t="str" cm="1">
        <f t="array" aca="1" ref="P2376" ca="1">IF(INDIRECT(M2376) = "","",INDIRECT(M2376))</f>
        <v/>
      </c>
      <c r="Q2376" s="359" t="s">
        <v>4380</v>
      </c>
    </row>
    <row r="2377" spans="1:17" x14ac:dyDescent="0.35">
      <c r="A2377" t="s">
        <v>3154</v>
      </c>
      <c r="E2377" t="str">
        <f>_xlfn.XLOOKUP(F2377,'Raw Data'!$I$4:$I$5000,'Raw Data'!$D$4:$D$5000,"*** Mnemonic not found ***",0)</f>
        <v>*** Mnemonic not found ***</v>
      </c>
      <c r="F2377" t="str">
        <f t="shared" si="520"/>
        <v>SUCMCRRCAT3_C__</v>
      </c>
      <c r="H2377" s="9" t="s">
        <v>1137</v>
      </c>
      <c r="K2377" s="9">
        <f>K2376+2</f>
        <v>98</v>
      </c>
      <c r="L2377" s="9" t="str">
        <f t="shared" si="530"/>
        <v>O</v>
      </c>
      <c r="M2377" s="9" t="str">
        <f t="shared" si="528"/>
        <v>Input!O98</v>
      </c>
      <c r="N2377" s="9">
        <f>_xlfn.XLOOKUP(F2377,'Raw Data'!$I$4:$I$5000,'Raw Data'!$E$4:$E$5000,100,0)</f>
        <v>100</v>
      </c>
      <c r="O2377" s="9" t="str">
        <f>IF(N2377=0,_xlfn.XLOOKUP(F2377,'Raw Data'!$I$4:$I$5000,'Raw Data'!$H$4:$H$5000,"",0),"")</f>
        <v/>
      </c>
      <c r="P2377" s="9" t="str" cm="1">
        <f t="array" aca="1" ref="P2377" ca="1">IF(INDIRECT(M2377) = "","",INDIRECT(M2377))</f>
        <v/>
      </c>
      <c r="Q2377" s="359" t="s">
        <v>4380</v>
      </c>
    </row>
    <row r="2378" spans="1:17" x14ac:dyDescent="0.35">
      <c r="A2378" t="s">
        <v>3155</v>
      </c>
      <c r="E2378" t="str">
        <f>_xlfn.XLOOKUP(F2378,'Raw Data'!$I$4:$I$5000,'Raw Data'!$D$4:$D$5000,"*** Mnemonic not found ***",0)</f>
        <v>*** Mnemonic not found ***</v>
      </c>
      <c r="F2378" t="str">
        <f t="shared" si="520"/>
        <v>SUCMCRRCAT3_LESS1_C__</v>
      </c>
      <c r="H2378" s="9" t="s">
        <v>1137</v>
      </c>
      <c r="K2378" s="9">
        <f t="shared" si="529"/>
        <v>99</v>
      </c>
      <c r="L2378" s="9" t="str">
        <f t="shared" si="530"/>
        <v>O</v>
      </c>
      <c r="M2378" s="9" t="str">
        <f t="shared" si="528"/>
        <v>Input!O99</v>
      </c>
      <c r="N2378" s="9">
        <f>_xlfn.XLOOKUP(F2378,'Raw Data'!$I$4:$I$5000,'Raw Data'!$E$4:$E$5000,100,0)</f>
        <v>100</v>
      </c>
      <c r="O2378" s="9" t="str">
        <f>IF(N2378=0,_xlfn.XLOOKUP(F2378,'Raw Data'!$I$4:$I$5000,'Raw Data'!$H$4:$H$5000,"",0),"")</f>
        <v/>
      </c>
      <c r="P2378" s="9" t="str" cm="1">
        <f t="array" aca="1" ref="P2378" ca="1">IF(INDIRECT(M2378) = "","",INDIRECT(M2378))</f>
        <v/>
      </c>
      <c r="Q2378" s="359" t="s">
        <v>4380</v>
      </c>
    </row>
    <row r="2379" spans="1:17" x14ac:dyDescent="0.35">
      <c r="A2379" t="s">
        <v>3156</v>
      </c>
      <c r="E2379" t="str">
        <f>_xlfn.XLOOKUP(F2379,'Raw Data'!$I$4:$I$5000,'Raw Data'!$D$4:$D$5000,"*** Mnemonic not found ***",0)</f>
        <v>*** Mnemonic not found ***</v>
      </c>
      <c r="F2379" t="str">
        <f t="shared" si="520"/>
        <v>SUCMCRRCAT3_1TO5_C__</v>
      </c>
      <c r="H2379" s="9" t="s">
        <v>1137</v>
      </c>
      <c r="K2379" s="9">
        <f t="shared" si="529"/>
        <v>100</v>
      </c>
      <c r="L2379" s="9" t="str">
        <f t="shared" si="530"/>
        <v>O</v>
      </c>
      <c r="M2379" s="9" t="str">
        <f t="shared" si="528"/>
        <v>Input!O100</v>
      </c>
      <c r="N2379" s="9">
        <f>_xlfn.XLOOKUP(F2379,'Raw Data'!$I$4:$I$5000,'Raw Data'!$E$4:$E$5000,100,0)</f>
        <v>100</v>
      </c>
      <c r="O2379" s="9" t="str">
        <f>IF(N2379=0,_xlfn.XLOOKUP(F2379,'Raw Data'!$I$4:$I$5000,'Raw Data'!$H$4:$H$5000,"",0),"")</f>
        <v/>
      </c>
      <c r="P2379" s="9" t="str" cm="1">
        <f t="array" aca="1" ref="P2379" ca="1">IF(INDIRECT(M2379) = "","",INDIRECT(M2379))</f>
        <v/>
      </c>
      <c r="Q2379" s="359" t="s">
        <v>4380</v>
      </c>
    </row>
    <row r="2380" spans="1:17" x14ac:dyDescent="0.35">
      <c r="A2380" t="s">
        <v>3157</v>
      </c>
      <c r="E2380" t="str">
        <f>_xlfn.XLOOKUP(F2380,'Raw Data'!$I$4:$I$5000,'Raw Data'!$D$4:$D$5000,"*** Mnemonic not found ***",0)</f>
        <v>*** Mnemonic not found ***</v>
      </c>
      <c r="F2380" t="str">
        <f t="shared" si="520"/>
        <v>SUCMCRRCAT3_5TO10_C__</v>
      </c>
      <c r="H2380" s="9" t="s">
        <v>1137</v>
      </c>
      <c r="K2380" s="9">
        <f t="shared" si="529"/>
        <v>101</v>
      </c>
      <c r="L2380" s="9" t="str">
        <f t="shared" si="530"/>
        <v>O</v>
      </c>
      <c r="M2380" s="9" t="str">
        <f t="shared" si="528"/>
        <v>Input!O101</v>
      </c>
      <c r="N2380" s="9">
        <f>_xlfn.XLOOKUP(F2380,'Raw Data'!$I$4:$I$5000,'Raw Data'!$E$4:$E$5000,100,0)</f>
        <v>100</v>
      </c>
      <c r="O2380" s="9" t="str">
        <f>IF(N2380=0,_xlfn.XLOOKUP(F2380,'Raw Data'!$I$4:$I$5000,'Raw Data'!$H$4:$H$5000,"",0),"")</f>
        <v/>
      </c>
      <c r="P2380" s="9" t="str" cm="1">
        <f t="array" aca="1" ref="P2380" ca="1">IF(INDIRECT(M2380) = "","",INDIRECT(M2380))</f>
        <v/>
      </c>
      <c r="Q2380" s="359" t="s">
        <v>4380</v>
      </c>
    </row>
    <row r="2381" spans="1:17" x14ac:dyDescent="0.35">
      <c r="A2381" t="s">
        <v>3158</v>
      </c>
      <c r="E2381" t="str">
        <f>_xlfn.XLOOKUP(F2381,'Raw Data'!$I$4:$I$5000,'Raw Data'!$D$4:$D$5000,"*** Mnemonic not found ***",0)</f>
        <v>*** Mnemonic not found ***</v>
      </c>
      <c r="F2381" t="str">
        <f t="shared" si="520"/>
        <v>SUCMCRRCAT3_10TO20_C__</v>
      </c>
      <c r="H2381" s="9" t="s">
        <v>1137</v>
      </c>
      <c r="K2381" s="9">
        <f t="shared" si="529"/>
        <v>102</v>
      </c>
      <c r="L2381" s="9" t="str">
        <f t="shared" si="530"/>
        <v>O</v>
      </c>
      <c r="M2381" s="9" t="str">
        <f t="shared" si="528"/>
        <v>Input!O102</v>
      </c>
      <c r="N2381" s="9">
        <f>_xlfn.XLOOKUP(F2381,'Raw Data'!$I$4:$I$5000,'Raw Data'!$E$4:$E$5000,100,0)</f>
        <v>100</v>
      </c>
      <c r="O2381" s="9" t="str">
        <f>IF(N2381=0,_xlfn.XLOOKUP(F2381,'Raw Data'!$I$4:$I$5000,'Raw Data'!$H$4:$H$5000,"",0),"")</f>
        <v/>
      </c>
      <c r="P2381" s="9" t="str" cm="1">
        <f t="array" aca="1" ref="P2381" ca="1">IF(INDIRECT(M2381) = "","",INDIRECT(M2381))</f>
        <v/>
      </c>
      <c r="Q2381" s="359" t="s">
        <v>4380</v>
      </c>
    </row>
    <row r="2382" spans="1:17" x14ac:dyDescent="0.35">
      <c r="A2382" t="s">
        <v>3159</v>
      </c>
      <c r="E2382" t="str">
        <f>_xlfn.XLOOKUP(F2382,'Raw Data'!$I$4:$I$5000,'Raw Data'!$D$4:$D$5000,"*** Mnemonic not found ***",0)</f>
        <v>*** Mnemonic not found ***</v>
      </c>
      <c r="F2382" t="str">
        <f t="shared" ref="F2382:F2445" si="531">CONCATENATE(A2382,"_",B2382,"_",D2382)</f>
        <v>SUCMCRRCAT3_GRTR20_C__</v>
      </c>
      <c r="H2382" s="9" t="s">
        <v>1137</v>
      </c>
      <c r="K2382" s="9">
        <f t="shared" si="529"/>
        <v>103</v>
      </c>
      <c r="L2382" s="9" t="str">
        <f t="shared" si="530"/>
        <v>O</v>
      </c>
      <c r="M2382" s="9" t="str">
        <f t="shared" si="528"/>
        <v>Input!O103</v>
      </c>
      <c r="N2382" s="9">
        <f>_xlfn.XLOOKUP(F2382,'Raw Data'!$I$4:$I$5000,'Raw Data'!$E$4:$E$5000,100,0)</f>
        <v>100</v>
      </c>
      <c r="O2382" s="9" t="str">
        <f>IF(N2382=0,_xlfn.XLOOKUP(F2382,'Raw Data'!$I$4:$I$5000,'Raw Data'!$H$4:$H$5000,"",0),"")</f>
        <v/>
      </c>
      <c r="P2382" s="9" t="str" cm="1">
        <f t="array" aca="1" ref="P2382" ca="1">IF(INDIRECT(M2382) = "","",INDIRECT(M2382))</f>
        <v/>
      </c>
      <c r="Q2382" s="359" t="s">
        <v>4380</v>
      </c>
    </row>
    <row r="2383" spans="1:17" x14ac:dyDescent="0.35">
      <c r="A2383" t="s">
        <v>3160</v>
      </c>
      <c r="E2383" t="str">
        <f>_xlfn.XLOOKUP(F2383,'Raw Data'!$I$4:$I$5000,'Raw Data'!$D$4:$D$5000,"*** Mnemonic not found ***",0)</f>
        <v>*** Mnemonic not found ***</v>
      </c>
      <c r="F2383" t="str">
        <f t="shared" si="531"/>
        <v>SUCMCRRCAT3_TOTAL_C__</v>
      </c>
      <c r="H2383" s="9" t="s">
        <v>1137</v>
      </c>
      <c r="K2383" s="9">
        <f t="shared" si="529"/>
        <v>104</v>
      </c>
      <c r="L2383" s="9" t="str">
        <f t="shared" si="530"/>
        <v>O</v>
      </c>
      <c r="M2383" s="9" t="str">
        <f t="shared" si="528"/>
        <v>Input!O104</v>
      </c>
      <c r="N2383" s="9">
        <f>_xlfn.XLOOKUP(F2383,'Raw Data'!$I$4:$I$5000,'Raw Data'!$E$4:$E$5000,100,0)</f>
        <v>100</v>
      </c>
      <c r="O2383" s="9" t="str">
        <f>IF(N2383=0,_xlfn.XLOOKUP(F2383,'Raw Data'!$I$4:$I$5000,'Raw Data'!$H$4:$H$5000,"",0),"")</f>
        <v/>
      </c>
      <c r="P2383" s="9" t="str" cm="1">
        <f t="array" aca="1" ref="P2383" ca="1">IF(INDIRECT(M2383) = "","",INDIRECT(M2383))</f>
        <v/>
      </c>
      <c r="Q2383" s="359" t="s">
        <v>4380</v>
      </c>
    </row>
    <row r="2384" spans="1:17" x14ac:dyDescent="0.35">
      <c r="A2384" t="s">
        <v>3161</v>
      </c>
      <c r="E2384" t="str">
        <f>_xlfn.XLOOKUP(F2384,'Raw Data'!$I$4:$I$5000,'Raw Data'!$D$4:$D$5000,"*** Mnemonic not found ***",0)</f>
        <v>*** Mnemonic not found ***</v>
      </c>
      <c r="F2384" t="str">
        <f t="shared" si="531"/>
        <v>SUCMCRRCAT4_C__</v>
      </c>
      <c r="H2384" s="9" t="s">
        <v>1137</v>
      </c>
      <c r="K2384" s="9">
        <f>K2383+2</f>
        <v>106</v>
      </c>
      <c r="L2384" s="9" t="str">
        <f t="shared" si="530"/>
        <v>O</v>
      </c>
      <c r="M2384" s="9" t="str">
        <f t="shared" si="528"/>
        <v>Input!O106</v>
      </c>
      <c r="N2384" s="9">
        <f>_xlfn.XLOOKUP(F2384,'Raw Data'!$I$4:$I$5000,'Raw Data'!$E$4:$E$5000,100,0)</f>
        <v>100</v>
      </c>
      <c r="O2384" s="9" t="str">
        <f>IF(N2384=0,_xlfn.XLOOKUP(F2384,'Raw Data'!$I$4:$I$5000,'Raw Data'!$H$4:$H$5000,"",0),"")</f>
        <v/>
      </c>
      <c r="P2384" s="9" t="str" cm="1">
        <f t="array" aca="1" ref="P2384" ca="1">IF(INDIRECT(M2384) = "","",INDIRECT(M2384))</f>
        <v/>
      </c>
      <c r="Q2384" s="359" t="s">
        <v>4380</v>
      </c>
    </row>
    <row r="2385" spans="1:17" x14ac:dyDescent="0.35">
      <c r="A2385" t="s">
        <v>3162</v>
      </c>
      <c r="E2385" t="str">
        <f>_xlfn.XLOOKUP(F2385,'Raw Data'!$I$4:$I$5000,'Raw Data'!$D$4:$D$5000,"*** Mnemonic not found ***",0)</f>
        <v>*** Mnemonic not found ***</v>
      </c>
      <c r="F2385" t="str">
        <f t="shared" si="531"/>
        <v>SUCMCRRCAT4_LESS1_C__</v>
      </c>
      <c r="H2385" s="9" t="s">
        <v>1137</v>
      </c>
      <c r="K2385" s="9">
        <f t="shared" si="529"/>
        <v>107</v>
      </c>
      <c r="L2385" s="9" t="str">
        <f t="shared" si="530"/>
        <v>O</v>
      </c>
      <c r="M2385" s="9" t="str">
        <f t="shared" si="528"/>
        <v>Input!O107</v>
      </c>
      <c r="N2385" s="9">
        <f>_xlfn.XLOOKUP(F2385,'Raw Data'!$I$4:$I$5000,'Raw Data'!$E$4:$E$5000,100,0)</f>
        <v>100</v>
      </c>
      <c r="O2385" s="9" t="str">
        <f>IF(N2385=0,_xlfn.XLOOKUP(F2385,'Raw Data'!$I$4:$I$5000,'Raw Data'!$H$4:$H$5000,"",0),"")</f>
        <v/>
      </c>
      <c r="P2385" s="9" t="str" cm="1">
        <f t="array" aca="1" ref="P2385" ca="1">IF(INDIRECT(M2385) = "","",INDIRECT(M2385))</f>
        <v/>
      </c>
      <c r="Q2385" s="359" t="s">
        <v>4380</v>
      </c>
    </row>
    <row r="2386" spans="1:17" x14ac:dyDescent="0.35">
      <c r="A2386" t="s">
        <v>3163</v>
      </c>
      <c r="E2386" t="str">
        <f>_xlfn.XLOOKUP(F2386,'Raw Data'!$I$4:$I$5000,'Raw Data'!$D$4:$D$5000,"*** Mnemonic not found ***",0)</f>
        <v>*** Mnemonic not found ***</v>
      </c>
      <c r="F2386" t="str">
        <f t="shared" si="531"/>
        <v>SUCMCRRCAT4_1TO5_C__</v>
      </c>
      <c r="H2386" s="9" t="s">
        <v>1137</v>
      </c>
      <c r="K2386" s="9">
        <f t="shared" si="529"/>
        <v>108</v>
      </c>
      <c r="L2386" s="9" t="str">
        <f t="shared" si="530"/>
        <v>O</v>
      </c>
      <c r="M2386" s="9" t="str">
        <f t="shared" si="528"/>
        <v>Input!O108</v>
      </c>
      <c r="N2386" s="9">
        <f>_xlfn.XLOOKUP(F2386,'Raw Data'!$I$4:$I$5000,'Raw Data'!$E$4:$E$5000,100,0)</f>
        <v>100</v>
      </c>
      <c r="O2386" s="9" t="str">
        <f>IF(N2386=0,_xlfn.XLOOKUP(F2386,'Raw Data'!$I$4:$I$5000,'Raw Data'!$H$4:$H$5000,"",0),"")</f>
        <v/>
      </c>
      <c r="P2386" s="9" t="str" cm="1">
        <f t="array" aca="1" ref="P2386" ca="1">IF(INDIRECT(M2386) = "","",INDIRECT(M2386))</f>
        <v/>
      </c>
      <c r="Q2386" s="359" t="s">
        <v>4380</v>
      </c>
    </row>
    <row r="2387" spans="1:17" x14ac:dyDescent="0.35">
      <c r="A2387" t="s">
        <v>3164</v>
      </c>
      <c r="E2387" t="str">
        <f>_xlfn.XLOOKUP(F2387,'Raw Data'!$I$4:$I$5000,'Raw Data'!$D$4:$D$5000,"*** Mnemonic not found ***",0)</f>
        <v>*** Mnemonic not found ***</v>
      </c>
      <c r="F2387" t="str">
        <f t="shared" si="531"/>
        <v>SUCMCRRCAT4_5TO10_C__</v>
      </c>
      <c r="H2387" s="9" t="s">
        <v>1137</v>
      </c>
      <c r="K2387" s="9">
        <f t="shared" si="529"/>
        <v>109</v>
      </c>
      <c r="L2387" s="9" t="str">
        <f t="shared" si="530"/>
        <v>O</v>
      </c>
      <c r="M2387" s="9" t="str">
        <f t="shared" si="528"/>
        <v>Input!O109</v>
      </c>
      <c r="N2387" s="9">
        <f>_xlfn.XLOOKUP(F2387,'Raw Data'!$I$4:$I$5000,'Raw Data'!$E$4:$E$5000,100,0)</f>
        <v>100</v>
      </c>
      <c r="O2387" s="9" t="str">
        <f>IF(N2387=0,_xlfn.XLOOKUP(F2387,'Raw Data'!$I$4:$I$5000,'Raw Data'!$H$4:$H$5000,"",0),"")</f>
        <v/>
      </c>
      <c r="P2387" s="9" t="str" cm="1">
        <f t="array" aca="1" ref="P2387" ca="1">IF(INDIRECT(M2387) = "","",INDIRECT(M2387))</f>
        <v/>
      </c>
      <c r="Q2387" s="359" t="s">
        <v>4380</v>
      </c>
    </row>
    <row r="2388" spans="1:17" x14ac:dyDescent="0.35">
      <c r="A2388" t="s">
        <v>3165</v>
      </c>
      <c r="E2388" t="str">
        <f>_xlfn.XLOOKUP(F2388,'Raw Data'!$I$4:$I$5000,'Raw Data'!$D$4:$D$5000,"*** Mnemonic not found ***",0)</f>
        <v>*** Mnemonic not found ***</v>
      </c>
      <c r="F2388" t="str">
        <f t="shared" si="531"/>
        <v>SUCMCRRCAT4_10TO20_C__</v>
      </c>
      <c r="H2388" s="9" t="s">
        <v>1137</v>
      </c>
      <c r="K2388" s="9">
        <f t="shared" si="529"/>
        <v>110</v>
      </c>
      <c r="L2388" s="9" t="str">
        <f t="shared" si="530"/>
        <v>O</v>
      </c>
      <c r="M2388" s="9" t="str">
        <f t="shared" si="528"/>
        <v>Input!O110</v>
      </c>
      <c r="N2388" s="9">
        <f>_xlfn.XLOOKUP(F2388,'Raw Data'!$I$4:$I$5000,'Raw Data'!$E$4:$E$5000,100,0)</f>
        <v>100</v>
      </c>
      <c r="O2388" s="9" t="str">
        <f>IF(N2388=0,_xlfn.XLOOKUP(F2388,'Raw Data'!$I$4:$I$5000,'Raw Data'!$H$4:$H$5000,"",0),"")</f>
        <v/>
      </c>
      <c r="P2388" s="9" t="str" cm="1">
        <f t="array" aca="1" ref="P2388" ca="1">IF(INDIRECT(M2388) = "","",INDIRECT(M2388))</f>
        <v/>
      </c>
      <c r="Q2388" s="359" t="s">
        <v>4380</v>
      </c>
    </row>
    <row r="2389" spans="1:17" x14ac:dyDescent="0.35">
      <c r="A2389" t="s">
        <v>3166</v>
      </c>
      <c r="E2389" t="str">
        <f>_xlfn.XLOOKUP(F2389,'Raw Data'!$I$4:$I$5000,'Raw Data'!$D$4:$D$5000,"*** Mnemonic not found ***",0)</f>
        <v>*** Mnemonic not found ***</v>
      </c>
      <c r="F2389" t="str">
        <f t="shared" si="531"/>
        <v>SUCMCRRCAT4_GRTR20_C__</v>
      </c>
      <c r="H2389" s="9" t="s">
        <v>1137</v>
      </c>
      <c r="K2389" s="9">
        <f t="shared" si="529"/>
        <v>111</v>
      </c>
      <c r="L2389" s="9" t="str">
        <f t="shared" si="530"/>
        <v>O</v>
      </c>
      <c r="M2389" s="9" t="str">
        <f t="shared" si="528"/>
        <v>Input!O111</v>
      </c>
      <c r="N2389" s="9">
        <f>_xlfn.XLOOKUP(F2389,'Raw Data'!$I$4:$I$5000,'Raw Data'!$E$4:$E$5000,100,0)</f>
        <v>100</v>
      </c>
      <c r="O2389" s="9" t="str">
        <f>IF(N2389=0,_xlfn.XLOOKUP(F2389,'Raw Data'!$I$4:$I$5000,'Raw Data'!$H$4:$H$5000,"",0),"")</f>
        <v/>
      </c>
      <c r="P2389" s="9" t="str" cm="1">
        <f t="array" aca="1" ref="P2389" ca="1">IF(INDIRECT(M2389) = "","",INDIRECT(M2389))</f>
        <v/>
      </c>
      <c r="Q2389" s="359" t="s">
        <v>4380</v>
      </c>
    </row>
    <row r="2390" spans="1:17" x14ac:dyDescent="0.35">
      <c r="A2390" t="s">
        <v>3167</v>
      </c>
      <c r="E2390" t="str">
        <f>_xlfn.XLOOKUP(F2390,'Raw Data'!$I$4:$I$5000,'Raw Data'!$D$4:$D$5000,"*** Mnemonic not found ***",0)</f>
        <v>*** Mnemonic not found ***</v>
      </c>
      <c r="F2390" t="str">
        <f t="shared" si="531"/>
        <v>SUCMCRRCAT4_TOTAL_C__</v>
      </c>
      <c r="H2390" s="9" t="s">
        <v>1137</v>
      </c>
      <c r="K2390" s="9">
        <f t="shared" si="529"/>
        <v>112</v>
      </c>
      <c r="L2390" s="9" t="str">
        <f t="shared" si="530"/>
        <v>O</v>
      </c>
      <c r="M2390" s="9" t="str">
        <f t="shared" si="528"/>
        <v>Input!O112</v>
      </c>
      <c r="N2390" s="9">
        <f>_xlfn.XLOOKUP(F2390,'Raw Data'!$I$4:$I$5000,'Raw Data'!$E$4:$E$5000,100,0)</f>
        <v>100</v>
      </c>
      <c r="O2390" s="9" t="str">
        <f>IF(N2390=0,_xlfn.XLOOKUP(F2390,'Raw Data'!$I$4:$I$5000,'Raw Data'!$H$4:$H$5000,"",0),"")</f>
        <v/>
      </c>
      <c r="P2390" s="9" t="str" cm="1">
        <f t="array" aca="1" ref="P2390" ca="1">IF(INDIRECT(M2390) = "","",INDIRECT(M2390))</f>
        <v/>
      </c>
      <c r="Q2390" s="359" t="s">
        <v>4380</v>
      </c>
    </row>
    <row r="2391" spans="1:17" x14ac:dyDescent="0.35">
      <c r="A2391" t="s">
        <v>3168</v>
      </c>
      <c r="E2391" t="str">
        <f>_xlfn.XLOOKUP(F2391,'Raw Data'!$I$4:$I$5000,'Raw Data'!$D$4:$D$5000,"*** Mnemonic not found ***",0)</f>
        <v>*** Mnemonic not found ***</v>
      </c>
      <c r="F2391" t="str">
        <f t="shared" si="531"/>
        <v>SUCMCRRGRANDTOT_C__</v>
      </c>
      <c r="H2391" s="9" t="s">
        <v>1137</v>
      </c>
      <c r="K2391" s="9">
        <f>K2390+3</f>
        <v>115</v>
      </c>
      <c r="L2391" s="9" t="str">
        <f t="shared" si="530"/>
        <v>O</v>
      </c>
      <c r="M2391" s="9" t="str">
        <f t="shared" si="528"/>
        <v>Input!O115</v>
      </c>
      <c r="N2391" s="9">
        <f>_xlfn.XLOOKUP(F2391,'Raw Data'!$I$4:$I$5000,'Raw Data'!$E$4:$E$5000,100,0)</f>
        <v>100</v>
      </c>
      <c r="O2391" s="9" t="str">
        <f>IF(N2391=0,_xlfn.XLOOKUP(F2391,'Raw Data'!$I$4:$I$5000,'Raw Data'!$H$4:$H$5000,"",0),"")</f>
        <v/>
      </c>
      <c r="P2391" s="9" t="str" cm="1">
        <f t="array" aca="1" ref="P2391" ca="1">IF(INDIRECT(M2391) = "","",INDIRECT(M2391))</f>
        <v/>
      </c>
      <c r="Q2391" s="359" t="s">
        <v>4380</v>
      </c>
    </row>
    <row r="2392" spans="1:17" x14ac:dyDescent="0.35">
      <c r="A2392" t="s">
        <v>3169</v>
      </c>
      <c r="E2392" t="str">
        <f>_xlfn.XLOOKUP(F2392,'Raw Data'!$I$4:$I$5000,'Raw Data'!$D$4:$D$5000,"*** Mnemonic not found ***",0)</f>
        <v>*** Mnemonic not found ***</v>
      </c>
      <c r="F2392" t="str">
        <f t="shared" si="531"/>
        <v>SUCMALTCAT1_C__</v>
      </c>
      <c r="G2392" t="s">
        <v>4447</v>
      </c>
      <c r="H2392" s="9" t="s">
        <v>1137</v>
      </c>
      <c r="I2392" s="289">
        <f>ROW(section_bonds_sp_unrated_step_2_3)</f>
        <v>118</v>
      </c>
      <c r="J2392" s="9">
        <v>4</v>
      </c>
      <c r="K2392" s="9">
        <f>I2392+J2392</f>
        <v>122</v>
      </c>
      <c r="L2392" s="9" t="str">
        <f>L2391</f>
        <v>O</v>
      </c>
      <c r="M2392" s="9" t="str">
        <f t="shared" si="528"/>
        <v>Input!O122</v>
      </c>
      <c r="N2392" s="9">
        <f>_xlfn.XLOOKUP(F2392,'Raw Data'!$I$4:$I$5000,'Raw Data'!$E$4:$E$5000,100,0)</f>
        <v>100</v>
      </c>
      <c r="O2392" s="9" t="str">
        <f>IF(N2392=0,_xlfn.XLOOKUP(F2392,'Raw Data'!$I$4:$I$5000,'Raw Data'!$H$4:$H$5000,"",0),"")</f>
        <v/>
      </c>
      <c r="P2392" s="9" t="str" cm="1">
        <f t="array" aca="1" ref="P2392" ca="1">IF(INDIRECT(M2392) = "","",INDIRECT(M2392))</f>
        <v/>
      </c>
      <c r="Q2392" s="359" t="s">
        <v>4380</v>
      </c>
    </row>
    <row r="2393" spans="1:17" x14ac:dyDescent="0.35">
      <c r="A2393" t="s">
        <v>3170</v>
      </c>
      <c r="E2393" t="str">
        <f>_xlfn.XLOOKUP(F2393,'Raw Data'!$I$4:$I$5000,'Raw Data'!$D$4:$D$5000,"*** Mnemonic not found ***",0)</f>
        <v>*** Mnemonic not found ***</v>
      </c>
      <c r="F2393" t="str">
        <f t="shared" si="531"/>
        <v>SUCMALTCAT1_LESS1_C__</v>
      </c>
      <c r="H2393" s="9" t="s">
        <v>1137</v>
      </c>
      <c r="K2393" s="9">
        <f t="shared" ref="K2393:K2447" si="532">K2392+1</f>
        <v>123</v>
      </c>
      <c r="L2393" s="9" t="str">
        <f t="shared" si="530"/>
        <v>O</v>
      </c>
      <c r="M2393" s="9" t="str">
        <f t="shared" si="528"/>
        <v>Input!O123</v>
      </c>
      <c r="N2393" s="9">
        <f>_xlfn.XLOOKUP(F2393,'Raw Data'!$I$4:$I$5000,'Raw Data'!$E$4:$E$5000,100,0)</f>
        <v>100</v>
      </c>
      <c r="O2393" s="9" t="str">
        <f>IF(N2393=0,_xlfn.XLOOKUP(F2393,'Raw Data'!$I$4:$I$5000,'Raw Data'!$H$4:$H$5000,"",0),"")</f>
        <v/>
      </c>
      <c r="P2393" s="9" t="str" cm="1">
        <f t="array" aca="1" ref="P2393" ca="1">IF(INDIRECT(M2393) = "","",INDIRECT(M2393))</f>
        <v/>
      </c>
      <c r="Q2393" s="359" t="s">
        <v>4380</v>
      </c>
    </row>
    <row r="2394" spans="1:17" x14ac:dyDescent="0.35">
      <c r="A2394" t="s">
        <v>3171</v>
      </c>
      <c r="E2394" t="str">
        <f>_xlfn.XLOOKUP(F2394,'Raw Data'!$I$4:$I$5000,'Raw Data'!$D$4:$D$5000,"*** Mnemonic not found ***",0)</f>
        <v>*** Mnemonic not found ***</v>
      </c>
      <c r="F2394" t="str">
        <f t="shared" si="531"/>
        <v>SUCMALTCAT1_1TO5_C__</v>
      </c>
      <c r="H2394" s="9" t="s">
        <v>1137</v>
      </c>
      <c r="K2394" s="9">
        <f t="shared" si="532"/>
        <v>124</v>
      </c>
      <c r="L2394" s="9" t="str">
        <f t="shared" si="530"/>
        <v>O</v>
      </c>
      <c r="M2394" s="9" t="str">
        <f t="shared" si="528"/>
        <v>Input!O124</v>
      </c>
      <c r="N2394" s="9">
        <f>_xlfn.XLOOKUP(F2394,'Raw Data'!$I$4:$I$5000,'Raw Data'!$E$4:$E$5000,100,0)</f>
        <v>100</v>
      </c>
      <c r="O2394" s="9" t="str">
        <f>IF(N2394=0,_xlfn.XLOOKUP(F2394,'Raw Data'!$I$4:$I$5000,'Raw Data'!$H$4:$H$5000,"",0),"")</f>
        <v/>
      </c>
      <c r="P2394" s="9" t="str" cm="1">
        <f t="array" aca="1" ref="P2394" ca="1">IF(INDIRECT(M2394) = "","",INDIRECT(M2394))</f>
        <v/>
      </c>
      <c r="Q2394" s="359" t="s">
        <v>4380</v>
      </c>
    </row>
    <row r="2395" spans="1:17" x14ac:dyDescent="0.35">
      <c r="A2395" t="s">
        <v>3172</v>
      </c>
      <c r="E2395" t="str">
        <f>_xlfn.XLOOKUP(F2395,'Raw Data'!$I$4:$I$5000,'Raw Data'!$D$4:$D$5000,"*** Mnemonic not found ***",0)</f>
        <v>*** Mnemonic not found ***</v>
      </c>
      <c r="F2395" t="str">
        <f t="shared" si="531"/>
        <v>SUCMALTCAT1_5TO10_C__</v>
      </c>
      <c r="H2395" s="9" t="s">
        <v>1137</v>
      </c>
      <c r="K2395" s="9">
        <f t="shared" si="532"/>
        <v>125</v>
      </c>
      <c r="L2395" s="9" t="str">
        <f t="shared" si="530"/>
        <v>O</v>
      </c>
      <c r="M2395" s="9" t="str">
        <f t="shared" si="528"/>
        <v>Input!O125</v>
      </c>
      <c r="N2395" s="9">
        <f>_xlfn.XLOOKUP(F2395,'Raw Data'!$I$4:$I$5000,'Raw Data'!$E$4:$E$5000,100,0)</f>
        <v>100</v>
      </c>
      <c r="O2395" s="9" t="str">
        <f>IF(N2395=0,_xlfn.XLOOKUP(F2395,'Raw Data'!$I$4:$I$5000,'Raw Data'!$H$4:$H$5000,"",0),"")</f>
        <v/>
      </c>
      <c r="P2395" s="9" t="str" cm="1">
        <f t="array" aca="1" ref="P2395" ca="1">IF(INDIRECT(M2395) = "","",INDIRECT(M2395))</f>
        <v/>
      </c>
      <c r="Q2395" s="359" t="s">
        <v>4380</v>
      </c>
    </row>
    <row r="2396" spans="1:17" x14ac:dyDescent="0.35">
      <c r="A2396" t="s">
        <v>3173</v>
      </c>
      <c r="E2396" t="str">
        <f>_xlfn.XLOOKUP(F2396,'Raw Data'!$I$4:$I$5000,'Raw Data'!$D$4:$D$5000,"*** Mnemonic not found ***",0)</f>
        <v>*** Mnemonic not found ***</v>
      </c>
      <c r="F2396" t="str">
        <f t="shared" si="531"/>
        <v>SUCMALTCAT1_10TO20_C__</v>
      </c>
      <c r="H2396" s="9" t="s">
        <v>1137</v>
      </c>
      <c r="K2396" s="9">
        <f t="shared" si="532"/>
        <v>126</v>
      </c>
      <c r="L2396" s="9" t="str">
        <f t="shared" si="530"/>
        <v>O</v>
      </c>
      <c r="M2396" s="9" t="str">
        <f t="shared" si="528"/>
        <v>Input!O126</v>
      </c>
      <c r="N2396" s="9">
        <f>_xlfn.XLOOKUP(F2396,'Raw Data'!$I$4:$I$5000,'Raw Data'!$E$4:$E$5000,100,0)</f>
        <v>100</v>
      </c>
      <c r="O2396" s="9" t="str">
        <f>IF(N2396=0,_xlfn.XLOOKUP(F2396,'Raw Data'!$I$4:$I$5000,'Raw Data'!$H$4:$H$5000,"",0),"")</f>
        <v/>
      </c>
      <c r="P2396" s="9" t="str" cm="1">
        <f t="array" aca="1" ref="P2396" ca="1">IF(INDIRECT(M2396) = "","",INDIRECT(M2396))</f>
        <v/>
      </c>
      <c r="Q2396" s="359" t="s">
        <v>4380</v>
      </c>
    </row>
    <row r="2397" spans="1:17" x14ac:dyDescent="0.35">
      <c r="A2397" t="s">
        <v>3174</v>
      </c>
      <c r="E2397" t="str">
        <f>_xlfn.XLOOKUP(F2397,'Raw Data'!$I$4:$I$5000,'Raw Data'!$D$4:$D$5000,"*** Mnemonic not found ***",0)</f>
        <v>*** Mnemonic not found ***</v>
      </c>
      <c r="F2397" t="str">
        <f t="shared" si="531"/>
        <v>SUCMALTCAT1_GRTR20_C__</v>
      </c>
      <c r="H2397" s="9" t="s">
        <v>1137</v>
      </c>
      <c r="K2397" s="9">
        <f t="shared" si="532"/>
        <v>127</v>
      </c>
      <c r="L2397" s="9" t="str">
        <f t="shared" si="530"/>
        <v>O</v>
      </c>
      <c r="M2397" s="9" t="str">
        <f t="shared" si="528"/>
        <v>Input!O127</v>
      </c>
      <c r="N2397" s="9">
        <f>_xlfn.XLOOKUP(F2397,'Raw Data'!$I$4:$I$5000,'Raw Data'!$E$4:$E$5000,100,0)</f>
        <v>100</v>
      </c>
      <c r="O2397" s="9" t="str">
        <f>IF(N2397=0,_xlfn.XLOOKUP(F2397,'Raw Data'!$I$4:$I$5000,'Raw Data'!$H$4:$H$5000,"",0),"")</f>
        <v/>
      </c>
      <c r="P2397" s="9" t="str" cm="1">
        <f t="array" aca="1" ref="P2397" ca="1">IF(INDIRECT(M2397) = "","",INDIRECT(M2397))</f>
        <v/>
      </c>
      <c r="Q2397" s="359" t="s">
        <v>4380</v>
      </c>
    </row>
    <row r="2398" spans="1:17" x14ac:dyDescent="0.35">
      <c r="A2398" t="s">
        <v>3175</v>
      </c>
      <c r="E2398" t="str">
        <f>_xlfn.XLOOKUP(F2398,'Raw Data'!$I$4:$I$5000,'Raw Data'!$D$4:$D$5000,"*** Mnemonic not found ***",0)</f>
        <v>*** Mnemonic not found ***</v>
      </c>
      <c r="F2398" t="str">
        <f t="shared" si="531"/>
        <v>SUCMALTCAT1_TOTAL_C__</v>
      </c>
      <c r="H2398" s="9" t="s">
        <v>1137</v>
      </c>
      <c r="K2398" s="9">
        <f t="shared" si="532"/>
        <v>128</v>
      </c>
      <c r="L2398" s="9" t="str">
        <f t="shared" si="530"/>
        <v>O</v>
      </c>
      <c r="M2398" s="9" t="str">
        <f t="shared" ref="M2398:M2453" si="533">CONCATENATE(H2398,"!",L2398,K2398)</f>
        <v>Input!O128</v>
      </c>
      <c r="N2398" s="9">
        <f>_xlfn.XLOOKUP(F2398,'Raw Data'!$I$4:$I$5000,'Raw Data'!$E$4:$E$5000,100,0)</f>
        <v>100</v>
      </c>
      <c r="O2398" s="9" t="str">
        <f>IF(N2398=0,_xlfn.XLOOKUP(F2398,'Raw Data'!$I$4:$I$5000,'Raw Data'!$H$4:$H$5000,"",0),"")</f>
        <v/>
      </c>
      <c r="P2398" s="9" t="str" cm="1">
        <f t="array" aca="1" ref="P2398" ca="1">IF(INDIRECT(M2398) = "","",INDIRECT(M2398))</f>
        <v/>
      </c>
      <c r="Q2398" s="359" t="s">
        <v>4380</v>
      </c>
    </row>
    <row r="2399" spans="1:17" x14ac:dyDescent="0.35">
      <c r="A2399" t="s">
        <v>3176</v>
      </c>
      <c r="E2399" t="str">
        <f>_xlfn.XLOOKUP(F2399,'Raw Data'!$I$4:$I$5000,'Raw Data'!$D$4:$D$5000,"*** Mnemonic not found ***",0)</f>
        <v>*** Mnemonic not found ***</v>
      </c>
      <c r="F2399" t="str">
        <f t="shared" si="531"/>
        <v>SUCMALTCAT2_C__</v>
      </c>
      <c r="H2399" s="9" t="s">
        <v>1137</v>
      </c>
      <c r="K2399" s="9">
        <f>K2398+2</f>
        <v>130</v>
      </c>
      <c r="L2399" s="9" t="str">
        <f t="shared" si="530"/>
        <v>O</v>
      </c>
      <c r="M2399" s="9" t="str">
        <f t="shared" si="533"/>
        <v>Input!O130</v>
      </c>
      <c r="N2399" s="9">
        <f>_xlfn.XLOOKUP(F2399,'Raw Data'!$I$4:$I$5000,'Raw Data'!$E$4:$E$5000,100,0)</f>
        <v>100</v>
      </c>
      <c r="O2399" s="9" t="str">
        <f>IF(N2399=0,_xlfn.XLOOKUP(F2399,'Raw Data'!$I$4:$I$5000,'Raw Data'!$H$4:$H$5000,"",0),"")</f>
        <v/>
      </c>
      <c r="P2399" s="9" t="str" cm="1">
        <f t="array" aca="1" ref="P2399" ca="1">IF(INDIRECT(M2399) = "","",INDIRECT(M2399))</f>
        <v/>
      </c>
      <c r="Q2399" s="359" t="s">
        <v>4380</v>
      </c>
    </row>
    <row r="2400" spans="1:17" x14ac:dyDescent="0.35">
      <c r="A2400" t="s">
        <v>3177</v>
      </c>
      <c r="E2400" t="str">
        <f>_xlfn.XLOOKUP(F2400,'Raw Data'!$I$4:$I$5000,'Raw Data'!$D$4:$D$5000,"*** Mnemonic not found ***",0)</f>
        <v>*** Mnemonic not found ***</v>
      </c>
      <c r="F2400" t="str">
        <f t="shared" si="531"/>
        <v>SUCMALTCAT2_LESS1_C__</v>
      </c>
      <c r="H2400" s="9" t="s">
        <v>1137</v>
      </c>
      <c r="K2400" s="9">
        <f t="shared" si="532"/>
        <v>131</v>
      </c>
      <c r="L2400" s="9" t="str">
        <f t="shared" si="530"/>
        <v>O</v>
      </c>
      <c r="M2400" s="9" t="str">
        <f t="shared" si="533"/>
        <v>Input!O131</v>
      </c>
      <c r="N2400" s="9">
        <f>_xlfn.XLOOKUP(F2400,'Raw Data'!$I$4:$I$5000,'Raw Data'!$E$4:$E$5000,100,0)</f>
        <v>100</v>
      </c>
      <c r="O2400" s="9" t="str">
        <f>IF(N2400=0,_xlfn.XLOOKUP(F2400,'Raw Data'!$I$4:$I$5000,'Raw Data'!$H$4:$H$5000,"",0),"")</f>
        <v/>
      </c>
      <c r="P2400" s="9" t="str" cm="1">
        <f t="array" aca="1" ref="P2400" ca="1">IF(INDIRECT(M2400) = "","",INDIRECT(M2400))</f>
        <v/>
      </c>
      <c r="Q2400" s="359" t="s">
        <v>4380</v>
      </c>
    </row>
    <row r="2401" spans="1:17" x14ac:dyDescent="0.35">
      <c r="A2401" t="s">
        <v>3178</v>
      </c>
      <c r="E2401" t="str">
        <f>_xlfn.XLOOKUP(F2401,'Raw Data'!$I$4:$I$5000,'Raw Data'!$D$4:$D$5000,"*** Mnemonic not found ***",0)</f>
        <v>*** Mnemonic not found ***</v>
      </c>
      <c r="F2401" t="str">
        <f t="shared" si="531"/>
        <v>SUCMALTCAT2_1TO5_C__</v>
      </c>
      <c r="H2401" s="9" t="s">
        <v>1137</v>
      </c>
      <c r="K2401" s="9">
        <f t="shared" si="532"/>
        <v>132</v>
      </c>
      <c r="L2401" s="9" t="str">
        <f t="shared" si="530"/>
        <v>O</v>
      </c>
      <c r="M2401" s="9" t="str">
        <f t="shared" si="533"/>
        <v>Input!O132</v>
      </c>
      <c r="N2401" s="9">
        <f>_xlfn.XLOOKUP(F2401,'Raw Data'!$I$4:$I$5000,'Raw Data'!$E$4:$E$5000,100,0)</f>
        <v>100</v>
      </c>
      <c r="O2401" s="9" t="str">
        <f>IF(N2401=0,_xlfn.XLOOKUP(F2401,'Raw Data'!$I$4:$I$5000,'Raw Data'!$H$4:$H$5000,"",0),"")</f>
        <v/>
      </c>
      <c r="P2401" s="9" t="str" cm="1">
        <f t="array" aca="1" ref="P2401" ca="1">IF(INDIRECT(M2401) = "","",INDIRECT(M2401))</f>
        <v/>
      </c>
      <c r="Q2401" s="359" t="s">
        <v>4380</v>
      </c>
    </row>
    <row r="2402" spans="1:17" x14ac:dyDescent="0.35">
      <c r="A2402" t="s">
        <v>3179</v>
      </c>
      <c r="E2402" t="str">
        <f>_xlfn.XLOOKUP(F2402,'Raw Data'!$I$4:$I$5000,'Raw Data'!$D$4:$D$5000,"*** Mnemonic not found ***",0)</f>
        <v>*** Mnemonic not found ***</v>
      </c>
      <c r="F2402" t="str">
        <f t="shared" si="531"/>
        <v>SUCMALTCAT2_5TO10_C__</v>
      </c>
      <c r="H2402" s="9" t="s">
        <v>1137</v>
      </c>
      <c r="K2402" s="9">
        <f t="shared" si="532"/>
        <v>133</v>
      </c>
      <c r="L2402" s="9" t="str">
        <f t="shared" si="530"/>
        <v>O</v>
      </c>
      <c r="M2402" s="9" t="str">
        <f t="shared" si="533"/>
        <v>Input!O133</v>
      </c>
      <c r="N2402" s="9">
        <f>_xlfn.XLOOKUP(F2402,'Raw Data'!$I$4:$I$5000,'Raw Data'!$E$4:$E$5000,100,0)</f>
        <v>100</v>
      </c>
      <c r="O2402" s="9" t="str">
        <f>IF(N2402=0,_xlfn.XLOOKUP(F2402,'Raw Data'!$I$4:$I$5000,'Raw Data'!$H$4:$H$5000,"",0),"")</f>
        <v/>
      </c>
      <c r="P2402" s="9" t="str" cm="1">
        <f t="array" aca="1" ref="P2402" ca="1">IF(INDIRECT(M2402) = "","",INDIRECT(M2402))</f>
        <v/>
      </c>
      <c r="Q2402" s="359" t="s">
        <v>4380</v>
      </c>
    </row>
    <row r="2403" spans="1:17" x14ac:dyDescent="0.35">
      <c r="A2403" t="s">
        <v>3180</v>
      </c>
      <c r="E2403" t="str">
        <f>_xlfn.XLOOKUP(F2403,'Raw Data'!$I$4:$I$5000,'Raw Data'!$D$4:$D$5000,"*** Mnemonic not found ***",0)</f>
        <v>*** Mnemonic not found ***</v>
      </c>
      <c r="F2403" t="str">
        <f t="shared" si="531"/>
        <v>SUCMALTCAT2_10TO20_C__</v>
      </c>
      <c r="H2403" s="9" t="s">
        <v>1137</v>
      </c>
      <c r="K2403" s="9">
        <f t="shared" si="532"/>
        <v>134</v>
      </c>
      <c r="L2403" s="9" t="str">
        <f t="shared" si="530"/>
        <v>O</v>
      </c>
      <c r="M2403" s="9" t="str">
        <f t="shared" si="533"/>
        <v>Input!O134</v>
      </c>
      <c r="N2403" s="9">
        <f>_xlfn.XLOOKUP(F2403,'Raw Data'!$I$4:$I$5000,'Raw Data'!$E$4:$E$5000,100,0)</f>
        <v>100</v>
      </c>
      <c r="O2403" s="9" t="str">
        <f>IF(N2403=0,_xlfn.XLOOKUP(F2403,'Raw Data'!$I$4:$I$5000,'Raw Data'!$H$4:$H$5000,"",0),"")</f>
        <v/>
      </c>
      <c r="P2403" s="9" t="str" cm="1">
        <f t="array" aca="1" ref="P2403" ca="1">IF(INDIRECT(M2403) = "","",INDIRECT(M2403))</f>
        <v/>
      </c>
      <c r="Q2403" s="359" t="s">
        <v>4380</v>
      </c>
    </row>
    <row r="2404" spans="1:17" x14ac:dyDescent="0.35">
      <c r="A2404" t="s">
        <v>3181</v>
      </c>
      <c r="E2404" t="str">
        <f>_xlfn.XLOOKUP(F2404,'Raw Data'!$I$4:$I$5000,'Raw Data'!$D$4:$D$5000,"*** Mnemonic not found ***",0)</f>
        <v>*** Mnemonic not found ***</v>
      </c>
      <c r="F2404" t="str">
        <f t="shared" si="531"/>
        <v>SUCMALTCAT2_GRTR20_C__</v>
      </c>
      <c r="H2404" s="9" t="s">
        <v>1137</v>
      </c>
      <c r="K2404" s="9">
        <f t="shared" si="532"/>
        <v>135</v>
      </c>
      <c r="L2404" s="9" t="str">
        <f t="shared" si="530"/>
        <v>O</v>
      </c>
      <c r="M2404" s="9" t="str">
        <f t="shared" si="533"/>
        <v>Input!O135</v>
      </c>
      <c r="N2404" s="9">
        <f>_xlfn.XLOOKUP(F2404,'Raw Data'!$I$4:$I$5000,'Raw Data'!$E$4:$E$5000,100,0)</f>
        <v>100</v>
      </c>
      <c r="O2404" s="9" t="str">
        <f>IF(N2404=0,_xlfn.XLOOKUP(F2404,'Raw Data'!$I$4:$I$5000,'Raw Data'!$H$4:$H$5000,"",0),"")</f>
        <v/>
      </c>
      <c r="P2404" s="9" t="str" cm="1">
        <f t="array" aca="1" ref="P2404" ca="1">IF(INDIRECT(M2404) = "","",INDIRECT(M2404))</f>
        <v/>
      </c>
      <c r="Q2404" s="359" t="s">
        <v>4380</v>
      </c>
    </row>
    <row r="2405" spans="1:17" x14ac:dyDescent="0.35">
      <c r="A2405" t="s">
        <v>3182</v>
      </c>
      <c r="E2405" t="str">
        <f>_xlfn.XLOOKUP(F2405,'Raw Data'!$I$4:$I$5000,'Raw Data'!$D$4:$D$5000,"*** Mnemonic not found ***",0)</f>
        <v>*** Mnemonic not found ***</v>
      </c>
      <c r="F2405" t="str">
        <f t="shared" si="531"/>
        <v>SUCMALTCAT2_TOTAL_C__</v>
      </c>
      <c r="H2405" s="9" t="s">
        <v>1137</v>
      </c>
      <c r="K2405" s="9">
        <f t="shared" si="532"/>
        <v>136</v>
      </c>
      <c r="L2405" s="9" t="str">
        <f t="shared" si="530"/>
        <v>O</v>
      </c>
      <c r="M2405" s="9" t="str">
        <f t="shared" si="533"/>
        <v>Input!O136</v>
      </c>
      <c r="N2405" s="9">
        <f>_xlfn.XLOOKUP(F2405,'Raw Data'!$I$4:$I$5000,'Raw Data'!$E$4:$E$5000,100,0)</f>
        <v>100</v>
      </c>
      <c r="O2405" s="9" t="str">
        <f>IF(N2405=0,_xlfn.XLOOKUP(F2405,'Raw Data'!$I$4:$I$5000,'Raw Data'!$H$4:$H$5000,"",0),"")</f>
        <v/>
      </c>
      <c r="P2405" s="9" t="str" cm="1">
        <f t="array" aca="1" ref="P2405" ca="1">IF(INDIRECT(M2405) = "","",INDIRECT(M2405))</f>
        <v/>
      </c>
      <c r="Q2405" s="359" t="s">
        <v>4380</v>
      </c>
    </row>
    <row r="2406" spans="1:17" x14ac:dyDescent="0.35">
      <c r="A2406" t="s">
        <v>3183</v>
      </c>
      <c r="E2406" t="str">
        <f>_xlfn.XLOOKUP(F2406,'Raw Data'!$I$4:$I$5000,'Raw Data'!$D$4:$D$5000,"*** Mnemonic not found ***",0)</f>
        <v>*** Mnemonic not found ***</v>
      </c>
      <c r="F2406" t="str">
        <f t="shared" si="531"/>
        <v>SUCMALTCAT3_C__</v>
      </c>
      <c r="H2406" s="9" t="s">
        <v>1137</v>
      </c>
      <c r="K2406" s="9">
        <f>K2405+2</f>
        <v>138</v>
      </c>
      <c r="L2406" s="9" t="str">
        <f t="shared" si="530"/>
        <v>O</v>
      </c>
      <c r="M2406" s="9" t="str">
        <f t="shared" si="533"/>
        <v>Input!O138</v>
      </c>
      <c r="N2406" s="9">
        <f>_xlfn.XLOOKUP(F2406,'Raw Data'!$I$4:$I$5000,'Raw Data'!$E$4:$E$5000,100,0)</f>
        <v>100</v>
      </c>
      <c r="O2406" s="9" t="str">
        <f>IF(N2406=0,_xlfn.XLOOKUP(F2406,'Raw Data'!$I$4:$I$5000,'Raw Data'!$H$4:$H$5000,"",0),"")</f>
        <v/>
      </c>
      <c r="P2406" s="9" t="str" cm="1">
        <f t="array" aca="1" ref="P2406" ca="1">IF(INDIRECT(M2406) = "","",INDIRECT(M2406))</f>
        <v/>
      </c>
      <c r="Q2406" s="359" t="s">
        <v>4380</v>
      </c>
    </row>
    <row r="2407" spans="1:17" x14ac:dyDescent="0.35">
      <c r="A2407" t="s">
        <v>3184</v>
      </c>
      <c r="E2407" t="str">
        <f>_xlfn.XLOOKUP(F2407,'Raw Data'!$I$4:$I$5000,'Raw Data'!$D$4:$D$5000,"*** Mnemonic not found ***",0)</f>
        <v>*** Mnemonic not found ***</v>
      </c>
      <c r="F2407" t="str">
        <f t="shared" si="531"/>
        <v>SUCMALTCAT3_LESS1_C__</v>
      </c>
      <c r="H2407" s="9" t="s">
        <v>1137</v>
      </c>
      <c r="K2407" s="9">
        <f t="shared" si="532"/>
        <v>139</v>
      </c>
      <c r="L2407" s="9" t="str">
        <f t="shared" si="530"/>
        <v>O</v>
      </c>
      <c r="M2407" s="9" t="str">
        <f t="shared" si="533"/>
        <v>Input!O139</v>
      </c>
      <c r="N2407" s="9">
        <f>_xlfn.XLOOKUP(F2407,'Raw Data'!$I$4:$I$5000,'Raw Data'!$E$4:$E$5000,100,0)</f>
        <v>100</v>
      </c>
      <c r="O2407" s="9" t="str">
        <f>IF(N2407=0,_xlfn.XLOOKUP(F2407,'Raw Data'!$I$4:$I$5000,'Raw Data'!$H$4:$H$5000,"",0),"")</f>
        <v/>
      </c>
      <c r="P2407" s="9" t="str" cm="1">
        <f t="array" aca="1" ref="P2407" ca="1">IF(INDIRECT(M2407) = "","",INDIRECT(M2407))</f>
        <v/>
      </c>
      <c r="Q2407" s="359" t="s">
        <v>4380</v>
      </c>
    </row>
    <row r="2408" spans="1:17" x14ac:dyDescent="0.35">
      <c r="A2408" t="s">
        <v>3185</v>
      </c>
      <c r="E2408" t="str">
        <f>_xlfn.XLOOKUP(F2408,'Raw Data'!$I$4:$I$5000,'Raw Data'!$D$4:$D$5000,"*** Mnemonic not found ***",0)</f>
        <v>*** Mnemonic not found ***</v>
      </c>
      <c r="F2408" t="str">
        <f t="shared" si="531"/>
        <v>SUCMALTCAT3_1TO5_C__</v>
      </c>
      <c r="H2408" s="9" t="s">
        <v>1137</v>
      </c>
      <c r="K2408" s="9">
        <f t="shared" si="532"/>
        <v>140</v>
      </c>
      <c r="L2408" s="9" t="str">
        <f t="shared" si="530"/>
        <v>O</v>
      </c>
      <c r="M2408" s="9" t="str">
        <f t="shared" si="533"/>
        <v>Input!O140</v>
      </c>
      <c r="N2408" s="9">
        <f>_xlfn.XLOOKUP(F2408,'Raw Data'!$I$4:$I$5000,'Raw Data'!$E$4:$E$5000,100,0)</f>
        <v>100</v>
      </c>
      <c r="O2408" s="9" t="str">
        <f>IF(N2408=0,_xlfn.XLOOKUP(F2408,'Raw Data'!$I$4:$I$5000,'Raw Data'!$H$4:$H$5000,"",0),"")</f>
        <v/>
      </c>
      <c r="P2408" s="9" t="str" cm="1">
        <f t="array" aca="1" ref="P2408" ca="1">IF(INDIRECT(M2408) = "","",INDIRECT(M2408))</f>
        <v/>
      </c>
      <c r="Q2408" s="359" t="s">
        <v>4380</v>
      </c>
    </row>
    <row r="2409" spans="1:17" x14ac:dyDescent="0.35">
      <c r="A2409" t="s">
        <v>3186</v>
      </c>
      <c r="E2409" t="str">
        <f>_xlfn.XLOOKUP(F2409,'Raw Data'!$I$4:$I$5000,'Raw Data'!$D$4:$D$5000,"*** Mnemonic not found ***",0)</f>
        <v>*** Mnemonic not found ***</v>
      </c>
      <c r="F2409" t="str">
        <f t="shared" si="531"/>
        <v>SUCMALTCAT3_5TO10_C__</v>
      </c>
      <c r="H2409" s="9" t="s">
        <v>1137</v>
      </c>
      <c r="K2409" s="9">
        <f t="shared" si="532"/>
        <v>141</v>
      </c>
      <c r="L2409" s="9" t="str">
        <f t="shared" si="530"/>
        <v>O</v>
      </c>
      <c r="M2409" s="9" t="str">
        <f t="shared" si="533"/>
        <v>Input!O141</v>
      </c>
      <c r="N2409" s="9">
        <f>_xlfn.XLOOKUP(F2409,'Raw Data'!$I$4:$I$5000,'Raw Data'!$E$4:$E$5000,100,0)</f>
        <v>100</v>
      </c>
      <c r="O2409" s="9" t="str">
        <f>IF(N2409=0,_xlfn.XLOOKUP(F2409,'Raw Data'!$I$4:$I$5000,'Raw Data'!$H$4:$H$5000,"",0),"")</f>
        <v/>
      </c>
      <c r="P2409" s="9" t="str" cm="1">
        <f t="array" aca="1" ref="P2409" ca="1">IF(INDIRECT(M2409) = "","",INDIRECT(M2409))</f>
        <v/>
      </c>
      <c r="Q2409" s="359" t="s">
        <v>4380</v>
      </c>
    </row>
    <row r="2410" spans="1:17" x14ac:dyDescent="0.35">
      <c r="A2410" t="s">
        <v>3187</v>
      </c>
      <c r="E2410" t="str">
        <f>_xlfn.XLOOKUP(F2410,'Raw Data'!$I$4:$I$5000,'Raw Data'!$D$4:$D$5000,"*** Mnemonic not found ***",0)</f>
        <v>*** Mnemonic not found ***</v>
      </c>
      <c r="F2410" t="str">
        <f t="shared" si="531"/>
        <v>SUCMALTCAT3_10TO20_C__</v>
      </c>
      <c r="H2410" s="9" t="s">
        <v>1137</v>
      </c>
      <c r="K2410" s="9">
        <f t="shared" si="532"/>
        <v>142</v>
      </c>
      <c r="L2410" s="9" t="str">
        <f t="shared" si="530"/>
        <v>O</v>
      </c>
      <c r="M2410" s="9" t="str">
        <f t="shared" si="533"/>
        <v>Input!O142</v>
      </c>
      <c r="N2410" s="9">
        <f>_xlfn.XLOOKUP(F2410,'Raw Data'!$I$4:$I$5000,'Raw Data'!$E$4:$E$5000,100,0)</f>
        <v>100</v>
      </c>
      <c r="O2410" s="9" t="str">
        <f>IF(N2410=0,_xlfn.XLOOKUP(F2410,'Raw Data'!$I$4:$I$5000,'Raw Data'!$H$4:$H$5000,"",0),"")</f>
        <v/>
      </c>
      <c r="P2410" s="9" t="str" cm="1">
        <f t="array" aca="1" ref="P2410" ca="1">IF(INDIRECT(M2410) = "","",INDIRECT(M2410))</f>
        <v/>
      </c>
      <c r="Q2410" s="359" t="s">
        <v>4380</v>
      </c>
    </row>
    <row r="2411" spans="1:17" x14ac:dyDescent="0.35">
      <c r="A2411" t="s">
        <v>3188</v>
      </c>
      <c r="E2411" t="str">
        <f>_xlfn.XLOOKUP(F2411,'Raw Data'!$I$4:$I$5000,'Raw Data'!$D$4:$D$5000,"*** Mnemonic not found ***",0)</f>
        <v>*** Mnemonic not found ***</v>
      </c>
      <c r="F2411" t="str">
        <f t="shared" si="531"/>
        <v>SUCMALTCAT3_GRTR20_C__</v>
      </c>
      <c r="H2411" s="9" t="s">
        <v>1137</v>
      </c>
      <c r="K2411" s="9">
        <f t="shared" si="532"/>
        <v>143</v>
      </c>
      <c r="L2411" s="9" t="str">
        <f t="shared" si="530"/>
        <v>O</v>
      </c>
      <c r="M2411" s="9" t="str">
        <f t="shared" si="533"/>
        <v>Input!O143</v>
      </c>
      <c r="N2411" s="9">
        <f>_xlfn.XLOOKUP(F2411,'Raw Data'!$I$4:$I$5000,'Raw Data'!$E$4:$E$5000,100,0)</f>
        <v>100</v>
      </c>
      <c r="O2411" s="9" t="str">
        <f>IF(N2411=0,_xlfn.XLOOKUP(F2411,'Raw Data'!$I$4:$I$5000,'Raw Data'!$H$4:$H$5000,"",0),"")</f>
        <v/>
      </c>
      <c r="P2411" s="9" t="str" cm="1">
        <f t="array" aca="1" ref="P2411" ca="1">IF(INDIRECT(M2411) = "","",INDIRECT(M2411))</f>
        <v/>
      </c>
      <c r="Q2411" s="359" t="s">
        <v>4380</v>
      </c>
    </row>
    <row r="2412" spans="1:17" x14ac:dyDescent="0.35">
      <c r="A2412" t="s">
        <v>3189</v>
      </c>
      <c r="E2412" t="str">
        <f>_xlfn.XLOOKUP(F2412,'Raw Data'!$I$4:$I$5000,'Raw Data'!$D$4:$D$5000,"*** Mnemonic not found ***",0)</f>
        <v>*** Mnemonic not found ***</v>
      </c>
      <c r="F2412" t="str">
        <f t="shared" si="531"/>
        <v>SUCMALTCAT3_TOTAL_C__</v>
      </c>
      <c r="H2412" s="9" t="s">
        <v>1137</v>
      </c>
      <c r="K2412" s="9">
        <f t="shared" si="532"/>
        <v>144</v>
      </c>
      <c r="L2412" s="9" t="str">
        <f t="shared" si="530"/>
        <v>O</v>
      </c>
      <c r="M2412" s="9" t="str">
        <f t="shared" si="533"/>
        <v>Input!O144</v>
      </c>
      <c r="N2412" s="9">
        <f>_xlfn.XLOOKUP(F2412,'Raw Data'!$I$4:$I$5000,'Raw Data'!$E$4:$E$5000,100,0)</f>
        <v>100</v>
      </c>
      <c r="O2412" s="9" t="str">
        <f>IF(N2412=0,_xlfn.XLOOKUP(F2412,'Raw Data'!$I$4:$I$5000,'Raw Data'!$H$4:$H$5000,"",0),"")</f>
        <v/>
      </c>
      <c r="P2412" s="9" t="str" cm="1">
        <f t="array" aca="1" ref="P2412" ca="1">IF(INDIRECT(M2412) = "","",INDIRECT(M2412))</f>
        <v/>
      </c>
      <c r="Q2412" s="359" t="s">
        <v>4380</v>
      </c>
    </row>
    <row r="2413" spans="1:17" x14ac:dyDescent="0.35">
      <c r="A2413" t="s">
        <v>3190</v>
      </c>
      <c r="E2413" t="str">
        <f>_xlfn.XLOOKUP(F2413,'Raw Data'!$I$4:$I$5000,'Raw Data'!$D$4:$D$5000,"*** Mnemonic not found ***",0)</f>
        <v>*** Mnemonic not found ***</v>
      </c>
      <c r="F2413" t="str">
        <f t="shared" si="531"/>
        <v>SUCMALTCAT4_C__</v>
      </c>
      <c r="H2413" s="9" t="s">
        <v>1137</v>
      </c>
      <c r="K2413" s="9">
        <f>K2412+2</f>
        <v>146</v>
      </c>
      <c r="L2413" s="9" t="str">
        <f t="shared" si="530"/>
        <v>O</v>
      </c>
      <c r="M2413" s="9" t="str">
        <f t="shared" si="533"/>
        <v>Input!O146</v>
      </c>
      <c r="N2413" s="9">
        <f>_xlfn.XLOOKUP(F2413,'Raw Data'!$I$4:$I$5000,'Raw Data'!$E$4:$E$5000,100,0)</f>
        <v>100</v>
      </c>
      <c r="O2413" s="9" t="str">
        <f>IF(N2413=0,_xlfn.XLOOKUP(F2413,'Raw Data'!$I$4:$I$5000,'Raw Data'!$H$4:$H$5000,"",0),"")</f>
        <v/>
      </c>
      <c r="P2413" s="9" t="str" cm="1">
        <f t="array" aca="1" ref="P2413" ca="1">IF(INDIRECT(M2413) = "","",INDIRECT(M2413))</f>
        <v/>
      </c>
      <c r="Q2413" s="359" t="s">
        <v>4380</v>
      </c>
    </row>
    <row r="2414" spans="1:17" x14ac:dyDescent="0.35">
      <c r="A2414" t="s">
        <v>3191</v>
      </c>
      <c r="E2414" t="str">
        <f>_xlfn.XLOOKUP(F2414,'Raw Data'!$I$4:$I$5000,'Raw Data'!$D$4:$D$5000,"*** Mnemonic not found ***",0)</f>
        <v>*** Mnemonic not found ***</v>
      </c>
      <c r="F2414" t="str">
        <f t="shared" si="531"/>
        <v>SUCMALTCAT4_LESS1_C__</v>
      </c>
      <c r="H2414" s="9" t="s">
        <v>1137</v>
      </c>
      <c r="K2414" s="9">
        <f t="shared" si="532"/>
        <v>147</v>
      </c>
      <c r="L2414" s="9" t="str">
        <f t="shared" si="530"/>
        <v>O</v>
      </c>
      <c r="M2414" s="9" t="str">
        <f t="shared" si="533"/>
        <v>Input!O147</v>
      </c>
      <c r="N2414" s="9">
        <f>_xlfn.XLOOKUP(F2414,'Raw Data'!$I$4:$I$5000,'Raw Data'!$E$4:$E$5000,100,0)</f>
        <v>100</v>
      </c>
      <c r="O2414" s="9" t="str">
        <f>IF(N2414=0,_xlfn.XLOOKUP(F2414,'Raw Data'!$I$4:$I$5000,'Raw Data'!$H$4:$H$5000,"",0),"")</f>
        <v/>
      </c>
      <c r="P2414" s="9" t="str" cm="1">
        <f t="array" aca="1" ref="P2414" ca="1">IF(INDIRECT(M2414) = "","",INDIRECT(M2414))</f>
        <v/>
      </c>
      <c r="Q2414" s="359" t="s">
        <v>4380</v>
      </c>
    </row>
    <row r="2415" spans="1:17" x14ac:dyDescent="0.35">
      <c r="A2415" t="s">
        <v>3192</v>
      </c>
      <c r="E2415" t="str">
        <f>_xlfn.XLOOKUP(F2415,'Raw Data'!$I$4:$I$5000,'Raw Data'!$D$4:$D$5000,"*** Mnemonic not found ***",0)</f>
        <v>*** Mnemonic not found ***</v>
      </c>
      <c r="F2415" t="str">
        <f t="shared" si="531"/>
        <v>SUCMALTCAT4_1TO5_C__</v>
      </c>
      <c r="H2415" s="9" t="s">
        <v>1137</v>
      </c>
      <c r="K2415" s="9">
        <f t="shared" si="532"/>
        <v>148</v>
      </c>
      <c r="L2415" s="9" t="str">
        <f t="shared" si="530"/>
        <v>O</v>
      </c>
      <c r="M2415" s="9" t="str">
        <f t="shared" si="533"/>
        <v>Input!O148</v>
      </c>
      <c r="N2415" s="9">
        <f>_xlfn.XLOOKUP(F2415,'Raw Data'!$I$4:$I$5000,'Raw Data'!$E$4:$E$5000,100,0)</f>
        <v>100</v>
      </c>
      <c r="O2415" s="9" t="str">
        <f>IF(N2415=0,_xlfn.XLOOKUP(F2415,'Raw Data'!$I$4:$I$5000,'Raw Data'!$H$4:$H$5000,"",0),"")</f>
        <v/>
      </c>
      <c r="P2415" s="9" t="str" cm="1">
        <f t="array" aca="1" ref="P2415" ca="1">IF(INDIRECT(M2415) = "","",INDIRECT(M2415))</f>
        <v/>
      </c>
      <c r="Q2415" s="359" t="s">
        <v>4380</v>
      </c>
    </row>
    <row r="2416" spans="1:17" x14ac:dyDescent="0.35">
      <c r="A2416" t="s">
        <v>3193</v>
      </c>
      <c r="E2416" t="str">
        <f>_xlfn.XLOOKUP(F2416,'Raw Data'!$I$4:$I$5000,'Raw Data'!$D$4:$D$5000,"*** Mnemonic not found ***",0)</f>
        <v>*** Mnemonic not found ***</v>
      </c>
      <c r="F2416" t="str">
        <f t="shared" si="531"/>
        <v>SUCMALTCAT4_5TO10_C__</v>
      </c>
      <c r="H2416" s="9" t="s">
        <v>1137</v>
      </c>
      <c r="K2416" s="9">
        <f t="shared" si="532"/>
        <v>149</v>
      </c>
      <c r="L2416" s="9" t="str">
        <f t="shared" si="530"/>
        <v>O</v>
      </c>
      <c r="M2416" s="9" t="str">
        <f t="shared" si="533"/>
        <v>Input!O149</v>
      </c>
      <c r="N2416" s="9">
        <f>_xlfn.XLOOKUP(F2416,'Raw Data'!$I$4:$I$5000,'Raw Data'!$E$4:$E$5000,100,0)</f>
        <v>100</v>
      </c>
      <c r="O2416" s="9" t="str">
        <f>IF(N2416=0,_xlfn.XLOOKUP(F2416,'Raw Data'!$I$4:$I$5000,'Raw Data'!$H$4:$H$5000,"",0),"")</f>
        <v/>
      </c>
      <c r="P2416" s="9" t="str" cm="1">
        <f t="array" aca="1" ref="P2416" ca="1">IF(INDIRECT(M2416) = "","",INDIRECT(M2416))</f>
        <v/>
      </c>
      <c r="Q2416" s="359" t="s">
        <v>4380</v>
      </c>
    </row>
    <row r="2417" spans="1:17" x14ac:dyDescent="0.35">
      <c r="A2417" t="s">
        <v>3194</v>
      </c>
      <c r="E2417" t="str">
        <f>_xlfn.XLOOKUP(F2417,'Raw Data'!$I$4:$I$5000,'Raw Data'!$D$4:$D$5000,"*** Mnemonic not found ***",0)</f>
        <v>*** Mnemonic not found ***</v>
      </c>
      <c r="F2417" t="str">
        <f t="shared" si="531"/>
        <v>SUCMALTCAT4_10TO20_C__</v>
      </c>
      <c r="H2417" s="9" t="s">
        <v>1137</v>
      </c>
      <c r="K2417" s="9">
        <f t="shared" si="532"/>
        <v>150</v>
      </c>
      <c r="L2417" s="9" t="str">
        <f t="shared" si="530"/>
        <v>O</v>
      </c>
      <c r="M2417" s="9" t="str">
        <f t="shared" si="533"/>
        <v>Input!O150</v>
      </c>
      <c r="N2417" s="9">
        <f>_xlfn.XLOOKUP(F2417,'Raw Data'!$I$4:$I$5000,'Raw Data'!$E$4:$E$5000,100,0)</f>
        <v>100</v>
      </c>
      <c r="O2417" s="9" t="str">
        <f>IF(N2417=0,_xlfn.XLOOKUP(F2417,'Raw Data'!$I$4:$I$5000,'Raw Data'!$H$4:$H$5000,"",0),"")</f>
        <v/>
      </c>
      <c r="P2417" s="9" t="str" cm="1">
        <f t="array" aca="1" ref="P2417" ca="1">IF(INDIRECT(M2417) = "","",INDIRECT(M2417))</f>
        <v/>
      </c>
      <c r="Q2417" s="359" t="s">
        <v>4380</v>
      </c>
    </row>
    <row r="2418" spans="1:17" x14ac:dyDescent="0.35">
      <c r="A2418" t="s">
        <v>3195</v>
      </c>
      <c r="E2418" t="str">
        <f>_xlfn.XLOOKUP(F2418,'Raw Data'!$I$4:$I$5000,'Raw Data'!$D$4:$D$5000,"*** Mnemonic not found ***",0)</f>
        <v>*** Mnemonic not found ***</v>
      </c>
      <c r="F2418" t="str">
        <f t="shared" si="531"/>
        <v>SUCMALTCAT4_GRTR20_C__</v>
      </c>
      <c r="H2418" s="9" t="s">
        <v>1137</v>
      </c>
      <c r="K2418" s="9">
        <f t="shared" si="532"/>
        <v>151</v>
      </c>
      <c r="L2418" s="9" t="str">
        <f t="shared" si="530"/>
        <v>O</v>
      </c>
      <c r="M2418" s="9" t="str">
        <f t="shared" si="533"/>
        <v>Input!O151</v>
      </c>
      <c r="N2418" s="9">
        <f>_xlfn.XLOOKUP(F2418,'Raw Data'!$I$4:$I$5000,'Raw Data'!$E$4:$E$5000,100,0)</f>
        <v>100</v>
      </c>
      <c r="O2418" s="9" t="str">
        <f>IF(N2418=0,_xlfn.XLOOKUP(F2418,'Raw Data'!$I$4:$I$5000,'Raw Data'!$H$4:$H$5000,"",0),"")</f>
        <v/>
      </c>
      <c r="P2418" s="9" t="str" cm="1">
        <f t="array" aca="1" ref="P2418" ca="1">IF(INDIRECT(M2418) = "","",INDIRECT(M2418))</f>
        <v/>
      </c>
      <c r="Q2418" s="359" t="s">
        <v>4380</v>
      </c>
    </row>
    <row r="2419" spans="1:17" x14ac:dyDescent="0.35">
      <c r="A2419" t="s">
        <v>3196</v>
      </c>
      <c r="E2419" t="str">
        <f>_xlfn.XLOOKUP(F2419,'Raw Data'!$I$4:$I$5000,'Raw Data'!$D$4:$D$5000,"*** Mnemonic not found ***",0)</f>
        <v>*** Mnemonic not found ***</v>
      </c>
      <c r="F2419" t="str">
        <f t="shared" si="531"/>
        <v>SUCMALTCAT4_TOTAL_C__</v>
      </c>
      <c r="H2419" s="9" t="s">
        <v>1137</v>
      </c>
      <c r="K2419" s="9">
        <f t="shared" si="532"/>
        <v>152</v>
      </c>
      <c r="L2419" s="9" t="str">
        <f t="shared" si="530"/>
        <v>O</v>
      </c>
      <c r="M2419" s="9" t="str">
        <f t="shared" si="533"/>
        <v>Input!O152</v>
      </c>
      <c r="N2419" s="9">
        <f>_xlfn.XLOOKUP(F2419,'Raw Data'!$I$4:$I$5000,'Raw Data'!$E$4:$E$5000,100,0)</f>
        <v>100</v>
      </c>
      <c r="O2419" s="9" t="str">
        <f>IF(N2419=0,_xlfn.XLOOKUP(F2419,'Raw Data'!$I$4:$I$5000,'Raw Data'!$H$4:$H$5000,"",0),"")</f>
        <v/>
      </c>
      <c r="P2419" s="9" t="str" cm="1">
        <f t="array" aca="1" ref="P2419" ca="1">IF(INDIRECT(M2419) = "","",INDIRECT(M2419))</f>
        <v/>
      </c>
      <c r="Q2419" s="359" t="s">
        <v>4380</v>
      </c>
    </row>
    <row r="2420" spans="1:17" x14ac:dyDescent="0.35">
      <c r="A2420" t="s">
        <v>3197</v>
      </c>
      <c r="E2420" t="str">
        <f>_xlfn.XLOOKUP(F2420,'Raw Data'!$I$4:$I$5000,'Raw Data'!$D$4:$D$5000,"*** Mnemonic not found ***",0)</f>
        <v>*** Mnemonic not found ***</v>
      </c>
      <c r="F2420" t="str">
        <f t="shared" si="531"/>
        <v>SUCMOTHCAT1_C__</v>
      </c>
      <c r="H2420" s="9" t="s">
        <v>1137</v>
      </c>
      <c r="K2420" s="9">
        <f>K2419+3</f>
        <v>155</v>
      </c>
      <c r="L2420" s="9" t="str">
        <f t="shared" si="530"/>
        <v>O</v>
      </c>
      <c r="M2420" s="9" t="str">
        <f t="shared" si="533"/>
        <v>Input!O155</v>
      </c>
      <c r="N2420" s="9">
        <f>_xlfn.XLOOKUP(F2420,'Raw Data'!$I$4:$I$5000,'Raw Data'!$E$4:$E$5000,100,0)</f>
        <v>100</v>
      </c>
      <c r="O2420" s="9" t="str">
        <f>IF(N2420=0,_xlfn.XLOOKUP(F2420,'Raw Data'!$I$4:$I$5000,'Raw Data'!$H$4:$H$5000,"",0),"")</f>
        <v/>
      </c>
      <c r="P2420" s="9" t="str" cm="1">
        <f t="array" aca="1" ref="P2420" ca="1">IF(INDIRECT(M2420) = "","",INDIRECT(M2420))</f>
        <v/>
      </c>
      <c r="Q2420" s="359" t="s">
        <v>4380</v>
      </c>
    </row>
    <row r="2421" spans="1:17" x14ac:dyDescent="0.35">
      <c r="A2421" t="s">
        <v>3198</v>
      </c>
      <c r="E2421" t="str">
        <f>_xlfn.XLOOKUP(F2421,'Raw Data'!$I$4:$I$5000,'Raw Data'!$D$4:$D$5000,"*** Mnemonic not found ***",0)</f>
        <v>*** Mnemonic not found ***</v>
      </c>
      <c r="F2421" t="str">
        <f t="shared" si="531"/>
        <v>SUCMOTHCAT1_LESS1_C__</v>
      </c>
      <c r="H2421" s="9" t="s">
        <v>1137</v>
      </c>
      <c r="K2421" s="9">
        <f t="shared" si="532"/>
        <v>156</v>
      </c>
      <c r="L2421" s="9" t="str">
        <f t="shared" si="530"/>
        <v>O</v>
      </c>
      <c r="M2421" s="9" t="str">
        <f t="shared" si="533"/>
        <v>Input!O156</v>
      </c>
      <c r="N2421" s="9">
        <f>_xlfn.XLOOKUP(F2421,'Raw Data'!$I$4:$I$5000,'Raw Data'!$E$4:$E$5000,100,0)</f>
        <v>100</v>
      </c>
      <c r="O2421" s="9" t="str">
        <f>IF(N2421=0,_xlfn.XLOOKUP(F2421,'Raw Data'!$I$4:$I$5000,'Raw Data'!$H$4:$H$5000,"",0),"")</f>
        <v/>
      </c>
      <c r="P2421" s="9" t="str" cm="1">
        <f t="array" aca="1" ref="P2421" ca="1">IF(INDIRECT(M2421) = "","",INDIRECT(M2421))</f>
        <v/>
      </c>
      <c r="Q2421" s="359" t="s">
        <v>4380</v>
      </c>
    </row>
    <row r="2422" spans="1:17" x14ac:dyDescent="0.35">
      <c r="A2422" t="s">
        <v>3199</v>
      </c>
      <c r="E2422" t="str">
        <f>_xlfn.XLOOKUP(F2422,'Raw Data'!$I$4:$I$5000,'Raw Data'!$D$4:$D$5000,"*** Mnemonic not found ***",0)</f>
        <v>*** Mnemonic not found ***</v>
      </c>
      <c r="F2422" t="str">
        <f t="shared" si="531"/>
        <v>SUCMOTHCAT1_1TO5_C__</v>
      </c>
      <c r="H2422" s="9" t="s">
        <v>1137</v>
      </c>
      <c r="K2422" s="9">
        <f t="shared" si="532"/>
        <v>157</v>
      </c>
      <c r="L2422" s="9" t="str">
        <f t="shared" si="530"/>
        <v>O</v>
      </c>
      <c r="M2422" s="9" t="str">
        <f t="shared" si="533"/>
        <v>Input!O157</v>
      </c>
      <c r="N2422" s="9">
        <f>_xlfn.XLOOKUP(F2422,'Raw Data'!$I$4:$I$5000,'Raw Data'!$E$4:$E$5000,100,0)</f>
        <v>100</v>
      </c>
      <c r="O2422" s="9" t="str">
        <f>IF(N2422=0,_xlfn.XLOOKUP(F2422,'Raw Data'!$I$4:$I$5000,'Raw Data'!$H$4:$H$5000,"",0),"")</f>
        <v/>
      </c>
      <c r="P2422" s="9" t="str" cm="1">
        <f t="array" aca="1" ref="P2422" ca="1">IF(INDIRECT(M2422) = "","",INDIRECT(M2422))</f>
        <v/>
      </c>
      <c r="Q2422" s="359" t="s">
        <v>4380</v>
      </c>
    </row>
    <row r="2423" spans="1:17" x14ac:dyDescent="0.35">
      <c r="A2423" t="s">
        <v>3200</v>
      </c>
      <c r="E2423" t="str">
        <f>_xlfn.XLOOKUP(F2423,'Raw Data'!$I$4:$I$5000,'Raw Data'!$D$4:$D$5000,"*** Mnemonic not found ***",0)</f>
        <v>*** Mnemonic not found ***</v>
      </c>
      <c r="F2423" t="str">
        <f t="shared" si="531"/>
        <v>SUCMOTHCAT1_5TO10_C__</v>
      </c>
      <c r="H2423" s="9" t="s">
        <v>1137</v>
      </c>
      <c r="K2423" s="9">
        <f t="shared" si="532"/>
        <v>158</v>
      </c>
      <c r="L2423" s="9" t="str">
        <f t="shared" si="530"/>
        <v>O</v>
      </c>
      <c r="M2423" s="9" t="str">
        <f t="shared" si="533"/>
        <v>Input!O158</v>
      </c>
      <c r="N2423" s="9">
        <f>_xlfn.XLOOKUP(F2423,'Raw Data'!$I$4:$I$5000,'Raw Data'!$E$4:$E$5000,100,0)</f>
        <v>100</v>
      </c>
      <c r="O2423" s="9" t="str">
        <f>IF(N2423=0,_xlfn.XLOOKUP(F2423,'Raw Data'!$I$4:$I$5000,'Raw Data'!$H$4:$H$5000,"",0),"")</f>
        <v/>
      </c>
      <c r="P2423" s="9" t="str" cm="1">
        <f t="array" aca="1" ref="P2423" ca="1">IF(INDIRECT(M2423) = "","",INDIRECT(M2423))</f>
        <v/>
      </c>
      <c r="Q2423" s="359" t="s">
        <v>4380</v>
      </c>
    </row>
    <row r="2424" spans="1:17" x14ac:dyDescent="0.35">
      <c r="A2424" t="s">
        <v>3201</v>
      </c>
      <c r="E2424" t="str">
        <f>_xlfn.XLOOKUP(F2424,'Raw Data'!$I$4:$I$5000,'Raw Data'!$D$4:$D$5000,"*** Mnemonic not found ***",0)</f>
        <v>*** Mnemonic not found ***</v>
      </c>
      <c r="F2424" t="str">
        <f t="shared" si="531"/>
        <v>SUCMOTHCAT1_10TO20_C__</v>
      </c>
      <c r="H2424" s="9" t="s">
        <v>1137</v>
      </c>
      <c r="K2424" s="9">
        <f t="shared" si="532"/>
        <v>159</v>
      </c>
      <c r="L2424" s="9" t="str">
        <f t="shared" si="530"/>
        <v>O</v>
      </c>
      <c r="M2424" s="9" t="str">
        <f t="shared" si="533"/>
        <v>Input!O159</v>
      </c>
      <c r="N2424" s="9">
        <f>_xlfn.XLOOKUP(F2424,'Raw Data'!$I$4:$I$5000,'Raw Data'!$E$4:$E$5000,100,0)</f>
        <v>100</v>
      </c>
      <c r="O2424" s="9" t="str">
        <f>IF(N2424=0,_xlfn.XLOOKUP(F2424,'Raw Data'!$I$4:$I$5000,'Raw Data'!$H$4:$H$5000,"",0),"")</f>
        <v/>
      </c>
      <c r="P2424" s="9" t="str" cm="1">
        <f t="array" aca="1" ref="P2424" ca="1">IF(INDIRECT(M2424) = "","",INDIRECT(M2424))</f>
        <v/>
      </c>
      <c r="Q2424" s="359" t="s">
        <v>4380</v>
      </c>
    </row>
    <row r="2425" spans="1:17" x14ac:dyDescent="0.35">
      <c r="A2425" t="s">
        <v>3202</v>
      </c>
      <c r="E2425" t="str">
        <f>_xlfn.XLOOKUP(F2425,'Raw Data'!$I$4:$I$5000,'Raw Data'!$D$4:$D$5000,"*** Mnemonic not found ***",0)</f>
        <v>*** Mnemonic not found ***</v>
      </c>
      <c r="F2425" t="str">
        <f t="shared" si="531"/>
        <v>SUCMOTHCAT1_GRTR20_C__</v>
      </c>
      <c r="H2425" s="9" t="s">
        <v>1137</v>
      </c>
      <c r="K2425" s="9">
        <f t="shared" si="532"/>
        <v>160</v>
      </c>
      <c r="L2425" s="9" t="str">
        <f t="shared" si="530"/>
        <v>O</v>
      </c>
      <c r="M2425" s="9" t="str">
        <f t="shared" si="533"/>
        <v>Input!O160</v>
      </c>
      <c r="N2425" s="9">
        <f>_xlfn.XLOOKUP(F2425,'Raw Data'!$I$4:$I$5000,'Raw Data'!$E$4:$E$5000,100,0)</f>
        <v>100</v>
      </c>
      <c r="O2425" s="9" t="str">
        <f>IF(N2425=0,_xlfn.XLOOKUP(F2425,'Raw Data'!$I$4:$I$5000,'Raw Data'!$H$4:$H$5000,"",0),"")</f>
        <v/>
      </c>
      <c r="P2425" s="9" t="str" cm="1">
        <f t="array" aca="1" ref="P2425" ca="1">IF(INDIRECT(M2425) = "","",INDIRECT(M2425))</f>
        <v/>
      </c>
      <c r="Q2425" s="359" t="s">
        <v>4380</v>
      </c>
    </row>
    <row r="2426" spans="1:17" x14ac:dyDescent="0.35">
      <c r="A2426" t="s">
        <v>3203</v>
      </c>
      <c r="E2426" t="str">
        <f>_xlfn.XLOOKUP(F2426,'Raw Data'!$I$4:$I$5000,'Raw Data'!$D$4:$D$5000,"*** Mnemonic not found ***",0)</f>
        <v>*** Mnemonic not found ***</v>
      </c>
      <c r="F2426" t="str">
        <f t="shared" si="531"/>
        <v>SUCMOTHCAT1_TOTAL_C__</v>
      </c>
      <c r="H2426" s="9" t="s">
        <v>1137</v>
      </c>
      <c r="K2426" s="9">
        <f t="shared" si="532"/>
        <v>161</v>
      </c>
      <c r="L2426" s="9" t="str">
        <f t="shared" si="530"/>
        <v>O</v>
      </c>
      <c r="M2426" s="9" t="str">
        <f t="shared" si="533"/>
        <v>Input!O161</v>
      </c>
      <c r="N2426" s="9">
        <f>_xlfn.XLOOKUP(F2426,'Raw Data'!$I$4:$I$5000,'Raw Data'!$E$4:$E$5000,100,0)</f>
        <v>100</v>
      </c>
      <c r="O2426" s="9" t="str">
        <f>IF(N2426=0,_xlfn.XLOOKUP(F2426,'Raw Data'!$I$4:$I$5000,'Raw Data'!$H$4:$H$5000,"",0),"")</f>
        <v/>
      </c>
      <c r="P2426" s="9" t="str" cm="1">
        <f t="array" aca="1" ref="P2426" ca="1">IF(INDIRECT(M2426) = "","",INDIRECT(M2426))</f>
        <v/>
      </c>
      <c r="Q2426" s="359" t="s">
        <v>4380</v>
      </c>
    </row>
    <row r="2427" spans="1:17" x14ac:dyDescent="0.35">
      <c r="A2427" t="s">
        <v>3204</v>
      </c>
      <c r="E2427" t="str">
        <f>_xlfn.XLOOKUP(F2427,'Raw Data'!$I$4:$I$5000,'Raw Data'!$D$4:$D$5000,"*** Mnemonic not found ***",0)</f>
        <v>*** Mnemonic not found ***</v>
      </c>
      <c r="F2427" t="str">
        <f t="shared" si="531"/>
        <v>SUCMOTHCAT2_C__</v>
      </c>
      <c r="H2427" s="9" t="s">
        <v>1137</v>
      </c>
      <c r="K2427" s="9">
        <f>K2426+2</f>
        <v>163</v>
      </c>
      <c r="L2427" s="9" t="str">
        <f t="shared" si="530"/>
        <v>O</v>
      </c>
      <c r="M2427" s="9" t="str">
        <f t="shared" si="533"/>
        <v>Input!O163</v>
      </c>
      <c r="N2427" s="9">
        <f>_xlfn.XLOOKUP(F2427,'Raw Data'!$I$4:$I$5000,'Raw Data'!$E$4:$E$5000,100,0)</f>
        <v>100</v>
      </c>
      <c r="O2427" s="9" t="str">
        <f>IF(N2427=0,_xlfn.XLOOKUP(F2427,'Raw Data'!$I$4:$I$5000,'Raw Data'!$H$4:$H$5000,"",0),"")</f>
        <v/>
      </c>
      <c r="P2427" s="9" t="str" cm="1">
        <f t="array" aca="1" ref="P2427" ca="1">IF(INDIRECT(M2427) = "","",INDIRECT(M2427))</f>
        <v/>
      </c>
      <c r="Q2427" s="359" t="s">
        <v>4380</v>
      </c>
    </row>
    <row r="2428" spans="1:17" x14ac:dyDescent="0.35">
      <c r="A2428" t="s">
        <v>3205</v>
      </c>
      <c r="E2428" t="str">
        <f>_xlfn.XLOOKUP(F2428,'Raw Data'!$I$4:$I$5000,'Raw Data'!$D$4:$D$5000,"*** Mnemonic not found ***",0)</f>
        <v>*** Mnemonic not found ***</v>
      </c>
      <c r="F2428" t="str">
        <f t="shared" si="531"/>
        <v>SUCMOTHCAT2_LESS1_C__</v>
      </c>
      <c r="H2428" s="9" t="s">
        <v>1137</v>
      </c>
      <c r="K2428" s="9">
        <f t="shared" si="532"/>
        <v>164</v>
      </c>
      <c r="L2428" s="9" t="str">
        <f t="shared" si="530"/>
        <v>O</v>
      </c>
      <c r="M2428" s="9" t="str">
        <f t="shared" si="533"/>
        <v>Input!O164</v>
      </c>
      <c r="N2428" s="9">
        <f>_xlfn.XLOOKUP(F2428,'Raw Data'!$I$4:$I$5000,'Raw Data'!$E$4:$E$5000,100,0)</f>
        <v>100</v>
      </c>
      <c r="O2428" s="9" t="str">
        <f>IF(N2428=0,_xlfn.XLOOKUP(F2428,'Raw Data'!$I$4:$I$5000,'Raw Data'!$H$4:$H$5000,"",0),"")</f>
        <v/>
      </c>
      <c r="P2428" s="9" t="str" cm="1">
        <f t="array" aca="1" ref="P2428" ca="1">IF(INDIRECT(M2428) = "","",INDIRECT(M2428))</f>
        <v/>
      </c>
      <c r="Q2428" s="359" t="s">
        <v>4380</v>
      </c>
    </row>
    <row r="2429" spans="1:17" x14ac:dyDescent="0.35">
      <c r="A2429" t="s">
        <v>3206</v>
      </c>
      <c r="E2429" t="str">
        <f>_xlfn.XLOOKUP(F2429,'Raw Data'!$I$4:$I$5000,'Raw Data'!$D$4:$D$5000,"*** Mnemonic not found ***",0)</f>
        <v>*** Mnemonic not found ***</v>
      </c>
      <c r="F2429" t="str">
        <f t="shared" si="531"/>
        <v>SUCMOTHCAT2_1TO5_C__</v>
      </c>
      <c r="H2429" s="9" t="s">
        <v>1137</v>
      </c>
      <c r="K2429" s="9">
        <f t="shared" si="532"/>
        <v>165</v>
      </c>
      <c r="L2429" s="9" t="str">
        <f t="shared" ref="L2429:L2481" si="534">L2428</f>
        <v>O</v>
      </c>
      <c r="M2429" s="9" t="str">
        <f t="shared" si="533"/>
        <v>Input!O165</v>
      </c>
      <c r="N2429" s="9">
        <f>_xlfn.XLOOKUP(F2429,'Raw Data'!$I$4:$I$5000,'Raw Data'!$E$4:$E$5000,100,0)</f>
        <v>100</v>
      </c>
      <c r="O2429" s="9" t="str">
        <f>IF(N2429=0,_xlfn.XLOOKUP(F2429,'Raw Data'!$I$4:$I$5000,'Raw Data'!$H$4:$H$5000,"",0),"")</f>
        <v/>
      </c>
      <c r="P2429" s="9" t="str" cm="1">
        <f t="array" aca="1" ref="P2429" ca="1">IF(INDIRECT(M2429) = "","",INDIRECT(M2429))</f>
        <v/>
      </c>
      <c r="Q2429" s="359" t="s">
        <v>4380</v>
      </c>
    </row>
    <row r="2430" spans="1:17" x14ac:dyDescent="0.35">
      <c r="A2430" t="s">
        <v>3207</v>
      </c>
      <c r="E2430" t="str">
        <f>_xlfn.XLOOKUP(F2430,'Raw Data'!$I$4:$I$5000,'Raw Data'!$D$4:$D$5000,"*** Mnemonic not found ***",0)</f>
        <v>*** Mnemonic not found ***</v>
      </c>
      <c r="F2430" t="str">
        <f t="shared" si="531"/>
        <v>SUCMOTHCAT2_5TO10_C__</v>
      </c>
      <c r="H2430" s="9" t="s">
        <v>1137</v>
      </c>
      <c r="K2430" s="9">
        <f t="shared" si="532"/>
        <v>166</v>
      </c>
      <c r="L2430" s="9" t="str">
        <f t="shared" si="534"/>
        <v>O</v>
      </c>
      <c r="M2430" s="9" t="str">
        <f t="shared" si="533"/>
        <v>Input!O166</v>
      </c>
      <c r="N2430" s="9">
        <f>_xlfn.XLOOKUP(F2430,'Raw Data'!$I$4:$I$5000,'Raw Data'!$E$4:$E$5000,100,0)</f>
        <v>100</v>
      </c>
      <c r="O2430" s="9" t="str">
        <f>IF(N2430=0,_xlfn.XLOOKUP(F2430,'Raw Data'!$I$4:$I$5000,'Raw Data'!$H$4:$H$5000,"",0),"")</f>
        <v/>
      </c>
      <c r="P2430" s="9" t="str" cm="1">
        <f t="array" aca="1" ref="P2430" ca="1">IF(INDIRECT(M2430) = "","",INDIRECT(M2430))</f>
        <v/>
      </c>
      <c r="Q2430" s="359" t="s">
        <v>4380</v>
      </c>
    </row>
    <row r="2431" spans="1:17" x14ac:dyDescent="0.35">
      <c r="A2431" t="s">
        <v>3208</v>
      </c>
      <c r="E2431" t="str">
        <f>_xlfn.XLOOKUP(F2431,'Raw Data'!$I$4:$I$5000,'Raw Data'!$D$4:$D$5000,"*** Mnemonic not found ***",0)</f>
        <v>*** Mnemonic not found ***</v>
      </c>
      <c r="F2431" t="str">
        <f t="shared" si="531"/>
        <v>SUCMOTHCAT2_10TO20_C__</v>
      </c>
      <c r="H2431" s="9" t="s">
        <v>1137</v>
      </c>
      <c r="K2431" s="9">
        <f t="shared" si="532"/>
        <v>167</v>
      </c>
      <c r="L2431" s="9" t="str">
        <f t="shared" si="534"/>
        <v>O</v>
      </c>
      <c r="M2431" s="9" t="str">
        <f t="shared" si="533"/>
        <v>Input!O167</v>
      </c>
      <c r="N2431" s="9">
        <f>_xlfn.XLOOKUP(F2431,'Raw Data'!$I$4:$I$5000,'Raw Data'!$E$4:$E$5000,100,0)</f>
        <v>100</v>
      </c>
      <c r="O2431" s="9" t="str">
        <f>IF(N2431=0,_xlfn.XLOOKUP(F2431,'Raw Data'!$I$4:$I$5000,'Raw Data'!$H$4:$H$5000,"",0),"")</f>
        <v/>
      </c>
      <c r="P2431" s="9" t="str" cm="1">
        <f t="array" aca="1" ref="P2431" ca="1">IF(INDIRECT(M2431) = "","",INDIRECT(M2431))</f>
        <v/>
      </c>
      <c r="Q2431" s="359" t="s">
        <v>4380</v>
      </c>
    </row>
    <row r="2432" spans="1:17" x14ac:dyDescent="0.35">
      <c r="A2432" t="s">
        <v>3209</v>
      </c>
      <c r="E2432" t="str">
        <f>_xlfn.XLOOKUP(F2432,'Raw Data'!$I$4:$I$5000,'Raw Data'!$D$4:$D$5000,"*** Mnemonic not found ***",0)</f>
        <v>*** Mnemonic not found ***</v>
      </c>
      <c r="F2432" t="str">
        <f t="shared" si="531"/>
        <v>SUCMOTHCAT2_GRTR20_C__</v>
      </c>
      <c r="H2432" s="9" t="s">
        <v>1137</v>
      </c>
      <c r="K2432" s="9">
        <f t="shared" si="532"/>
        <v>168</v>
      </c>
      <c r="L2432" s="9" t="str">
        <f t="shared" si="534"/>
        <v>O</v>
      </c>
      <c r="M2432" s="9" t="str">
        <f t="shared" si="533"/>
        <v>Input!O168</v>
      </c>
      <c r="N2432" s="9">
        <f>_xlfn.XLOOKUP(F2432,'Raw Data'!$I$4:$I$5000,'Raw Data'!$E$4:$E$5000,100,0)</f>
        <v>100</v>
      </c>
      <c r="O2432" s="9" t="str">
        <f>IF(N2432=0,_xlfn.XLOOKUP(F2432,'Raw Data'!$I$4:$I$5000,'Raw Data'!$H$4:$H$5000,"",0),"")</f>
        <v/>
      </c>
      <c r="P2432" s="9" t="str" cm="1">
        <f t="array" aca="1" ref="P2432" ca="1">IF(INDIRECT(M2432) = "","",INDIRECT(M2432))</f>
        <v/>
      </c>
      <c r="Q2432" s="359" t="s">
        <v>4380</v>
      </c>
    </row>
    <row r="2433" spans="1:17" x14ac:dyDescent="0.35">
      <c r="A2433" t="s">
        <v>3210</v>
      </c>
      <c r="E2433" t="str">
        <f>_xlfn.XLOOKUP(F2433,'Raw Data'!$I$4:$I$5000,'Raw Data'!$D$4:$D$5000,"*** Mnemonic not found ***",0)</f>
        <v>*** Mnemonic not found ***</v>
      </c>
      <c r="F2433" t="str">
        <f t="shared" si="531"/>
        <v>SUCMOTHCAT2_TOTAL_C__</v>
      </c>
      <c r="H2433" s="9" t="s">
        <v>1137</v>
      </c>
      <c r="K2433" s="9">
        <f t="shared" si="532"/>
        <v>169</v>
      </c>
      <c r="L2433" s="9" t="str">
        <f t="shared" si="534"/>
        <v>O</v>
      </c>
      <c r="M2433" s="9" t="str">
        <f t="shared" si="533"/>
        <v>Input!O169</v>
      </c>
      <c r="N2433" s="9">
        <f>_xlfn.XLOOKUP(F2433,'Raw Data'!$I$4:$I$5000,'Raw Data'!$E$4:$E$5000,100,0)</f>
        <v>100</v>
      </c>
      <c r="O2433" s="9" t="str">
        <f>IF(N2433=0,_xlfn.XLOOKUP(F2433,'Raw Data'!$I$4:$I$5000,'Raw Data'!$H$4:$H$5000,"",0),"")</f>
        <v/>
      </c>
      <c r="P2433" s="9" t="str" cm="1">
        <f t="array" aca="1" ref="P2433" ca="1">IF(INDIRECT(M2433) = "","",INDIRECT(M2433))</f>
        <v/>
      </c>
      <c r="Q2433" s="359" t="s">
        <v>4380</v>
      </c>
    </row>
    <row r="2434" spans="1:17" x14ac:dyDescent="0.35">
      <c r="A2434" t="s">
        <v>3211</v>
      </c>
      <c r="E2434" t="str">
        <f>_xlfn.XLOOKUP(F2434,'Raw Data'!$I$4:$I$5000,'Raw Data'!$D$4:$D$5000,"*** Mnemonic not found ***",0)</f>
        <v>*** Mnemonic not found ***</v>
      </c>
      <c r="F2434" t="str">
        <f t="shared" si="531"/>
        <v>SUCMOTHCAT3_C__</v>
      </c>
      <c r="H2434" s="9" t="s">
        <v>1137</v>
      </c>
      <c r="K2434" s="9">
        <f>K2433+2</f>
        <v>171</v>
      </c>
      <c r="L2434" s="9" t="str">
        <f t="shared" si="534"/>
        <v>O</v>
      </c>
      <c r="M2434" s="9" t="str">
        <f t="shared" si="533"/>
        <v>Input!O171</v>
      </c>
      <c r="N2434" s="9">
        <f>_xlfn.XLOOKUP(F2434,'Raw Data'!$I$4:$I$5000,'Raw Data'!$E$4:$E$5000,100,0)</f>
        <v>100</v>
      </c>
      <c r="O2434" s="9" t="str">
        <f>IF(N2434=0,_xlfn.XLOOKUP(F2434,'Raw Data'!$I$4:$I$5000,'Raw Data'!$H$4:$H$5000,"",0),"")</f>
        <v/>
      </c>
      <c r="P2434" s="9" t="str" cm="1">
        <f t="array" aca="1" ref="P2434" ca="1">IF(INDIRECT(M2434) = "","",INDIRECT(M2434))</f>
        <v/>
      </c>
      <c r="Q2434" s="359" t="s">
        <v>4380</v>
      </c>
    </row>
    <row r="2435" spans="1:17" x14ac:dyDescent="0.35">
      <c r="A2435" t="s">
        <v>3212</v>
      </c>
      <c r="E2435" t="str">
        <f>_xlfn.XLOOKUP(F2435,'Raw Data'!$I$4:$I$5000,'Raw Data'!$D$4:$D$5000,"*** Mnemonic not found ***",0)</f>
        <v>*** Mnemonic not found ***</v>
      </c>
      <c r="F2435" t="str">
        <f t="shared" si="531"/>
        <v>SUCMOTHCAT3_LESS1_C__</v>
      </c>
      <c r="H2435" s="9" t="s">
        <v>1137</v>
      </c>
      <c r="K2435" s="9">
        <f t="shared" si="532"/>
        <v>172</v>
      </c>
      <c r="L2435" s="9" t="str">
        <f t="shared" si="534"/>
        <v>O</v>
      </c>
      <c r="M2435" s="9" t="str">
        <f t="shared" si="533"/>
        <v>Input!O172</v>
      </c>
      <c r="N2435" s="9">
        <f>_xlfn.XLOOKUP(F2435,'Raw Data'!$I$4:$I$5000,'Raw Data'!$E$4:$E$5000,100,0)</f>
        <v>100</v>
      </c>
      <c r="O2435" s="9" t="str">
        <f>IF(N2435=0,_xlfn.XLOOKUP(F2435,'Raw Data'!$I$4:$I$5000,'Raw Data'!$H$4:$H$5000,"",0),"")</f>
        <v/>
      </c>
      <c r="P2435" s="9" t="str" cm="1">
        <f t="array" aca="1" ref="P2435" ca="1">IF(INDIRECT(M2435) = "","",INDIRECT(M2435))</f>
        <v/>
      </c>
      <c r="Q2435" s="359" t="s">
        <v>4380</v>
      </c>
    </row>
    <row r="2436" spans="1:17" x14ac:dyDescent="0.35">
      <c r="A2436" t="s">
        <v>3213</v>
      </c>
      <c r="E2436" t="str">
        <f>_xlfn.XLOOKUP(F2436,'Raw Data'!$I$4:$I$5000,'Raw Data'!$D$4:$D$5000,"*** Mnemonic not found ***",0)</f>
        <v>*** Mnemonic not found ***</v>
      </c>
      <c r="F2436" t="str">
        <f t="shared" si="531"/>
        <v>SUCMOTHCAT3_1TO5_C__</v>
      </c>
      <c r="H2436" s="9" t="s">
        <v>1137</v>
      </c>
      <c r="K2436" s="9">
        <f t="shared" si="532"/>
        <v>173</v>
      </c>
      <c r="L2436" s="9" t="str">
        <f t="shared" si="534"/>
        <v>O</v>
      </c>
      <c r="M2436" s="9" t="str">
        <f t="shared" si="533"/>
        <v>Input!O173</v>
      </c>
      <c r="N2436" s="9">
        <f>_xlfn.XLOOKUP(F2436,'Raw Data'!$I$4:$I$5000,'Raw Data'!$E$4:$E$5000,100,0)</f>
        <v>100</v>
      </c>
      <c r="O2436" s="9" t="str">
        <f>IF(N2436=0,_xlfn.XLOOKUP(F2436,'Raw Data'!$I$4:$I$5000,'Raw Data'!$H$4:$H$5000,"",0),"")</f>
        <v/>
      </c>
      <c r="P2436" s="9" t="str" cm="1">
        <f t="array" aca="1" ref="P2436" ca="1">IF(INDIRECT(M2436) = "","",INDIRECT(M2436))</f>
        <v/>
      </c>
      <c r="Q2436" s="359" t="s">
        <v>4380</v>
      </c>
    </row>
    <row r="2437" spans="1:17" x14ac:dyDescent="0.35">
      <c r="A2437" t="s">
        <v>3214</v>
      </c>
      <c r="E2437" t="str">
        <f>_xlfn.XLOOKUP(F2437,'Raw Data'!$I$4:$I$5000,'Raw Data'!$D$4:$D$5000,"*** Mnemonic not found ***",0)</f>
        <v>*** Mnemonic not found ***</v>
      </c>
      <c r="F2437" t="str">
        <f t="shared" si="531"/>
        <v>SUCMOTHCAT3_5TO10_C__</v>
      </c>
      <c r="H2437" s="9" t="s">
        <v>1137</v>
      </c>
      <c r="K2437" s="9">
        <f t="shared" si="532"/>
        <v>174</v>
      </c>
      <c r="L2437" s="9" t="str">
        <f t="shared" si="534"/>
        <v>O</v>
      </c>
      <c r="M2437" s="9" t="str">
        <f t="shared" si="533"/>
        <v>Input!O174</v>
      </c>
      <c r="N2437" s="9">
        <f>_xlfn.XLOOKUP(F2437,'Raw Data'!$I$4:$I$5000,'Raw Data'!$E$4:$E$5000,100,0)</f>
        <v>100</v>
      </c>
      <c r="O2437" s="9" t="str">
        <f>IF(N2437=0,_xlfn.XLOOKUP(F2437,'Raw Data'!$I$4:$I$5000,'Raw Data'!$H$4:$H$5000,"",0),"")</f>
        <v/>
      </c>
      <c r="P2437" s="9" t="str" cm="1">
        <f t="array" aca="1" ref="P2437" ca="1">IF(INDIRECT(M2437) = "","",INDIRECT(M2437))</f>
        <v/>
      </c>
      <c r="Q2437" s="359" t="s">
        <v>4380</v>
      </c>
    </row>
    <row r="2438" spans="1:17" x14ac:dyDescent="0.35">
      <c r="A2438" t="s">
        <v>3215</v>
      </c>
      <c r="E2438" t="str">
        <f>_xlfn.XLOOKUP(F2438,'Raw Data'!$I$4:$I$5000,'Raw Data'!$D$4:$D$5000,"*** Mnemonic not found ***",0)</f>
        <v>*** Mnemonic not found ***</v>
      </c>
      <c r="F2438" t="str">
        <f t="shared" si="531"/>
        <v>SUCMOTHCAT3_10TO20_C__</v>
      </c>
      <c r="H2438" s="9" t="s">
        <v>1137</v>
      </c>
      <c r="K2438" s="9">
        <f t="shared" si="532"/>
        <v>175</v>
      </c>
      <c r="L2438" s="9" t="str">
        <f t="shared" si="534"/>
        <v>O</v>
      </c>
      <c r="M2438" s="9" t="str">
        <f t="shared" si="533"/>
        <v>Input!O175</v>
      </c>
      <c r="N2438" s="9">
        <f>_xlfn.XLOOKUP(F2438,'Raw Data'!$I$4:$I$5000,'Raw Data'!$E$4:$E$5000,100,0)</f>
        <v>100</v>
      </c>
      <c r="O2438" s="9" t="str">
        <f>IF(N2438=0,_xlfn.XLOOKUP(F2438,'Raw Data'!$I$4:$I$5000,'Raw Data'!$H$4:$H$5000,"",0),"")</f>
        <v/>
      </c>
      <c r="P2438" s="9" t="str" cm="1">
        <f t="array" aca="1" ref="P2438" ca="1">IF(INDIRECT(M2438) = "","",INDIRECT(M2438))</f>
        <v/>
      </c>
      <c r="Q2438" s="359" t="s">
        <v>4380</v>
      </c>
    </row>
    <row r="2439" spans="1:17" x14ac:dyDescent="0.35">
      <c r="A2439" t="s">
        <v>3216</v>
      </c>
      <c r="E2439" t="str">
        <f>_xlfn.XLOOKUP(F2439,'Raw Data'!$I$4:$I$5000,'Raw Data'!$D$4:$D$5000,"*** Mnemonic not found ***",0)</f>
        <v>*** Mnemonic not found ***</v>
      </c>
      <c r="F2439" t="str">
        <f t="shared" si="531"/>
        <v>SUCMOTHCAT3_GRTR20_C__</v>
      </c>
      <c r="H2439" s="9" t="s">
        <v>1137</v>
      </c>
      <c r="K2439" s="9">
        <f t="shared" si="532"/>
        <v>176</v>
      </c>
      <c r="L2439" s="9" t="str">
        <f t="shared" si="534"/>
        <v>O</v>
      </c>
      <c r="M2439" s="9" t="str">
        <f t="shared" si="533"/>
        <v>Input!O176</v>
      </c>
      <c r="N2439" s="9">
        <f>_xlfn.XLOOKUP(F2439,'Raw Data'!$I$4:$I$5000,'Raw Data'!$E$4:$E$5000,100,0)</f>
        <v>100</v>
      </c>
      <c r="O2439" s="9" t="str">
        <f>IF(N2439=0,_xlfn.XLOOKUP(F2439,'Raw Data'!$I$4:$I$5000,'Raw Data'!$H$4:$H$5000,"",0),"")</f>
        <v/>
      </c>
      <c r="P2439" s="9" t="str" cm="1">
        <f t="array" aca="1" ref="P2439" ca="1">IF(INDIRECT(M2439) = "","",INDIRECT(M2439))</f>
        <v/>
      </c>
      <c r="Q2439" s="359" t="s">
        <v>4380</v>
      </c>
    </row>
    <row r="2440" spans="1:17" x14ac:dyDescent="0.35">
      <c r="A2440" t="s">
        <v>3217</v>
      </c>
      <c r="E2440" t="str">
        <f>_xlfn.XLOOKUP(F2440,'Raw Data'!$I$4:$I$5000,'Raw Data'!$D$4:$D$5000,"*** Mnemonic not found ***",0)</f>
        <v>*** Mnemonic not found ***</v>
      </c>
      <c r="F2440" t="str">
        <f t="shared" si="531"/>
        <v>SUCMOTHCAT3_TOTAL_C__</v>
      </c>
      <c r="H2440" s="9" t="s">
        <v>1137</v>
      </c>
      <c r="K2440" s="9">
        <f t="shared" si="532"/>
        <v>177</v>
      </c>
      <c r="L2440" s="9" t="str">
        <f t="shared" si="534"/>
        <v>O</v>
      </c>
      <c r="M2440" s="9" t="str">
        <f t="shared" si="533"/>
        <v>Input!O177</v>
      </c>
      <c r="N2440" s="9">
        <f>_xlfn.XLOOKUP(F2440,'Raw Data'!$I$4:$I$5000,'Raw Data'!$E$4:$E$5000,100,0)</f>
        <v>100</v>
      </c>
      <c r="O2440" s="9" t="str">
        <f>IF(N2440=0,_xlfn.XLOOKUP(F2440,'Raw Data'!$I$4:$I$5000,'Raw Data'!$H$4:$H$5000,"",0),"")</f>
        <v/>
      </c>
      <c r="P2440" s="9" t="str" cm="1">
        <f t="array" aca="1" ref="P2440" ca="1">IF(INDIRECT(M2440) = "","",INDIRECT(M2440))</f>
        <v/>
      </c>
      <c r="Q2440" s="359" t="s">
        <v>4380</v>
      </c>
    </row>
    <row r="2441" spans="1:17" x14ac:dyDescent="0.35">
      <c r="A2441" t="s">
        <v>3218</v>
      </c>
      <c r="E2441" t="str">
        <f>_xlfn.XLOOKUP(F2441,'Raw Data'!$I$4:$I$5000,'Raw Data'!$D$4:$D$5000,"*** Mnemonic not found ***",0)</f>
        <v>*** Mnemonic not found ***</v>
      </c>
      <c r="F2441" t="str">
        <f t="shared" si="531"/>
        <v>SUCMOTHCAT4_C__</v>
      </c>
      <c r="H2441" s="9" t="s">
        <v>1137</v>
      </c>
      <c r="K2441" s="9">
        <f>K2440+2</f>
        <v>179</v>
      </c>
      <c r="L2441" s="9" t="str">
        <f t="shared" si="534"/>
        <v>O</v>
      </c>
      <c r="M2441" s="9" t="str">
        <f t="shared" si="533"/>
        <v>Input!O179</v>
      </c>
      <c r="N2441" s="9">
        <f>_xlfn.XLOOKUP(F2441,'Raw Data'!$I$4:$I$5000,'Raw Data'!$E$4:$E$5000,100,0)</f>
        <v>100</v>
      </c>
      <c r="O2441" s="9" t="str">
        <f>IF(N2441=0,_xlfn.XLOOKUP(F2441,'Raw Data'!$I$4:$I$5000,'Raw Data'!$H$4:$H$5000,"",0),"")</f>
        <v/>
      </c>
      <c r="P2441" s="9" t="str" cm="1">
        <f t="array" aca="1" ref="P2441" ca="1">IF(INDIRECT(M2441) = "","",INDIRECT(M2441))</f>
        <v/>
      </c>
      <c r="Q2441" s="359" t="s">
        <v>4380</v>
      </c>
    </row>
    <row r="2442" spans="1:17" x14ac:dyDescent="0.35">
      <c r="A2442" t="s">
        <v>3219</v>
      </c>
      <c r="E2442" t="str">
        <f>_xlfn.XLOOKUP(F2442,'Raw Data'!$I$4:$I$5000,'Raw Data'!$D$4:$D$5000,"*** Mnemonic not found ***",0)</f>
        <v>*** Mnemonic not found ***</v>
      </c>
      <c r="F2442" t="str">
        <f t="shared" si="531"/>
        <v>SUCMOTHCAT4_LESS1_C__</v>
      </c>
      <c r="H2442" s="9" t="s">
        <v>1137</v>
      </c>
      <c r="K2442" s="9">
        <f t="shared" si="532"/>
        <v>180</v>
      </c>
      <c r="L2442" s="9" t="str">
        <f t="shared" si="534"/>
        <v>O</v>
      </c>
      <c r="M2442" s="9" t="str">
        <f t="shared" si="533"/>
        <v>Input!O180</v>
      </c>
      <c r="N2442" s="9">
        <f>_xlfn.XLOOKUP(F2442,'Raw Data'!$I$4:$I$5000,'Raw Data'!$E$4:$E$5000,100,0)</f>
        <v>100</v>
      </c>
      <c r="O2442" s="9" t="str">
        <f>IF(N2442=0,_xlfn.XLOOKUP(F2442,'Raw Data'!$I$4:$I$5000,'Raw Data'!$H$4:$H$5000,"",0),"")</f>
        <v/>
      </c>
      <c r="P2442" s="9" t="str" cm="1">
        <f t="array" aca="1" ref="P2442" ca="1">IF(INDIRECT(M2442) = "","",INDIRECT(M2442))</f>
        <v/>
      </c>
      <c r="Q2442" s="359" t="s">
        <v>4380</v>
      </c>
    </row>
    <row r="2443" spans="1:17" x14ac:dyDescent="0.35">
      <c r="A2443" t="s">
        <v>3220</v>
      </c>
      <c r="E2443" t="str">
        <f>_xlfn.XLOOKUP(F2443,'Raw Data'!$I$4:$I$5000,'Raw Data'!$D$4:$D$5000,"*** Mnemonic not found ***",0)</f>
        <v>*** Mnemonic not found ***</v>
      </c>
      <c r="F2443" t="str">
        <f t="shared" si="531"/>
        <v>SUCMOTHCAT4_1TO5_C__</v>
      </c>
      <c r="H2443" s="9" t="s">
        <v>1137</v>
      </c>
      <c r="K2443" s="9">
        <f t="shared" si="532"/>
        <v>181</v>
      </c>
      <c r="L2443" s="9" t="str">
        <f t="shared" si="534"/>
        <v>O</v>
      </c>
      <c r="M2443" s="9" t="str">
        <f t="shared" si="533"/>
        <v>Input!O181</v>
      </c>
      <c r="N2443" s="9">
        <f>_xlfn.XLOOKUP(F2443,'Raw Data'!$I$4:$I$5000,'Raw Data'!$E$4:$E$5000,100,0)</f>
        <v>100</v>
      </c>
      <c r="O2443" s="9" t="str">
        <f>IF(N2443=0,_xlfn.XLOOKUP(F2443,'Raw Data'!$I$4:$I$5000,'Raw Data'!$H$4:$H$5000,"",0),"")</f>
        <v/>
      </c>
      <c r="P2443" s="9" t="str" cm="1">
        <f t="array" aca="1" ref="P2443" ca="1">IF(INDIRECT(M2443) = "","",INDIRECT(M2443))</f>
        <v/>
      </c>
      <c r="Q2443" s="359" t="s">
        <v>4380</v>
      </c>
    </row>
    <row r="2444" spans="1:17" x14ac:dyDescent="0.35">
      <c r="A2444" t="s">
        <v>3221</v>
      </c>
      <c r="E2444" t="str">
        <f>_xlfn.XLOOKUP(F2444,'Raw Data'!$I$4:$I$5000,'Raw Data'!$D$4:$D$5000,"*** Mnemonic not found ***",0)</f>
        <v>*** Mnemonic not found ***</v>
      </c>
      <c r="F2444" t="str">
        <f t="shared" si="531"/>
        <v>SUCMOTHCAT4_5TO10_C__</v>
      </c>
      <c r="H2444" s="9" t="s">
        <v>1137</v>
      </c>
      <c r="K2444" s="9">
        <f t="shared" si="532"/>
        <v>182</v>
      </c>
      <c r="L2444" s="9" t="str">
        <f t="shared" si="534"/>
        <v>O</v>
      </c>
      <c r="M2444" s="9" t="str">
        <f t="shared" si="533"/>
        <v>Input!O182</v>
      </c>
      <c r="N2444" s="9">
        <f>_xlfn.XLOOKUP(F2444,'Raw Data'!$I$4:$I$5000,'Raw Data'!$E$4:$E$5000,100,0)</f>
        <v>100</v>
      </c>
      <c r="O2444" s="9" t="str">
        <f>IF(N2444=0,_xlfn.XLOOKUP(F2444,'Raw Data'!$I$4:$I$5000,'Raw Data'!$H$4:$H$5000,"",0),"")</f>
        <v/>
      </c>
      <c r="P2444" s="9" t="str" cm="1">
        <f t="array" aca="1" ref="P2444" ca="1">IF(INDIRECT(M2444) = "","",INDIRECT(M2444))</f>
        <v/>
      </c>
      <c r="Q2444" s="359" t="s">
        <v>4380</v>
      </c>
    </row>
    <row r="2445" spans="1:17" x14ac:dyDescent="0.35">
      <c r="A2445" t="s">
        <v>3222</v>
      </c>
      <c r="E2445" t="str">
        <f>_xlfn.XLOOKUP(F2445,'Raw Data'!$I$4:$I$5000,'Raw Data'!$D$4:$D$5000,"*** Mnemonic not found ***",0)</f>
        <v>*** Mnemonic not found ***</v>
      </c>
      <c r="F2445" t="str">
        <f t="shared" si="531"/>
        <v>SUCMOTHCAT4_10TO20_C__</v>
      </c>
      <c r="H2445" s="9" t="s">
        <v>1137</v>
      </c>
      <c r="K2445" s="9">
        <f t="shared" si="532"/>
        <v>183</v>
      </c>
      <c r="L2445" s="9" t="str">
        <f t="shared" si="534"/>
        <v>O</v>
      </c>
      <c r="M2445" s="9" t="str">
        <f t="shared" si="533"/>
        <v>Input!O183</v>
      </c>
      <c r="N2445" s="9">
        <f>_xlfn.XLOOKUP(F2445,'Raw Data'!$I$4:$I$5000,'Raw Data'!$E$4:$E$5000,100,0)</f>
        <v>100</v>
      </c>
      <c r="O2445" s="9" t="str">
        <f>IF(N2445=0,_xlfn.XLOOKUP(F2445,'Raw Data'!$I$4:$I$5000,'Raw Data'!$H$4:$H$5000,"",0),"")</f>
        <v/>
      </c>
      <c r="P2445" s="9" t="str" cm="1">
        <f t="array" aca="1" ref="P2445" ca="1">IF(INDIRECT(M2445) = "","",INDIRECT(M2445))</f>
        <v/>
      </c>
      <c r="Q2445" s="359" t="s">
        <v>4380</v>
      </c>
    </row>
    <row r="2446" spans="1:17" x14ac:dyDescent="0.35">
      <c r="A2446" t="s">
        <v>3223</v>
      </c>
      <c r="E2446" t="str">
        <f>_xlfn.XLOOKUP(F2446,'Raw Data'!$I$4:$I$5000,'Raw Data'!$D$4:$D$5000,"*** Mnemonic not found ***",0)</f>
        <v>*** Mnemonic not found ***</v>
      </c>
      <c r="F2446" t="str">
        <f t="shared" ref="F2446:F2509" si="535">CONCATENATE(A2446,"_",B2446,"_",D2446)</f>
        <v>SUCMOTHCAT4_GRTR20_C__</v>
      </c>
      <c r="H2446" s="9" t="s">
        <v>1137</v>
      </c>
      <c r="K2446" s="9">
        <f t="shared" si="532"/>
        <v>184</v>
      </c>
      <c r="L2446" s="9" t="str">
        <f t="shared" si="534"/>
        <v>O</v>
      </c>
      <c r="M2446" s="9" t="str">
        <f t="shared" si="533"/>
        <v>Input!O184</v>
      </c>
      <c r="N2446" s="9">
        <f>_xlfn.XLOOKUP(F2446,'Raw Data'!$I$4:$I$5000,'Raw Data'!$E$4:$E$5000,100,0)</f>
        <v>100</v>
      </c>
      <c r="O2446" s="9" t="str">
        <f>IF(N2446=0,_xlfn.XLOOKUP(F2446,'Raw Data'!$I$4:$I$5000,'Raw Data'!$H$4:$H$5000,"",0),"")</f>
        <v/>
      </c>
      <c r="P2446" s="9" t="str" cm="1">
        <f t="array" aca="1" ref="P2446" ca="1">IF(INDIRECT(M2446) = "","",INDIRECT(M2446))</f>
        <v/>
      </c>
      <c r="Q2446" s="359" t="s">
        <v>4380</v>
      </c>
    </row>
    <row r="2447" spans="1:17" x14ac:dyDescent="0.35">
      <c r="A2447" t="s">
        <v>3224</v>
      </c>
      <c r="E2447" t="str">
        <f>_xlfn.XLOOKUP(F2447,'Raw Data'!$I$4:$I$5000,'Raw Data'!$D$4:$D$5000,"*** Mnemonic not found ***",0)</f>
        <v>*** Mnemonic not found ***</v>
      </c>
      <c r="F2447" t="str">
        <f t="shared" si="535"/>
        <v>SUCMOTHCAT4_TOTAL_C__</v>
      </c>
      <c r="H2447" s="9" t="s">
        <v>1137</v>
      </c>
      <c r="K2447" s="9">
        <f t="shared" si="532"/>
        <v>185</v>
      </c>
      <c r="L2447" s="9" t="str">
        <f t="shared" si="534"/>
        <v>O</v>
      </c>
      <c r="M2447" s="9" t="str">
        <f t="shared" si="533"/>
        <v>Input!O185</v>
      </c>
      <c r="N2447" s="9">
        <f>_xlfn.XLOOKUP(F2447,'Raw Data'!$I$4:$I$5000,'Raw Data'!$E$4:$E$5000,100,0)</f>
        <v>100</v>
      </c>
      <c r="O2447" s="9" t="str">
        <f>IF(N2447=0,_xlfn.XLOOKUP(F2447,'Raw Data'!$I$4:$I$5000,'Raw Data'!$H$4:$H$5000,"",0),"")</f>
        <v/>
      </c>
      <c r="P2447" s="9" t="str" cm="1">
        <f t="array" aca="1" ref="P2447" ca="1">IF(INDIRECT(M2447) = "","",INDIRECT(M2447))</f>
        <v/>
      </c>
      <c r="Q2447" s="359" t="s">
        <v>4380</v>
      </c>
    </row>
    <row r="2448" spans="1:17" x14ac:dyDescent="0.35">
      <c r="A2448" t="s">
        <v>3225</v>
      </c>
      <c r="E2448" t="str">
        <f>_xlfn.XLOOKUP(F2448,'Raw Data'!$I$4:$I$5000,'Raw Data'!$D$4:$D$5000,"*** Mnemonic not found ***",0)</f>
        <v>*** Mnemonic not found ***</v>
      </c>
      <c r="F2448" t="str">
        <f t="shared" si="535"/>
        <v>SUCMRUR1NFCTOT_C__</v>
      </c>
      <c r="G2448" t="s">
        <v>4448</v>
      </c>
      <c r="H2448" s="9" t="s">
        <v>1137</v>
      </c>
      <c r="I2448" s="289">
        <f>ROW(section_bonds_sp_unrated_step_4)</f>
        <v>187</v>
      </c>
      <c r="J2448" s="9">
        <v>2</v>
      </c>
      <c r="K2448" s="9">
        <f>I2448+J2448</f>
        <v>189</v>
      </c>
      <c r="L2448" s="9" t="str">
        <f>L2447</f>
        <v>O</v>
      </c>
      <c r="M2448" s="9" t="str">
        <f t="shared" si="533"/>
        <v>Input!O189</v>
      </c>
      <c r="N2448" s="9">
        <f>_xlfn.XLOOKUP(F2448,'Raw Data'!$I$4:$I$5000,'Raw Data'!$E$4:$E$5000,100,0)</f>
        <v>100</v>
      </c>
      <c r="O2448" s="9" t="str">
        <f>IF(N2448=0,_xlfn.XLOOKUP(F2448,'Raw Data'!$I$4:$I$5000,'Raw Data'!$H$4:$H$5000,"",0),"")</f>
        <v/>
      </c>
      <c r="P2448" s="9" t="str" cm="1">
        <f t="array" aca="1" ref="P2448" ca="1">IF(INDIRECT(M2448) = "","",INDIRECT(M2448))</f>
        <v/>
      </c>
      <c r="Q2448" s="359" t="s">
        <v>4380</v>
      </c>
    </row>
    <row r="2449" spans="1:17" x14ac:dyDescent="0.35">
      <c r="A2449" t="s">
        <v>3226</v>
      </c>
      <c r="E2449" t="str">
        <f>_xlfn.XLOOKUP(F2449,'Raw Data'!$I$4:$I$5000,'Raw Data'!$D$4:$D$5000,"*** Mnemonic not found ***",0)</f>
        <v>*** Mnemonic not found ***</v>
      </c>
      <c r="F2449" t="str">
        <f t="shared" si="535"/>
        <v>SUCMRUR1NFCERG_C__</v>
      </c>
      <c r="H2449" s="9" t="s">
        <v>1137</v>
      </c>
      <c r="K2449" s="9">
        <f t="shared" ref="K2449:K2506" si="536">K2448+1</f>
        <v>190</v>
      </c>
      <c r="L2449" s="9" t="str">
        <f t="shared" si="534"/>
        <v>O</v>
      </c>
      <c r="M2449" s="9" t="str">
        <f t="shared" si="533"/>
        <v>Input!O190</v>
      </c>
      <c r="N2449" s="9">
        <f>_xlfn.XLOOKUP(F2449,'Raw Data'!$I$4:$I$5000,'Raw Data'!$E$4:$E$5000,100,0)</f>
        <v>100</v>
      </c>
      <c r="O2449" s="9" t="str">
        <f>IF(N2449=0,_xlfn.XLOOKUP(F2449,'Raw Data'!$I$4:$I$5000,'Raw Data'!$H$4:$H$5000,"",0),"")</f>
        <v/>
      </c>
      <c r="P2449" s="9" t="str" cm="1">
        <f t="array" aca="1" ref="P2449" ca="1">IF(INDIRECT(M2449) = "","",INDIRECT(M2449))</f>
        <v/>
      </c>
      <c r="Q2449" s="359" t="s">
        <v>4380</v>
      </c>
    </row>
    <row r="2450" spans="1:17" x14ac:dyDescent="0.35">
      <c r="A2450" t="s">
        <v>3227</v>
      </c>
      <c r="E2450" t="str">
        <f>_xlfn.XLOOKUP(F2450,'Raw Data'!$I$4:$I$5000,'Raw Data'!$D$4:$D$5000,"*** Mnemonic not found ***",0)</f>
        <v>*** Mnemonic not found ***</v>
      </c>
      <c r="F2450" t="str">
        <f t="shared" si="535"/>
        <v>SUCMRUR1NFCYRS_C__</v>
      </c>
      <c r="H2450" s="9" t="s">
        <v>1137</v>
      </c>
      <c r="K2450" s="9">
        <f t="shared" si="536"/>
        <v>191</v>
      </c>
      <c r="L2450" s="9" t="str">
        <f t="shared" si="534"/>
        <v>O</v>
      </c>
      <c r="M2450" s="9" t="str">
        <f t="shared" si="533"/>
        <v>Input!O191</v>
      </c>
      <c r="N2450" s="9">
        <f>_xlfn.XLOOKUP(F2450,'Raw Data'!$I$4:$I$5000,'Raw Data'!$E$4:$E$5000,100,0)</f>
        <v>100</v>
      </c>
      <c r="O2450" s="9" t="str">
        <f>IF(N2450=0,_xlfn.XLOOKUP(F2450,'Raw Data'!$I$4:$I$5000,'Raw Data'!$H$4:$H$5000,"",0),"")</f>
        <v/>
      </c>
      <c r="P2450" s="9" t="str" cm="1">
        <f t="array" aca="1" ref="P2450" ca="1">IF(INDIRECT(M2450) = "","",INDIRECT(M2450))</f>
        <v/>
      </c>
      <c r="Q2450" s="359" t="s">
        <v>4380</v>
      </c>
    </row>
    <row r="2451" spans="1:17" x14ac:dyDescent="0.35">
      <c r="A2451" t="s">
        <v>3228</v>
      </c>
      <c r="E2451" t="str">
        <f>_xlfn.XLOOKUP(F2451,'Raw Data'!$I$4:$I$5000,'Raw Data'!$D$4:$D$5000,"*** Mnemonic not found ***",0)</f>
        <v>*** Mnemonic not found ***</v>
      </c>
      <c r="F2451" t="str">
        <f t="shared" si="535"/>
        <v>SUCMRUR1NFC_LESS1_C__</v>
      </c>
      <c r="H2451" s="9" t="s">
        <v>1137</v>
      </c>
      <c r="K2451" s="9">
        <f t="shared" si="536"/>
        <v>192</v>
      </c>
      <c r="L2451" s="9" t="str">
        <f t="shared" si="534"/>
        <v>O</v>
      </c>
      <c r="M2451" s="9" t="str">
        <f t="shared" si="533"/>
        <v>Input!O192</v>
      </c>
      <c r="N2451" s="9">
        <f>_xlfn.XLOOKUP(F2451,'Raw Data'!$I$4:$I$5000,'Raw Data'!$E$4:$E$5000,100,0)</f>
        <v>100</v>
      </c>
      <c r="O2451" s="9" t="str">
        <f>IF(N2451=0,_xlfn.XLOOKUP(F2451,'Raw Data'!$I$4:$I$5000,'Raw Data'!$H$4:$H$5000,"",0),"")</f>
        <v/>
      </c>
      <c r="P2451" s="9" t="str" cm="1">
        <f t="array" aca="1" ref="P2451" ca="1">IF(INDIRECT(M2451) = "","",INDIRECT(M2451))</f>
        <v/>
      </c>
      <c r="Q2451" s="359" t="s">
        <v>4380</v>
      </c>
    </row>
    <row r="2452" spans="1:17" x14ac:dyDescent="0.35">
      <c r="A2452" t="s">
        <v>3229</v>
      </c>
      <c r="E2452" t="str">
        <f>_xlfn.XLOOKUP(F2452,'Raw Data'!$I$4:$I$5000,'Raw Data'!$D$4:$D$5000,"*** Mnemonic not found ***",0)</f>
        <v>*** Mnemonic not found ***</v>
      </c>
      <c r="F2452" t="str">
        <f t="shared" si="535"/>
        <v>SUCMRUR1NFC_1TO5_C__</v>
      </c>
      <c r="H2452" s="9" t="s">
        <v>1137</v>
      </c>
      <c r="K2452" s="9">
        <f t="shared" si="536"/>
        <v>193</v>
      </c>
      <c r="L2452" s="9" t="str">
        <f t="shared" si="534"/>
        <v>O</v>
      </c>
      <c r="M2452" s="9" t="str">
        <f t="shared" si="533"/>
        <v>Input!O193</v>
      </c>
      <c r="N2452" s="9">
        <f>_xlfn.XLOOKUP(F2452,'Raw Data'!$I$4:$I$5000,'Raw Data'!$E$4:$E$5000,100,0)</f>
        <v>100</v>
      </c>
      <c r="O2452" s="9" t="str">
        <f>IF(N2452=0,_xlfn.XLOOKUP(F2452,'Raw Data'!$I$4:$I$5000,'Raw Data'!$H$4:$H$5000,"",0),"")</f>
        <v/>
      </c>
      <c r="P2452" s="9" t="str" cm="1">
        <f t="array" aca="1" ref="P2452" ca="1">IF(INDIRECT(M2452) = "","",INDIRECT(M2452))</f>
        <v/>
      </c>
      <c r="Q2452" s="359" t="s">
        <v>4380</v>
      </c>
    </row>
    <row r="2453" spans="1:17" x14ac:dyDescent="0.35">
      <c r="A2453" t="s">
        <v>3230</v>
      </c>
      <c r="E2453" t="str">
        <f>_xlfn.XLOOKUP(F2453,'Raw Data'!$I$4:$I$5000,'Raw Data'!$D$4:$D$5000,"*** Mnemonic not found ***",0)</f>
        <v>*** Mnemonic not found ***</v>
      </c>
      <c r="F2453" t="str">
        <f t="shared" si="535"/>
        <v>SUCMRUR1NFC_5TO10_C__</v>
      </c>
      <c r="H2453" s="9" t="s">
        <v>1137</v>
      </c>
      <c r="K2453" s="9">
        <f t="shared" si="536"/>
        <v>194</v>
      </c>
      <c r="L2453" s="9" t="str">
        <f t="shared" si="534"/>
        <v>O</v>
      </c>
      <c r="M2453" s="9" t="str">
        <f t="shared" si="533"/>
        <v>Input!O194</v>
      </c>
      <c r="N2453" s="9">
        <f>_xlfn.XLOOKUP(F2453,'Raw Data'!$I$4:$I$5000,'Raw Data'!$E$4:$E$5000,100,0)</f>
        <v>100</v>
      </c>
      <c r="O2453" s="9" t="str">
        <f>IF(N2453=0,_xlfn.XLOOKUP(F2453,'Raw Data'!$I$4:$I$5000,'Raw Data'!$H$4:$H$5000,"",0),"")</f>
        <v/>
      </c>
      <c r="P2453" s="9" t="str" cm="1">
        <f t="array" aca="1" ref="P2453" ca="1">IF(INDIRECT(M2453) = "","",INDIRECT(M2453))</f>
        <v/>
      </c>
      <c r="Q2453" s="359" t="s">
        <v>4380</v>
      </c>
    </row>
    <row r="2454" spans="1:17" x14ac:dyDescent="0.35">
      <c r="A2454" t="s">
        <v>3231</v>
      </c>
      <c r="E2454" t="str">
        <f>_xlfn.XLOOKUP(F2454,'Raw Data'!$I$4:$I$5000,'Raw Data'!$D$4:$D$5000,"*** Mnemonic not found ***",0)</f>
        <v>*** Mnemonic not found ***</v>
      </c>
      <c r="F2454" t="str">
        <f t="shared" si="535"/>
        <v>SUCMRUR1NFC_10TO20_C__</v>
      </c>
      <c r="H2454" s="9" t="s">
        <v>1137</v>
      </c>
      <c r="K2454" s="9">
        <f t="shared" si="536"/>
        <v>195</v>
      </c>
      <c r="L2454" s="9" t="str">
        <f t="shared" si="534"/>
        <v>O</v>
      </c>
      <c r="M2454" s="9" t="str">
        <f t="shared" ref="M2454:M2511" si="537">CONCATENATE(H2454,"!",L2454,K2454)</f>
        <v>Input!O195</v>
      </c>
      <c r="N2454" s="9">
        <f>_xlfn.XLOOKUP(F2454,'Raw Data'!$I$4:$I$5000,'Raw Data'!$E$4:$E$5000,100,0)</f>
        <v>100</v>
      </c>
      <c r="O2454" s="9" t="str">
        <f>IF(N2454=0,_xlfn.XLOOKUP(F2454,'Raw Data'!$I$4:$I$5000,'Raw Data'!$H$4:$H$5000,"",0),"")</f>
        <v/>
      </c>
      <c r="P2454" s="9" t="str" cm="1">
        <f t="array" aca="1" ref="P2454" ca="1">IF(INDIRECT(M2454) = "","",INDIRECT(M2454))</f>
        <v/>
      </c>
      <c r="Q2454" s="359" t="s">
        <v>4380</v>
      </c>
    </row>
    <row r="2455" spans="1:17" x14ac:dyDescent="0.35">
      <c r="A2455" t="s">
        <v>3232</v>
      </c>
      <c r="E2455" t="str">
        <f>_xlfn.XLOOKUP(F2455,'Raw Data'!$I$4:$I$5000,'Raw Data'!$D$4:$D$5000,"*** Mnemonic not found ***",0)</f>
        <v>*** Mnemonic not found ***</v>
      </c>
      <c r="F2455" t="str">
        <f t="shared" si="535"/>
        <v>SUCMRUR1NFC_GRTR20_C__</v>
      </c>
      <c r="H2455" s="9" t="s">
        <v>1137</v>
      </c>
      <c r="K2455" s="9">
        <f t="shared" si="536"/>
        <v>196</v>
      </c>
      <c r="L2455" s="9" t="str">
        <f t="shared" si="534"/>
        <v>O</v>
      </c>
      <c r="M2455" s="9" t="str">
        <f t="shared" si="537"/>
        <v>Input!O196</v>
      </c>
      <c r="N2455" s="9">
        <f>_xlfn.XLOOKUP(F2455,'Raw Data'!$I$4:$I$5000,'Raw Data'!$E$4:$E$5000,100,0)</f>
        <v>100</v>
      </c>
      <c r="O2455" s="9" t="str">
        <f>IF(N2455=0,_xlfn.XLOOKUP(F2455,'Raw Data'!$I$4:$I$5000,'Raw Data'!$H$4:$H$5000,"",0),"")</f>
        <v/>
      </c>
      <c r="P2455" s="9" t="str" cm="1">
        <f t="array" aca="1" ref="P2455" ca="1">IF(INDIRECT(M2455) = "","",INDIRECT(M2455))</f>
        <v/>
      </c>
      <c r="Q2455" s="359" t="s">
        <v>4380</v>
      </c>
    </row>
    <row r="2456" spans="1:17" x14ac:dyDescent="0.35">
      <c r="A2456" t="s">
        <v>3233</v>
      </c>
      <c r="E2456" t="str">
        <f>_xlfn.XLOOKUP(F2456,'Raw Data'!$I$4:$I$5000,'Raw Data'!$D$4:$D$5000,"*** Mnemonic not found ***",0)</f>
        <v>*** Mnemonic not found ***</v>
      </c>
      <c r="F2456" t="str">
        <f t="shared" si="535"/>
        <v>SUCMRUR2NFCTOT_C__</v>
      </c>
      <c r="H2456" s="9" t="s">
        <v>1137</v>
      </c>
      <c r="K2456" s="9">
        <f>K2455+3</f>
        <v>199</v>
      </c>
      <c r="L2456" s="9" t="str">
        <f t="shared" si="534"/>
        <v>O</v>
      </c>
      <c r="M2456" s="9" t="str">
        <f t="shared" si="537"/>
        <v>Input!O199</v>
      </c>
      <c r="N2456" s="9">
        <f>_xlfn.XLOOKUP(F2456,'Raw Data'!$I$4:$I$5000,'Raw Data'!$E$4:$E$5000,100,0)</f>
        <v>100</v>
      </c>
      <c r="O2456" s="9" t="str">
        <f>IF(N2456=0,_xlfn.XLOOKUP(F2456,'Raw Data'!$I$4:$I$5000,'Raw Data'!$H$4:$H$5000,"",0),"")</f>
        <v/>
      </c>
      <c r="P2456" s="9" t="str" cm="1">
        <f t="array" aca="1" ref="P2456" ca="1">IF(INDIRECT(M2456) = "","",INDIRECT(M2456))</f>
        <v/>
      </c>
      <c r="Q2456" s="359" t="s">
        <v>4380</v>
      </c>
    </row>
    <row r="2457" spans="1:17" x14ac:dyDescent="0.35">
      <c r="A2457" t="s">
        <v>3234</v>
      </c>
      <c r="E2457" t="str">
        <f>_xlfn.XLOOKUP(F2457,'Raw Data'!$I$4:$I$5000,'Raw Data'!$D$4:$D$5000,"*** Mnemonic not found ***",0)</f>
        <v>*** Mnemonic not found ***</v>
      </c>
      <c r="F2457" t="str">
        <f t="shared" si="535"/>
        <v>SUCMRUR2NFCERG_C__</v>
      </c>
      <c r="H2457" s="9" t="s">
        <v>1137</v>
      </c>
      <c r="K2457" s="9">
        <f t="shared" si="536"/>
        <v>200</v>
      </c>
      <c r="L2457" s="9" t="str">
        <f t="shared" si="534"/>
        <v>O</v>
      </c>
      <c r="M2457" s="9" t="str">
        <f t="shared" si="537"/>
        <v>Input!O200</v>
      </c>
      <c r="N2457" s="9">
        <f>_xlfn.XLOOKUP(F2457,'Raw Data'!$I$4:$I$5000,'Raw Data'!$E$4:$E$5000,100,0)</f>
        <v>100</v>
      </c>
      <c r="O2457" s="9" t="str">
        <f>IF(N2457=0,_xlfn.XLOOKUP(F2457,'Raw Data'!$I$4:$I$5000,'Raw Data'!$H$4:$H$5000,"",0),"")</f>
        <v/>
      </c>
      <c r="P2457" s="9" t="str" cm="1">
        <f t="array" aca="1" ref="P2457" ca="1">IF(INDIRECT(M2457) = "","",INDIRECT(M2457))</f>
        <v/>
      </c>
      <c r="Q2457" s="359" t="s">
        <v>4380</v>
      </c>
    </row>
    <row r="2458" spans="1:17" x14ac:dyDescent="0.35">
      <c r="A2458" t="s">
        <v>3235</v>
      </c>
      <c r="E2458" t="str">
        <f>_xlfn.XLOOKUP(F2458,'Raw Data'!$I$4:$I$5000,'Raw Data'!$D$4:$D$5000,"*** Mnemonic not found ***",0)</f>
        <v>*** Mnemonic not found ***</v>
      </c>
      <c r="F2458" t="str">
        <f t="shared" si="535"/>
        <v>SUCMRUR2NFCYRS_C__</v>
      </c>
      <c r="H2458" s="9" t="s">
        <v>1137</v>
      </c>
      <c r="K2458" s="9">
        <f t="shared" si="536"/>
        <v>201</v>
      </c>
      <c r="L2458" s="9" t="str">
        <f t="shared" si="534"/>
        <v>O</v>
      </c>
      <c r="M2458" s="9" t="str">
        <f t="shared" si="537"/>
        <v>Input!O201</v>
      </c>
      <c r="N2458" s="9">
        <f>_xlfn.XLOOKUP(F2458,'Raw Data'!$I$4:$I$5000,'Raw Data'!$E$4:$E$5000,100,0)</f>
        <v>100</v>
      </c>
      <c r="O2458" s="9" t="str">
        <f>IF(N2458=0,_xlfn.XLOOKUP(F2458,'Raw Data'!$I$4:$I$5000,'Raw Data'!$H$4:$H$5000,"",0),"")</f>
        <v/>
      </c>
      <c r="P2458" s="9" t="str" cm="1">
        <f t="array" aca="1" ref="P2458" ca="1">IF(INDIRECT(M2458) = "","",INDIRECT(M2458))</f>
        <v/>
      </c>
      <c r="Q2458" s="359" t="s">
        <v>4380</v>
      </c>
    </row>
    <row r="2459" spans="1:17" x14ac:dyDescent="0.35">
      <c r="A2459" t="s">
        <v>3236</v>
      </c>
      <c r="E2459" t="str">
        <f>_xlfn.XLOOKUP(F2459,'Raw Data'!$I$4:$I$5000,'Raw Data'!$D$4:$D$5000,"*** Mnemonic not found ***",0)</f>
        <v>*** Mnemonic not found ***</v>
      </c>
      <c r="F2459" t="str">
        <f t="shared" si="535"/>
        <v>SUCMRUR2NFC_LESS1_C__</v>
      </c>
      <c r="H2459" s="9" t="s">
        <v>1137</v>
      </c>
      <c r="K2459" s="9">
        <f t="shared" si="536"/>
        <v>202</v>
      </c>
      <c r="L2459" s="9" t="str">
        <f t="shared" si="534"/>
        <v>O</v>
      </c>
      <c r="M2459" s="9" t="str">
        <f t="shared" si="537"/>
        <v>Input!O202</v>
      </c>
      <c r="N2459" s="9">
        <f>_xlfn.XLOOKUP(F2459,'Raw Data'!$I$4:$I$5000,'Raw Data'!$E$4:$E$5000,100,0)</f>
        <v>100</v>
      </c>
      <c r="O2459" s="9" t="str">
        <f>IF(N2459=0,_xlfn.XLOOKUP(F2459,'Raw Data'!$I$4:$I$5000,'Raw Data'!$H$4:$H$5000,"",0),"")</f>
        <v/>
      </c>
      <c r="P2459" s="9" t="str" cm="1">
        <f t="array" aca="1" ref="P2459" ca="1">IF(INDIRECT(M2459) = "","",INDIRECT(M2459))</f>
        <v/>
      </c>
      <c r="Q2459" s="359" t="s">
        <v>4380</v>
      </c>
    </row>
    <row r="2460" spans="1:17" x14ac:dyDescent="0.35">
      <c r="A2460" t="s">
        <v>3237</v>
      </c>
      <c r="E2460" t="str">
        <f>_xlfn.XLOOKUP(F2460,'Raw Data'!$I$4:$I$5000,'Raw Data'!$D$4:$D$5000,"*** Mnemonic not found ***",0)</f>
        <v>*** Mnemonic not found ***</v>
      </c>
      <c r="F2460" t="str">
        <f t="shared" si="535"/>
        <v>SUCMRUR2NFC_1TO5_C__</v>
      </c>
      <c r="H2460" s="9" t="s">
        <v>1137</v>
      </c>
      <c r="K2460" s="9">
        <f t="shared" si="536"/>
        <v>203</v>
      </c>
      <c r="L2460" s="9" t="str">
        <f t="shared" si="534"/>
        <v>O</v>
      </c>
      <c r="M2460" s="9" t="str">
        <f t="shared" si="537"/>
        <v>Input!O203</v>
      </c>
      <c r="N2460" s="9">
        <f>_xlfn.XLOOKUP(F2460,'Raw Data'!$I$4:$I$5000,'Raw Data'!$E$4:$E$5000,100,0)</f>
        <v>100</v>
      </c>
      <c r="O2460" s="9" t="str">
        <f>IF(N2460=0,_xlfn.XLOOKUP(F2460,'Raw Data'!$I$4:$I$5000,'Raw Data'!$H$4:$H$5000,"",0),"")</f>
        <v/>
      </c>
      <c r="P2460" s="9" t="str" cm="1">
        <f t="array" aca="1" ref="P2460" ca="1">IF(INDIRECT(M2460) = "","",INDIRECT(M2460))</f>
        <v/>
      </c>
      <c r="Q2460" s="359" t="s">
        <v>4380</v>
      </c>
    </row>
    <row r="2461" spans="1:17" x14ac:dyDescent="0.35">
      <c r="A2461" t="s">
        <v>3238</v>
      </c>
      <c r="E2461" t="str">
        <f>_xlfn.XLOOKUP(F2461,'Raw Data'!$I$4:$I$5000,'Raw Data'!$D$4:$D$5000,"*** Mnemonic not found ***",0)</f>
        <v>*** Mnemonic not found ***</v>
      </c>
      <c r="F2461" t="str">
        <f t="shared" si="535"/>
        <v>SUCMRUR2NFC_5TO10_C__</v>
      </c>
      <c r="H2461" s="9" t="s">
        <v>1137</v>
      </c>
      <c r="K2461" s="9">
        <f t="shared" si="536"/>
        <v>204</v>
      </c>
      <c r="L2461" s="9" t="str">
        <f t="shared" si="534"/>
        <v>O</v>
      </c>
      <c r="M2461" s="9" t="str">
        <f t="shared" si="537"/>
        <v>Input!O204</v>
      </c>
      <c r="N2461" s="9">
        <f>_xlfn.XLOOKUP(F2461,'Raw Data'!$I$4:$I$5000,'Raw Data'!$E$4:$E$5000,100,0)</f>
        <v>100</v>
      </c>
      <c r="O2461" s="9" t="str">
        <f>IF(N2461=0,_xlfn.XLOOKUP(F2461,'Raw Data'!$I$4:$I$5000,'Raw Data'!$H$4:$H$5000,"",0),"")</f>
        <v/>
      </c>
      <c r="P2461" s="9" t="str" cm="1">
        <f t="array" aca="1" ref="P2461" ca="1">IF(INDIRECT(M2461) = "","",INDIRECT(M2461))</f>
        <v/>
      </c>
      <c r="Q2461" s="359" t="s">
        <v>4380</v>
      </c>
    </row>
    <row r="2462" spans="1:17" x14ac:dyDescent="0.35">
      <c r="A2462" t="s">
        <v>3239</v>
      </c>
      <c r="E2462" t="str">
        <f>_xlfn.XLOOKUP(F2462,'Raw Data'!$I$4:$I$5000,'Raw Data'!$D$4:$D$5000,"*** Mnemonic not found ***",0)</f>
        <v>*** Mnemonic not found ***</v>
      </c>
      <c r="F2462" t="str">
        <f t="shared" si="535"/>
        <v>SUCMRUR2NFC_10TO20_C__</v>
      </c>
      <c r="H2462" s="9" t="s">
        <v>1137</v>
      </c>
      <c r="K2462" s="9">
        <f t="shared" si="536"/>
        <v>205</v>
      </c>
      <c r="L2462" s="9" t="str">
        <f t="shared" si="534"/>
        <v>O</v>
      </c>
      <c r="M2462" s="9" t="str">
        <f t="shared" si="537"/>
        <v>Input!O205</v>
      </c>
      <c r="N2462" s="9">
        <f>_xlfn.XLOOKUP(F2462,'Raw Data'!$I$4:$I$5000,'Raw Data'!$E$4:$E$5000,100,0)</f>
        <v>100</v>
      </c>
      <c r="O2462" s="9" t="str">
        <f>IF(N2462=0,_xlfn.XLOOKUP(F2462,'Raw Data'!$I$4:$I$5000,'Raw Data'!$H$4:$H$5000,"",0),"")</f>
        <v/>
      </c>
      <c r="P2462" s="9" t="str" cm="1">
        <f t="array" aca="1" ref="P2462" ca="1">IF(INDIRECT(M2462) = "","",INDIRECT(M2462))</f>
        <v/>
      </c>
      <c r="Q2462" s="359" t="s">
        <v>4380</v>
      </c>
    </row>
    <row r="2463" spans="1:17" x14ac:dyDescent="0.35">
      <c r="A2463" t="s">
        <v>3240</v>
      </c>
      <c r="E2463" t="str">
        <f>_xlfn.XLOOKUP(F2463,'Raw Data'!$I$4:$I$5000,'Raw Data'!$D$4:$D$5000,"*** Mnemonic not found ***",0)</f>
        <v>*** Mnemonic not found ***</v>
      </c>
      <c r="F2463" t="str">
        <f t="shared" si="535"/>
        <v>SUCMRUR2NFC_GRTR20_C__</v>
      </c>
      <c r="H2463" s="9" t="s">
        <v>1137</v>
      </c>
      <c r="K2463" s="9">
        <f t="shared" si="536"/>
        <v>206</v>
      </c>
      <c r="L2463" s="9" t="str">
        <f t="shared" si="534"/>
        <v>O</v>
      </c>
      <c r="M2463" s="9" t="str">
        <f t="shared" si="537"/>
        <v>Input!O206</v>
      </c>
      <c r="N2463" s="9">
        <f>_xlfn.XLOOKUP(F2463,'Raw Data'!$I$4:$I$5000,'Raw Data'!$E$4:$E$5000,100,0)</f>
        <v>100</v>
      </c>
      <c r="O2463" s="9" t="str">
        <f>IF(N2463=0,_xlfn.XLOOKUP(F2463,'Raw Data'!$I$4:$I$5000,'Raw Data'!$H$4:$H$5000,"",0),"")</f>
        <v/>
      </c>
      <c r="P2463" s="9" t="str" cm="1">
        <f t="array" aca="1" ref="P2463" ca="1">IF(INDIRECT(M2463) = "","",INDIRECT(M2463))</f>
        <v/>
      </c>
      <c r="Q2463" s="359" t="s">
        <v>4380</v>
      </c>
    </row>
    <row r="2464" spans="1:17" x14ac:dyDescent="0.35">
      <c r="A2464" t="s">
        <v>3241</v>
      </c>
      <c r="E2464" t="str">
        <f>_xlfn.XLOOKUP(F2464,'Raw Data'!$I$4:$I$5000,'Raw Data'!$D$4:$D$5000,"*** Mnemonic not found ***",0)</f>
        <v>*** Mnemonic not found ***</v>
      </c>
      <c r="F2464" t="str">
        <f t="shared" si="535"/>
        <v>SUCMRUR3NFCTOT_C__</v>
      </c>
      <c r="H2464" s="9" t="s">
        <v>1137</v>
      </c>
      <c r="K2464" s="9">
        <f>K2463+3</f>
        <v>209</v>
      </c>
      <c r="L2464" s="9" t="str">
        <f t="shared" si="534"/>
        <v>O</v>
      </c>
      <c r="M2464" s="9" t="str">
        <f t="shared" si="537"/>
        <v>Input!O209</v>
      </c>
      <c r="N2464" s="9">
        <f>_xlfn.XLOOKUP(F2464,'Raw Data'!$I$4:$I$5000,'Raw Data'!$E$4:$E$5000,100,0)</f>
        <v>100</v>
      </c>
      <c r="O2464" s="9" t="str">
        <f>IF(N2464=0,_xlfn.XLOOKUP(F2464,'Raw Data'!$I$4:$I$5000,'Raw Data'!$H$4:$H$5000,"",0),"")</f>
        <v/>
      </c>
      <c r="P2464" s="9" t="str" cm="1">
        <f t="array" aca="1" ref="P2464" ca="1">IF(INDIRECT(M2464) = "","",INDIRECT(M2464))</f>
        <v/>
      </c>
      <c r="Q2464" s="359" t="s">
        <v>4380</v>
      </c>
    </row>
    <row r="2465" spans="1:17" x14ac:dyDescent="0.35">
      <c r="A2465" t="s">
        <v>3242</v>
      </c>
      <c r="E2465" t="str">
        <f>_xlfn.XLOOKUP(F2465,'Raw Data'!$I$4:$I$5000,'Raw Data'!$D$4:$D$5000,"*** Mnemonic not found ***",0)</f>
        <v>*** Mnemonic not found ***</v>
      </c>
      <c r="F2465" t="str">
        <f t="shared" si="535"/>
        <v>SUCMRUR3NFCERG_C__</v>
      </c>
      <c r="H2465" s="9" t="s">
        <v>1137</v>
      </c>
      <c r="K2465" s="9">
        <f>K2464+1</f>
        <v>210</v>
      </c>
      <c r="L2465" s="9" t="str">
        <f>L2464</f>
        <v>O</v>
      </c>
      <c r="M2465" s="9" t="str">
        <f t="shared" si="537"/>
        <v>Input!O210</v>
      </c>
      <c r="N2465" s="9">
        <f>_xlfn.XLOOKUP(F2465,'Raw Data'!$I$4:$I$5000,'Raw Data'!$E$4:$E$5000,100,0)</f>
        <v>100</v>
      </c>
      <c r="O2465" s="9" t="str">
        <f>IF(N2465=0,_xlfn.XLOOKUP(F2465,'Raw Data'!$I$4:$I$5000,'Raw Data'!$H$4:$H$5000,"",0),"")</f>
        <v/>
      </c>
      <c r="P2465" s="9" t="str" cm="1">
        <f t="array" aca="1" ref="P2465" ca="1">IF(INDIRECT(M2465) = "","",INDIRECT(M2465))</f>
        <v/>
      </c>
      <c r="Q2465" s="359" t="s">
        <v>4380</v>
      </c>
    </row>
    <row r="2466" spans="1:17" x14ac:dyDescent="0.35">
      <c r="A2466" t="s">
        <v>3243</v>
      </c>
      <c r="E2466" t="str">
        <f>_xlfn.XLOOKUP(F2466,'Raw Data'!$I$4:$I$5000,'Raw Data'!$D$4:$D$5000,"*** Mnemonic not found ***",0)</f>
        <v>*** Mnemonic not found ***</v>
      </c>
      <c r="F2466" t="str">
        <f t="shared" si="535"/>
        <v>SUCMRUR3NFCYRS_C__</v>
      </c>
      <c r="H2466" s="9" t="s">
        <v>1137</v>
      </c>
      <c r="K2466" s="9">
        <f t="shared" si="536"/>
        <v>211</v>
      </c>
      <c r="L2466" s="9" t="str">
        <f t="shared" si="534"/>
        <v>O</v>
      </c>
      <c r="M2466" s="9" t="str">
        <f t="shared" si="537"/>
        <v>Input!O211</v>
      </c>
      <c r="N2466" s="9">
        <f>_xlfn.XLOOKUP(F2466,'Raw Data'!$I$4:$I$5000,'Raw Data'!$E$4:$E$5000,100,0)</f>
        <v>100</v>
      </c>
      <c r="O2466" s="9" t="str">
        <f>IF(N2466=0,_xlfn.XLOOKUP(F2466,'Raw Data'!$I$4:$I$5000,'Raw Data'!$H$4:$H$5000,"",0),"")</f>
        <v/>
      </c>
      <c r="P2466" s="9" t="str" cm="1">
        <f t="array" aca="1" ref="P2466" ca="1">IF(INDIRECT(M2466) = "","",INDIRECT(M2466))</f>
        <v/>
      </c>
      <c r="Q2466" s="359" t="s">
        <v>4380</v>
      </c>
    </row>
    <row r="2467" spans="1:17" x14ac:dyDescent="0.35">
      <c r="A2467" t="s">
        <v>3244</v>
      </c>
      <c r="E2467" t="str">
        <f>_xlfn.XLOOKUP(F2467,'Raw Data'!$I$4:$I$5000,'Raw Data'!$D$4:$D$5000,"*** Mnemonic not found ***",0)</f>
        <v>*** Mnemonic not found ***</v>
      </c>
      <c r="F2467" t="str">
        <f t="shared" si="535"/>
        <v>SUCMRUR3NFC_LESS1_C__</v>
      </c>
      <c r="H2467" s="9" t="s">
        <v>1137</v>
      </c>
      <c r="K2467" s="9">
        <f t="shared" si="536"/>
        <v>212</v>
      </c>
      <c r="L2467" s="9" t="str">
        <f t="shared" si="534"/>
        <v>O</v>
      </c>
      <c r="M2467" s="9" t="str">
        <f t="shared" si="537"/>
        <v>Input!O212</v>
      </c>
      <c r="N2467" s="9">
        <f>_xlfn.XLOOKUP(F2467,'Raw Data'!$I$4:$I$5000,'Raw Data'!$E$4:$E$5000,100,0)</f>
        <v>100</v>
      </c>
      <c r="O2467" s="9" t="str">
        <f>IF(N2467=0,_xlfn.XLOOKUP(F2467,'Raw Data'!$I$4:$I$5000,'Raw Data'!$H$4:$H$5000,"",0),"")</f>
        <v/>
      </c>
      <c r="P2467" s="9" t="str" cm="1">
        <f t="array" aca="1" ref="P2467" ca="1">IF(INDIRECT(M2467) = "","",INDIRECT(M2467))</f>
        <v/>
      </c>
      <c r="Q2467" s="359" t="s">
        <v>4380</v>
      </c>
    </row>
    <row r="2468" spans="1:17" x14ac:dyDescent="0.35">
      <c r="A2468" t="s">
        <v>3245</v>
      </c>
      <c r="E2468" t="str">
        <f>_xlfn.XLOOKUP(F2468,'Raw Data'!$I$4:$I$5000,'Raw Data'!$D$4:$D$5000,"*** Mnemonic not found ***",0)</f>
        <v>*** Mnemonic not found ***</v>
      </c>
      <c r="F2468" t="str">
        <f t="shared" si="535"/>
        <v>SUCMRUR3NFC_1TO5_C__</v>
      </c>
      <c r="H2468" s="9" t="s">
        <v>1137</v>
      </c>
      <c r="K2468" s="9">
        <f t="shared" si="536"/>
        <v>213</v>
      </c>
      <c r="L2468" s="9" t="str">
        <f t="shared" si="534"/>
        <v>O</v>
      </c>
      <c r="M2468" s="9" t="str">
        <f t="shared" si="537"/>
        <v>Input!O213</v>
      </c>
      <c r="N2468" s="9">
        <f>_xlfn.XLOOKUP(F2468,'Raw Data'!$I$4:$I$5000,'Raw Data'!$E$4:$E$5000,100,0)</f>
        <v>100</v>
      </c>
      <c r="O2468" s="9" t="str">
        <f>IF(N2468=0,_xlfn.XLOOKUP(F2468,'Raw Data'!$I$4:$I$5000,'Raw Data'!$H$4:$H$5000,"",0),"")</f>
        <v/>
      </c>
      <c r="P2468" s="9" t="str" cm="1">
        <f t="array" aca="1" ref="P2468" ca="1">IF(INDIRECT(M2468) = "","",INDIRECT(M2468))</f>
        <v/>
      </c>
      <c r="Q2468" s="359" t="s">
        <v>4380</v>
      </c>
    </row>
    <row r="2469" spans="1:17" x14ac:dyDescent="0.35">
      <c r="A2469" t="s">
        <v>3246</v>
      </c>
      <c r="E2469" t="str">
        <f>_xlfn.XLOOKUP(F2469,'Raw Data'!$I$4:$I$5000,'Raw Data'!$D$4:$D$5000,"*** Mnemonic not found ***",0)</f>
        <v>*** Mnemonic not found ***</v>
      </c>
      <c r="F2469" t="str">
        <f t="shared" si="535"/>
        <v>SUCMRUR3NFC_5TO10_C__</v>
      </c>
      <c r="H2469" s="9" t="s">
        <v>1137</v>
      </c>
      <c r="K2469" s="9">
        <f t="shared" si="536"/>
        <v>214</v>
      </c>
      <c r="L2469" s="9" t="str">
        <f t="shared" si="534"/>
        <v>O</v>
      </c>
      <c r="M2469" s="9" t="str">
        <f t="shared" si="537"/>
        <v>Input!O214</v>
      </c>
      <c r="N2469" s="9">
        <f>_xlfn.XLOOKUP(F2469,'Raw Data'!$I$4:$I$5000,'Raw Data'!$E$4:$E$5000,100,0)</f>
        <v>100</v>
      </c>
      <c r="O2469" s="9" t="str">
        <f>IF(N2469=0,_xlfn.XLOOKUP(F2469,'Raw Data'!$I$4:$I$5000,'Raw Data'!$H$4:$H$5000,"",0),"")</f>
        <v/>
      </c>
      <c r="P2469" s="9" t="str" cm="1">
        <f t="array" aca="1" ref="P2469" ca="1">IF(INDIRECT(M2469) = "","",INDIRECT(M2469))</f>
        <v/>
      </c>
      <c r="Q2469" s="359" t="s">
        <v>4380</v>
      </c>
    </row>
    <row r="2470" spans="1:17" x14ac:dyDescent="0.35">
      <c r="A2470" t="s">
        <v>3247</v>
      </c>
      <c r="E2470" t="str">
        <f>_xlfn.XLOOKUP(F2470,'Raw Data'!$I$4:$I$5000,'Raw Data'!$D$4:$D$5000,"*** Mnemonic not found ***",0)</f>
        <v>*** Mnemonic not found ***</v>
      </c>
      <c r="F2470" t="str">
        <f t="shared" si="535"/>
        <v>SUCMRUR3NFC_10TO20_C__</v>
      </c>
      <c r="H2470" s="9" t="s">
        <v>1137</v>
      </c>
      <c r="K2470" s="9">
        <f t="shared" si="536"/>
        <v>215</v>
      </c>
      <c r="L2470" s="9" t="str">
        <f t="shared" si="534"/>
        <v>O</v>
      </c>
      <c r="M2470" s="9" t="str">
        <f t="shared" si="537"/>
        <v>Input!O215</v>
      </c>
      <c r="N2470" s="9">
        <f>_xlfn.XLOOKUP(F2470,'Raw Data'!$I$4:$I$5000,'Raw Data'!$E$4:$E$5000,100,0)</f>
        <v>100</v>
      </c>
      <c r="O2470" s="9" t="str">
        <f>IF(N2470=0,_xlfn.XLOOKUP(F2470,'Raw Data'!$I$4:$I$5000,'Raw Data'!$H$4:$H$5000,"",0),"")</f>
        <v/>
      </c>
      <c r="P2470" s="9" t="str" cm="1">
        <f t="array" aca="1" ref="P2470" ca="1">IF(INDIRECT(M2470) = "","",INDIRECT(M2470))</f>
        <v/>
      </c>
      <c r="Q2470" s="359" t="s">
        <v>4380</v>
      </c>
    </row>
    <row r="2471" spans="1:17" x14ac:dyDescent="0.35">
      <c r="A2471" t="s">
        <v>3248</v>
      </c>
      <c r="E2471" t="str">
        <f>_xlfn.XLOOKUP(F2471,'Raw Data'!$I$4:$I$5000,'Raw Data'!$D$4:$D$5000,"*** Mnemonic not found ***",0)</f>
        <v>*** Mnemonic not found ***</v>
      </c>
      <c r="F2471" t="str">
        <f t="shared" si="535"/>
        <v>SUCMRUR3NFC_GRTR20_C__</v>
      </c>
      <c r="H2471" s="9" t="s">
        <v>1137</v>
      </c>
      <c r="K2471" s="9">
        <f t="shared" si="536"/>
        <v>216</v>
      </c>
      <c r="L2471" s="9" t="str">
        <f t="shared" si="534"/>
        <v>O</v>
      </c>
      <c r="M2471" s="9" t="str">
        <f t="shared" si="537"/>
        <v>Input!O216</v>
      </c>
      <c r="N2471" s="9">
        <f>_xlfn.XLOOKUP(F2471,'Raw Data'!$I$4:$I$5000,'Raw Data'!$E$4:$E$5000,100,0)</f>
        <v>100</v>
      </c>
      <c r="O2471" s="9" t="str">
        <f>IF(N2471=0,_xlfn.XLOOKUP(F2471,'Raw Data'!$I$4:$I$5000,'Raw Data'!$H$4:$H$5000,"",0),"")</f>
        <v/>
      </c>
      <c r="P2471" s="9" t="str" cm="1">
        <f t="array" aca="1" ref="P2471" ca="1">IF(INDIRECT(M2471) = "","",INDIRECT(M2471))</f>
        <v/>
      </c>
      <c r="Q2471" s="359" t="s">
        <v>4380</v>
      </c>
    </row>
    <row r="2472" spans="1:17" x14ac:dyDescent="0.35">
      <c r="A2472" t="s">
        <v>3249</v>
      </c>
      <c r="E2472" t="str">
        <f>_xlfn.XLOOKUP(F2472,'Raw Data'!$I$4:$I$5000,'Raw Data'!$D$4:$D$5000,"*** Mnemonic not found ***",0)</f>
        <v>*** Mnemonic not found ***</v>
      </c>
      <c r="F2472" t="str">
        <f t="shared" si="535"/>
        <v>SUCMRUR1FINTOT_C__</v>
      </c>
      <c r="H2472" s="9" t="s">
        <v>1137</v>
      </c>
      <c r="K2472" s="9">
        <f>K2471+3</f>
        <v>219</v>
      </c>
      <c r="L2472" s="9" t="str">
        <f t="shared" si="534"/>
        <v>O</v>
      </c>
      <c r="M2472" s="9" t="str">
        <f t="shared" si="537"/>
        <v>Input!O219</v>
      </c>
      <c r="N2472" s="9">
        <f>_xlfn.XLOOKUP(F2472,'Raw Data'!$I$4:$I$5000,'Raw Data'!$E$4:$E$5000,100,0)</f>
        <v>100</v>
      </c>
      <c r="O2472" s="9" t="str">
        <f>IF(N2472=0,_xlfn.XLOOKUP(F2472,'Raw Data'!$I$4:$I$5000,'Raw Data'!$H$4:$H$5000,"",0),"")</f>
        <v/>
      </c>
      <c r="P2472" s="9" t="str" cm="1">
        <f t="array" aca="1" ref="P2472" ca="1">IF(INDIRECT(M2472) = "","",INDIRECT(M2472))</f>
        <v/>
      </c>
      <c r="Q2472" s="359" t="s">
        <v>4380</v>
      </c>
    </row>
    <row r="2473" spans="1:17" x14ac:dyDescent="0.35">
      <c r="A2473" t="s">
        <v>3250</v>
      </c>
      <c r="E2473" t="str">
        <f>_xlfn.XLOOKUP(F2473,'Raw Data'!$I$4:$I$5000,'Raw Data'!$D$4:$D$5000,"*** Mnemonic not found ***",0)</f>
        <v>*** Mnemonic not found ***</v>
      </c>
      <c r="F2473" t="str">
        <f t="shared" si="535"/>
        <v>SUCMRUR1FINERG_C__</v>
      </c>
      <c r="H2473" s="9" t="s">
        <v>1137</v>
      </c>
      <c r="K2473" s="9">
        <f>K2472+1</f>
        <v>220</v>
      </c>
      <c r="L2473" s="9" t="str">
        <f>L2472</f>
        <v>O</v>
      </c>
      <c r="M2473" s="9" t="str">
        <f t="shared" si="537"/>
        <v>Input!O220</v>
      </c>
      <c r="N2473" s="9">
        <f>_xlfn.XLOOKUP(F2473,'Raw Data'!$I$4:$I$5000,'Raw Data'!$E$4:$E$5000,100,0)</f>
        <v>100</v>
      </c>
      <c r="O2473" s="9" t="str">
        <f>IF(N2473=0,_xlfn.XLOOKUP(F2473,'Raw Data'!$I$4:$I$5000,'Raw Data'!$H$4:$H$5000,"",0),"")</f>
        <v/>
      </c>
      <c r="P2473" s="9" t="str" cm="1">
        <f t="array" aca="1" ref="P2473" ca="1">IF(INDIRECT(M2473) = "","",INDIRECT(M2473))</f>
        <v/>
      </c>
      <c r="Q2473" s="359" t="s">
        <v>4380</v>
      </c>
    </row>
    <row r="2474" spans="1:17" x14ac:dyDescent="0.35">
      <c r="A2474" t="s">
        <v>3251</v>
      </c>
      <c r="E2474" t="str">
        <f>_xlfn.XLOOKUP(F2474,'Raw Data'!$I$4:$I$5000,'Raw Data'!$D$4:$D$5000,"*** Mnemonic not found ***",0)</f>
        <v>*** Mnemonic not found ***</v>
      </c>
      <c r="F2474" t="str">
        <f t="shared" si="535"/>
        <v>SUCMRUR1FINYRS_C__</v>
      </c>
      <c r="H2474" s="9" t="s">
        <v>1137</v>
      </c>
      <c r="K2474" s="9">
        <f t="shared" si="536"/>
        <v>221</v>
      </c>
      <c r="L2474" s="9" t="str">
        <f t="shared" si="534"/>
        <v>O</v>
      </c>
      <c r="M2474" s="9" t="str">
        <f t="shared" si="537"/>
        <v>Input!O221</v>
      </c>
      <c r="N2474" s="9">
        <f>_xlfn.XLOOKUP(F2474,'Raw Data'!$I$4:$I$5000,'Raw Data'!$E$4:$E$5000,100,0)</f>
        <v>100</v>
      </c>
      <c r="O2474" s="9" t="str">
        <f>IF(N2474=0,_xlfn.XLOOKUP(F2474,'Raw Data'!$I$4:$I$5000,'Raw Data'!$H$4:$H$5000,"",0),"")</f>
        <v/>
      </c>
      <c r="P2474" s="9" t="str" cm="1">
        <f t="array" aca="1" ref="P2474" ca="1">IF(INDIRECT(M2474) = "","",INDIRECT(M2474))</f>
        <v/>
      </c>
      <c r="Q2474" s="359" t="s">
        <v>4380</v>
      </c>
    </row>
    <row r="2475" spans="1:17" x14ac:dyDescent="0.35">
      <c r="A2475" t="s">
        <v>3252</v>
      </c>
      <c r="E2475" t="str">
        <f>_xlfn.XLOOKUP(F2475,'Raw Data'!$I$4:$I$5000,'Raw Data'!$D$4:$D$5000,"*** Mnemonic not found ***",0)</f>
        <v>*** Mnemonic not found ***</v>
      </c>
      <c r="F2475" t="str">
        <f t="shared" si="535"/>
        <v>SUCMRUR1FIN_LESS1_C__</v>
      </c>
      <c r="H2475" s="9" t="s">
        <v>1137</v>
      </c>
      <c r="K2475" s="9">
        <f t="shared" si="536"/>
        <v>222</v>
      </c>
      <c r="L2475" s="9" t="str">
        <f t="shared" si="534"/>
        <v>O</v>
      </c>
      <c r="M2475" s="9" t="str">
        <f t="shared" si="537"/>
        <v>Input!O222</v>
      </c>
      <c r="N2475" s="9">
        <f>_xlfn.XLOOKUP(F2475,'Raw Data'!$I$4:$I$5000,'Raw Data'!$E$4:$E$5000,100,0)</f>
        <v>100</v>
      </c>
      <c r="O2475" s="9" t="str">
        <f>IF(N2475=0,_xlfn.XLOOKUP(F2475,'Raw Data'!$I$4:$I$5000,'Raw Data'!$H$4:$H$5000,"",0),"")</f>
        <v/>
      </c>
      <c r="P2475" s="9" t="str" cm="1">
        <f t="array" aca="1" ref="P2475" ca="1">IF(INDIRECT(M2475) = "","",INDIRECT(M2475))</f>
        <v/>
      </c>
      <c r="Q2475" s="359" t="s">
        <v>4380</v>
      </c>
    </row>
    <row r="2476" spans="1:17" x14ac:dyDescent="0.35">
      <c r="A2476" t="s">
        <v>3253</v>
      </c>
      <c r="E2476" t="str">
        <f>_xlfn.XLOOKUP(F2476,'Raw Data'!$I$4:$I$5000,'Raw Data'!$D$4:$D$5000,"*** Mnemonic not found ***",0)</f>
        <v>*** Mnemonic not found ***</v>
      </c>
      <c r="F2476" t="str">
        <f t="shared" si="535"/>
        <v>SUCMRUR1FIN_1TO5_C__</v>
      </c>
      <c r="H2476" s="9" t="s">
        <v>1137</v>
      </c>
      <c r="K2476" s="9">
        <f t="shared" si="536"/>
        <v>223</v>
      </c>
      <c r="L2476" s="9" t="str">
        <f t="shared" si="534"/>
        <v>O</v>
      </c>
      <c r="M2476" s="9" t="str">
        <f t="shared" si="537"/>
        <v>Input!O223</v>
      </c>
      <c r="N2476" s="9">
        <f>_xlfn.XLOOKUP(F2476,'Raw Data'!$I$4:$I$5000,'Raw Data'!$E$4:$E$5000,100,0)</f>
        <v>100</v>
      </c>
      <c r="O2476" s="9" t="str">
        <f>IF(N2476=0,_xlfn.XLOOKUP(F2476,'Raw Data'!$I$4:$I$5000,'Raw Data'!$H$4:$H$5000,"",0),"")</f>
        <v/>
      </c>
      <c r="P2476" s="9" t="str" cm="1">
        <f t="array" aca="1" ref="P2476" ca="1">IF(INDIRECT(M2476) = "","",INDIRECT(M2476))</f>
        <v/>
      </c>
      <c r="Q2476" s="359" t="s">
        <v>4380</v>
      </c>
    </row>
    <row r="2477" spans="1:17" x14ac:dyDescent="0.35">
      <c r="A2477" t="s">
        <v>3254</v>
      </c>
      <c r="E2477" t="str">
        <f>_xlfn.XLOOKUP(F2477,'Raw Data'!$I$4:$I$5000,'Raw Data'!$D$4:$D$5000,"*** Mnemonic not found ***",0)</f>
        <v>*** Mnemonic not found ***</v>
      </c>
      <c r="F2477" t="str">
        <f t="shared" si="535"/>
        <v>SUCMRUR1FIN_5TO10_C__</v>
      </c>
      <c r="H2477" s="9" t="s">
        <v>1137</v>
      </c>
      <c r="K2477" s="9">
        <f t="shared" si="536"/>
        <v>224</v>
      </c>
      <c r="L2477" s="9" t="str">
        <f t="shared" si="534"/>
        <v>O</v>
      </c>
      <c r="M2477" s="9" t="str">
        <f t="shared" si="537"/>
        <v>Input!O224</v>
      </c>
      <c r="N2477" s="9">
        <f>_xlfn.XLOOKUP(F2477,'Raw Data'!$I$4:$I$5000,'Raw Data'!$E$4:$E$5000,100,0)</f>
        <v>100</v>
      </c>
      <c r="O2477" s="9" t="str">
        <f>IF(N2477=0,_xlfn.XLOOKUP(F2477,'Raw Data'!$I$4:$I$5000,'Raw Data'!$H$4:$H$5000,"",0),"")</f>
        <v/>
      </c>
      <c r="P2477" s="9" t="str" cm="1">
        <f t="array" aca="1" ref="P2477" ca="1">IF(INDIRECT(M2477) = "","",INDIRECT(M2477))</f>
        <v/>
      </c>
      <c r="Q2477" s="359" t="s">
        <v>4380</v>
      </c>
    </row>
    <row r="2478" spans="1:17" x14ac:dyDescent="0.35">
      <c r="A2478" t="s">
        <v>3255</v>
      </c>
      <c r="E2478" t="str">
        <f>_xlfn.XLOOKUP(F2478,'Raw Data'!$I$4:$I$5000,'Raw Data'!$D$4:$D$5000,"*** Mnemonic not found ***",0)</f>
        <v>*** Mnemonic not found ***</v>
      </c>
      <c r="F2478" t="str">
        <f t="shared" si="535"/>
        <v>SUCMRUR1FIN_10TO20_C__</v>
      </c>
      <c r="H2478" s="9" t="s">
        <v>1137</v>
      </c>
      <c r="K2478" s="9">
        <f t="shared" si="536"/>
        <v>225</v>
      </c>
      <c r="L2478" s="9" t="str">
        <f t="shared" si="534"/>
        <v>O</v>
      </c>
      <c r="M2478" s="9" t="str">
        <f t="shared" si="537"/>
        <v>Input!O225</v>
      </c>
      <c r="N2478" s="9">
        <f>_xlfn.XLOOKUP(F2478,'Raw Data'!$I$4:$I$5000,'Raw Data'!$E$4:$E$5000,100,0)</f>
        <v>100</v>
      </c>
      <c r="O2478" s="9" t="str">
        <f>IF(N2478=0,_xlfn.XLOOKUP(F2478,'Raw Data'!$I$4:$I$5000,'Raw Data'!$H$4:$H$5000,"",0),"")</f>
        <v/>
      </c>
      <c r="P2478" s="9" t="str" cm="1">
        <f t="array" aca="1" ref="P2478" ca="1">IF(INDIRECT(M2478) = "","",INDIRECT(M2478))</f>
        <v/>
      </c>
      <c r="Q2478" s="359" t="s">
        <v>4380</v>
      </c>
    </row>
    <row r="2479" spans="1:17" x14ac:dyDescent="0.35">
      <c r="A2479" t="s">
        <v>3256</v>
      </c>
      <c r="E2479" t="str">
        <f>_xlfn.XLOOKUP(F2479,'Raw Data'!$I$4:$I$5000,'Raw Data'!$D$4:$D$5000,"*** Mnemonic not found ***",0)</f>
        <v>*** Mnemonic not found ***</v>
      </c>
      <c r="F2479" t="str">
        <f t="shared" si="535"/>
        <v>SUCMRUR1FIN_GRTR20_C__</v>
      </c>
      <c r="H2479" s="9" t="s">
        <v>1137</v>
      </c>
      <c r="K2479" s="9">
        <f t="shared" si="536"/>
        <v>226</v>
      </c>
      <c r="L2479" s="9" t="str">
        <f t="shared" si="534"/>
        <v>O</v>
      </c>
      <c r="M2479" s="9" t="str">
        <f t="shared" si="537"/>
        <v>Input!O226</v>
      </c>
      <c r="N2479" s="9">
        <f>_xlfn.XLOOKUP(F2479,'Raw Data'!$I$4:$I$5000,'Raw Data'!$E$4:$E$5000,100,0)</f>
        <v>100</v>
      </c>
      <c r="O2479" s="9" t="str">
        <f>IF(N2479=0,_xlfn.XLOOKUP(F2479,'Raw Data'!$I$4:$I$5000,'Raw Data'!$H$4:$H$5000,"",0),"")</f>
        <v/>
      </c>
      <c r="P2479" s="9" t="str" cm="1">
        <f t="array" aca="1" ref="P2479" ca="1">IF(INDIRECT(M2479) = "","",INDIRECT(M2479))</f>
        <v/>
      </c>
      <c r="Q2479" s="359" t="s">
        <v>4380</v>
      </c>
    </row>
    <row r="2480" spans="1:17" x14ac:dyDescent="0.35">
      <c r="A2480" t="s">
        <v>3257</v>
      </c>
      <c r="E2480" t="str">
        <f>_xlfn.XLOOKUP(F2480,'Raw Data'!$I$4:$I$5000,'Raw Data'!$D$4:$D$5000,"*** Mnemonic not found ***",0)</f>
        <v>*** Mnemonic not found ***</v>
      </c>
      <c r="F2480" t="str">
        <f t="shared" si="535"/>
        <v>SUCMRUR2FINTOT_C__</v>
      </c>
      <c r="H2480" s="9" t="s">
        <v>1137</v>
      </c>
      <c r="K2480" s="9">
        <f>K2479+3</f>
        <v>229</v>
      </c>
      <c r="L2480" s="9" t="str">
        <f>L2479</f>
        <v>O</v>
      </c>
      <c r="M2480" s="9" t="str">
        <f t="shared" si="537"/>
        <v>Input!O229</v>
      </c>
      <c r="N2480" s="9">
        <f>_xlfn.XLOOKUP(F2480,'Raw Data'!$I$4:$I$5000,'Raw Data'!$E$4:$E$5000,100,0)</f>
        <v>100</v>
      </c>
      <c r="O2480" s="9" t="str">
        <f>IF(N2480=0,_xlfn.XLOOKUP(F2480,'Raw Data'!$I$4:$I$5000,'Raw Data'!$H$4:$H$5000,"",0),"")</f>
        <v/>
      </c>
      <c r="P2480" s="9" t="str" cm="1">
        <f t="array" aca="1" ref="P2480" ca="1">IF(INDIRECT(M2480) = "","",INDIRECT(M2480))</f>
        <v/>
      </c>
      <c r="Q2480" s="359" t="s">
        <v>4380</v>
      </c>
    </row>
    <row r="2481" spans="1:17" x14ac:dyDescent="0.35">
      <c r="A2481" t="s">
        <v>3258</v>
      </c>
      <c r="E2481" t="str">
        <f>_xlfn.XLOOKUP(F2481,'Raw Data'!$I$4:$I$5000,'Raw Data'!$D$4:$D$5000,"*** Mnemonic not found ***",0)</f>
        <v>*** Mnemonic not found ***</v>
      </c>
      <c r="F2481" t="str">
        <f t="shared" si="535"/>
        <v>SUCMRUR2FINERG_C__</v>
      </c>
      <c r="H2481" s="9" t="s">
        <v>1137</v>
      </c>
      <c r="K2481" s="9">
        <f t="shared" si="536"/>
        <v>230</v>
      </c>
      <c r="L2481" s="9" t="str">
        <f t="shared" si="534"/>
        <v>O</v>
      </c>
      <c r="M2481" s="9" t="str">
        <f t="shared" si="537"/>
        <v>Input!O230</v>
      </c>
      <c r="N2481" s="9">
        <f>_xlfn.XLOOKUP(F2481,'Raw Data'!$I$4:$I$5000,'Raw Data'!$E$4:$E$5000,100,0)</f>
        <v>100</v>
      </c>
      <c r="O2481" s="9" t="str">
        <f>IF(N2481=0,_xlfn.XLOOKUP(F2481,'Raw Data'!$I$4:$I$5000,'Raw Data'!$H$4:$H$5000,"",0),"")</f>
        <v/>
      </c>
      <c r="P2481" s="9" t="str" cm="1">
        <f t="array" aca="1" ref="P2481" ca="1">IF(INDIRECT(M2481) = "","",INDIRECT(M2481))</f>
        <v/>
      </c>
      <c r="Q2481" s="359" t="s">
        <v>4380</v>
      </c>
    </row>
    <row r="2482" spans="1:17" x14ac:dyDescent="0.35">
      <c r="A2482" t="s">
        <v>3259</v>
      </c>
      <c r="E2482" t="str">
        <f>_xlfn.XLOOKUP(F2482,'Raw Data'!$I$4:$I$5000,'Raw Data'!$D$4:$D$5000,"*** Mnemonic not found ***",0)</f>
        <v>*** Mnemonic not found ***</v>
      </c>
      <c r="F2482" t="str">
        <f t="shared" si="535"/>
        <v>SUCMRUR2FINYRS_C__</v>
      </c>
      <c r="H2482" s="9" t="s">
        <v>1137</v>
      </c>
      <c r="K2482" s="9">
        <f t="shared" si="536"/>
        <v>231</v>
      </c>
      <c r="L2482" s="9" t="str">
        <f t="shared" ref="L2482:L2548" si="538">L2481</f>
        <v>O</v>
      </c>
      <c r="M2482" s="9" t="str">
        <f t="shared" si="537"/>
        <v>Input!O231</v>
      </c>
      <c r="N2482" s="9">
        <f>_xlfn.XLOOKUP(F2482,'Raw Data'!$I$4:$I$5000,'Raw Data'!$E$4:$E$5000,100,0)</f>
        <v>100</v>
      </c>
      <c r="O2482" s="9" t="str">
        <f>IF(N2482=0,_xlfn.XLOOKUP(F2482,'Raw Data'!$I$4:$I$5000,'Raw Data'!$H$4:$H$5000,"",0),"")</f>
        <v/>
      </c>
      <c r="P2482" s="9" t="str" cm="1">
        <f t="array" aca="1" ref="P2482" ca="1">IF(INDIRECT(M2482) = "","",INDIRECT(M2482))</f>
        <v/>
      </c>
      <c r="Q2482" s="359" t="s">
        <v>4380</v>
      </c>
    </row>
    <row r="2483" spans="1:17" x14ac:dyDescent="0.35">
      <c r="A2483" t="s">
        <v>3260</v>
      </c>
      <c r="E2483" t="str">
        <f>_xlfn.XLOOKUP(F2483,'Raw Data'!$I$4:$I$5000,'Raw Data'!$D$4:$D$5000,"*** Mnemonic not found ***",0)</f>
        <v>*** Mnemonic not found ***</v>
      </c>
      <c r="F2483" t="str">
        <f t="shared" si="535"/>
        <v>SUCMRUR2FIN_LESS1_C__</v>
      </c>
      <c r="H2483" s="9" t="s">
        <v>1137</v>
      </c>
      <c r="K2483" s="9">
        <f t="shared" si="536"/>
        <v>232</v>
      </c>
      <c r="L2483" s="9" t="str">
        <f t="shared" si="538"/>
        <v>O</v>
      </c>
      <c r="M2483" s="9" t="str">
        <f t="shared" si="537"/>
        <v>Input!O232</v>
      </c>
      <c r="N2483" s="9">
        <f>_xlfn.XLOOKUP(F2483,'Raw Data'!$I$4:$I$5000,'Raw Data'!$E$4:$E$5000,100,0)</f>
        <v>100</v>
      </c>
      <c r="O2483" s="9" t="str">
        <f>IF(N2483=0,_xlfn.XLOOKUP(F2483,'Raw Data'!$I$4:$I$5000,'Raw Data'!$H$4:$H$5000,"",0),"")</f>
        <v/>
      </c>
      <c r="P2483" s="9" t="str" cm="1">
        <f t="array" aca="1" ref="P2483" ca="1">IF(INDIRECT(M2483) = "","",INDIRECT(M2483))</f>
        <v/>
      </c>
      <c r="Q2483" s="359" t="s">
        <v>4380</v>
      </c>
    </row>
    <row r="2484" spans="1:17" x14ac:dyDescent="0.35">
      <c r="A2484" t="s">
        <v>3261</v>
      </c>
      <c r="E2484" t="str">
        <f>_xlfn.XLOOKUP(F2484,'Raw Data'!$I$4:$I$5000,'Raw Data'!$D$4:$D$5000,"*** Mnemonic not found ***",0)</f>
        <v>*** Mnemonic not found ***</v>
      </c>
      <c r="F2484" t="str">
        <f t="shared" si="535"/>
        <v>SUCMRUR2FIN_1TO5_C__</v>
      </c>
      <c r="H2484" s="9" t="s">
        <v>1137</v>
      </c>
      <c r="K2484" s="9">
        <f t="shared" si="536"/>
        <v>233</v>
      </c>
      <c r="L2484" s="9" t="str">
        <f t="shared" si="538"/>
        <v>O</v>
      </c>
      <c r="M2484" s="9" t="str">
        <f t="shared" si="537"/>
        <v>Input!O233</v>
      </c>
      <c r="N2484" s="9">
        <f>_xlfn.XLOOKUP(F2484,'Raw Data'!$I$4:$I$5000,'Raw Data'!$E$4:$E$5000,100,0)</f>
        <v>100</v>
      </c>
      <c r="O2484" s="9" t="str">
        <f>IF(N2484=0,_xlfn.XLOOKUP(F2484,'Raw Data'!$I$4:$I$5000,'Raw Data'!$H$4:$H$5000,"",0),"")</f>
        <v/>
      </c>
      <c r="P2484" s="9" t="str" cm="1">
        <f t="array" aca="1" ref="P2484" ca="1">IF(INDIRECT(M2484) = "","",INDIRECT(M2484))</f>
        <v/>
      </c>
      <c r="Q2484" s="359" t="s">
        <v>4380</v>
      </c>
    </row>
    <row r="2485" spans="1:17" x14ac:dyDescent="0.35">
      <c r="A2485" t="s">
        <v>3262</v>
      </c>
      <c r="E2485" t="str">
        <f>_xlfn.XLOOKUP(F2485,'Raw Data'!$I$4:$I$5000,'Raw Data'!$D$4:$D$5000,"*** Mnemonic not found ***",0)</f>
        <v>*** Mnemonic not found ***</v>
      </c>
      <c r="F2485" t="str">
        <f t="shared" si="535"/>
        <v>SUCMRUR2FIN_5TO10_C__</v>
      </c>
      <c r="H2485" s="9" t="s">
        <v>1137</v>
      </c>
      <c r="K2485" s="9">
        <f t="shared" si="536"/>
        <v>234</v>
      </c>
      <c r="L2485" s="9" t="str">
        <f t="shared" si="538"/>
        <v>O</v>
      </c>
      <c r="M2485" s="9" t="str">
        <f t="shared" si="537"/>
        <v>Input!O234</v>
      </c>
      <c r="N2485" s="9">
        <f>_xlfn.XLOOKUP(F2485,'Raw Data'!$I$4:$I$5000,'Raw Data'!$E$4:$E$5000,100,0)</f>
        <v>100</v>
      </c>
      <c r="O2485" s="9" t="str">
        <f>IF(N2485=0,_xlfn.XLOOKUP(F2485,'Raw Data'!$I$4:$I$5000,'Raw Data'!$H$4:$H$5000,"",0),"")</f>
        <v/>
      </c>
      <c r="P2485" s="9" t="str" cm="1">
        <f t="array" aca="1" ref="P2485" ca="1">IF(INDIRECT(M2485) = "","",INDIRECT(M2485))</f>
        <v/>
      </c>
      <c r="Q2485" s="359" t="s">
        <v>4380</v>
      </c>
    </row>
    <row r="2486" spans="1:17" x14ac:dyDescent="0.35">
      <c r="A2486" t="s">
        <v>3263</v>
      </c>
      <c r="E2486" t="str">
        <f>_xlfn.XLOOKUP(F2486,'Raw Data'!$I$4:$I$5000,'Raw Data'!$D$4:$D$5000,"*** Mnemonic not found ***",0)</f>
        <v>*** Mnemonic not found ***</v>
      </c>
      <c r="F2486" t="str">
        <f t="shared" si="535"/>
        <v>SUCMRUR2FIN_10TO20_C__</v>
      </c>
      <c r="H2486" s="9" t="s">
        <v>1137</v>
      </c>
      <c r="K2486" s="9">
        <f t="shared" si="536"/>
        <v>235</v>
      </c>
      <c r="L2486" s="9" t="str">
        <f t="shared" si="538"/>
        <v>O</v>
      </c>
      <c r="M2486" s="9" t="str">
        <f t="shared" si="537"/>
        <v>Input!O235</v>
      </c>
      <c r="N2486" s="9">
        <f>_xlfn.XLOOKUP(F2486,'Raw Data'!$I$4:$I$5000,'Raw Data'!$E$4:$E$5000,100,0)</f>
        <v>100</v>
      </c>
      <c r="O2486" s="9" t="str">
        <f>IF(N2486=0,_xlfn.XLOOKUP(F2486,'Raw Data'!$I$4:$I$5000,'Raw Data'!$H$4:$H$5000,"",0),"")</f>
        <v/>
      </c>
      <c r="P2486" s="9" t="str" cm="1">
        <f t="array" aca="1" ref="P2486" ca="1">IF(INDIRECT(M2486) = "","",INDIRECT(M2486))</f>
        <v/>
      </c>
      <c r="Q2486" s="359" t="s">
        <v>4380</v>
      </c>
    </row>
    <row r="2487" spans="1:17" x14ac:dyDescent="0.35">
      <c r="A2487" t="s">
        <v>3264</v>
      </c>
      <c r="E2487" t="str">
        <f>_xlfn.XLOOKUP(F2487,'Raw Data'!$I$4:$I$5000,'Raw Data'!$D$4:$D$5000,"*** Mnemonic not found ***",0)</f>
        <v>*** Mnemonic not found ***</v>
      </c>
      <c r="F2487" t="str">
        <f t="shared" si="535"/>
        <v>SUCMRUR2FIN_GRTR20_C__</v>
      </c>
      <c r="H2487" s="9" t="s">
        <v>1137</v>
      </c>
      <c r="K2487" s="9">
        <f t="shared" si="536"/>
        <v>236</v>
      </c>
      <c r="L2487" s="9" t="str">
        <f t="shared" si="538"/>
        <v>O</v>
      </c>
      <c r="M2487" s="9" t="str">
        <f t="shared" si="537"/>
        <v>Input!O236</v>
      </c>
      <c r="N2487" s="9">
        <f>_xlfn.XLOOKUP(F2487,'Raw Data'!$I$4:$I$5000,'Raw Data'!$E$4:$E$5000,100,0)</f>
        <v>100</v>
      </c>
      <c r="O2487" s="9" t="str">
        <f>IF(N2487=0,_xlfn.XLOOKUP(F2487,'Raw Data'!$I$4:$I$5000,'Raw Data'!$H$4:$H$5000,"",0),"")</f>
        <v/>
      </c>
      <c r="P2487" s="9" t="str" cm="1">
        <f t="array" aca="1" ref="P2487" ca="1">IF(INDIRECT(M2487) = "","",INDIRECT(M2487))</f>
        <v/>
      </c>
      <c r="Q2487" s="359" t="s">
        <v>4380</v>
      </c>
    </row>
    <row r="2488" spans="1:17" x14ac:dyDescent="0.35">
      <c r="A2488" t="s">
        <v>3265</v>
      </c>
      <c r="E2488" t="str">
        <f>_xlfn.XLOOKUP(F2488,'Raw Data'!$I$4:$I$5000,'Raw Data'!$D$4:$D$5000,"*** Mnemonic not found ***",0)</f>
        <v>*** Mnemonic not found ***</v>
      </c>
      <c r="F2488" t="str">
        <f t="shared" si="535"/>
        <v>SUCMRUR3FINTOT_C__</v>
      </c>
      <c r="H2488" s="9" t="s">
        <v>1137</v>
      </c>
      <c r="K2488" s="9">
        <f>K2487+3</f>
        <v>239</v>
      </c>
      <c r="L2488" s="9" t="str">
        <f>L2487</f>
        <v>O</v>
      </c>
      <c r="M2488" s="9" t="str">
        <f t="shared" si="537"/>
        <v>Input!O239</v>
      </c>
      <c r="N2488" s="9">
        <f>_xlfn.XLOOKUP(F2488,'Raw Data'!$I$4:$I$5000,'Raw Data'!$E$4:$E$5000,100,0)</f>
        <v>100</v>
      </c>
      <c r="O2488" s="9" t="str">
        <f>IF(N2488=0,_xlfn.XLOOKUP(F2488,'Raw Data'!$I$4:$I$5000,'Raw Data'!$H$4:$H$5000,"",0),"")</f>
        <v/>
      </c>
      <c r="P2488" s="9" t="str" cm="1">
        <f t="array" aca="1" ref="P2488" ca="1">IF(INDIRECT(M2488) = "","",INDIRECT(M2488))</f>
        <v/>
      </c>
      <c r="Q2488" s="359" t="s">
        <v>4380</v>
      </c>
    </row>
    <row r="2489" spans="1:17" x14ac:dyDescent="0.35">
      <c r="A2489" t="s">
        <v>3266</v>
      </c>
      <c r="E2489" t="str">
        <f>_xlfn.XLOOKUP(F2489,'Raw Data'!$I$4:$I$5000,'Raw Data'!$D$4:$D$5000,"*** Mnemonic not found ***",0)</f>
        <v>*** Mnemonic not found ***</v>
      </c>
      <c r="F2489" t="str">
        <f t="shared" si="535"/>
        <v>SUCMRUR3FINERG_C__</v>
      </c>
      <c r="H2489" s="9" t="s">
        <v>1137</v>
      </c>
      <c r="K2489" s="9">
        <f t="shared" si="536"/>
        <v>240</v>
      </c>
      <c r="L2489" s="9" t="str">
        <f t="shared" si="538"/>
        <v>O</v>
      </c>
      <c r="M2489" s="9" t="str">
        <f t="shared" si="537"/>
        <v>Input!O240</v>
      </c>
      <c r="N2489" s="9">
        <f>_xlfn.XLOOKUP(F2489,'Raw Data'!$I$4:$I$5000,'Raw Data'!$E$4:$E$5000,100,0)</f>
        <v>100</v>
      </c>
      <c r="O2489" s="9" t="str">
        <f>IF(N2489=0,_xlfn.XLOOKUP(F2489,'Raw Data'!$I$4:$I$5000,'Raw Data'!$H$4:$H$5000,"",0),"")</f>
        <v/>
      </c>
      <c r="P2489" s="9" t="str" cm="1">
        <f t="array" aca="1" ref="P2489" ca="1">IF(INDIRECT(M2489) = "","",INDIRECT(M2489))</f>
        <v/>
      </c>
      <c r="Q2489" s="359" t="s">
        <v>4380</v>
      </c>
    </row>
    <row r="2490" spans="1:17" x14ac:dyDescent="0.35">
      <c r="A2490" t="s">
        <v>3267</v>
      </c>
      <c r="E2490" t="str">
        <f>_xlfn.XLOOKUP(F2490,'Raw Data'!$I$4:$I$5000,'Raw Data'!$D$4:$D$5000,"*** Mnemonic not found ***",0)</f>
        <v>*** Mnemonic not found ***</v>
      </c>
      <c r="F2490" t="str">
        <f t="shared" si="535"/>
        <v>SUCMRUR3FINYRS_C__</v>
      </c>
      <c r="H2490" s="9" t="s">
        <v>1137</v>
      </c>
      <c r="K2490" s="9">
        <f t="shared" si="536"/>
        <v>241</v>
      </c>
      <c r="L2490" s="9" t="str">
        <f t="shared" si="538"/>
        <v>O</v>
      </c>
      <c r="M2490" s="9" t="str">
        <f t="shared" si="537"/>
        <v>Input!O241</v>
      </c>
      <c r="N2490" s="9">
        <f>_xlfn.XLOOKUP(F2490,'Raw Data'!$I$4:$I$5000,'Raw Data'!$E$4:$E$5000,100,0)</f>
        <v>100</v>
      </c>
      <c r="O2490" s="9" t="str">
        <f>IF(N2490=0,_xlfn.XLOOKUP(F2490,'Raw Data'!$I$4:$I$5000,'Raw Data'!$H$4:$H$5000,"",0),"")</f>
        <v/>
      </c>
      <c r="P2490" s="9" t="str" cm="1">
        <f t="array" aca="1" ref="P2490" ca="1">IF(INDIRECT(M2490) = "","",INDIRECT(M2490))</f>
        <v/>
      </c>
      <c r="Q2490" s="359" t="s">
        <v>4380</v>
      </c>
    </row>
    <row r="2491" spans="1:17" x14ac:dyDescent="0.35">
      <c r="A2491" t="s">
        <v>3268</v>
      </c>
      <c r="E2491" t="str">
        <f>_xlfn.XLOOKUP(F2491,'Raw Data'!$I$4:$I$5000,'Raw Data'!$D$4:$D$5000,"*** Mnemonic not found ***",0)</f>
        <v>*** Mnemonic not found ***</v>
      </c>
      <c r="F2491" t="str">
        <f t="shared" si="535"/>
        <v>SUCMRUR3FIN_LESS1_C__</v>
      </c>
      <c r="H2491" s="9" t="s">
        <v>1137</v>
      </c>
      <c r="K2491" s="9">
        <f t="shared" si="536"/>
        <v>242</v>
      </c>
      <c r="L2491" s="9" t="str">
        <f t="shared" si="538"/>
        <v>O</v>
      </c>
      <c r="M2491" s="9" t="str">
        <f t="shared" si="537"/>
        <v>Input!O242</v>
      </c>
      <c r="N2491" s="9">
        <f>_xlfn.XLOOKUP(F2491,'Raw Data'!$I$4:$I$5000,'Raw Data'!$E$4:$E$5000,100,0)</f>
        <v>100</v>
      </c>
      <c r="O2491" s="9" t="str">
        <f>IF(N2491=0,_xlfn.XLOOKUP(F2491,'Raw Data'!$I$4:$I$5000,'Raw Data'!$H$4:$H$5000,"",0),"")</f>
        <v/>
      </c>
      <c r="P2491" s="9" t="str" cm="1">
        <f t="array" aca="1" ref="P2491" ca="1">IF(INDIRECT(M2491) = "","",INDIRECT(M2491))</f>
        <v/>
      </c>
      <c r="Q2491" s="359" t="s">
        <v>4380</v>
      </c>
    </row>
    <row r="2492" spans="1:17" x14ac:dyDescent="0.35">
      <c r="A2492" t="s">
        <v>3269</v>
      </c>
      <c r="E2492" t="str">
        <f>_xlfn.XLOOKUP(F2492,'Raw Data'!$I$4:$I$5000,'Raw Data'!$D$4:$D$5000,"*** Mnemonic not found ***",0)</f>
        <v>*** Mnemonic not found ***</v>
      </c>
      <c r="F2492" t="str">
        <f t="shared" si="535"/>
        <v>SUCMRUR3FIN_1TO5_C__</v>
      </c>
      <c r="H2492" s="9" t="s">
        <v>1137</v>
      </c>
      <c r="K2492" s="9">
        <f t="shared" si="536"/>
        <v>243</v>
      </c>
      <c r="L2492" s="9" t="str">
        <f t="shared" si="538"/>
        <v>O</v>
      </c>
      <c r="M2492" s="9" t="str">
        <f t="shared" si="537"/>
        <v>Input!O243</v>
      </c>
      <c r="N2492" s="9">
        <f>_xlfn.XLOOKUP(F2492,'Raw Data'!$I$4:$I$5000,'Raw Data'!$E$4:$E$5000,100,0)</f>
        <v>100</v>
      </c>
      <c r="O2492" s="9" t="str">
        <f>IF(N2492=0,_xlfn.XLOOKUP(F2492,'Raw Data'!$I$4:$I$5000,'Raw Data'!$H$4:$H$5000,"",0),"")</f>
        <v/>
      </c>
      <c r="P2492" s="9" t="str" cm="1">
        <f t="array" aca="1" ref="P2492" ca="1">IF(INDIRECT(M2492) = "","",INDIRECT(M2492))</f>
        <v/>
      </c>
      <c r="Q2492" s="359" t="s">
        <v>4380</v>
      </c>
    </row>
    <row r="2493" spans="1:17" x14ac:dyDescent="0.35">
      <c r="A2493" t="s">
        <v>3270</v>
      </c>
      <c r="E2493" t="str">
        <f>_xlfn.XLOOKUP(F2493,'Raw Data'!$I$4:$I$5000,'Raw Data'!$D$4:$D$5000,"*** Mnemonic not found ***",0)</f>
        <v>*** Mnemonic not found ***</v>
      </c>
      <c r="F2493" t="str">
        <f t="shared" si="535"/>
        <v>SUCMRUR3FIN_5TO10_C__</v>
      </c>
      <c r="H2493" s="9" t="s">
        <v>1137</v>
      </c>
      <c r="K2493" s="9">
        <f t="shared" si="536"/>
        <v>244</v>
      </c>
      <c r="L2493" s="9" t="str">
        <f t="shared" si="538"/>
        <v>O</v>
      </c>
      <c r="M2493" s="9" t="str">
        <f t="shared" si="537"/>
        <v>Input!O244</v>
      </c>
      <c r="N2493" s="9">
        <f>_xlfn.XLOOKUP(F2493,'Raw Data'!$I$4:$I$5000,'Raw Data'!$E$4:$E$5000,100,0)</f>
        <v>100</v>
      </c>
      <c r="O2493" s="9" t="str">
        <f>IF(N2493=0,_xlfn.XLOOKUP(F2493,'Raw Data'!$I$4:$I$5000,'Raw Data'!$H$4:$H$5000,"",0),"")</f>
        <v/>
      </c>
      <c r="P2493" s="9" t="str" cm="1">
        <f t="array" aca="1" ref="P2493" ca="1">IF(INDIRECT(M2493) = "","",INDIRECT(M2493))</f>
        <v/>
      </c>
      <c r="Q2493" s="359" t="s">
        <v>4380</v>
      </c>
    </row>
    <row r="2494" spans="1:17" x14ac:dyDescent="0.35">
      <c r="A2494" t="s">
        <v>3271</v>
      </c>
      <c r="E2494" t="str">
        <f>_xlfn.XLOOKUP(F2494,'Raw Data'!$I$4:$I$5000,'Raw Data'!$D$4:$D$5000,"*** Mnemonic not found ***",0)</f>
        <v>*** Mnemonic not found ***</v>
      </c>
      <c r="F2494" t="str">
        <f t="shared" si="535"/>
        <v>SUCMRUR3FIN_10TO20_C__</v>
      </c>
      <c r="H2494" s="9" t="s">
        <v>1137</v>
      </c>
      <c r="K2494" s="9">
        <f t="shared" si="536"/>
        <v>245</v>
      </c>
      <c r="L2494" s="9" t="str">
        <f t="shared" si="538"/>
        <v>O</v>
      </c>
      <c r="M2494" s="9" t="str">
        <f t="shared" si="537"/>
        <v>Input!O245</v>
      </c>
      <c r="N2494" s="9">
        <f>_xlfn.XLOOKUP(F2494,'Raw Data'!$I$4:$I$5000,'Raw Data'!$E$4:$E$5000,100,0)</f>
        <v>100</v>
      </c>
      <c r="O2494" s="9" t="str">
        <f>IF(N2494=0,_xlfn.XLOOKUP(F2494,'Raw Data'!$I$4:$I$5000,'Raw Data'!$H$4:$H$5000,"",0),"")</f>
        <v/>
      </c>
      <c r="P2494" s="9" t="str" cm="1">
        <f t="array" aca="1" ref="P2494" ca="1">IF(INDIRECT(M2494) = "","",INDIRECT(M2494))</f>
        <v/>
      </c>
      <c r="Q2494" s="359" t="s">
        <v>4380</v>
      </c>
    </row>
    <row r="2495" spans="1:17" x14ac:dyDescent="0.35">
      <c r="A2495" t="s">
        <v>3272</v>
      </c>
      <c r="E2495" t="str">
        <f>_xlfn.XLOOKUP(F2495,'Raw Data'!$I$4:$I$5000,'Raw Data'!$D$4:$D$5000,"*** Mnemonic not found ***",0)</f>
        <v>*** Mnemonic not found ***</v>
      </c>
      <c r="F2495" t="str">
        <f t="shared" si="535"/>
        <v>SUCMRUR3FIN_GRTR20_C__</v>
      </c>
      <c r="H2495" s="9" t="s">
        <v>1137</v>
      </c>
      <c r="K2495" s="9">
        <f t="shared" si="536"/>
        <v>246</v>
      </c>
      <c r="L2495" s="9" t="str">
        <f t="shared" si="538"/>
        <v>O</v>
      </c>
      <c r="M2495" s="9" t="str">
        <f t="shared" si="537"/>
        <v>Input!O246</v>
      </c>
      <c r="N2495" s="9">
        <f>_xlfn.XLOOKUP(F2495,'Raw Data'!$I$4:$I$5000,'Raw Data'!$E$4:$E$5000,100,0)</f>
        <v>100</v>
      </c>
      <c r="O2495" s="9" t="str">
        <f>IF(N2495=0,_xlfn.XLOOKUP(F2495,'Raw Data'!$I$4:$I$5000,'Raw Data'!$H$4:$H$5000,"",0),"")</f>
        <v/>
      </c>
      <c r="P2495" s="9" t="str" cm="1">
        <f t="array" aca="1" ref="P2495" ca="1">IF(INDIRECT(M2495) = "","",INDIRECT(M2495))</f>
        <v/>
      </c>
      <c r="Q2495" s="359" t="s">
        <v>4380</v>
      </c>
    </row>
    <row r="2496" spans="1:17" x14ac:dyDescent="0.35">
      <c r="A2496" t="s">
        <v>3273</v>
      </c>
      <c r="E2496" t="str">
        <f>_xlfn.XLOOKUP(F2496,'Raw Data'!$I$4:$I$5000,'Raw Data'!$D$4:$D$5000,"*** Mnemonic not found ***",0)</f>
        <v>*** Mnemonic not found ***</v>
      </c>
      <c r="F2496" t="str">
        <f t="shared" si="535"/>
        <v>SUCMRUR1SOVERGTOT_C__</v>
      </c>
      <c r="H2496" s="9" t="s">
        <v>1137</v>
      </c>
      <c r="K2496" s="9">
        <f>K2495+3</f>
        <v>249</v>
      </c>
      <c r="L2496" s="9" t="str">
        <f>L2495</f>
        <v>O</v>
      </c>
      <c r="M2496" s="9" t="str">
        <f t="shared" si="537"/>
        <v>Input!O249</v>
      </c>
      <c r="N2496" s="9">
        <f>_xlfn.XLOOKUP(F2496,'Raw Data'!$I$4:$I$5000,'Raw Data'!$E$4:$E$5000,100,0)</f>
        <v>100</v>
      </c>
      <c r="O2496" s="9" t="str">
        <f>IF(N2496=0,_xlfn.XLOOKUP(F2496,'Raw Data'!$I$4:$I$5000,'Raw Data'!$H$4:$H$5000,"",0),"")</f>
        <v/>
      </c>
      <c r="P2496" s="9" t="str" cm="1">
        <f t="array" aca="1" ref="P2496" ca="1">IF(INDIRECT(M2496) = "","",INDIRECT(M2496))</f>
        <v/>
      </c>
      <c r="Q2496" s="359" t="s">
        <v>4380</v>
      </c>
    </row>
    <row r="2497" spans="1:17" x14ac:dyDescent="0.35">
      <c r="A2497" t="s">
        <v>3274</v>
      </c>
      <c r="E2497" t="str">
        <f>_xlfn.XLOOKUP(F2497,'Raw Data'!$I$4:$I$5000,'Raw Data'!$D$4:$D$5000,"*** Mnemonic not found ***",0)</f>
        <v>*** Mnemonic not found ***</v>
      </c>
      <c r="F2497" t="str">
        <f t="shared" si="535"/>
        <v>SUCMRUR1SOVERGERG_C__</v>
      </c>
      <c r="H2497" s="9" t="s">
        <v>1137</v>
      </c>
      <c r="K2497" s="9">
        <f t="shared" si="536"/>
        <v>250</v>
      </c>
      <c r="L2497" s="9" t="str">
        <f t="shared" si="538"/>
        <v>O</v>
      </c>
      <c r="M2497" s="9" t="str">
        <f t="shared" si="537"/>
        <v>Input!O250</v>
      </c>
      <c r="N2497" s="9">
        <f>_xlfn.XLOOKUP(F2497,'Raw Data'!$I$4:$I$5000,'Raw Data'!$E$4:$E$5000,100,0)</f>
        <v>100</v>
      </c>
      <c r="O2497" s="9" t="str">
        <f>IF(N2497=0,_xlfn.XLOOKUP(F2497,'Raw Data'!$I$4:$I$5000,'Raw Data'!$H$4:$H$5000,"",0),"")</f>
        <v/>
      </c>
      <c r="P2497" s="9" t="str" cm="1">
        <f t="array" aca="1" ref="P2497" ca="1">IF(INDIRECT(M2497) = "","",INDIRECT(M2497))</f>
        <v/>
      </c>
      <c r="Q2497" s="359" t="s">
        <v>4380</v>
      </c>
    </row>
    <row r="2498" spans="1:17" x14ac:dyDescent="0.35">
      <c r="A2498" t="s">
        <v>3275</v>
      </c>
      <c r="E2498" t="str">
        <f>_xlfn.XLOOKUP(F2498,'Raw Data'!$I$4:$I$5000,'Raw Data'!$D$4:$D$5000,"*** Mnemonic not found ***",0)</f>
        <v>*** Mnemonic not found ***</v>
      </c>
      <c r="F2498" t="str">
        <f t="shared" si="535"/>
        <v>SUCMRUR1SOVERGYRS_C__</v>
      </c>
      <c r="H2498" s="9" t="s">
        <v>1137</v>
      </c>
      <c r="K2498" s="9">
        <f t="shared" si="536"/>
        <v>251</v>
      </c>
      <c r="L2498" s="9" t="str">
        <f t="shared" si="538"/>
        <v>O</v>
      </c>
      <c r="M2498" s="9" t="str">
        <f t="shared" si="537"/>
        <v>Input!O251</v>
      </c>
      <c r="N2498" s="9">
        <f>_xlfn.XLOOKUP(F2498,'Raw Data'!$I$4:$I$5000,'Raw Data'!$E$4:$E$5000,100,0)</f>
        <v>100</v>
      </c>
      <c r="O2498" s="9" t="str">
        <f>IF(N2498=0,_xlfn.XLOOKUP(F2498,'Raw Data'!$I$4:$I$5000,'Raw Data'!$H$4:$H$5000,"",0),"")</f>
        <v/>
      </c>
      <c r="P2498" s="9" t="str" cm="1">
        <f t="array" aca="1" ref="P2498" ca="1">IF(INDIRECT(M2498) = "","",INDIRECT(M2498))</f>
        <v/>
      </c>
      <c r="Q2498" s="359" t="s">
        <v>4380</v>
      </c>
    </row>
    <row r="2499" spans="1:17" x14ac:dyDescent="0.35">
      <c r="A2499" t="s">
        <v>3276</v>
      </c>
      <c r="E2499" t="str">
        <f>_xlfn.XLOOKUP(F2499,'Raw Data'!$I$4:$I$5000,'Raw Data'!$D$4:$D$5000,"*** Mnemonic not found ***",0)</f>
        <v>*** Mnemonic not found ***</v>
      </c>
      <c r="F2499" t="str">
        <f t="shared" si="535"/>
        <v>SUCMRUR1SOVERG_LESS1_C__</v>
      </c>
      <c r="H2499" s="9" t="s">
        <v>1137</v>
      </c>
      <c r="K2499" s="9">
        <f t="shared" si="536"/>
        <v>252</v>
      </c>
      <c r="L2499" s="9" t="str">
        <f t="shared" si="538"/>
        <v>O</v>
      </c>
      <c r="M2499" s="9" t="str">
        <f t="shared" si="537"/>
        <v>Input!O252</v>
      </c>
      <c r="N2499" s="9">
        <f>_xlfn.XLOOKUP(F2499,'Raw Data'!$I$4:$I$5000,'Raw Data'!$E$4:$E$5000,100,0)</f>
        <v>100</v>
      </c>
      <c r="O2499" s="9" t="str">
        <f>IF(N2499=0,_xlfn.XLOOKUP(F2499,'Raw Data'!$I$4:$I$5000,'Raw Data'!$H$4:$H$5000,"",0),"")</f>
        <v/>
      </c>
      <c r="P2499" s="9" t="str" cm="1">
        <f t="array" aca="1" ref="P2499" ca="1">IF(INDIRECT(M2499) = "","",INDIRECT(M2499))</f>
        <v/>
      </c>
      <c r="Q2499" s="359" t="s">
        <v>4380</v>
      </c>
    </row>
    <row r="2500" spans="1:17" x14ac:dyDescent="0.35">
      <c r="A2500" t="s">
        <v>3277</v>
      </c>
      <c r="E2500" t="str">
        <f>_xlfn.XLOOKUP(F2500,'Raw Data'!$I$4:$I$5000,'Raw Data'!$D$4:$D$5000,"*** Mnemonic not found ***",0)</f>
        <v>*** Mnemonic not found ***</v>
      </c>
      <c r="F2500" t="str">
        <f t="shared" si="535"/>
        <v>SUCMRUR1SOVERG_1TO5_C__</v>
      </c>
      <c r="H2500" s="9" t="s">
        <v>1137</v>
      </c>
      <c r="K2500" s="9">
        <f t="shared" si="536"/>
        <v>253</v>
      </c>
      <c r="L2500" s="9" t="str">
        <f t="shared" si="538"/>
        <v>O</v>
      </c>
      <c r="M2500" s="9" t="str">
        <f t="shared" si="537"/>
        <v>Input!O253</v>
      </c>
      <c r="N2500" s="9">
        <f>_xlfn.XLOOKUP(F2500,'Raw Data'!$I$4:$I$5000,'Raw Data'!$E$4:$E$5000,100,0)</f>
        <v>100</v>
      </c>
      <c r="O2500" s="9" t="str">
        <f>IF(N2500=0,_xlfn.XLOOKUP(F2500,'Raw Data'!$I$4:$I$5000,'Raw Data'!$H$4:$H$5000,"",0),"")</f>
        <v/>
      </c>
      <c r="P2500" s="9" t="str" cm="1">
        <f t="array" aca="1" ref="P2500" ca="1">IF(INDIRECT(M2500) = "","",INDIRECT(M2500))</f>
        <v/>
      </c>
      <c r="Q2500" s="359" t="s">
        <v>4380</v>
      </c>
    </row>
    <row r="2501" spans="1:17" x14ac:dyDescent="0.35">
      <c r="A2501" t="s">
        <v>3278</v>
      </c>
      <c r="E2501" t="str">
        <f>_xlfn.XLOOKUP(F2501,'Raw Data'!$I$4:$I$5000,'Raw Data'!$D$4:$D$5000,"*** Mnemonic not found ***",0)</f>
        <v>*** Mnemonic not found ***</v>
      </c>
      <c r="F2501" t="str">
        <f t="shared" si="535"/>
        <v>SUCMRUR1SOVERG_5TO10_C__</v>
      </c>
      <c r="H2501" s="9" t="s">
        <v>1137</v>
      </c>
      <c r="K2501" s="9">
        <f t="shared" si="536"/>
        <v>254</v>
      </c>
      <c r="L2501" s="9" t="str">
        <f t="shared" si="538"/>
        <v>O</v>
      </c>
      <c r="M2501" s="9" t="str">
        <f t="shared" si="537"/>
        <v>Input!O254</v>
      </c>
      <c r="N2501" s="9">
        <f>_xlfn.XLOOKUP(F2501,'Raw Data'!$I$4:$I$5000,'Raw Data'!$E$4:$E$5000,100,0)</f>
        <v>100</v>
      </c>
      <c r="O2501" s="9" t="str">
        <f>IF(N2501=0,_xlfn.XLOOKUP(F2501,'Raw Data'!$I$4:$I$5000,'Raw Data'!$H$4:$H$5000,"",0),"")</f>
        <v/>
      </c>
      <c r="P2501" s="9" t="str" cm="1">
        <f t="array" aca="1" ref="P2501" ca="1">IF(INDIRECT(M2501) = "","",INDIRECT(M2501))</f>
        <v/>
      </c>
      <c r="Q2501" s="359" t="s">
        <v>4380</v>
      </c>
    </row>
    <row r="2502" spans="1:17" x14ac:dyDescent="0.35">
      <c r="A2502" t="s">
        <v>3279</v>
      </c>
      <c r="E2502" t="str">
        <f>_xlfn.XLOOKUP(F2502,'Raw Data'!$I$4:$I$5000,'Raw Data'!$D$4:$D$5000,"*** Mnemonic not found ***",0)</f>
        <v>*** Mnemonic not found ***</v>
      </c>
      <c r="F2502" t="str">
        <f t="shared" si="535"/>
        <v>SUCMRUR1SOVERG_10TO20_C__</v>
      </c>
      <c r="H2502" s="9" t="s">
        <v>1137</v>
      </c>
      <c r="K2502" s="9">
        <f t="shared" si="536"/>
        <v>255</v>
      </c>
      <c r="L2502" s="9" t="str">
        <f t="shared" si="538"/>
        <v>O</v>
      </c>
      <c r="M2502" s="9" t="str">
        <f t="shared" si="537"/>
        <v>Input!O255</v>
      </c>
      <c r="N2502" s="9">
        <f>_xlfn.XLOOKUP(F2502,'Raw Data'!$I$4:$I$5000,'Raw Data'!$E$4:$E$5000,100,0)</f>
        <v>100</v>
      </c>
      <c r="O2502" s="9" t="str">
        <f>IF(N2502=0,_xlfn.XLOOKUP(F2502,'Raw Data'!$I$4:$I$5000,'Raw Data'!$H$4:$H$5000,"",0),"")</f>
        <v/>
      </c>
      <c r="P2502" s="9" t="str" cm="1">
        <f t="array" aca="1" ref="P2502" ca="1">IF(INDIRECT(M2502) = "","",INDIRECT(M2502))</f>
        <v/>
      </c>
      <c r="Q2502" s="359" t="s">
        <v>4380</v>
      </c>
    </row>
    <row r="2503" spans="1:17" x14ac:dyDescent="0.35">
      <c r="A2503" t="s">
        <v>3280</v>
      </c>
      <c r="E2503" t="str">
        <f>_xlfn.XLOOKUP(F2503,'Raw Data'!$I$4:$I$5000,'Raw Data'!$D$4:$D$5000,"*** Mnemonic not found ***",0)</f>
        <v>*** Mnemonic not found ***</v>
      </c>
      <c r="F2503" t="str">
        <f t="shared" si="535"/>
        <v>SUCMRUR1SOVERG_GRTR20_C__</v>
      </c>
      <c r="H2503" s="9" t="s">
        <v>1137</v>
      </c>
      <c r="K2503" s="9">
        <f t="shared" si="536"/>
        <v>256</v>
      </c>
      <c r="L2503" s="9" t="str">
        <f t="shared" si="538"/>
        <v>O</v>
      </c>
      <c r="M2503" s="9" t="str">
        <f t="shared" si="537"/>
        <v>Input!O256</v>
      </c>
      <c r="N2503" s="9">
        <f>_xlfn.XLOOKUP(F2503,'Raw Data'!$I$4:$I$5000,'Raw Data'!$E$4:$E$5000,100,0)</f>
        <v>100</v>
      </c>
      <c r="O2503" s="9" t="str">
        <f>IF(N2503=0,_xlfn.XLOOKUP(F2503,'Raw Data'!$I$4:$I$5000,'Raw Data'!$H$4:$H$5000,"",0),"")</f>
        <v/>
      </c>
      <c r="P2503" s="9" t="str" cm="1">
        <f t="array" aca="1" ref="P2503" ca="1">IF(INDIRECT(M2503) = "","",INDIRECT(M2503))</f>
        <v/>
      </c>
      <c r="Q2503" s="359" t="s">
        <v>4380</v>
      </c>
    </row>
    <row r="2504" spans="1:17" x14ac:dyDescent="0.35">
      <c r="A2504" t="s">
        <v>3281</v>
      </c>
      <c r="E2504" t="str">
        <f>_xlfn.XLOOKUP(F2504,'Raw Data'!$I$4:$I$5000,'Raw Data'!$D$4:$D$5000,"*** Mnemonic not found ***",0)</f>
        <v>*** Mnemonic not found ***</v>
      </c>
      <c r="F2504" t="str">
        <f t="shared" si="535"/>
        <v>SUCMRUR2SOVERGTOT_C__</v>
      </c>
      <c r="H2504" s="9" t="s">
        <v>1137</v>
      </c>
      <c r="K2504" s="9">
        <f>K2503+3</f>
        <v>259</v>
      </c>
      <c r="L2504" s="9" t="str">
        <f>L2503</f>
        <v>O</v>
      </c>
      <c r="M2504" s="9" t="str">
        <f t="shared" si="537"/>
        <v>Input!O259</v>
      </c>
      <c r="N2504" s="9">
        <f>_xlfn.XLOOKUP(F2504,'Raw Data'!$I$4:$I$5000,'Raw Data'!$E$4:$E$5000,100,0)</f>
        <v>100</v>
      </c>
      <c r="O2504" s="9" t="str">
        <f>IF(N2504=0,_xlfn.XLOOKUP(F2504,'Raw Data'!$I$4:$I$5000,'Raw Data'!$H$4:$H$5000,"",0),"")</f>
        <v/>
      </c>
      <c r="P2504" s="9" t="str" cm="1">
        <f t="array" aca="1" ref="P2504" ca="1">IF(INDIRECT(M2504) = "","",INDIRECT(M2504))</f>
        <v/>
      </c>
      <c r="Q2504" s="359" t="s">
        <v>4380</v>
      </c>
    </row>
    <row r="2505" spans="1:17" x14ac:dyDescent="0.35">
      <c r="A2505" t="s">
        <v>3282</v>
      </c>
      <c r="E2505" t="str">
        <f>_xlfn.XLOOKUP(F2505,'Raw Data'!$I$4:$I$5000,'Raw Data'!$D$4:$D$5000,"*** Mnemonic not found ***",0)</f>
        <v>*** Mnemonic not found ***</v>
      </c>
      <c r="F2505" t="str">
        <f t="shared" si="535"/>
        <v>SUCMRUR2SOVERGERG_C__</v>
      </c>
      <c r="H2505" s="9" t="s">
        <v>1137</v>
      </c>
      <c r="K2505" s="9">
        <f t="shared" si="536"/>
        <v>260</v>
      </c>
      <c r="L2505" s="9" t="str">
        <f t="shared" si="538"/>
        <v>O</v>
      </c>
      <c r="M2505" s="9" t="str">
        <f t="shared" si="537"/>
        <v>Input!O260</v>
      </c>
      <c r="N2505" s="9">
        <f>_xlfn.XLOOKUP(F2505,'Raw Data'!$I$4:$I$5000,'Raw Data'!$E$4:$E$5000,100,0)</f>
        <v>100</v>
      </c>
      <c r="O2505" s="9" t="str">
        <f>IF(N2505=0,_xlfn.XLOOKUP(F2505,'Raw Data'!$I$4:$I$5000,'Raw Data'!$H$4:$H$5000,"",0),"")</f>
        <v/>
      </c>
      <c r="P2505" s="9" t="str" cm="1">
        <f t="array" aca="1" ref="P2505" ca="1">IF(INDIRECT(M2505) = "","",INDIRECT(M2505))</f>
        <v/>
      </c>
      <c r="Q2505" s="359" t="s">
        <v>4380</v>
      </c>
    </row>
    <row r="2506" spans="1:17" x14ac:dyDescent="0.35">
      <c r="A2506" t="s">
        <v>3283</v>
      </c>
      <c r="E2506" t="str">
        <f>_xlfn.XLOOKUP(F2506,'Raw Data'!$I$4:$I$5000,'Raw Data'!$D$4:$D$5000,"*** Mnemonic not found ***",0)</f>
        <v>*** Mnemonic not found ***</v>
      </c>
      <c r="F2506" t="str">
        <f t="shared" si="535"/>
        <v>SUCMRUR2SOVERGYRS_C__</v>
      </c>
      <c r="H2506" s="9" t="s">
        <v>1137</v>
      </c>
      <c r="K2506" s="9">
        <f t="shared" si="536"/>
        <v>261</v>
      </c>
      <c r="L2506" s="9" t="str">
        <f t="shared" si="538"/>
        <v>O</v>
      </c>
      <c r="M2506" s="9" t="str">
        <f t="shared" si="537"/>
        <v>Input!O261</v>
      </c>
      <c r="N2506" s="9">
        <f>_xlfn.XLOOKUP(F2506,'Raw Data'!$I$4:$I$5000,'Raw Data'!$E$4:$E$5000,100,0)</f>
        <v>100</v>
      </c>
      <c r="O2506" s="9" t="str">
        <f>IF(N2506=0,_xlfn.XLOOKUP(F2506,'Raw Data'!$I$4:$I$5000,'Raw Data'!$H$4:$H$5000,"",0),"")</f>
        <v/>
      </c>
      <c r="P2506" s="9" t="str" cm="1">
        <f t="array" aca="1" ref="P2506" ca="1">IF(INDIRECT(M2506) = "","",INDIRECT(M2506))</f>
        <v/>
      </c>
      <c r="Q2506" s="359" t="s">
        <v>4380</v>
      </c>
    </row>
    <row r="2507" spans="1:17" x14ac:dyDescent="0.35">
      <c r="A2507" t="s">
        <v>3284</v>
      </c>
      <c r="E2507" t="str">
        <f>_xlfn.XLOOKUP(F2507,'Raw Data'!$I$4:$I$5000,'Raw Data'!$D$4:$D$5000,"*** Mnemonic not found ***",0)</f>
        <v>*** Mnemonic not found ***</v>
      </c>
      <c r="F2507" t="str">
        <f t="shared" si="535"/>
        <v>SUCMRUR2SOVERG_LESS1_C__</v>
      </c>
      <c r="H2507" s="9" t="s">
        <v>1137</v>
      </c>
      <c r="K2507" s="9">
        <f t="shared" ref="K2507:K2543" si="539">K2506+1</f>
        <v>262</v>
      </c>
      <c r="L2507" s="9" t="str">
        <f t="shared" si="538"/>
        <v>O</v>
      </c>
      <c r="M2507" s="9" t="str">
        <f t="shared" si="537"/>
        <v>Input!O262</v>
      </c>
      <c r="N2507" s="9">
        <f>_xlfn.XLOOKUP(F2507,'Raw Data'!$I$4:$I$5000,'Raw Data'!$E$4:$E$5000,100,0)</f>
        <v>100</v>
      </c>
      <c r="O2507" s="9" t="str">
        <f>IF(N2507=0,_xlfn.XLOOKUP(F2507,'Raw Data'!$I$4:$I$5000,'Raw Data'!$H$4:$H$5000,"",0),"")</f>
        <v/>
      </c>
      <c r="P2507" s="9" t="str" cm="1">
        <f t="array" aca="1" ref="P2507" ca="1">IF(INDIRECT(M2507) = "","",INDIRECT(M2507))</f>
        <v/>
      </c>
      <c r="Q2507" s="359" t="s">
        <v>4380</v>
      </c>
    </row>
    <row r="2508" spans="1:17" x14ac:dyDescent="0.35">
      <c r="A2508" t="s">
        <v>3285</v>
      </c>
      <c r="E2508" t="str">
        <f>_xlfn.XLOOKUP(F2508,'Raw Data'!$I$4:$I$5000,'Raw Data'!$D$4:$D$5000,"*** Mnemonic not found ***",0)</f>
        <v>*** Mnemonic not found ***</v>
      </c>
      <c r="F2508" t="str">
        <f t="shared" si="535"/>
        <v>SUCMRUR2SOVERG_1TO5_C__</v>
      </c>
      <c r="H2508" s="9" t="s">
        <v>1137</v>
      </c>
      <c r="K2508" s="9">
        <f t="shared" si="539"/>
        <v>263</v>
      </c>
      <c r="L2508" s="9" t="str">
        <f t="shared" si="538"/>
        <v>O</v>
      </c>
      <c r="M2508" s="9" t="str">
        <f t="shared" si="537"/>
        <v>Input!O263</v>
      </c>
      <c r="N2508" s="9">
        <f>_xlfn.XLOOKUP(F2508,'Raw Data'!$I$4:$I$5000,'Raw Data'!$E$4:$E$5000,100,0)</f>
        <v>100</v>
      </c>
      <c r="O2508" s="9" t="str">
        <f>IF(N2508=0,_xlfn.XLOOKUP(F2508,'Raw Data'!$I$4:$I$5000,'Raw Data'!$H$4:$H$5000,"",0),"")</f>
        <v/>
      </c>
      <c r="P2508" s="9" t="str" cm="1">
        <f t="array" aca="1" ref="P2508" ca="1">IF(INDIRECT(M2508) = "","",INDIRECT(M2508))</f>
        <v/>
      </c>
      <c r="Q2508" s="359" t="s">
        <v>4380</v>
      </c>
    </row>
    <row r="2509" spans="1:17" x14ac:dyDescent="0.35">
      <c r="A2509" t="s">
        <v>3286</v>
      </c>
      <c r="E2509" t="str">
        <f>_xlfn.XLOOKUP(F2509,'Raw Data'!$I$4:$I$5000,'Raw Data'!$D$4:$D$5000,"*** Mnemonic not found ***",0)</f>
        <v>*** Mnemonic not found ***</v>
      </c>
      <c r="F2509" t="str">
        <f t="shared" si="535"/>
        <v>SUCMRUR2SOVERG_5TO10_C__</v>
      </c>
      <c r="H2509" s="9" t="s">
        <v>1137</v>
      </c>
      <c r="K2509" s="9">
        <f t="shared" si="539"/>
        <v>264</v>
      </c>
      <c r="L2509" s="9" t="str">
        <f t="shared" si="538"/>
        <v>O</v>
      </c>
      <c r="M2509" s="9" t="str">
        <f t="shared" si="537"/>
        <v>Input!O264</v>
      </c>
      <c r="N2509" s="9">
        <f>_xlfn.XLOOKUP(F2509,'Raw Data'!$I$4:$I$5000,'Raw Data'!$E$4:$E$5000,100,0)</f>
        <v>100</v>
      </c>
      <c r="O2509" s="9" t="str">
        <f>IF(N2509=0,_xlfn.XLOOKUP(F2509,'Raw Data'!$I$4:$I$5000,'Raw Data'!$H$4:$H$5000,"",0),"")</f>
        <v/>
      </c>
      <c r="P2509" s="9" t="str" cm="1">
        <f t="array" aca="1" ref="P2509" ca="1">IF(INDIRECT(M2509) = "","",INDIRECT(M2509))</f>
        <v/>
      </c>
      <c r="Q2509" s="359" t="s">
        <v>4380</v>
      </c>
    </row>
    <row r="2510" spans="1:17" x14ac:dyDescent="0.35">
      <c r="A2510" t="s">
        <v>3287</v>
      </c>
      <c r="E2510" t="str">
        <f>_xlfn.XLOOKUP(F2510,'Raw Data'!$I$4:$I$5000,'Raw Data'!$D$4:$D$5000,"*** Mnemonic not found ***",0)</f>
        <v>*** Mnemonic not found ***</v>
      </c>
      <c r="F2510" t="str">
        <f t="shared" ref="F2510:F2573" si="540">CONCATENATE(A2510,"_",B2510,"_",D2510)</f>
        <v>SUCMRUR2SOVERG_10TO20_C__</v>
      </c>
      <c r="H2510" s="9" t="s">
        <v>1137</v>
      </c>
      <c r="K2510" s="9">
        <f t="shared" si="539"/>
        <v>265</v>
      </c>
      <c r="L2510" s="9" t="str">
        <f t="shared" si="538"/>
        <v>O</v>
      </c>
      <c r="M2510" s="9" t="str">
        <f t="shared" si="537"/>
        <v>Input!O265</v>
      </c>
      <c r="N2510" s="9">
        <f>_xlfn.XLOOKUP(F2510,'Raw Data'!$I$4:$I$5000,'Raw Data'!$E$4:$E$5000,100,0)</f>
        <v>100</v>
      </c>
      <c r="O2510" s="9" t="str">
        <f>IF(N2510=0,_xlfn.XLOOKUP(F2510,'Raw Data'!$I$4:$I$5000,'Raw Data'!$H$4:$H$5000,"",0),"")</f>
        <v/>
      </c>
      <c r="P2510" s="9" t="str" cm="1">
        <f t="array" aca="1" ref="P2510" ca="1">IF(INDIRECT(M2510) = "","",INDIRECT(M2510))</f>
        <v/>
      </c>
      <c r="Q2510" s="359" t="s">
        <v>4380</v>
      </c>
    </row>
    <row r="2511" spans="1:17" x14ac:dyDescent="0.35">
      <c r="A2511" t="s">
        <v>3288</v>
      </c>
      <c r="E2511" t="str">
        <f>_xlfn.XLOOKUP(F2511,'Raw Data'!$I$4:$I$5000,'Raw Data'!$D$4:$D$5000,"*** Mnemonic not found ***",0)</f>
        <v>*** Mnemonic not found ***</v>
      </c>
      <c r="F2511" t="str">
        <f t="shared" si="540"/>
        <v>SUCMRUR2SOVERG_GRTR20_C__</v>
      </c>
      <c r="H2511" s="9" t="s">
        <v>1137</v>
      </c>
      <c r="K2511" s="9">
        <f t="shared" si="539"/>
        <v>266</v>
      </c>
      <c r="L2511" s="9" t="str">
        <f t="shared" si="538"/>
        <v>O</v>
      </c>
      <c r="M2511" s="9" t="str">
        <f t="shared" si="537"/>
        <v>Input!O266</v>
      </c>
      <c r="N2511" s="9">
        <f>_xlfn.XLOOKUP(F2511,'Raw Data'!$I$4:$I$5000,'Raw Data'!$E$4:$E$5000,100,0)</f>
        <v>100</v>
      </c>
      <c r="O2511" s="9" t="str">
        <f>IF(N2511=0,_xlfn.XLOOKUP(F2511,'Raw Data'!$I$4:$I$5000,'Raw Data'!$H$4:$H$5000,"",0),"")</f>
        <v/>
      </c>
      <c r="P2511" s="9" t="str" cm="1">
        <f t="array" aca="1" ref="P2511" ca="1">IF(INDIRECT(M2511) = "","",INDIRECT(M2511))</f>
        <v/>
      </c>
      <c r="Q2511" s="359" t="s">
        <v>4380</v>
      </c>
    </row>
    <row r="2512" spans="1:17" x14ac:dyDescent="0.35">
      <c r="A2512" t="s">
        <v>3289</v>
      </c>
      <c r="E2512" t="str">
        <f>_xlfn.XLOOKUP(F2512,'Raw Data'!$I$4:$I$5000,'Raw Data'!$D$4:$D$5000,"*** Mnemonic not found ***",0)</f>
        <v>*** Mnemonic not found ***</v>
      </c>
      <c r="F2512" t="str">
        <f t="shared" si="540"/>
        <v>SUCMRUR3SOVERGTOT_C__</v>
      </c>
      <c r="H2512" s="9" t="s">
        <v>1137</v>
      </c>
      <c r="K2512" s="9">
        <f>K2511+3</f>
        <v>269</v>
      </c>
      <c r="L2512" s="9" t="str">
        <f>L2511</f>
        <v>O</v>
      </c>
      <c r="M2512" s="9" t="str">
        <f t="shared" ref="M2512:M2577" si="541">CONCATENATE(H2512,"!",L2512,K2512)</f>
        <v>Input!O269</v>
      </c>
      <c r="N2512" s="9">
        <f>_xlfn.XLOOKUP(F2512,'Raw Data'!$I$4:$I$5000,'Raw Data'!$E$4:$E$5000,100,0)</f>
        <v>100</v>
      </c>
      <c r="O2512" s="9" t="str">
        <f>IF(N2512=0,_xlfn.XLOOKUP(F2512,'Raw Data'!$I$4:$I$5000,'Raw Data'!$H$4:$H$5000,"",0),"")</f>
        <v/>
      </c>
      <c r="P2512" s="9" t="str" cm="1">
        <f t="array" aca="1" ref="P2512" ca="1">IF(INDIRECT(M2512) = "","",INDIRECT(M2512))</f>
        <v/>
      </c>
      <c r="Q2512" s="359" t="s">
        <v>4380</v>
      </c>
    </row>
    <row r="2513" spans="1:17" x14ac:dyDescent="0.35">
      <c r="A2513" t="s">
        <v>3290</v>
      </c>
      <c r="E2513" t="str">
        <f>_xlfn.XLOOKUP(F2513,'Raw Data'!$I$4:$I$5000,'Raw Data'!$D$4:$D$5000,"*** Mnemonic not found ***",0)</f>
        <v>*** Mnemonic not found ***</v>
      </c>
      <c r="F2513" t="str">
        <f t="shared" si="540"/>
        <v>SUCMRUR3SOVERGERG_C__</v>
      </c>
      <c r="H2513" s="9" t="s">
        <v>1137</v>
      </c>
      <c r="K2513" s="9">
        <f t="shared" si="539"/>
        <v>270</v>
      </c>
      <c r="L2513" s="9" t="str">
        <f t="shared" si="538"/>
        <v>O</v>
      </c>
      <c r="M2513" s="9" t="str">
        <f t="shared" si="541"/>
        <v>Input!O270</v>
      </c>
      <c r="N2513" s="9">
        <f>_xlfn.XLOOKUP(F2513,'Raw Data'!$I$4:$I$5000,'Raw Data'!$E$4:$E$5000,100,0)</f>
        <v>100</v>
      </c>
      <c r="O2513" s="9" t="str">
        <f>IF(N2513=0,_xlfn.XLOOKUP(F2513,'Raw Data'!$I$4:$I$5000,'Raw Data'!$H$4:$H$5000,"",0),"")</f>
        <v/>
      </c>
      <c r="P2513" s="9" t="str" cm="1">
        <f t="array" aca="1" ref="P2513" ca="1">IF(INDIRECT(M2513) = "","",INDIRECT(M2513))</f>
        <v/>
      </c>
      <c r="Q2513" s="359" t="s">
        <v>4380</v>
      </c>
    </row>
    <row r="2514" spans="1:17" x14ac:dyDescent="0.35">
      <c r="A2514" t="s">
        <v>3291</v>
      </c>
      <c r="E2514" t="str">
        <f>_xlfn.XLOOKUP(F2514,'Raw Data'!$I$4:$I$5000,'Raw Data'!$D$4:$D$5000,"*** Mnemonic not found ***",0)</f>
        <v>*** Mnemonic not found ***</v>
      </c>
      <c r="F2514" t="str">
        <f t="shared" si="540"/>
        <v>SUCMRUR3SOVERGYRS_C__</v>
      </c>
      <c r="H2514" s="9" t="s">
        <v>1137</v>
      </c>
      <c r="K2514" s="9">
        <f t="shared" si="539"/>
        <v>271</v>
      </c>
      <c r="L2514" s="9" t="str">
        <f t="shared" si="538"/>
        <v>O</v>
      </c>
      <c r="M2514" s="9" t="str">
        <f t="shared" si="541"/>
        <v>Input!O271</v>
      </c>
      <c r="N2514" s="9">
        <f>_xlfn.XLOOKUP(F2514,'Raw Data'!$I$4:$I$5000,'Raw Data'!$E$4:$E$5000,100,0)</f>
        <v>100</v>
      </c>
      <c r="O2514" s="9" t="str">
        <f>IF(N2514=0,_xlfn.XLOOKUP(F2514,'Raw Data'!$I$4:$I$5000,'Raw Data'!$H$4:$H$5000,"",0),"")</f>
        <v/>
      </c>
      <c r="P2514" s="9" t="str" cm="1">
        <f t="array" aca="1" ref="P2514" ca="1">IF(INDIRECT(M2514) = "","",INDIRECT(M2514))</f>
        <v/>
      </c>
      <c r="Q2514" s="359" t="s">
        <v>4380</v>
      </c>
    </row>
    <row r="2515" spans="1:17" x14ac:dyDescent="0.35">
      <c r="A2515" t="s">
        <v>3292</v>
      </c>
      <c r="E2515" t="str">
        <f>_xlfn.XLOOKUP(F2515,'Raw Data'!$I$4:$I$5000,'Raw Data'!$D$4:$D$5000,"*** Mnemonic not found ***",0)</f>
        <v>*** Mnemonic not found ***</v>
      </c>
      <c r="F2515" t="str">
        <f t="shared" si="540"/>
        <v>SUCMRUR3SOVERG_LESS1_C__</v>
      </c>
      <c r="H2515" s="9" t="s">
        <v>1137</v>
      </c>
      <c r="K2515" s="9">
        <f t="shared" si="539"/>
        <v>272</v>
      </c>
      <c r="L2515" s="9" t="str">
        <f t="shared" si="538"/>
        <v>O</v>
      </c>
      <c r="M2515" s="9" t="str">
        <f t="shared" si="541"/>
        <v>Input!O272</v>
      </c>
      <c r="N2515" s="9">
        <f>_xlfn.XLOOKUP(F2515,'Raw Data'!$I$4:$I$5000,'Raw Data'!$E$4:$E$5000,100,0)</f>
        <v>100</v>
      </c>
      <c r="O2515" s="9" t="str">
        <f>IF(N2515=0,_xlfn.XLOOKUP(F2515,'Raw Data'!$I$4:$I$5000,'Raw Data'!$H$4:$H$5000,"",0),"")</f>
        <v/>
      </c>
      <c r="P2515" s="9" t="str" cm="1">
        <f t="array" aca="1" ref="P2515" ca="1">IF(INDIRECT(M2515) = "","",INDIRECT(M2515))</f>
        <v/>
      </c>
      <c r="Q2515" s="359" t="s">
        <v>4380</v>
      </c>
    </row>
    <row r="2516" spans="1:17" x14ac:dyDescent="0.35">
      <c r="A2516" t="s">
        <v>3293</v>
      </c>
      <c r="E2516" t="str">
        <f>_xlfn.XLOOKUP(F2516,'Raw Data'!$I$4:$I$5000,'Raw Data'!$D$4:$D$5000,"*** Mnemonic not found ***",0)</f>
        <v>*** Mnemonic not found ***</v>
      </c>
      <c r="F2516" t="str">
        <f t="shared" si="540"/>
        <v>SUCMRUR3SOVERG_1TO5_C__</v>
      </c>
      <c r="H2516" s="9" t="s">
        <v>1137</v>
      </c>
      <c r="K2516" s="9">
        <f t="shared" si="539"/>
        <v>273</v>
      </c>
      <c r="L2516" s="9" t="str">
        <f t="shared" si="538"/>
        <v>O</v>
      </c>
      <c r="M2516" s="9" t="str">
        <f t="shared" si="541"/>
        <v>Input!O273</v>
      </c>
      <c r="N2516" s="9">
        <f>_xlfn.XLOOKUP(F2516,'Raw Data'!$I$4:$I$5000,'Raw Data'!$E$4:$E$5000,100,0)</f>
        <v>100</v>
      </c>
      <c r="O2516" s="9" t="str">
        <f>IF(N2516=0,_xlfn.XLOOKUP(F2516,'Raw Data'!$I$4:$I$5000,'Raw Data'!$H$4:$H$5000,"",0),"")</f>
        <v/>
      </c>
      <c r="P2516" s="9" t="str" cm="1">
        <f t="array" aca="1" ref="P2516" ca="1">IF(INDIRECT(M2516) = "","",INDIRECT(M2516))</f>
        <v/>
      </c>
      <c r="Q2516" s="359" t="s">
        <v>4380</v>
      </c>
    </row>
    <row r="2517" spans="1:17" x14ac:dyDescent="0.35">
      <c r="A2517" t="s">
        <v>3294</v>
      </c>
      <c r="E2517" t="str">
        <f>_xlfn.XLOOKUP(F2517,'Raw Data'!$I$4:$I$5000,'Raw Data'!$D$4:$D$5000,"*** Mnemonic not found ***",0)</f>
        <v>*** Mnemonic not found ***</v>
      </c>
      <c r="F2517" t="str">
        <f t="shared" si="540"/>
        <v>SUCMRUR3SOVERG_5TO10_C__</v>
      </c>
      <c r="H2517" s="9" t="s">
        <v>1137</v>
      </c>
      <c r="K2517" s="9">
        <f t="shared" si="539"/>
        <v>274</v>
      </c>
      <c r="L2517" s="9" t="str">
        <f t="shared" si="538"/>
        <v>O</v>
      </c>
      <c r="M2517" s="9" t="str">
        <f t="shared" si="541"/>
        <v>Input!O274</v>
      </c>
      <c r="N2517" s="9">
        <f>_xlfn.XLOOKUP(F2517,'Raw Data'!$I$4:$I$5000,'Raw Data'!$E$4:$E$5000,100,0)</f>
        <v>100</v>
      </c>
      <c r="O2517" s="9" t="str">
        <f>IF(N2517=0,_xlfn.XLOOKUP(F2517,'Raw Data'!$I$4:$I$5000,'Raw Data'!$H$4:$H$5000,"",0),"")</f>
        <v/>
      </c>
      <c r="P2517" s="9" t="str" cm="1">
        <f t="array" aca="1" ref="P2517" ca="1">IF(INDIRECT(M2517) = "","",INDIRECT(M2517))</f>
        <v/>
      </c>
      <c r="Q2517" s="359" t="s">
        <v>4380</v>
      </c>
    </row>
    <row r="2518" spans="1:17" x14ac:dyDescent="0.35">
      <c r="A2518" t="s">
        <v>3295</v>
      </c>
      <c r="E2518" t="str">
        <f>_xlfn.XLOOKUP(F2518,'Raw Data'!$I$4:$I$5000,'Raw Data'!$D$4:$D$5000,"*** Mnemonic not found ***",0)</f>
        <v>*** Mnemonic not found ***</v>
      </c>
      <c r="F2518" t="str">
        <f t="shared" si="540"/>
        <v>SUCMRUR3SOVERG_10TO20_C__</v>
      </c>
      <c r="H2518" s="9" t="s">
        <v>1137</v>
      </c>
      <c r="K2518" s="9">
        <f t="shared" si="539"/>
        <v>275</v>
      </c>
      <c r="L2518" s="9" t="str">
        <f t="shared" si="538"/>
        <v>O</v>
      </c>
      <c r="M2518" s="9" t="str">
        <f t="shared" si="541"/>
        <v>Input!O275</v>
      </c>
      <c r="N2518" s="9">
        <f>_xlfn.XLOOKUP(F2518,'Raw Data'!$I$4:$I$5000,'Raw Data'!$E$4:$E$5000,100,0)</f>
        <v>100</v>
      </c>
      <c r="O2518" s="9" t="str">
        <f>IF(N2518=0,_xlfn.XLOOKUP(F2518,'Raw Data'!$I$4:$I$5000,'Raw Data'!$H$4:$H$5000,"",0),"")</f>
        <v/>
      </c>
      <c r="P2518" s="9" t="str" cm="1">
        <f t="array" aca="1" ref="P2518" ca="1">IF(INDIRECT(M2518) = "","",INDIRECT(M2518))</f>
        <v/>
      </c>
      <c r="Q2518" s="359" t="s">
        <v>4380</v>
      </c>
    </row>
    <row r="2519" spans="1:17" x14ac:dyDescent="0.35">
      <c r="A2519" t="s">
        <v>3296</v>
      </c>
      <c r="E2519" t="str">
        <f>_xlfn.XLOOKUP(F2519,'Raw Data'!$I$4:$I$5000,'Raw Data'!$D$4:$D$5000,"*** Mnemonic not found ***",0)</f>
        <v>*** Mnemonic not found ***</v>
      </c>
      <c r="F2519" t="str">
        <f t="shared" si="540"/>
        <v>SUCMRUR3SOVERG_GRTR20_C__</v>
      </c>
      <c r="H2519" s="9" t="s">
        <v>1137</v>
      </c>
      <c r="K2519" s="9">
        <f t="shared" si="539"/>
        <v>276</v>
      </c>
      <c r="L2519" s="9" t="str">
        <f t="shared" si="538"/>
        <v>O</v>
      </c>
      <c r="M2519" s="9" t="str">
        <f t="shared" si="541"/>
        <v>Input!O276</v>
      </c>
      <c r="N2519" s="9">
        <f>_xlfn.XLOOKUP(F2519,'Raw Data'!$I$4:$I$5000,'Raw Data'!$E$4:$E$5000,100,0)</f>
        <v>100</v>
      </c>
      <c r="O2519" s="9" t="str">
        <f>IF(N2519=0,_xlfn.XLOOKUP(F2519,'Raw Data'!$I$4:$I$5000,'Raw Data'!$H$4:$H$5000,"",0),"")</f>
        <v/>
      </c>
      <c r="P2519" s="9" t="str" cm="1">
        <f t="array" aca="1" ref="P2519" ca="1">IF(INDIRECT(M2519) = "","",INDIRECT(M2519))</f>
        <v/>
      </c>
      <c r="Q2519" s="359" t="s">
        <v>4380</v>
      </c>
    </row>
    <row r="2520" spans="1:17" x14ac:dyDescent="0.35">
      <c r="A2520" t="s">
        <v>3297</v>
      </c>
      <c r="E2520" t="str">
        <f>_xlfn.XLOOKUP(F2520,'Raw Data'!$I$4:$I$5000,'Raw Data'!$D$4:$D$5000,"*** Mnemonic not found ***",0)</f>
        <v>*** Mnemonic not found ***</v>
      </c>
      <c r="F2520" t="str">
        <f t="shared" si="540"/>
        <v>SUCMRUR4SFTOT_C__</v>
      </c>
      <c r="H2520" s="9" t="s">
        <v>1137</v>
      </c>
      <c r="K2520" s="9">
        <f>K2519+3</f>
        <v>279</v>
      </c>
      <c r="L2520" s="9" t="str">
        <f>L2519</f>
        <v>O</v>
      </c>
      <c r="M2520" s="9" t="str">
        <f t="shared" si="541"/>
        <v>Input!O279</v>
      </c>
      <c r="N2520" s="9">
        <f>_xlfn.XLOOKUP(F2520,'Raw Data'!$I$4:$I$5000,'Raw Data'!$E$4:$E$5000,100,0)</f>
        <v>100</v>
      </c>
      <c r="O2520" s="9" t="str">
        <f>IF(N2520=0,_xlfn.XLOOKUP(F2520,'Raw Data'!$I$4:$I$5000,'Raw Data'!$H$4:$H$5000,"",0),"")</f>
        <v/>
      </c>
      <c r="P2520" s="9" t="str" cm="1">
        <f t="array" aca="1" ref="P2520" ca="1">IF(INDIRECT(M2520) = "","",INDIRECT(M2520))</f>
        <v/>
      </c>
      <c r="Q2520" s="359" t="s">
        <v>4380</v>
      </c>
    </row>
    <row r="2521" spans="1:17" x14ac:dyDescent="0.35">
      <c r="A2521" t="s">
        <v>3298</v>
      </c>
      <c r="E2521" t="str">
        <f>_xlfn.XLOOKUP(F2521,'Raw Data'!$I$4:$I$5000,'Raw Data'!$D$4:$D$5000,"*** Mnemonic not found ***",0)</f>
        <v>*** Mnemonic not found ***</v>
      </c>
      <c r="F2521" t="str">
        <f t="shared" si="540"/>
        <v>SUCMRUR4SFERG_C__</v>
      </c>
      <c r="H2521" s="9" t="s">
        <v>1137</v>
      </c>
      <c r="K2521" s="9">
        <f t="shared" si="539"/>
        <v>280</v>
      </c>
      <c r="L2521" s="9" t="str">
        <f t="shared" si="538"/>
        <v>O</v>
      </c>
      <c r="M2521" s="9" t="str">
        <f t="shared" si="541"/>
        <v>Input!O280</v>
      </c>
      <c r="N2521" s="9">
        <f>_xlfn.XLOOKUP(F2521,'Raw Data'!$I$4:$I$5000,'Raw Data'!$E$4:$E$5000,100,0)</f>
        <v>100</v>
      </c>
      <c r="O2521" s="9" t="str">
        <f>IF(N2521=0,_xlfn.XLOOKUP(F2521,'Raw Data'!$I$4:$I$5000,'Raw Data'!$H$4:$H$5000,"",0),"")</f>
        <v/>
      </c>
      <c r="P2521" s="9" t="str" cm="1">
        <f t="array" aca="1" ref="P2521" ca="1">IF(INDIRECT(M2521) = "","",INDIRECT(M2521))</f>
        <v/>
      </c>
      <c r="Q2521" s="359" t="s">
        <v>4380</v>
      </c>
    </row>
    <row r="2522" spans="1:17" x14ac:dyDescent="0.35">
      <c r="A2522" t="s">
        <v>3299</v>
      </c>
      <c r="E2522" t="str">
        <f>_xlfn.XLOOKUP(F2522,'Raw Data'!$I$4:$I$5000,'Raw Data'!$D$4:$D$5000,"*** Mnemonic not found ***",0)</f>
        <v>*** Mnemonic not found ***</v>
      </c>
      <c r="F2522" t="str">
        <f t="shared" si="540"/>
        <v>SUCMRUR4SFYRS_C__</v>
      </c>
      <c r="H2522" s="9" t="s">
        <v>1137</v>
      </c>
      <c r="K2522" s="9">
        <f t="shared" si="539"/>
        <v>281</v>
      </c>
      <c r="L2522" s="9" t="str">
        <f t="shared" si="538"/>
        <v>O</v>
      </c>
      <c r="M2522" s="9" t="str">
        <f t="shared" si="541"/>
        <v>Input!O281</v>
      </c>
      <c r="N2522" s="9">
        <f>_xlfn.XLOOKUP(F2522,'Raw Data'!$I$4:$I$5000,'Raw Data'!$E$4:$E$5000,100,0)</f>
        <v>100</v>
      </c>
      <c r="O2522" s="9" t="str">
        <f>IF(N2522=0,_xlfn.XLOOKUP(F2522,'Raw Data'!$I$4:$I$5000,'Raw Data'!$H$4:$H$5000,"",0),"")</f>
        <v/>
      </c>
      <c r="P2522" s="9" t="str" cm="1">
        <f t="array" aca="1" ref="P2522" ca="1">IF(INDIRECT(M2522) = "","",INDIRECT(M2522))</f>
        <v/>
      </c>
      <c r="Q2522" s="359" t="s">
        <v>4380</v>
      </c>
    </row>
    <row r="2523" spans="1:17" x14ac:dyDescent="0.35">
      <c r="A2523" t="s">
        <v>3300</v>
      </c>
      <c r="E2523" t="str">
        <f>_xlfn.XLOOKUP(F2523,'Raw Data'!$I$4:$I$5000,'Raw Data'!$D$4:$D$5000,"*** Mnemonic not found ***",0)</f>
        <v>*** Mnemonic not found ***</v>
      </c>
      <c r="F2523" t="str">
        <f t="shared" si="540"/>
        <v>SUCMRUR4SF_LESS1_C__</v>
      </c>
      <c r="H2523" s="9" t="s">
        <v>1137</v>
      </c>
      <c r="K2523" s="9">
        <f t="shared" si="539"/>
        <v>282</v>
      </c>
      <c r="L2523" s="9" t="str">
        <f t="shared" si="538"/>
        <v>O</v>
      </c>
      <c r="M2523" s="9" t="str">
        <f t="shared" si="541"/>
        <v>Input!O282</v>
      </c>
      <c r="N2523" s="9">
        <f>_xlfn.XLOOKUP(F2523,'Raw Data'!$I$4:$I$5000,'Raw Data'!$E$4:$E$5000,100,0)</f>
        <v>100</v>
      </c>
      <c r="O2523" s="9" t="str">
        <f>IF(N2523=0,_xlfn.XLOOKUP(F2523,'Raw Data'!$I$4:$I$5000,'Raw Data'!$H$4:$H$5000,"",0),"")</f>
        <v/>
      </c>
      <c r="P2523" s="9" t="str" cm="1">
        <f t="array" aca="1" ref="P2523" ca="1">IF(INDIRECT(M2523) = "","",INDIRECT(M2523))</f>
        <v/>
      </c>
      <c r="Q2523" s="359" t="s">
        <v>4380</v>
      </c>
    </row>
    <row r="2524" spans="1:17" x14ac:dyDescent="0.35">
      <c r="A2524" t="s">
        <v>3301</v>
      </c>
      <c r="E2524" t="str">
        <f>_xlfn.XLOOKUP(F2524,'Raw Data'!$I$4:$I$5000,'Raw Data'!$D$4:$D$5000,"*** Mnemonic not found ***",0)</f>
        <v>*** Mnemonic not found ***</v>
      </c>
      <c r="F2524" t="str">
        <f t="shared" si="540"/>
        <v>SUCMRUR4SF_1TO5_C__</v>
      </c>
      <c r="H2524" s="9" t="s">
        <v>1137</v>
      </c>
      <c r="K2524" s="9">
        <f t="shared" si="539"/>
        <v>283</v>
      </c>
      <c r="L2524" s="9" t="str">
        <f t="shared" si="538"/>
        <v>O</v>
      </c>
      <c r="M2524" s="9" t="str">
        <f t="shared" si="541"/>
        <v>Input!O283</v>
      </c>
      <c r="N2524" s="9">
        <f>_xlfn.XLOOKUP(F2524,'Raw Data'!$I$4:$I$5000,'Raw Data'!$E$4:$E$5000,100,0)</f>
        <v>100</v>
      </c>
      <c r="O2524" s="9" t="str">
        <f>IF(N2524=0,_xlfn.XLOOKUP(F2524,'Raw Data'!$I$4:$I$5000,'Raw Data'!$H$4:$H$5000,"",0),"")</f>
        <v/>
      </c>
      <c r="P2524" s="9" t="str" cm="1">
        <f t="array" aca="1" ref="P2524" ca="1">IF(INDIRECT(M2524) = "","",INDIRECT(M2524))</f>
        <v/>
      </c>
      <c r="Q2524" s="359" t="s">
        <v>4380</v>
      </c>
    </row>
    <row r="2525" spans="1:17" x14ac:dyDescent="0.35">
      <c r="A2525" t="s">
        <v>3302</v>
      </c>
      <c r="E2525" t="str">
        <f>_xlfn.XLOOKUP(F2525,'Raw Data'!$I$4:$I$5000,'Raw Data'!$D$4:$D$5000,"*** Mnemonic not found ***",0)</f>
        <v>*** Mnemonic not found ***</v>
      </c>
      <c r="F2525" t="str">
        <f t="shared" si="540"/>
        <v>SUCMRUR4SF_5TO10_C__</v>
      </c>
      <c r="H2525" s="9" t="s">
        <v>1137</v>
      </c>
      <c r="K2525" s="9">
        <f t="shared" si="539"/>
        <v>284</v>
      </c>
      <c r="L2525" s="9" t="str">
        <f t="shared" si="538"/>
        <v>O</v>
      </c>
      <c r="M2525" s="9" t="str">
        <f t="shared" si="541"/>
        <v>Input!O284</v>
      </c>
      <c r="N2525" s="9">
        <f>_xlfn.XLOOKUP(F2525,'Raw Data'!$I$4:$I$5000,'Raw Data'!$E$4:$E$5000,100,0)</f>
        <v>100</v>
      </c>
      <c r="O2525" s="9" t="str">
        <f>IF(N2525=0,_xlfn.XLOOKUP(F2525,'Raw Data'!$I$4:$I$5000,'Raw Data'!$H$4:$H$5000,"",0),"")</f>
        <v/>
      </c>
      <c r="P2525" s="9" t="str" cm="1">
        <f t="array" aca="1" ref="P2525" ca="1">IF(INDIRECT(M2525) = "","",INDIRECT(M2525))</f>
        <v/>
      </c>
      <c r="Q2525" s="359" t="s">
        <v>4380</v>
      </c>
    </row>
    <row r="2526" spans="1:17" x14ac:dyDescent="0.35">
      <c r="A2526" t="s">
        <v>3303</v>
      </c>
      <c r="E2526" t="str">
        <f>_xlfn.XLOOKUP(F2526,'Raw Data'!$I$4:$I$5000,'Raw Data'!$D$4:$D$5000,"*** Mnemonic not found ***",0)</f>
        <v>*** Mnemonic not found ***</v>
      </c>
      <c r="F2526" t="str">
        <f t="shared" si="540"/>
        <v>SUCMRUR4SF_10TO20_C__</v>
      </c>
      <c r="H2526" s="9" t="s">
        <v>1137</v>
      </c>
      <c r="K2526" s="9">
        <f t="shared" si="539"/>
        <v>285</v>
      </c>
      <c r="L2526" s="9" t="str">
        <f t="shared" si="538"/>
        <v>O</v>
      </c>
      <c r="M2526" s="9" t="str">
        <f t="shared" si="541"/>
        <v>Input!O285</v>
      </c>
      <c r="N2526" s="9">
        <f>_xlfn.XLOOKUP(F2526,'Raw Data'!$I$4:$I$5000,'Raw Data'!$E$4:$E$5000,100,0)</f>
        <v>100</v>
      </c>
      <c r="O2526" s="9" t="str">
        <f>IF(N2526=0,_xlfn.XLOOKUP(F2526,'Raw Data'!$I$4:$I$5000,'Raw Data'!$H$4:$H$5000,"",0),"")</f>
        <v/>
      </c>
      <c r="P2526" s="9" t="str" cm="1">
        <f t="array" aca="1" ref="P2526" ca="1">IF(INDIRECT(M2526) = "","",INDIRECT(M2526))</f>
        <v/>
      </c>
      <c r="Q2526" s="359" t="s">
        <v>4380</v>
      </c>
    </row>
    <row r="2527" spans="1:17" x14ac:dyDescent="0.35">
      <c r="A2527" t="s">
        <v>3304</v>
      </c>
      <c r="E2527" t="str">
        <f>_xlfn.XLOOKUP(F2527,'Raw Data'!$I$4:$I$5000,'Raw Data'!$D$4:$D$5000,"*** Mnemonic not found ***",0)</f>
        <v>*** Mnemonic not found ***</v>
      </c>
      <c r="F2527" t="str">
        <f t="shared" si="540"/>
        <v>SUCMRUR4SF_GRTR20_C__</v>
      </c>
      <c r="H2527" s="9" t="s">
        <v>1137</v>
      </c>
      <c r="K2527" s="9">
        <f t="shared" si="539"/>
        <v>286</v>
      </c>
      <c r="L2527" s="9" t="str">
        <f t="shared" si="538"/>
        <v>O</v>
      </c>
      <c r="M2527" s="9" t="str">
        <f t="shared" si="541"/>
        <v>Input!O286</v>
      </c>
      <c r="N2527" s="9">
        <f>_xlfn.XLOOKUP(F2527,'Raw Data'!$I$4:$I$5000,'Raw Data'!$E$4:$E$5000,100,0)</f>
        <v>100</v>
      </c>
      <c r="O2527" s="9" t="str">
        <f>IF(N2527=0,_xlfn.XLOOKUP(F2527,'Raw Data'!$I$4:$I$5000,'Raw Data'!$H$4:$H$5000,"",0),"")</f>
        <v/>
      </c>
      <c r="P2527" s="9" t="str" cm="1">
        <f t="array" aca="1" ref="P2527" ca="1">IF(INDIRECT(M2527) = "","",INDIRECT(M2527))</f>
        <v/>
      </c>
      <c r="Q2527" s="359" t="s">
        <v>4380</v>
      </c>
    </row>
    <row r="2528" spans="1:17" x14ac:dyDescent="0.35">
      <c r="A2528" s="694" t="s">
        <v>4329</v>
      </c>
      <c r="E2528" t="str">
        <f>_xlfn.XLOOKUP(F2528,'Raw Data'!$I$4:$I$5000,'Raw Data'!$D$4:$D$5000,"*** Mnemonic not found ***",0)</f>
        <v>*** Mnemonic not found ***</v>
      </c>
      <c r="F2528" t="str">
        <f t="shared" si="540"/>
        <v>SUCMRUR4SFMTOT_C__</v>
      </c>
      <c r="H2528" s="9" t="s">
        <v>1137</v>
      </c>
      <c r="K2528" s="9">
        <f>K2527+3</f>
        <v>289</v>
      </c>
      <c r="L2528" s="9" t="str">
        <f>L2527</f>
        <v>O</v>
      </c>
      <c r="M2528" s="9" t="str">
        <f t="shared" ref="M2528:M2535" si="542">CONCATENATE(H2528,"!",L2528,K2528)</f>
        <v>Input!O289</v>
      </c>
      <c r="N2528" s="9">
        <f>_xlfn.XLOOKUP(F2528,'Raw Data'!$I$4:$I$5000,'Raw Data'!$E$4:$E$5000,100,0)</f>
        <v>100</v>
      </c>
      <c r="O2528" s="9" t="str">
        <f>IF(N2528=0,_xlfn.XLOOKUP(F2528,'Raw Data'!$I$4:$I$5000,'Raw Data'!$H$4:$H$5000,"",0),"")</f>
        <v/>
      </c>
      <c r="P2528" s="9" t="str" cm="1">
        <f t="array" aca="1" ref="P2528" ca="1">IF(INDIRECT(M2528) = "","",INDIRECT(M2528))</f>
        <v/>
      </c>
      <c r="Q2528" s="359" t="s">
        <v>4380</v>
      </c>
    </row>
    <row r="2529" spans="1:17" x14ac:dyDescent="0.35">
      <c r="A2529" s="694" t="s">
        <v>4231</v>
      </c>
      <c r="E2529" t="str">
        <f>_xlfn.XLOOKUP(F2529,'Raw Data'!$I$4:$I$5000,'Raw Data'!$D$4:$D$5000,"*** Mnemonic not found ***",0)</f>
        <v>*** Mnemonic not found ***</v>
      </c>
      <c r="F2529" t="str">
        <f t="shared" si="540"/>
        <v>SUCMRUR4SFMERG_C__</v>
      </c>
      <c r="H2529" s="9" t="s">
        <v>1137</v>
      </c>
      <c r="K2529" s="9">
        <f t="shared" si="539"/>
        <v>290</v>
      </c>
      <c r="L2529" s="9" t="str">
        <f t="shared" si="538"/>
        <v>O</v>
      </c>
      <c r="M2529" s="9" t="str">
        <f t="shared" si="542"/>
        <v>Input!O290</v>
      </c>
      <c r="N2529" s="9">
        <f>_xlfn.XLOOKUP(F2529,'Raw Data'!$I$4:$I$5000,'Raw Data'!$E$4:$E$5000,100,0)</f>
        <v>100</v>
      </c>
      <c r="O2529" s="9" t="str">
        <f>IF(N2529=0,_xlfn.XLOOKUP(F2529,'Raw Data'!$I$4:$I$5000,'Raw Data'!$H$4:$H$5000,"",0),"")</f>
        <v/>
      </c>
      <c r="P2529" s="9" t="str" cm="1">
        <f t="array" aca="1" ref="P2529" ca="1">IF(INDIRECT(M2529) = "","",INDIRECT(M2529))</f>
        <v/>
      </c>
      <c r="Q2529" s="359" t="s">
        <v>4380</v>
      </c>
    </row>
    <row r="2530" spans="1:17" x14ac:dyDescent="0.35">
      <c r="A2530" s="694" t="s">
        <v>4330</v>
      </c>
      <c r="E2530" t="str">
        <f>_xlfn.XLOOKUP(F2530,'Raw Data'!$I$4:$I$5000,'Raw Data'!$D$4:$D$5000,"*** Mnemonic not found ***",0)</f>
        <v>*** Mnemonic not found ***</v>
      </c>
      <c r="F2530" t="str">
        <f t="shared" si="540"/>
        <v>SUCMRUR4SFMYRS_C__</v>
      </c>
      <c r="H2530" s="9" t="s">
        <v>1137</v>
      </c>
      <c r="K2530" s="9">
        <f t="shared" si="539"/>
        <v>291</v>
      </c>
      <c r="L2530" s="9" t="str">
        <f t="shared" si="538"/>
        <v>O</v>
      </c>
      <c r="M2530" s="9" t="str">
        <f t="shared" si="542"/>
        <v>Input!O291</v>
      </c>
      <c r="N2530" s="9">
        <f>_xlfn.XLOOKUP(F2530,'Raw Data'!$I$4:$I$5000,'Raw Data'!$E$4:$E$5000,100,0)</f>
        <v>100</v>
      </c>
      <c r="O2530" s="9" t="str">
        <f>IF(N2530=0,_xlfn.XLOOKUP(F2530,'Raw Data'!$I$4:$I$5000,'Raw Data'!$H$4:$H$5000,"",0),"")</f>
        <v/>
      </c>
      <c r="P2530" s="9" t="str" cm="1">
        <f t="array" aca="1" ref="P2530" ca="1">IF(INDIRECT(M2530) = "","",INDIRECT(M2530))</f>
        <v/>
      </c>
      <c r="Q2530" s="359" t="s">
        <v>4380</v>
      </c>
    </row>
    <row r="2531" spans="1:17" x14ac:dyDescent="0.35">
      <c r="A2531" s="694" t="s">
        <v>4331</v>
      </c>
      <c r="E2531" t="str">
        <f>_xlfn.XLOOKUP(F2531,'Raw Data'!$I$4:$I$5000,'Raw Data'!$D$4:$D$5000,"*** Mnemonic not found ***",0)</f>
        <v>*** Mnemonic not found ***</v>
      </c>
      <c r="F2531" t="str">
        <f t="shared" si="540"/>
        <v>SUCMRUR4SFM_LESS1_C__</v>
      </c>
      <c r="H2531" s="9" t="s">
        <v>1137</v>
      </c>
      <c r="K2531" s="9">
        <f t="shared" si="539"/>
        <v>292</v>
      </c>
      <c r="L2531" s="9" t="str">
        <f t="shared" si="538"/>
        <v>O</v>
      </c>
      <c r="M2531" s="9" t="str">
        <f t="shared" si="542"/>
        <v>Input!O292</v>
      </c>
      <c r="N2531" s="9">
        <f>_xlfn.XLOOKUP(F2531,'Raw Data'!$I$4:$I$5000,'Raw Data'!$E$4:$E$5000,100,0)</f>
        <v>100</v>
      </c>
      <c r="O2531" s="9" t="str">
        <f>IF(N2531=0,_xlfn.XLOOKUP(F2531,'Raw Data'!$I$4:$I$5000,'Raw Data'!$H$4:$H$5000,"",0),"")</f>
        <v/>
      </c>
      <c r="P2531" s="9" t="str" cm="1">
        <f t="array" aca="1" ref="P2531" ca="1">IF(INDIRECT(M2531) = "","",INDIRECT(M2531))</f>
        <v/>
      </c>
      <c r="Q2531" s="359" t="s">
        <v>4380</v>
      </c>
    </row>
    <row r="2532" spans="1:17" x14ac:dyDescent="0.35">
      <c r="A2532" s="694" t="s">
        <v>4332</v>
      </c>
      <c r="E2532" t="str">
        <f>_xlfn.XLOOKUP(F2532,'Raw Data'!$I$4:$I$5000,'Raw Data'!$D$4:$D$5000,"*** Mnemonic not found ***",0)</f>
        <v>*** Mnemonic not found ***</v>
      </c>
      <c r="F2532" t="str">
        <f t="shared" si="540"/>
        <v>SUCMRUR4SFM_1TO5_C__</v>
      </c>
      <c r="H2532" s="9" t="s">
        <v>1137</v>
      </c>
      <c r="K2532" s="9">
        <f t="shared" si="539"/>
        <v>293</v>
      </c>
      <c r="L2532" s="9" t="str">
        <f t="shared" si="538"/>
        <v>O</v>
      </c>
      <c r="M2532" s="9" t="str">
        <f t="shared" si="542"/>
        <v>Input!O293</v>
      </c>
      <c r="N2532" s="9">
        <f>_xlfn.XLOOKUP(F2532,'Raw Data'!$I$4:$I$5000,'Raw Data'!$E$4:$E$5000,100,0)</f>
        <v>100</v>
      </c>
      <c r="O2532" s="9" t="str">
        <f>IF(N2532=0,_xlfn.XLOOKUP(F2532,'Raw Data'!$I$4:$I$5000,'Raw Data'!$H$4:$H$5000,"",0),"")</f>
        <v/>
      </c>
      <c r="P2532" s="9" t="str" cm="1">
        <f t="array" aca="1" ref="P2532" ca="1">IF(INDIRECT(M2532) = "","",INDIRECT(M2532))</f>
        <v/>
      </c>
      <c r="Q2532" s="359" t="s">
        <v>4380</v>
      </c>
    </row>
    <row r="2533" spans="1:17" x14ac:dyDescent="0.35">
      <c r="A2533" s="694" t="s">
        <v>4333</v>
      </c>
      <c r="E2533" t="str">
        <f>_xlfn.XLOOKUP(F2533,'Raw Data'!$I$4:$I$5000,'Raw Data'!$D$4:$D$5000,"*** Mnemonic not found ***",0)</f>
        <v>*** Mnemonic not found ***</v>
      </c>
      <c r="F2533" t="str">
        <f t="shared" si="540"/>
        <v>SUCMRUR4SFM_5TO10_C__</v>
      </c>
      <c r="H2533" s="9" t="s">
        <v>1137</v>
      </c>
      <c r="K2533" s="9">
        <f t="shared" si="539"/>
        <v>294</v>
      </c>
      <c r="L2533" s="9" t="str">
        <f t="shared" si="538"/>
        <v>O</v>
      </c>
      <c r="M2533" s="9" t="str">
        <f t="shared" si="542"/>
        <v>Input!O294</v>
      </c>
      <c r="N2533" s="9">
        <f>_xlfn.XLOOKUP(F2533,'Raw Data'!$I$4:$I$5000,'Raw Data'!$E$4:$E$5000,100,0)</f>
        <v>100</v>
      </c>
      <c r="O2533" s="9" t="str">
        <f>IF(N2533=0,_xlfn.XLOOKUP(F2533,'Raw Data'!$I$4:$I$5000,'Raw Data'!$H$4:$H$5000,"",0),"")</f>
        <v/>
      </c>
      <c r="P2533" s="9" t="str" cm="1">
        <f t="array" aca="1" ref="P2533" ca="1">IF(INDIRECT(M2533) = "","",INDIRECT(M2533))</f>
        <v/>
      </c>
      <c r="Q2533" s="359" t="s">
        <v>4380</v>
      </c>
    </row>
    <row r="2534" spans="1:17" x14ac:dyDescent="0.35">
      <c r="A2534" s="694" t="s">
        <v>4334</v>
      </c>
      <c r="E2534" t="str">
        <f>_xlfn.XLOOKUP(F2534,'Raw Data'!$I$4:$I$5000,'Raw Data'!$D$4:$D$5000,"*** Mnemonic not found ***",0)</f>
        <v>*** Mnemonic not found ***</v>
      </c>
      <c r="F2534" t="str">
        <f t="shared" si="540"/>
        <v>SUCMRUR4SFM_10TO20_C__</v>
      </c>
      <c r="H2534" s="9" t="s">
        <v>1137</v>
      </c>
      <c r="K2534" s="9">
        <f t="shared" si="539"/>
        <v>295</v>
      </c>
      <c r="L2534" s="9" t="str">
        <f t="shared" si="538"/>
        <v>O</v>
      </c>
      <c r="M2534" s="9" t="str">
        <f t="shared" si="542"/>
        <v>Input!O295</v>
      </c>
      <c r="N2534" s="9">
        <f>_xlfn.XLOOKUP(F2534,'Raw Data'!$I$4:$I$5000,'Raw Data'!$E$4:$E$5000,100,0)</f>
        <v>100</v>
      </c>
      <c r="O2534" s="9" t="str">
        <f>IF(N2534=0,_xlfn.XLOOKUP(F2534,'Raw Data'!$I$4:$I$5000,'Raw Data'!$H$4:$H$5000,"",0),"")</f>
        <v/>
      </c>
      <c r="P2534" s="9" t="str" cm="1">
        <f t="array" aca="1" ref="P2534" ca="1">IF(INDIRECT(M2534) = "","",INDIRECT(M2534))</f>
        <v/>
      </c>
      <c r="Q2534" s="359" t="s">
        <v>4380</v>
      </c>
    </row>
    <row r="2535" spans="1:17" x14ac:dyDescent="0.35">
      <c r="A2535" s="694" t="s">
        <v>4335</v>
      </c>
      <c r="E2535" t="str">
        <f>_xlfn.XLOOKUP(F2535,'Raw Data'!$I$4:$I$5000,'Raw Data'!$D$4:$D$5000,"*** Mnemonic not found ***",0)</f>
        <v>*** Mnemonic not found ***</v>
      </c>
      <c r="F2535" t="str">
        <f t="shared" si="540"/>
        <v>SUCMRUR4SFM_GRTR20_C__</v>
      </c>
      <c r="H2535" s="9" t="s">
        <v>1137</v>
      </c>
      <c r="K2535" s="9">
        <f t="shared" si="539"/>
        <v>296</v>
      </c>
      <c r="L2535" s="9" t="str">
        <f t="shared" si="538"/>
        <v>O</v>
      </c>
      <c r="M2535" s="9" t="str">
        <f t="shared" si="542"/>
        <v>Input!O296</v>
      </c>
      <c r="N2535" s="9">
        <f>_xlfn.XLOOKUP(F2535,'Raw Data'!$I$4:$I$5000,'Raw Data'!$E$4:$E$5000,100,0)</f>
        <v>100</v>
      </c>
      <c r="O2535" s="9" t="str">
        <f>IF(N2535=0,_xlfn.XLOOKUP(F2535,'Raw Data'!$I$4:$I$5000,'Raw Data'!$H$4:$H$5000,"",0),"")</f>
        <v/>
      </c>
      <c r="P2535" s="9" t="str" cm="1">
        <f t="array" aca="1" ref="P2535" ca="1">IF(INDIRECT(M2535) = "","",INDIRECT(M2535))</f>
        <v/>
      </c>
      <c r="Q2535" s="359" t="s">
        <v>4380</v>
      </c>
    </row>
    <row r="2536" spans="1:17" x14ac:dyDescent="0.35">
      <c r="A2536" s="694" t="s">
        <v>4336</v>
      </c>
      <c r="E2536" t="str">
        <f>_xlfn.XLOOKUP(F2536,'Raw Data'!$I$4:$I$5000,'Raw Data'!$D$4:$D$5000,"*** Mnemonic not found ***",0)</f>
        <v>*** Mnemonic not found ***</v>
      </c>
      <c r="F2536" t="str">
        <f t="shared" si="540"/>
        <v>SUCMRUR4SFJTOT_C__</v>
      </c>
      <c r="H2536" s="9" t="s">
        <v>1137</v>
      </c>
      <c r="K2536" s="9">
        <f>K2535+3</f>
        <v>299</v>
      </c>
      <c r="L2536" s="9" t="str">
        <f>L2535</f>
        <v>O</v>
      </c>
      <c r="M2536" s="9" t="str">
        <f t="shared" ref="M2536:M2543" si="543">CONCATENATE(H2536,"!",L2536,K2536)</f>
        <v>Input!O299</v>
      </c>
      <c r="N2536" s="9">
        <f>_xlfn.XLOOKUP(F2536,'Raw Data'!$I$4:$I$5000,'Raw Data'!$E$4:$E$5000,100,0)</f>
        <v>100</v>
      </c>
      <c r="O2536" s="9" t="str">
        <f>IF(N2536=0,_xlfn.XLOOKUP(F2536,'Raw Data'!$I$4:$I$5000,'Raw Data'!$H$4:$H$5000,"",0),"")</f>
        <v/>
      </c>
      <c r="P2536" s="9" t="str" cm="1">
        <f t="array" aca="1" ref="P2536" ca="1">IF(INDIRECT(M2536) = "","",INDIRECT(M2536))</f>
        <v/>
      </c>
      <c r="Q2536" s="359" t="s">
        <v>4380</v>
      </c>
    </row>
    <row r="2537" spans="1:17" x14ac:dyDescent="0.35">
      <c r="A2537" s="694" t="s">
        <v>4337</v>
      </c>
      <c r="E2537" t="str">
        <f>_xlfn.XLOOKUP(F2537,'Raw Data'!$I$4:$I$5000,'Raw Data'!$D$4:$D$5000,"*** Mnemonic not found ***",0)</f>
        <v>*** Mnemonic not found ***</v>
      </c>
      <c r="F2537" t="str">
        <f t="shared" si="540"/>
        <v>SUCMRUR4SFJERG_C__</v>
      </c>
      <c r="H2537" s="9" t="s">
        <v>1137</v>
      </c>
      <c r="K2537" s="9">
        <f t="shared" si="539"/>
        <v>300</v>
      </c>
      <c r="L2537" s="9" t="str">
        <f t="shared" si="538"/>
        <v>O</v>
      </c>
      <c r="M2537" s="9" t="str">
        <f t="shared" si="543"/>
        <v>Input!O300</v>
      </c>
      <c r="N2537" s="9">
        <f>_xlfn.XLOOKUP(F2537,'Raw Data'!$I$4:$I$5000,'Raw Data'!$E$4:$E$5000,100,0)</f>
        <v>100</v>
      </c>
      <c r="O2537" s="9" t="str">
        <f>IF(N2537=0,_xlfn.XLOOKUP(F2537,'Raw Data'!$I$4:$I$5000,'Raw Data'!$H$4:$H$5000,"",0),"")</f>
        <v/>
      </c>
      <c r="P2537" s="9" t="str" cm="1">
        <f t="array" aca="1" ref="P2537" ca="1">IF(INDIRECT(M2537) = "","",INDIRECT(M2537))</f>
        <v/>
      </c>
      <c r="Q2537" s="359" t="s">
        <v>4380</v>
      </c>
    </row>
    <row r="2538" spans="1:17" x14ac:dyDescent="0.35">
      <c r="A2538" s="694" t="s">
        <v>4338</v>
      </c>
      <c r="E2538" t="str">
        <f>_xlfn.XLOOKUP(F2538,'Raw Data'!$I$4:$I$5000,'Raw Data'!$D$4:$D$5000,"*** Mnemonic not found ***",0)</f>
        <v>*** Mnemonic not found ***</v>
      </c>
      <c r="F2538" t="str">
        <f t="shared" si="540"/>
        <v>SUCMRUR4SFJYRS_C__</v>
      </c>
      <c r="H2538" s="9" t="s">
        <v>1137</v>
      </c>
      <c r="K2538" s="9">
        <f t="shared" si="539"/>
        <v>301</v>
      </c>
      <c r="L2538" s="9" t="str">
        <f t="shared" si="538"/>
        <v>O</v>
      </c>
      <c r="M2538" s="9" t="str">
        <f t="shared" si="543"/>
        <v>Input!O301</v>
      </c>
      <c r="N2538" s="9">
        <f>_xlfn.XLOOKUP(F2538,'Raw Data'!$I$4:$I$5000,'Raw Data'!$E$4:$E$5000,100,0)</f>
        <v>100</v>
      </c>
      <c r="O2538" s="9" t="str">
        <f>IF(N2538=0,_xlfn.XLOOKUP(F2538,'Raw Data'!$I$4:$I$5000,'Raw Data'!$H$4:$H$5000,"",0),"")</f>
        <v/>
      </c>
      <c r="P2538" s="9" t="str" cm="1">
        <f t="array" aca="1" ref="P2538" ca="1">IF(INDIRECT(M2538) = "","",INDIRECT(M2538))</f>
        <v/>
      </c>
      <c r="Q2538" s="359" t="s">
        <v>4380</v>
      </c>
    </row>
    <row r="2539" spans="1:17" x14ac:dyDescent="0.35">
      <c r="A2539" s="694" t="s">
        <v>4339</v>
      </c>
      <c r="E2539" t="str">
        <f>_xlfn.XLOOKUP(F2539,'Raw Data'!$I$4:$I$5000,'Raw Data'!$D$4:$D$5000,"*** Mnemonic not found ***",0)</f>
        <v>*** Mnemonic not found ***</v>
      </c>
      <c r="F2539" t="str">
        <f t="shared" si="540"/>
        <v>SUCMRUR4SFJ_LESS1_C__</v>
      </c>
      <c r="H2539" s="9" t="s">
        <v>1137</v>
      </c>
      <c r="K2539" s="9">
        <f t="shared" si="539"/>
        <v>302</v>
      </c>
      <c r="L2539" s="9" t="str">
        <f t="shared" si="538"/>
        <v>O</v>
      </c>
      <c r="M2539" s="9" t="str">
        <f t="shared" si="543"/>
        <v>Input!O302</v>
      </c>
      <c r="N2539" s="9">
        <f>_xlfn.XLOOKUP(F2539,'Raw Data'!$I$4:$I$5000,'Raw Data'!$E$4:$E$5000,100,0)</f>
        <v>100</v>
      </c>
      <c r="O2539" s="9" t="str">
        <f>IF(N2539=0,_xlfn.XLOOKUP(F2539,'Raw Data'!$I$4:$I$5000,'Raw Data'!$H$4:$H$5000,"",0),"")</f>
        <v/>
      </c>
      <c r="P2539" s="9" t="str" cm="1">
        <f t="array" aca="1" ref="P2539" ca="1">IF(INDIRECT(M2539) = "","",INDIRECT(M2539))</f>
        <v/>
      </c>
      <c r="Q2539" s="359" t="s">
        <v>4380</v>
      </c>
    </row>
    <row r="2540" spans="1:17" x14ac:dyDescent="0.35">
      <c r="A2540" s="694" t="s">
        <v>4340</v>
      </c>
      <c r="E2540" t="str">
        <f>_xlfn.XLOOKUP(F2540,'Raw Data'!$I$4:$I$5000,'Raw Data'!$D$4:$D$5000,"*** Mnemonic not found ***",0)</f>
        <v>*** Mnemonic not found ***</v>
      </c>
      <c r="F2540" t="str">
        <f t="shared" si="540"/>
        <v>SUCMRUR4SFJ_1TO5_C__</v>
      </c>
      <c r="H2540" s="9" t="s">
        <v>1137</v>
      </c>
      <c r="K2540" s="9">
        <f t="shared" si="539"/>
        <v>303</v>
      </c>
      <c r="L2540" s="9" t="str">
        <f t="shared" si="538"/>
        <v>O</v>
      </c>
      <c r="M2540" s="9" t="str">
        <f t="shared" si="543"/>
        <v>Input!O303</v>
      </c>
      <c r="N2540" s="9">
        <f>_xlfn.XLOOKUP(F2540,'Raw Data'!$I$4:$I$5000,'Raw Data'!$E$4:$E$5000,100,0)</f>
        <v>100</v>
      </c>
      <c r="O2540" s="9" t="str">
        <f>IF(N2540=0,_xlfn.XLOOKUP(F2540,'Raw Data'!$I$4:$I$5000,'Raw Data'!$H$4:$H$5000,"",0),"")</f>
        <v/>
      </c>
      <c r="P2540" s="9" t="str" cm="1">
        <f t="array" aca="1" ref="P2540" ca="1">IF(INDIRECT(M2540) = "","",INDIRECT(M2540))</f>
        <v/>
      </c>
      <c r="Q2540" s="359" t="s">
        <v>4380</v>
      </c>
    </row>
    <row r="2541" spans="1:17" x14ac:dyDescent="0.35">
      <c r="A2541" s="694" t="s">
        <v>4341</v>
      </c>
      <c r="E2541" t="str">
        <f>_xlfn.XLOOKUP(F2541,'Raw Data'!$I$4:$I$5000,'Raw Data'!$D$4:$D$5000,"*** Mnemonic not found ***",0)</f>
        <v>*** Mnemonic not found ***</v>
      </c>
      <c r="F2541" t="str">
        <f t="shared" si="540"/>
        <v>SUCMRUR4SFJ_5TO10_C__</v>
      </c>
      <c r="H2541" s="9" t="s">
        <v>1137</v>
      </c>
      <c r="K2541" s="9">
        <f t="shared" si="539"/>
        <v>304</v>
      </c>
      <c r="L2541" s="9" t="str">
        <f t="shared" si="538"/>
        <v>O</v>
      </c>
      <c r="M2541" s="9" t="str">
        <f t="shared" si="543"/>
        <v>Input!O304</v>
      </c>
      <c r="N2541" s="9">
        <f>_xlfn.XLOOKUP(F2541,'Raw Data'!$I$4:$I$5000,'Raw Data'!$E$4:$E$5000,100,0)</f>
        <v>100</v>
      </c>
      <c r="O2541" s="9" t="str">
        <f>IF(N2541=0,_xlfn.XLOOKUP(F2541,'Raw Data'!$I$4:$I$5000,'Raw Data'!$H$4:$H$5000,"",0),"")</f>
        <v/>
      </c>
      <c r="P2541" s="9" t="str" cm="1">
        <f t="array" aca="1" ref="P2541" ca="1">IF(INDIRECT(M2541) = "","",INDIRECT(M2541))</f>
        <v/>
      </c>
      <c r="Q2541" s="359" t="s">
        <v>4380</v>
      </c>
    </row>
    <row r="2542" spans="1:17" x14ac:dyDescent="0.35">
      <c r="A2542" s="694" t="s">
        <v>4342</v>
      </c>
      <c r="E2542" t="str">
        <f>_xlfn.XLOOKUP(F2542,'Raw Data'!$I$4:$I$5000,'Raw Data'!$D$4:$D$5000,"*** Mnemonic not found ***",0)</f>
        <v>*** Mnemonic not found ***</v>
      </c>
      <c r="F2542" t="str">
        <f t="shared" si="540"/>
        <v>SUCMRUR4SFJ_10TO20_C__</v>
      </c>
      <c r="H2542" s="9" t="s">
        <v>1137</v>
      </c>
      <c r="K2542" s="9">
        <f t="shared" si="539"/>
        <v>305</v>
      </c>
      <c r="L2542" s="9" t="str">
        <f t="shared" si="538"/>
        <v>O</v>
      </c>
      <c r="M2542" s="9" t="str">
        <f t="shared" si="543"/>
        <v>Input!O305</v>
      </c>
      <c r="N2542" s="9">
        <f>_xlfn.XLOOKUP(F2542,'Raw Data'!$I$4:$I$5000,'Raw Data'!$E$4:$E$5000,100,0)</f>
        <v>100</v>
      </c>
      <c r="O2542" s="9" t="str">
        <f>IF(N2542=0,_xlfn.XLOOKUP(F2542,'Raw Data'!$I$4:$I$5000,'Raw Data'!$H$4:$H$5000,"",0),"")</f>
        <v/>
      </c>
      <c r="P2542" s="9" t="str" cm="1">
        <f t="array" aca="1" ref="P2542" ca="1">IF(INDIRECT(M2542) = "","",INDIRECT(M2542))</f>
        <v/>
      </c>
      <c r="Q2542" s="359" t="s">
        <v>4380</v>
      </c>
    </row>
    <row r="2543" spans="1:17" x14ac:dyDescent="0.35">
      <c r="A2543" s="694" t="s">
        <v>4343</v>
      </c>
      <c r="E2543" t="str">
        <f>_xlfn.XLOOKUP(F2543,'Raw Data'!$I$4:$I$5000,'Raw Data'!$D$4:$D$5000,"*** Mnemonic not found ***",0)</f>
        <v>*** Mnemonic not found ***</v>
      </c>
      <c r="F2543" t="str">
        <f t="shared" si="540"/>
        <v>SUCMRUR4SFJ_GRTR20_C__</v>
      </c>
      <c r="H2543" s="9" t="s">
        <v>1137</v>
      </c>
      <c r="K2543" s="9">
        <f t="shared" si="539"/>
        <v>306</v>
      </c>
      <c r="L2543" s="9" t="str">
        <f t="shared" si="538"/>
        <v>O</v>
      </c>
      <c r="M2543" s="9" t="str">
        <f t="shared" si="543"/>
        <v>Input!O306</v>
      </c>
      <c r="N2543" s="9">
        <f>_xlfn.XLOOKUP(F2543,'Raw Data'!$I$4:$I$5000,'Raw Data'!$E$4:$E$5000,100,0)</f>
        <v>100</v>
      </c>
      <c r="O2543" s="9" t="str">
        <f>IF(N2543=0,_xlfn.XLOOKUP(F2543,'Raw Data'!$I$4:$I$5000,'Raw Data'!$H$4:$H$5000,"",0),"")</f>
        <v/>
      </c>
      <c r="P2543" s="9" t="str" cm="1">
        <f t="array" aca="1" ref="P2543" ca="1">IF(INDIRECT(M2543) = "","",INDIRECT(M2543))</f>
        <v/>
      </c>
      <c r="Q2543" s="359" t="s">
        <v>4380</v>
      </c>
    </row>
    <row r="2544" spans="1:17" x14ac:dyDescent="0.35">
      <c r="A2544" t="s">
        <v>3305</v>
      </c>
      <c r="E2544" t="str">
        <f>_xlfn.XLOOKUP(F2544,'Raw Data'!$I$4:$I$5000,'Raw Data'!$D$4:$D$5000,"*** Mnemonic not found ***",0)</f>
        <v>*** Mnemonic not found ***</v>
      </c>
      <c r="F2544" t="str">
        <f t="shared" si="540"/>
        <v>SUCMERGMRCNFC_C__</v>
      </c>
      <c r="G2544" t="s">
        <v>4449</v>
      </c>
      <c r="H2544" s="9" t="s">
        <v>1137</v>
      </c>
      <c r="I2544" s="289">
        <f>ROW(section_erg_to_rtg_map)</f>
        <v>309</v>
      </c>
      <c r="J2544" s="9">
        <v>4</v>
      </c>
      <c r="K2544" s="9">
        <f>I2544+J2544</f>
        <v>313</v>
      </c>
      <c r="L2544" s="9" t="str">
        <f>L2527</f>
        <v>O</v>
      </c>
      <c r="M2544" s="9" t="str">
        <f t="shared" si="541"/>
        <v>Input!O313</v>
      </c>
      <c r="N2544" s="9">
        <f>_xlfn.XLOOKUP(F2544,'Raw Data'!$I$4:$I$5000,'Raw Data'!$E$4:$E$5000,100,0)</f>
        <v>100</v>
      </c>
      <c r="O2544" s="9" t="str">
        <f>IF(N2544=0,_xlfn.XLOOKUP(F2544,'Raw Data'!$I$4:$I$5000,'Raw Data'!$H$4:$H$5000,"",0),"")</f>
        <v/>
      </c>
      <c r="P2544" s="9" t="str" cm="1">
        <f t="array" aca="1" ref="P2544" ca="1">IF(INDIRECT(M2544) = "","",INDIRECT(M2544))</f>
        <v/>
      </c>
      <c r="Q2544" s="359" t="s">
        <v>4380</v>
      </c>
    </row>
    <row r="2545" spans="1:17" x14ac:dyDescent="0.35">
      <c r="A2545" t="s">
        <v>3306</v>
      </c>
      <c r="E2545" t="str">
        <f>_xlfn.XLOOKUP(F2545,'Raw Data'!$I$4:$I$5000,'Raw Data'!$D$4:$D$5000,"*** Mnemonic not found ***",0)</f>
        <v>*** Mnemonic not found ***</v>
      </c>
      <c r="F2545" t="str">
        <f t="shared" si="540"/>
        <v>SUCMERGADJNFC_C__</v>
      </c>
      <c r="H2545" s="9" t="s">
        <v>1137</v>
      </c>
      <c r="K2545" s="9">
        <f>K2544+1</f>
        <v>314</v>
      </c>
      <c r="L2545" s="9" t="str">
        <f t="shared" si="538"/>
        <v>O</v>
      </c>
      <c r="M2545" s="9" t="str">
        <f t="shared" si="541"/>
        <v>Input!O314</v>
      </c>
      <c r="N2545" s="9">
        <f>_xlfn.XLOOKUP(F2545,'Raw Data'!$I$4:$I$5000,'Raw Data'!$E$4:$E$5000,100,0)</f>
        <v>100</v>
      </c>
      <c r="O2545" s="9" t="str">
        <f>IF(N2545=0,_xlfn.XLOOKUP(F2545,'Raw Data'!$I$4:$I$5000,'Raw Data'!$H$4:$H$5000,"",0),"")</f>
        <v/>
      </c>
      <c r="P2545" s="9" t="str" cm="1">
        <f t="array" aca="1" ref="P2545" ca="1">IF(INDIRECT(M2545) = "","",INDIRECT(M2545))</f>
        <v/>
      </c>
      <c r="Q2545" s="359" t="s">
        <v>4380</v>
      </c>
    </row>
    <row r="2546" spans="1:17" x14ac:dyDescent="0.35">
      <c r="A2546" t="s">
        <v>3307</v>
      </c>
      <c r="E2546" t="str">
        <f>_xlfn.XLOOKUP(F2546,'Raw Data'!$I$4:$I$5000,'Raw Data'!$D$4:$D$5000,"*** Mnemonic not found ***",0)</f>
        <v>*** Mnemonic not found ***</v>
      </c>
      <c r="F2546" t="str">
        <f t="shared" si="540"/>
        <v>SUCMERGARBNFC_C__</v>
      </c>
      <c r="H2546" s="9" t="s">
        <v>1137</v>
      </c>
      <c r="K2546" s="9">
        <f t="shared" ref="K2546:K2561" si="544">K2545+1</f>
        <v>315</v>
      </c>
      <c r="L2546" s="9" t="str">
        <f t="shared" si="538"/>
        <v>O</v>
      </c>
      <c r="M2546" s="9" t="str">
        <f t="shared" si="541"/>
        <v>Input!O315</v>
      </c>
      <c r="N2546" s="9">
        <f>_xlfn.XLOOKUP(F2546,'Raw Data'!$I$4:$I$5000,'Raw Data'!$E$4:$E$5000,100,0)</f>
        <v>100</v>
      </c>
      <c r="O2546" s="9" t="str">
        <f>IF(N2546=0,_xlfn.XLOOKUP(F2546,'Raw Data'!$I$4:$I$5000,'Raw Data'!$H$4:$H$5000,"",0),"")</f>
        <v/>
      </c>
      <c r="P2546" s="9" t="str" cm="1">
        <f t="array" aca="1" ref="P2546" ca="1">IF(INDIRECT(M2546) = "","",INDIRECT(M2546))</f>
        <v/>
      </c>
      <c r="Q2546" s="359" t="s">
        <v>4380</v>
      </c>
    </row>
    <row r="2547" spans="1:17" x14ac:dyDescent="0.35">
      <c r="A2547" t="s">
        <v>3308</v>
      </c>
      <c r="E2547" t="str">
        <f>_xlfn.XLOOKUP(F2547,'Raw Data'!$I$4:$I$5000,'Raw Data'!$D$4:$D$5000,"*** Mnemonic not found ***",0)</f>
        <v>*** Mnemonic not found ***</v>
      </c>
      <c r="F2547" t="str">
        <f t="shared" si="540"/>
        <v>SUCMERGMRCFIN_C__</v>
      </c>
      <c r="H2547" s="9" t="s">
        <v>1137</v>
      </c>
      <c r="K2547" s="9">
        <f>K2546+2</f>
        <v>317</v>
      </c>
      <c r="L2547" s="9" t="str">
        <f t="shared" si="538"/>
        <v>O</v>
      </c>
      <c r="M2547" s="9" t="str">
        <f t="shared" si="541"/>
        <v>Input!O317</v>
      </c>
      <c r="N2547" s="9">
        <f>_xlfn.XLOOKUP(F2547,'Raw Data'!$I$4:$I$5000,'Raw Data'!$E$4:$E$5000,100,0)</f>
        <v>100</v>
      </c>
      <c r="O2547" s="9" t="str">
        <f>IF(N2547=0,_xlfn.XLOOKUP(F2547,'Raw Data'!$I$4:$I$5000,'Raw Data'!$H$4:$H$5000,"",0),"")</f>
        <v/>
      </c>
      <c r="P2547" s="9" t="str" cm="1">
        <f t="array" aca="1" ref="P2547" ca="1">IF(INDIRECT(M2547) = "","",INDIRECT(M2547))</f>
        <v/>
      </c>
      <c r="Q2547" s="359" t="s">
        <v>4380</v>
      </c>
    </row>
    <row r="2548" spans="1:17" x14ac:dyDescent="0.35">
      <c r="A2548" t="s">
        <v>3309</v>
      </c>
      <c r="E2548" t="str">
        <f>_xlfn.XLOOKUP(F2548,'Raw Data'!$I$4:$I$5000,'Raw Data'!$D$4:$D$5000,"*** Mnemonic not found ***",0)</f>
        <v>*** Mnemonic not found ***</v>
      </c>
      <c r="F2548" t="str">
        <f t="shared" si="540"/>
        <v>SUCMERGADJFIN_C__</v>
      </c>
      <c r="H2548" s="9" t="s">
        <v>1137</v>
      </c>
      <c r="K2548" s="9">
        <f t="shared" si="544"/>
        <v>318</v>
      </c>
      <c r="L2548" s="9" t="str">
        <f t="shared" si="538"/>
        <v>O</v>
      </c>
      <c r="M2548" s="9" t="str">
        <f t="shared" si="541"/>
        <v>Input!O318</v>
      </c>
      <c r="N2548" s="9">
        <f>_xlfn.XLOOKUP(F2548,'Raw Data'!$I$4:$I$5000,'Raw Data'!$E$4:$E$5000,100,0)</f>
        <v>100</v>
      </c>
      <c r="O2548" s="9" t="str">
        <f>IF(N2548=0,_xlfn.XLOOKUP(F2548,'Raw Data'!$I$4:$I$5000,'Raw Data'!$H$4:$H$5000,"",0),"")</f>
        <v/>
      </c>
      <c r="P2548" s="9" t="str" cm="1">
        <f t="array" aca="1" ref="P2548" ca="1">IF(INDIRECT(M2548) = "","",INDIRECT(M2548))</f>
        <v/>
      </c>
      <c r="Q2548" s="359" t="s">
        <v>4380</v>
      </c>
    </row>
    <row r="2549" spans="1:17" x14ac:dyDescent="0.35">
      <c r="A2549" t="s">
        <v>3310</v>
      </c>
      <c r="E2549" t="str">
        <f>_xlfn.XLOOKUP(F2549,'Raw Data'!$I$4:$I$5000,'Raw Data'!$D$4:$D$5000,"*** Mnemonic not found ***",0)</f>
        <v>*** Mnemonic not found ***</v>
      </c>
      <c r="F2549" t="str">
        <f t="shared" si="540"/>
        <v>SUCMERGARBFIN_C__</v>
      </c>
      <c r="H2549" s="9" t="s">
        <v>1137</v>
      </c>
      <c r="K2549" s="9">
        <f t="shared" si="544"/>
        <v>319</v>
      </c>
      <c r="L2549" s="9" t="str">
        <f t="shared" ref="L2549:L2595" si="545">L2548</f>
        <v>O</v>
      </c>
      <c r="M2549" s="9" t="str">
        <f t="shared" si="541"/>
        <v>Input!O319</v>
      </c>
      <c r="N2549" s="9">
        <f>_xlfn.XLOOKUP(F2549,'Raw Data'!$I$4:$I$5000,'Raw Data'!$E$4:$E$5000,100,0)</f>
        <v>100</v>
      </c>
      <c r="O2549" s="9" t="str">
        <f>IF(N2549=0,_xlfn.XLOOKUP(F2549,'Raw Data'!$I$4:$I$5000,'Raw Data'!$H$4:$H$5000,"",0),"")</f>
        <v/>
      </c>
      <c r="P2549" s="9" t="str" cm="1">
        <f t="array" aca="1" ref="P2549" ca="1">IF(INDIRECT(M2549) = "","",INDIRECT(M2549))</f>
        <v/>
      </c>
      <c r="Q2549" s="359" t="s">
        <v>4380</v>
      </c>
    </row>
    <row r="2550" spans="1:17" x14ac:dyDescent="0.35">
      <c r="A2550" t="s">
        <v>3311</v>
      </c>
      <c r="E2550" t="str">
        <f>_xlfn.XLOOKUP(F2550,'Raw Data'!$I$4:$I$5000,'Raw Data'!$D$4:$D$5000,"*** Mnemonic not found ***",0)</f>
        <v>*** Mnemonic not found ***</v>
      </c>
      <c r="F2550" t="str">
        <f t="shared" si="540"/>
        <v>SUCMERGMRCSOVER_C__</v>
      </c>
      <c r="H2550" s="9" t="s">
        <v>1137</v>
      </c>
      <c r="K2550" s="9">
        <f>K2549+2</f>
        <v>321</v>
      </c>
      <c r="L2550" s="9" t="str">
        <f t="shared" si="545"/>
        <v>O</v>
      </c>
      <c r="M2550" s="9" t="str">
        <f t="shared" si="541"/>
        <v>Input!O321</v>
      </c>
      <c r="N2550" s="9">
        <f>_xlfn.XLOOKUP(F2550,'Raw Data'!$I$4:$I$5000,'Raw Data'!$E$4:$E$5000,100,0)</f>
        <v>100</v>
      </c>
      <c r="O2550" s="9" t="str">
        <f>IF(N2550=0,_xlfn.XLOOKUP(F2550,'Raw Data'!$I$4:$I$5000,'Raw Data'!$H$4:$H$5000,"",0),"")</f>
        <v/>
      </c>
      <c r="P2550" s="9" t="str" cm="1">
        <f t="array" aca="1" ref="P2550" ca="1">IF(INDIRECT(M2550) = "","",INDIRECT(M2550))</f>
        <v/>
      </c>
      <c r="Q2550" s="359" t="s">
        <v>4380</v>
      </c>
    </row>
    <row r="2551" spans="1:17" x14ac:dyDescent="0.35">
      <c r="A2551" t="s">
        <v>3312</v>
      </c>
      <c r="E2551" t="str">
        <f>_xlfn.XLOOKUP(F2551,'Raw Data'!$I$4:$I$5000,'Raw Data'!$D$4:$D$5000,"*** Mnemonic not found ***",0)</f>
        <v>*** Mnemonic not found ***</v>
      </c>
      <c r="F2551" t="str">
        <f t="shared" si="540"/>
        <v>SUCMERGADJSOVER_C__</v>
      </c>
      <c r="H2551" s="9" t="s">
        <v>1137</v>
      </c>
      <c r="K2551" s="9">
        <f t="shared" si="544"/>
        <v>322</v>
      </c>
      <c r="L2551" s="9" t="str">
        <f t="shared" si="545"/>
        <v>O</v>
      </c>
      <c r="M2551" s="9" t="str">
        <f t="shared" si="541"/>
        <v>Input!O322</v>
      </c>
      <c r="N2551" s="9">
        <f>_xlfn.XLOOKUP(F2551,'Raw Data'!$I$4:$I$5000,'Raw Data'!$E$4:$E$5000,100,0)</f>
        <v>100</v>
      </c>
      <c r="O2551" s="9" t="str">
        <f>IF(N2551=0,_xlfn.XLOOKUP(F2551,'Raw Data'!$I$4:$I$5000,'Raw Data'!$H$4:$H$5000,"",0),"")</f>
        <v/>
      </c>
      <c r="P2551" s="9" t="str" cm="1">
        <f t="array" aca="1" ref="P2551" ca="1">IF(INDIRECT(M2551) = "","",INDIRECT(M2551))</f>
        <v/>
      </c>
      <c r="Q2551" s="359" t="s">
        <v>4380</v>
      </c>
    </row>
    <row r="2552" spans="1:17" x14ac:dyDescent="0.35">
      <c r="A2552" t="s">
        <v>3313</v>
      </c>
      <c r="E2552" t="str">
        <f>_xlfn.XLOOKUP(F2552,'Raw Data'!$I$4:$I$5000,'Raw Data'!$D$4:$D$5000,"*** Mnemonic not found ***",0)</f>
        <v>*** Mnemonic not found ***</v>
      </c>
      <c r="F2552" t="str">
        <f t="shared" si="540"/>
        <v>SUCMERGARBSOVER_C__</v>
      </c>
      <c r="H2552" s="9" t="s">
        <v>1137</v>
      </c>
      <c r="K2552" s="9">
        <f t="shared" si="544"/>
        <v>323</v>
      </c>
      <c r="L2552" s="9" t="str">
        <f t="shared" si="545"/>
        <v>O</v>
      </c>
      <c r="M2552" s="9" t="str">
        <f t="shared" si="541"/>
        <v>Input!O323</v>
      </c>
      <c r="N2552" s="9">
        <f>_xlfn.XLOOKUP(F2552,'Raw Data'!$I$4:$I$5000,'Raw Data'!$E$4:$E$5000,100,0)</f>
        <v>100</v>
      </c>
      <c r="O2552" s="9" t="str">
        <f>IF(N2552=0,_xlfn.XLOOKUP(F2552,'Raw Data'!$I$4:$I$5000,'Raw Data'!$H$4:$H$5000,"",0),"")</f>
        <v/>
      </c>
      <c r="P2552" s="9" t="str" cm="1">
        <f t="array" aca="1" ref="P2552" ca="1">IF(INDIRECT(M2552) = "","",INDIRECT(M2552))</f>
        <v/>
      </c>
      <c r="Q2552" s="359" t="s">
        <v>4380</v>
      </c>
    </row>
    <row r="2553" spans="1:17" x14ac:dyDescent="0.35">
      <c r="A2553" t="s">
        <v>3314</v>
      </c>
      <c r="E2553" t="str">
        <f>_xlfn.XLOOKUP(F2553,'Raw Data'!$I$4:$I$5000,'Raw Data'!$D$4:$D$5000,"*** Mnemonic not found ***",0)</f>
        <v>*** Mnemonic not found ***</v>
      </c>
      <c r="F2553" t="str">
        <f t="shared" si="540"/>
        <v>SUCMERGMRCSF_C__</v>
      </c>
      <c r="H2553" s="9" t="s">
        <v>1137</v>
      </c>
      <c r="K2553" s="9">
        <f>K2552+2</f>
        <v>325</v>
      </c>
      <c r="L2553" s="9" t="str">
        <f t="shared" si="545"/>
        <v>O</v>
      </c>
      <c r="M2553" s="9" t="str">
        <f t="shared" si="541"/>
        <v>Input!O325</v>
      </c>
      <c r="N2553" s="9">
        <f>_xlfn.XLOOKUP(F2553,'Raw Data'!$I$4:$I$5000,'Raw Data'!$E$4:$E$5000,100,0)</f>
        <v>100</v>
      </c>
      <c r="O2553" s="9" t="str">
        <f>IF(N2553=0,_xlfn.XLOOKUP(F2553,'Raw Data'!$I$4:$I$5000,'Raw Data'!$H$4:$H$5000,"",0),"")</f>
        <v/>
      </c>
      <c r="P2553" s="9" t="str" cm="1">
        <f t="array" aca="1" ref="P2553" ca="1">IF(INDIRECT(M2553) = "","",INDIRECT(M2553))</f>
        <v/>
      </c>
      <c r="Q2553" s="359" t="s">
        <v>4380</v>
      </c>
    </row>
    <row r="2554" spans="1:17" x14ac:dyDescent="0.35">
      <c r="A2554" t="s">
        <v>3315</v>
      </c>
      <c r="E2554" t="str">
        <f>_xlfn.XLOOKUP(F2554,'Raw Data'!$I$4:$I$5000,'Raw Data'!$D$4:$D$5000,"*** Mnemonic not found ***",0)</f>
        <v>*** Mnemonic not found ***</v>
      </c>
      <c r="F2554" t="str">
        <f t="shared" si="540"/>
        <v>SUCMERGADJSF_C__</v>
      </c>
      <c r="H2554" s="9" t="s">
        <v>1137</v>
      </c>
      <c r="K2554" s="9">
        <f t="shared" si="544"/>
        <v>326</v>
      </c>
      <c r="L2554" s="9" t="str">
        <f t="shared" si="545"/>
        <v>O</v>
      </c>
      <c r="M2554" s="9" t="str">
        <f t="shared" si="541"/>
        <v>Input!O326</v>
      </c>
      <c r="N2554" s="9">
        <f>_xlfn.XLOOKUP(F2554,'Raw Data'!$I$4:$I$5000,'Raw Data'!$E$4:$E$5000,100,0)</f>
        <v>100</v>
      </c>
      <c r="O2554" s="9" t="str">
        <f>IF(N2554=0,_xlfn.XLOOKUP(F2554,'Raw Data'!$I$4:$I$5000,'Raw Data'!$H$4:$H$5000,"",0),"")</f>
        <v/>
      </c>
      <c r="P2554" s="9" t="str" cm="1">
        <f t="array" aca="1" ref="P2554" ca="1">IF(INDIRECT(M2554) = "","",INDIRECT(M2554))</f>
        <v/>
      </c>
      <c r="Q2554" s="359" t="s">
        <v>4380</v>
      </c>
    </row>
    <row r="2555" spans="1:17" x14ac:dyDescent="0.35">
      <c r="A2555" t="s">
        <v>3316</v>
      </c>
      <c r="E2555" t="str">
        <f>_xlfn.XLOOKUP(F2555,'Raw Data'!$I$4:$I$5000,'Raw Data'!$D$4:$D$5000,"*** Mnemonic not found ***",0)</f>
        <v>*** Mnemonic not found ***</v>
      </c>
      <c r="F2555" t="str">
        <f t="shared" si="540"/>
        <v>SUCMERGARBSF_C__</v>
      </c>
      <c r="H2555" s="9" t="s">
        <v>1137</v>
      </c>
      <c r="K2555" s="9">
        <f t="shared" si="544"/>
        <v>327</v>
      </c>
      <c r="L2555" s="9" t="str">
        <f t="shared" si="545"/>
        <v>O</v>
      </c>
      <c r="M2555" s="9" t="str">
        <f t="shared" si="541"/>
        <v>Input!O327</v>
      </c>
      <c r="N2555" s="9">
        <f>_xlfn.XLOOKUP(F2555,'Raw Data'!$I$4:$I$5000,'Raw Data'!$E$4:$E$5000,100,0)</f>
        <v>100</v>
      </c>
      <c r="O2555" s="9" t="str">
        <f>IF(N2555=0,_xlfn.XLOOKUP(F2555,'Raw Data'!$I$4:$I$5000,'Raw Data'!$H$4:$H$5000,"",0),"")</f>
        <v/>
      </c>
      <c r="P2555" s="9" t="str" cm="1">
        <f t="array" aca="1" ref="P2555" ca="1">IF(INDIRECT(M2555) = "","",INDIRECT(M2555))</f>
        <v/>
      </c>
      <c r="Q2555" s="359" t="s">
        <v>4380</v>
      </c>
    </row>
    <row r="2556" spans="1:17" x14ac:dyDescent="0.35">
      <c r="A2556" s="694" t="s">
        <v>4344</v>
      </c>
      <c r="E2556" t="str">
        <f>_xlfn.XLOOKUP(F2556,'Raw Data'!$I$4:$I$5000,'Raw Data'!$D$4:$D$5000,"*** Mnemonic not found ***",0)</f>
        <v>*** Mnemonic not found ***</v>
      </c>
      <c r="F2556" t="str">
        <f t="shared" si="540"/>
        <v>SUCMERGMRCSFM_C__</v>
      </c>
      <c r="H2556" s="9" t="s">
        <v>1137</v>
      </c>
      <c r="K2556" s="9">
        <f>K2555+2</f>
        <v>329</v>
      </c>
      <c r="L2556" s="9" t="str">
        <f t="shared" si="545"/>
        <v>O</v>
      </c>
      <c r="M2556" s="9" t="str">
        <f t="shared" ref="M2556:M2558" si="546">CONCATENATE(H2556,"!",L2556,K2556)</f>
        <v>Input!O329</v>
      </c>
      <c r="N2556" s="9">
        <f>_xlfn.XLOOKUP(F2556,'Raw Data'!$I$4:$I$5000,'Raw Data'!$E$4:$E$5000,100,0)</f>
        <v>100</v>
      </c>
      <c r="O2556" s="9" t="str">
        <f>IF(N2556=0,_xlfn.XLOOKUP(F2556,'Raw Data'!$I$4:$I$5000,'Raw Data'!$H$4:$H$5000,"",0),"")</f>
        <v/>
      </c>
      <c r="P2556" s="9" t="str" cm="1">
        <f t="array" aca="1" ref="P2556" ca="1">IF(INDIRECT(M2556) = "","",INDIRECT(M2556))</f>
        <v/>
      </c>
      <c r="Q2556" s="359" t="s">
        <v>4380</v>
      </c>
    </row>
    <row r="2557" spans="1:17" x14ac:dyDescent="0.35">
      <c r="A2557" s="694" t="s">
        <v>4345</v>
      </c>
      <c r="E2557" t="str">
        <f>_xlfn.XLOOKUP(F2557,'Raw Data'!$I$4:$I$5000,'Raw Data'!$D$4:$D$5000,"*** Mnemonic not found ***",0)</f>
        <v>*** Mnemonic not found ***</v>
      </c>
      <c r="F2557" t="str">
        <f t="shared" si="540"/>
        <v>SUCMERGADJSFM_C__</v>
      </c>
      <c r="H2557" s="9" t="s">
        <v>1137</v>
      </c>
      <c r="K2557" s="9">
        <f t="shared" si="544"/>
        <v>330</v>
      </c>
      <c r="L2557" s="9" t="str">
        <f t="shared" si="545"/>
        <v>O</v>
      </c>
      <c r="M2557" s="9" t="str">
        <f t="shared" si="546"/>
        <v>Input!O330</v>
      </c>
      <c r="N2557" s="9">
        <f>_xlfn.XLOOKUP(F2557,'Raw Data'!$I$4:$I$5000,'Raw Data'!$E$4:$E$5000,100,0)</f>
        <v>100</v>
      </c>
      <c r="O2557" s="9" t="str">
        <f>IF(N2557=0,_xlfn.XLOOKUP(F2557,'Raw Data'!$I$4:$I$5000,'Raw Data'!$H$4:$H$5000,"",0),"")</f>
        <v/>
      </c>
      <c r="P2557" s="9" t="str" cm="1">
        <f t="array" aca="1" ref="P2557" ca="1">IF(INDIRECT(M2557) = "","",INDIRECT(M2557))</f>
        <v/>
      </c>
      <c r="Q2557" s="359" t="s">
        <v>4380</v>
      </c>
    </row>
    <row r="2558" spans="1:17" x14ac:dyDescent="0.35">
      <c r="A2558" s="694" t="s">
        <v>4346</v>
      </c>
      <c r="E2558" t="str">
        <f>_xlfn.XLOOKUP(F2558,'Raw Data'!$I$4:$I$5000,'Raw Data'!$D$4:$D$5000,"*** Mnemonic not found ***",0)</f>
        <v>*** Mnemonic not found ***</v>
      </c>
      <c r="F2558" t="str">
        <f t="shared" si="540"/>
        <v>SUCMERGARBSFM_C__</v>
      </c>
      <c r="H2558" s="9" t="s">
        <v>1137</v>
      </c>
      <c r="K2558" s="9">
        <f t="shared" si="544"/>
        <v>331</v>
      </c>
      <c r="L2558" s="9" t="str">
        <f t="shared" si="545"/>
        <v>O</v>
      </c>
      <c r="M2558" s="9" t="str">
        <f t="shared" si="546"/>
        <v>Input!O331</v>
      </c>
      <c r="N2558" s="9">
        <f>_xlfn.XLOOKUP(F2558,'Raw Data'!$I$4:$I$5000,'Raw Data'!$E$4:$E$5000,100,0)</f>
        <v>100</v>
      </c>
      <c r="O2558" s="9" t="str">
        <f>IF(N2558=0,_xlfn.XLOOKUP(F2558,'Raw Data'!$I$4:$I$5000,'Raw Data'!$H$4:$H$5000,"",0),"")</f>
        <v/>
      </c>
      <c r="P2558" s="9" t="str" cm="1">
        <f t="array" aca="1" ref="P2558" ca="1">IF(INDIRECT(M2558) = "","",INDIRECT(M2558))</f>
        <v/>
      </c>
      <c r="Q2558" s="359" t="s">
        <v>4380</v>
      </c>
    </row>
    <row r="2559" spans="1:17" x14ac:dyDescent="0.35">
      <c r="A2559" s="694" t="s">
        <v>4347</v>
      </c>
      <c r="E2559" t="str">
        <f>_xlfn.XLOOKUP(F2559,'Raw Data'!$I$4:$I$5000,'Raw Data'!$D$4:$D$5000,"*** Mnemonic not found ***",0)</f>
        <v>*** Mnemonic not found ***</v>
      </c>
      <c r="F2559" t="str">
        <f t="shared" si="540"/>
        <v>SUCMERGMRCSFJ_C__</v>
      </c>
      <c r="H2559" s="9" t="s">
        <v>1137</v>
      </c>
      <c r="K2559" s="9">
        <f>K2558+2</f>
        <v>333</v>
      </c>
      <c r="L2559" s="9" t="str">
        <f t="shared" si="545"/>
        <v>O</v>
      </c>
      <c r="M2559" s="9" t="str">
        <f t="shared" ref="M2559:M2561" si="547">CONCATENATE(H2559,"!",L2559,K2559)</f>
        <v>Input!O333</v>
      </c>
      <c r="N2559" s="9">
        <f>_xlfn.XLOOKUP(F2559,'Raw Data'!$I$4:$I$5000,'Raw Data'!$E$4:$E$5000,100,0)</f>
        <v>100</v>
      </c>
      <c r="O2559" s="9" t="str">
        <f>IF(N2559=0,_xlfn.XLOOKUP(F2559,'Raw Data'!$I$4:$I$5000,'Raw Data'!$H$4:$H$5000,"",0),"")</f>
        <v/>
      </c>
      <c r="P2559" s="9" t="str" cm="1">
        <f t="array" aca="1" ref="P2559" ca="1">IF(INDIRECT(M2559) = "","",INDIRECT(M2559))</f>
        <v/>
      </c>
      <c r="Q2559" s="359" t="s">
        <v>4380</v>
      </c>
    </row>
    <row r="2560" spans="1:17" x14ac:dyDescent="0.35">
      <c r="A2560" s="694" t="s">
        <v>4348</v>
      </c>
      <c r="E2560" t="str">
        <f>_xlfn.XLOOKUP(F2560,'Raw Data'!$I$4:$I$5000,'Raw Data'!$D$4:$D$5000,"*** Mnemonic not found ***",0)</f>
        <v>*** Mnemonic not found ***</v>
      </c>
      <c r="F2560" t="str">
        <f t="shared" si="540"/>
        <v>SUCMERGADJSFJ_C__</v>
      </c>
      <c r="H2560" s="9" t="s">
        <v>1137</v>
      </c>
      <c r="K2560" s="9">
        <f t="shared" si="544"/>
        <v>334</v>
      </c>
      <c r="L2560" s="9" t="str">
        <f t="shared" si="545"/>
        <v>O</v>
      </c>
      <c r="M2560" s="9" t="str">
        <f t="shared" si="547"/>
        <v>Input!O334</v>
      </c>
      <c r="N2560" s="9">
        <f>_xlfn.XLOOKUP(F2560,'Raw Data'!$I$4:$I$5000,'Raw Data'!$E$4:$E$5000,100,0)</f>
        <v>100</v>
      </c>
      <c r="O2560" s="9" t="str">
        <f>IF(N2560=0,_xlfn.XLOOKUP(F2560,'Raw Data'!$I$4:$I$5000,'Raw Data'!$H$4:$H$5000,"",0),"")</f>
        <v/>
      </c>
      <c r="P2560" s="9" t="str" cm="1">
        <f t="array" aca="1" ref="P2560" ca="1">IF(INDIRECT(M2560) = "","",INDIRECT(M2560))</f>
        <v/>
      </c>
      <c r="Q2560" s="359" t="s">
        <v>4380</v>
      </c>
    </row>
    <row r="2561" spans="1:17" x14ac:dyDescent="0.35">
      <c r="A2561" s="694" t="s">
        <v>4349</v>
      </c>
      <c r="E2561" t="str">
        <f>_xlfn.XLOOKUP(F2561,'Raw Data'!$I$4:$I$5000,'Raw Data'!$D$4:$D$5000,"*** Mnemonic not found ***",0)</f>
        <v>*** Mnemonic not found ***</v>
      </c>
      <c r="F2561" t="str">
        <f t="shared" si="540"/>
        <v>SUCMERGARBSFJ_C__</v>
      </c>
      <c r="H2561" s="9" t="s">
        <v>1137</v>
      </c>
      <c r="K2561" s="9">
        <f t="shared" si="544"/>
        <v>335</v>
      </c>
      <c r="L2561" s="9" t="str">
        <f t="shared" si="545"/>
        <v>O</v>
      </c>
      <c r="M2561" s="9" t="str">
        <f t="shared" si="547"/>
        <v>Input!O335</v>
      </c>
      <c r="N2561" s="9">
        <f>_xlfn.XLOOKUP(F2561,'Raw Data'!$I$4:$I$5000,'Raw Data'!$E$4:$E$5000,100,0)</f>
        <v>100</v>
      </c>
      <c r="O2561" s="9" t="str">
        <f>IF(N2561=0,_xlfn.XLOOKUP(F2561,'Raw Data'!$I$4:$I$5000,'Raw Data'!$H$4:$H$5000,"",0),"")</f>
        <v/>
      </c>
      <c r="P2561" s="9" t="str" cm="1">
        <f t="array" aca="1" ref="P2561" ca="1">IF(INDIRECT(M2561) = "","",INDIRECT(M2561))</f>
        <v/>
      </c>
      <c r="Q2561" s="359" t="s">
        <v>4380</v>
      </c>
    </row>
    <row r="2562" spans="1:17" x14ac:dyDescent="0.35">
      <c r="A2562" t="s">
        <v>3317</v>
      </c>
      <c r="E2562" t="str">
        <f>_xlfn.XLOOKUP(F2562,'Raw Data'!$I$4:$I$5000,'Raw Data'!$D$4:$D$5000,"*** Mnemonic not found ***",0)</f>
        <v>*** Mnemonic not found ***</v>
      </c>
      <c r="F2562" t="str">
        <f t="shared" si="540"/>
        <v>SUCMEQHOLDGR1_C__</v>
      </c>
      <c r="G2562" t="s">
        <v>3113</v>
      </c>
      <c r="H2562" s="9" t="s">
        <v>1137</v>
      </c>
      <c r="I2562" s="289">
        <f>ROW(section_equity)</f>
        <v>343</v>
      </c>
      <c r="J2562" s="9">
        <v>3</v>
      </c>
      <c r="K2562" s="9">
        <f>I2562+J2562</f>
        <v>346</v>
      </c>
      <c r="L2562" s="9" t="str">
        <f>L2555</f>
        <v>O</v>
      </c>
      <c r="M2562" s="9" t="str">
        <f t="shared" si="541"/>
        <v>Input!O346</v>
      </c>
      <c r="N2562" s="9">
        <f>_xlfn.XLOOKUP(F2562,'Raw Data'!$I$4:$I$5000,'Raw Data'!$E$4:$E$5000,100,0)</f>
        <v>100</v>
      </c>
      <c r="O2562" s="9" t="str">
        <f>IF(N2562=0,_xlfn.XLOOKUP(F2562,'Raw Data'!$I$4:$I$5000,'Raw Data'!$H$4:$H$5000,"",0),"")</f>
        <v/>
      </c>
      <c r="P2562" s="9" t="str" cm="1">
        <f t="array" aca="1" ref="P2562" ca="1">IF(INDIRECT(M2562) = "","",INDIRECT(M2562))</f>
        <v/>
      </c>
      <c r="Q2562" s="359" t="s">
        <v>4380</v>
      </c>
    </row>
    <row r="2563" spans="1:17" x14ac:dyDescent="0.35">
      <c r="A2563" t="s">
        <v>3318</v>
      </c>
      <c r="E2563" t="str">
        <f>_xlfn.XLOOKUP(F2563,'Raw Data'!$I$4:$I$5000,'Raw Data'!$D$4:$D$5000,"*** Mnemonic not found ***",0)</f>
        <v>*** Mnemonic not found ***</v>
      </c>
      <c r="F2563" t="str">
        <f t="shared" si="540"/>
        <v>SUCMEQHOLDGR2_C__</v>
      </c>
      <c r="H2563" s="9" t="s">
        <v>1137</v>
      </c>
      <c r="K2563" s="9">
        <f t="shared" ref="K2563:K2565" si="548">K2562+1</f>
        <v>347</v>
      </c>
      <c r="L2563" s="9" t="str">
        <f t="shared" si="545"/>
        <v>O</v>
      </c>
      <c r="M2563" s="9" t="str">
        <f t="shared" si="541"/>
        <v>Input!O347</v>
      </c>
      <c r="N2563" s="9">
        <f>_xlfn.XLOOKUP(F2563,'Raw Data'!$I$4:$I$5000,'Raw Data'!$E$4:$E$5000,100,0)</f>
        <v>100</v>
      </c>
      <c r="O2563" s="9" t="str">
        <f>IF(N2563=0,_xlfn.XLOOKUP(F2563,'Raw Data'!$I$4:$I$5000,'Raw Data'!$H$4:$H$5000,"",0),"")</f>
        <v/>
      </c>
      <c r="P2563" s="9" t="str" cm="1">
        <f t="array" aca="1" ref="P2563" ca="1">IF(INDIRECT(M2563) = "","",INDIRECT(M2563))</f>
        <v/>
      </c>
      <c r="Q2563" s="359" t="s">
        <v>4380</v>
      </c>
    </row>
    <row r="2564" spans="1:17" x14ac:dyDescent="0.35">
      <c r="A2564" t="s">
        <v>3319</v>
      </c>
      <c r="E2564" t="str">
        <f>_xlfn.XLOOKUP(F2564,'Raw Data'!$I$4:$I$5000,'Raw Data'!$D$4:$D$5000,"*** Mnemonic not found ***",0)</f>
        <v>*** Mnemonic not found ***</v>
      </c>
      <c r="F2564" t="str">
        <f t="shared" si="540"/>
        <v>SUCMEQHOLDGR3_C__</v>
      </c>
      <c r="H2564" s="9" t="s">
        <v>1137</v>
      </c>
      <c r="K2564" s="9">
        <f t="shared" si="548"/>
        <v>348</v>
      </c>
      <c r="L2564" s="9" t="str">
        <f t="shared" si="545"/>
        <v>O</v>
      </c>
      <c r="M2564" s="9" t="str">
        <f t="shared" si="541"/>
        <v>Input!O348</v>
      </c>
      <c r="N2564" s="9">
        <f>_xlfn.XLOOKUP(F2564,'Raw Data'!$I$4:$I$5000,'Raw Data'!$E$4:$E$5000,100,0)</f>
        <v>100</v>
      </c>
      <c r="O2564" s="9" t="str">
        <f>IF(N2564=0,_xlfn.XLOOKUP(F2564,'Raw Data'!$I$4:$I$5000,'Raw Data'!$H$4:$H$5000,"",0),"")</f>
        <v/>
      </c>
      <c r="P2564" s="9" t="str" cm="1">
        <f t="array" aca="1" ref="P2564" ca="1">IF(INDIRECT(M2564) = "","",INDIRECT(M2564))</f>
        <v/>
      </c>
      <c r="Q2564" s="359" t="s">
        <v>4380</v>
      </c>
    </row>
    <row r="2565" spans="1:17" x14ac:dyDescent="0.35">
      <c r="A2565" t="s">
        <v>3320</v>
      </c>
      <c r="E2565" t="str">
        <f>_xlfn.XLOOKUP(F2565,'Raw Data'!$I$4:$I$5000,'Raw Data'!$D$4:$D$5000,"*** Mnemonic not found ***",0)</f>
        <v>*** Mnemonic not found ***</v>
      </c>
      <c r="F2565" t="str">
        <f t="shared" si="540"/>
        <v>SUCMEQHOLDGR4_C__</v>
      </c>
      <c r="H2565" s="9" t="s">
        <v>1137</v>
      </c>
      <c r="K2565" s="9">
        <f t="shared" si="548"/>
        <v>349</v>
      </c>
      <c r="L2565" s="9" t="str">
        <f t="shared" si="545"/>
        <v>O</v>
      </c>
      <c r="M2565" s="9" t="str">
        <f t="shared" si="541"/>
        <v>Input!O349</v>
      </c>
      <c r="N2565" s="9">
        <f>_xlfn.XLOOKUP(F2565,'Raw Data'!$I$4:$I$5000,'Raw Data'!$E$4:$E$5000,100,0)</f>
        <v>100</v>
      </c>
      <c r="O2565" s="9" t="str">
        <f>IF(N2565=0,_xlfn.XLOOKUP(F2565,'Raw Data'!$I$4:$I$5000,'Raw Data'!$H$4:$H$5000,"",0),"")</f>
        <v/>
      </c>
      <c r="P2565" s="9" t="str" cm="1">
        <f t="array" aca="1" ref="P2565" ca="1">IF(INDIRECT(M2565) = "","",INDIRECT(M2565))</f>
        <v/>
      </c>
      <c r="Q2565" s="359" t="s">
        <v>4380</v>
      </c>
    </row>
    <row r="2566" spans="1:17" x14ac:dyDescent="0.35">
      <c r="A2566" t="s">
        <v>3321</v>
      </c>
      <c r="E2566" t="str">
        <f>_xlfn.XLOOKUP(F2566,'Raw Data'!$I$4:$I$5000,'Raw Data'!$D$4:$D$5000,"*** Mnemonic not found ***",0)</f>
        <v>*** Mnemonic not found ***</v>
      </c>
      <c r="F2566" t="str">
        <f t="shared" si="540"/>
        <v>SUCMEQHOLDTOT_C__</v>
      </c>
      <c r="H2566" s="9" t="s">
        <v>1137</v>
      </c>
      <c r="K2566" s="9">
        <f>K2565+2</f>
        <v>351</v>
      </c>
      <c r="L2566" s="9" t="str">
        <f t="shared" si="545"/>
        <v>O</v>
      </c>
      <c r="M2566" s="9" t="str">
        <f t="shared" si="541"/>
        <v>Input!O351</v>
      </c>
      <c r="N2566" s="9">
        <f>_xlfn.XLOOKUP(F2566,'Raw Data'!$I$4:$I$5000,'Raw Data'!$E$4:$E$5000,100,0)</f>
        <v>100</v>
      </c>
      <c r="O2566" s="9" t="str">
        <f>IF(N2566=0,_xlfn.XLOOKUP(F2566,'Raw Data'!$I$4:$I$5000,'Raw Data'!$H$4:$H$5000,"",0),"")</f>
        <v/>
      </c>
      <c r="P2566" s="9" t="str" cm="1">
        <f t="array" aca="1" ref="P2566" ca="1">IF(INDIRECT(M2566) = "","",INDIRECT(M2566))</f>
        <v/>
      </c>
      <c r="Q2566" s="359" t="s">
        <v>4380</v>
      </c>
    </row>
    <row r="2567" spans="1:17" x14ac:dyDescent="0.35">
      <c r="A2567" t="s">
        <v>3322</v>
      </c>
      <c r="E2567" t="str">
        <f>_xlfn.XLOOKUP(F2567,'Raw Data'!$I$4:$I$5000,'Raw Data'!$D$4:$D$5000,"*** Mnemonic not found ***",0)</f>
        <v>*** Mnemonic not found ***</v>
      </c>
      <c r="F2567" t="str">
        <f t="shared" si="540"/>
        <v>SUCMREGR1_C__</v>
      </c>
      <c r="G2567" t="s">
        <v>3114</v>
      </c>
      <c r="H2567" s="9" t="s">
        <v>1137</v>
      </c>
      <c r="I2567" s="289">
        <f>ROW(section_real_estate)</f>
        <v>354</v>
      </c>
      <c r="J2567" s="9">
        <v>3</v>
      </c>
      <c r="K2567" s="9">
        <f>I2567+J2567</f>
        <v>357</v>
      </c>
      <c r="L2567" s="9" t="str">
        <f>L2566</f>
        <v>O</v>
      </c>
      <c r="M2567" s="9" t="str">
        <f t="shared" si="541"/>
        <v>Input!O357</v>
      </c>
      <c r="N2567" s="9">
        <f>_xlfn.XLOOKUP(F2567,'Raw Data'!$I$4:$I$5000,'Raw Data'!$E$4:$E$5000,100,0)</f>
        <v>100</v>
      </c>
      <c r="O2567" s="9" t="str">
        <f>IF(N2567=0,_xlfn.XLOOKUP(F2567,'Raw Data'!$I$4:$I$5000,'Raw Data'!$H$4:$H$5000,"",0),"")</f>
        <v/>
      </c>
      <c r="P2567" s="9" t="str" cm="1">
        <f t="array" aca="1" ref="P2567" ca="1">IF(INDIRECT(M2567) = "","",INDIRECT(M2567))</f>
        <v/>
      </c>
      <c r="Q2567" s="359" t="s">
        <v>4380</v>
      </c>
    </row>
    <row r="2568" spans="1:17" x14ac:dyDescent="0.35">
      <c r="A2568" t="s">
        <v>3323</v>
      </c>
      <c r="E2568" t="str">
        <f>_xlfn.XLOOKUP(F2568,'Raw Data'!$I$4:$I$5000,'Raw Data'!$D$4:$D$5000,"*** Mnemonic not found ***",0)</f>
        <v>*** Mnemonic not found ***</v>
      </c>
      <c r="F2568" t="str">
        <f t="shared" si="540"/>
        <v>SUCMREGR2_C__</v>
      </c>
      <c r="H2568" s="9" t="s">
        <v>1137</v>
      </c>
      <c r="K2568" s="9">
        <f t="shared" ref="K2568:K2570" si="549">K2567+1</f>
        <v>358</v>
      </c>
      <c r="L2568" s="9" t="str">
        <f t="shared" si="545"/>
        <v>O</v>
      </c>
      <c r="M2568" s="9" t="str">
        <f t="shared" si="541"/>
        <v>Input!O358</v>
      </c>
      <c r="N2568" s="9">
        <f>_xlfn.XLOOKUP(F2568,'Raw Data'!$I$4:$I$5000,'Raw Data'!$E$4:$E$5000,100,0)</f>
        <v>100</v>
      </c>
      <c r="O2568" s="9" t="str">
        <f>IF(N2568=0,_xlfn.XLOOKUP(F2568,'Raw Data'!$I$4:$I$5000,'Raw Data'!$H$4:$H$5000,"",0),"")</f>
        <v/>
      </c>
      <c r="P2568" s="9" t="str" cm="1">
        <f t="array" aca="1" ref="P2568" ca="1">IF(INDIRECT(M2568) = "","",INDIRECT(M2568))</f>
        <v/>
      </c>
      <c r="Q2568" s="359" t="s">
        <v>4380</v>
      </c>
    </row>
    <row r="2569" spans="1:17" x14ac:dyDescent="0.35">
      <c r="A2569" t="s">
        <v>3324</v>
      </c>
      <c r="E2569" t="str">
        <f>_xlfn.XLOOKUP(F2569,'Raw Data'!$I$4:$I$5000,'Raw Data'!$D$4:$D$5000,"*** Mnemonic not found ***",0)</f>
        <v>*** Mnemonic not found ***</v>
      </c>
      <c r="F2569" t="str">
        <f t="shared" si="540"/>
        <v>SUCMREGR3_C__</v>
      </c>
      <c r="H2569" s="9" t="s">
        <v>1137</v>
      </c>
      <c r="K2569" s="9">
        <f t="shared" si="549"/>
        <v>359</v>
      </c>
      <c r="L2569" s="9" t="str">
        <f t="shared" si="545"/>
        <v>O</v>
      </c>
      <c r="M2569" s="9" t="str">
        <f t="shared" si="541"/>
        <v>Input!O359</v>
      </c>
      <c r="N2569" s="9">
        <f>_xlfn.XLOOKUP(F2569,'Raw Data'!$I$4:$I$5000,'Raw Data'!$E$4:$E$5000,100,0)</f>
        <v>100</v>
      </c>
      <c r="O2569" s="9" t="str">
        <f>IF(N2569=0,_xlfn.XLOOKUP(F2569,'Raw Data'!$I$4:$I$5000,'Raw Data'!$H$4:$H$5000,"",0),"")</f>
        <v/>
      </c>
      <c r="P2569" s="9" t="str" cm="1">
        <f t="array" aca="1" ref="P2569" ca="1">IF(INDIRECT(M2569) = "","",INDIRECT(M2569))</f>
        <v/>
      </c>
      <c r="Q2569" s="359" t="s">
        <v>4380</v>
      </c>
    </row>
    <row r="2570" spans="1:17" x14ac:dyDescent="0.35">
      <c r="A2570" t="s">
        <v>3325</v>
      </c>
      <c r="E2570" t="str">
        <f>_xlfn.XLOOKUP(F2570,'Raw Data'!$I$4:$I$5000,'Raw Data'!$D$4:$D$5000,"*** Mnemonic not found ***",0)</f>
        <v>*** Mnemonic not found ***</v>
      </c>
      <c r="F2570" t="str">
        <f t="shared" si="540"/>
        <v>SUCMREGR4_C__</v>
      </c>
      <c r="H2570" s="9" t="s">
        <v>1137</v>
      </c>
      <c r="K2570" s="9">
        <f t="shared" si="549"/>
        <v>360</v>
      </c>
      <c r="L2570" s="9" t="str">
        <f t="shared" si="545"/>
        <v>O</v>
      </c>
      <c r="M2570" s="9" t="str">
        <f t="shared" si="541"/>
        <v>Input!O360</v>
      </c>
      <c r="N2570" s="9">
        <f>_xlfn.XLOOKUP(F2570,'Raw Data'!$I$4:$I$5000,'Raw Data'!$E$4:$E$5000,100,0)</f>
        <v>100</v>
      </c>
      <c r="O2570" s="9" t="str">
        <f>IF(N2570=0,_xlfn.XLOOKUP(F2570,'Raw Data'!$I$4:$I$5000,'Raw Data'!$H$4:$H$5000,"",0),"")</f>
        <v/>
      </c>
      <c r="P2570" s="9" t="str" cm="1">
        <f t="array" aca="1" ref="P2570" ca="1">IF(INDIRECT(M2570) = "","",INDIRECT(M2570))</f>
        <v/>
      </c>
      <c r="Q2570" s="359" t="s">
        <v>4380</v>
      </c>
    </row>
    <row r="2571" spans="1:17" x14ac:dyDescent="0.35">
      <c r="A2571" t="s">
        <v>3326</v>
      </c>
      <c r="E2571" t="str">
        <f>_xlfn.XLOOKUP(F2571,'Raw Data'!$I$4:$I$5000,'Raw Data'!$D$4:$D$5000,"*** Mnemonic not found ***",0)</f>
        <v>*** Mnemonic not found ***</v>
      </c>
      <c r="F2571" t="str">
        <f t="shared" si="540"/>
        <v>SUCMRETOT_C__</v>
      </c>
      <c r="H2571" s="9" t="s">
        <v>1137</v>
      </c>
      <c r="K2571" s="9">
        <f>K2570+2</f>
        <v>362</v>
      </c>
      <c r="L2571" s="9" t="str">
        <f t="shared" si="545"/>
        <v>O</v>
      </c>
      <c r="M2571" s="9" t="str">
        <f t="shared" si="541"/>
        <v>Input!O362</v>
      </c>
      <c r="N2571" s="9">
        <f>_xlfn.XLOOKUP(F2571,'Raw Data'!$I$4:$I$5000,'Raw Data'!$E$4:$E$5000,100,0)</f>
        <v>100</v>
      </c>
      <c r="O2571" s="9" t="str">
        <f>IF(N2571=0,_xlfn.XLOOKUP(F2571,'Raw Data'!$I$4:$I$5000,'Raw Data'!$H$4:$H$5000,"",0),"")</f>
        <v/>
      </c>
      <c r="P2571" s="9" t="str" cm="1">
        <f t="array" aca="1" ref="P2571" ca="1">IF(INDIRECT(M2571) = "","",INDIRECT(M2571))</f>
        <v/>
      </c>
      <c r="Q2571" s="359" t="s">
        <v>4380</v>
      </c>
    </row>
    <row r="2572" spans="1:17" x14ac:dyDescent="0.35">
      <c r="A2572" t="s">
        <v>3327</v>
      </c>
      <c r="E2572" t="str">
        <f>_xlfn.XLOOKUP(F2572,'Raw Data'!$I$4:$I$5000,'Raw Data'!$D$4:$D$5000,"*** Mnemonic not found ***",0)</f>
        <v>*** Mnemonic not found ***</v>
      </c>
      <c r="F2572" t="str">
        <f t="shared" si="540"/>
        <v>SUCMCMIG_LESS60_C__</v>
      </c>
      <c r="G2572" t="s">
        <v>3115</v>
      </c>
      <c r="H2572" s="9" t="s">
        <v>1137</v>
      </c>
      <c r="I2572" s="289">
        <f>ROW(section_other_invested_assets)</f>
        <v>365</v>
      </c>
      <c r="J2572" s="9">
        <v>6</v>
      </c>
      <c r="K2572" s="9">
        <f>I2572+J2572</f>
        <v>371</v>
      </c>
      <c r="L2572" s="9" t="str">
        <f>L2571</f>
        <v>O</v>
      </c>
      <c r="M2572" s="9" t="str">
        <f t="shared" si="541"/>
        <v>Input!O371</v>
      </c>
      <c r="N2572" s="9">
        <f>_xlfn.XLOOKUP(F2572,'Raw Data'!$I$4:$I$5000,'Raw Data'!$E$4:$E$5000,100,0)</f>
        <v>100</v>
      </c>
      <c r="O2572" s="9" t="str">
        <f>IF(N2572=0,_xlfn.XLOOKUP(F2572,'Raw Data'!$I$4:$I$5000,'Raw Data'!$H$4:$H$5000,"",0),"")</f>
        <v/>
      </c>
      <c r="P2572" s="9" t="str" cm="1">
        <f t="array" aca="1" ref="P2572" ca="1">IF(INDIRECT(M2572) = "","",INDIRECT(M2572))</f>
        <v/>
      </c>
      <c r="Q2572" s="359" t="s">
        <v>4380</v>
      </c>
    </row>
    <row r="2573" spans="1:17" x14ac:dyDescent="0.35">
      <c r="A2573" t="s">
        <v>3328</v>
      </c>
      <c r="E2573" t="str">
        <f>_xlfn.XLOOKUP(F2573,'Raw Data'!$I$4:$I$5000,'Raw Data'!$D$4:$D$5000,"*** Mnemonic not found ***",0)</f>
        <v>*** Mnemonic not found ***</v>
      </c>
      <c r="F2573" t="str">
        <f t="shared" si="540"/>
        <v>SUCMCMIG_60_80_C__</v>
      </c>
      <c r="H2573" s="9" t="s">
        <v>1137</v>
      </c>
      <c r="K2573" s="9">
        <f t="shared" ref="K2573:K2582" si="550">K2572+1</f>
        <v>372</v>
      </c>
      <c r="L2573" s="9" t="str">
        <f t="shared" si="545"/>
        <v>O</v>
      </c>
      <c r="M2573" s="9" t="str">
        <f t="shared" si="541"/>
        <v>Input!O372</v>
      </c>
      <c r="N2573" s="9">
        <f>_xlfn.XLOOKUP(F2573,'Raw Data'!$I$4:$I$5000,'Raw Data'!$E$4:$E$5000,100,0)</f>
        <v>100</v>
      </c>
      <c r="O2573" s="9" t="str">
        <f>IF(N2573=0,_xlfn.XLOOKUP(F2573,'Raw Data'!$I$4:$I$5000,'Raw Data'!$H$4:$H$5000,"",0),"")</f>
        <v/>
      </c>
      <c r="P2573" s="9" t="str" cm="1">
        <f t="array" aca="1" ref="P2573" ca="1">IF(INDIRECT(M2573) = "","",INDIRECT(M2573))</f>
        <v/>
      </c>
      <c r="Q2573" s="359" t="s">
        <v>4380</v>
      </c>
    </row>
    <row r="2574" spans="1:17" x14ac:dyDescent="0.35">
      <c r="A2574" t="s">
        <v>3329</v>
      </c>
      <c r="E2574" t="str">
        <f>_xlfn.XLOOKUP(F2574,'Raw Data'!$I$4:$I$5000,'Raw Data'!$D$4:$D$5000,"*** Mnemonic not found ***",0)</f>
        <v>*** Mnemonic not found ***</v>
      </c>
      <c r="F2574" t="str">
        <f t="shared" ref="F2574:F2637" si="551">CONCATENATE(A2574,"_",B2574,"_",D2574)</f>
        <v>SUCMCMIG_GREAT80_C__</v>
      </c>
      <c r="H2574" s="9" t="s">
        <v>1137</v>
      </c>
      <c r="K2574" s="9">
        <f t="shared" si="550"/>
        <v>373</v>
      </c>
      <c r="L2574" s="9" t="str">
        <f t="shared" si="545"/>
        <v>O</v>
      </c>
      <c r="M2574" s="9" t="str">
        <f t="shared" si="541"/>
        <v>Input!O373</v>
      </c>
      <c r="N2574" s="9">
        <f>_xlfn.XLOOKUP(F2574,'Raw Data'!$I$4:$I$5000,'Raw Data'!$E$4:$E$5000,100,0)</f>
        <v>100</v>
      </c>
      <c r="O2574" s="9" t="str">
        <f>IF(N2574=0,_xlfn.XLOOKUP(F2574,'Raw Data'!$I$4:$I$5000,'Raw Data'!$H$4:$H$5000,"",0),"")</f>
        <v/>
      </c>
      <c r="P2574" s="9" t="str" cm="1">
        <f t="array" aca="1" ref="P2574" ca="1">IF(INDIRECT(M2574) = "","",INDIRECT(M2574))</f>
        <v/>
      </c>
      <c r="Q2574" s="359" t="s">
        <v>4380</v>
      </c>
    </row>
    <row r="2575" spans="1:17" x14ac:dyDescent="0.35">
      <c r="A2575" t="s">
        <v>3330</v>
      </c>
      <c r="E2575" t="str">
        <f>_xlfn.XLOOKUP(F2575,'Raw Data'!$I$4:$I$5000,'Raw Data'!$D$4:$D$5000,"*** Mnemonic not found ***",0)</f>
        <v>*** Mnemonic not found ***</v>
      </c>
      <c r="F2575" t="str">
        <f t="shared" si="551"/>
        <v>SUCMRMIG_LESS60_C__</v>
      </c>
      <c r="H2575" s="9" t="s">
        <v>1137</v>
      </c>
      <c r="K2575" s="9">
        <f>K2574+4</f>
        <v>377</v>
      </c>
      <c r="L2575" s="9" t="str">
        <f t="shared" si="545"/>
        <v>O</v>
      </c>
      <c r="M2575" s="9" t="str">
        <f t="shared" si="541"/>
        <v>Input!O377</v>
      </c>
      <c r="N2575" s="9">
        <f>_xlfn.XLOOKUP(F2575,'Raw Data'!$I$4:$I$5000,'Raw Data'!$E$4:$E$5000,100,0)</f>
        <v>100</v>
      </c>
      <c r="O2575" s="9" t="str">
        <f>IF(N2575=0,_xlfn.XLOOKUP(F2575,'Raw Data'!$I$4:$I$5000,'Raw Data'!$H$4:$H$5000,"",0),"")</f>
        <v/>
      </c>
      <c r="P2575" s="9" t="str" cm="1">
        <f t="array" aca="1" ref="P2575" ca="1">IF(INDIRECT(M2575) = "","",INDIRECT(M2575))</f>
        <v/>
      </c>
      <c r="Q2575" s="359" t="s">
        <v>4380</v>
      </c>
    </row>
    <row r="2576" spans="1:17" x14ac:dyDescent="0.35">
      <c r="A2576" t="s">
        <v>3331</v>
      </c>
      <c r="E2576" t="str">
        <f>_xlfn.XLOOKUP(F2576,'Raw Data'!$I$4:$I$5000,'Raw Data'!$D$4:$D$5000,"*** Mnemonic not found ***",0)</f>
        <v>*** Mnemonic not found ***</v>
      </c>
      <c r="F2576" t="str">
        <f t="shared" si="551"/>
        <v>SUCMRMIG_60_80_C__</v>
      </c>
      <c r="H2576" s="9" t="s">
        <v>1137</v>
      </c>
      <c r="K2576" s="9">
        <f t="shared" si="550"/>
        <v>378</v>
      </c>
      <c r="L2576" s="9" t="str">
        <f t="shared" si="545"/>
        <v>O</v>
      </c>
      <c r="M2576" s="9" t="str">
        <f t="shared" si="541"/>
        <v>Input!O378</v>
      </c>
      <c r="N2576" s="9">
        <f>_xlfn.XLOOKUP(F2576,'Raw Data'!$I$4:$I$5000,'Raw Data'!$E$4:$E$5000,100,0)</f>
        <v>100</v>
      </c>
      <c r="O2576" s="9" t="str">
        <f>IF(N2576=0,_xlfn.XLOOKUP(F2576,'Raw Data'!$I$4:$I$5000,'Raw Data'!$H$4:$H$5000,"",0),"")</f>
        <v/>
      </c>
      <c r="P2576" s="9" t="str" cm="1">
        <f t="array" aca="1" ref="P2576" ca="1">IF(INDIRECT(M2576) = "","",INDIRECT(M2576))</f>
        <v/>
      </c>
      <c r="Q2576" s="359" t="s">
        <v>4380</v>
      </c>
    </row>
    <row r="2577" spans="1:17" x14ac:dyDescent="0.35">
      <c r="A2577" t="s">
        <v>3332</v>
      </c>
      <c r="E2577" t="str">
        <f>_xlfn.XLOOKUP(F2577,'Raw Data'!$I$4:$I$5000,'Raw Data'!$D$4:$D$5000,"*** Mnemonic not found ***",0)</f>
        <v>*** Mnemonic not found ***</v>
      </c>
      <c r="F2577" t="str">
        <f t="shared" si="551"/>
        <v>SUCMRMIG_GREAT80_C__</v>
      </c>
      <c r="H2577" s="9" t="s">
        <v>1137</v>
      </c>
      <c r="K2577" s="9">
        <f t="shared" si="550"/>
        <v>379</v>
      </c>
      <c r="L2577" s="9" t="str">
        <f t="shared" si="545"/>
        <v>O</v>
      </c>
      <c r="M2577" s="9" t="str">
        <f t="shared" si="541"/>
        <v>Input!O379</v>
      </c>
      <c r="N2577" s="9">
        <f>_xlfn.XLOOKUP(F2577,'Raw Data'!$I$4:$I$5000,'Raw Data'!$E$4:$E$5000,100,0)</f>
        <v>100</v>
      </c>
      <c r="O2577" s="9" t="str">
        <f>IF(N2577=0,_xlfn.XLOOKUP(F2577,'Raw Data'!$I$4:$I$5000,'Raw Data'!$H$4:$H$5000,"",0),"")</f>
        <v/>
      </c>
      <c r="P2577" s="9" t="str" cm="1">
        <f t="array" aca="1" ref="P2577" ca="1">IF(INDIRECT(M2577) = "","",INDIRECT(M2577))</f>
        <v/>
      </c>
      <c r="Q2577" s="359" t="s">
        <v>4380</v>
      </c>
    </row>
    <row r="2578" spans="1:17" x14ac:dyDescent="0.35">
      <c r="A2578" t="s">
        <v>3333</v>
      </c>
      <c r="E2578" t="str">
        <f>_xlfn.XLOOKUP(F2578,'Raw Data'!$I$4:$I$5000,'Raw Data'!$D$4:$D$5000,"*** Mnemonic not found ***",0)</f>
        <v>*** Mnemonic not found ***</v>
      </c>
      <c r="F2578" t="str">
        <f t="shared" si="551"/>
        <v>SUCMOTCDERIV_C__</v>
      </c>
      <c r="H2578" s="9" t="s">
        <v>1137</v>
      </c>
      <c r="K2578" s="9">
        <f>K2577+3</f>
        <v>382</v>
      </c>
      <c r="L2578" s="9" t="str">
        <f t="shared" si="545"/>
        <v>O</v>
      </c>
      <c r="M2578" s="9" t="str">
        <f t="shared" ref="M2578:M2609" si="552">CONCATENATE(H2578,"!",L2578,K2578)</f>
        <v>Input!O382</v>
      </c>
      <c r="N2578" s="9">
        <f>_xlfn.XLOOKUP(F2578,'Raw Data'!$I$4:$I$5000,'Raw Data'!$E$4:$E$5000,100,0)</f>
        <v>100</v>
      </c>
      <c r="O2578" s="9" t="str">
        <f>IF(N2578=0,_xlfn.XLOOKUP(F2578,'Raw Data'!$I$4:$I$5000,'Raw Data'!$H$4:$H$5000,"",0),"")</f>
        <v/>
      </c>
      <c r="P2578" s="9" t="str" cm="1">
        <f t="array" aca="1" ref="P2578" ca="1">IF(INDIRECT(M2578) = "","",INDIRECT(M2578))</f>
        <v/>
      </c>
      <c r="Q2578" s="359" t="s">
        <v>4380</v>
      </c>
    </row>
    <row r="2579" spans="1:17" x14ac:dyDescent="0.35">
      <c r="A2579" t="s">
        <v>3334</v>
      </c>
      <c r="E2579" t="str">
        <f>_xlfn.XLOOKUP(F2579,'Raw Data'!$I$4:$I$5000,'Raw Data'!$D$4:$D$5000,"*** Mnemonic not found ***",0)</f>
        <v>*** Mnemonic not found ***</v>
      </c>
      <c r="F2579" t="str">
        <f t="shared" si="551"/>
        <v>SUCMBANKDEPA_C__</v>
      </c>
      <c r="H2579" s="9" t="s">
        <v>1137</v>
      </c>
      <c r="K2579" s="9">
        <f>K2578+3</f>
        <v>385</v>
      </c>
      <c r="L2579" s="9" t="str">
        <f t="shared" si="545"/>
        <v>O</v>
      </c>
      <c r="M2579" s="9" t="str">
        <f t="shared" si="552"/>
        <v>Input!O385</v>
      </c>
      <c r="N2579" s="9">
        <f>_xlfn.XLOOKUP(F2579,'Raw Data'!$I$4:$I$5000,'Raw Data'!$E$4:$E$5000,100,0)</f>
        <v>100</v>
      </c>
      <c r="O2579" s="9" t="str">
        <f>IF(N2579=0,_xlfn.XLOOKUP(F2579,'Raw Data'!$I$4:$I$5000,'Raw Data'!$H$4:$H$5000,"",0),"")</f>
        <v/>
      </c>
      <c r="P2579" s="9" t="str" cm="1">
        <f t="array" aca="1" ref="P2579" ca="1">IF(INDIRECT(M2579) = "","",INDIRECT(M2579))</f>
        <v/>
      </c>
      <c r="Q2579" s="359" t="s">
        <v>4380</v>
      </c>
    </row>
    <row r="2580" spans="1:17" x14ac:dyDescent="0.35">
      <c r="A2580" t="s">
        <v>3335</v>
      </c>
      <c r="E2580" t="str">
        <f>_xlfn.XLOOKUP(F2580,'Raw Data'!$I$4:$I$5000,'Raw Data'!$D$4:$D$5000,"*** Mnemonic not found ***",0)</f>
        <v>*** Mnemonic not found ***</v>
      </c>
      <c r="F2580" t="str">
        <f t="shared" si="551"/>
        <v>SUCMBANKDEPBBB_C__</v>
      </c>
      <c r="H2580" s="9" t="s">
        <v>1137</v>
      </c>
      <c r="K2580" s="9">
        <f t="shared" si="550"/>
        <v>386</v>
      </c>
      <c r="L2580" s="9" t="str">
        <f t="shared" si="545"/>
        <v>O</v>
      </c>
      <c r="M2580" s="9" t="str">
        <f t="shared" si="552"/>
        <v>Input!O386</v>
      </c>
      <c r="N2580" s="9">
        <f>_xlfn.XLOOKUP(F2580,'Raw Data'!$I$4:$I$5000,'Raw Data'!$E$4:$E$5000,100,0)</f>
        <v>100</v>
      </c>
      <c r="O2580" s="9" t="str">
        <f>IF(N2580=0,_xlfn.XLOOKUP(F2580,'Raw Data'!$I$4:$I$5000,'Raw Data'!$H$4:$H$5000,"",0),"")</f>
        <v/>
      </c>
      <c r="P2580" s="9" t="str" cm="1">
        <f t="array" aca="1" ref="P2580" ca="1">IF(INDIRECT(M2580) = "","",INDIRECT(M2580))</f>
        <v/>
      </c>
      <c r="Q2580" s="359" t="s">
        <v>4380</v>
      </c>
    </row>
    <row r="2581" spans="1:17" x14ac:dyDescent="0.35">
      <c r="A2581" t="s">
        <v>3336</v>
      </c>
      <c r="E2581" t="str">
        <f>_xlfn.XLOOKUP(F2581,'Raw Data'!$I$4:$I$5000,'Raw Data'!$D$4:$D$5000,"*** Mnemonic not found ***",0)</f>
        <v>*** Mnemonic not found ***</v>
      </c>
      <c r="F2581" t="str">
        <f t="shared" si="551"/>
        <v>SUCMBANKDEPBB_C__</v>
      </c>
      <c r="H2581" s="9" t="s">
        <v>1137</v>
      </c>
      <c r="K2581" s="9">
        <f t="shared" si="550"/>
        <v>387</v>
      </c>
      <c r="L2581" s="9" t="str">
        <f t="shared" si="545"/>
        <v>O</v>
      </c>
      <c r="M2581" s="9" t="str">
        <f t="shared" si="552"/>
        <v>Input!O387</v>
      </c>
      <c r="N2581" s="9">
        <f>_xlfn.XLOOKUP(F2581,'Raw Data'!$I$4:$I$5000,'Raw Data'!$E$4:$E$5000,100,0)</f>
        <v>100</v>
      </c>
      <c r="O2581" s="9" t="str">
        <f>IF(N2581=0,_xlfn.XLOOKUP(F2581,'Raw Data'!$I$4:$I$5000,'Raw Data'!$H$4:$H$5000,"",0),"")</f>
        <v/>
      </c>
      <c r="P2581" s="9" t="str" cm="1">
        <f t="array" aca="1" ref="P2581" ca="1">IF(INDIRECT(M2581) = "","",INDIRECT(M2581))</f>
        <v/>
      </c>
      <c r="Q2581" s="359" t="s">
        <v>4380</v>
      </c>
    </row>
    <row r="2582" spans="1:17" x14ac:dyDescent="0.35">
      <c r="A2582" t="s">
        <v>3337</v>
      </c>
      <c r="E2582" t="str">
        <f>_xlfn.XLOOKUP(F2582,'Raw Data'!$I$4:$I$5000,'Raw Data'!$D$4:$D$5000,"*** Mnemonic not found ***",0)</f>
        <v>*** Mnemonic not found ***</v>
      </c>
      <c r="F2582" t="str">
        <f t="shared" si="551"/>
        <v>SUCMBANKDEPCCC_C__</v>
      </c>
      <c r="H2582" s="9" t="s">
        <v>1137</v>
      </c>
      <c r="K2582" s="9">
        <f t="shared" si="550"/>
        <v>388</v>
      </c>
      <c r="L2582" s="9" t="str">
        <f t="shared" si="545"/>
        <v>O</v>
      </c>
      <c r="M2582" s="9" t="str">
        <f t="shared" si="552"/>
        <v>Input!O388</v>
      </c>
      <c r="N2582" s="9">
        <f>_xlfn.XLOOKUP(F2582,'Raw Data'!$I$4:$I$5000,'Raw Data'!$E$4:$E$5000,100,0)</f>
        <v>100</v>
      </c>
      <c r="O2582" s="9" t="str">
        <f>IF(N2582=0,_xlfn.XLOOKUP(F2582,'Raw Data'!$I$4:$I$5000,'Raw Data'!$H$4:$H$5000,"",0),"")</f>
        <v/>
      </c>
      <c r="P2582" s="9" t="str" cm="1">
        <f t="array" aca="1" ref="P2582" ca="1">IF(INDIRECT(M2582) = "","",INDIRECT(M2582))</f>
        <v/>
      </c>
      <c r="Q2582" s="359" t="s">
        <v>4380</v>
      </c>
    </row>
    <row r="2583" spans="1:17" x14ac:dyDescent="0.35">
      <c r="A2583" t="s">
        <v>3338</v>
      </c>
      <c r="E2583" t="str">
        <f>_xlfn.XLOOKUP(F2583,'Raw Data'!$I$4:$I$5000,'Raw Data'!$D$4:$D$5000,"*** Mnemonic not found ***",0)</f>
        <v>*** Mnemonic not found ***</v>
      </c>
      <c r="F2583" t="str">
        <f t="shared" si="551"/>
        <v>SUCMBANKDEPCED_C__</v>
      </c>
      <c r="H2583" s="9" t="s">
        <v>1137</v>
      </c>
      <c r="K2583" s="9">
        <f>K2582+2</f>
        <v>390</v>
      </c>
      <c r="L2583" s="9" t="str">
        <f t="shared" si="545"/>
        <v>O</v>
      </c>
      <c r="M2583" s="9" t="str">
        <f t="shared" si="552"/>
        <v>Input!O390</v>
      </c>
      <c r="N2583" s="9">
        <f>_xlfn.XLOOKUP(F2583,'Raw Data'!$I$4:$I$5000,'Raw Data'!$E$4:$E$5000,100,0)</f>
        <v>100</v>
      </c>
      <c r="O2583" s="9" t="str">
        <f>IF(N2583=0,_xlfn.XLOOKUP(F2583,'Raw Data'!$I$4:$I$5000,'Raw Data'!$H$4:$H$5000,"",0),"")</f>
        <v/>
      </c>
      <c r="P2583" s="9" t="str" cm="1">
        <f t="array" aca="1" ref="P2583" ca="1">IF(INDIRECT(M2583) = "","",INDIRECT(M2583))</f>
        <v/>
      </c>
      <c r="Q2583" s="359" t="s">
        <v>4380</v>
      </c>
    </row>
    <row r="2584" spans="1:17" x14ac:dyDescent="0.35">
      <c r="A2584" t="s">
        <v>3339</v>
      </c>
      <c r="E2584" t="str">
        <f>_xlfn.XLOOKUP(F2584,'Raw Data'!$I$4:$I$5000,'Raw Data'!$D$4:$D$5000,"*** Mnemonic not found ***",0)</f>
        <v>*** Mnemonic not found ***</v>
      </c>
      <c r="F2584" t="str">
        <f t="shared" si="551"/>
        <v>SUCMTOTINVASST_C__</v>
      </c>
      <c r="H2584" s="9" t="s">
        <v>1137</v>
      </c>
      <c r="K2584" s="9">
        <f>K2583+2</f>
        <v>392</v>
      </c>
      <c r="L2584" s="9" t="str">
        <f t="shared" si="545"/>
        <v>O</v>
      </c>
      <c r="M2584" s="9" t="str">
        <f t="shared" si="552"/>
        <v>Input!O392</v>
      </c>
      <c r="N2584" s="9">
        <f>_xlfn.XLOOKUP(F2584,'Raw Data'!$I$4:$I$5000,'Raw Data'!$E$4:$E$5000,100,0)</f>
        <v>100</v>
      </c>
      <c r="O2584" s="9" t="str">
        <f>IF(N2584=0,_xlfn.XLOOKUP(F2584,'Raw Data'!$I$4:$I$5000,'Raw Data'!$H$4:$H$5000,"",0),"")</f>
        <v/>
      </c>
      <c r="P2584" s="9" t="str" cm="1">
        <f t="array" aca="1" ref="P2584" ca="1">IF(INDIRECT(M2584) = "","",INDIRECT(M2584))</f>
        <v/>
      </c>
      <c r="Q2584" s="359" t="s">
        <v>4380</v>
      </c>
    </row>
    <row r="2585" spans="1:17" x14ac:dyDescent="0.35">
      <c r="A2585" t="s">
        <v>3340</v>
      </c>
      <c r="E2585" t="str">
        <f>_xlfn.XLOOKUP(F2585,'Raw Data'!$I$4:$I$5000,'Raw Data'!$D$4:$D$5000,"*** Mnemonic not found ***",0)</f>
        <v>*** Mnemonic not found ***</v>
      </c>
      <c r="F2585" t="str">
        <f t="shared" si="551"/>
        <v>SUCMSPRRAAA_C__</v>
      </c>
      <c r="G2585" t="s">
        <v>3116</v>
      </c>
      <c r="H2585" s="9" t="s">
        <v>1137</v>
      </c>
      <c r="I2585" s="289">
        <f>ROW(section_non_invested_assets)</f>
        <v>395</v>
      </c>
      <c r="J2585" s="9">
        <v>4</v>
      </c>
      <c r="K2585" s="9">
        <f>I2585+J2585</f>
        <v>399</v>
      </c>
      <c r="L2585" s="9" t="str">
        <f>L2584</f>
        <v>O</v>
      </c>
      <c r="M2585" s="9" t="str">
        <f t="shared" si="552"/>
        <v>Input!O399</v>
      </c>
      <c r="N2585" s="9">
        <f>_xlfn.XLOOKUP(F2585,'Raw Data'!$I$4:$I$5000,'Raw Data'!$E$4:$E$5000,100,0)</f>
        <v>100</v>
      </c>
      <c r="O2585" s="9" t="str">
        <f>IF(N2585=0,_xlfn.XLOOKUP(F2585,'Raw Data'!$I$4:$I$5000,'Raw Data'!$H$4:$H$5000,"",0),"")</f>
        <v/>
      </c>
      <c r="P2585" s="9" t="str" cm="1">
        <f t="array" aca="1" ref="P2585" ca="1">IF(INDIRECT(M2585) = "","",INDIRECT(M2585))</f>
        <v/>
      </c>
      <c r="Q2585" s="359" t="s">
        <v>4380</v>
      </c>
    </row>
    <row r="2586" spans="1:17" x14ac:dyDescent="0.35">
      <c r="A2586" t="s">
        <v>3341</v>
      </c>
      <c r="E2586" t="str">
        <f>_xlfn.XLOOKUP(F2586,'Raw Data'!$I$4:$I$5000,'Raw Data'!$D$4:$D$5000,"*** Mnemonic not found ***",0)</f>
        <v>*** Mnemonic not found ***</v>
      </c>
      <c r="F2586" t="str">
        <f t="shared" si="551"/>
        <v>SUCMSPRRAA_C__</v>
      </c>
      <c r="H2586" s="9" t="s">
        <v>1137</v>
      </c>
      <c r="K2586" s="9">
        <f t="shared" ref="K2586:K2607" si="553">K2585+1</f>
        <v>400</v>
      </c>
      <c r="L2586" s="9" t="str">
        <f t="shared" si="545"/>
        <v>O</v>
      </c>
      <c r="M2586" s="9" t="str">
        <f t="shared" si="552"/>
        <v>Input!O400</v>
      </c>
      <c r="N2586" s="9">
        <f>_xlfn.XLOOKUP(F2586,'Raw Data'!$I$4:$I$5000,'Raw Data'!$E$4:$E$5000,100,0)</f>
        <v>100</v>
      </c>
      <c r="O2586" s="9" t="str">
        <f>IF(N2586=0,_xlfn.XLOOKUP(F2586,'Raw Data'!$I$4:$I$5000,'Raw Data'!$H$4:$H$5000,"",0),"")</f>
        <v/>
      </c>
      <c r="P2586" s="9" t="str" cm="1">
        <f t="array" aca="1" ref="P2586" ca="1">IF(INDIRECT(M2586) = "","",INDIRECT(M2586))</f>
        <v/>
      </c>
      <c r="Q2586" s="359" t="s">
        <v>4380</v>
      </c>
    </row>
    <row r="2587" spans="1:17" x14ac:dyDescent="0.35">
      <c r="A2587" t="s">
        <v>3342</v>
      </c>
      <c r="E2587" t="str">
        <f>_xlfn.XLOOKUP(F2587,'Raw Data'!$I$4:$I$5000,'Raw Data'!$D$4:$D$5000,"*** Mnemonic not found ***",0)</f>
        <v>*** Mnemonic not found ***</v>
      </c>
      <c r="F2587" t="str">
        <f t="shared" si="551"/>
        <v>SUCMSPRRA_C__</v>
      </c>
      <c r="H2587" s="9" t="s">
        <v>1137</v>
      </c>
      <c r="K2587" s="9">
        <f t="shared" si="553"/>
        <v>401</v>
      </c>
      <c r="L2587" s="9" t="str">
        <f t="shared" si="545"/>
        <v>O</v>
      </c>
      <c r="M2587" s="9" t="str">
        <f t="shared" si="552"/>
        <v>Input!O401</v>
      </c>
      <c r="N2587" s="9">
        <f>_xlfn.XLOOKUP(F2587,'Raw Data'!$I$4:$I$5000,'Raw Data'!$E$4:$E$5000,100,0)</f>
        <v>100</v>
      </c>
      <c r="O2587" s="9" t="str">
        <f>IF(N2587=0,_xlfn.XLOOKUP(F2587,'Raw Data'!$I$4:$I$5000,'Raw Data'!$H$4:$H$5000,"",0),"")</f>
        <v/>
      </c>
      <c r="P2587" s="9" t="str" cm="1">
        <f t="array" aca="1" ref="P2587" ca="1">IF(INDIRECT(M2587) = "","",INDIRECT(M2587))</f>
        <v/>
      </c>
      <c r="Q2587" s="359" t="s">
        <v>4380</v>
      </c>
    </row>
    <row r="2588" spans="1:17" x14ac:dyDescent="0.35">
      <c r="A2588" t="s">
        <v>3343</v>
      </c>
      <c r="E2588" t="str">
        <f>_xlfn.XLOOKUP(F2588,'Raw Data'!$I$4:$I$5000,'Raw Data'!$D$4:$D$5000,"*** Mnemonic not found ***",0)</f>
        <v>*** Mnemonic not found ***</v>
      </c>
      <c r="F2588" t="str">
        <f t="shared" si="551"/>
        <v>SUCMSPRRBBB_C__</v>
      </c>
      <c r="H2588" s="9" t="s">
        <v>1137</v>
      </c>
      <c r="K2588" s="9">
        <f t="shared" si="553"/>
        <v>402</v>
      </c>
      <c r="L2588" s="9" t="str">
        <f t="shared" si="545"/>
        <v>O</v>
      </c>
      <c r="M2588" s="9" t="str">
        <f t="shared" si="552"/>
        <v>Input!O402</v>
      </c>
      <c r="N2588" s="9">
        <f>_xlfn.XLOOKUP(F2588,'Raw Data'!$I$4:$I$5000,'Raw Data'!$E$4:$E$5000,100,0)</f>
        <v>100</v>
      </c>
      <c r="O2588" s="9" t="str">
        <f>IF(N2588=0,_xlfn.XLOOKUP(F2588,'Raw Data'!$I$4:$I$5000,'Raw Data'!$H$4:$H$5000,"",0),"")</f>
        <v/>
      </c>
      <c r="P2588" s="9" t="str" cm="1">
        <f t="array" aca="1" ref="P2588" ca="1">IF(INDIRECT(M2588) = "","",INDIRECT(M2588))</f>
        <v/>
      </c>
      <c r="Q2588" s="359" t="s">
        <v>4380</v>
      </c>
    </row>
    <row r="2589" spans="1:17" x14ac:dyDescent="0.35">
      <c r="A2589" t="s">
        <v>3344</v>
      </c>
      <c r="E2589" t="str">
        <f>_xlfn.XLOOKUP(F2589,'Raw Data'!$I$4:$I$5000,'Raw Data'!$D$4:$D$5000,"*** Mnemonic not found ***",0)</f>
        <v>*** Mnemonic not found ***</v>
      </c>
      <c r="F2589" t="str">
        <f t="shared" si="551"/>
        <v>SUCMSPRRBB_C__</v>
      </c>
      <c r="H2589" s="9" t="s">
        <v>1137</v>
      </c>
      <c r="K2589" s="9">
        <f t="shared" si="553"/>
        <v>403</v>
      </c>
      <c r="L2589" s="9" t="str">
        <f t="shared" si="545"/>
        <v>O</v>
      </c>
      <c r="M2589" s="9" t="str">
        <f t="shared" si="552"/>
        <v>Input!O403</v>
      </c>
      <c r="N2589" s="9">
        <f>_xlfn.XLOOKUP(F2589,'Raw Data'!$I$4:$I$5000,'Raw Data'!$E$4:$E$5000,100,0)</f>
        <v>100</v>
      </c>
      <c r="O2589" s="9" t="str">
        <f>IF(N2589=0,_xlfn.XLOOKUP(F2589,'Raw Data'!$I$4:$I$5000,'Raw Data'!$H$4:$H$5000,"",0),"")</f>
        <v/>
      </c>
      <c r="P2589" s="9" t="str" cm="1">
        <f t="array" aca="1" ref="P2589" ca="1">IF(INDIRECT(M2589) = "","",INDIRECT(M2589))</f>
        <v/>
      </c>
      <c r="Q2589" s="359" t="s">
        <v>4380</v>
      </c>
    </row>
    <row r="2590" spans="1:17" x14ac:dyDescent="0.35">
      <c r="A2590" t="s">
        <v>3345</v>
      </c>
      <c r="E2590" t="str">
        <f>_xlfn.XLOOKUP(F2590,'Raw Data'!$I$4:$I$5000,'Raw Data'!$D$4:$D$5000,"*** Mnemonic not found ***",0)</f>
        <v>*** Mnemonic not found ***</v>
      </c>
      <c r="F2590" t="str">
        <f t="shared" si="551"/>
        <v>SUCMSPRRB_C__</v>
      </c>
      <c r="H2590" s="9" t="s">
        <v>1137</v>
      </c>
      <c r="K2590" s="9">
        <f t="shared" si="553"/>
        <v>404</v>
      </c>
      <c r="L2590" s="9" t="str">
        <f t="shared" si="545"/>
        <v>O</v>
      </c>
      <c r="M2590" s="9" t="str">
        <f t="shared" si="552"/>
        <v>Input!O404</v>
      </c>
      <c r="N2590" s="9">
        <f>_xlfn.XLOOKUP(F2590,'Raw Data'!$I$4:$I$5000,'Raw Data'!$E$4:$E$5000,100,0)</f>
        <v>100</v>
      </c>
      <c r="O2590" s="9" t="str">
        <f>IF(N2590=0,_xlfn.XLOOKUP(F2590,'Raw Data'!$I$4:$I$5000,'Raw Data'!$H$4:$H$5000,"",0),"")</f>
        <v/>
      </c>
      <c r="P2590" s="9" t="str" cm="1">
        <f t="array" aca="1" ref="P2590" ca="1">IF(INDIRECT(M2590) = "","",INDIRECT(M2590))</f>
        <v/>
      </c>
      <c r="Q2590" s="359" t="s">
        <v>4380</v>
      </c>
    </row>
    <row r="2591" spans="1:17" x14ac:dyDescent="0.35">
      <c r="A2591" t="s">
        <v>3346</v>
      </c>
      <c r="E2591" t="str">
        <f>_xlfn.XLOOKUP(F2591,'Raw Data'!$I$4:$I$5000,'Raw Data'!$D$4:$D$5000,"*** Mnemonic not found ***",0)</f>
        <v>*** Mnemonic not found ***</v>
      </c>
      <c r="F2591" t="str">
        <f t="shared" si="551"/>
        <v>SUCMSPRRCCC_C__</v>
      </c>
      <c r="H2591" s="9" t="s">
        <v>1137</v>
      </c>
      <c r="K2591" s="9">
        <f t="shared" si="553"/>
        <v>405</v>
      </c>
      <c r="L2591" s="9" t="str">
        <f t="shared" si="545"/>
        <v>O</v>
      </c>
      <c r="M2591" s="9" t="str">
        <f t="shared" si="552"/>
        <v>Input!O405</v>
      </c>
      <c r="N2591" s="9">
        <f>_xlfn.XLOOKUP(F2591,'Raw Data'!$I$4:$I$5000,'Raw Data'!$E$4:$E$5000,100,0)</f>
        <v>100</v>
      </c>
      <c r="O2591" s="9" t="str">
        <f>IF(N2591=0,_xlfn.XLOOKUP(F2591,'Raw Data'!$I$4:$I$5000,'Raw Data'!$H$4:$H$5000,"",0),"")</f>
        <v/>
      </c>
      <c r="P2591" s="9" t="str" cm="1">
        <f t="array" aca="1" ref="P2591" ca="1">IF(INDIRECT(M2591) = "","",INDIRECT(M2591))</f>
        <v/>
      </c>
      <c r="Q2591" s="359" t="s">
        <v>4380</v>
      </c>
    </row>
    <row r="2592" spans="1:17" x14ac:dyDescent="0.35">
      <c r="A2592" t="s">
        <v>3347</v>
      </c>
      <c r="E2592" t="str">
        <f>_xlfn.XLOOKUP(F2592,'Raw Data'!$I$4:$I$5000,'Raw Data'!$D$4:$D$5000,"*** Mnemonic not found ***",0)</f>
        <v>*** Mnemonic not found ***</v>
      </c>
      <c r="F2592" t="str">
        <f t="shared" si="551"/>
        <v>SUCMSPRRD_C__</v>
      </c>
      <c r="H2592" s="9" t="s">
        <v>1137</v>
      </c>
      <c r="K2592" s="9">
        <f t="shared" si="553"/>
        <v>406</v>
      </c>
      <c r="L2592" s="9" t="str">
        <f t="shared" si="545"/>
        <v>O</v>
      </c>
      <c r="M2592" s="9" t="str">
        <f t="shared" si="552"/>
        <v>Input!O406</v>
      </c>
      <c r="N2592" s="9">
        <f>_xlfn.XLOOKUP(F2592,'Raw Data'!$I$4:$I$5000,'Raw Data'!$E$4:$E$5000,100,0)</f>
        <v>100</v>
      </c>
      <c r="O2592" s="9" t="str">
        <f>IF(N2592=0,_xlfn.XLOOKUP(F2592,'Raw Data'!$I$4:$I$5000,'Raw Data'!$H$4:$H$5000,"",0),"")</f>
        <v/>
      </c>
      <c r="P2592" s="9" t="str" cm="1">
        <f t="array" aca="1" ref="P2592" ca="1">IF(INDIRECT(M2592) = "","",INDIRECT(M2592))</f>
        <v/>
      </c>
      <c r="Q2592" s="359" t="s">
        <v>4380</v>
      </c>
    </row>
    <row r="2593" spans="1:18" x14ac:dyDescent="0.35">
      <c r="A2593" t="s">
        <v>3348</v>
      </c>
      <c r="E2593" t="str">
        <f>_xlfn.XLOOKUP(F2593,'Raw Data'!$I$4:$I$5000,'Raw Data'!$D$4:$D$5000,"*** Mnemonic not found ***",0)</f>
        <v>*** Mnemonic not found ***</v>
      </c>
      <c r="F2593" t="str">
        <f t="shared" si="551"/>
        <v>SUCMALTRRAAA_C__</v>
      </c>
      <c r="H2593" s="9" t="s">
        <v>1137</v>
      </c>
      <c r="K2593" s="9">
        <f>K2592+4</f>
        <v>410</v>
      </c>
      <c r="L2593" s="9" t="str">
        <f t="shared" si="545"/>
        <v>O</v>
      </c>
      <c r="M2593" s="9" t="str">
        <f t="shared" si="552"/>
        <v>Input!O410</v>
      </c>
      <c r="N2593" s="9">
        <f>_xlfn.XLOOKUP(F2593,'Raw Data'!$I$4:$I$5000,'Raw Data'!$E$4:$E$5000,100,0)</f>
        <v>100</v>
      </c>
      <c r="O2593" s="9" t="str">
        <f>IF(N2593=0,_xlfn.XLOOKUP(F2593,'Raw Data'!$I$4:$I$5000,'Raw Data'!$H$4:$H$5000,"",0),"")</f>
        <v/>
      </c>
      <c r="P2593" s="9" t="str" cm="1">
        <f t="array" aca="1" ref="P2593" ca="1">IF(INDIRECT(M2593) = "","",INDIRECT(M2593))</f>
        <v/>
      </c>
      <c r="Q2593" s="359" t="s">
        <v>4380</v>
      </c>
    </row>
    <row r="2594" spans="1:18" x14ac:dyDescent="0.35">
      <c r="A2594" t="s">
        <v>3349</v>
      </c>
      <c r="E2594" t="str">
        <f>_xlfn.XLOOKUP(F2594,'Raw Data'!$I$4:$I$5000,'Raw Data'!$D$4:$D$5000,"*** Mnemonic not found ***",0)</f>
        <v>*** Mnemonic not found ***</v>
      </c>
      <c r="F2594" t="str">
        <f t="shared" si="551"/>
        <v>SUCMALTRRAA_C__</v>
      </c>
      <c r="H2594" s="9" t="s">
        <v>1137</v>
      </c>
      <c r="K2594" s="9">
        <f t="shared" si="553"/>
        <v>411</v>
      </c>
      <c r="L2594" s="9" t="str">
        <f t="shared" si="545"/>
        <v>O</v>
      </c>
      <c r="M2594" s="9" t="str">
        <f t="shared" si="552"/>
        <v>Input!O411</v>
      </c>
      <c r="N2594" s="9">
        <f>_xlfn.XLOOKUP(F2594,'Raw Data'!$I$4:$I$5000,'Raw Data'!$E$4:$E$5000,100,0)</f>
        <v>100</v>
      </c>
      <c r="O2594" s="9" t="str">
        <f>IF(N2594=0,_xlfn.XLOOKUP(F2594,'Raw Data'!$I$4:$I$5000,'Raw Data'!$H$4:$H$5000,"",0),"")</f>
        <v/>
      </c>
      <c r="P2594" s="9" t="str" cm="1">
        <f t="array" aca="1" ref="P2594" ca="1">IF(INDIRECT(M2594) = "","",INDIRECT(M2594))</f>
        <v/>
      </c>
      <c r="Q2594" s="359" t="s">
        <v>4380</v>
      </c>
    </row>
    <row r="2595" spans="1:18" x14ac:dyDescent="0.35">
      <c r="A2595" t="s">
        <v>3350</v>
      </c>
      <c r="E2595" t="str">
        <f>_xlfn.XLOOKUP(F2595,'Raw Data'!$I$4:$I$5000,'Raw Data'!$D$4:$D$5000,"*** Mnemonic not found ***",0)</f>
        <v>*** Mnemonic not found ***</v>
      </c>
      <c r="F2595" t="str">
        <f t="shared" si="551"/>
        <v>SUCMALTRRA_C__</v>
      </c>
      <c r="H2595" s="9" t="s">
        <v>1137</v>
      </c>
      <c r="K2595" s="9">
        <f t="shared" si="553"/>
        <v>412</v>
      </c>
      <c r="L2595" s="9" t="str">
        <f t="shared" si="545"/>
        <v>O</v>
      </c>
      <c r="M2595" s="9" t="str">
        <f t="shared" si="552"/>
        <v>Input!O412</v>
      </c>
      <c r="N2595" s="9">
        <f>_xlfn.XLOOKUP(F2595,'Raw Data'!$I$4:$I$5000,'Raw Data'!$E$4:$E$5000,100,0)</f>
        <v>100</v>
      </c>
      <c r="O2595" s="9" t="str">
        <f>IF(N2595=0,_xlfn.XLOOKUP(F2595,'Raw Data'!$I$4:$I$5000,'Raw Data'!$H$4:$H$5000,"",0),"")</f>
        <v/>
      </c>
      <c r="P2595" s="9" t="str" cm="1">
        <f t="array" aca="1" ref="P2595" ca="1">IF(INDIRECT(M2595) = "","",INDIRECT(M2595))</f>
        <v/>
      </c>
      <c r="Q2595" s="359" t="s">
        <v>4380</v>
      </c>
    </row>
    <row r="2596" spans="1:18" x14ac:dyDescent="0.35">
      <c r="A2596" t="s">
        <v>3351</v>
      </c>
      <c r="E2596" t="str">
        <f>_xlfn.XLOOKUP(F2596,'Raw Data'!$I$4:$I$5000,'Raw Data'!$D$4:$D$5000,"*** Mnemonic not found ***",0)</f>
        <v>*** Mnemonic not found ***</v>
      </c>
      <c r="F2596" t="str">
        <f t="shared" si="551"/>
        <v>SUCMALTRRBBB_C__</v>
      </c>
      <c r="H2596" s="9" t="s">
        <v>1137</v>
      </c>
      <c r="K2596" s="9">
        <f t="shared" si="553"/>
        <v>413</v>
      </c>
      <c r="L2596" s="9" t="str">
        <f t="shared" ref="L2596:L2607" si="554">L2595</f>
        <v>O</v>
      </c>
      <c r="M2596" s="9" t="str">
        <f t="shared" si="552"/>
        <v>Input!O413</v>
      </c>
      <c r="N2596" s="9">
        <f>_xlfn.XLOOKUP(F2596,'Raw Data'!$I$4:$I$5000,'Raw Data'!$E$4:$E$5000,100,0)</f>
        <v>100</v>
      </c>
      <c r="O2596" s="9" t="str">
        <f>IF(N2596=0,_xlfn.XLOOKUP(F2596,'Raw Data'!$I$4:$I$5000,'Raw Data'!$H$4:$H$5000,"",0),"")</f>
        <v/>
      </c>
      <c r="P2596" s="9" t="str" cm="1">
        <f t="array" aca="1" ref="P2596" ca="1">IF(INDIRECT(M2596) = "","",INDIRECT(M2596))</f>
        <v/>
      </c>
      <c r="Q2596" s="359" t="s">
        <v>4380</v>
      </c>
    </row>
    <row r="2597" spans="1:18" x14ac:dyDescent="0.35">
      <c r="A2597" t="s">
        <v>3352</v>
      </c>
      <c r="E2597" t="str">
        <f>_xlfn.XLOOKUP(F2597,'Raw Data'!$I$4:$I$5000,'Raw Data'!$D$4:$D$5000,"*** Mnemonic not found ***",0)</f>
        <v>*** Mnemonic not found ***</v>
      </c>
      <c r="F2597" t="str">
        <f t="shared" si="551"/>
        <v>SUCMALTRRBB_C__</v>
      </c>
      <c r="H2597" s="9" t="s">
        <v>1137</v>
      </c>
      <c r="K2597" s="9">
        <f t="shared" si="553"/>
        <v>414</v>
      </c>
      <c r="L2597" s="9" t="str">
        <f t="shared" si="554"/>
        <v>O</v>
      </c>
      <c r="M2597" s="9" t="str">
        <f t="shared" si="552"/>
        <v>Input!O414</v>
      </c>
      <c r="N2597" s="9">
        <f>_xlfn.XLOOKUP(F2597,'Raw Data'!$I$4:$I$5000,'Raw Data'!$E$4:$E$5000,100,0)</f>
        <v>100</v>
      </c>
      <c r="O2597" s="9" t="str">
        <f>IF(N2597=0,_xlfn.XLOOKUP(F2597,'Raw Data'!$I$4:$I$5000,'Raw Data'!$H$4:$H$5000,"",0),"")</f>
        <v/>
      </c>
      <c r="P2597" s="9" t="str" cm="1">
        <f t="array" aca="1" ref="P2597" ca="1">IF(INDIRECT(M2597) = "","",INDIRECT(M2597))</f>
        <v/>
      </c>
      <c r="Q2597" s="359" t="s">
        <v>4380</v>
      </c>
    </row>
    <row r="2598" spans="1:18" x14ac:dyDescent="0.35">
      <c r="A2598" t="s">
        <v>3353</v>
      </c>
      <c r="E2598" t="str">
        <f>_xlfn.XLOOKUP(F2598,'Raw Data'!$I$4:$I$5000,'Raw Data'!$D$4:$D$5000,"*** Mnemonic not found ***",0)</f>
        <v>*** Mnemonic not found ***</v>
      </c>
      <c r="F2598" t="str">
        <f t="shared" si="551"/>
        <v>SUCMALTRRB_C__</v>
      </c>
      <c r="H2598" s="9" t="s">
        <v>1137</v>
      </c>
      <c r="K2598" s="9">
        <f t="shared" si="553"/>
        <v>415</v>
      </c>
      <c r="L2598" s="9" t="str">
        <f t="shared" si="554"/>
        <v>O</v>
      </c>
      <c r="M2598" s="9" t="str">
        <f t="shared" si="552"/>
        <v>Input!O415</v>
      </c>
      <c r="N2598" s="9">
        <f>_xlfn.XLOOKUP(F2598,'Raw Data'!$I$4:$I$5000,'Raw Data'!$E$4:$E$5000,100,0)</f>
        <v>100</v>
      </c>
      <c r="O2598" s="9" t="str">
        <f>IF(N2598=0,_xlfn.XLOOKUP(F2598,'Raw Data'!$I$4:$I$5000,'Raw Data'!$H$4:$H$5000,"",0),"")</f>
        <v/>
      </c>
      <c r="P2598" s="9" t="str" cm="1">
        <f t="array" aca="1" ref="P2598" ca="1">IF(INDIRECT(M2598) = "","",INDIRECT(M2598))</f>
        <v/>
      </c>
      <c r="Q2598" s="359" t="s">
        <v>4380</v>
      </c>
    </row>
    <row r="2599" spans="1:18" x14ac:dyDescent="0.35">
      <c r="A2599" t="s">
        <v>3354</v>
      </c>
      <c r="E2599" t="str">
        <f>_xlfn.XLOOKUP(F2599,'Raw Data'!$I$4:$I$5000,'Raw Data'!$D$4:$D$5000,"*** Mnemonic not found ***",0)</f>
        <v>*** Mnemonic not found ***</v>
      </c>
      <c r="F2599" t="str">
        <f t="shared" si="551"/>
        <v>SUCMALTRRCCC_C__</v>
      </c>
      <c r="H2599" s="9" t="s">
        <v>1137</v>
      </c>
      <c r="K2599" s="9">
        <f t="shared" si="553"/>
        <v>416</v>
      </c>
      <c r="L2599" s="9" t="str">
        <f t="shared" si="554"/>
        <v>O</v>
      </c>
      <c r="M2599" s="9" t="str">
        <f t="shared" si="552"/>
        <v>Input!O416</v>
      </c>
      <c r="N2599" s="9">
        <f>_xlfn.XLOOKUP(F2599,'Raw Data'!$I$4:$I$5000,'Raw Data'!$E$4:$E$5000,100,0)</f>
        <v>100</v>
      </c>
      <c r="O2599" s="9" t="str">
        <f>IF(N2599=0,_xlfn.XLOOKUP(F2599,'Raw Data'!$I$4:$I$5000,'Raw Data'!$H$4:$H$5000,"",0),"")</f>
        <v/>
      </c>
      <c r="P2599" s="9" t="str" cm="1">
        <f t="array" aca="1" ref="P2599" ca="1">IF(INDIRECT(M2599) = "","",INDIRECT(M2599))</f>
        <v/>
      </c>
      <c r="Q2599" s="359" t="s">
        <v>4380</v>
      </c>
    </row>
    <row r="2600" spans="1:18" x14ac:dyDescent="0.35">
      <c r="A2600" t="s">
        <v>3355</v>
      </c>
      <c r="E2600" t="str">
        <f>_xlfn.XLOOKUP(F2600,'Raw Data'!$I$4:$I$5000,'Raw Data'!$D$4:$D$5000,"*** Mnemonic not found ***",0)</f>
        <v>*** Mnemonic not found ***</v>
      </c>
      <c r="F2600" t="str">
        <f t="shared" si="551"/>
        <v>SUCMALTRRD_C__</v>
      </c>
      <c r="H2600" s="9" t="s">
        <v>1137</v>
      </c>
      <c r="K2600" s="9">
        <f t="shared" si="553"/>
        <v>417</v>
      </c>
      <c r="L2600" s="9" t="str">
        <f t="shared" si="554"/>
        <v>O</v>
      </c>
      <c r="M2600" s="9" t="str">
        <f t="shared" si="552"/>
        <v>Input!O417</v>
      </c>
      <c r="N2600" s="9">
        <f>_xlfn.XLOOKUP(F2600,'Raw Data'!$I$4:$I$5000,'Raw Data'!$E$4:$E$5000,100,0)</f>
        <v>100</v>
      </c>
      <c r="O2600" s="9" t="str">
        <f>IF(N2600=0,_xlfn.XLOOKUP(F2600,'Raw Data'!$I$4:$I$5000,'Raw Data'!$H$4:$H$5000,"",0),"")</f>
        <v/>
      </c>
      <c r="P2600" s="9" t="str" cm="1">
        <f t="array" aca="1" ref="P2600" ca="1">IF(INDIRECT(M2600) = "","",INDIRECT(M2600))</f>
        <v/>
      </c>
      <c r="Q2600" s="359" t="s">
        <v>4380</v>
      </c>
    </row>
    <row r="2601" spans="1:18" x14ac:dyDescent="0.35">
      <c r="A2601" t="s">
        <v>3356</v>
      </c>
      <c r="E2601" t="str">
        <f>_xlfn.XLOOKUP(F2601,'Raw Data'!$I$4:$I$5000,'Raw Data'!$D$4:$D$5000,"*** Mnemonic not found ***",0)</f>
        <v>*** Mnemonic not found ***</v>
      </c>
      <c r="F2601" t="str">
        <f t="shared" si="551"/>
        <v>SUCMRRINSREC_C__</v>
      </c>
      <c r="H2601" s="9" t="s">
        <v>1137</v>
      </c>
      <c r="K2601" s="9">
        <f>K2600+3</f>
        <v>420</v>
      </c>
      <c r="L2601" s="9" t="str">
        <f t="shared" si="554"/>
        <v>O</v>
      </c>
      <c r="M2601" s="9" t="str">
        <f t="shared" si="552"/>
        <v>Input!O420</v>
      </c>
      <c r="N2601" s="9">
        <f>_xlfn.XLOOKUP(F2601,'Raw Data'!$I$4:$I$5000,'Raw Data'!$E$4:$E$5000,100,0)</f>
        <v>100</v>
      </c>
      <c r="O2601" s="9" t="str">
        <f>IF(N2601=0,_xlfn.XLOOKUP(F2601,'Raw Data'!$I$4:$I$5000,'Raw Data'!$H$4:$H$5000,"",0),"")</f>
        <v/>
      </c>
      <c r="P2601" s="9" t="str" cm="1">
        <f t="array" aca="1" ref="P2601" ca="1">IF(INDIRECT(M2601) = "","",INDIRECT(M2601))</f>
        <v/>
      </c>
      <c r="Q2601" s="359" t="s">
        <v>4380</v>
      </c>
    </row>
    <row r="2602" spans="1:18" x14ac:dyDescent="0.35">
      <c r="A2602" t="s">
        <v>3357</v>
      </c>
      <c r="E2602" t="str">
        <f>_xlfn.XLOOKUP(F2602,'Raw Data'!$I$4:$I$5000,'Raw Data'!$D$4:$D$5000,"*** Mnemonic not found ***",0)</f>
        <v>*** Mnemonic not found ***</v>
      </c>
      <c r="F2602" t="str">
        <f t="shared" si="551"/>
        <v>SUCMRRLEASE_C__</v>
      </c>
      <c r="H2602" s="9" t="s">
        <v>1137</v>
      </c>
      <c r="K2602" s="9">
        <f t="shared" si="553"/>
        <v>421</v>
      </c>
      <c r="L2602" s="9" t="str">
        <f t="shared" si="554"/>
        <v>O</v>
      </c>
      <c r="M2602" s="9" t="str">
        <f t="shared" si="552"/>
        <v>Input!O421</v>
      </c>
      <c r="N2602" s="9">
        <f>_xlfn.XLOOKUP(F2602,'Raw Data'!$I$4:$I$5000,'Raw Data'!$E$4:$E$5000,100,0)</f>
        <v>100</v>
      </c>
      <c r="O2602" s="9" t="str">
        <f>IF(N2602=0,_xlfn.XLOOKUP(F2602,'Raw Data'!$I$4:$I$5000,'Raw Data'!$H$4:$H$5000,"",0),"")</f>
        <v/>
      </c>
      <c r="P2602" s="9" t="str" cm="1">
        <f t="array" aca="1" ref="P2602" ca="1">IF(INDIRECT(M2602) = "","",INDIRECT(M2602))</f>
        <v/>
      </c>
      <c r="Q2602" s="359" t="s">
        <v>4380</v>
      </c>
    </row>
    <row r="2603" spans="1:18" x14ac:dyDescent="0.35">
      <c r="A2603" t="s">
        <v>3358</v>
      </c>
      <c r="E2603" t="str">
        <f>_xlfn.XLOOKUP(F2603,'Raw Data'!$I$4:$I$5000,'Raw Data'!$D$4:$D$5000,"*** Mnemonic not found ***",0)</f>
        <v>*** Mnemonic not found ***</v>
      </c>
      <c r="F2603" t="str">
        <f t="shared" si="551"/>
        <v>SUCMRRASOASC_C__</v>
      </c>
      <c r="H2603" s="9" t="s">
        <v>1137</v>
      </c>
      <c r="K2603" s="9">
        <f t="shared" si="553"/>
        <v>422</v>
      </c>
      <c r="L2603" s="9" t="str">
        <f t="shared" si="554"/>
        <v>O</v>
      </c>
      <c r="M2603" s="9" t="str">
        <f t="shared" si="552"/>
        <v>Input!O422</v>
      </c>
      <c r="N2603" s="9">
        <f>_xlfn.XLOOKUP(F2603,'Raw Data'!$I$4:$I$5000,'Raw Data'!$E$4:$E$5000,100,0)</f>
        <v>100</v>
      </c>
      <c r="O2603" s="9" t="str">
        <f>IF(N2603=0,_xlfn.XLOOKUP(F2603,'Raw Data'!$I$4:$I$5000,'Raw Data'!$H$4:$H$5000,"",0),"")</f>
        <v/>
      </c>
      <c r="P2603" s="9" t="str" cm="1">
        <f t="array" aca="1" ref="P2603" ca="1">IF(INDIRECT(M2603) = "","",INDIRECT(M2603))</f>
        <v/>
      </c>
      <c r="Q2603" s="359" t="s">
        <v>4380</v>
      </c>
    </row>
    <row r="2604" spans="1:18" x14ac:dyDescent="0.35">
      <c r="A2604" s="694" t="s">
        <v>4502</v>
      </c>
      <c r="E2604" t="str">
        <f>_xlfn.XLOOKUP(F2604,'Raw Data'!$I$4:$I$5000,'Raw Data'!$D$4:$D$5000,"*** Mnemonic not found ***",0)</f>
        <v>*** Mnemonic not found ***</v>
      </c>
      <c r="F2604" t="str">
        <f t="shared" si="551"/>
        <v>SUCMRROTH_C__</v>
      </c>
      <c r="H2604" s="9" t="s">
        <v>1137</v>
      </c>
      <c r="K2604" s="9">
        <f t="shared" si="553"/>
        <v>423</v>
      </c>
      <c r="L2604" s="9" t="str">
        <f t="shared" si="554"/>
        <v>O</v>
      </c>
      <c r="M2604" s="9" t="str">
        <f t="shared" ref="M2604" si="555">CONCATENATE(H2604,"!",L2604,K2604)</f>
        <v>Input!O423</v>
      </c>
      <c r="N2604" s="9">
        <f>_xlfn.XLOOKUP(F2604,'Raw Data'!$I$4:$I$5000,'Raw Data'!$E$4:$E$5000,100,0)</f>
        <v>100</v>
      </c>
      <c r="O2604" s="9" t="str">
        <f>IF(N2604=0,_xlfn.XLOOKUP(F2604,'Raw Data'!$I$4:$I$5000,'Raw Data'!$H$4:$H$5000,"",0),"")</f>
        <v/>
      </c>
      <c r="P2604" s="9" t="str" cm="1">
        <f t="array" aca="1" ref="P2604" ca="1">IF(INDIRECT(M2604) = "","",INDIRECT(M2604))</f>
        <v/>
      </c>
      <c r="Q2604" s="359" t="s">
        <v>4380</v>
      </c>
      <c r="R2604" t="s">
        <v>4350</v>
      </c>
    </row>
    <row r="2605" spans="1:18" x14ac:dyDescent="0.35">
      <c r="A2605" t="s">
        <v>3359</v>
      </c>
      <c r="E2605" t="str">
        <f>_xlfn.XLOOKUP(F2605,'Raw Data'!$I$4:$I$5000,'Raw Data'!$D$4:$D$5000,"*** Mnemonic not found ***",0)</f>
        <v>*** Mnemonic not found ***</v>
      </c>
      <c r="F2605" t="str">
        <f t="shared" si="551"/>
        <v>SUCMRRDEFTAX_C__</v>
      </c>
      <c r="H2605" s="9" t="s">
        <v>1137</v>
      </c>
      <c r="K2605" s="9">
        <f>K2604+1</f>
        <v>424</v>
      </c>
      <c r="L2605" s="9" t="str">
        <f>L2604</f>
        <v>O</v>
      </c>
      <c r="M2605" s="9" t="str">
        <f t="shared" si="552"/>
        <v>Input!O424</v>
      </c>
      <c r="N2605" s="9">
        <f>_xlfn.XLOOKUP(F2605,'Raw Data'!$I$4:$I$5000,'Raw Data'!$E$4:$E$5000,100,0)</f>
        <v>100</v>
      </c>
      <c r="O2605" s="9" t="str">
        <f>IF(N2605=0,_xlfn.XLOOKUP(F2605,'Raw Data'!$I$4:$I$5000,'Raw Data'!$H$4:$H$5000,"",0),"")</f>
        <v/>
      </c>
      <c r="P2605" s="9" t="str" cm="1">
        <f t="array" aca="1" ref="P2605" ca="1">IF(INDIRECT(M2605) = "","",INDIRECT(M2605))</f>
        <v/>
      </c>
      <c r="Q2605" s="359" t="s">
        <v>4380</v>
      </c>
    </row>
    <row r="2606" spans="1:18" x14ac:dyDescent="0.35">
      <c r="A2606" t="s">
        <v>3360</v>
      </c>
      <c r="E2606" t="str">
        <f>_xlfn.XLOOKUP(F2606,'Raw Data'!$I$4:$I$5000,'Raw Data'!$D$4:$D$5000,"*** Mnemonic not found ***",0)</f>
        <v>*** Mnemonic not found ***</v>
      </c>
      <c r="F2606" t="str">
        <f t="shared" si="551"/>
        <v>SUCMRREXASST_C__</v>
      </c>
      <c r="H2606" s="9" t="s">
        <v>1137</v>
      </c>
      <c r="K2606" s="9">
        <f>K2605+3</f>
        <v>427</v>
      </c>
      <c r="L2606" s="9" t="str">
        <f t="shared" si="554"/>
        <v>O</v>
      </c>
      <c r="M2606" s="9" t="str">
        <f t="shared" si="552"/>
        <v>Input!O427</v>
      </c>
      <c r="N2606" s="9">
        <f>_xlfn.XLOOKUP(F2606,'Raw Data'!$I$4:$I$5000,'Raw Data'!$E$4:$E$5000,100,0)</f>
        <v>100</v>
      </c>
      <c r="O2606" s="9" t="str">
        <f>IF(N2606=0,_xlfn.XLOOKUP(F2606,'Raw Data'!$I$4:$I$5000,'Raw Data'!$H$4:$H$5000,"",0),"")</f>
        <v/>
      </c>
      <c r="P2606" s="9" t="str" cm="1">
        <f t="array" aca="1" ref="P2606" ca="1">IF(INDIRECT(M2606) = "","",INDIRECT(M2606))</f>
        <v/>
      </c>
      <c r="Q2606" s="359" t="s">
        <v>4380</v>
      </c>
    </row>
    <row r="2607" spans="1:18" x14ac:dyDescent="0.35">
      <c r="A2607" t="s">
        <v>3361</v>
      </c>
      <c r="E2607" t="str">
        <f>_xlfn.XLOOKUP(F2607,'Raw Data'!$I$4:$I$5000,'Raw Data'!$D$4:$D$5000,"*** Mnemonic not found ***",0)</f>
        <v>*** Mnemonic not found ***</v>
      </c>
      <c r="F2607" t="str">
        <f t="shared" si="551"/>
        <v>SUCMRROTHASST_C__</v>
      </c>
      <c r="H2607" s="9" t="s">
        <v>1137</v>
      </c>
      <c r="K2607" s="9">
        <f t="shared" si="553"/>
        <v>428</v>
      </c>
      <c r="L2607" s="9" t="str">
        <f t="shared" si="554"/>
        <v>O</v>
      </c>
      <c r="M2607" s="9" t="str">
        <f t="shared" si="552"/>
        <v>Input!O428</v>
      </c>
      <c r="N2607" s="9">
        <f>_xlfn.XLOOKUP(F2607,'Raw Data'!$I$4:$I$5000,'Raw Data'!$E$4:$E$5000,100,0)</f>
        <v>100</v>
      </c>
      <c r="O2607" s="9" t="str">
        <f>IF(N2607=0,_xlfn.XLOOKUP(F2607,'Raw Data'!$I$4:$I$5000,'Raw Data'!$H$4:$H$5000,"",0),"")</f>
        <v/>
      </c>
      <c r="P2607" s="9" t="str" cm="1">
        <f t="array" aca="1" ref="P2607" ca="1">IF(INDIRECT(M2607) = "","",INDIRECT(M2607))</f>
        <v/>
      </c>
      <c r="Q2607" s="359" t="s">
        <v>4380</v>
      </c>
    </row>
    <row r="2608" spans="1:18" x14ac:dyDescent="0.35">
      <c r="A2608" t="s">
        <v>3362</v>
      </c>
      <c r="E2608" t="str">
        <f>_xlfn.XLOOKUP(F2608,'Raw Data'!$I$4:$I$5000,'Raw Data'!$D$4:$D$5000,"*** Mnemonic not found ***",0)</f>
        <v>*** Mnemonic not found ***</v>
      </c>
      <c r="F2608" t="str">
        <f t="shared" si="551"/>
        <v>SUCMTOTBSASST_C__</v>
      </c>
      <c r="H2608" s="9" t="s">
        <v>1137</v>
      </c>
      <c r="K2608" s="9">
        <f>K2607+4</f>
        <v>432</v>
      </c>
      <c r="L2608" s="9" t="str">
        <f>L2607</f>
        <v>O</v>
      </c>
      <c r="M2608" s="9" t="str">
        <f t="shared" si="552"/>
        <v>Input!O432</v>
      </c>
      <c r="N2608" s="9">
        <f>_xlfn.XLOOKUP(F2608,'Raw Data'!$I$4:$I$5000,'Raw Data'!$E$4:$E$5000,100,0)</f>
        <v>100</v>
      </c>
      <c r="O2608" s="9" t="str">
        <f>IF(N2608=0,_xlfn.XLOOKUP(F2608,'Raw Data'!$I$4:$I$5000,'Raw Data'!$H$4:$H$5000,"",0),"")</f>
        <v/>
      </c>
      <c r="P2608" s="9" t="str" cm="1">
        <f t="array" aca="1" ref="P2608" ca="1">IF(INDIRECT(M2608) = "","",INDIRECT(M2608))</f>
        <v/>
      </c>
      <c r="Q2608" s="359" t="s">
        <v>4380</v>
      </c>
    </row>
    <row r="2609" spans="1:18" x14ac:dyDescent="0.35">
      <c r="A2609" t="s">
        <v>3363</v>
      </c>
      <c r="E2609" t="str">
        <f>_xlfn.XLOOKUP(F2609,'Raw Data'!$I$4:$I$5000,'Raw Data'!$D$4:$D$5000,"*** Mnemonic not found ***",0)</f>
        <v>*** Mnemonic not found ***</v>
      </c>
      <c r="F2609" t="str">
        <f t="shared" si="551"/>
        <v>SUCMPRRSK_EMEA_LIA_C__</v>
      </c>
      <c r="G2609" t="s">
        <v>3117</v>
      </c>
      <c r="H2609" s="9" t="s">
        <v>1137</v>
      </c>
      <c r="I2609" s="289">
        <f>ROW(section_non_life_prem)</f>
        <v>437</v>
      </c>
      <c r="J2609" s="9">
        <v>4</v>
      </c>
      <c r="K2609" s="9">
        <f>I2609+J2609</f>
        <v>441</v>
      </c>
      <c r="L2609" s="9" t="str">
        <f>L2608</f>
        <v>O</v>
      </c>
      <c r="M2609" s="9" t="str">
        <f t="shared" si="552"/>
        <v>Input!O441</v>
      </c>
      <c r="N2609" s="9">
        <f>_xlfn.XLOOKUP(F2609,'Raw Data'!$I$4:$I$5000,'Raw Data'!$E$4:$E$5000,100,0)</f>
        <v>100</v>
      </c>
      <c r="O2609" s="9" t="str">
        <f>IF(N2609=0,_xlfn.XLOOKUP(F2609,'Raw Data'!$I$4:$I$5000,'Raw Data'!$H$4:$H$5000,"",0),"")</f>
        <v/>
      </c>
      <c r="P2609" s="9" t="str" cm="1">
        <f t="array" aca="1" ref="P2609" ca="1">IF(INDIRECT(M2609) = "","",INDIRECT(M2609))</f>
        <v/>
      </c>
      <c r="Q2609" s="359" t="s">
        <v>4380</v>
      </c>
      <c r="R2609" t="s">
        <v>4503</v>
      </c>
    </row>
    <row r="2610" spans="1:18" x14ac:dyDescent="0.35">
      <c r="A2610" t="s">
        <v>3364</v>
      </c>
      <c r="E2610" t="str">
        <f>_xlfn.XLOOKUP(F2610,'Raw Data'!$I$4:$I$5000,'Raw Data'!$D$4:$D$5000,"*** Mnemonic not found ***",0)</f>
        <v>*** Mnemonic not found ***</v>
      </c>
      <c r="F2610" t="str">
        <f t="shared" si="551"/>
        <v>SUCMPRRSK_EMEA_WCP_C__</v>
      </c>
      <c r="H2610" s="9" t="s">
        <v>1137</v>
      </c>
      <c r="K2610" s="9">
        <f t="shared" ref="K2610:K2677" si="556">K2609+1</f>
        <v>442</v>
      </c>
      <c r="L2610" s="9" t="str">
        <f t="shared" ref="L2610:L2673" si="557">L2609</f>
        <v>O</v>
      </c>
      <c r="M2610" s="9" t="str">
        <f t="shared" ref="M2610:M2673" si="558">CONCATENATE(H2610,"!",L2610,K2610)</f>
        <v>Input!O442</v>
      </c>
      <c r="N2610" s="9">
        <f>_xlfn.XLOOKUP(F2610,'Raw Data'!$I$4:$I$5000,'Raw Data'!$E$4:$E$5000,100,0)</f>
        <v>100</v>
      </c>
      <c r="O2610" s="9" t="str">
        <f>IF(N2610=0,_xlfn.XLOOKUP(F2610,'Raw Data'!$I$4:$I$5000,'Raw Data'!$H$4:$H$5000,"",0),"")</f>
        <v/>
      </c>
      <c r="P2610" s="9" t="str" cm="1">
        <f t="array" aca="1" ref="P2610" ca="1">IF(INDIRECT(M2610) = "","",INDIRECT(M2610))</f>
        <v/>
      </c>
      <c r="Q2610" s="359" t="s">
        <v>4380</v>
      </c>
      <c r="R2610" t="s">
        <v>4504</v>
      </c>
    </row>
    <row r="2611" spans="1:18" x14ac:dyDescent="0.35">
      <c r="A2611" t="s">
        <v>3365</v>
      </c>
      <c r="E2611" t="str">
        <f>_xlfn.XLOOKUP(F2611,'Raw Data'!$I$4:$I$5000,'Raw Data'!$D$4:$D$5000,"*** Mnemonic not found ***",0)</f>
        <v>*** Mnemonic not found ***</v>
      </c>
      <c r="F2611" t="str">
        <f t="shared" si="551"/>
        <v>SUCMPRRSK_EMEA_FIR_C__</v>
      </c>
      <c r="H2611" s="9" t="s">
        <v>1137</v>
      </c>
      <c r="K2611" s="9">
        <f t="shared" si="556"/>
        <v>443</v>
      </c>
      <c r="L2611" s="9" t="str">
        <f t="shared" si="557"/>
        <v>O</v>
      </c>
      <c r="M2611" s="9" t="str">
        <f t="shared" si="558"/>
        <v>Input!O443</v>
      </c>
      <c r="N2611" s="9">
        <f>_xlfn.XLOOKUP(F2611,'Raw Data'!$I$4:$I$5000,'Raw Data'!$E$4:$E$5000,100,0)</f>
        <v>100</v>
      </c>
      <c r="O2611" s="9" t="str">
        <f>IF(N2611=0,_xlfn.XLOOKUP(F2611,'Raw Data'!$I$4:$I$5000,'Raw Data'!$H$4:$H$5000,"",0),"")</f>
        <v/>
      </c>
      <c r="P2611" s="9" t="str" cm="1">
        <f t="array" aca="1" ref="P2611" ca="1">IF(INDIRECT(M2611) = "","",INDIRECT(M2611))</f>
        <v/>
      </c>
      <c r="Q2611" s="359" t="s">
        <v>4380</v>
      </c>
      <c r="R2611" t="s">
        <v>4505</v>
      </c>
    </row>
    <row r="2612" spans="1:18" x14ac:dyDescent="0.35">
      <c r="A2612" t="s">
        <v>3366</v>
      </c>
      <c r="E2612" t="str">
        <f>_xlfn.XLOOKUP(F2612,'Raw Data'!$I$4:$I$5000,'Raw Data'!$D$4:$D$5000,"*** Mnemonic not found ***",0)</f>
        <v>*** Mnemonic not found ***</v>
      </c>
      <c r="F2612" t="str">
        <f t="shared" si="551"/>
        <v>SUCMPRRSK_EMEA_ALB_C__</v>
      </c>
      <c r="H2612" s="9" t="s">
        <v>1137</v>
      </c>
      <c r="K2612" s="9">
        <f t="shared" si="556"/>
        <v>444</v>
      </c>
      <c r="L2612" s="9" t="str">
        <f t="shared" si="557"/>
        <v>O</v>
      </c>
      <c r="M2612" s="9" t="str">
        <f t="shared" si="558"/>
        <v>Input!O444</v>
      </c>
      <c r="N2612" s="9">
        <f>_xlfn.XLOOKUP(F2612,'Raw Data'!$I$4:$I$5000,'Raw Data'!$E$4:$E$5000,100,0)</f>
        <v>100</v>
      </c>
      <c r="O2612" s="9" t="str">
        <f>IF(N2612=0,_xlfn.XLOOKUP(F2612,'Raw Data'!$I$4:$I$5000,'Raw Data'!$H$4:$H$5000,"",0),"")</f>
        <v/>
      </c>
      <c r="P2612" s="9" t="str" cm="1">
        <f t="array" aca="1" ref="P2612" ca="1">IF(INDIRECT(M2612) = "","",INDIRECT(M2612))</f>
        <v/>
      </c>
      <c r="Q2612" s="359" t="s">
        <v>4380</v>
      </c>
      <c r="R2612" t="s">
        <v>4506</v>
      </c>
    </row>
    <row r="2613" spans="1:18" x14ac:dyDescent="0.35">
      <c r="A2613" t="s">
        <v>3367</v>
      </c>
      <c r="E2613" t="str">
        <f>_xlfn.XLOOKUP(F2613,'Raw Data'!$I$4:$I$5000,'Raw Data'!$D$4:$D$5000,"*** Mnemonic not found ***",0)</f>
        <v>*** Mnemonic not found ***</v>
      </c>
      <c r="F2613" t="str">
        <f t="shared" si="551"/>
        <v>SUCMPRRSK_EMEA_OTHM_C__</v>
      </c>
      <c r="H2613" s="9" t="s">
        <v>1137</v>
      </c>
      <c r="K2613" s="9">
        <f t="shared" si="556"/>
        <v>445</v>
      </c>
      <c r="L2613" s="9" t="str">
        <f t="shared" si="557"/>
        <v>O</v>
      </c>
      <c r="M2613" s="9" t="str">
        <f t="shared" si="558"/>
        <v>Input!O445</v>
      </c>
      <c r="N2613" s="9">
        <f>_xlfn.XLOOKUP(F2613,'Raw Data'!$I$4:$I$5000,'Raw Data'!$E$4:$E$5000,100,0)</f>
        <v>100</v>
      </c>
      <c r="O2613" s="9" t="str">
        <f>IF(N2613=0,_xlfn.XLOOKUP(F2613,'Raw Data'!$I$4:$I$5000,'Raw Data'!$H$4:$H$5000,"",0),"")</f>
        <v/>
      </c>
      <c r="P2613" s="9" t="str" cm="1">
        <f t="array" aca="1" ref="P2613" ca="1">IF(INDIRECT(M2613) = "","",INDIRECT(M2613))</f>
        <v/>
      </c>
      <c r="Q2613" s="359" t="s">
        <v>4380</v>
      </c>
      <c r="R2613" t="s">
        <v>4507</v>
      </c>
    </row>
    <row r="2614" spans="1:18" x14ac:dyDescent="0.35">
      <c r="A2614" t="s">
        <v>3368</v>
      </c>
      <c r="E2614" t="str">
        <f>_xlfn.XLOOKUP(F2614,'Raw Data'!$I$4:$I$5000,'Raw Data'!$D$4:$D$5000,"*** Mnemonic not found ***",0)</f>
        <v>*** Mnemonic not found ***</v>
      </c>
      <c r="F2614" t="str">
        <f t="shared" si="551"/>
        <v>SUCMPRRSK_EMEA_CRDS_C__</v>
      </c>
      <c r="H2614" s="9" t="s">
        <v>1137</v>
      </c>
      <c r="K2614" s="9">
        <f t="shared" si="556"/>
        <v>446</v>
      </c>
      <c r="L2614" s="9" t="str">
        <f t="shared" si="557"/>
        <v>O</v>
      </c>
      <c r="M2614" s="9" t="str">
        <f t="shared" si="558"/>
        <v>Input!O446</v>
      </c>
      <c r="N2614" s="9">
        <f>_xlfn.XLOOKUP(F2614,'Raw Data'!$I$4:$I$5000,'Raw Data'!$E$4:$E$5000,100,0)</f>
        <v>100</v>
      </c>
      <c r="O2614" s="9" t="str">
        <f>IF(N2614=0,_xlfn.XLOOKUP(F2614,'Raw Data'!$I$4:$I$5000,'Raw Data'!$H$4:$H$5000,"",0),"")</f>
        <v/>
      </c>
      <c r="P2614" s="9" t="str" cm="1">
        <f t="array" aca="1" ref="P2614" ca="1">IF(INDIRECT(M2614) = "","",INDIRECT(M2614))</f>
        <v/>
      </c>
      <c r="Q2614" s="359" t="s">
        <v>4380</v>
      </c>
      <c r="R2614" t="s">
        <v>4508</v>
      </c>
    </row>
    <row r="2615" spans="1:18" x14ac:dyDescent="0.35">
      <c r="A2615" t="s">
        <v>3369</v>
      </c>
      <c r="E2615" t="str">
        <f>_xlfn.XLOOKUP(F2615,'Raw Data'!$I$4:$I$5000,'Raw Data'!$D$4:$D$5000,"*** Mnemonic not found ***",0)</f>
        <v>*** Mnemonic not found ***</v>
      </c>
      <c r="F2615" t="str">
        <f t="shared" si="551"/>
        <v>SUCMPRRSK_EMEA_MSFL_C__</v>
      </c>
      <c r="H2615" s="9" t="s">
        <v>1137</v>
      </c>
      <c r="K2615" s="9">
        <f t="shared" si="556"/>
        <v>447</v>
      </c>
      <c r="L2615" s="9" t="str">
        <f t="shared" si="557"/>
        <v>O</v>
      </c>
      <c r="M2615" s="9" t="str">
        <f t="shared" si="558"/>
        <v>Input!O447</v>
      </c>
      <c r="N2615" s="9">
        <f>_xlfn.XLOOKUP(F2615,'Raw Data'!$I$4:$I$5000,'Raw Data'!$E$4:$E$5000,100,0)</f>
        <v>100</v>
      </c>
      <c r="O2615" s="9" t="str">
        <f>IF(N2615=0,_xlfn.XLOOKUP(F2615,'Raw Data'!$I$4:$I$5000,'Raw Data'!$H$4:$H$5000,"",0),"")</f>
        <v/>
      </c>
      <c r="P2615" s="9" t="str" cm="1">
        <f t="array" aca="1" ref="P2615" ca="1">IF(INDIRECT(M2615) = "","",INDIRECT(M2615))</f>
        <v/>
      </c>
      <c r="Q2615" s="359" t="s">
        <v>4380</v>
      </c>
      <c r="R2615" t="s">
        <v>4509</v>
      </c>
    </row>
    <row r="2616" spans="1:18" x14ac:dyDescent="0.35">
      <c r="A2616" t="s">
        <v>3370</v>
      </c>
      <c r="E2616" t="str">
        <f>_xlfn.XLOOKUP(F2616,'Raw Data'!$I$4:$I$5000,'Raw Data'!$D$4:$D$5000,"*** Mnemonic not found ***",0)</f>
        <v>*** Mnemonic not found ***</v>
      </c>
      <c r="F2616" t="str">
        <f t="shared" si="551"/>
        <v>SUCMPRRSK_EMEA_HMEI_C__</v>
      </c>
      <c r="H2616" s="9" t="s">
        <v>1137</v>
      </c>
      <c r="K2616" s="9">
        <f t="shared" si="556"/>
        <v>448</v>
      </c>
      <c r="L2616" s="9" t="str">
        <f t="shared" si="557"/>
        <v>O</v>
      </c>
      <c r="M2616" s="9" t="str">
        <f t="shared" si="558"/>
        <v>Input!O448</v>
      </c>
      <c r="N2616" s="9">
        <f>_xlfn.XLOOKUP(F2616,'Raw Data'!$I$4:$I$5000,'Raw Data'!$E$4:$E$5000,100,0)</f>
        <v>100</v>
      </c>
      <c r="O2616" s="9" t="str">
        <f>IF(N2616=0,_xlfn.XLOOKUP(F2616,'Raw Data'!$I$4:$I$5000,'Raw Data'!$H$4:$H$5000,"",0),"")</f>
        <v/>
      </c>
      <c r="P2616" s="9" t="str" cm="1">
        <f t="array" aca="1" ref="P2616" ca="1">IF(INDIRECT(M2616) = "","",INDIRECT(M2616))</f>
        <v/>
      </c>
      <c r="Q2616" s="359" t="s">
        <v>4380</v>
      </c>
      <c r="R2616" t="s">
        <v>4510</v>
      </c>
    </row>
    <row r="2617" spans="1:18" x14ac:dyDescent="0.35">
      <c r="A2617" t="s">
        <v>3371</v>
      </c>
      <c r="E2617" t="str">
        <f>_xlfn.XLOOKUP(F2617,'Raw Data'!$I$4:$I$5000,'Raw Data'!$D$4:$D$5000,"*** Mnemonic not found ***",0)</f>
        <v>*** Mnemonic not found ***</v>
      </c>
      <c r="F2617" t="str">
        <f t="shared" si="551"/>
        <v>SUCMPRRSK_EMEA_MAVT_C__</v>
      </c>
      <c r="H2617" s="9" t="s">
        <v>1137</v>
      </c>
      <c r="K2617" s="9">
        <f t="shared" si="556"/>
        <v>449</v>
      </c>
      <c r="L2617" s="9" t="str">
        <f t="shared" si="557"/>
        <v>O</v>
      </c>
      <c r="M2617" s="9" t="str">
        <f t="shared" si="558"/>
        <v>Input!O449</v>
      </c>
      <c r="N2617" s="9">
        <f>_xlfn.XLOOKUP(F2617,'Raw Data'!$I$4:$I$5000,'Raw Data'!$E$4:$E$5000,100,0)</f>
        <v>100</v>
      </c>
      <c r="O2617" s="9" t="str">
        <f>IF(N2617=0,_xlfn.XLOOKUP(F2617,'Raw Data'!$I$4:$I$5000,'Raw Data'!$H$4:$H$5000,"",0),"")</f>
        <v/>
      </c>
      <c r="P2617" s="9" t="str" cm="1">
        <f t="array" aca="1" ref="P2617" ca="1">IF(INDIRECT(M2617) = "","",INDIRECT(M2617))</f>
        <v/>
      </c>
      <c r="Q2617" s="359" t="s">
        <v>4380</v>
      </c>
      <c r="R2617" t="s">
        <v>4511</v>
      </c>
    </row>
    <row r="2618" spans="1:18" x14ac:dyDescent="0.35">
      <c r="A2618" s="694" t="s">
        <v>4351</v>
      </c>
      <c r="B2618" s="694"/>
      <c r="E2618" t="str">
        <f>_xlfn.XLOOKUP(F2618,'Raw Data'!$I$4:$I$5000,'Raw Data'!$D$4:$D$5000,"*** Mnemonic not found ***",0)</f>
        <v>*** Mnemonic not found ***</v>
      </c>
      <c r="F2618" t="str">
        <f t="shared" si="551"/>
        <v>SUCMPRRSK_EMEA_MPIN_C__</v>
      </c>
      <c r="H2618" s="9" t="s">
        <v>1137</v>
      </c>
      <c r="K2618" s="9">
        <f t="shared" si="556"/>
        <v>450</v>
      </c>
      <c r="L2618" s="9" t="str">
        <f t="shared" si="557"/>
        <v>O</v>
      </c>
      <c r="M2618" s="9" t="str">
        <f t="shared" si="558"/>
        <v>Input!O450</v>
      </c>
      <c r="N2618" s="9">
        <f>_xlfn.XLOOKUP(F2618,'Raw Data'!$I$4:$I$5000,'Raw Data'!$E$4:$E$5000,100,0)</f>
        <v>100</v>
      </c>
      <c r="O2618" s="9" t="str">
        <f>IF(N2618=0,_xlfn.XLOOKUP(F2618,'Raw Data'!$I$4:$I$5000,'Raw Data'!$H$4:$H$5000,"",0),"")</f>
        <v/>
      </c>
      <c r="P2618" s="9" t="str" cm="1">
        <f t="array" aca="1" ref="P2618" ca="1">IF(INDIRECT(M2618) = "","",INDIRECT(M2618))</f>
        <v/>
      </c>
      <c r="Q2618" s="359" t="s">
        <v>4380</v>
      </c>
      <c r="R2618" t="s">
        <v>4512</v>
      </c>
    </row>
    <row r="2619" spans="1:18" x14ac:dyDescent="0.35">
      <c r="A2619" t="s">
        <v>3372</v>
      </c>
      <c r="E2619" t="str">
        <f>_xlfn.XLOOKUP(F2619,'Raw Data'!$I$4:$I$5000,'Raw Data'!$D$4:$D$5000,"*** Mnemonic not found ***",0)</f>
        <v>*** Mnemonic not found ***</v>
      </c>
      <c r="F2619" t="str">
        <f t="shared" si="551"/>
        <v>SUCMPRRSK_EMEA_ASST_C__</v>
      </c>
      <c r="H2619" s="9" t="s">
        <v>1137</v>
      </c>
      <c r="K2619" s="9">
        <f t="shared" si="556"/>
        <v>451</v>
      </c>
      <c r="L2619" s="9" t="str">
        <f t="shared" si="557"/>
        <v>O</v>
      </c>
      <c r="M2619" s="9" t="str">
        <f t="shared" si="558"/>
        <v>Input!O451</v>
      </c>
      <c r="N2619" s="9">
        <f>_xlfn.XLOOKUP(F2619,'Raw Data'!$I$4:$I$5000,'Raw Data'!$E$4:$E$5000,100,0)</f>
        <v>100</v>
      </c>
      <c r="O2619" s="9" t="str">
        <f>IF(N2619=0,_xlfn.XLOOKUP(F2619,'Raw Data'!$I$4:$I$5000,'Raw Data'!$H$4:$H$5000,"",0),"")</f>
        <v/>
      </c>
      <c r="P2619" s="9" t="str" cm="1">
        <f t="array" aca="1" ref="P2619" ca="1">IF(INDIRECT(M2619) = "","",INDIRECT(M2619))</f>
        <v/>
      </c>
      <c r="Q2619" s="359" t="s">
        <v>4380</v>
      </c>
      <c r="R2619" t="s">
        <v>4513</v>
      </c>
    </row>
    <row r="2620" spans="1:18" x14ac:dyDescent="0.35">
      <c r="A2620" t="s">
        <v>3373</v>
      </c>
      <c r="E2620" t="str">
        <f>_xlfn.XLOOKUP(F2620,'Raw Data'!$I$4:$I$5000,'Raw Data'!$D$4:$D$5000,"*** Mnemonic not found ***",0)</f>
        <v>*** Mnemonic not found ***</v>
      </c>
      <c r="F2620" t="str">
        <f t="shared" si="551"/>
        <v>SUCMPRRSK_EMEA_INPR_C__</v>
      </c>
      <c r="H2620" s="9" t="s">
        <v>1137</v>
      </c>
      <c r="K2620" s="9">
        <f t="shared" si="556"/>
        <v>452</v>
      </c>
      <c r="L2620" s="9" t="str">
        <f t="shared" si="557"/>
        <v>O</v>
      </c>
      <c r="M2620" s="9" t="str">
        <f t="shared" si="558"/>
        <v>Input!O452</v>
      </c>
      <c r="N2620" s="9">
        <f>_xlfn.XLOOKUP(F2620,'Raw Data'!$I$4:$I$5000,'Raw Data'!$E$4:$E$5000,100,0)</f>
        <v>100</v>
      </c>
      <c r="O2620" s="9" t="str">
        <f>IF(N2620=0,_xlfn.XLOOKUP(F2620,'Raw Data'!$I$4:$I$5000,'Raw Data'!$H$4:$H$5000,"",0),"")</f>
        <v/>
      </c>
      <c r="P2620" s="9" t="str" cm="1">
        <f t="array" aca="1" ref="P2620" ca="1">IF(INDIRECT(M2620) = "","",INDIRECT(M2620))</f>
        <v/>
      </c>
      <c r="Q2620" s="359" t="s">
        <v>4380</v>
      </c>
      <c r="R2620" t="s">
        <v>4514</v>
      </c>
    </row>
    <row r="2621" spans="1:18" x14ac:dyDescent="0.35">
      <c r="A2621" t="s">
        <v>3374</v>
      </c>
      <c r="E2621" t="str">
        <f>_xlfn.XLOOKUP(F2621,'Raw Data'!$I$4:$I$5000,'Raw Data'!$D$4:$D$5000,"*** Mnemonic not found ***",0)</f>
        <v>*** Mnemonic not found ***</v>
      </c>
      <c r="F2621" t="str">
        <f t="shared" si="551"/>
        <v>SUCMPRRSK_EMEA_LEGEX_C__</v>
      </c>
      <c r="H2621" s="9" t="s">
        <v>1137</v>
      </c>
      <c r="K2621" s="9">
        <f t="shared" si="556"/>
        <v>453</v>
      </c>
      <c r="L2621" s="9" t="str">
        <f t="shared" si="557"/>
        <v>O</v>
      </c>
      <c r="M2621" s="9" t="str">
        <f t="shared" si="558"/>
        <v>Input!O453</v>
      </c>
      <c r="N2621" s="9">
        <f>_xlfn.XLOOKUP(F2621,'Raw Data'!$I$4:$I$5000,'Raw Data'!$E$4:$E$5000,100,0)</f>
        <v>100</v>
      </c>
      <c r="O2621" s="9" t="str">
        <f>IF(N2621=0,_xlfn.XLOOKUP(F2621,'Raw Data'!$I$4:$I$5000,'Raw Data'!$H$4:$H$5000,"",0),"")</f>
        <v/>
      </c>
      <c r="P2621" s="9" t="str" cm="1">
        <f t="array" aca="1" ref="P2621" ca="1">IF(INDIRECT(M2621) = "","",INDIRECT(M2621))</f>
        <v/>
      </c>
      <c r="Q2621" s="359" t="s">
        <v>4380</v>
      </c>
      <c r="R2621" t="s">
        <v>4515</v>
      </c>
    </row>
    <row r="2622" spans="1:18" x14ac:dyDescent="0.35">
      <c r="A2622" t="s">
        <v>3375</v>
      </c>
      <c r="B2622" s="217"/>
      <c r="E2622" t="str">
        <f>_xlfn.XLOOKUP(F2622,'Raw Data'!$I$4:$I$5000,'Raw Data'!$D$4:$D$5000,"*** Mnemonic not found ***",0)</f>
        <v>*** Mnemonic not found ***</v>
      </c>
      <c r="F2622" t="str">
        <f t="shared" si="551"/>
        <v>SUCMPRRSK_EMEA_OCAH_C__</v>
      </c>
      <c r="H2622" s="9" t="s">
        <v>1137</v>
      </c>
      <c r="K2622" s="9">
        <f t="shared" si="556"/>
        <v>454</v>
      </c>
      <c r="L2622" s="9" t="str">
        <f t="shared" si="557"/>
        <v>O</v>
      </c>
      <c r="M2622" s="9" t="str">
        <f t="shared" si="558"/>
        <v>Input!O454</v>
      </c>
      <c r="N2622" s="9">
        <f>_xlfn.XLOOKUP(F2622,'Raw Data'!$I$4:$I$5000,'Raw Data'!$E$4:$E$5000,100,0)</f>
        <v>100</v>
      </c>
      <c r="O2622" s="9" t="str">
        <f>IF(N2622=0,_xlfn.XLOOKUP(F2622,'Raw Data'!$I$4:$I$5000,'Raw Data'!$H$4:$H$5000,"",0),"")</f>
        <v/>
      </c>
      <c r="P2622" s="9" t="str" cm="1">
        <f t="array" aca="1" ref="P2622" ca="1">IF(INDIRECT(M2622) = "","",INDIRECT(M2622))</f>
        <v/>
      </c>
      <c r="Q2622" s="359" t="s">
        <v>4380</v>
      </c>
      <c r="R2622" t="s">
        <v>4516</v>
      </c>
    </row>
    <row r="2623" spans="1:18" x14ac:dyDescent="0.35">
      <c r="A2623" t="s">
        <v>3376</v>
      </c>
      <c r="E2623" t="str">
        <f>_xlfn.XLOOKUP(F2623,'Raw Data'!$I$4:$I$5000,'Raw Data'!$D$4:$D$5000,"*** Mnemonic not found ***",0)</f>
        <v>*** Mnemonic not found ***</v>
      </c>
      <c r="F2623" t="str">
        <f t="shared" si="551"/>
        <v>SUCMPRRSK_US_EWCP_C__</v>
      </c>
      <c r="H2623" s="9" t="s">
        <v>1137</v>
      </c>
      <c r="K2623" s="9">
        <f>K2622+2</f>
        <v>456</v>
      </c>
      <c r="L2623" s="9" t="str">
        <f t="shared" si="557"/>
        <v>O</v>
      </c>
      <c r="M2623" s="9" t="str">
        <f t="shared" si="558"/>
        <v>Input!O456</v>
      </c>
      <c r="N2623" s="9">
        <f>_xlfn.XLOOKUP(F2623,'Raw Data'!$I$4:$I$5000,'Raw Data'!$E$4:$E$5000,100,0)</f>
        <v>100</v>
      </c>
      <c r="O2623" s="9" t="str">
        <f>IF(N2623=0,_xlfn.XLOOKUP(F2623,'Raw Data'!$I$4:$I$5000,'Raw Data'!$H$4:$H$5000,"",0),"")</f>
        <v/>
      </c>
      <c r="P2623" s="9" t="str" cm="1">
        <f t="array" aca="1" ref="P2623" ca="1">IF(INDIRECT(M2623) = "","",INDIRECT(M2623))</f>
        <v/>
      </c>
      <c r="Q2623" s="359" t="s">
        <v>4380</v>
      </c>
      <c r="R2623" t="s">
        <v>4517</v>
      </c>
    </row>
    <row r="2624" spans="1:18" x14ac:dyDescent="0.35">
      <c r="A2624" t="s">
        <v>3377</v>
      </c>
      <c r="E2624" t="str">
        <f>_xlfn.XLOOKUP(F2624,'Raw Data'!$I$4:$I$5000,'Raw Data'!$D$4:$D$5000,"*** Mnemonic not found ***",0)</f>
        <v>*** Mnemonic not found ***</v>
      </c>
      <c r="F2624" t="str">
        <f t="shared" si="551"/>
        <v>SUCMPRRSK_US_MEC_C__</v>
      </c>
      <c r="H2624" s="9" t="s">
        <v>1137</v>
      </c>
      <c r="K2624" s="9">
        <f t="shared" si="556"/>
        <v>457</v>
      </c>
      <c r="L2624" s="9" t="str">
        <f t="shared" si="557"/>
        <v>O</v>
      </c>
      <c r="M2624" s="9" t="str">
        <f t="shared" si="558"/>
        <v>Input!O457</v>
      </c>
      <c r="N2624" s="9">
        <f>_xlfn.XLOOKUP(F2624,'Raw Data'!$I$4:$I$5000,'Raw Data'!$E$4:$E$5000,100,0)</f>
        <v>100</v>
      </c>
      <c r="O2624" s="9" t="str">
        <f>IF(N2624=0,_xlfn.XLOOKUP(F2624,'Raw Data'!$I$4:$I$5000,'Raw Data'!$H$4:$H$5000,"",0),"")</f>
        <v/>
      </c>
      <c r="P2624" s="9" t="str" cm="1">
        <f t="array" aca="1" ref="P2624" ca="1">IF(INDIRECT(M2624) = "","",INDIRECT(M2624))</f>
        <v/>
      </c>
      <c r="Q2624" s="359" t="s">
        <v>4380</v>
      </c>
      <c r="R2624" t="s">
        <v>4518</v>
      </c>
    </row>
    <row r="2625" spans="1:18" x14ac:dyDescent="0.35">
      <c r="A2625" t="s">
        <v>3378</v>
      </c>
      <c r="E2625" t="str">
        <f>_xlfn.XLOOKUP(F2625,'Raw Data'!$I$4:$I$5000,'Raw Data'!$D$4:$D$5000,"*** Mnemonic not found ***",0)</f>
        <v>*** Mnemonic not found ***</v>
      </c>
      <c r="F2625" t="str">
        <f t="shared" si="551"/>
        <v>SUCMPRRSK_US_MEO_C__</v>
      </c>
      <c r="H2625" s="9" t="s">
        <v>1137</v>
      </c>
      <c r="K2625" s="9">
        <f t="shared" si="556"/>
        <v>458</v>
      </c>
      <c r="L2625" s="9" t="str">
        <f t="shared" si="557"/>
        <v>O</v>
      </c>
      <c r="M2625" s="9" t="str">
        <f t="shared" si="558"/>
        <v>Input!O458</v>
      </c>
      <c r="N2625" s="9">
        <f>_xlfn.XLOOKUP(F2625,'Raw Data'!$I$4:$I$5000,'Raw Data'!$E$4:$E$5000,100,0)</f>
        <v>100</v>
      </c>
      <c r="O2625" s="9" t="str">
        <f>IF(N2625=0,_xlfn.XLOOKUP(F2625,'Raw Data'!$I$4:$I$5000,'Raw Data'!$H$4:$H$5000,"",0),"")</f>
        <v/>
      </c>
      <c r="P2625" s="9" t="str" cm="1">
        <f t="array" aca="1" ref="P2625" ca="1">IF(INDIRECT(M2625) = "","",INDIRECT(M2625))</f>
        <v/>
      </c>
      <c r="Q2625" s="359" t="s">
        <v>4380</v>
      </c>
      <c r="R2625" t="s">
        <v>4519</v>
      </c>
    </row>
    <row r="2626" spans="1:18" x14ac:dyDescent="0.35">
      <c r="A2626" t="s">
        <v>3379</v>
      </c>
      <c r="E2626" t="str">
        <f>_xlfn.XLOOKUP(F2626,'Raw Data'!$I$4:$I$5000,'Raw Data'!$D$4:$D$5000,"*** Mnemonic not found ***",0)</f>
        <v>*** Mnemonic not found ***</v>
      </c>
      <c r="F2626" t="str">
        <f t="shared" si="551"/>
        <v>SUCMPRRSK_US_OLC_C__</v>
      </c>
      <c r="H2626" s="9" t="s">
        <v>1137</v>
      </c>
      <c r="K2626" s="9">
        <f t="shared" si="556"/>
        <v>459</v>
      </c>
      <c r="L2626" s="9" t="str">
        <f t="shared" si="557"/>
        <v>O</v>
      </c>
      <c r="M2626" s="9" t="str">
        <f t="shared" si="558"/>
        <v>Input!O459</v>
      </c>
      <c r="N2626" s="9">
        <f>_xlfn.XLOOKUP(F2626,'Raw Data'!$I$4:$I$5000,'Raw Data'!$E$4:$E$5000,100,0)</f>
        <v>100</v>
      </c>
      <c r="O2626" s="9" t="str">
        <f>IF(N2626=0,_xlfn.XLOOKUP(F2626,'Raw Data'!$I$4:$I$5000,'Raw Data'!$H$4:$H$5000,"",0),"")</f>
        <v/>
      </c>
      <c r="P2626" s="9" t="str" cm="1">
        <f t="array" aca="1" ref="P2626" ca="1">IF(INDIRECT(M2626) = "","",INDIRECT(M2626))</f>
        <v/>
      </c>
      <c r="Q2626" s="359" t="s">
        <v>4380</v>
      </c>
      <c r="R2626" t="s">
        <v>4520</v>
      </c>
    </row>
    <row r="2627" spans="1:18" x14ac:dyDescent="0.35">
      <c r="A2627" t="s">
        <v>3380</v>
      </c>
      <c r="E2627" t="str">
        <f>_xlfn.XLOOKUP(F2627,'Raw Data'!$I$4:$I$5000,'Raw Data'!$D$4:$D$5000,"*** Mnemonic not found ***",0)</f>
        <v>*** Mnemonic not found ***</v>
      </c>
      <c r="F2627" t="str">
        <f t="shared" si="551"/>
        <v>SUCMPRRSK_US_OLO_C__</v>
      </c>
      <c r="H2627" s="9" t="s">
        <v>1137</v>
      </c>
      <c r="K2627" s="9">
        <f t="shared" si="556"/>
        <v>460</v>
      </c>
      <c r="L2627" s="9" t="str">
        <f t="shared" si="557"/>
        <v>O</v>
      </c>
      <c r="M2627" s="9" t="str">
        <f t="shared" si="558"/>
        <v>Input!O460</v>
      </c>
      <c r="N2627" s="9">
        <f>_xlfn.XLOOKUP(F2627,'Raw Data'!$I$4:$I$5000,'Raw Data'!$E$4:$E$5000,100,0)</f>
        <v>100</v>
      </c>
      <c r="O2627" s="9" t="str">
        <f>IF(N2627=0,_xlfn.XLOOKUP(F2627,'Raw Data'!$I$4:$I$5000,'Raw Data'!$H$4:$H$5000,"",0),"")</f>
        <v/>
      </c>
      <c r="P2627" s="9" t="str" cm="1">
        <f t="array" aca="1" ref="P2627" ca="1">IF(INDIRECT(M2627) = "","",INDIRECT(M2627))</f>
        <v/>
      </c>
      <c r="Q2627" s="359" t="s">
        <v>4380</v>
      </c>
      <c r="R2627" t="s">
        <v>4521</v>
      </c>
    </row>
    <row r="2628" spans="1:18" x14ac:dyDescent="0.35">
      <c r="A2628" t="s">
        <v>3381</v>
      </c>
      <c r="E2628" t="str">
        <f>_xlfn.XLOOKUP(F2628,'Raw Data'!$I$4:$I$5000,'Raw Data'!$D$4:$D$5000,"*** Mnemonic not found ***",0)</f>
        <v>*** Mnemonic not found ***</v>
      </c>
      <c r="F2628" t="str">
        <f t="shared" si="551"/>
        <v>SUCMPRRSK_US_PLC_C__</v>
      </c>
      <c r="H2628" s="9" t="s">
        <v>1137</v>
      </c>
      <c r="K2628" s="9">
        <f t="shared" si="556"/>
        <v>461</v>
      </c>
      <c r="L2628" s="9" t="str">
        <f t="shared" si="557"/>
        <v>O</v>
      </c>
      <c r="M2628" s="9" t="str">
        <f t="shared" si="558"/>
        <v>Input!O461</v>
      </c>
      <c r="N2628" s="9">
        <f>_xlfn.XLOOKUP(F2628,'Raw Data'!$I$4:$I$5000,'Raw Data'!$E$4:$E$5000,100,0)</f>
        <v>100</v>
      </c>
      <c r="O2628" s="9" t="str">
        <f>IF(N2628=0,_xlfn.XLOOKUP(F2628,'Raw Data'!$I$4:$I$5000,'Raw Data'!$H$4:$H$5000,"",0),"")</f>
        <v/>
      </c>
      <c r="P2628" s="9" t="str" cm="1">
        <f t="array" aca="1" ref="P2628" ca="1">IF(INDIRECT(M2628) = "","",INDIRECT(M2628))</f>
        <v/>
      </c>
      <c r="Q2628" s="359" t="s">
        <v>4380</v>
      </c>
      <c r="R2628" t="s">
        <v>4522</v>
      </c>
    </row>
    <row r="2629" spans="1:18" x14ac:dyDescent="0.35">
      <c r="A2629" t="s">
        <v>3382</v>
      </c>
      <c r="E2629" t="str">
        <f>_xlfn.XLOOKUP(F2629,'Raw Data'!$I$4:$I$5000,'Raw Data'!$D$4:$D$5000,"*** Mnemonic not found ***",0)</f>
        <v>*** Mnemonic not found ***</v>
      </c>
      <c r="F2629" t="str">
        <f t="shared" si="551"/>
        <v>SUCMPRRSK_US_PLO_C__</v>
      </c>
      <c r="H2629" s="9" t="s">
        <v>1137</v>
      </c>
      <c r="K2629" s="9">
        <f t="shared" si="556"/>
        <v>462</v>
      </c>
      <c r="L2629" s="9" t="str">
        <f t="shared" si="557"/>
        <v>O</v>
      </c>
      <c r="M2629" s="9" t="str">
        <f t="shared" si="558"/>
        <v>Input!O462</v>
      </c>
      <c r="N2629" s="9">
        <f>_xlfn.XLOOKUP(F2629,'Raw Data'!$I$4:$I$5000,'Raw Data'!$E$4:$E$5000,100,0)</f>
        <v>100</v>
      </c>
      <c r="O2629" s="9" t="str">
        <f>IF(N2629=0,_xlfn.XLOOKUP(F2629,'Raw Data'!$I$4:$I$5000,'Raw Data'!$H$4:$H$5000,"",0),"")</f>
        <v/>
      </c>
      <c r="P2629" s="9" t="str" cm="1">
        <f t="array" aca="1" ref="P2629" ca="1">IF(INDIRECT(M2629) = "","",INDIRECT(M2629))</f>
        <v/>
      </c>
      <c r="Q2629" s="359" t="s">
        <v>4380</v>
      </c>
      <c r="R2629" t="s">
        <v>4523</v>
      </c>
    </row>
    <row r="2630" spans="1:18" x14ac:dyDescent="0.35">
      <c r="A2630" t="s">
        <v>3383</v>
      </c>
      <c r="E2630" t="str">
        <f>_xlfn.XLOOKUP(F2630,'Raw Data'!$I$4:$I$5000,'Raw Data'!$D$4:$D$5000,"*** Mnemonic not found ***",0)</f>
        <v>*** Mnemonic not found ***</v>
      </c>
      <c r="F2630" t="str">
        <f t="shared" si="551"/>
        <v>SUCMPRRSK_US_WCP_C__</v>
      </c>
      <c r="H2630" s="9" t="s">
        <v>1137</v>
      </c>
      <c r="K2630" s="9">
        <f t="shared" si="556"/>
        <v>463</v>
      </c>
      <c r="L2630" s="9" t="str">
        <f t="shared" si="557"/>
        <v>O</v>
      </c>
      <c r="M2630" s="9" t="str">
        <f t="shared" si="558"/>
        <v>Input!O463</v>
      </c>
      <c r="N2630" s="9">
        <f>_xlfn.XLOOKUP(F2630,'Raw Data'!$I$4:$I$5000,'Raw Data'!$E$4:$E$5000,100,0)</f>
        <v>100</v>
      </c>
      <c r="O2630" s="9" t="str">
        <f>IF(N2630=0,_xlfn.XLOOKUP(F2630,'Raw Data'!$I$4:$I$5000,'Raw Data'!$H$4:$H$5000,"",0),"")</f>
        <v/>
      </c>
      <c r="P2630" s="9" t="str" cm="1">
        <f t="array" aca="1" ref="P2630" ca="1">IF(INDIRECT(M2630) = "","",INDIRECT(M2630))</f>
        <v/>
      </c>
      <c r="Q2630" s="359" t="s">
        <v>4380</v>
      </c>
      <c r="R2630" t="s">
        <v>4524</v>
      </c>
    </row>
    <row r="2631" spans="1:18" x14ac:dyDescent="0.35">
      <c r="A2631" t="s">
        <v>3384</v>
      </c>
      <c r="E2631" t="str">
        <f>_xlfn.XLOOKUP(F2631,'Raw Data'!$I$4:$I$5000,'Raw Data'!$D$4:$D$5000,"*** Mnemonic not found ***",0)</f>
        <v>*** Mnemonic not found ***</v>
      </c>
      <c r="F2631" t="str">
        <f t="shared" si="551"/>
        <v>SUCMPRRSK_US_BLM_C__</v>
      </c>
      <c r="H2631" s="9" t="s">
        <v>1137</v>
      </c>
      <c r="K2631" s="9">
        <f t="shared" si="556"/>
        <v>464</v>
      </c>
      <c r="L2631" s="9" t="str">
        <f t="shared" si="557"/>
        <v>O</v>
      </c>
      <c r="M2631" s="9" t="str">
        <f t="shared" si="558"/>
        <v>Input!O464</v>
      </c>
      <c r="N2631" s="9">
        <f>_xlfn.XLOOKUP(F2631,'Raw Data'!$I$4:$I$5000,'Raw Data'!$E$4:$E$5000,100,0)</f>
        <v>100</v>
      </c>
      <c r="O2631" s="9" t="str">
        <f>IF(N2631=0,_xlfn.XLOOKUP(F2631,'Raw Data'!$I$4:$I$5000,'Raw Data'!$H$4:$H$5000,"",0),"")</f>
        <v/>
      </c>
      <c r="P2631" s="9" t="str" cm="1">
        <f t="array" aca="1" ref="P2631" ca="1">IF(INDIRECT(M2631) = "","",INDIRECT(M2631))</f>
        <v/>
      </c>
      <c r="Q2631" s="359" t="s">
        <v>4380</v>
      </c>
      <c r="R2631" t="s">
        <v>4525</v>
      </c>
    </row>
    <row r="2632" spans="1:18" x14ac:dyDescent="0.35">
      <c r="A2632" t="s">
        <v>3385</v>
      </c>
      <c r="E2632" t="str">
        <f>_xlfn.XLOOKUP(F2632,'Raw Data'!$I$4:$I$5000,'Raw Data'!$D$4:$D$5000,"*** Mnemonic not found ***",0)</f>
        <v>*** Mnemonic not found ***</v>
      </c>
      <c r="F2632" t="str">
        <f t="shared" si="551"/>
        <v>SUCMPRRSK_US_CMP_C__</v>
      </c>
      <c r="H2632" s="9" t="s">
        <v>1137</v>
      </c>
      <c r="K2632" s="9">
        <f t="shared" si="556"/>
        <v>465</v>
      </c>
      <c r="L2632" s="9" t="str">
        <f t="shared" si="557"/>
        <v>O</v>
      </c>
      <c r="M2632" s="9" t="str">
        <f t="shared" si="558"/>
        <v>Input!O465</v>
      </c>
      <c r="N2632" s="9">
        <f>_xlfn.XLOOKUP(F2632,'Raw Data'!$I$4:$I$5000,'Raw Data'!$E$4:$E$5000,100,0)</f>
        <v>100</v>
      </c>
      <c r="O2632" s="9" t="str">
        <f>IF(N2632=0,_xlfn.XLOOKUP(F2632,'Raw Data'!$I$4:$I$5000,'Raw Data'!$H$4:$H$5000,"",0),"")</f>
        <v/>
      </c>
      <c r="P2632" s="9" t="str" cm="1">
        <f t="array" aca="1" ref="P2632" ca="1">IF(INDIRECT(M2632) = "","",INDIRECT(M2632))</f>
        <v/>
      </c>
      <c r="Q2632" s="359" t="s">
        <v>4380</v>
      </c>
      <c r="R2632" t="s">
        <v>4526</v>
      </c>
    </row>
    <row r="2633" spans="1:18" x14ac:dyDescent="0.35">
      <c r="A2633" t="s">
        <v>3386</v>
      </c>
      <c r="E2633" t="str">
        <f>_xlfn.XLOOKUP(F2633,'Raw Data'!$I$4:$I$5000,'Raw Data'!$D$4:$D$5000,"*** Mnemonic not found ***",0)</f>
        <v>*** Mnemonic not found ***</v>
      </c>
      <c r="F2633" t="str">
        <f t="shared" si="551"/>
        <v>SUCMPRRSK_US_HFM_C__</v>
      </c>
      <c r="H2633" s="9" t="s">
        <v>1137</v>
      </c>
      <c r="K2633" s="9">
        <f t="shared" si="556"/>
        <v>466</v>
      </c>
      <c r="L2633" s="9" t="str">
        <f t="shared" si="557"/>
        <v>O</v>
      </c>
      <c r="M2633" s="9" t="str">
        <f t="shared" si="558"/>
        <v>Input!O466</v>
      </c>
      <c r="N2633" s="9">
        <f>_xlfn.XLOOKUP(F2633,'Raw Data'!$I$4:$I$5000,'Raw Data'!$E$4:$E$5000,100,0)</f>
        <v>100</v>
      </c>
      <c r="O2633" s="9" t="str">
        <f>IF(N2633=0,_xlfn.XLOOKUP(F2633,'Raw Data'!$I$4:$I$5000,'Raw Data'!$H$4:$H$5000,"",0),"")</f>
        <v/>
      </c>
      <c r="P2633" s="9" t="str" cm="1">
        <f t="array" aca="1" ref="P2633" ca="1">IF(INDIRECT(M2633) = "","",INDIRECT(M2633))</f>
        <v/>
      </c>
      <c r="Q2633" s="359" t="s">
        <v>4380</v>
      </c>
      <c r="R2633" t="s">
        <v>4527</v>
      </c>
    </row>
    <row r="2634" spans="1:18" x14ac:dyDescent="0.35">
      <c r="A2634" t="s">
        <v>3387</v>
      </c>
      <c r="E2634" t="str">
        <f>_xlfn.XLOOKUP(F2634,'Raw Data'!$I$4:$I$5000,'Raw Data'!$D$4:$D$5000,"*** Mnemonic not found ***",0)</f>
        <v>*** Mnemonic not found ***</v>
      </c>
      <c r="F2634" t="str">
        <f t="shared" si="551"/>
        <v>SUCMPRRSK_US_SPP_C__</v>
      </c>
      <c r="H2634" s="9" t="s">
        <v>1137</v>
      </c>
      <c r="K2634" s="9">
        <f t="shared" si="556"/>
        <v>467</v>
      </c>
      <c r="L2634" s="9" t="str">
        <f t="shared" si="557"/>
        <v>O</v>
      </c>
      <c r="M2634" s="9" t="str">
        <f t="shared" si="558"/>
        <v>Input!O467</v>
      </c>
      <c r="N2634" s="9">
        <f>_xlfn.XLOOKUP(F2634,'Raw Data'!$I$4:$I$5000,'Raw Data'!$E$4:$E$5000,100,0)</f>
        <v>100</v>
      </c>
      <c r="O2634" s="9" t="str">
        <f>IF(N2634=0,_xlfn.XLOOKUP(F2634,'Raw Data'!$I$4:$I$5000,'Raw Data'!$H$4:$H$5000,"",0),"")</f>
        <v/>
      </c>
      <c r="P2634" s="9" t="str" cm="1">
        <f t="array" aca="1" ref="P2634" ca="1">IF(INDIRECT(M2634) = "","",INDIRECT(M2634))</f>
        <v/>
      </c>
      <c r="Q2634" s="359" t="s">
        <v>4380</v>
      </c>
      <c r="R2634" t="s">
        <v>4528</v>
      </c>
    </row>
    <row r="2635" spans="1:18" x14ac:dyDescent="0.35">
      <c r="A2635" t="s">
        <v>3388</v>
      </c>
      <c r="E2635" t="str">
        <f>_xlfn.XLOOKUP(F2635,'Raw Data'!$I$4:$I$5000,'Raw Data'!$D$4:$D$5000,"*** Mnemonic not found ***",0)</f>
        <v>*** Mnemonic not found ***</v>
      </c>
      <c r="F2635" t="str">
        <f t="shared" si="551"/>
        <v>SUCMPRRSK_US_APB_C__</v>
      </c>
      <c r="H2635" s="9" t="s">
        <v>1137</v>
      </c>
      <c r="K2635" s="9">
        <f t="shared" si="556"/>
        <v>468</v>
      </c>
      <c r="L2635" s="9" t="str">
        <f t="shared" si="557"/>
        <v>O</v>
      </c>
      <c r="M2635" s="9" t="str">
        <f t="shared" si="558"/>
        <v>Input!O468</v>
      </c>
      <c r="N2635" s="9">
        <f>_xlfn.XLOOKUP(F2635,'Raw Data'!$I$4:$I$5000,'Raw Data'!$E$4:$E$5000,100,0)</f>
        <v>100</v>
      </c>
      <c r="O2635" s="9" t="str">
        <f>IF(N2635=0,_xlfn.XLOOKUP(F2635,'Raw Data'!$I$4:$I$5000,'Raw Data'!$H$4:$H$5000,"",0),"")</f>
        <v/>
      </c>
      <c r="P2635" s="9" t="str" cm="1">
        <f t="array" aca="1" ref="P2635" ca="1">IF(INDIRECT(M2635) = "","",INDIRECT(M2635))</f>
        <v/>
      </c>
      <c r="Q2635" s="359" t="s">
        <v>4380</v>
      </c>
      <c r="R2635" t="s">
        <v>4529</v>
      </c>
    </row>
    <row r="2636" spans="1:18" x14ac:dyDescent="0.35">
      <c r="A2636" t="s">
        <v>3389</v>
      </c>
      <c r="E2636" t="str">
        <f>_xlfn.XLOOKUP(F2636,'Raw Data'!$I$4:$I$5000,'Raw Data'!$D$4:$D$5000,"*** Mnemonic not found ***",0)</f>
        <v>*** Mnemonic not found ***</v>
      </c>
      <c r="F2636" t="str">
        <f t="shared" si="551"/>
        <v>SUCMPRRSK_US_CAL_C__</v>
      </c>
      <c r="H2636" s="9" t="s">
        <v>1137</v>
      </c>
      <c r="K2636" s="9">
        <f t="shared" si="556"/>
        <v>469</v>
      </c>
      <c r="L2636" s="9" t="str">
        <f t="shared" si="557"/>
        <v>O</v>
      </c>
      <c r="M2636" s="9" t="str">
        <f t="shared" si="558"/>
        <v>Input!O469</v>
      </c>
      <c r="N2636" s="9">
        <f>_xlfn.XLOOKUP(F2636,'Raw Data'!$I$4:$I$5000,'Raw Data'!$E$4:$E$5000,100,0)</f>
        <v>100</v>
      </c>
      <c r="O2636" s="9" t="str">
        <f>IF(N2636=0,_xlfn.XLOOKUP(F2636,'Raw Data'!$I$4:$I$5000,'Raw Data'!$H$4:$H$5000,"",0),"")</f>
        <v/>
      </c>
      <c r="P2636" s="9" t="str" cm="1">
        <f t="array" aca="1" ref="P2636" ca="1">IF(INDIRECT(M2636) = "","",INDIRECT(M2636))</f>
        <v/>
      </c>
      <c r="Q2636" s="359" t="s">
        <v>4380</v>
      </c>
      <c r="R2636" t="s">
        <v>4530</v>
      </c>
    </row>
    <row r="2637" spans="1:18" x14ac:dyDescent="0.35">
      <c r="A2637" t="s">
        <v>3390</v>
      </c>
      <c r="E2637" t="str">
        <f>_xlfn.XLOOKUP(F2637,'Raw Data'!$I$4:$I$5000,'Raw Data'!$D$4:$D$5000,"*** Mnemonic not found ***",0)</f>
        <v>*** Mnemonic not found ***</v>
      </c>
      <c r="F2637" t="str">
        <f t="shared" si="551"/>
        <v>SUCMPRRSK_US_PPA_C__</v>
      </c>
      <c r="H2637" s="9" t="s">
        <v>1137</v>
      </c>
      <c r="K2637" s="9">
        <f t="shared" si="556"/>
        <v>470</v>
      </c>
      <c r="L2637" s="9" t="str">
        <f t="shared" si="557"/>
        <v>O</v>
      </c>
      <c r="M2637" s="9" t="str">
        <f t="shared" si="558"/>
        <v>Input!O470</v>
      </c>
      <c r="N2637" s="9">
        <f>_xlfn.XLOOKUP(F2637,'Raw Data'!$I$4:$I$5000,'Raw Data'!$E$4:$E$5000,100,0)</f>
        <v>100</v>
      </c>
      <c r="O2637" s="9" t="str">
        <f>IF(N2637=0,_xlfn.XLOOKUP(F2637,'Raw Data'!$I$4:$I$5000,'Raw Data'!$H$4:$H$5000,"",0),"")</f>
        <v/>
      </c>
      <c r="P2637" s="9" t="str" cm="1">
        <f t="array" aca="1" ref="P2637" ca="1">IF(INDIRECT(M2637) = "","",INDIRECT(M2637))</f>
        <v/>
      </c>
      <c r="Q2637" s="359" t="s">
        <v>4380</v>
      </c>
      <c r="R2637" t="s">
        <v>4531</v>
      </c>
    </row>
    <row r="2638" spans="1:18" x14ac:dyDescent="0.35">
      <c r="A2638" t="s">
        <v>3391</v>
      </c>
      <c r="E2638" t="str">
        <f>_xlfn.XLOOKUP(F2638,'Raw Data'!$I$4:$I$5000,'Raw Data'!$D$4:$D$5000,"*** Mnemonic not found ***",0)</f>
        <v>*** Mnemonic not found ***</v>
      </c>
      <c r="F2638" t="str">
        <f t="shared" ref="F2638:F2701" si="559">CONCATENATE(A2638,"_",B2638,"_",D2638)</f>
        <v>SUCMPRRSK_US_CRD_C__</v>
      </c>
      <c r="H2638" s="9" t="s">
        <v>1137</v>
      </c>
      <c r="K2638" s="9">
        <f t="shared" si="556"/>
        <v>471</v>
      </c>
      <c r="L2638" s="9" t="str">
        <f t="shared" si="557"/>
        <v>O</v>
      </c>
      <c r="M2638" s="9" t="str">
        <f t="shared" si="558"/>
        <v>Input!O471</v>
      </c>
      <c r="N2638" s="9">
        <f>_xlfn.XLOOKUP(F2638,'Raw Data'!$I$4:$I$5000,'Raw Data'!$E$4:$E$5000,100,0)</f>
        <v>100</v>
      </c>
      <c r="O2638" s="9" t="str">
        <f>IF(N2638=0,_xlfn.XLOOKUP(F2638,'Raw Data'!$I$4:$I$5000,'Raw Data'!$H$4:$H$5000,"",0),"")</f>
        <v/>
      </c>
      <c r="P2638" s="9" t="str" cm="1">
        <f t="array" aca="1" ref="P2638" ca="1">IF(INDIRECT(M2638) = "","",INDIRECT(M2638))</f>
        <v/>
      </c>
      <c r="Q2638" s="359" t="s">
        <v>4380</v>
      </c>
      <c r="R2638" t="s">
        <v>4532</v>
      </c>
    </row>
    <row r="2639" spans="1:18" x14ac:dyDescent="0.35">
      <c r="A2639" t="s">
        <v>3392</v>
      </c>
      <c r="E2639" t="str">
        <f>_xlfn.XLOOKUP(F2639,'Raw Data'!$I$4:$I$5000,'Raw Data'!$D$4:$D$5000,"*** Mnemonic not found ***",0)</f>
        <v>*** Mnemonic not found ***</v>
      </c>
      <c r="F2639" t="str">
        <f t="shared" si="559"/>
        <v>SUCMPRRSK_US_FIDSUR_C__</v>
      </c>
      <c r="H2639" s="9" t="s">
        <v>1137</v>
      </c>
      <c r="K2639" s="9">
        <f t="shared" si="556"/>
        <v>472</v>
      </c>
      <c r="L2639" s="9" t="str">
        <f t="shared" si="557"/>
        <v>O</v>
      </c>
      <c r="M2639" s="9" t="str">
        <f t="shared" si="558"/>
        <v>Input!O472</v>
      </c>
      <c r="N2639" s="9">
        <f>_xlfn.XLOOKUP(F2639,'Raw Data'!$I$4:$I$5000,'Raw Data'!$E$4:$E$5000,100,0)</f>
        <v>100</v>
      </c>
      <c r="O2639" s="9" t="str">
        <f>IF(N2639=0,_xlfn.XLOOKUP(F2639,'Raw Data'!$I$4:$I$5000,'Raw Data'!$H$4:$H$5000,"",0),"")</f>
        <v/>
      </c>
      <c r="P2639" s="9" t="str" cm="1">
        <f t="array" aca="1" ref="P2639" ca="1">IF(INDIRECT(M2639) = "","",INDIRECT(M2639))</f>
        <v/>
      </c>
      <c r="Q2639" s="359" t="s">
        <v>4380</v>
      </c>
      <c r="R2639" t="s">
        <v>4533</v>
      </c>
    </row>
    <row r="2640" spans="1:18" x14ac:dyDescent="0.35">
      <c r="A2640" t="s">
        <v>3393</v>
      </c>
      <c r="E2640" t="str">
        <f>_xlfn.XLOOKUP(F2640,'Raw Data'!$I$4:$I$5000,'Raw Data'!$D$4:$D$5000,"*** Mnemonic not found ***",0)</f>
        <v>*** Mnemonic not found ***</v>
      </c>
      <c r="F2640" t="str">
        <f t="shared" si="559"/>
        <v>SUCMPRRSK_US_FIG_C__</v>
      </c>
      <c r="H2640" s="9" t="s">
        <v>1137</v>
      </c>
      <c r="K2640" s="9">
        <f t="shared" si="556"/>
        <v>473</v>
      </c>
      <c r="L2640" s="9" t="str">
        <f t="shared" si="557"/>
        <v>O</v>
      </c>
      <c r="M2640" s="9" t="str">
        <f t="shared" si="558"/>
        <v>Input!O473</v>
      </c>
      <c r="N2640" s="9">
        <f>_xlfn.XLOOKUP(F2640,'Raw Data'!$I$4:$I$5000,'Raw Data'!$E$4:$E$5000,100,0)</f>
        <v>100</v>
      </c>
      <c r="O2640" s="9" t="str">
        <f>IF(N2640=0,_xlfn.XLOOKUP(F2640,'Raw Data'!$I$4:$I$5000,'Raw Data'!$H$4:$H$5000,"",0),"")</f>
        <v/>
      </c>
      <c r="P2640" s="9" t="str" cm="1">
        <f t="array" aca="1" ref="P2640" ca="1">IF(INDIRECT(M2640) = "","",INDIRECT(M2640))</f>
        <v/>
      </c>
      <c r="Q2640" s="359" t="s">
        <v>4380</v>
      </c>
      <c r="R2640" t="s">
        <v>4534</v>
      </c>
    </row>
    <row r="2641" spans="1:18" x14ac:dyDescent="0.35">
      <c r="A2641" t="s">
        <v>3395</v>
      </c>
      <c r="E2641" t="str">
        <f>_xlfn.XLOOKUP(F2641,'Raw Data'!$I$4:$I$5000,'Raw Data'!$D$4:$D$5000,"*** Mnemonic not found ***",0)</f>
        <v>*** Mnemonic not found ***</v>
      </c>
      <c r="F2641" t="str">
        <f t="shared" si="559"/>
        <v>SUCMPRRSK_US_STPR_C__</v>
      </c>
      <c r="H2641" s="9" t="s">
        <v>1137</v>
      </c>
      <c r="K2641" s="9">
        <f t="shared" si="556"/>
        <v>474</v>
      </c>
      <c r="L2641" s="9" t="str">
        <f t="shared" si="557"/>
        <v>O</v>
      </c>
      <c r="M2641" s="9" t="str">
        <f t="shared" si="558"/>
        <v>Input!O474</v>
      </c>
      <c r="N2641" s="9">
        <f>_xlfn.XLOOKUP(F2641,'Raw Data'!$I$4:$I$5000,'Raw Data'!$E$4:$E$5000,100,0)</f>
        <v>100</v>
      </c>
      <c r="O2641" s="9" t="str">
        <f>IF(N2641=0,_xlfn.XLOOKUP(F2641,'Raw Data'!$I$4:$I$5000,'Raw Data'!$H$4:$H$5000,"",0),"")</f>
        <v/>
      </c>
      <c r="P2641" s="9" t="str" cm="1">
        <f t="array" aca="1" ref="P2641" ca="1">IF(INDIRECT(M2641) = "","",INDIRECT(M2641))</f>
        <v/>
      </c>
      <c r="Q2641" s="359" t="s">
        <v>4380</v>
      </c>
      <c r="R2641" t="s">
        <v>4535</v>
      </c>
    </row>
    <row r="2642" spans="1:18" x14ac:dyDescent="0.35">
      <c r="A2642" t="s">
        <v>3396</v>
      </c>
      <c r="E2642" t="str">
        <f>_xlfn.XLOOKUP(F2642,'Raw Data'!$I$4:$I$5000,'Raw Data'!$D$4:$D$5000,"*** Mnemonic not found ***",0)</f>
        <v>*** Mnemonic not found ***</v>
      </c>
      <c r="F2642" t="str">
        <f t="shared" si="559"/>
        <v>SUCMPRRSK_US_AAH_C__</v>
      </c>
      <c r="H2642" s="9" t="s">
        <v>1137</v>
      </c>
      <c r="K2642" s="9">
        <f t="shared" si="556"/>
        <v>475</v>
      </c>
      <c r="L2642" s="9" t="str">
        <f t="shared" si="557"/>
        <v>O</v>
      </c>
      <c r="M2642" s="9" t="str">
        <f t="shared" si="558"/>
        <v>Input!O475</v>
      </c>
      <c r="N2642" s="9">
        <f>_xlfn.XLOOKUP(F2642,'Raw Data'!$I$4:$I$5000,'Raw Data'!$E$4:$E$5000,100,0)</f>
        <v>100</v>
      </c>
      <c r="O2642" s="9" t="str">
        <f>IF(N2642=0,_xlfn.XLOOKUP(F2642,'Raw Data'!$I$4:$I$5000,'Raw Data'!$H$4:$H$5000,"",0),"")</f>
        <v/>
      </c>
      <c r="P2642" s="9" t="str" cm="1">
        <f t="array" aca="1" ref="P2642" ca="1">IF(INDIRECT(M2642) = "","",INDIRECT(M2642))</f>
        <v/>
      </c>
      <c r="Q2642" s="359" t="s">
        <v>4380</v>
      </c>
      <c r="R2642" t="s">
        <v>4536</v>
      </c>
    </row>
    <row r="2643" spans="1:18" x14ac:dyDescent="0.35">
      <c r="A2643" t="s">
        <v>3397</v>
      </c>
      <c r="E2643" t="str">
        <f>_xlfn.XLOOKUP(F2643,'Raw Data'!$I$4:$I$5000,'Raw Data'!$D$4:$D$5000,"*** Mnemonic not found ***",0)</f>
        <v>*** Mnemonic not found ***</v>
      </c>
      <c r="F2643" t="str">
        <f t="shared" si="559"/>
        <v>SUCMPRRSK_US_ADSADC_C__</v>
      </c>
      <c r="H2643" s="9" t="s">
        <v>1137</v>
      </c>
      <c r="K2643" s="9">
        <f t="shared" si="556"/>
        <v>476</v>
      </c>
      <c r="L2643" s="9" t="str">
        <f t="shared" si="557"/>
        <v>O</v>
      </c>
      <c r="M2643" s="9" t="str">
        <f t="shared" si="558"/>
        <v>Input!O476</v>
      </c>
      <c r="N2643" s="9">
        <f>_xlfn.XLOOKUP(F2643,'Raw Data'!$I$4:$I$5000,'Raw Data'!$E$4:$E$5000,100,0)</f>
        <v>100</v>
      </c>
      <c r="O2643" s="9" t="str">
        <f>IF(N2643=0,_xlfn.XLOOKUP(F2643,'Raw Data'!$I$4:$I$5000,'Raw Data'!$H$4:$H$5000,"",0),"")</f>
        <v/>
      </c>
      <c r="P2643" s="9" t="str" cm="1">
        <f t="array" aca="1" ref="P2643" ca="1">IF(INDIRECT(M2643) = "","",INDIRECT(M2643))</f>
        <v/>
      </c>
      <c r="Q2643" s="359" t="s">
        <v>4380</v>
      </c>
      <c r="R2643" t="s">
        <v>4537</v>
      </c>
    </row>
    <row r="2644" spans="1:18" x14ac:dyDescent="0.35">
      <c r="A2644" t="s">
        <v>3398</v>
      </c>
      <c r="E2644" t="str">
        <f>_xlfn.XLOOKUP(F2644,'Raw Data'!$I$4:$I$5000,'Raw Data'!$D$4:$D$5000,"*** Mnemonic not found ***",0)</f>
        <v>*** Mnemonic not found ***</v>
      </c>
      <c r="F2644" t="str">
        <f t="shared" si="559"/>
        <v>SUCMPRRSK_US_FLRS_C__</v>
      </c>
      <c r="H2644" s="9" t="s">
        <v>1137</v>
      </c>
      <c r="K2644" s="9">
        <f t="shared" si="556"/>
        <v>477</v>
      </c>
      <c r="L2644" s="9" t="str">
        <f t="shared" si="557"/>
        <v>O</v>
      </c>
      <c r="M2644" s="9" t="str">
        <f t="shared" si="558"/>
        <v>Input!O477</v>
      </c>
      <c r="N2644" s="9">
        <f>_xlfn.XLOOKUP(F2644,'Raw Data'!$I$4:$I$5000,'Raw Data'!$E$4:$E$5000,100,0)</f>
        <v>100</v>
      </c>
      <c r="O2644" s="9" t="str">
        <f>IF(N2644=0,_xlfn.XLOOKUP(F2644,'Raw Data'!$I$4:$I$5000,'Raw Data'!$H$4:$H$5000,"",0),"")</f>
        <v/>
      </c>
      <c r="P2644" s="9" t="str" cm="1">
        <f t="array" aca="1" ref="P2644" ca="1">IF(INDIRECT(M2644) = "","",INDIRECT(M2644))</f>
        <v/>
      </c>
      <c r="Q2644" s="359" t="s">
        <v>4380</v>
      </c>
      <c r="R2644" t="s">
        <v>4538</v>
      </c>
    </row>
    <row r="2645" spans="1:18" x14ac:dyDescent="0.35">
      <c r="A2645" t="s">
        <v>3399</v>
      </c>
      <c r="E2645" t="str">
        <f>_xlfn.XLOOKUP(F2645,'Raw Data'!$I$4:$I$5000,'Raw Data'!$D$4:$D$5000,"*** Mnemonic not found ***",0)</f>
        <v>*** Mnemonic not found ***</v>
      </c>
      <c r="F2645" t="str">
        <f t="shared" si="559"/>
        <v>SUCMPRRSK_US_DENVIS_C__</v>
      </c>
      <c r="H2645" s="9" t="s">
        <v>1137</v>
      </c>
      <c r="K2645" s="9">
        <f t="shared" si="556"/>
        <v>478</v>
      </c>
      <c r="L2645" s="9" t="str">
        <f t="shared" si="557"/>
        <v>O</v>
      </c>
      <c r="M2645" s="9" t="str">
        <f t="shared" si="558"/>
        <v>Input!O478</v>
      </c>
      <c r="N2645" s="9">
        <f>_xlfn.XLOOKUP(F2645,'Raw Data'!$I$4:$I$5000,'Raw Data'!$E$4:$E$5000,100,0)</f>
        <v>100</v>
      </c>
      <c r="O2645" s="9" t="str">
        <f>IF(N2645=0,_xlfn.XLOOKUP(F2645,'Raw Data'!$I$4:$I$5000,'Raw Data'!$H$4:$H$5000,"",0),"")</f>
        <v/>
      </c>
      <c r="P2645" s="9" t="str" cm="1">
        <f t="array" aca="1" ref="P2645" ca="1">IF(INDIRECT(M2645) = "","",INDIRECT(M2645))</f>
        <v/>
      </c>
      <c r="Q2645" s="359" t="s">
        <v>4380</v>
      </c>
      <c r="R2645" t="s">
        <v>4539</v>
      </c>
    </row>
    <row r="2646" spans="1:18" x14ac:dyDescent="0.35">
      <c r="A2646" t="s">
        <v>3400</v>
      </c>
      <c r="E2646" t="str">
        <f>_xlfn.XLOOKUP(F2646,'Raw Data'!$I$4:$I$5000,'Raw Data'!$D$4:$D$5000,"*** Mnemonic not found ***",0)</f>
        <v>*** Mnemonic not found ***</v>
      </c>
      <c r="F2646" t="str">
        <f t="shared" si="559"/>
        <v>SUCMPRRSK_US_FEP_C__</v>
      </c>
      <c r="H2646" s="9" t="s">
        <v>1137</v>
      </c>
      <c r="K2646" s="9">
        <f t="shared" si="556"/>
        <v>479</v>
      </c>
      <c r="L2646" s="9" t="str">
        <f t="shared" si="557"/>
        <v>O</v>
      </c>
      <c r="M2646" s="9" t="str">
        <f t="shared" si="558"/>
        <v>Input!O479</v>
      </c>
      <c r="N2646" s="9">
        <f>_xlfn.XLOOKUP(F2646,'Raw Data'!$I$4:$I$5000,'Raw Data'!$E$4:$E$5000,100,0)</f>
        <v>100</v>
      </c>
      <c r="O2646" s="9" t="str">
        <f>IF(N2646=0,_xlfn.XLOOKUP(F2646,'Raw Data'!$I$4:$I$5000,'Raw Data'!$H$4:$H$5000,"",0),"")</f>
        <v/>
      </c>
      <c r="P2646" s="9" t="str" cm="1">
        <f t="array" aca="1" ref="P2646" ca="1">IF(INDIRECT(M2646) = "","",INDIRECT(M2646))</f>
        <v/>
      </c>
      <c r="Q2646" s="359" t="s">
        <v>4380</v>
      </c>
      <c r="R2646" t="s">
        <v>4540</v>
      </c>
    </row>
    <row r="2647" spans="1:18" x14ac:dyDescent="0.35">
      <c r="A2647" t="s">
        <v>3401</v>
      </c>
      <c r="E2647" t="str">
        <f>_xlfn.XLOOKUP(F2647,'Raw Data'!$I$4:$I$5000,'Raw Data'!$D$4:$D$5000,"*** Mnemonic not found ***",0)</f>
        <v>*** Mnemonic not found ***</v>
      </c>
      <c r="F2647" t="str">
        <f t="shared" si="559"/>
        <v>SUCMPRRSK_US_HMDO_C__</v>
      </c>
      <c r="H2647" s="9" t="s">
        <v>1137</v>
      </c>
      <c r="K2647" s="9">
        <f t="shared" si="556"/>
        <v>480</v>
      </c>
      <c r="L2647" s="9" t="str">
        <f t="shared" si="557"/>
        <v>O</v>
      </c>
      <c r="M2647" s="9" t="str">
        <f t="shared" si="558"/>
        <v>Input!O480</v>
      </c>
      <c r="N2647" s="9">
        <f>_xlfn.XLOOKUP(F2647,'Raw Data'!$I$4:$I$5000,'Raw Data'!$E$4:$E$5000,100,0)</f>
        <v>100</v>
      </c>
      <c r="O2647" s="9" t="str">
        <f>IF(N2647=0,_xlfn.XLOOKUP(F2647,'Raw Data'!$I$4:$I$5000,'Raw Data'!$H$4:$H$5000,"",0),"")</f>
        <v/>
      </c>
      <c r="P2647" s="9" t="str" cm="1">
        <f t="array" aca="1" ref="P2647" ca="1">IF(INDIRECT(M2647) = "","",INDIRECT(M2647))</f>
        <v/>
      </c>
      <c r="Q2647" s="359" t="s">
        <v>4380</v>
      </c>
      <c r="R2647" t="s">
        <v>4541</v>
      </c>
    </row>
    <row r="2648" spans="1:18" x14ac:dyDescent="0.35">
      <c r="A2648" t="s">
        <v>3402</v>
      </c>
      <c r="E2648" t="str">
        <f>_xlfn.XLOOKUP(F2648,'Raw Data'!$I$4:$I$5000,'Raw Data'!$D$4:$D$5000,"*** Mnemonic not found ***",0)</f>
        <v>*** Mnemonic not found ***</v>
      </c>
      <c r="F2648" t="str">
        <f t="shared" si="559"/>
        <v>SUCMPRRSK_US_MDMID_C__</v>
      </c>
      <c r="H2648" s="9" t="s">
        <v>1137</v>
      </c>
      <c r="K2648" s="9">
        <f t="shared" si="556"/>
        <v>481</v>
      </c>
      <c r="L2648" s="9" t="str">
        <f t="shared" si="557"/>
        <v>O</v>
      </c>
      <c r="M2648" s="9" t="str">
        <f t="shared" si="558"/>
        <v>Input!O481</v>
      </c>
      <c r="N2648" s="9">
        <f>_xlfn.XLOOKUP(F2648,'Raw Data'!$I$4:$I$5000,'Raw Data'!$E$4:$E$5000,100,0)</f>
        <v>100</v>
      </c>
      <c r="O2648" s="9" t="str">
        <f>IF(N2648=0,_xlfn.XLOOKUP(F2648,'Raw Data'!$I$4:$I$5000,'Raw Data'!$H$4:$H$5000,"",0),"")</f>
        <v/>
      </c>
      <c r="P2648" s="9" t="str" cm="1">
        <f t="array" aca="1" ref="P2648" ca="1">IF(INDIRECT(M2648) = "","",INDIRECT(M2648))</f>
        <v/>
      </c>
      <c r="Q2648" s="359" t="s">
        <v>4380</v>
      </c>
      <c r="R2648" t="s">
        <v>4542</v>
      </c>
    </row>
    <row r="2649" spans="1:18" x14ac:dyDescent="0.35">
      <c r="A2649" t="s">
        <v>3403</v>
      </c>
      <c r="E2649" t="str">
        <f>_xlfn.XLOOKUP(F2649,'Raw Data'!$I$4:$I$5000,'Raw Data'!$D$4:$D$5000,"*** Mnemonic not found ***",0)</f>
        <v>*** Mnemonic not found ***</v>
      </c>
      <c r="F2649" t="str">
        <f t="shared" si="559"/>
        <v>SUCMPRRSK_US_MEDDO_C__</v>
      </c>
      <c r="H2649" s="9" t="s">
        <v>1137</v>
      </c>
      <c r="K2649" s="9">
        <f t="shared" si="556"/>
        <v>482</v>
      </c>
      <c r="L2649" s="9" t="str">
        <f t="shared" si="557"/>
        <v>O</v>
      </c>
      <c r="M2649" s="9" t="str">
        <f t="shared" si="558"/>
        <v>Input!O482</v>
      </c>
      <c r="N2649" s="9">
        <f>_xlfn.XLOOKUP(F2649,'Raw Data'!$I$4:$I$5000,'Raw Data'!$E$4:$E$5000,100,0)</f>
        <v>100</v>
      </c>
      <c r="O2649" s="9" t="str">
        <f>IF(N2649=0,_xlfn.XLOOKUP(F2649,'Raw Data'!$I$4:$I$5000,'Raw Data'!$H$4:$H$5000,"",0),"")</f>
        <v/>
      </c>
      <c r="P2649" s="9" t="str" cm="1">
        <f t="array" aca="1" ref="P2649" ca="1">IF(INDIRECT(M2649) = "","",INDIRECT(M2649))</f>
        <v/>
      </c>
      <c r="Q2649" s="359" t="s">
        <v>4380</v>
      </c>
      <c r="R2649" t="s">
        <v>4543</v>
      </c>
    </row>
    <row r="2650" spans="1:18" x14ac:dyDescent="0.35">
      <c r="A2650" t="s">
        <v>3404</v>
      </c>
      <c r="E2650" t="str">
        <f>_xlfn.XLOOKUP(F2650,'Raw Data'!$I$4:$I$5000,'Raw Data'!$D$4:$D$5000,"*** Mnemonic not found ***",0)</f>
        <v>*** Mnemonic not found ***</v>
      </c>
      <c r="F2650" t="str">
        <f t="shared" si="559"/>
        <v>SUCMPRRSK_US_MEDDRO_C__</v>
      </c>
      <c r="H2650" s="9" t="s">
        <v>1137</v>
      </c>
      <c r="K2650" s="9">
        <f t="shared" si="556"/>
        <v>483</v>
      </c>
      <c r="L2650" s="9" t="str">
        <f t="shared" si="557"/>
        <v>O</v>
      </c>
      <c r="M2650" s="9" t="str">
        <f t="shared" si="558"/>
        <v>Input!O483</v>
      </c>
      <c r="N2650" s="9">
        <f>_xlfn.XLOOKUP(F2650,'Raw Data'!$I$4:$I$5000,'Raw Data'!$E$4:$E$5000,100,0)</f>
        <v>100</v>
      </c>
      <c r="O2650" s="9" t="str">
        <f>IF(N2650=0,_xlfn.XLOOKUP(F2650,'Raw Data'!$I$4:$I$5000,'Raw Data'!$H$4:$H$5000,"",0),"")</f>
        <v/>
      </c>
      <c r="P2650" s="9" t="str" cm="1">
        <f t="array" aca="1" ref="P2650" ca="1">IF(INDIRECT(M2650) = "","",INDIRECT(M2650))</f>
        <v/>
      </c>
      <c r="Q2650" s="359" t="s">
        <v>4380</v>
      </c>
      <c r="R2650" t="s">
        <v>4544</v>
      </c>
    </row>
    <row r="2651" spans="1:18" x14ac:dyDescent="0.35">
      <c r="A2651" t="s">
        <v>3405</v>
      </c>
      <c r="E2651" t="str">
        <f>_xlfn.XLOOKUP(F2651,'Raw Data'!$I$4:$I$5000,'Raw Data'!$D$4:$D$5000,"*** Mnemonic not found ***",0)</f>
        <v>*** Mnemonic not found ***</v>
      </c>
      <c r="F2651" t="str">
        <f t="shared" si="559"/>
        <v>SUCMPRRSK_US_MEDDRR_C__</v>
      </c>
      <c r="H2651" s="9" t="s">
        <v>1137</v>
      </c>
      <c r="K2651" s="9">
        <f t="shared" si="556"/>
        <v>484</v>
      </c>
      <c r="L2651" s="9" t="str">
        <f t="shared" si="557"/>
        <v>O</v>
      </c>
      <c r="M2651" s="9" t="str">
        <f t="shared" si="558"/>
        <v>Input!O484</v>
      </c>
      <c r="N2651" s="9">
        <f>_xlfn.XLOOKUP(F2651,'Raw Data'!$I$4:$I$5000,'Raw Data'!$E$4:$E$5000,100,0)</f>
        <v>100</v>
      </c>
      <c r="O2651" s="9" t="str">
        <f>IF(N2651=0,_xlfn.XLOOKUP(F2651,'Raw Data'!$I$4:$I$5000,'Raw Data'!$H$4:$H$5000,"",0),"")</f>
        <v/>
      </c>
      <c r="P2651" s="9" t="str" cm="1">
        <f t="array" aca="1" ref="P2651" ca="1">IF(INDIRECT(M2651) = "","",INDIRECT(M2651))</f>
        <v/>
      </c>
      <c r="Q2651" s="359" t="s">
        <v>4380</v>
      </c>
      <c r="R2651" t="s">
        <v>4545</v>
      </c>
    </row>
    <row r="2652" spans="1:18" x14ac:dyDescent="0.35">
      <c r="A2652" t="s">
        <v>3406</v>
      </c>
      <c r="E2652" t="str">
        <f>_xlfn.XLOOKUP(F2652,'Raw Data'!$I$4:$I$5000,'Raw Data'!$D$4:$D$5000,"*** Mnemonic not found ***",0)</f>
        <v>*** Mnemonic not found ***</v>
      </c>
      <c r="F2652" t="str">
        <f t="shared" si="559"/>
        <v>SUCMPRRSK_US_MDS_C__</v>
      </c>
      <c r="H2652" s="9" t="s">
        <v>1137</v>
      </c>
      <c r="K2652" s="9">
        <f t="shared" si="556"/>
        <v>485</v>
      </c>
      <c r="L2652" s="9" t="str">
        <f t="shared" si="557"/>
        <v>O</v>
      </c>
      <c r="M2652" s="9" t="str">
        <f t="shared" si="558"/>
        <v>Input!O485</v>
      </c>
      <c r="N2652" s="9">
        <f>_xlfn.XLOOKUP(F2652,'Raw Data'!$I$4:$I$5000,'Raw Data'!$E$4:$E$5000,100,0)</f>
        <v>100</v>
      </c>
      <c r="O2652" s="9" t="str">
        <f>IF(N2652=0,_xlfn.XLOOKUP(F2652,'Raw Data'!$I$4:$I$5000,'Raw Data'!$H$4:$H$5000,"",0),"")</f>
        <v/>
      </c>
      <c r="P2652" s="9" t="str" cm="1">
        <f t="array" aca="1" ref="P2652" ca="1">IF(INDIRECT(M2652) = "","",INDIRECT(M2652))</f>
        <v/>
      </c>
      <c r="Q2652" s="359" t="s">
        <v>4380</v>
      </c>
      <c r="R2652" t="s">
        <v>4546</v>
      </c>
    </row>
    <row r="2653" spans="1:18" x14ac:dyDescent="0.35">
      <c r="A2653" t="s">
        <v>3407</v>
      </c>
      <c r="E2653" t="str">
        <f>_xlfn.XLOOKUP(F2653,'Raw Data'!$I$4:$I$5000,'Raw Data'!$D$4:$D$5000,"*** Mnemonic not found ***",0)</f>
        <v>*** Mnemonic not found ***</v>
      </c>
      <c r="F2653" t="str">
        <f t="shared" si="559"/>
        <v>SUCMPRRSK_US_OLBF_C__</v>
      </c>
      <c r="H2653" s="9" t="s">
        <v>1137</v>
      </c>
      <c r="K2653" s="9">
        <f t="shared" si="556"/>
        <v>486</v>
      </c>
      <c r="L2653" s="9" t="str">
        <f t="shared" si="557"/>
        <v>O</v>
      </c>
      <c r="M2653" s="9" t="str">
        <f t="shared" si="558"/>
        <v>Input!O486</v>
      </c>
      <c r="N2653" s="9">
        <f>_xlfn.XLOOKUP(F2653,'Raw Data'!$I$4:$I$5000,'Raw Data'!$E$4:$E$5000,100,0)</f>
        <v>100</v>
      </c>
      <c r="O2653" s="9" t="str">
        <f>IF(N2653=0,_xlfn.XLOOKUP(F2653,'Raw Data'!$I$4:$I$5000,'Raw Data'!$H$4:$H$5000,"",0),"")</f>
        <v/>
      </c>
      <c r="P2653" s="9" t="str" cm="1">
        <f t="array" aca="1" ref="P2653" ca="1">IF(INDIRECT(M2653) = "","",INDIRECT(M2653))</f>
        <v/>
      </c>
      <c r="Q2653" s="359" t="s">
        <v>4380</v>
      </c>
      <c r="R2653" t="s">
        <v>4547</v>
      </c>
    </row>
    <row r="2654" spans="1:18" x14ac:dyDescent="0.35">
      <c r="A2654" t="s">
        <v>3408</v>
      </c>
      <c r="E2654" t="str">
        <f>_xlfn.XLOOKUP(F2654,'Raw Data'!$I$4:$I$5000,'Raw Data'!$D$4:$D$5000,"*** Mnemonic not found ***",0)</f>
        <v>*** Mnemonic not found ***</v>
      </c>
      <c r="F2654" t="str">
        <f t="shared" si="559"/>
        <v>SUCMPRRSK_US_AIR_C__</v>
      </c>
      <c r="H2654" s="9" t="s">
        <v>1137</v>
      </c>
      <c r="K2654" s="9">
        <f t="shared" si="556"/>
        <v>487</v>
      </c>
      <c r="L2654" s="9" t="str">
        <f t="shared" si="557"/>
        <v>O</v>
      </c>
      <c r="M2654" s="9" t="str">
        <f t="shared" si="558"/>
        <v>Input!O487</v>
      </c>
      <c r="N2654" s="9">
        <f>_xlfn.XLOOKUP(F2654,'Raw Data'!$I$4:$I$5000,'Raw Data'!$E$4:$E$5000,100,0)</f>
        <v>100</v>
      </c>
      <c r="O2654" s="9" t="str">
        <f>IF(N2654=0,_xlfn.XLOOKUP(F2654,'Raw Data'!$I$4:$I$5000,'Raw Data'!$H$4:$H$5000,"",0),"")</f>
        <v/>
      </c>
      <c r="P2654" s="9" t="str" cm="1">
        <f t="array" aca="1" ref="P2654" ca="1">IF(INDIRECT(M2654) = "","",INDIRECT(M2654))</f>
        <v/>
      </c>
      <c r="Q2654" s="359" t="s">
        <v>4380</v>
      </c>
      <c r="R2654" t="s">
        <v>4548</v>
      </c>
    </row>
    <row r="2655" spans="1:18" x14ac:dyDescent="0.35">
      <c r="A2655" s="694" t="s">
        <v>4352</v>
      </c>
      <c r="B2655" s="694"/>
      <c r="E2655" t="str">
        <f>_xlfn.XLOOKUP(F2655,'Raw Data'!$I$4:$I$5000,'Raw Data'!$D$4:$D$5000,"*** Mnemonic not found ***",0)</f>
        <v>*** Mnemonic not found ***</v>
      </c>
      <c r="F2655" t="str">
        <f t="shared" si="559"/>
        <v>SUCMPRRSK_US_MPIN_C__</v>
      </c>
      <c r="H2655" s="9" t="s">
        <v>1137</v>
      </c>
      <c r="K2655" s="9">
        <f t="shared" si="556"/>
        <v>488</v>
      </c>
      <c r="L2655" s="9" t="str">
        <f t="shared" si="557"/>
        <v>O</v>
      </c>
      <c r="M2655" s="9" t="str">
        <f t="shared" si="558"/>
        <v>Input!O488</v>
      </c>
      <c r="N2655" s="9">
        <f>_xlfn.XLOOKUP(F2655,'Raw Data'!$I$4:$I$5000,'Raw Data'!$E$4:$E$5000,100,0)</f>
        <v>100</v>
      </c>
      <c r="O2655" s="9" t="str">
        <f>IF(N2655=0,_xlfn.XLOOKUP(F2655,'Raw Data'!$I$4:$I$5000,'Raw Data'!$H$4:$H$5000,"",0),"")</f>
        <v/>
      </c>
      <c r="P2655" s="9" t="str" cm="1">
        <f t="array" aca="1" ref="P2655" ca="1">IF(INDIRECT(M2655) = "","",INDIRECT(M2655))</f>
        <v/>
      </c>
      <c r="Q2655" s="359" t="s">
        <v>4380</v>
      </c>
      <c r="R2655" t="s">
        <v>4549</v>
      </c>
    </row>
    <row r="2656" spans="1:18" x14ac:dyDescent="0.35">
      <c r="A2656" t="s">
        <v>3409</v>
      </c>
      <c r="E2656" t="str">
        <f>_xlfn.XLOOKUP(F2656,'Raw Data'!$I$4:$I$5000,'Raw Data'!$D$4:$D$5000,"*** Mnemonic not found ***",0)</f>
        <v>*** Mnemonic not found ***</v>
      </c>
      <c r="F2656" t="str">
        <f t="shared" si="559"/>
        <v>SUCMPRRSK_US_OCM_C__</v>
      </c>
      <c r="H2656" s="9" t="s">
        <v>1137</v>
      </c>
      <c r="K2656" s="9">
        <f t="shared" si="556"/>
        <v>489</v>
      </c>
      <c r="L2656" s="9" t="str">
        <f t="shared" si="557"/>
        <v>O</v>
      </c>
      <c r="M2656" s="9" t="str">
        <f t="shared" si="558"/>
        <v>Input!O489</v>
      </c>
      <c r="N2656" s="9">
        <f>_xlfn.XLOOKUP(F2656,'Raw Data'!$I$4:$I$5000,'Raw Data'!$E$4:$E$5000,100,0)</f>
        <v>100</v>
      </c>
      <c r="O2656" s="9" t="str">
        <f>IF(N2656=0,_xlfn.XLOOKUP(F2656,'Raw Data'!$I$4:$I$5000,'Raw Data'!$H$4:$H$5000,"",0),"")</f>
        <v/>
      </c>
      <c r="P2656" s="9" t="str" cm="1">
        <f t="array" aca="1" ref="P2656" ca="1">IF(INDIRECT(M2656) = "","",INDIRECT(M2656))</f>
        <v/>
      </c>
      <c r="Q2656" s="359" t="s">
        <v>4380</v>
      </c>
      <c r="R2656" t="s">
        <v>4550</v>
      </c>
    </row>
    <row r="2657" spans="1:18" x14ac:dyDescent="0.35">
      <c r="A2657" t="s">
        <v>3394</v>
      </c>
      <c r="E2657" t="str">
        <f>_xlfn.XLOOKUP(F2657,'Raw Data'!$I$4:$I$5000,'Raw Data'!$D$4:$D$5000,"*** Mnemonic not found ***",0)</f>
        <v>*** Mnemonic not found ***</v>
      </c>
      <c r="F2657" t="str">
        <f t="shared" si="559"/>
        <v>SUCMPRRSK_US_TITLE_C__</v>
      </c>
      <c r="H2657" s="9" t="s">
        <v>1137</v>
      </c>
      <c r="K2657" s="9">
        <f>K2656+1</f>
        <v>490</v>
      </c>
      <c r="L2657" s="9" t="str">
        <f t="shared" si="557"/>
        <v>O</v>
      </c>
      <c r="M2657" s="9" t="str">
        <f t="shared" si="558"/>
        <v>Input!O490</v>
      </c>
      <c r="N2657" s="9">
        <f>_xlfn.XLOOKUP(F2657,'Raw Data'!$I$4:$I$5000,'Raw Data'!$E$4:$E$5000,100,0)</f>
        <v>100</v>
      </c>
      <c r="O2657" s="9" t="str">
        <f>IF(N2657=0,_xlfn.XLOOKUP(F2657,'Raw Data'!$I$4:$I$5000,'Raw Data'!$H$4:$H$5000,"",0),"")</f>
        <v/>
      </c>
      <c r="P2657" s="9" t="str" cm="1">
        <f t="array" aca="1" ref="P2657" ca="1">IF(INDIRECT(M2657) = "","",INDIRECT(M2657))</f>
        <v/>
      </c>
      <c r="Q2657" s="359" t="s">
        <v>4380</v>
      </c>
      <c r="R2657" t="s">
        <v>4551</v>
      </c>
    </row>
    <row r="2658" spans="1:18" x14ac:dyDescent="0.35">
      <c r="A2658" t="s">
        <v>3410</v>
      </c>
      <c r="E2658" t="str">
        <f>_xlfn.XLOOKUP(F2658,'Raw Data'!$I$4:$I$5000,'Raw Data'!$D$4:$D$5000,"*** Mnemonic not found ***",0)</f>
        <v>*** Mnemonic not found ***</v>
      </c>
      <c r="F2658" t="str">
        <f t="shared" si="559"/>
        <v>SUCMPRRSK_US_WAR_C__</v>
      </c>
      <c r="H2658" s="9" t="s">
        <v>1137</v>
      </c>
      <c r="K2658" s="9">
        <f t="shared" si="556"/>
        <v>491</v>
      </c>
      <c r="L2658" s="9" t="str">
        <f t="shared" si="557"/>
        <v>O</v>
      </c>
      <c r="M2658" s="9" t="str">
        <f t="shared" si="558"/>
        <v>Input!O491</v>
      </c>
      <c r="N2658" s="9">
        <f>_xlfn.XLOOKUP(F2658,'Raw Data'!$I$4:$I$5000,'Raw Data'!$E$4:$E$5000,100,0)</f>
        <v>100</v>
      </c>
      <c r="O2658" s="9" t="str">
        <f>IF(N2658=0,_xlfn.XLOOKUP(F2658,'Raw Data'!$I$4:$I$5000,'Raw Data'!$H$4:$H$5000,"",0),"")</f>
        <v/>
      </c>
      <c r="P2658" s="9" t="str" cm="1">
        <f t="array" aca="1" ref="P2658" ca="1">IF(INDIRECT(M2658) = "","",INDIRECT(M2658))</f>
        <v/>
      </c>
      <c r="Q2658" s="359" t="s">
        <v>4380</v>
      </c>
      <c r="R2658" t="s">
        <v>4552</v>
      </c>
    </row>
    <row r="2659" spans="1:18" x14ac:dyDescent="0.35">
      <c r="A2659" t="s">
        <v>3411</v>
      </c>
      <c r="B2659" s="217"/>
      <c r="E2659" t="str">
        <f>_xlfn.XLOOKUP(F2659,'Raw Data'!$I$4:$I$5000,'Raw Data'!$D$4:$D$5000,"*** Mnemonic not found ***",0)</f>
        <v>*** Mnemonic not found ***</v>
      </c>
      <c r="F2659" t="str">
        <f t="shared" si="559"/>
        <v>SUCMPRRSK_US_OCAH_C__</v>
      </c>
      <c r="H2659" s="9" t="s">
        <v>1137</v>
      </c>
      <c r="K2659" s="9">
        <f t="shared" si="556"/>
        <v>492</v>
      </c>
      <c r="L2659" s="9" t="str">
        <f t="shared" si="557"/>
        <v>O</v>
      </c>
      <c r="M2659" s="9" t="str">
        <f t="shared" si="558"/>
        <v>Input!O492</v>
      </c>
      <c r="N2659" s="9">
        <f>_xlfn.XLOOKUP(F2659,'Raw Data'!$I$4:$I$5000,'Raw Data'!$E$4:$E$5000,100,0)</f>
        <v>100</v>
      </c>
      <c r="O2659" s="9" t="str">
        <f>IF(N2659=0,_xlfn.XLOOKUP(F2659,'Raw Data'!$I$4:$I$5000,'Raw Data'!$H$4:$H$5000,"",0),"")</f>
        <v/>
      </c>
      <c r="P2659" s="9" t="str" cm="1">
        <f t="array" aca="1" ref="P2659" ca="1">IF(INDIRECT(M2659) = "","",INDIRECT(M2659))</f>
        <v/>
      </c>
      <c r="Q2659" s="359" t="s">
        <v>4380</v>
      </c>
      <c r="R2659" t="s">
        <v>4553</v>
      </c>
    </row>
    <row r="2660" spans="1:18" x14ac:dyDescent="0.35">
      <c r="A2660" t="s">
        <v>4072</v>
      </c>
      <c r="E2660" t="str">
        <f>_xlfn.XLOOKUP(F2660,'Raw Data'!$I$4:$I$5000,'Raw Data'!$D$4:$D$5000,"*** Mnemonic not found ***",0)</f>
        <v>*** Mnemonic not found ***</v>
      </c>
      <c r="F2660" t="str">
        <f t="shared" si="559"/>
        <v>SUCMPRRSK_CN_LIA_C__</v>
      </c>
      <c r="H2660" s="9" t="s">
        <v>1137</v>
      </c>
      <c r="K2660" s="9">
        <f>K2659+2</f>
        <v>494</v>
      </c>
      <c r="L2660" s="9" t="str">
        <f t="shared" si="557"/>
        <v>O</v>
      </c>
      <c r="M2660" s="9" t="str">
        <f t="shared" si="558"/>
        <v>Input!O494</v>
      </c>
      <c r="N2660" s="9">
        <f>_xlfn.XLOOKUP(F2660,'Raw Data'!$I$4:$I$5000,'Raw Data'!$E$4:$E$5000,100,0)</f>
        <v>100</v>
      </c>
      <c r="O2660" s="9" t="str">
        <f>IF(N2660=0,_xlfn.XLOOKUP(F2660,'Raw Data'!$I$4:$I$5000,'Raw Data'!$H$4:$H$5000,"",0),"")</f>
        <v/>
      </c>
      <c r="P2660" s="9" t="str" cm="1">
        <f t="array" aca="1" ref="P2660" ca="1">IF(INDIRECT(M2660) = "","",INDIRECT(M2660))</f>
        <v/>
      </c>
      <c r="Q2660" s="359" t="s">
        <v>4380</v>
      </c>
      <c r="R2660" t="s">
        <v>4554</v>
      </c>
    </row>
    <row r="2661" spans="1:18" x14ac:dyDescent="0.35">
      <c r="A2661" t="s">
        <v>4054</v>
      </c>
      <c r="E2661" t="str">
        <f>_xlfn.XLOOKUP(F2661,'Raw Data'!$I$4:$I$5000,'Raw Data'!$D$4:$D$5000,"*** Mnemonic not found ***",0)</f>
        <v>*** Mnemonic not found ***</v>
      </c>
      <c r="F2661" t="str">
        <f t="shared" si="559"/>
        <v>SUCMPRRSK_CN_BLM_C__</v>
      </c>
      <c r="H2661" s="9" t="s">
        <v>1137</v>
      </c>
      <c r="K2661" s="9">
        <f t="shared" si="556"/>
        <v>495</v>
      </c>
      <c r="L2661" s="9" t="str">
        <f t="shared" si="557"/>
        <v>O</v>
      </c>
      <c r="M2661" s="9" t="str">
        <f t="shared" si="558"/>
        <v>Input!O495</v>
      </c>
      <c r="N2661" s="9">
        <f>_xlfn.XLOOKUP(F2661,'Raw Data'!$I$4:$I$5000,'Raw Data'!$E$4:$E$5000,100,0)</f>
        <v>100</v>
      </c>
      <c r="O2661" s="9" t="str">
        <f>IF(N2661=0,_xlfn.XLOOKUP(F2661,'Raw Data'!$I$4:$I$5000,'Raw Data'!$H$4:$H$5000,"",0),"")</f>
        <v/>
      </c>
      <c r="P2661" s="9" t="str" cm="1">
        <f t="array" aca="1" ref="P2661" ca="1">IF(INDIRECT(M2661) = "","",INDIRECT(M2661))</f>
        <v/>
      </c>
      <c r="Q2661" s="359" t="s">
        <v>4380</v>
      </c>
      <c r="R2661" t="s">
        <v>4555</v>
      </c>
    </row>
    <row r="2662" spans="1:18" x14ac:dyDescent="0.35">
      <c r="A2662" t="s">
        <v>4075</v>
      </c>
      <c r="E2662" t="str">
        <f>_xlfn.XLOOKUP(F2662,'Raw Data'!$I$4:$I$5000,'Raw Data'!$D$4:$D$5000,"*** Mnemonic not found ***",0)</f>
        <v>*** Mnemonic not found ***</v>
      </c>
      <c r="F2662" t="str">
        <f t="shared" si="559"/>
        <v>SUCMPRRSK_CN_CMPR_C__</v>
      </c>
      <c r="H2662" s="9" t="s">
        <v>1137</v>
      </c>
      <c r="K2662" s="9">
        <f t="shared" si="556"/>
        <v>496</v>
      </c>
      <c r="L2662" s="9" t="str">
        <f t="shared" si="557"/>
        <v>O</v>
      </c>
      <c r="M2662" s="9" t="str">
        <f t="shared" si="558"/>
        <v>Input!O496</v>
      </c>
      <c r="N2662" s="9">
        <f>_xlfn.XLOOKUP(F2662,'Raw Data'!$I$4:$I$5000,'Raw Data'!$E$4:$E$5000,100,0)</f>
        <v>100</v>
      </c>
      <c r="O2662" s="9" t="str">
        <f>IF(N2662=0,_xlfn.XLOOKUP(F2662,'Raw Data'!$I$4:$I$5000,'Raw Data'!$H$4:$H$5000,"",0),"")</f>
        <v/>
      </c>
      <c r="P2662" s="9" t="str" cm="1">
        <f t="array" aca="1" ref="P2662" ca="1">IF(INDIRECT(M2662) = "","",INDIRECT(M2662))</f>
        <v/>
      </c>
      <c r="Q2662" s="359" t="s">
        <v>4380</v>
      </c>
      <c r="R2662" t="s">
        <v>4556</v>
      </c>
    </row>
    <row r="2663" spans="1:18" x14ac:dyDescent="0.35">
      <c r="A2663" t="s">
        <v>4026</v>
      </c>
      <c r="E2663" t="str">
        <f>_xlfn.XLOOKUP(F2663,'Raw Data'!$I$4:$I$5000,'Raw Data'!$D$4:$D$5000,"*** Mnemonic not found ***",0)</f>
        <v>*** Mnemonic not found ***</v>
      </c>
      <c r="F2663" t="str">
        <f t="shared" si="559"/>
        <v>SUCMPRRSK_CN_HAIL_C__</v>
      </c>
      <c r="H2663" s="9" t="s">
        <v>1137</v>
      </c>
      <c r="K2663" s="9">
        <f t="shared" si="556"/>
        <v>497</v>
      </c>
      <c r="L2663" s="9" t="str">
        <f t="shared" si="557"/>
        <v>O</v>
      </c>
      <c r="M2663" s="9" t="str">
        <f t="shared" si="558"/>
        <v>Input!O497</v>
      </c>
      <c r="N2663" s="9">
        <f>_xlfn.XLOOKUP(F2663,'Raw Data'!$I$4:$I$5000,'Raw Data'!$E$4:$E$5000,100,0)</f>
        <v>100</v>
      </c>
      <c r="O2663" s="9" t="str">
        <f>IF(N2663=0,_xlfn.XLOOKUP(F2663,'Raw Data'!$I$4:$I$5000,'Raw Data'!$H$4:$H$5000,"",0),"")</f>
        <v/>
      </c>
      <c r="P2663" s="9" t="str" cm="1">
        <f t="array" aca="1" ref="P2663" ca="1">IF(INDIRECT(M2663) = "","",INDIRECT(M2663))</f>
        <v/>
      </c>
      <c r="Q2663" s="359" t="s">
        <v>4380</v>
      </c>
      <c r="R2663" t="s">
        <v>4557</v>
      </c>
    </row>
    <row r="2664" spans="1:18" x14ac:dyDescent="0.35">
      <c r="A2664" t="s">
        <v>4071</v>
      </c>
      <c r="E2664" t="str">
        <f>_xlfn.XLOOKUP(F2664,'Raw Data'!$I$4:$I$5000,'Raw Data'!$D$4:$D$5000,"*** Mnemonic not found ***",0)</f>
        <v>*** Mnemonic not found ***</v>
      </c>
      <c r="F2664" t="str">
        <f t="shared" si="559"/>
        <v>SUCMPRRSK_CN_PPR_C__</v>
      </c>
      <c r="H2664" s="9" t="s">
        <v>1137</v>
      </c>
      <c r="K2664" s="9">
        <f t="shared" si="556"/>
        <v>498</v>
      </c>
      <c r="L2664" s="9" t="str">
        <f t="shared" si="557"/>
        <v>O</v>
      </c>
      <c r="M2664" s="9" t="str">
        <f t="shared" si="558"/>
        <v>Input!O498</v>
      </c>
      <c r="N2664" s="9">
        <f>_xlfn.XLOOKUP(F2664,'Raw Data'!$I$4:$I$5000,'Raw Data'!$E$4:$E$5000,100,0)</f>
        <v>100</v>
      </c>
      <c r="O2664" s="9" t="str">
        <f>IF(N2664=0,_xlfn.XLOOKUP(F2664,'Raw Data'!$I$4:$I$5000,'Raw Data'!$H$4:$H$5000,"",0),"")</f>
        <v/>
      </c>
      <c r="P2664" s="9" t="str" cm="1">
        <f t="array" aca="1" ref="P2664" ca="1">IF(INDIRECT(M2664) = "","",INDIRECT(M2664))</f>
        <v/>
      </c>
      <c r="Q2664" s="359" t="s">
        <v>4380</v>
      </c>
      <c r="R2664" t="s">
        <v>4558</v>
      </c>
    </row>
    <row r="2665" spans="1:18" x14ac:dyDescent="0.35">
      <c r="A2665" t="s">
        <v>4062</v>
      </c>
      <c r="E2665" t="str">
        <f>_xlfn.XLOOKUP(F2665,'Raw Data'!$I$4:$I$5000,'Raw Data'!$D$4:$D$5000,"*** Mnemonic not found ***",0)</f>
        <v>*** Mnemonic not found ***</v>
      </c>
      <c r="F2665" t="str">
        <f t="shared" si="559"/>
        <v>SUCMPRRSK_CN_ALB_C__</v>
      </c>
      <c r="H2665" s="9" t="s">
        <v>1137</v>
      </c>
      <c r="K2665" s="9">
        <f t="shared" si="556"/>
        <v>499</v>
      </c>
      <c r="L2665" s="9" t="str">
        <f t="shared" si="557"/>
        <v>O</v>
      </c>
      <c r="M2665" s="9" t="str">
        <f t="shared" si="558"/>
        <v>Input!O499</v>
      </c>
      <c r="N2665" s="9">
        <f>_xlfn.XLOOKUP(F2665,'Raw Data'!$I$4:$I$5000,'Raw Data'!$E$4:$E$5000,100,0)</f>
        <v>100</v>
      </c>
      <c r="O2665" s="9" t="str">
        <f>IF(N2665=0,_xlfn.XLOOKUP(F2665,'Raw Data'!$I$4:$I$5000,'Raw Data'!$H$4:$H$5000,"",0),"")</f>
        <v/>
      </c>
      <c r="P2665" s="9" t="str" cm="1">
        <f t="array" aca="1" ref="P2665" ca="1">IF(INDIRECT(M2665) = "","",INDIRECT(M2665))</f>
        <v/>
      </c>
      <c r="Q2665" s="359" t="s">
        <v>4380</v>
      </c>
      <c r="R2665" t="s">
        <v>4559</v>
      </c>
    </row>
    <row r="2666" spans="1:18" x14ac:dyDescent="0.35">
      <c r="A2666" t="s">
        <v>4018</v>
      </c>
      <c r="E2666" t="str">
        <f>_xlfn.XLOOKUP(F2666,'Raw Data'!$I$4:$I$5000,'Raw Data'!$D$4:$D$5000,"*** Mnemonic not found ***",0)</f>
        <v>*** Mnemonic not found ***</v>
      </c>
      <c r="F2666" t="str">
        <f t="shared" si="559"/>
        <v>SUCMPRRSK_CN_ATOTH_C__</v>
      </c>
      <c r="H2666" s="9" t="s">
        <v>1137</v>
      </c>
      <c r="K2666" s="9">
        <f t="shared" si="556"/>
        <v>500</v>
      </c>
      <c r="L2666" s="9" t="str">
        <f t="shared" si="557"/>
        <v>O</v>
      </c>
      <c r="M2666" s="9" t="str">
        <f t="shared" si="558"/>
        <v>Input!O500</v>
      </c>
      <c r="N2666" s="9">
        <f>_xlfn.XLOOKUP(F2666,'Raw Data'!$I$4:$I$5000,'Raw Data'!$E$4:$E$5000,100,0)</f>
        <v>100</v>
      </c>
      <c r="O2666" s="9" t="str">
        <f>IF(N2666=0,_xlfn.XLOOKUP(F2666,'Raw Data'!$I$4:$I$5000,'Raw Data'!$H$4:$H$5000,"",0),"")</f>
        <v/>
      </c>
      <c r="P2666" s="9" t="str" cm="1">
        <f t="array" aca="1" ref="P2666" ca="1">IF(INDIRECT(M2666) = "","",INDIRECT(M2666))</f>
        <v/>
      </c>
      <c r="Q2666" s="359" t="s">
        <v>4380</v>
      </c>
      <c r="R2666" t="s">
        <v>4560</v>
      </c>
    </row>
    <row r="2667" spans="1:18" x14ac:dyDescent="0.35">
      <c r="A2667" t="s">
        <v>4036</v>
      </c>
      <c r="E2667" t="str">
        <f>_xlfn.XLOOKUP(F2667,'Raw Data'!$I$4:$I$5000,'Raw Data'!$D$4:$D$5000,"*** Mnemonic not found ***",0)</f>
        <v>*** Mnemonic not found ***</v>
      </c>
      <c r="F2667" t="str">
        <f t="shared" si="559"/>
        <v>SUCMPRRSK_CN_ATPAC_C__</v>
      </c>
      <c r="H2667" s="9" t="s">
        <v>1137</v>
      </c>
      <c r="K2667" s="9">
        <f t="shared" si="556"/>
        <v>501</v>
      </c>
      <c r="L2667" s="9" t="str">
        <f t="shared" si="557"/>
        <v>O</v>
      </c>
      <c r="M2667" s="9" t="str">
        <f t="shared" si="558"/>
        <v>Input!O501</v>
      </c>
      <c r="N2667" s="9">
        <f>_xlfn.XLOOKUP(F2667,'Raw Data'!$I$4:$I$5000,'Raw Data'!$E$4:$E$5000,100,0)</f>
        <v>100</v>
      </c>
      <c r="O2667" s="9" t="str">
        <f>IF(N2667=0,_xlfn.XLOOKUP(F2667,'Raw Data'!$I$4:$I$5000,'Raw Data'!$H$4:$H$5000,"",0),"")</f>
        <v/>
      </c>
      <c r="P2667" s="9" t="str" cm="1">
        <f t="array" aca="1" ref="P2667" ca="1">IF(INDIRECT(M2667) = "","",INDIRECT(M2667))</f>
        <v/>
      </c>
      <c r="Q2667" s="359" t="s">
        <v>4380</v>
      </c>
      <c r="R2667" t="s">
        <v>4561</v>
      </c>
    </row>
    <row r="2668" spans="1:18" x14ac:dyDescent="0.35">
      <c r="A2668" t="s">
        <v>4016</v>
      </c>
      <c r="E2668" t="str">
        <f>_xlfn.XLOOKUP(F2668,'Raw Data'!$I$4:$I$5000,'Raw Data'!$D$4:$D$5000,"*** Mnemonic not found ***",0)</f>
        <v>*** Mnemonic not found ***</v>
      </c>
      <c r="F2668" t="str">
        <f t="shared" si="559"/>
        <v>SUCMPRRSK_CN_CRD_C__</v>
      </c>
      <c r="H2668" s="9" t="s">
        <v>1137</v>
      </c>
      <c r="K2668" s="9">
        <f t="shared" si="556"/>
        <v>502</v>
      </c>
      <c r="L2668" s="9" t="str">
        <f t="shared" si="557"/>
        <v>O</v>
      </c>
      <c r="M2668" s="9" t="str">
        <f t="shared" si="558"/>
        <v>Input!O502</v>
      </c>
      <c r="N2668" s="9">
        <f>_xlfn.XLOOKUP(F2668,'Raw Data'!$I$4:$I$5000,'Raw Data'!$E$4:$E$5000,100,0)</f>
        <v>100</v>
      </c>
      <c r="O2668" s="9" t="str">
        <f>IF(N2668=0,_xlfn.XLOOKUP(F2668,'Raw Data'!$I$4:$I$5000,'Raw Data'!$H$4:$H$5000,"",0),"")</f>
        <v/>
      </c>
      <c r="P2668" s="9" t="str" cm="1">
        <f t="array" aca="1" ref="P2668" ca="1">IF(INDIRECT(M2668) = "","",INDIRECT(M2668))</f>
        <v/>
      </c>
      <c r="Q2668" s="359" t="s">
        <v>4380</v>
      </c>
      <c r="R2668" t="s">
        <v>4562</v>
      </c>
    </row>
    <row r="2669" spans="1:18" x14ac:dyDescent="0.35">
      <c r="A2669" t="s">
        <v>4053</v>
      </c>
      <c r="E2669" t="str">
        <f>_xlfn.XLOOKUP(F2669,'Raw Data'!$I$4:$I$5000,'Raw Data'!$D$4:$D$5000,"*** Mnemonic not found ***",0)</f>
        <v>*** Mnemonic not found ***</v>
      </c>
      <c r="F2669" t="str">
        <f t="shared" si="559"/>
        <v>SUCMPRRSK_CN_CRPR_C__</v>
      </c>
      <c r="H2669" s="9" t="s">
        <v>1137</v>
      </c>
      <c r="K2669" s="9">
        <f t="shared" si="556"/>
        <v>503</v>
      </c>
      <c r="L2669" s="9" t="str">
        <f t="shared" si="557"/>
        <v>O</v>
      </c>
      <c r="M2669" s="9" t="str">
        <f t="shared" si="558"/>
        <v>Input!O503</v>
      </c>
      <c r="N2669" s="9">
        <f>_xlfn.XLOOKUP(F2669,'Raw Data'!$I$4:$I$5000,'Raw Data'!$E$4:$E$5000,100,0)</f>
        <v>100</v>
      </c>
      <c r="O2669" s="9" t="str">
        <f>IF(N2669=0,_xlfn.XLOOKUP(F2669,'Raw Data'!$I$4:$I$5000,'Raw Data'!$H$4:$H$5000,"",0),"")</f>
        <v/>
      </c>
      <c r="P2669" s="9" t="str" cm="1">
        <f t="array" aca="1" ref="P2669" ca="1">IF(INDIRECT(M2669) = "","",INDIRECT(M2669))</f>
        <v/>
      </c>
      <c r="Q2669" s="359" t="s">
        <v>4380</v>
      </c>
      <c r="R2669" t="s">
        <v>4563</v>
      </c>
    </row>
    <row r="2670" spans="1:18" x14ac:dyDescent="0.35">
      <c r="A2670" t="s">
        <v>4039</v>
      </c>
      <c r="E2670" t="str">
        <f>_xlfn.XLOOKUP(F2670,'Raw Data'!$I$4:$I$5000,'Raw Data'!$D$4:$D$5000,"*** Mnemonic not found ***",0)</f>
        <v>*** Mnemonic not found ***</v>
      </c>
      <c r="F2670" t="str">
        <f t="shared" si="559"/>
        <v>SUCMPRRSK_CN_FID_C__</v>
      </c>
      <c r="H2670" s="9" t="s">
        <v>1137</v>
      </c>
      <c r="K2670" s="9">
        <f t="shared" si="556"/>
        <v>504</v>
      </c>
      <c r="L2670" s="9" t="str">
        <f t="shared" si="557"/>
        <v>O</v>
      </c>
      <c r="M2670" s="9" t="str">
        <f t="shared" si="558"/>
        <v>Input!O504</v>
      </c>
      <c r="N2670" s="9">
        <f>_xlfn.XLOOKUP(F2670,'Raw Data'!$I$4:$I$5000,'Raw Data'!$E$4:$E$5000,100,0)</f>
        <v>100</v>
      </c>
      <c r="O2670" s="9" t="str">
        <f>IF(N2670=0,_xlfn.XLOOKUP(F2670,'Raw Data'!$I$4:$I$5000,'Raw Data'!$H$4:$H$5000,"",0),"")</f>
        <v/>
      </c>
      <c r="P2670" s="9" t="str" cm="1">
        <f t="array" aca="1" ref="P2670" ca="1">IF(INDIRECT(M2670) = "","",INDIRECT(M2670))</f>
        <v/>
      </c>
      <c r="Q2670" s="359" t="s">
        <v>4380</v>
      </c>
      <c r="R2670" t="s">
        <v>4564</v>
      </c>
    </row>
    <row r="2671" spans="1:18" x14ac:dyDescent="0.35">
      <c r="A2671" t="s">
        <v>4025</v>
      </c>
      <c r="E2671" t="str">
        <f>_xlfn.XLOOKUP(F2671,'Raw Data'!$I$4:$I$5000,'Raw Data'!$D$4:$D$5000,"*** Mnemonic not found ***",0)</f>
        <v>*** Mnemonic not found ***</v>
      </c>
      <c r="F2671" t="str">
        <f t="shared" si="559"/>
        <v>SUCMPRRSK_CN_SUR_C__</v>
      </c>
      <c r="H2671" s="9" t="s">
        <v>1137</v>
      </c>
      <c r="K2671" s="9">
        <f t="shared" si="556"/>
        <v>505</v>
      </c>
      <c r="L2671" s="9" t="str">
        <f t="shared" si="557"/>
        <v>O</v>
      </c>
      <c r="M2671" s="9" t="str">
        <f t="shared" si="558"/>
        <v>Input!O505</v>
      </c>
      <c r="N2671" s="9">
        <f>_xlfn.XLOOKUP(F2671,'Raw Data'!$I$4:$I$5000,'Raw Data'!$E$4:$E$5000,100,0)</f>
        <v>100</v>
      </c>
      <c r="O2671" s="9" t="str">
        <f>IF(N2671=0,_xlfn.XLOOKUP(F2671,'Raw Data'!$I$4:$I$5000,'Raw Data'!$H$4:$H$5000,"",0),"")</f>
        <v/>
      </c>
      <c r="P2671" s="9" t="str" cm="1">
        <f t="array" aca="1" ref="P2671" ca="1">IF(INDIRECT(M2671) = "","",INDIRECT(M2671))</f>
        <v/>
      </c>
      <c r="Q2671" s="359" t="s">
        <v>4380</v>
      </c>
      <c r="R2671" t="s">
        <v>4565</v>
      </c>
    </row>
    <row r="2672" spans="1:18" x14ac:dyDescent="0.35">
      <c r="A2672" t="s">
        <v>4061</v>
      </c>
      <c r="E2672" t="str">
        <f>_xlfn.XLOOKUP(F2672,'Raw Data'!$I$4:$I$5000,'Raw Data'!$D$4:$D$5000,"*** Mnemonic not found ***",0)</f>
        <v>*** Mnemonic not found ***</v>
      </c>
      <c r="F2672" t="str">
        <f t="shared" si="559"/>
        <v>SUCMPRRSK_CN_ACSK_C__</v>
      </c>
      <c r="H2672" s="9" t="s">
        <v>1137</v>
      </c>
      <c r="K2672" s="9">
        <f t="shared" si="556"/>
        <v>506</v>
      </c>
      <c r="L2672" s="9" t="str">
        <f t="shared" si="557"/>
        <v>O</v>
      </c>
      <c r="M2672" s="9" t="str">
        <f t="shared" si="558"/>
        <v>Input!O506</v>
      </c>
      <c r="N2672" s="9">
        <f>_xlfn.XLOOKUP(F2672,'Raw Data'!$I$4:$I$5000,'Raw Data'!$E$4:$E$5000,100,0)</f>
        <v>100</v>
      </c>
      <c r="O2672" s="9" t="str">
        <f>IF(N2672=0,_xlfn.XLOOKUP(F2672,'Raw Data'!$I$4:$I$5000,'Raw Data'!$H$4:$H$5000,"",0),"")</f>
        <v/>
      </c>
      <c r="P2672" s="9" t="str" cm="1">
        <f t="array" aca="1" ref="P2672" ca="1">IF(INDIRECT(M2672) = "","",INDIRECT(M2672))</f>
        <v/>
      </c>
      <c r="Q2672" s="359" t="s">
        <v>4380</v>
      </c>
      <c r="R2672" t="s">
        <v>4566</v>
      </c>
    </row>
    <row r="2673" spans="1:18" x14ac:dyDescent="0.35">
      <c r="A2673" t="s">
        <v>4353</v>
      </c>
      <c r="B2673" s="694"/>
      <c r="E2673" t="str">
        <f>_xlfn.XLOOKUP(F2673,'Raw Data'!$I$4:$I$5000,'Raw Data'!$D$4:$D$5000,"*** Mnemonic not found ***",0)</f>
        <v>*** Mnemonic not found ***</v>
      </c>
      <c r="F2673" t="str">
        <f t="shared" si="559"/>
        <v>SUCMPRRSK_CN_SUPH_C__</v>
      </c>
      <c r="H2673" s="9" t="s">
        <v>1137</v>
      </c>
      <c r="K2673" s="9">
        <f t="shared" si="556"/>
        <v>507</v>
      </c>
      <c r="L2673" s="9" t="str">
        <f t="shared" si="557"/>
        <v>O</v>
      </c>
      <c r="M2673" s="9" t="str">
        <f t="shared" si="558"/>
        <v>Input!O507</v>
      </c>
      <c r="N2673" s="9">
        <f>_xlfn.XLOOKUP(F2673,'Raw Data'!$I$4:$I$5000,'Raw Data'!$E$4:$E$5000,100,0)</f>
        <v>100</v>
      </c>
      <c r="O2673" s="9" t="str">
        <f>IF(N2673=0,_xlfn.XLOOKUP(F2673,'Raw Data'!$I$4:$I$5000,'Raw Data'!$H$4:$H$5000,"",0),"")</f>
        <v/>
      </c>
      <c r="P2673" s="9" t="str" cm="1">
        <f t="array" aca="1" ref="P2673" ca="1">IF(INDIRECT(M2673) = "","",INDIRECT(M2673))</f>
        <v/>
      </c>
      <c r="Q2673" s="359" t="s">
        <v>4380</v>
      </c>
      <c r="R2673" t="s">
        <v>4567</v>
      </c>
    </row>
    <row r="2674" spans="1:18" x14ac:dyDescent="0.35">
      <c r="A2674" t="s">
        <v>4045</v>
      </c>
      <c r="E2674" t="str">
        <f>_xlfn.XLOOKUP(F2674,'Raw Data'!$I$4:$I$5000,'Raw Data'!$D$4:$D$5000,"*** Mnemonic not found ***",0)</f>
        <v>*** Mnemonic not found ***</v>
      </c>
      <c r="F2674" t="str">
        <f t="shared" si="559"/>
        <v>SUCMPRRSK_CN_AIR_C__</v>
      </c>
      <c r="H2674" s="9" t="s">
        <v>1137</v>
      </c>
      <c r="K2674" s="9">
        <f t="shared" si="556"/>
        <v>508</v>
      </c>
      <c r="L2674" s="9" t="str">
        <f t="shared" ref="L2674:L2737" si="560">L2673</f>
        <v>O</v>
      </c>
      <c r="M2674" s="9" t="str">
        <f t="shared" ref="M2674:M2737" si="561">CONCATENATE(H2674,"!",L2674,K2674)</f>
        <v>Input!O508</v>
      </c>
      <c r="N2674" s="9">
        <f>_xlfn.XLOOKUP(F2674,'Raw Data'!$I$4:$I$5000,'Raw Data'!$E$4:$E$5000,100,0)</f>
        <v>100</v>
      </c>
      <c r="O2674" s="9" t="str">
        <f>IF(N2674=0,_xlfn.XLOOKUP(F2674,'Raw Data'!$I$4:$I$5000,'Raw Data'!$H$4:$H$5000,"",0),"")</f>
        <v/>
      </c>
      <c r="P2674" s="9" t="str" cm="1">
        <f t="array" aca="1" ref="P2674" ca="1">IF(INDIRECT(M2674) = "","",INDIRECT(M2674))</f>
        <v/>
      </c>
      <c r="Q2674" s="359" t="s">
        <v>4380</v>
      </c>
      <c r="R2674" t="s">
        <v>4568</v>
      </c>
    </row>
    <row r="2675" spans="1:18" x14ac:dyDescent="0.35">
      <c r="A2675" t="s">
        <v>4035</v>
      </c>
      <c r="E2675" t="str">
        <f>_xlfn.XLOOKUP(F2675,'Raw Data'!$I$4:$I$5000,'Raw Data'!$D$4:$D$5000,"*** Mnemonic not found ***",0)</f>
        <v>*** Mnemonic not found ***</v>
      </c>
      <c r="F2675" t="str">
        <f t="shared" si="559"/>
        <v>SUCMPRRSK_CN_OCM_C__</v>
      </c>
      <c r="H2675" s="9" t="s">
        <v>1137</v>
      </c>
      <c r="K2675" s="9">
        <f t="shared" si="556"/>
        <v>509</v>
      </c>
      <c r="L2675" s="9" t="str">
        <f t="shared" si="560"/>
        <v>O</v>
      </c>
      <c r="M2675" s="9" t="str">
        <f t="shared" si="561"/>
        <v>Input!O509</v>
      </c>
      <c r="N2675" s="9">
        <f>_xlfn.XLOOKUP(F2675,'Raw Data'!$I$4:$I$5000,'Raw Data'!$E$4:$E$5000,100,0)</f>
        <v>100</v>
      </c>
      <c r="O2675" s="9" t="str">
        <f>IF(N2675=0,_xlfn.XLOOKUP(F2675,'Raw Data'!$I$4:$I$5000,'Raw Data'!$H$4:$H$5000,"",0),"")</f>
        <v/>
      </c>
      <c r="P2675" s="9" t="str" cm="1">
        <f t="array" aca="1" ref="P2675" ca="1">IF(INDIRECT(M2675) = "","",INDIRECT(M2675))</f>
        <v/>
      </c>
      <c r="Q2675" s="359" t="s">
        <v>4380</v>
      </c>
      <c r="R2675" t="s">
        <v>4569</v>
      </c>
    </row>
    <row r="2676" spans="1:18" x14ac:dyDescent="0.35">
      <c r="A2676" t="s">
        <v>4354</v>
      </c>
      <c r="B2676" s="694"/>
      <c r="E2676" t="str">
        <f>_xlfn.XLOOKUP(F2676,'Raw Data'!$I$4:$I$5000,'Raw Data'!$D$4:$D$5000,"*** Mnemonic not found ***",0)</f>
        <v>*** Mnemonic not found ***</v>
      </c>
      <c r="F2676" t="str">
        <f t="shared" si="559"/>
        <v>SUCMPRRSK_CN_MPIN_C__</v>
      </c>
      <c r="H2676" s="9" t="s">
        <v>1137</v>
      </c>
      <c r="K2676" s="9">
        <f t="shared" si="556"/>
        <v>510</v>
      </c>
      <c r="L2676" s="9" t="str">
        <f t="shared" si="560"/>
        <v>O</v>
      </c>
      <c r="M2676" s="9" t="str">
        <f t="shared" si="561"/>
        <v>Input!O510</v>
      </c>
      <c r="N2676" s="9">
        <f>_xlfn.XLOOKUP(F2676,'Raw Data'!$I$4:$I$5000,'Raw Data'!$E$4:$E$5000,100,0)</f>
        <v>100</v>
      </c>
      <c r="O2676" s="9" t="str">
        <f>IF(N2676=0,_xlfn.XLOOKUP(F2676,'Raw Data'!$I$4:$I$5000,'Raw Data'!$H$4:$H$5000,"",0),"")</f>
        <v/>
      </c>
      <c r="P2676" s="9" t="str" cm="1">
        <f t="array" aca="1" ref="P2676" ca="1">IF(INDIRECT(M2676) = "","",INDIRECT(M2676))</f>
        <v/>
      </c>
      <c r="Q2676" s="359" t="s">
        <v>4380</v>
      </c>
      <c r="R2676" t="s">
        <v>4570</v>
      </c>
    </row>
    <row r="2677" spans="1:18" x14ac:dyDescent="0.35">
      <c r="A2677" t="s">
        <v>4015</v>
      </c>
      <c r="E2677" t="str">
        <f>_xlfn.XLOOKUP(F2677,'Raw Data'!$I$4:$I$5000,'Raw Data'!$D$4:$D$5000,"*** Mnemonic not found ***",0)</f>
        <v>*** Mnemonic not found ***</v>
      </c>
      <c r="F2677" t="str">
        <f t="shared" si="559"/>
        <v>SUCMPRRSK_CN_LEGEX_C__</v>
      </c>
      <c r="H2677" s="9" t="s">
        <v>1137</v>
      </c>
      <c r="K2677" s="9">
        <f t="shared" si="556"/>
        <v>511</v>
      </c>
      <c r="L2677" s="9" t="str">
        <f t="shared" si="560"/>
        <v>O</v>
      </c>
      <c r="M2677" s="9" t="str">
        <f t="shared" si="561"/>
        <v>Input!O511</v>
      </c>
      <c r="N2677" s="9">
        <f>_xlfn.XLOOKUP(F2677,'Raw Data'!$I$4:$I$5000,'Raw Data'!$E$4:$E$5000,100,0)</f>
        <v>100</v>
      </c>
      <c r="O2677" s="9" t="str">
        <f>IF(N2677=0,_xlfn.XLOOKUP(F2677,'Raw Data'!$I$4:$I$5000,'Raw Data'!$H$4:$H$5000,"",0),"")</f>
        <v/>
      </c>
      <c r="P2677" s="9" t="str" cm="1">
        <f t="array" aca="1" ref="P2677" ca="1">IF(INDIRECT(M2677) = "","",INDIRECT(M2677))</f>
        <v/>
      </c>
      <c r="Q2677" s="359" t="s">
        <v>4380</v>
      </c>
      <c r="R2677" t="s">
        <v>4571</v>
      </c>
    </row>
    <row r="2678" spans="1:18" x14ac:dyDescent="0.35">
      <c r="A2678" t="s">
        <v>4052</v>
      </c>
      <c r="E2678" t="str">
        <f>_xlfn.XLOOKUP(F2678,'Raw Data'!$I$4:$I$5000,'Raw Data'!$D$4:$D$5000,"*** Mnemonic not found ***",0)</f>
        <v>*** Mnemonic not found ***</v>
      </c>
      <c r="F2678" t="str">
        <f t="shared" si="559"/>
        <v>SUCMPRRSK_CN_OAPR_C__</v>
      </c>
      <c r="H2678" s="9" t="s">
        <v>1137</v>
      </c>
      <c r="K2678" s="9">
        <f t="shared" ref="K2678:K2729" si="562">K2677+1</f>
        <v>512</v>
      </c>
      <c r="L2678" s="9" t="str">
        <f t="shared" si="560"/>
        <v>O</v>
      </c>
      <c r="M2678" s="9" t="str">
        <f t="shared" si="561"/>
        <v>Input!O512</v>
      </c>
      <c r="N2678" s="9">
        <f>_xlfn.XLOOKUP(F2678,'Raw Data'!$I$4:$I$5000,'Raw Data'!$E$4:$E$5000,100,0)</f>
        <v>100</v>
      </c>
      <c r="O2678" s="9" t="str">
        <f>IF(N2678=0,_xlfn.XLOOKUP(F2678,'Raw Data'!$I$4:$I$5000,'Raw Data'!$H$4:$H$5000,"",0),"")</f>
        <v/>
      </c>
      <c r="P2678" s="9" t="str" cm="1">
        <f t="array" aca="1" ref="P2678" ca="1">IF(INDIRECT(M2678) = "","",INDIRECT(M2678))</f>
        <v/>
      </c>
      <c r="Q2678" s="359" t="s">
        <v>4380</v>
      </c>
      <c r="R2678" t="s">
        <v>4572</v>
      </c>
    </row>
    <row r="2679" spans="1:18" x14ac:dyDescent="0.35">
      <c r="A2679" t="s">
        <v>4070</v>
      </c>
      <c r="E2679" t="str">
        <f>_xlfn.XLOOKUP(F2679,'Raw Data'!$I$4:$I$5000,'Raw Data'!$D$4:$D$5000,"*** Mnemonic not found ***",0)</f>
        <v>*** Mnemonic not found ***</v>
      </c>
      <c r="F2679" t="str">
        <f t="shared" si="559"/>
        <v>SUCMPRRSK_CN_TITLE_C__</v>
      </c>
      <c r="H2679" s="9" t="s">
        <v>1137</v>
      </c>
      <c r="K2679" s="9">
        <f t="shared" si="562"/>
        <v>513</v>
      </c>
      <c r="L2679" s="9" t="str">
        <f t="shared" si="560"/>
        <v>O</v>
      </c>
      <c r="M2679" s="9" t="str">
        <f t="shared" si="561"/>
        <v>Input!O513</v>
      </c>
      <c r="N2679" s="9">
        <f>_xlfn.XLOOKUP(F2679,'Raw Data'!$I$4:$I$5000,'Raw Data'!$E$4:$E$5000,100,0)</f>
        <v>100</v>
      </c>
      <c r="O2679" s="9" t="str">
        <f>IF(N2679=0,_xlfn.XLOOKUP(F2679,'Raw Data'!$I$4:$I$5000,'Raw Data'!$H$4:$H$5000,"",0),"")</f>
        <v/>
      </c>
      <c r="P2679" s="9" t="str" cm="1">
        <f t="array" aca="1" ref="P2679" ca="1">IF(INDIRECT(M2679) = "","",INDIRECT(M2679))</f>
        <v/>
      </c>
      <c r="Q2679" s="359" t="s">
        <v>4380</v>
      </c>
      <c r="R2679" t="s">
        <v>4573</v>
      </c>
    </row>
    <row r="2680" spans="1:18" x14ac:dyDescent="0.35">
      <c r="A2680" t="s">
        <v>4074</v>
      </c>
      <c r="E2680" t="str">
        <f>_xlfn.XLOOKUP(F2680,'Raw Data'!$I$4:$I$5000,'Raw Data'!$D$4:$D$5000,"*** Mnemonic not found ***",0)</f>
        <v>*** Mnemonic not found ***</v>
      </c>
      <c r="F2680" t="str">
        <f t="shared" si="559"/>
        <v>SUCMPRRSK_CN_WAR_C__</v>
      </c>
      <c r="H2680" s="9" t="s">
        <v>1137</v>
      </c>
      <c r="K2680" s="9">
        <f t="shared" si="562"/>
        <v>514</v>
      </c>
      <c r="L2680" s="9" t="str">
        <f t="shared" si="560"/>
        <v>O</v>
      </c>
      <c r="M2680" s="9" t="str">
        <f t="shared" si="561"/>
        <v>Input!O514</v>
      </c>
      <c r="N2680" s="9">
        <f>_xlfn.XLOOKUP(F2680,'Raw Data'!$I$4:$I$5000,'Raw Data'!$E$4:$E$5000,100,0)</f>
        <v>100</v>
      </c>
      <c r="O2680" s="9" t="str">
        <f>IF(N2680=0,_xlfn.XLOOKUP(F2680,'Raw Data'!$I$4:$I$5000,'Raw Data'!$H$4:$H$5000,"",0),"")</f>
        <v/>
      </c>
      <c r="P2680" s="9" t="str" cm="1">
        <f t="array" aca="1" ref="P2680" ca="1">IF(INDIRECT(M2680) = "","",INDIRECT(M2680))</f>
        <v/>
      </c>
      <c r="Q2680" s="359" t="s">
        <v>4380</v>
      </c>
      <c r="R2680" t="s">
        <v>4574</v>
      </c>
    </row>
    <row r="2681" spans="1:18" x14ac:dyDescent="0.35">
      <c r="A2681" t="s">
        <v>4024</v>
      </c>
      <c r="B2681" s="217"/>
      <c r="E2681" t="str">
        <f>_xlfn.XLOOKUP(F2681,'Raw Data'!$I$4:$I$5000,'Raw Data'!$D$4:$D$5000,"*** Mnemonic not found ***",0)</f>
        <v>*** Mnemonic not found ***</v>
      </c>
      <c r="F2681" t="str">
        <f t="shared" si="559"/>
        <v>SUCMPRRSK_CN_OCAH_C__</v>
      </c>
      <c r="H2681" s="9" t="s">
        <v>1137</v>
      </c>
      <c r="K2681" s="9">
        <f t="shared" si="562"/>
        <v>515</v>
      </c>
      <c r="L2681" s="9" t="str">
        <f t="shared" si="560"/>
        <v>O</v>
      </c>
      <c r="M2681" s="9" t="str">
        <f t="shared" si="561"/>
        <v>Input!O515</v>
      </c>
      <c r="N2681" s="9">
        <f>_xlfn.XLOOKUP(F2681,'Raw Data'!$I$4:$I$5000,'Raw Data'!$E$4:$E$5000,100,0)</f>
        <v>100</v>
      </c>
      <c r="O2681" s="9" t="str">
        <f>IF(N2681=0,_xlfn.XLOOKUP(F2681,'Raw Data'!$I$4:$I$5000,'Raw Data'!$H$4:$H$5000,"",0),"")</f>
        <v/>
      </c>
      <c r="P2681" s="9" t="str" cm="1">
        <f t="array" aca="1" ref="P2681" ca="1">IF(INDIRECT(M2681) = "","",INDIRECT(M2681))</f>
        <v/>
      </c>
      <c r="Q2681" s="359" t="s">
        <v>4380</v>
      </c>
      <c r="R2681" t="s">
        <v>4575</v>
      </c>
    </row>
    <row r="2682" spans="1:18" x14ac:dyDescent="0.35">
      <c r="A2682" t="s">
        <v>4069</v>
      </c>
      <c r="E2682" t="str">
        <f>_xlfn.XLOOKUP(F2682,'Raw Data'!$I$4:$I$5000,'Raw Data'!$D$4:$D$5000,"*** Mnemonic not found ***",0)</f>
        <v>*** Mnemonic not found ***</v>
      </c>
      <c r="F2682" t="str">
        <f t="shared" si="559"/>
        <v>SUCMPRRSK_AP_EMLIB_C__</v>
      </c>
      <c r="H2682" s="9" t="s">
        <v>1137</v>
      </c>
      <c r="K2682" s="9">
        <f>K2681+2</f>
        <v>517</v>
      </c>
      <c r="L2682" s="9" t="str">
        <f t="shared" si="560"/>
        <v>O</v>
      </c>
      <c r="M2682" s="9" t="str">
        <f t="shared" si="561"/>
        <v>Input!O517</v>
      </c>
      <c r="N2682" s="9">
        <f>_xlfn.XLOOKUP(F2682,'Raw Data'!$I$4:$I$5000,'Raw Data'!$E$4:$E$5000,100,0)</f>
        <v>100</v>
      </c>
      <c r="O2682" s="9" t="str">
        <f>IF(N2682=0,_xlfn.XLOOKUP(F2682,'Raw Data'!$I$4:$I$5000,'Raw Data'!$H$4:$H$5000,"",0),"")</f>
        <v/>
      </c>
      <c r="P2682" s="9" t="str" cm="1">
        <f t="array" aca="1" ref="P2682" ca="1">IF(INDIRECT(M2682) = "","",INDIRECT(M2682))</f>
        <v/>
      </c>
      <c r="Q2682" s="359" t="s">
        <v>4380</v>
      </c>
      <c r="R2682" t="s">
        <v>4576</v>
      </c>
    </row>
    <row r="2683" spans="1:18" x14ac:dyDescent="0.35">
      <c r="A2683" t="s">
        <v>4060</v>
      </c>
      <c r="E2683" t="str">
        <f>_xlfn.XLOOKUP(F2683,'Raw Data'!$I$4:$I$5000,'Raw Data'!$D$4:$D$5000,"*** Mnemonic not found ***",0)</f>
        <v>*** Mnemonic not found ***</v>
      </c>
      <c r="F2683" t="str">
        <f t="shared" si="559"/>
        <v>SUCMPRRSK_AP_LIA_C__</v>
      </c>
      <c r="H2683" s="9" t="s">
        <v>1137</v>
      </c>
      <c r="K2683" s="9">
        <f t="shared" si="562"/>
        <v>518</v>
      </c>
      <c r="L2683" s="9" t="str">
        <f t="shared" si="560"/>
        <v>O</v>
      </c>
      <c r="M2683" s="9" t="str">
        <f t="shared" si="561"/>
        <v>Input!O518</v>
      </c>
      <c r="N2683" s="9">
        <f>_xlfn.XLOOKUP(F2683,'Raw Data'!$I$4:$I$5000,'Raw Data'!$E$4:$E$5000,100,0)</f>
        <v>100</v>
      </c>
      <c r="O2683" s="9" t="str">
        <f>IF(N2683=0,_xlfn.XLOOKUP(F2683,'Raw Data'!$I$4:$I$5000,'Raw Data'!$H$4:$H$5000,"",0),"")</f>
        <v/>
      </c>
      <c r="P2683" s="9" t="str" cm="1">
        <f t="array" aca="1" ref="P2683" ca="1">IF(INDIRECT(M2683) = "","",INDIRECT(M2683))</f>
        <v/>
      </c>
      <c r="Q2683" s="359" t="s">
        <v>4380</v>
      </c>
      <c r="R2683" t="s">
        <v>4577</v>
      </c>
    </row>
    <row r="2684" spans="1:18" x14ac:dyDescent="0.35">
      <c r="A2684" t="s">
        <v>4028</v>
      </c>
      <c r="E2684" t="str">
        <f>_xlfn.XLOOKUP(F2684,'Raw Data'!$I$4:$I$5000,'Raw Data'!$D$4:$D$5000,"*** Mnemonic not found ***",0)</f>
        <v>*** Mnemonic not found ***</v>
      </c>
      <c r="F2684" t="str">
        <f t="shared" si="559"/>
        <v>SUCMPRRSK_AP_PRIND_C__</v>
      </c>
      <c r="H2684" s="9" t="s">
        <v>1137</v>
      </c>
      <c r="K2684" s="9">
        <f t="shared" si="562"/>
        <v>519</v>
      </c>
      <c r="L2684" s="9" t="str">
        <f t="shared" si="560"/>
        <v>O</v>
      </c>
      <c r="M2684" s="9" t="str">
        <f t="shared" si="561"/>
        <v>Input!O519</v>
      </c>
      <c r="N2684" s="9">
        <f>_xlfn.XLOOKUP(F2684,'Raw Data'!$I$4:$I$5000,'Raw Data'!$E$4:$E$5000,100,0)</f>
        <v>100</v>
      </c>
      <c r="O2684" s="9" t="str">
        <f>IF(N2684=0,_xlfn.XLOOKUP(F2684,'Raw Data'!$I$4:$I$5000,'Raw Data'!$H$4:$H$5000,"",0),"")</f>
        <v/>
      </c>
      <c r="P2684" s="9" t="str" cm="1">
        <f t="array" aca="1" ref="P2684" ca="1">IF(INDIRECT(M2684) = "","",INDIRECT(M2684))</f>
        <v/>
      </c>
      <c r="Q2684" s="359" t="s">
        <v>4380</v>
      </c>
      <c r="R2684" t="s">
        <v>4578</v>
      </c>
    </row>
    <row r="2685" spans="1:18" x14ac:dyDescent="0.35">
      <c r="A2685" t="s">
        <v>4034</v>
      </c>
      <c r="E2685" t="str">
        <f>_xlfn.XLOOKUP(F2685,'Raw Data'!$I$4:$I$5000,'Raw Data'!$D$4:$D$5000,"*** Mnemonic not found ***",0)</f>
        <v>*** Mnemonic not found ***</v>
      </c>
      <c r="F2685" t="str">
        <f t="shared" si="559"/>
        <v>SUCMPRRSK_AP_PAPL_C__</v>
      </c>
      <c r="H2685" s="9" t="s">
        <v>1137</v>
      </c>
      <c r="K2685" s="9">
        <f t="shared" si="562"/>
        <v>520</v>
      </c>
      <c r="L2685" s="9" t="str">
        <f t="shared" si="560"/>
        <v>O</v>
      </c>
      <c r="M2685" s="9" t="str">
        <f t="shared" si="561"/>
        <v>Input!O520</v>
      </c>
      <c r="N2685" s="9">
        <f>_xlfn.XLOOKUP(F2685,'Raw Data'!$I$4:$I$5000,'Raw Data'!$E$4:$E$5000,100,0)</f>
        <v>100</v>
      </c>
      <c r="O2685" s="9" t="str">
        <f>IF(N2685=0,_xlfn.XLOOKUP(F2685,'Raw Data'!$I$4:$I$5000,'Raw Data'!$H$4:$H$5000,"",0),"")</f>
        <v/>
      </c>
      <c r="P2685" s="9" t="str" cm="1">
        <f t="array" aca="1" ref="P2685" ca="1">IF(INDIRECT(M2685) = "","",INDIRECT(M2685))</f>
        <v/>
      </c>
      <c r="Q2685" s="359" t="s">
        <v>4380</v>
      </c>
      <c r="R2685" t="s">
        <v>4579</v>
      </c>
    </row>
    <row r="2686" spans="1:18" x14ac:dyDescent="0.35">
      <c r="A2686" t="s">
        <v>4014</v>
      </c>
      <c r="E2686" t="str">
        <f>_xlfn.XLOOKUP(F2686,'Raw Data'!$I$4:$I$5000,'Raw Data'!$D$4:$D$5000,"*** Mnemonic not found ***",0)</f>
        <v>*** Mnemonic not found ***</v>
      </c>
      <c r="F2686" t="str">
        <f t="shared" si="559"/>
        <v>SUCMPRRSK_AP_CMPR_C__</v>
      </c>
      <c r="H2686" s="9" t="s">
        <v>1137</v>
      </c>
      <c r="K2686" s="9">
        <f t="shared" si="562"/>
        <v>521</v>
      </c>
      <c r="L2686" s="9" t="str">
        <f t="shared" si="560"/>
        <v>O</v>
      </c>
      <c r="M2686" s="9" t="str">
        <f t="shared" si="561"/>
        <v>Input!O521</v>
      </c>
      <c r="N2686" s="9">
        <f>_xlfn.XLOOKUP(F2686,'Raw Data'!$I$4:$I$5000,'Raw Data'!$E$4:$E$5000,100,0)</f>
        <v>100</v>
      </c>
      <c r="O2686" s="9" t="str">
        <f>IF(N2686=0,_xlfn.XLOOKUP(F2686,'Raw Data'!$I$4:$I$5000,'Raw Data'!$H$4:$H$5000,"",0),"")</f>
        <v/>
      </c>
      <c r="P2686" s="9" t="str" cm="1">
        <f t="array" aca="1" ref="P2686" ca="1">IF(INDIRECT(M2686) = "","",INDIRECT(M2686))</f>
        <v/>
      </c>
      <c r="Q2686" s="359" t="s">
        <v>4380</v>
      </c>
      <c r="R2686" t="s">
        <v>4580</v>
      </c>
    </row>
    <row r="2687" spans="1:18" x14ac:dyDescent="0.35">
      <c r="A2687" t="s">
        <v>4051</v>
      </c>
      <c r="E2687" t="str">
        <f>_xlfn.XLOOKUP(F2687,'Raw Data'!$I$4:$I$5000,'Raw Data'!$D$4:$D$5000,"*** Mnemonic not found ***",0)</f>
        <v>*** Mnemonic not found ***</v>
      </c>
      <c r="F2687" t="str">
        <f t="shared" si="559"/>
        <v>SUCMPRRSK_AP_HMP_C__</v>
      </c>
      <c r="H2687" s="9" t="s">
        <v>1137</v>
      </c>
      <c r="K2687" s="9">
        <f t="shared" si="562"/>
        <v>522</v>
      </c>
      <c r="L2687" s="9" t="str">
        <f t="shared" si="560"/>
        <v>O</v>
      </c>
      <c r="M2687" s="9" t="str">
        <f t="shared" si="561"/>
        <v>Input!O522</v>
      </c>
      <c r="N2687" s="9">
        <f>_xlfn.XLOOKUP(F2687,'Raw Data'!$I$4:$I$5000,'Raw Data'!$E$4:$E$5000,100,0)</f>
        <v>100</v>
      </c>
      <c r="O2687" s="9" t="str">
        <f>IF(N2687=0,_xlfn.XLOOKUP(F2687,'Raw Data'!$I$4:$I$5000,'Raw Data'!$H$4:$H$5000,"",0),"")</f>
        <v/>
      </c>
      <c r="P2687" s="9" t="str" cm="1">
        <f t="array" aca="1" ref="P2687" ca="1">IF(INDIRECT(M2687) = "","",INDIRECT(M2687))</f>
        <v/>
      </c>
      <c r="Q2687" s="359" t="s">
        <v>4380</v>
      </c>
      <c r="R2687" t="s">
        <v>4581</v>
      </c>
    </row>
    <row r="2688" spans="1:18" x14ac:dyDescent="0.35">
      <c r="A2688" t="s">
        <v>4067</v>
      </c>
      <c r="E2688" t="str">
        <f>_xlfn.XLOOKUP(F2688,'Raw Data'!$I$4:$I$5000,'Raw Data'!$D$4:$D$5000,"*** Mnemonic not found ***",0)</f>
        <v>*** Mnemonic not found ***</v>
      </c>
      <c r="F2688" t="str">
        <f t="shared" si="559"/>
        <v>SUCMPRRSK_AP_ENG_C__</v>
      </c>
      <c r="H2688" s="9" t="s">
        <v>1137</v>
      </c>
      <c r="K2688" s="9">
        <f t="shared" si="562"/>
        <v>523</v>
      </c>
      <c r="L2688" s="9" t="str">
        <f t="shared" si="560"/>
        <v>O</v>
      </c>
      <c r="M2688" s="9" t="str">
        <f t="shared" si="561"/>
        <v>Input!O523</v>
      </c>
      <c r="N2688" s="9">
        <f>_xlfn.XLOOKUP(F2688,'Raw Data'!$I$4:$I$5000,'Raw Data'!$E$4:$E$5000,100,0)</f>
        <v>100</v>
      </c>
      <c r="O2688" s="9" t="str">
        <f>IF(N2688=0,_xlfn.XLOOKUP(F2688,'Raw Data'!$I$4:$I$5000,'Raw Data'!$H$4:$H$5000,"",0),"")</f>
        <v/>
      </c>
      <c r="P2688" s="9" t="str" cm="1">
        <f t="array" aca="1" ref="P2688" ca="1">IF(INDIRECT(M2688) = "","",INDIRECT(M2688))</f>
        <v/>
      </c>
      <c r="Q2688" s="359" t="s">
        <v>4380</v>
      </c>
      <c r="R2688" t="s">
        <v>4582</v>
      </c>
    </row>
    <row r="2689" spans="1:18" x14ac:dyDescent="0.35">
      <c r="A2689" t="s">
        <v>4038</v>
      </c>
      <c r="E2689" t="str">
        <f>_xlfn.XLOOKUP(F2689,'Raw Data'!$I$4:$I$5000,'Raw Data'!$D$4:$D$5000,"*** Mnemonic not found ***",0)</f>
        <v>*** Mnemonic not found ***</v>
      </c>
      <c r="F2689" t="str">
        <f t="shared" si="559"/>
        <v>SUCMPRRSK_AP_CALANZ_C__</v>
      </c>
      <c r="H2689" s="9" t="s">
        <v>1137</v>
      </c>
      <c r="K2689" s="9">
        <f t="shared" si="562"/>
        <v>524</v>
      </c>
      <c r="L2689" s="9" t="str">
        <f t="shared" si="560"/>
        <v>O</v>
      </c>
      <c r="M2689" s="9" t="str">
        <f t="shared" si="561"/>
        <v>Input!O524</v>
      </c>
      <c r="N2689" s="9">
        <f>_xlfn.XLOOKUP(F2689,'Raw Data'!$I$4:$I$5000,'Raw Data'!$E$4:$E$5000,100,0)</f>
        <v>100</v>
      </c>
      <c r="O2689" s="9" t="str">
        <f>IF(N2689=0,_xlfn.XLOOKUP(F2689,'Raw Data'!$I$4:$I$5000,'Raw Data'!$H$4:$H$5000,"",0),"")</f>
        <v/>
      </c>
      <c r="P2689" s="9" t="str" cm="1">
        <f t="array" aca="1" ref="P2689" ca="1">IF(INDIRECT(M2689) = "","",INDIRECT(M2689))</f>
        <v/>
      </c>
      <c r="Q2689" s="359" t="s">
        <v>4380</v>
      </c>
      <c r="R2689" t="s">
        <v>4583</v>
      </c>
    </row>
    <row r="2690" spans="1:18" x14ac:dyDescent="0.35">
      <c r="A2690" t="s">
        <v>4023</v>
      </c>
      <c r="E2690" t="str">
        <f>_xlfn.XLOOKUP(F2690,'Raw Data'!$I$4:$I$5000,'Raw Data'!$D$4:$D$5000,"*** Mnemonic not found ***",0)</f>
        <v>*** Mnemonic not found ***</v>
      </c>
      <c r="F2690" t="str">
        <f t="shared" si="559"/>
        <v>SUCMPRRSK_AP_PALANZ_C__</v>
      </c>
      <c r="H2690" s="9" t="s">
        <v>1137</v>
      </c>
      <c r="K2690" s="9">
        <f t="shared" si="562"/>
        <v>525</v>
      </c>
      <c r="L2690" s="9" t="str">
        <f t="shared" si="560"/>
        <v>O</v>
      </c>
      <c r="M2690" s="9" t="str">
        <f t="shared" si="561"/>
        <v>Input!O525</v>
      </c>
      <c r="N2690" s="9">
        <f>_xlfn.XLOOKUP(F2690,'Raw Data'!$I$4:$I$5000,'Raw Data'!$E$4:$E$5000,100,0)</f>
        <v>100</v>
      </c>
      <c r="O2690" s="9" t="str">
        <f>IF(N2690=0,_xlfn.XLOOKUP(F2690,'Raw Data'!$I$4:$I$5000,'Raw Data'!$H$4:$H$5000,"",0),"")</f>
        <v/>
      </c>
      <c r="P2690" s="9" t="str" cm="1">
        <f t="array" aca="1" ref="P2690" ca="1">IF(INDIRECT(M2690) = "","",INDIRECT(M2690))</f>
        <v/>
      </c>
      <c r="Q2690" s="359" t="s">
        <v>4380</v>
      </c>
      <c r="R2690" t="s">
        <v>4584</v>
      </c>
    </row>
    <row r="2691" spans="1:18" x14ac:dyDescent="0.35">
      <c r="A2691" t="s">
        <v>4068</v>
      </c>
      <c r="E2691" t="str">
        <f>_xlfn.XLOOKUP(F2691,'Raw Data'!$I$4:$I$5000,'Raw Data'!$D$4:$D$5000,"*** Mnemonic not found ***",0)</f>
        <v>*** Mnemonic not found ***</v>
      </c>
      <c r="F2691" t="str">
        <f t="shared" si="559"/>
        <v>SUCMPRRSK_AP_ALB_C__</v>
      </c>
      <c r="H2691" s="9" t="s">
        <v>1137</v>
      </c>
      <c r="K2691" s="9">
        <f t="shared" si="562"/>
        <v>526</v>
      </c>
      <c r="L2691" s="9" t="str">
        <f t="shared" si="560"/>
        <v>O</v>
      </c>
      <c r="M2691" s="9" t="str">
        <f t="shared" si="561"/>
        <v>Input!O526</v>
      </c>
      <c r="N2691" s="9">
        <f>_xlfn.XLOOKUP(F2691,'Raw Data'!$I$4:$I$5000,'Raw Data'!$E$4:$E$5000,100,0)</f>
        <v>100</v>
      </c>
      <c r="O2691" s="9" t="str">
        <f>IF(N2691=0,_xlfn.XLOOKUP(F2691,'Raw Data'!$I$4:$I$5000,'Raw Data'!$H$4:$H$5000,"",0),"")</f>
        <v/>
      </c>
      <c r="P2691" s="9" t="str" cm="1">
        <f t="array" aca="1" ref="P2691" ca="1">IF(INDIRECT(M2691) = "","",INDIRECT(M2691))</f>
        <v/>
      </c>
      <c r="Q2691" s="359" t="s">
        <v>4380</v>
      </c>
      <c r="R2691" t="s">
        <v>4585</v>
      </c>
    </row>
    <row r="2692" spans="1:18" x14ac:dyDescent="0.35">
      <c r="A2692" s="694" t="s">
        <v>4356</v>
      </c>
      <c r="B2692" s="694"/>
      <c r="E2692" t="str">
        <f>_xlfn.XLOOKUP(F2692,'Raw Data'!$I$4:$I$5000,'Raw Data'!$D$4:$D$5000,"*** Mnemonic not found ***",0)</f>
        <v>*** Mnemonic not found ***</v>
      </c>
      <c r="F2692" t="str">
        <f t="shared" si="559"/>
        <v>SUCMPRRSK_AP_AJPTW_C__</v>
      </c>
      <c r="H2692" s="9" t="s">
        <v>1137</v>
      </c>
      <c r="K2692" s="9">
        <f t="shared" si="562"/>
        <v>527</v>
      </c>
      <c r="L2692" s="9" t="str">
        <f t="shared" si="560"/>
        <v>O</v>
      </c>
      <c r="M2692" s="9" t="str">
        <f t="shared" si="561"/>
        <v>Input!O527</v>
      </c>
      <c r="N2692" s="9">
        <f>_xlfn.XLOOKUP(F2692,'Raw Data'!$I$4:$I$5000,'Raw Data'!$E$4:$E$5000,100,0)</f>
        <v>100</v>
      </c>
      <c r="O2692" s="9" t="str">
        <f>IF(N2692=0,_xlfn.XLOOKUP(F2692,'Raw Data'!$I$4:$I$5000,'Raw Data'!$H$4:$H$5000,"",0),"")</f>
        <v/>
      </c>
      <c r="P2692" s="9" t="str" cm="1">
        <f t="array" aca="1" ref="P2692" ca="1">IF(INDIRECT(M2692) = "","",INDIRECT(M2692))</f>
        <v/>
      </c>
      <c r="Q2692" s="359" t="s">
        <v>4380</v>
      </c>
      <c r="R2692" t="s">
        <v>4586</v>
      </c>
    </row>
    <row r="2693" spans="1:18" x14ac:dyDescent="0.35">
      <c r="A2693" t="s">
        <v>4059</v>
      </c>
      <c r="E2693" t="str">
        <f>_xlfn.XLOOKUP(F2693,'Raw Data'!$I$4:$I$5000,'Raw Data'!$D$4:$D$5000,"*** Mnemonic not found ***",0)</f>
        <v>*** Mnemonic not found ***</v>
      </c>
      <c r="F2693" t="str">
        <f t="shared" si="559"/>
        <v>SUCMPRRSK_AP_TPLM_C__</v>
      </c>
      <c r="H2693" s="9" t="s">
        <v>1137</v>
      </c>
      <c r="K2693" s="9">
        <f t="shared" si="562"/>
        <v>528</v>
      </c>
      <c r="L2693" s="9" t="str">
        <f t="shared" si="560"/>
        <v>O</v>
      </c>
      <c r="M2693" s="9" t="str">
        <f t="shared" si="561"/>
        <v>Input!O528</v>
      </c>
      <c r="N2693" s="9">
        <f>_xlfn.XLOOKUP(F2693,'Raw Data'!$I$4:$I$5000,'Raw Data'!$E$4:$E$5000,100,0)</f>
        <v>100</v>
      </c>
      <c r="O2693" s="9" t="str">
        <f>IF(N2693=0,_xlfn.XLOOKUP(F2693,'Raw Data'!$I$4:$I$5000,'Raw Data'!$H$4:$H$5000,"",0),"")</f>
        <v/>
      </c>
      <c r="P2693" s="9" t="str" cm="1">
        <f t="array" aca="1" ref="P2693" ca="1">IF(INDIRECT(M2693) = "","",INDIRECT(M2693))</f>
        <v/>
      </c>
      <c r="Q2693" s="359" t="s">
        <v>4380</v>
      </c>
      <c r="R2693" t="s">
        <v>4587</v>
      </c>
    </row>
    <row r="2694" spans="1:18" x14ac:dyDescent="0.35">
      <c r="A2694" t="s">
        <v>4044</v>
      </c>
      <c r="E2694" t="str">
        <f>_xlfn.XLOOKUP(F2694,'Raw Data'!$I$4:$I$5000,'Raw Data'!$D$4:$D$5000,"*** Mnemonic not found ***",0)</f>
        <v>*** Mnemonic not found ***</v>
      </c>
      <c r="F2694" t="str">
        <f t="shared" si="559"/>
        <v>SUCMPRRSK_AP_CONCR_C__</v>
      </c>
      <c r="H2694" s="9" t="s">
        <v>1137</v>
      </c>
      <c r="K2694" s="9">
        <f t="shared" si="562"/>
        <v>529</v>
      </c>
      <c r="L2694" s="9" t="str">
        <f t="shared" si="560"/>
        <v>O</v>
      </c>
      <c r="M2694" s="9" t="str">
        <f t="shared" si="561"/>
        <v>Input!O529</v>
      </c>
      <c r="N2694" s="9">
        <f>_xlfn.XLOOKUP(F2694,'Raw Data'!$I$4:$I$5000,'Raw Data'!$E$4:$E$5000,100,0)</f>
        <v>100</v>
      </c>
      <c r="O2694" s="9" t="str">
        <f>IF(N2694=0,_xlfn.XLOOKUP(F2694,'Raw Data'!$I$4:$I$5000,'Raw Data'!$H$4:$H$5000,"",0),"")</f>
        <v/>
      </c>
      <c r="P2694" s="9" t="str" cm="1">
        <f t="array" aca="1" ref="P2694" ca="1">IF(INDIRECT(M2694) = "","",INDIRECT(M2694))</f>
        <v/>
      </c>
      <c r="Q2694" s="359" t="s">
        <v>4380</v>
      </c>
      <c r="R2694" t="s">
        <v>4588</v>
      </c>
    </row>
    <row r="2695" spans="1:18" x14ac:dyDescent="0.35">
      <c r="A2695" t="s">
        <v>4033</v>
      </c>
      <c r="E2695" t="str">
        <f>_xlfn.XLOOKUP(F2695,'Raw Data'!$I$4:$I$5000,'Raw Data'!$D$4:$D$5000,"*** Mnemonic not found ***",0)</f>
        <v>*** Mnemonic not found ***</v>
      </c>
      <c r="F2695" t="str">
        <f t="shared" si="559"/>
        <v>SUCMPRRSK_AP_CRD_C__</v>
      </c>
      <c r="H2695" s="9" t="s">
        <v>1137</v>
      </c>
      <c r="K2695" s="9">
        <f t="shared" si="562"/>
        <v>530</v>
      </c>
      <c r="L2695" s="9" t="str">
        <f t="shared" si="560"/>
        <v>O</v>
      </c>
      <c r="M2695" s="9" t="str">
        <f t="shared" si="561"/>
        <v>Input!O530</v>
      </c>
      <c r="N2695" s="9">
        <f>_xlfn.XLOOKUP(F2695,'Raw Data'!$I$4:$I$5000,'Raw Data'!$E$4:$E$5000,100,0)</f>
        <v>100</v>
      </c>
      <c r="O2695" s="9" t="str">
        <f>IF(N2695=0,_xlfn.XLOOKUP(F2695,'Raw Data'!$I$4:$I$5000,'Raw Data'!$H$4:$H$5000,"",0),"")</f>
        <v/>
      </c>
      <c r="P2695" s="9" t="str" cm="1">
        <f t="array" aca="1" ref="P2695" ca="1">IF(INDIRECT(M2695) = "","",INDIRECT(M2695))</f>
        <v/>
      </c>
      <c r="Q2695" s="359" t="s">
        <v>4380</v>
      </c>
      <c r="R2695" t="s">
        <v>4589</v>
      </c>
    </row>
    <row r="2696" spans="1:18" x14ac:dyDescent="0.35">
      <c r="A2696" t="s">
        <v>4013</v>
      </c>
      <c r="E2696" t="str">
        <f>_xlfn.XLOOKUP(F2696,'Raw Data'!$I$4:$I$5000,'Raw Data'!$D$4:$D$5000,"*** Mnemonic not found ***",0)</f>
        <v>*** Mnemonic not found ***</v>
      </c>
      <c r="F2696" t="str">
        <f t="shared" si="559"/>
        <v>SUCMPRRSK_AP_AAH_C__</v>
      </c>
      <c r="H2696" s="9" t="s">
        <v>1137</v>
      </c>
      <c r="K2696" s="9">
        <f t="shared" si="562"/>
        <v>531</v>
      </c>
      <c r="L2696" s="9" t="str">
        <f t="shared" si="560"/>
        <v>O</v>
      </c>
      <c r="M2696" s="9" t="str">
        <f t="shared" si="561"/>
        <v>Input!O531</v>
      </c>
      <c r="N2696" s="9">
        <f>_xlfn.XLOOKUP(F2696,'Raw Data'!$I$4:$I$5000,'Raw Data'!$E$4:$E$5000,100,0)</f>
        <v>100</v>
      </c>
      <c r="O2696" s="9" t="str">
        <f>IF(N2696=0,_xlfn.XLOOKUP(F2696,'Raw Data'!$I$4:$I$5000,'Raw Data'!$H$4:$H$5000,"",0),"")</f>
        <v/>
      </c>
      <c r="P2696" s="9" t="str" cm="1">
        <f t="array" aca="1" ref="P2696" ca="1">IF(INDIRECT(M2696) = "","",INDIRECT(M2696))</f>
        <v/>
      </c>
      <c r="Q2696" s="359" t="s">
        <v>4380</v>
      </c>
      <c r="R2696" t="s">
        <v>4590</v>
      </c>
    </row>
    <row r="2697" spans="1:18" x14ac:dyDescent="0.35">
      <c r="A2697" t="s">
        <v>4050</v>
      </c>
      <c r="E2697" t="str">
        <f>_xlfn.XLOOKUP(F2697,'Raw Data'!$I$4:$I$5000,'Raw Data'!$D$4:$D$5000,"*** Mnemonic not found ***",0)</f>
        <v>*** Mnemonic not found ***</v>
      </c>
      <c r="F2697" t="str">
        <f t="shared" si="559"/>
        <v>SUCMPRRSK_AP_HLTH_C__</v>
      </c>
      <c r="H2697" s="9" t="s">
        <v>1137</v>
      </c>
      <c r="K2697" s="9">
        <f t="shared" si="562"/>
        <v>532</v>
      </c>
      <c r="L2697" s="9" t="str">
        <f t="shared" si="560"/>
        <v>O</v>
      </c>
      <c r="M2697" s="9" t="str">
        <f t="shared" si="561"/>
        <v>Input!O532</v>
      </c>
      <c r="N2697" s="9">
        <f>_xlfn.XLOOKUP(F2697,'Raw Data'!$I$4:$I$5000,'Raw Data'!$E$4:$E$5000,100,0)</f>
        <v>100</v>
      </c>
      <c r="O2697" s="9" t="str">
        <f>IF(N2697=0,_xlfn.XLOOKUP(F2697,'Raw Data'!$I$4:$I$5000,'Raw Data'!$H$4:$H$5000,"",0),"")</f>
        <v/>
      </c>
      <c r="P2697" s="9" t="str" cm="1">
        <f t="array" aca="1" ref="P2697" ca="1">IF(INDIRECT(M2697) = "","",INDIRECT(M2697))</f>
        <v/>
      </c>
      <c r="Q2697" s="359" t="s">
        <v>4380</v>
      </c>
      <c r="R2697" t="s">
        <v>4591</v>
      </c>
    </row>
    <row r="2698" spans="1:18" x14ac:dyDescent="0.35">
      <c r="A2698" t="s">
        <v>4017</v>
      </c>
      <c r="E2698" t="str">
        <f>_xlfn.XLOOKUP(F2698,'Raw Data'!$I$4:$I$5000,'Raw Data'!$D$4:$D$5000,"*** Mnemonic not found ***",0)</f>
        <v>*** Mnemonic not found ***</v>
      </c>
      <c r="F2698" t="str">
        <f t="shared" si="559"/>
        <v>SUCMPRRSK_AP_MAVC_C__</v>
      </c>
      <c r="H2698" s="9" t="s">
        <v>1137</v>
      </c>
      <c r="K2698" s="9">
        <f t="shared" si="562"/>
        <v>533</v>
      </c>
      <c r="L2698" s="9" t="str">
        <f t="shared" si="560"/>
        <v>O</v>
      </c>
      <c r="M2698" s="9" t="str">
        <f t="shared" si="561"/>
        <v>Input!O533</v>
      </c>
      <c r="N2698" s="9">
        <f>_xlfn.XLOOKUP(F2698,'Raw Data'!$I$4:$I$5000,'Raw Data'!$E$4:$E$5000,100,0)</f>
        <v>100</v>
      </c>
      <c r="O2698" s="9" t="str">
        <f>IF(N2698=0,_xlfn.XLOOKUP(F2698,'Raw Data'!$I$4:$I$5000,'Raw Data'!$H$4:$H$5000,"",0),"")</f>
        <v/>
      </c>
      <c r="P2698" s="9" t="str" cm="1">
        <f t="array" aca="1" ref="P2698" ca="1">IF(INDIRECT(M2698) = "","",INDIRECT(M2698))</f>
        <v/>
      </c>
      <c r="Q2698" s="359" t="s">
        <v>4380</v>
      </c>
      <c r="R2698" t="s">
        <v>4592</v>
      </c>
    </row>
    <row r="2699" spans="1:18" x14ac:dyDescent="0.35">
      <c r="A2699" t="s">
        <v>4022</v>
      </c>
      <c r="E2699" t="str">
        <f>_xlfn.XLOOKUP(F2699,'Raw Data'!$I$4:$I$5000,'Raw Data'!$D$4:$D$5000,"*** Mnemonic not found ***",0)</f>
        <v>*** Mnemonic not found ***</v>
      </c>
      <c r="F2699" t="str">
        <f t="shared" si="559"/>
        <v>SUCMPRRSK_AP_MAVH_C__</v>
      </c>
      <c r="H2699" s="9" t="s">
        <v>1137</v>
      </c>
      <c r="K2699" s="9">
        <f t="shared" si="562"/>
        <v>534</v>
      </c>
      <c r="L2699" s="9" t="str">
        <f t="shared" si="560"/>
        <v>O</v>
      </c>
      <c r="M2699" s="9" t="str">
        <f t="shared" si="561"/>
        <v>Input!O534</v>
      </c>
      <c r="N2699" s="9">
        <f>_xlfn.XLOOKUP(F2699,'Raw Data'!$I$4:$I$5000,'Raw Data'!$E$4:$E$5000,100,0)</f>
        <v>100</v>
      </c>
      <c r="O2699" s="9" t="str">
        <f>IF(N2699=0,_xlfn.XLOOKUP(F2699,'Raw Data'!$I$4:$I$5000,'Raw Data'!$H$4:$H$5000,"",0),"")</f>
        <v/>
      </c>
      <c r="P2699" s="9" t="str" cm="1">
        <f t="array" aca="1" ref="P2699" ca="1">IF(INDIRECT(M2699) = "","",INDIRECT(M2699))</f>
        <v/>
      </c>
      <c r="Q2699" s="359" t="s">
        <v>4380</v>
      </c>
      <c r="R2699" t="s">
        <v>4593</v>
      </c>
    </row>
    <row r="2700" spans="1:18" x14ac:dyDescent="0.35">
      <c r="A2700" s="694" t="s">
        <v>4355</v>
      </c>
      <c r="B2700" s="694"/>
      <c r="E2700" t="str">
        <f>_xlfn.XLOOKUP(F2700,'Raw Data'!$I$4:$I$5000,'Raw Data'!$D$4:$D$5000,"*** Mnemonic not found ***",0)</f>
        <v>*** Mnemonic not found ***</v>
      </c>
      <c r="F2700" t="str">
        <f t="shared" si="559"/>
        <v>SUCMPRRSK_AP_MPIN_C__</v>
      </c>
      <c r="H2700" s="9" t="s">
        <v>1137</v>
      </c>
      <c r="K2700" s="9">
        <f t="shared" si="562"/>
        <v>535</v>
      </c>
      <c r="L2700" s="9" t="str">
        <f t="shared" si="560"/>
        <v>O</v>
      </c>
      <c r="M2700" s="9" t="str">
        <f t="shared" si="561"/>
        <v>Input!O535</v>
      </c>
      <c r="N2700" s="9">
        <f>_xlfn.XLOOKUP(F2700,'Raw Data'!$I$4:$I$5000,'Raw Data'!$E$4:$E$5000,100,0)</f>
        <v>100</v>
      </c>
      <c r="O2700" s="9" t="str">
        <f>IF(N2700=0,_xlfn.XLOOKUP(F2700,'Raw Data'!$I$4:$I$5000,'Raw Data'!$H$4:$H$5000,"",0),"")</f>
        <v/>
      </c>
      <c r="P2700" s="9" t="str" cm="1">
        <f t="array" aca="1" ref="P2700" ca="1">IF(INDIRECT(M2700) = "","",INDIRECT(M2700))</f>
        <v/>
      </c>
      <c r="Q2700" s="359" t="s">
        <v>4380</v>
      </c>
      <c r="R2700" t="s">
        <v>4594</v>
      </c>
    </row>
    <row r="2701" spans="1:18" x14ac:dyDescent="0.35">
      <c r="A2701" t="s">
        <v>4058</v>
      </c>
      <c r="E2701" t="str">
        <f>_xlfn.XLOOKUP(F2701,'Raw Data'!$I$4:$I$5000,'Raw Data'!$D$4:$D$5000,"*** Mnemonic not found ***",0)</f>
        <v>*** Mnemonic not found ***</v>
      </c>
      <c r="F2701" t="str">
        <f t="shared" si="559"/>
        <v>SUCMPRRSK_AP_TRV_C__</v>
      </c>
      <c r="H2701" s="9" t="s">
        <v>1137</v>
      </c>
      <c r="K2701" s="9">
        <f t="shared" si="562"/>
        <v>536</v>
      </c>
      <c r="L2701" s="9" t="str">
        <f t="shared" si="560"/>
        <v>O</v>
      </c>
      <c r="M2701" s="9" t="str">
        <f t="shared" si="561"/>
        <v>Input!O536</v>
      </c>
      <c r="N2701" s="9">
        <f>_xlfn.XLOOKUP(F2701,'Raw Data'!$I$4:$I$5000,'Raw Data'!$E$4:$E$5000,100,0)</f>
        <v>100</v>
      </c>
      <c r="O2701" s="9" t="str">
        <f>IF(N2701=0,_xlfn.XLOOKUP(F2701,'Raw Data'!$I$4:$I$5000,'Raw Data'!$H$4:$H$5000,"",0),"")</f>
        <v/>
      </c>
      <c r="P2701" s="9" t="str" cm="1">
        <f t="array" aca="1" ref="P2701" ca="1">IF(INDIRECT(M2701) = "","",INDIRECT(M2701))</f>
        <v/>
      </c>
      <c r="Q2701" s="359" t="s">
        <v>4380</v>
      </c>
      <c r="R2701" t="s">
        <v>4595</v>
      </c>
    </row>
    <row r="2702" spans="1:18" x14ac:dyDescent="0.35">
      <c r="A2702" t="s">
        <v>4043</v>
      </c>
      <c r="B2702" s="217"/>
      <c r="E2702" t="str">
        <f>_xlfn.XLOOKUP(F2702,'Raw Data'!$I$4:$I$5000,'Raw Data'!$D$4:$D$5000,"*** Mnemonic not found ***",0)</f>
        <v>*** Mnemonic not found ***</v>
      </c>
      <c r="F2702" t="str">
        <f t="shared" ref="F2702:F2765" si="563">CONCATENATE(A2702,"_",B2702,"_",D2702)</f>
        <v>SUCMPRRSK_AP_OCAH_C__</v>
      </c>
      <c r="H2702" s="9" t="s">
        <v>1137</v>
      </c>
      <c r="K2702" s="9">
        <f t="shared" si="562"/>
        <v>537</v>
      </c>
      <c r="L2702" s="9" t="str">
        <f t="shared" si="560"/>
        <v>O</v>
      </c>
      <c r="M2702" s="9" t="str">
        <f t="shared" si="561"/>
        <v>Input!O537</v>
      </c>
      <c r="N2702" s="9">
        <f>_xlfn.XLOOKUP(F2702,'Raw Data'!$I$4:$I$5000,'Raw Data'!$E$4:$E$5000,100,0)</f>
        <v>100</v>
      </c>
      <c r="O2702" s="9" t="str">
        <f>IF(N2702=0,_xlfn.XLOOKUP(F2702,'Raw Data'!$I$4:$I$5000,'Raw Data'!$H$4:$H$5000,"",0),"")</f>
        <v/>
      </c>
      <c r="P2702" s="9" t="str" cm="1">
        <f t="array" aca="1" ref="P2702" ca="1">IF(INDIRECT(M2702) = "","",INDIRECT(M2702))</f>
        <v/>
      </c>
      <c r="Q2702" s="359" t="s">
        <v>4380</v>
      </c>
      <c r="R2702" t="s">
        <v>4596</v>
      </c>
    </row>
    <row r="2703" spans="1:18" x14ac:dyDescent="0.35">
      <c r="A2703" t="s">
        <v>4032</v>
      </c>
      <c r="E2703" t="str">
        <f>_xlfn.XLOOKUP(F2703,'Raw Data'!$I$4:$I$5000,'Raw Data'!$D$4:$D$5000,"*** Mnemonic not found ***",0)</f>
        <v>*** Mnemonic not found ***</v>
      </c>
      <c r="F2703" t="str">
        <f t="shared" si="563"/>
        <v>SUCMPRRSK_LAM_EMLIB_C__</v>
      </c>
      <c r="H2703" s="9" t="s">
        <v>1137</v>
      </c>
      <c r="K2703" s="9">
        <f>K2702+2</f>
        <v>539</v>
      </c>
      <c r="L2703" s="9" t="str">
        <f t="shared" si="560"/>
        <v>O</v>
      </c>
      <c r="M2703" s="9" t="str">
        <f t="shared" si="561"/>
        <v>Input!O539</v>
      </c>
      <c r="N2703" s="9">
        <f>_xlfn.XLOOKUP(F2703,'Raw Data'!$I$4:$I$5000,'Raw Data'!$E$4:$E$5000,100,0)</f>
        <v>100</v>
      </c>
      <c r="O2703" s="9" t="str">
        <f>IF(N2703=0,_xlfn.XLOOKUP(F2703,'Raw Data'!$I$4:$I$5000,'Raw Data'!$H$4:$H$5000,"",0),"")</f>
        <v/>
      </c>
      <c r="P2703" s="9" t="str" cm="1">
        <f t="array" aca="1" ref="P2703" ca="1">IF(INDIRECT(M2703) = "","",INDIRECT(M2703))</f>
        <v/>
      </c>
      <c r="Q2703" s="359" t="s">
        <v>4380</v>
      </c>
      <c r="R2703" t="s">
        <v>4597</v>
      </c>
    </row>
    <row r="2704" spans="1:18" x14ac:dyDescent="0.35">
      <c r="A2704" t="s">
        <v>4012</v>
      </c>
      <c r="E2704" t="str">
        <f>_xlfn.XLOOKUP(F2704,'Raw Data'!$I$4:$I$5000,'Raw Data'!$D$4:$D$5000,"*** Mnemonic not found ***",0)</f>
        <v>*** Mnemonic not found ***</v>
      </c>
      <c r="F2704" t="str">
        <f t="shared" si="563"/>
        <v>SUCMPRRSK_LAM_LIA_C__</v>
      </c>
      <c r="H2704" s="9" t="s">
        <v>1137</v>
      </c>
      <c r="K2704" s="9">
        <f t="shared" si="562"/>
        <v>540</v>
      </c>
      <c r="L2704" s="9" t="str">
        <f t="shared" si="560"/>
        <v>O</v>
      </c>
      <c r="M2704" s="9" t="str">
        <f t="shared" si="561"/>
        <v>Input!O540</v>
      </c>
      <c r="N2704" s="9">
        <f>_xlfn.XLOOKUP(F2704,'Raw Data'!$I$4:$I$5000,'Raw Data'!$E$4:$E$5000,100,0)</f>
        <v>100</v>
      </c>
      <c r="O2704" s="9" t="str">
        <f>IF(N2704=0,_xlfn.XLOOKUP(F2704,'Raw Data'!$I$4:$I$5000,'Raw Data'!$H$4:$H$5000,"",0),"")</f>
        <v/>
      </c>
      <c r="P2704" s="9" t="str" cm="1">
        <f t="array" aca="1" ref="P2704" ca="1">IF(INDIRECT(M2704) = "","",INDIRECT(M2704))</f>
        <v/>
      </c>
      <c r="Q2704" s="359" t="s">
        <v>4380</v>
      </c>
      <c r="R2704" t="s">
        <v>4598</v>
      </c>
    </row>
    <row r="2705" spans="1:18" x14ac:dyDescent="0.35">
      <c r="A2705" t="s">
        <v>4049</v>
      </c>
      <c r="E2705" t="str">
        <f>_xlfn.XLOOKUP(F2705,'Raw Data'!$I$4:$I$5000,'Raw Data'!$D$4:$D$5000,"*** Mnemonic not found ***",0)</f>
        <v>*** Mnemonic not found ***</v>
      </c>
      <c r="F2705" t="str">
        <f t="shared" si="563"/>
        <v>SUCMPRRSK_LAM_PRIND_C__</v>
      </c>
      <c r="H2705" s="9" t="s">
        <v>1137</v>
      </c>
      <c r="K2705" s="9">
        <f t="shared" si="562"/>
        <v>541</v>
      </c>
      <c r="L2705" s="9" t="str">
        <f t="shared" si="560"/>
        <v>O</v>
      </c>
      <c r="M2705" s="9" t="str">
        <f t="shared" si="561"/>
        <v>Input!O541</v>
      </c>
      <c r="N2705" s="9">
        <f>_xlfn.XLOOKUP(F2705,'Raw Data'!$I$4:$I$5000,'Raw Data'!$E$4:$E$5000,100,0)</f>
        <v>100</v>
      </c>
      <c r="O2705" s="9" t="str">
        <f>IF(N2705=0,_xlfn.XLOOKUP(F2705,'Raw Data'!$I$4:$I$5000,'Raw Data'!$H$4:$H$5000,"",0),"")</f>
        <v/>
      </c>
      <c r="P2705" s="9" t="str" cm="1">
        <f t="array" aca="1" ref="P2705" ca="1">IF(INDIRECT(M2705) = "","",INDIRECT(M2705))</f>
        <v/>
      </c>
      <c r="Q2705" s="359" t="s">
        <v>4380</v>
      </c>
      <c r="R2705" t="s">
        <v>4599</v>
      </c>
    </row>
    <row r="2706" spans="1:18" x14ac:dyDescent="0.35">
      <c r="A2706" t="s">
        <v>4027</v>
      </c>
      <c r="E2706" t="str">
        <f>_xlfn.XLOOKUP(F2706,'Raw Data'!$I$4:$I$5000,'Raw Data'!$D$4:$D$5000,"*** Mnemonic not found ***",0)</f>
        <v>*** Mnemonic not found ***</v>
      </c>
      <c r="F2706" t="str">
        <f t="shared" si="563"/>
        <v>SUCMPRRSK_LAM_CMPR_C__</v>
      </c>
      <c r="H2706" s="9" t="s">
        <v>1137</v>
      </c>
      <c r="K2706" s="9">
        <f t="shared" si="562"/>
        <v>542</v>
      </c>
      <c r="L2706" s="9" t="str">
        <f t="shared" si="560"/>
        <v>O</v>
      </c>
      <c r="M2706" s="9" t="str">
        <f t="shared" si="561"/>
        <v>Input!O542</v>
      </c>
      <c r="N2706" s="9">
        <f>_xlfn.XLOOKUP(F2706,'Raw Data'!$I$4:$I$5000,'Raw Data'!$E$4:$E$5000,100,0)</f>
        <v>100</v>
      </c>
      <c r="O2706" s="9" t="str">
        <f>IF(N2706=0,_xlfn.XLOOKUP(F2706,'Raw Data'!$I$4:$I$5000,'Raw Data'!$H$4:$H$5000,"",0),"")</f>
        <v/>
      </c>
      <c r="P2706" s="9" t="str" cm="1">
        <f t="array" aca="1" ref="P2706" ca="1">IF(INDIRECT(M2706) = "","",INDIRECT(M2706))</f>
        <v/>
      </c>
      <c r="Q2706" s="359" t="s">
        <v>4380</v>
      </c>
      <c r="R2706" t="s">
        <v>4600</v>
      </c>
    </row>
    <row r="2707" spans="1:18" x14ac:dyDescent="0.35">
      <c r="A2707" t="s">
        <v>4021</v>
      </c>
      <c r="E2707" t="str">
        <f>_xlfn.XLOOKUP(F2707,'Raw Data'!$I$4:$I$5000,'Raw Data'!$D$4:$D$5000,"*** Mnemonic not found ***",0)</f>
        <v>*** Mnemonic not found ***</v>
      </c>
      <c r="F2707" t="str">
        <f t="shared" si="563"/>
        <v>SUCMPRRSK_LAM_HMP_C__</v>
      </c>
      <c r="H2707" s="9" t="s">
        <v>1137</v>
      </c>
      <c r="K2707" s="9">
        <f t="shared" si="562"/>
        <v>543</v>
      </c>
      <c r="L2707" s="9" t="str">
        <f t="shared" si="560"/>
        <v>O</v>
      </c>
      <c r="M2707" s="9" t="str">
        <f t="shared" si="561"/>
        <v>Input!O543</v>
      </c>
      <c r="N2707" s="9">
        <f>_xlfn.XLOOKUP(F2707,'Raw Data'!$I$4:$I$5000,'Raw Data'!$E$4:$E$5000,100,0)</f>
        <v>100</v>
      </c>
      <c r="O2707" s="9" t="str">
        <f>IF(N2707=0,_xlfn.XLOOKUP(F2707,'Raw Data'!$I$4:$I$5000,'Raw Data'!$H$4:$H$5000,"",0),"")</f>
        <v/>
      </c>
      <c r="P2707" s="9" t="str" cm="1">
        <f t="array" aca="1" ref="P2707" ca="1">IF(INDIRECT(M2707) = "","",INDIRECT(M2707))</f>
        <v/>
      </c>
      <c r="Q2707" s="359" t="s">
        <v>4380</v>
      </c>
      <c r="R2707" t="s">
        <v>4601</v>
      </c>
    </row>
    <row r="2708" spans="1:18" x14ac:dyDescent="0.35">
      <c r="A2708" t="s">
        <v>4066</v>
      </c>
      <c r="E2708" t="str">
        <f>_xlfn.XLOOKUP(F2708,'Raw Data'!$I$4:$I$5000,'Raw Data'!$D$4:$D$5000,"*** Mnemonic not found ***",0)</f>
        <v>*** Mnemonic not found ***</v>
      </c>
      <c r="F2708" t="str">
        <f t="shared" si="563"/>
        <v>SUCMPRRSK_LAM_MEXFR_C__</v>
      </c>
      <c r="H2708" s="9" t="s">
        <v>1137</v>
      </c>
      <c r="K2708" s="9">
        <f t="shared" si="562"/>
        <v>544</v>
      </c>
      <c r="L2708" s="9" t="str">
        <f t="shared" si="560"/>
        <v>O</v>
      </c>
      <c r="M2708" s="9" t="str">
        <f t="shared" si="561"/>
        <v>Input!O544</v>
      </c>
      <c r="N2708" s="9">
        <f>_xlfn.XLOOKUP(F2708,'Raw Data'!$I$4:$I$5000,'Raw Data'!$E$4:$E$5000,100,0)</f>
        <v>100</v>
      </c>
      <c r="O2708" s="9" t="str">
        <f>IF(N2708=0,_xlfn.XLOOKUP(F2708,'Raw Data'!$I$4:$I$5000,'Raw Data'!$H$4:$H$5000,"",0),"")</f>
        <v/>
      </c>
      <c r="P2708" s="9" t="str" cm="1">
        <f t="array" aca="1" ref="P2708" ca="1">IF(INDIRECT(M2708) = "","",INDIRECT(M2708))</f>
        <v/>
      </c>
      <c r="Q2708" s="359" t="s">
        <v>4380</v>
      </c>
      <c r="R2708" t="s">
        <v>4602</v>
      </c>
    </row>
    <row r="2709" spans="1:18" x14ac:dyDescent="0.35">
      <c r="A2709" t="s">
        <v>4057</v>
      </c>
      <c r="E2709" t="str">
        <f>_xlfn.XLOOKUP(F2709,'Raw Data'!$I$4:$I$5000,'Raw Data'!$D$4:$D$5000,"*** Mnemonic not found ***",0)</f>
        <v>*** Mnemonic not found ***</v>
      </c>
      <c r="F2709" t="str">
        <f t="shared" si="563"/>
        <v>SUCMPRRSK_LAM_PLM_C__</v>
      </c>
      <c r="H2709" s="9" t="s">
        <v>1137</v>
      </c>
      <c r="K2709" s="9">
        <f t="shared" si="562"/>
        <v>545</v>
      </c>
      <c r="L2709" s="9" t="str">
        <f t="shared" si="560"/>
        <v>O</v>
      </c>
      <c r="M2709" s="9" t="str">
        <f t="shared" si="561"/>
        <v>Input!O545</v>
      </c>
      <c r="N2709" s="9">
        <f>_xlfn.XLOOKUP(F2709,'Raw Data'!$I$4:$I$5000,'Raw Data'!$E$4:$E$5000,100,0)</f>
        <v>100</v>
      </c>
      <c r="O2709" s="9" t="str">
        <f>IF(N2709=0,_xlfn.XLOOKUP(F2709,'Raw Data'!$I$4:$I$5000,'Raw Data'!$H$4:$H$5000,"",0),"")</f>
        <v/>
      </c>
      <c r="P2709" s="9" t="str" cm="1">
        <f t="array" aca="1" ref="P2709" ca="1">IF(INDIRECT(M2709) = "","",INDIRECT(M2709))</f>
        <v/>
      </c>
      <c r="Q2709" s="359" t="s">
        <v>4380</v>
      </c>
      <c r="R2709" t="s">
        <v>4603</v>
      </c>
    </row>
    <row r="2710" spans="1:18" x14ac:dyDescent="0.35">
      <c r="A2710" t="s">
        <v>4073</v>
      </c>
      <c r="E2710" t="str">
        <f>_xlfn.XLOOKUP(F2710,'Raw Data'!$I$4:$I$5000,'Raw Data'!$D$4:$D$5000,"*** Mnemonic not found ***",0)</f>
        <v>*** Mnemonic not found ***</v>
      </c>
      <c r="F2710" t="str">
        <f t="shared" si="563"/>
        <v>SUCMPRRSK_LAM_ALB_C__</v>
      </c>
      <c r="H2710" s="9" t="s">
        <v>1137</v>
      </c>
      <c r="K2710" s="9">
        <f t="shared" si="562"/>
        <v>546</v>
      </c>
      <c r="L2710" s="9" t="str">
        <f t="shared" si="560"/>
        <v>O</v>
      </c>
      <c r="M2710" s="9" t="str">
        <f t="shared" si="561"/>
        <v>Input!O546</v>
      </c>
      <c r="N2710" s="9">
        <f>_xlfn.XLOOKUP(F2710,'Raw Data'!$I$4:$I$5000,'Raw Data'!$E$4:$E$5000,100,0)</f>
        <v>100</v>
      </c>
      <c r="O2710" s="9" t="str">
        <f>IF(N2710=0,_xlfn.XLOOKUP(F2710,'Raw Data'!$I$4:$I$5000,'Raw Data'!$H$4:$H$5000,"",0),"")</f>
        <v/>
      </c>
      <c r="P2710" s="9" t="str" cm="1">
        <f t="array" aca="1" ref="P2710" ca="1">IF(INDIRECT(M2710) = "","",INDIRECT(M2710))</f>
        <v/>
      </c>
      <c r="Q2710" s="359" t="s">
        <v>4380</v>
      </c>
      <c r="R2710" t="s">
        <v>4604</v>
      </c>
    </row>
    <row r="2711" spans="1:18" x14ac:dyDescent="0.35">
      <c r="A2711" t="s">
        <v>4031</v>
      </c>
      <c r="E2711" t="str">
        <f>_xlfn.XLOOKUP(F2711,'Raw Data'!$I$4:$I$5000,'Raw Data'!$D$4:$D$5000,"*** Mnemonic not found ***",0)</f>
        <v>*** Mnemonic not found ***</v>
      </c>
      <c r="F2711" t="str">
        <f t="shared" si="563"/>
        <v>SUCMPRRSK_LAM_CRD_C__</v>
      </c>
      <c r="H2711" s="9" t="s">
        <v>1137</v>
      </c>
      <c r="K2711" s="9">
        <f t="shared" si="562"/>
        <v>547</v>
      </c>
      <c r="L2711" s="9" t="str">
        <f t="shared" si="560"/>
        <v>O</v>
      </c>
      <c r="M2711" s="9" t="str">
        <f t="shared" si="561"/>
        <v>Input!O547</v>
      </c>
      <c r="N2711" s="9">
        <f>_xlfn.XLOOKUP(F2711,'Raw Data'!$I$4:$I$5000,'Raw Data'!$E$4:$E$5000,100,0)</f>
        <v>100</v>
      </c>
      <c r="O2711" s="9" t="str">
        <f>IF(N2711=0,_xlfn.XLOOKUP(F2711,'Raw Data'!$I$4:$I$5000,'Raw Data'!$H$4:$H$5000,"",0),"")</f>
        <v/>
      </c>
      <c r="P2711" s="9" t="str" cm="1">
        <f t="array" aca="1" ref="P2711" ca="1">IF(INDIRECT(M2711) = "","",INDIRECT(M2711))</f>
        <v/>
      </c>
      <c r="Q2711" s="359" t="s">
        <v>4380</v>
      </c>
      <c r="R2711" t="s">
        <v>4605</v>
      </c>
    </row>
    <row r="2712" spans="1:18" x14ac:dyDescent="0.35">
      <c r="A2712" t="s">
        <v>4011</v>
      </c>
      <c r="E2712" t="str">
        <f>_xlfn.XLOOKUP(F2712,'Raw Data'!$I$4:$I$5000,'Raw Data'!$D$4:$D$5000,"*** Mnemonic not found ***",0)</f>
        <v>*** Mnemonic not found ***</v>
      </c>
      <c r="F2712" t="str">
        <f t="shared" si="563"/>
        <v>SUCMPRRSK_LAM_FID_C__</v>
      </c>
      <c r="H2712" s="9" t="s">
        <v>1137</v>
      </c>
      <c r="K2712" s="9">
        <f t="shared" si="562"/>
        <v>548</v>
      </c>
      <c r="L2712" s="9" t="str">
        <f t="shared" si="560"/>
        <v>O</v>
      </c>
      <c r="M2712" s="9" t="str">
        <f t="shared" si="561"/>
        <v>Input!O548</v>
      </c>
      <c r="N2712" s="9">
        <f>_xlfn.XLOOKUP(F2712,'Raw Data'!$I$4:$I$5000,'Raw Data'!$E$4:$E$5000,100,0)</f>
        <v>100</v>
      </c>
      <c r="O2712" s="9" t="str">
        <f>IF(N2712=0,_xlfn.XLOOKUP(F2712,'Raw Data'!$I$4:$I$5000,'Raw Data'!$H$4:$H$5000,"",0),"")</f>
        <v/>
      </c>
      <c r="P2712" s="9" t="str" cm="1">
        <f t="array" aca="1" ref="P2712" ca="1">IF(INDIRECT(M2712) = "","",INDIRECT(M2712))</f>
        <v/>
      </c>
      <c r="Q2712" s="359" t="s">
        <v>4380</v>
      </c>
      <c r="R2712" t="s">
        <v>4606</v>
      </c>
    </row>
    <row r="2713" spans="1:18" x14ac:dyDescent="0.35">
      <c r="A2713" t="s">
        <v>4048</v>
      </c>
      <c r="E2713" t="str">
        <f>_xlfn.XLOOKUP(F2713,'Raw Data'!$I$4:$I$5000,'Raw Data'!$D$4:$D$5000,"*** Mnemonic not found ***",0)</f>
        <v>*** Mnemonic not found ***</v>
      </c>
      <c r="F2713" t="str">
        <f t="shared" si="563"/>
        <v>SUCMPRRSK_LAM_SUR_C__</v>
      </c>
      <c r="H2713" s="9" t="s">
        <v>1137</v>
      </c>
      <c r="K2713" s="9">
        <f t="shared" si="562"/>
        <v>549</v>
      </c>
      <c r="L2713" s="9" t="str">
        <f t="shared" si="560"/>
        <v>O</v>
      </c>
      <c r="M2713" s="9" t="str">
        <f t="shared" si="561"/>
        <v>Input!O549</v>
      </c>
      <c r="N2713" s="9">
        <f>_xlfn.XLOOKUP(F2713,'Raw Data'!$I$4:$I$5000,'Raw Data'!$E$4:$E$5000,100,0)</f>
        <v>100</v>
      </c>
      <c r="O2713" s="9" t="str">
        <f>IF(N2713=0,_xlfn.XLOOKUP(F2713,'Raw Data'!$I$4:$I$5000,'Raw Data'!$H$4:$H$5000,"",0),"")</f>
        <v/>
      </c>
      <c r="P2713" s="9" t="str" cm="1">
        <f t="array" aca="1" ref="P2713" ca="1">IF(INDIRECT(M2713) = "","",INDIRECT(M2713))</f>
        <v/>
      </c>
      <c r="Q2713" s="359" t="s">
        <v>4380</v>
      </c>
      <c r="R2713" t="s">
        <v>4607</v>
      </c>
    </row>
    <row r="2714" spans="1:18" x14ac:dyDescent="0.35">
      <c r="A2714" t="s">
        <v>4037</v>
      </c>
      <c r="E2714" t="str">
        <f>_xlfn.XLOOKUP(F2714,'Raw Data'!$I$4:$I$5000,'Raw Data'!$D$4:$D$5000,"*** Mnemonic not found ***",0)</f>
        <v>*** Mnemonic not found ***</v>
      </c>
      <c r="F2714" t="str">
        <f t="shared" si="563"/>
        <v>SUCMPRRSK_LAM_AAH_C__</v>
      </c>
      <c r="H2714" s="9" t="s">
        <v>1137</v>
      </c>
      <c r="K2714" s="9">
        <f t="shared" si="562"/>
        <v>550</v>
      </c>
      <c r="L2714" s="9" t="str">
        <f t="shared" si="560"/>
        <v>O</v>
      </c>
      <c r="M2714" s="9" t="str">
        <f t="shared" si="561"/>
        <v>Input!O550</v>
      </c>
      <c r="N2714" s="9">
        <f>_xlfn.XLOOKUP(F2714,'Raw Data'!$I$4:$I$5000,'Raw Data'!$E$4:$E$5000,100,0)</f>
        <v>100</v>
      </c>
      <c r="O2714" s="9" t="str">
        <f>IF(N2714=0,_xlfn.XLOOKUP(F2714,'Raw Data'!$I$4:$I$5000,'Raw Data'!$H$4:$H$5000,"",0),"")</f>
        <v/>
      </c>
      <c r="P2714" s="9" t="str" cm="1">
        <f t="array" aca="1" ref="P2714" ca="1">IF(INDIRECT(M2714) = "","",INDIRECT(M2714))</f>
        <v/>
      </c>
      <c r="Q2714" s="359" t="s">
        <v>4380</v>
      </c>
      <c r="R2714" t="s">
        <v>4608</v>
      </c>
    </row>
    <row r="2715" spans="1:18" x14ac:dyDescent="0.35">
      <c r="A2715" t="s">
        <v>4020</v>
      </c>
      <c r="E2715" t="str">
        <f>_xlfn.XLOOKUP(F2715,'Raw Data'!$I$4:$I$5000,'Raw Data'!$D$4:$D$5000,"*** Mnemonic not found ***",0)</f>
        <v>*** Mnemonic not found ***</v>
      </c>
      <c r="F2715" t="str">
        <f t="shared" si="563"/>
        <v>SUCMPRRSK_LAM_HMEDEX_C__</v>
      </c>
      <c r="H2715" s="9" t="s">
        <v>1137</v>
      </c>
      <c r="K2715" s="9">
        <f t="shared" si="562"/>
        <v>551</v>
      </c>
      <c r="L2715" s="9" t="str">
        <f t="shared" si="560"/>
        <v>O</v>
      </c>
      <c r="M2715" s="9" t="str">
        <f t="shared" si="561"/>
        <v>Input!O551</v>
      </c>
      <c r="N2715" s="9">
        <f>_xlfn.XLOOKUP(F2715,'Raw Data'!$I$4:$I$5000,'Raw Data'!$E$4:$E$5000,100,0)</f>
        <v>100</v>
      </c>
      <c r="O2715" s="9" t="str">
        <f>IF(N2715=0,_xlfn.XLOOKUP(F2715,'Raw Data'!$I$4:$I$5000,'Raw Data'!$H$4:$H$5000,"",0),"")</f>
        <v/>
      </c>
      <c r="P2715" s="9" t="str" cm="1">
        <f t="array" aca="1" ref="P2715" ca="1">IF(INDIRECT(M2715) = "","",INDIRECT(M2715))</f>
        <v/>
      </c>
      <c r="Q2715" s="359" t="s">
        <v>4380</v>
      </c>
      <c r="R2715" t="s">
        <v>4609</v>
      </c>
    </row>
    <row r="2716" spans="1:18" x14ac:dyDescent="0.35">
      <c r="A2716" t="s">
        <v>4065</v>
      </c>
      <c r="E2716" t="str">
        <f>_xlfn.XLOOKUP(F2716,'Raw Data'!$I$4:$I$5000,'Raw Data'!$D$4:$D$5000,"*** Mnemonic not found ***",0)</f>
        <v>*** Mnemonic not found ***</v>
      </c>
      <c r="F2716" t="str">
        <f t="shared" si="563"/>
        <v>SUCMPRRSK_LAM_MAVA_C__</v>
      </c>
      <c r="H2716" s="9" t="s">
        <v>1137</v>
      </c>
      <c r="K2716" s="9">
        <f t="shared" si="562"/>
        <v>552</v>
      </c>
      <c r="L2716" s="9" t="str">
        <f t="shared" si="560"/>
        <v>O</v>
      </c>
      <c r="M2716" s="9" t="str">
        <f t="shared" si="561"/>
        <v>Input!O552</v>
      </c>
      <c r="N2716" s="9">
        <f>_xlfn.XLOOKUP(F2716,'Raw Data'!$I$4:$I$5000,'Raw Data'!$E$4:$E$5000,100,0)</f>
        <v>100</v>
      </c>
      <c r="O2716" s="9" t="str">
        <f>IF(N2716=0,_xlfn.XLOOKUP(F2716,'Raw Data'!$I$4:$I$5000,'Raw Data'!$H$4:$H$5000,"",0),"")</f>
        <v/>
      </c>
      <c r="P2716" s="9" t="str" cm="1">
        <f t="array" aca="1" ref="P2716" ca="1">IF(INDIRECT(M2716) = "","",INDIRECT(M2716))</f>
        <v/>
      </c>
      <c r="Q2716" s="359" t="s">
        <v>4380</v>
      </c>
      <c r="R2716" t="s">
        <v>4610</v>
      </c>
    </row>
    <row r="2717" spans="1:18" x14ac:dyDescent="0.35">
      <c r="A2717" t="s">
        <v>4056</v>
      </c>
      <c r="E2717" t="str">
        <f>_xlfn.XLOOKUP(F2717,'Raw Data'!$I$4:$I$5000,'Raw Data'!$D$4:$D$5000,"*** Mnemonic not found ***",0)</f>
        <v>*** Mnemonic not found ***</v>
      </c>
      <c r="F2717" t="str">
        <f t="shared" si="563"/>
        <v>SUCMPRRSK_LAM_MAVC_C__</v>
      </c>
      <c r="H2717" s="9" t="s">
        <v>1137</v>
      </c>
      <c r="K2717" s="9">
        <f t="shared" si="562"/>
        <v>553</v>
      </c>
      <c r="L2717" s="9" t="str">
        <f t="shared" si="560"/>
        <v>O</v>
      </c>
      <c r="M2717" s="9" t="str">
        <f t="shared" si="561"/>
        <v>Input!O553</v>
      </c>
      <c r="N2717" s="9">
        <f>_xlfn.XLOOKUP(F2717,'Raw Data'!$I$4:$I$5000,'Raw Data'!$E$4:$E$5000,100,0)</f>
        <v>100</v>
      </c>
      <c r="O2717" s="9" t="str">
        <f>IF(N2717=0,_xlfn.XLOOKUP(F2717,'Raw Data'!$I$4:$I$5000,'Raw Data'!$H$4:$H$5000,"",0),"")</f>
        <v/>
      </c>
      <c r="P2717" s="9" t="str" cm="1">
        <f t="array" aca="1" ref="P2717" ca="1">IF(INDIRECT(M2717) = "","",INDIRECT(M2717))</f>
        <v/>
      </c>
      <c r="Q2717" s="359" t="s">
        <v>4380</v>
      </c>
      <c r="R2717" t="s">
        <v>4611</v>
      </c>
    </row>
    <row r="2718" spans="1:18" x14ac:dyDescent="0.35">
      <c r="A2718" s="694" t="s">
        <v>4357</v>
      </c>
      <c r="B2718" s="694"/>
      <c r="E2718" t="str">
        <f>_xlfn.XLOOKUP(F2718,'Raw Data'!$I$4:$I$5000,'Raw Data'!$D$4:$D$5000,"*** Mnemonic not found ***",0)</f>
        <v>*** Mnemonic not found ***</v>
      </c>
      <c r="F2718" t="str">
        <f t="shared" si="563"/>
        <v>SUCMPRRSK_LAM_MPIN_C__</v>
      </c>
      <c r="H2718" s="9" t="s">
        <v>1137</v>
      </c>
      <c r="K2718" s="9">
        <f t="shared" si="562"/>
        <v>554</v>
      </c>
      <c r="L2718" s="9" t="str">
        <f t="shared" si="560"/>
        <v>O</v>
      </c>
      <c r="M2718" s="9" t="str">
        <f t="shared" si="561"/>
        <v>Input!O554</v>
      </c>
      <c r="N2718" s="9">
        <f>_xlfn.XLOOKUP(F2718,'Raw Data'!$I$4:$I$5000,'Raw Data'!$E$4:$E$5000,100,0)</f>
        <v>100</v>
      </c>
      <c r="O2718" s="9" t="str">
        <f>IF(N2718=0,_xlfn.XLOOKUP(F2718,'Raw Data'!$I$4:$I$5000,'Raw Data'!$H$4:$H$5000,"",0),"")</f>
        <v/>
      </c>
      <c r="P2718" s="9" t="str" cm="1">
        <f t="array" aca="1" ref="P2718" ca="1">IF(INDIRECT(M2718) = "","",INDIRECT(M2718))</f>
        <v/>
      </c>
      <c r="Q2718" s="359" t="s">
        <v>4380</v>
      </c>
      <c r="R2718" t="s">
        <v>4612</v>
      </c>
    </row>
    <row r="2719" spans="1:18" x14ac:dyDescent="0.35">
      <c r="A2719" t="s">
        <v>4042</v>
      </c>
      <c r="E2719" t="str">
        <f>_xlfn.XLOOKUP(F2719,'Raw Data'!$I$4:$I$5000,'Raw Data'!$D$4:$D$5000,"*** Mnemonic not found ***",0)</f>
        <v>*** Mnemonic not found ***</v>
      </c>
      <c r="F2719" t="str">
        <f t="shared" si="563"/>
        <v>SUCMPRRSK_LAM_TRV_C__</v>
      </c>
      <c r="H2719" s="9" t="s">
        <v>1137</v>
      </c>
      <c r="K2719" s="9">
        <f t="shared" si="562"/>
        <v>555</v>
      </c>
      <c r="L2719" s="9" t="str">
        <f t="shared" si="560"/>
        <v>O</v>
      </c>
      <c r="M2719" s="9" t="str">
        <f t="shared" si="561"/>
        <v>Input!O555</v>
      </c>
      <c r="N2719" s="9">
        <f>_xlfn.XLOOKUP(F2719,'Raw Data'!$I$4:$I$5000,'Raw Data'!$E$4:$E$5000,100,0)</f>
        <v>100</v>
      </c>
      <c r="O2719" s="9" t="str">
        <f>IF(N2719=0,_xlfn.XLOOKUP(F2719,'Raw Data'!$I$4:$I$5000,'Raw Data'!$H$4:$H$5000,"",0),"")</f>
        <v/>
      </c>
      <c r="P2719" s="9" t="str" cm="1">
        <f t="array" aca="1" ref="P2719" ca="1">IF(INDIRECT(M2719) = "","",INDIRECT(M2719))</f>
        <v/>
      </c>
      <c r="Q2719" s="359" t="s">
        <v>4380</v>
      </c>
      <c r="R2719" t="s">
        <v>4613</v>
      </c>
    </row>
    <row r="2720" spans="1:18" x14ac:dyDescent="0.35">
      <c r="A2720" t="s">
        <v>4030</v>
      </c>
      <c r="E2720" t="str">
        <f>_xlfn.XLOOKUP(F2720,'Raw Data'!$I$4:$I$5000,'Raw Data'!$D$4:$D$5000,"*** Mnemonic not found ***",0)</f>
        <v>*** Mnemonic not found ***</v>
      </c>
      <c r="F2720" t="str">
        <f t="shared" si="563"/>
        <v>SUCMPRRSK_LAM_WAR_C__</v>
      </c>
      <c r="H2720" s="9" t="s">
        <v>1137</v>
      </c>
      <c r="K2720" s="9">
        <f t="shared" si="562"/>
        <v>556</v>
      </c>
      <c r="L2720" s="9" t="str">
        <f t="shared" si="560"/>
        <v>O</v>
      </c>
      <c r="M2720" s="9" t="str">
        <f t="shared" si="561"/>
        <v>Input!O556</v>
      </c>
      <c r="N2720" s="9">
        <f>_xlfn.XLOOKUP(F2720,'Raw Data'!$I$4:$I$5000,'Raw Data'!$E$4:$E$5000,100,0)</f>
        <v>100</v>
      </c>
      <c r="O2720" s="9" t="str">
        <f>IF(N2720=0,_xlfn.XLOOKUP(F2720,'Raw Data'!$I$4:$I$5000,'Raw Data'!$H$4:$H$5000,"",0),"")</f>
        <v/>
      </c>
      <c r="P2720" s="9" t="str" cm="1">
        <f t="array" aca="1" ref="P2720" ca="1">IF(INDIRECT(M2720) = "","",INDIRECT(M2720))</f>
        <v/>
      </c>
      <c r="Q2720" s="359" t="s">
        <v>4380</v>
      </c>
      <c r="R2720" t="s">
        <v>4614</v>
      </c>
    </row>
    <row r="2721" spans="1:18" x14ac:dyDescent="0.35">
      <c r="A2721" t="s">
        <v>4064</v>
      </c>
      <c r="E2721" t="str">
        <f>_xlfn.XLOOKUP(F2721,'Raw Data'!$I$4:$I$5000,'Raw Data'!$D$4:$D$5000,"*** Mnemonic not found ***",0)</f>
        <v>*** Mnemonic not found ***</v>
      </c>
      <c r="F2721" t="str">
        <f t="shared" si="563"/>
        <v>SUCMPRRSK_LAM_OCAH_C__</v>
      </c>
      <c r="H2721" s="9" t="s">
        <v>1137</v>
      </c>
      <c r="K2721" s="9">
        <f t="shared" si="562"/>
        <v>557</v>
      </c>
      <c r="L2721" s="9" t="str">
        <f t="shared" si="560"/>
        <v>O</v>
      </c>
      <c r="M2721" s="9" t="str">
        <f t="shared" si="561"/>
        <v>Input!O557</v>
      </c>
      <c r="N2721" s="9">
        <f>_xlfn.XLOOKUP(F2721,'Raw Data'!$I$4:$I$5000,'Raw Data'!$E$4:$E$5000,100,0)</f>
        <v>100</v>
      </c>
      <c r="O2721" s="9" t="str">
        <f>IF(N2721=0,_xlfn.XLOOKUP(F2721,'Raw Data'!$I$4:$I$5000,'Raw Data'!$H$4:$H$5000,"",0),"")</f>
        <v/>
      </c>
      <c r="P2721" s="9" t="str" cm="1">
        <f t="array" aca="1" ref="P2721" ca="1">IF(INDIRECT(M2721) = "","",INDIRECT(M2721))</f>
        <v/>
      </c>
      <c r="Q2721" s="359" t="s">
        <v>4380</v>
      </c>
      <c r="R2721" t="s">
        <v>4615</v>
      </c>
    </row>
    <row r="2722" spans="1:18" x14ac:dyDescent="0.35">
      <c r="A2722" t="s">
        <v>4047</v>
      </c>
      <c r="E2722" t="str">
        <f>_xlfn.XLOOKUP(F2722,'Raw Data'!$I$4:$I$5000,'Raw Data'!$D$4:$D$5000,"*** Mnemonic not found ***",0)</f>
        <v>*** Mnemonic not found ***</v>
      </c>
      <c r="F2722" t="str">
        <f t="shared" si="563"/>
        <v>SUCMPRRSK_INPUT_C__</v>
      </c>
      <c r="H2722" s="9" t="s">
        <v>1137</v>
      </c>
      <c r="K2722" s="9">
        <f>K2721+2</f>
        <v>559</v>
      </c>
      <c r="L2722" s="9" t="str">
        <f t="shared" si="560"/>
        <v>O</v>
      </c>
      <c r="M2722" s="9" t="str">
        <f t="shared" si="561"/>
        <v>Input!O559</v>
      </c>
      <c r="N2722" s="9">
        <f>_xlfn.XLOOKUP(F2722,'Raw Data'!$I$4:$I$5000,'Raw Data'!$E$4:$E$5000,100,0)</f>
        <v>100</v>
      </c>
      <c r="O2722" s="9" t="str">
        <f>IF(N2722=0,_xlfn.XLOOKUP(F2722,'Raw Data'!$I$4:$I$5000,'Raw Data'!$H$4:$H$5000,"",0),"")</f>
        <v/>
      </c>
      <c r="P2722" s="9" t="str" cm="1">
        <f t="array" aca="1" ref="P2722" ca="1">IF(INDIRECT(M2722) = "","",INDIRECT(M2722))</f>
        <v/>
      </c>
      <c r="Q2722" s="359" t="s">
        <v>4380</v>
      </c>
    </row>
    <row r="2723" spans="1:18" x14ac:dyDescent="0.35">
      <c r="A2723" t="s">
        <v>4041</v>
      </c>
      <c r="E2723" t="str">
        <f>_xlfn.XLOOKUP(F2723,'Raw Data'!$I$4:$I$5000,'Raw Data'!$D$4:$D$5000,"*** Mnemonic not found ***",0)</f>
        <v>*** Mnemonic not found ***</v>
      </c>
      <c r="F2723" t="str">
        <f t="shared" si="563"/>
        <v>SUCMPRRSK_INPUT_LIA_C__</v>
      </c>
      <c r="H2723" s="9" t="s">
        <v>1137</v>
      </c>
      <c r="K2723" s="9">
        <f t="shared" si="562"/>
        <v>560</v>
      </c>
      <c r="L2723" s="9" t="str">
        <f t="shared" si="560"/>
        <v>O</v>
      </c>
      <c r="M2723" s="9" t="str">
        <f t="shared" si="561"/>
        <v>Input!O560</v>
      </c>
      <c r="N2723" s="9">
        <f>_xlfn.XLOOKUP(F2723,'Raw Data'!$I$4:$I$5000,'Raw Data'!$E$4:$E$5000,100,0)</f>
        <v>100</v>
      </c>
      <c r="O2723" s="9" t="str">
        <f>IF(N2723=0,_xlfn.XLOOKUP(F2723,'Raw Data'!$I$4:$I$5000,'Raw Data'!$H$4:$H$5000,"",0),"")</f>
        <v/>
      </c>
      <c r="P2723" s="9" t="str" cm="1">
        <f t="array" aca="1" ref="P2723" ca="1">IF(INDIRECT(M2723) = "","",INDIRECT(M2723))</f>
        <v/>
      </c>
      <c r="Q2723" s="359" t="s">
        <v>4380</v>
      </c>
    </row>
    <row r="2724" spans="1:18" x14ac:dyDescent="0.35">
      <c r="A2724" t="s">
        <v>4019</v>
      </c>
      <c r="E2724" t="str">
        <f>_xlfn.XLOOKUP(F2724,'Raw Data'!$I$4:$I$5000,'Raw Data'!$D$4:$D$5000,"*** Mnemonic not found ***",0)</f>
        <v>*** Mnemonic not found ***</v>
      </c>
      <c r="F2724" t="str">
        <f t="shared" si="563"/>
        <v>SUCMPRRSK_INPUT_PROP_C__</v>
      </c>
      <c r="H2724" s="9" t="s">
        <v>1137</v>
      </c>
      <c r="K2724" s="9">
        <f t="shared" si="562"/>
        <v>561</v>
      </c>
      <c r="L2724" s="9" t="str">
        <f t="shared" si="560"/>
        <v>O</v>
      </c>
      <c r="M2724" s="9" t="str">
        <f t="shared" si="561"/>
        <v>Input!O561</v>
      </c>
      <c r="N2724" s="9">
        <f>_xlfn.XLOOKUP(F2724,'Raw Data'!$I$4:$I$5000,'Raw Data'!$E$4:$E$5000,100,0)</f>
        <v>100</v>
      </c>
      <c r="O2724" s="9" t="str">
        <f>IF(N2724=0,_xlfn.XLOOKUP(F2724,'Raw Data'!$I$4:$I$5000,'Raw Data'!$H$4:$H$5000,"",0),"")</f>
        <v/>
      </c>
      <c r="P2724" s="9" t="str" cm="1">
        <f t="array" aca="1" ref="P2724" ca="1">IF(INDIRECT(M2724) = "","",INDIRECT(M2724))</f>
        <v/>
      </c>
      <c r="Q2724" s="359" t="s">
        <v>4380</v>
      </c>
    </row>
    <row r="2725" spans="1:18" x14ac:dyDescent="0.35">
      <c r="A2725" t="s">
        <v>4010</v>
      </c>
      <c r="E2725" t="str">
        <f>_xlfn.XLOOKUP(F2725,'Raw Data'!$I$4:$I$5000,'Raw Data'!$D$4:$D$5000,"*** Mnemonic not found ***",0)</f>
        <v>*** Mnemonic not found ***</v>
      </c>
      <c r="F2725" t="str">
        <f t="shared" si="563"/>
        <v>SUCMPRRSK_INPUT_MOT_C__</v>
      </c>
      <c r="H2725" s="9" t="s">
        <v>1137</v>
      </c>
      <c r="K2725" s="9">
        <f t="shared" si="562"/>
        <v>562</v>
      </c>
      <c r="L2725" s="9" t="str">
        <f t="shared" si="560"/>
        <v>O</v>
      </c>
      <c r="M2725" s="9" t="str">
        <f t="shared" si="561"/>
        <v>Input!O562</v>
      </c>
      <c r="N2725" s="9">
        <f>_xlfn.XLOOKUP(F2725,'Raw Data'!$I$4:$I$5000,'Raw Data'!$E$4:$E$5000,100,0)</f>
        <v>100</v>
      </c>
      <c r="O2725" s="9" t="str">
        <f>IF(N2725=0,_xlfn.XLOOKUP(F2725,'Raw Data'!$I$4:$I$5000,'Raw Data'!$H$4:$H$5000,"",0),"")</f>
        <v/>
      </c>
      <c r="P2725" s="9" t="str" cm="1">
        <f t="array" aca="1" ref="P2725" ca="1">IF(INDIRECT(M2725) = "","",INDIRECT(M2725))</f>
        <v/>
      </c>
      <c r="Q2725" s="359" t="s">
        <v>4380</v>
      </c>
    </row>
    <row r="2726" spans="1:18" x14ac:dyDescent="0.35">
      <c r="A2726" t="s">
        <v>4055</v>
      </c>
      <c r="E2726" t="str">
        <f>_xlfn.XLOOKUP(F2726,'Raw Data'!$I$4:$I$5000,'Raw Data'!$D$4:$D$5000,"*** Mnemonic not found ***",0)</f>
        <v>*** Mnemonic not found ***</v>
      </c>
      <c r="F2726" t="str">
        <f t="shared" si="563"/>
        <v>SUCMPRRSK_INPUT_FIN_C__</v>
      </c>
      <c r="H2726" s="9" t="s">
        <v>1137</v>
      </c>
      <c r="K2726" s="9">
        <f t="shared" si="562"/>
        <v>563</v>
      </c>
      <c r="L2726" s="9" t="str">
        <f t="shared" si="560"/>
        <v>O</v>
      </c>
      <c r="M2726" s="9" t="str">
        <f t="shared" si="561"/>
        <v>Input!O563</v>
      </c>
      <c r="N2726" s="9">
        <f>_xlfn.XLOOKUP(F2726,'Raw Data'!$I$4:$I$5000,'Raw Data'!$E$4:$E$5000,100,0)</f>
        <v>100</v>
      </c>
      <c r="O2726" s="9" t="str">
        <f>IF(N2726=0,_xlfn.XLOOKUP(F2726,'Raw Data'!$I$4:$I$5000,'Raw Data'!$H$4:$H$5000,"",0),"")</f>
        <v/>
      </c>
      <c r="P2726" s="9" t="str" cm="1">
        <f t="array" aca="1" ref="P2726" ca="1">IF(INDIRECT(M2726) = "","",INDIRECT(M2726))</f>
        <v/>
      </c>
      <c r="Q2726" s="359" t="s">
        <v>4380</v>
      </c>
    </row>
    <row r="2727" spans="1:18" x14ac:dyDescent="0.35">
      <c r="A2727" t="s">
        <v>4040</v>
      </c>
      <c r="E2727" t="str">
        <f>_xlfn.XLOOKUP(F2727,'Raw Data'!$I$4:$I$5000,'Raw Data'!$D$4:$D$5000,"*** Mnemonic not found ***",0)</f>
        <v>*** Mnemonic not found ***</v>
      </c>
      <c r="F2727" t="str">
        <f t="shared" si="563"/>
        <v>SUCMPRRSK_INPUT_HLTH_C__</v>
      </c>
      <c r="H2727" s="9" t="s">
        <v>1137</v>
      </c>
      <c r="K2727" s="9">
        <f t="shared" si="562"/>
        <v>564</v>
      </c>
      <c r="L2727" s="9" t="str">
        <f t="shared" si="560"/>
        <v>O</v>
      </c>
      <c r="M2727" s="9" t="str">
        <f t="shared" si="561"/>
        <v>Input!O564</v>
      </c>
      <c r="N2727" s="9">
        <f>_xlfn.XLOOKUP(F2727,'Raw Data'!$I$4:$I$5000,'Raw Data'!$E$4:$E$5000,100,0)</f>
        <v>100</v>
      </c>
      <c r="O2727" s="9" t="str">
        <f>IF(N2727=0,_xlfn.XLOOKUP(F2727,'Raw Data'!$I$4:$I$5000,'Raw Data'!$H$4:$H$5000,"",0),"")</f>
        <v/>
      </c>
      <c r="P2727" s="9" t="str" cm="1">
        <f t="array" aca="1" ref="P2727" ca="1">IF(INDIRECT(M2727) = "","",INDIRECT(M2727))</f>
        <v/>
      </c>
      <c r="Q2727" s="359" t="s">
        <v>4380</v>
      </c>
    </row>
    <row r="2728" spans="1:18" x14ac:dyDescent="0.35">
      <c r="A2728" t="s">
        <v>4029</v>
      </c>
      <c r="E2728" t="str">
        <f>_xlfn.XLOOKUP(F2728,'Raw Data'!$I$4:$I$5000,'Raw Data'!$D$4:$D$5000,"*** Mnemonic not found ***",0)</f>
        <v>*** Mnemonic not found ***</v>
      </c>
      <c r="F2728" t="str">
        <f t="shared" si="563"/>
        <v>SUCMPRRSK_INPUT_MAT_C__</v>
      </c>
      <c r="H2728" s="9" t="s">
        <v>1137</v>
      </c>
      <c r="K2728" s="9">
        <f t="shared" si="562"/>
        <v>565</v>
      </c>
      <c r="L2728" s="9" t="str">
        <f t="shared" si="560"/>
        <v>O</v>
      </c>
      <c r="M2728" s="9" t="str">
        <f t="shared" si="561"/>
        <v>Input!O565</v>
      </c>
      <c r="N2728" s="9">
        <f>_xlfn.XLOOKUP(F2728,'Raw Data'!$I$4:$I$5000,'Raw Data'!$E$4:$E$5000,100,0)</f>
        <v>100</v>
      </c>
      <c r="O2728" s="9" t="str">
        <f>IF(N2728=0,_xlfn.XLOOKUP(F2728,'Raw Data'!$I$4:$I$5000,'Raw Data'!$H$4:$H$5000,"",0),"")</f>
        <v/>
      </c>
      <c r="P2728" s="9" t="str" cm="1">
        <f t="array" aca="1" ref="P2728" ca="1">IF(INDIRECT(M2728) = "","",INDIRECT(M2728))</f>
        <v/>
      </c>
      <c r="Q2728" s="359" t="s">
        <v>4380</v>
      </c>
    </row>
    <row r="2729" spans="1:18" x14ac:dyDescent="0.35">
      <c r="A2729" t="s">
        <v>4063</v>
      </c>
      <c r="E2729" t="str">
        <f>_xlfn.XLOOKUP(F2729,'Raw Data'!$I$4:$I$5000,'Raw Data'!$D$4:$D$5000,"*** Mnemonic not found ***",0)</f>
        <v>*** Mnemonic not found ***</v>
      </c>
      <c r="F2729" t="str">
        <f t="shared" si="563"/>
        <v>SUCMPRRSK_INPUT_OTH_C__</v>
      </c>
      <c r="H2729" s="9" t="s">
        <v>1137</v>
      </c>
      <c r="K2729" s="9">
        <f t="shared" si="562"/>
        <v>566</v>
      </c>
      <c r="L2729" s="9" t="str">
        <f t="shared" si="560"/>
        <v>O</v>
      </c>
      <c r="M2729" s="9" t="str">
        <f t="shared" si="561"/>
        <v>Input!O566</v>
      </c>
      <c r="N2729" s="9">
        <f>_xlfn.XLOOKUP(F2729,'Raw Data'!$I$4:$I$5000,'Raw Data'!$E$4:$E$5000,100,0)</f>
        <v>100</v>
      </c>
      <c r="O2729" s="9" t="str">
        <f>IF(N2729=0,_xlfn.XLOOKUP(F2729,'Raw Data'!$I$4:$I$5000,'Raw Data'!$H$4:$H$5000,"",0),"")</f>
        <v/>
      </c>
      <c r="P2729" s="9" t="str" cm="1">
        <f t="array" aca="1" ref="P2729" ca="1">IF(INDIRECT(M2729) = "","",INDIRECT(M2729))</f>
        <v/>
      </c>
      <c r="Q2729" s="359" t="s">
        <v>4380</v>
      </c>
    </row>
    <row r="2730" spans="1:18" x14ac:dyDescent="0.35">
      <c r="A2730" t="s">
        <v>4046</v>
      </c>
      <c r="E2730" t="str">
        <f>_xlfn.XLOOKUP(F2730,'Raw Data'!$I$4:$I$5000,'Raw Data'!$D$4:$D$5000,"*** Mnemonic not found ***",0)</f>
        <v>*** Mnemonic not found ***</v>
      </c>
      <c r="F2730" t="str">
        <f t="shared" si="563"/>
        <v>SUCMPRRSK_INPUT_SUM_C__</v>
      </c>
      <c r="H2730" s="9" t="s">
        <v>1137</v>
      </c>
      <c r="K2730" s="9">
        <f>K2729+2</f>
        <v>568</v>
      </c>
      <c r="L2730" s="9" t="str">
        <f t="shared" si="560"/>
        <v>O</v>
      </c>
      <c r="M2730" s="9" t="str">
        <f t="shared" si="561"/>
        <v>Input!O568</v>
      </c>
      <c r="N2730" s="9">
        <f>_xlfn.XLOOKUP(F2730,'Raw Data'!$I$4:$I$5000,'Raw Data'!$E$4:$E$5000,100,0)</f>
        <v>100</v>
      </c>
      <c r="O2730" s="9" t="str">
        <f>IF(N2730=0,_xlfn.XLOOKUP(F2730,'Raw Data'!$I$4:$I$5000,'Raw Data'!$H$4:$H$5000,"",0),"")</f>
        <v/>
      </c>
      <c r="P2730" s="9" t="str" cm="1">
        <f t="array" aca="1" ref="P2730" ca="1">IF(INDIRECT(M2730) = "","",INDIRECT(M2730))</f>
        <v/>
      </c>
      <c r="Q2730" s="359" t="s">
        <v>4380</v>
      </c>
    </row>
    <row r="2731" spans="1:18" x14ac:dyDescent="0.35">
      <c r="A2731" t="s">
        <v>3412</v>
      </c>
      <c r="E2731" t="str">
        <f>_xlfn.XLOOKUP(F2731,'Raw Data'!$I$4:$I$5000,'Raw Data'!$D$4:$D$5000,"*** Mnemonic not found ***",0)</f>
        <v>*** Mnemonic not found ***</v>
      </c>
      <c r="F2731" t="str">
        <f t="shared" si="563"/>
        <v>SUCMRESRSK_EMEA_LIA_C__</v>
      </c>
      <c r="G2731" t="s">
        <v>3118</v>
      </c>
      <c r="H2731" s="9" t="s">
        <v>1137</v>
      </c>
      <c r="I2731" s="289">
        <f>ROW(section_non_life_resv)</f>
        <v>571</v>
      </c>
      <c r="J2731" s="9">
        <v>4</v>
      </c>
      <c r="K2731" s="9">
        <f>I2731+J2731</f>
        <v>575</v>
      </c>
      <c r="L2731" s="9" t="str">
        <f t="shared" si="560"/>
        <v>O</v>
      </c>
      <c r="M2731" s="9" t="str">
        <f t="shared" si="561"/>
        <v>Input!O575</v>
      </c>
      <c r="N2731" s="9">
        <f>_xlfn.XLOOKUP(F2731,'Raw Data'!$I$4:$I$5000,'Raw Data'!$E$4:$E$5000,100,0)</f>
        <v>100</v>
      </c>
      <c r="O2731" s="9" t="str">
        <f>IF(N2731=0,_xlfn.XLOOKUP(F2731,'Raw Data'!$I$4:$I$5000,'Raw Data'!$H$4:$H$5000,"",0),"")</f>
        <v/>
      </c>
      <c r="P2731" s="9" t="str" cm="1">
        <f t="array" aca="1" ref="P2731" ca="1">IF(INDIRECT(M2731) = "","",INDIRECT(M2731))</f>
        <v/>
      </c>
      <c r="Q2731" s="359" t="s">
        <v>4380</v>
      </c>
      <c r="R2731" t="s">
        <v>4616</v>
      </c>
    </row>
    <row r="2732" spans="1:18" x14ac:dyDescent="0.35">
      <c r="A2732" t="s">
        <v>3413</v>
      </c>
      <c r="E2732" t="str">
        <f>_xlfn.XLOOKUP(F2732,'Raw Data'!$I$4:$I$5000,'Raw Data'!$D$4:$D$5000,"*** Mnemonic not found ***",0)</f>
        <v>*** Mnemonic not found ***</v>
      </c>
      <c r="F2732" t="str">
        <f t="shared" si="563"/>
        <v>SUCMRESRSK_EMEA_WCP_C__</v>
      </c>
      <c r="H2732" s="9" t="s">
        <v>1137</v>
      </c>
      <c r="K2732" s="9">
        <f t="shared" ref="K2732:K2744" si="564">K2731+1</f>
        <v>576</v>
      </c>
      <c r="L2732" s="9" t="str">
        <f t="shared" si="560"/>
        <v>O</v>
      </c>
      <c r="M2732" s="9" t="str">
        <f t="shared" si="561"/>
        <v>Input!O576</v>
      </c>
      <c r="N2732" s="9">
        <f>_xlfn.XLOOKUP(F2732,'Raw Data'!$I$4:$I$5000,'Raw Data'!$E$4:$E$5000,100,0)</f>
        <v>100</v>
      </c>
      <c r="O2732" s="9" t="str">
        <f>IF(N2732=0,_xlfn.XLOOKUP(F2732,'Raw Data'!$I$4:$I$5000,'Raw Data'!$H$4:$H$5000,"",0),"")</f>
        <v/>
      </c>
      <c r="P2732" s="9" t="str" cm="1">
        <f t="array" aca="1" ref="P2732" ca="1">IF(INDIRECT(M2732) = "","",INDIRECT(M2732))</f>
        <v/>
      </c>
      <c r="Q2732" s="359" t="s">
        <v>4380</v>
      </c>
      <c r="R2732" t="s">
        <v>4617</v>
      </c>
    </row>
    <row r="2733" spans="1:18" x14ac:dyDescent="0.35">
      <c r="A2733" t="s">
        <v>3414</v>
      </c>
      <c r="E2733" t="str">
        <f>_xlfn.XLOOKUP(F2733,'Raw Data'!$I$4:$I$5000,'Raw Data'!$D$4:$D$5000,"*** Mnemonic not found ***",0)</f>
        <v>*** Mnemonic not found ***</v>
      </c>
      <c r="F2733" t="str">
        <f t="shared" si="563"/>
        <v>SUCMRESRSK_EMEA_FIR_C__</v>
      </c>
      <c r="H2733" s="9" t="s">
        <v>1137</v>
      </c>
      <c r="K2733" s="9">
        <f t="shared" si="564"/>
        <v>577</v>
      </c>
      <c r="L2733" s="9" t="str">
        <f t="shared" si="560"/>
        <v>O</v>
      </c>
      <c r="M2733" s="9" t="str">
        <f t="shared" si="561"/>
        <v>Input!O577</v>
      </c>
      <c r="N2733" s="9">
        <f>_xlfn.XLOOKUP(F2733,'Raw Data'!$I$4:$I$5000,'Raw Data'!$E$4:$E$5000,100,0)</f>
        <v>100</v>
      </c>
      <c r="O2733" s="9" t="str">
        <f>IF(N2733=0,_xlfn.XLOOKUP(F2733,'Raw Data'!$I$4:$I$5000,'Raw Data'!$H$4:$H$5000,"",0),"")</f>
        <v/>
      </c>
      <c r="P2733" s="9" t="str" cm="1">
        <f t="array" aca="1" ref="P2733" ca="1">IF(INDIRECT(M2733) = "","",INDIRECT(M2733))</f>
        <v/>
      </c>
      <c r="Q2733" s="359" t="s">
        <v>4380</v>
      </c>
      <c r="R2733" t="s">
        <v>4618</v>
      </c>
    </row>
    <row r="2734" spans="1:18" x14ac:dyDescent="0.35">
      <c r="A2734" t="s">
        <v>3415</v>
      </c>
      <c r="E2734" t="str">
        <f>_xlfn.XLOOKUP(F2734,'Raw Data'!$I$4:$I$5000,'Raw Data'!$D$4:$D$5000,"*** Mnemonic not found ***",0)</f>
        <v>*** Mnemonic not found ***</v>
      </c>
      <c r="F2734" t="str">
        <f t="shared" si="563"/>
        <v>SUCMRESRSK_EMEA_ALB_C__</v>
      </c>
      <c r="H2734" s="9" t="s">
        <v>1137</v>
      </c>
      <c r="K2734" s="9">
        <f t="shared" si="564"/>
        <v>578</v>
      </c>
      <c r="L2734" s="9" t="str">
        <f t="shared" si="560"/>
        <v>O</v>
      </c>
      <c r="M2734" s="9" t="str">
        <f t="shared" si="561"/>
        <v>Input!O578</v>
      </c>
      <c r="N2734" s="9">
        <f>_xlfn.XLOOKUP(F2734,'Raw Data'!$I$4:$I$5000,'Raw Data'!$E$4:$E$5000,100,0)</f>
        <v>100</v>
      </c>
      <c r="O2734" s="9" t="str">
        <f>IF(N2734=0,_xlfn.XLOOKUP(F2734,'Raw Data'!$I$4:$I$5000,'Raw Data'!$H$4:$H$5000,"",0),"")</f>
        <v/>
      </c>
      <c r="P2734" s="9" t="str" cm="1">
        <f t="array" aca="1" ref="P2734" ca="1">IF(INDIRECT(M2734) = "","",INDIRECT(M2734))</f>
        <v/>
      </c>
      <c r="Q2734" s="359" t="s">
        <v>4380</v>
      </c>
      <c r="R2734" t="s">
        <v>4619</v>
      </c>
    </row>
    <row r="2735" spans="1:18" x14ac:dyDescent="0.35">
      <c r="A2735" t="s">
        <v>3416</v>
      </c>
      <c r="E2735" t="str">
        <f>_xlfn.XLOOKUP(F2735,'Raw Data'!$I$4:$I$5000,'Raw Data'!$D$4:$D$5000,"*** Mnemonic not found ***",0)</f>
        <v>*** Mnemonic not found ***</v>
      </c>
      <c r="F2735" t="str">
        <f t="shared" si="563"/>
        <v>SUCMRESRSK_EMEA_OTHM_C__</v>
      </c>
      <c r="H2735" s="9" t="s">
        <v>1137</v>
      </c>
      <c r="K2735" s="9">
        <f t="shared" si="564"/>
        <v>579</v>
      </c>
      <c r="L2735" s="9" t="str">
        <f t="shared" si="560"/>
        <v>O</v>
      </c>
      <c r="M2735" s="9" t="str">
        <f t="shared" si="561"/>
        <v>Input!O579</v>
      </c>
      <c r="N2735" s="9">
        <f>_xlfn.XLOOKUP(F2735,'Raw Data'!$I$4:$I$5000,'Raw Data'!$E$4:$E$5000,100,0)</f>
        <v>100</v>
      </c>
      <c r="O2735" s="9" t="str">
        <f>IF(N2735=0,_xlfn.XLOOKUP(F2735,'Raw Data'!$I$4:$I$5000,'Raw Data'!$H$4:$H$5000,"",0),"")</f>
        <v/>
      </c>
      <c r="P2735" s="9" t="str" cm="1">
        <f t="array" aca="1" ref="P2735" ca="1">IF(INDIRECT(M2735) = "","",INDIRECT(M2735))</f>
        <v/>
      </c>
      <c r="Q2735" s="359" t="s">
        <v>4380</v>
      </c>
      <c r="R2735" t="s">
        <v>4620</v>
      </c>
    </row>
    <row r="2736" spans="1:18" x14ac:dyDescent="0.35">
      <c r="A2736" t="s">
        <v>3417</v>
      </c>
      <c r="E2736" t="str">
        <f>_xlfn.XLOOKUP(F2736,'Raw Data'!$I$4:$I$5000,'Raw Data'!$D$4:$D$5000,"*** Mnemonic not found ***",0)</f>
        <v>*** Mnemonic not found ***</v>
      </c>
      <c r="F2736" t="str">
        <f t="shared" si="563"/>
        <v>SUCMRESRSK_EMEA_CRDS_C__</v>
      </c>
      <c r="H2736" s="9" t="s">
        <v>1137</v>
      </c>
      <c r="K2736" s="9">
        <f t="shared" si="564"/>
        <v>580</v>
      </c>
      <c r="L2736" s="9" t="str">
        <f t="shared" si="560"/>
        <v>O</v>
      </c>
      <c r="M2736" s="9" t="str">
        <f t="shared" si="561"/>
        <v>Input!O580</v>
      </c>
      <c r="N2736" s="9">
        <f>_xlfn.XLOOKUP(F2736,'Raw Data'!$I$4:$I$5000,'Raw Data'!$E$4:$E$5000,100,0)</f>
        <v>100</v>
      </c>
      <c r="O2736" s="9" t="str">
        <f>IF(N2736=0,_xlfn.XLOOKUP(F2736,'Raw Data'!$I$4:$I$5000,'Raw Data'!$H$4:$H$5000,"",0),"")</f>
        <v/>
      </c>
      <c r="P2736" s="9" t="str" cm="1">
        <f t="array" aca="1" ref="P2736" ca="1">IF(INDIRECT(M2736) = "","",INDIRECT(M2736))</f>
        <v/>
      </c>
      <c r="Q2736" s="359" t="s">
        <v>4380</v>
      </c>
      <c r="R2736" t="s">
        <v>4621</v>
      </c>
    </row>
    <row r="2737" spans="1:18" x14ac:dyDescent="0.35">
      <c r="A2737" t="s">
        <v>3418</v>
      </c>
      <c r="E2737" t="str">
        <f>_xlfn.XLOOKUP(F2737,'Raw Data'!$I$4:$I$5000,'Raw Data'!$D$4:$D$5000,"*** Mnemonic not found ***",0)</f>
        <v>*** Mnemonic not found ***</v>
      </c>
      <c r="F2737" t="str">
        <f t="shared" si="563"/>
        <v>SUCMRESRSK_EMEA_MSFL_C__</v>
      </c>
      <c r="H2737" s="9" t="s">
        <v>1137</v>
      </c>
      <c r="K2737" s="9">
        <f t="shared" si="564"/>
        <v>581</v>
      </c>
      <c r="L2737" s="9" t="str">
        <f t="shared" si="560"/>
        <v>O</v>
      </c>
      <c r="M2737" s="9" t="str">
        <f t="shared" si="561"/>
        <v>Input!O581</v>
      </c>
      <c r="N2737" s="9">
        <f>_xlfn.XLOOKUP(F2737,'Raw Data'!$I$4:$I$5000,'Raw Data'!$E$4:$E$5000,100,0)</f>
        <v>100</v>
      </c>
      <c r="O2737" s="9" t="str">
        <f>IF(N2737=0,_xlfn.XLOOKUP(F2737,'Raw Data'!$I$4:$I$5000,'Raw Data'!$H$4:$H$5000,"",0),"")</f>
        <v/>
      </c>
      <c r="P2737" s="9" t="str" cm="1">
        <f t="array" aca="1" ref="P2737" ca="1">IF(INDIRECT(M2737) = "","",INDIRECT(M2737))</f>
        <v/>
      </c>
      <c r="Q2737" s="359" t="s">
        <v>4380</v>
      </c>
      <c r="R2737" t="s">
        <v>4622</v>
      </c>
    </row>
    <row r="2738" spans="1:18" x14ac:dyDescent="0.35">
      <c r="A2738" t="s">
        <v>3419</v>
      </c>
      <c r="E2738" t="str">
        <f>_xlfn.XLOOKUP(F2738,'Raw Data'!$I$4:$I$5000,'Raw Data'!$D$4:$D$5000,"*** Mnemonic not found ***",0)</f>
        <v>*** Mnemonic not found ***</v>
      </c>
      <c r="F2738" t="str">
        <f t="shared" si="563"/>
        <v>SUCMRESRSK_EMEA_HMEI_C__</v>
      </c>
      <c r="H2738" s="9" t="s">
        <v>1137</v>
      </c>
      <c r="K2738" s="9">
        <f t="shared" si="564"/>
        <v>582</v>
      </c>
      <c r="L2738" s="9" t="str">
        <f t="shared" ref="L2738:L2801" si="565">L2737</f>
        <v>O</v>
      </c>
      <c r="M2738" s="9" t="str">
        <f t="shared" ref="M2738:M2801" si="566">CONCATENATE(H2738,"!",L2738,K2738)</f>
        <v>Input!O582</v>
      </c>
      <c r="N2738" s="9">
        <f>_xlfn.XLOOKUP(F2738,'Raw Data'!$I$4:$I$5000,'Raw Data'!$E$4:$E$5000,100,0)</f>
        <v>100</v>
      </c>
      <c r="O2738" s="9" t="str">
        <f>IF(N2738=0,_xlfn.XLOOKUP(F2738,'Raw Data'!$I$4:$I$5000,'Raw Data'!$H$4:$H$5000,"",0),"")</f>
        <v/>
      </c>
      <c r="P2738" s="9" t="str" cm="1">
        <f t="array" aca="1" ref="P2738" ca="1">IF(INDIRECT(M2738) = "","",INDIRECT(M2738))</f>
        <v/>
      </c>
      <c r="Q2738" s="359" t="s">
        <v>4380</v>
      </c>
      <c r="R2738" t="s">
        <v>4623</v>
      </c>
    </row>
    <row r="2739" spans="1:18" x14ac:dyDescent="0.35">
      <c r="A2739" t="s">
        <v>3420</v>
      </c>
      <c r="E2739" t="str">
        <f>_xlfn.XLOOKUP(F2739,'Raw Data'!$I$4:$I$5000,'Raw Data'!$D$4:$D$5000,"*** Mnemonic not found ***",0)</f>
        <v>*** Mnemonic not found ***</v>
      </c>
      <c r="F2739" t="str">
        <f t="shared" si="563"/>
        <v>SUCMRESRSK_EMEA_MAVT_C__</v>
      </c>
      <c r="H2739" s="9" t="s">
        <v>1137</v>
      </c>
      <c r="K2739" s="9">
        <f t="shared" si="564"/>
        <v>583</v>
      </c>
      <c r="L2739" s="9" t="str">
        <f t="shared" si="565"/>
        <v>O</v>
      </c>
      <c r="M2739" s="9" t="str">
        <f t="shared" si="566"/>
        <v>Input!O583</v>
      </c>
      <c r="N2739" s="9">
        <f>_xlfn.XLOOKUP(F2739,'Raw Data'!$I$4:$I$5000,'Raw Data'!$E$4:$E$5000,100,0)</f>
        <v>100</v>
      </c>
      <c r="O2739" s="9" t="str">
        <f>IF(N2739=0,_xlfn.XLOOKUP(F2739,'Raw Data'!$I$4:$I$5000,'Raw Data'!$H$4:$H$5000,"",0),"")</f>
        <v/>
      </c>
      <c r="P2739" s="9" t="str" cm="1">
        <f t="array" aca="1" ref="P2739" ca="1">IF(INDIRECT(M2739) = "","",INDIRECT(M2739))</f>
        <v/>
      </c>
      <c r="Q2739" s="359" t="s">
        <v>4380</v>
      </c>
      <c r="R2739" t="s">
        <v>4624</v>
      </c>
    </row>
    <row r="2740" spans="1:18" x14ac:dyDescent="0.35">
      <c r="A2740" s="694" t="s">
        <v>4358</v>
      </c>
      <c r="B2740" s="694"/>
      <c r="E2740" t="str">
        <f>_xlfn.XLOOKUP(F2740,'Raw Data'!$I$4:$I$5000,'Raw Data'!$D$4:$D$5000,"*** Mnemonic not found ***",0)</f>
        <v>*** Mnemonic not found ***</v>
      </c>
      <c r="F2740" t="str">
        <f t="shared" si="563"/>
        <v>SUCMRESRSK_EMEA_MPIN_C__</v>
      </c>
      <c r="H2740" s="9" t="s">
        <v>1137</v>
      </c>
      <c r="K2740" s="9">
        <f t="shared" si="564"/>
        <v>584</v>
      </c>
      <c r="L2740" s="9" t="str">
        <f t="shared" si="565"/>
        <v>O</v>
      </c>
      <c r="M2740" s="9" t="str">
        <f t="shared" si="566"/>
        <v>Input!O584</v>
      </c>
      <c r="N2740" s="9">
        <f>_xlfn.XLOOKUP(F2740,'Raw Data'!$I$4:$I$5000,'Raw Data'!$E$4:$E$5000,100,0)</f>
        <v>100</v>
      </c>
      <c r="O2740" s="9" t="str">
        <f>IF(N2740=0,_xlfn.XLOOKUP(F2740,'Raw Data'!$I$4:$I$5000,'Raw Data'!$H$4:$H$5000,"",0),"")</f>
        <v/>
      </c>
      <c r="P2740" s="9" t="str" cm="1">
        <f t="array" aca="1" ref="P2740" ca="1">IF(INDIRECT(M2740) = "","",INDIRECT(M2740))</f>
        <v/>
      </c>
      <c r="Q2740" s="359" t="s">
        <v>4380</v>
      </c>
      <c r="R2740" t="s">
        <v>4625</v>
      </c>
    </row>
    <row r="2741" spans="1:18" x14ac:dyDescent="0.35">
      <c r="A2741" t="s">
        <v>3421</v>
      </c>
      <c r="E2741" t="str">
        <f>_xlfn.XLOOKUP(F2741,'Raw Data'!$I$4:$I$5000,'Raw Data'!$D$4:$D$5000,"*** Mnemonic not found ***",0)</f>
        <v>*** Mnemonic not found ***</v>
      </c>
      <c r="F2741" t="str">
        <f t="shared" si="563"/>
        <v>SUCMRESRSK_EMEA_ASST_C__</v>
      </c>
      <c r="H2741" s="9" t="s">
        <v>1137</v>
      </c>
      <c r="K2741" s="9">
        <f t="shared" si="564"/>
        <v>585</v>
      </c>
      <c r="L2741" s="9" t="str">
        <f t="shared" si="565"/>
        <v>O</v>
      </c>
      <c r="M2741" s="9" t="str">
        <f t="shared" si="566"/>
        <v>Input!O585</v>
      </c>
      <c r="N2741" s="9">
        <f>_xlfn.XLOOKUP(F2741,'Raw Data'!$I$4:$I$5000,'Raw Data'!$E$4:$E$5000,100,0)</f>
        <v>100</v>
      </c>
      <c r="O2741" s="9" t="str">
        <f>IF(N2741=0,_xlfn.XLOOKUP(F2741,'Raw Data'!$I$4:$I$5000,'Raw Data'!$H$4:$H$5000,"",0),"")</f>
        <v/>
      </c>
      <c r="P2741" s="9" t="str" cm="1">
        <f t="array" aca="1" ref="P2741" ca="1">IF(INDIRECT(M2741) = "","",INDIRECT(M2741))</f>
        <v/>
      </c>
      <c r="Q2741" s="359" t="s">
        <v>4380</v>
      </c>
      <c r="R2741" t="s">
        <v>4626</v>
      </c>
    </row>
    <row r="2742" spans="1:18" x14ac:dyDescent="0.35">
      <c r="A2742" t="s">
        <v>3422</v>
      </c>
      <c r="E2742" t="str">
        <f>_xlfn.XLOOKUP(F2742,'Raw Data'!$I$4:$I$5000,'Raw Data'!$D$4:$D$5000,"*** Mnemonic not found ***",0)</f>
        <v>*** Mnemonic not found ***</v>
      </c>
      <c r="F2742" t="str">
        <f t="shared" si="563"/>
        <v>SUCMRESRSK_EMEA_INPR_C__</v>
      </c>
      <c r="H2742" s="9" t="s">
        <v>1137</v>
      </c>
      <c r="K2742" s="9">
        <f t="shared" si="564"/>
        <v>586</v>
      </c>
      <c r="L2742" s="9" t="str">
        <f t="shared" si="565"/>
        <v>O</v>
      </c>
      <c r="M2742" s="9" t="str">
        <f t="shared" si="566"/>
        <v>Input!O586</v>
      </c>
      <c r="N2742" s="9">
        <f>_xlfn.XLOOKUP(F2742,'Raw Data'!$I$4:$I$5000,'Raw Data'!$E$4:$E$5000,100,0)</f>
        <v>100</v>
      </c>
      <c r="O2742" s="9" t="str">
        <f>IF(N2742=0,_xlfn.XLOOKUP(F2742,'Raw Data'!$I$4:$I$5000,'Raw Data'!$H$4:$H$5000,"",0),"")</f>
        <v/>
      </c>
      <c r="P2742" s="9" t="str" cm="1">
        <f t="array" aca="1" ref="P2742" ca="1">IF(INDIRECT(M2742) = "","",INDIRECT(M2742))</f>
        <v/>
      </c>
      <c r="Q2742" s="359" t="s">
        <v>4380</v>
      </c>
      <c r="R2742" t="s">
        <v>4627</v>
      </c>
    </row>
    <row r="2743" spans="1:18" x14ac:dyDescent="0.35">
      <c r="A2743" t="s">
        <v>3423</v>
      </c>
      <c r="E2743" t="str">
        <f>_xlfn.XLOOKUP(F2743,'Raw Data'!$I$4:$I$5000,'Raw Data'!$D$4:$D$5000,"*** Mnemonic not found ***",0)</f>
        <v>*** Mnemonic not found ***</v>
      </c>
      <c r="F2743" t="str">
        <f t="shared" si="563"/>
        <v>SUCMRESRSK_EMEA_LEGEX_C__</v>
      </c>
      <c r="H2743" s="9" t="s">
        <v>1137</v>
      </c>
      <c r="K2743" s="9">
        <f t="shared" si="564"/>
        <v>587</v>
      </c>
      <c r="L2743" s="9" t="str">
        <f t="shared" si="565"/>
        <v>O</v>
      </c>
      <c r="M2743" s="9" t="str">
        <f t="shared" si="566"/>
        <v>Input!O587</v>
      </c>
      <c r="N2743" s="9">
        <f>_xlfn.XLOOKUP(F2743,'Raw Data'!$I$4:$I$5000,'Raw Data'!$E$4:$E$5000,100,0)</f>
        <v>100</v>
      </c>
      <c r="O2743" s="9" t="str">
        <f>IF(N2743=0,_xlfn.XLOOKUP(F2743,'Raw Data'!$I$4:$I$5000,'Raw Data'!$H$4:$H$5000,"",0),"")</f>
        <v/>
      </c>
      <c r="P2743" s="9" t="str" cm="1">
        <f t="array" aca="1" ref="P2743" ca="1">IF(INDIRECT(M2743) = "","",INDIRECT(M2743))</f>
        <v/>
      </c>
      <c r="Q2743" s="359" t="s">
        <v>4380</v>
      </c>
      <c r="R2743" t="s">
        <v>4628</v>
      </c>
    </row>
    <row r="2744" spans="1:18" x14ac:dyDescent="0.35">
      <c r="A2744" t="s">
        <v>3424</v>
      </c>
      <c r="E2744" t="str">
        <f>_xlfn.XLOOKUP(F2744,'Raw Data'!$I$4:$I$5000,'Raw Data'!$D$4:$D$5000,"*** Mnemonic not found ***",0)</f>
        <v>*** Mnemonic not found ***</v>
      </c>
      <c r="F2744" t="str">
        <f t="shared" si="563"/>
        <v>SUCMRESRSK_EMEA_OCAH_C__</v>
      </c>
      <c r="H2744" s="9" t="s">
        <v>1137</v>
      </c>
      <c r="K2744" s="9">
        <f t="shared" si="564"/>
        <v>588</v>
      </c>
      <c r="L2744" s="9" t="str">
        <f t="shared" si="565"/>
        <v>O</v>
      </c>
      <c r="M2744" s="9" t="str">
        <f t="shared" si="566"/>
        <v>Input!O588</v>
      </c>
      <c r="N2744" s="9">
        <f>_xlfn.XLOOKUP(F2744,'Raw Data'!$I$4:$I$5000,'Raw Data'!$E$4:$E$5000,100,0)</f>
        <v>100</v>
      </c>
      <c r="O2744" s="9" t="str">
        <f>IF(N2744=0,_xlfn.XLOOKUP(F2744,'Raw Data'!$I$4:$I$5000,'Raw Data'!$H$4:$H$5000,"",0),"")</f>
        <v/>
      </c>
      <c r="P2744" s="9" t="str" cm="1">
        <f t="array" aca="1" ref="P2744" ca="1">IF(INDIRECT(M2744) = "","",INDIRECT(M2744))</f>
        <v/>
      </c>
      <c r="Q2744" s="359" t="s">
        <v>4380</v>
      </c>
      <c r="R2744" t="s">
        <v>4629</v>
      </c>
    </row>
    <row r="2745" spans="1:18" x14ac:dyDescent="0.35">
      <c r="A2745" t="s">
        <v>3425</v>
      </c>
      <c r="E2745" t="str">
        <f>_xlfn.XLOOKUP(F2745,'Raw Data'!$I$4:$I$5000,'Raw Data'!$D$4:$D$5000,"*** Mnemonic not found ***",0)</f>
        <v>*** Mnemonic not found ***</v>
      </c>
      <c r="F2745" t="str">
        <f t="shared" si="563"/>
        <v>SUCMRESRSK_US_MEC_C__</v>
      </c>
      <c r="H2745" s="9" t="s">
        <v>1137</v>
      </c>
      <c r="K2745" s="9">
        <f>K2744+2</f>
        <v>590</v>
      </c>
      <c r="L2745" s="9" t="str">
        <f t="shared" si="565"/>
        <v>O</v>
      </c>
      <c r="M2745" s="9" t="str">
        <f t="shared" si="566"/>
        <v>Input!O590</v>
      </c>
      <c r="N2745" s="9">
        <f>_xlfn.XLOOKUP(F2745,'Raw Data'!$I$4:$I$5000,'Raw Data'!$E$4:$E$5000,100,0)</f>
        <v>100</v>
      </c>
      <c r="O2745" s="9" t="str">
        <f>IF(N2745=0,_xlfn.XLOOKUP(F2745,'Raw Data'!$I$4:$I$5000,'Raw Data'!$H$4:$H$5000,"",0),"")</f>
        <v/>
      </c>
      <c r="P2745" s="9" t="str" cm="1">
        <f t="array" aca="1" ref="P2745" ca="1">IF(INDIRECT(M2745) = "","",INDIRECT(M2745))</f>
        <v/>
      </c>
      <c r="Q2745" s="359" t="s">
        <v>4380</v>
      </c>
      <c r="R2745" t="s">
        <v>4630</v>
      </c>
    </row>
    <row r="2746" spans="1:18" x14ac:dyDescent="0.35">
      <c r="A2746" t="s">
        <v>3426</v>
      </c>
      <c r="E2746" t="str">
        <f>_xlfn.XLOOKUP(F2746,'Raw Data'!$I$4:$I$5000,'Raw Data'!$D$4:$D$5000,"*** Mnemonic not found ***",0)</f>
        <v>*** Mnemonic not found ***</v>
      </c>
      <c r="F2746" t="str">
        <f t="shared" si="563"/>
        <v>SUCMRESRSK_US_MEO_C__</v>
      </c>
      <c r="H2746" s="9" t="s">
        <v>1137</v>
      </c>
      <c r="K2746" s="9">
        <f t="shared" ref="K2746:K2812" si="567">K2745+1</f>
        <v>591</v>
      </c>
      <c r="L2746" s="9" t="str">
        <f t="shared" si="565"/>
        <v>O</v>
      </c>
      <c r="M2746" s="9" t="str">
        <f t="shared" si="566"/>
        <v>Input!O591</v>
      </c>
      <c r="N2746" s="9">
        <f>_xlfn.XLOOKUP(F2746,'Raw Data'!$I$4:$I$5000,'Raw Data'!$E$4:$E$5000,100,0)</f>
        <v>100</v>
      </c>
      <c r="O2746" s="9" t="str">
        <f>IF(N2746=0,_xlfn.XLOOKUP(F2746,'Raw Data'!$I$4:$I$5000,'Raw Data'!$H$4:$H$5000,"",0),"")</f>
        <v/>
      </c>
      <c r="P2746" s="9" t="str" cm="1">
        <f t="array" aca="1" ref="P2746" ca="1">IF(INDIRECT(M2746) = "","",INDIRECT(M2746))</f>
        <v/>
      </c>
      <c r="Q2746" s="359" t="s">
        <v>4380</v>
      </c>
      <c r="R2746" t="s">
        <v>4631</v>
      </c>
    </row>
    <row r="2747" spans="1:18" x14ac:dyDescent="0.35">
      <c r="A2747" t="s">
        <v>3427</v>
      </c>
      <c r="E2747" t="str">
        <f>_xlfn.XLOOKUP(F2747,'Raw Data'!$I$4:$I$5000,'Raw Data'!$D$4:$D$5000,"*** Mnemonic not found ***",0)</f>
        <v>*** Mnemonic not found ***</v>
      </c>
      <c r="F2747" t="str">
        <f t="shared" si="563"/>
        <v>SUCMRESRSK_US_OLC_C__</v>
      </c>
      <c r="H2747" s="9" t="s">
        <v>1137</v>
      </c>
      <c r="K2747" s="9">
        <f t="shared" si="567"/>
        <v>592</v>
      </c>
      <c r="L2747" s="9" t="str">
        <f t="shared" si="565"/>
        <v>O</v>
      </c>
      <c r="M2747" s="9" t="str">
        <f t="shared" si="566"/>
        <v>Input!O592</v>
      </c>
      <c r="N2747" s="9">
        <f>_xlfn.XLOOKUP(F2747,'Raw Data'!$I$4:$I$5000,'Raw Data'!$E$4:$E$5000,100,0)</f>
        <v>100</v>
      </c>
      <c r="O2747" s="9" t="str">
        <f>IF(N2747=0,_xlfn.XLOOKUP(F2747,'Raw Data'!$I$4:$I$5000,'Raw Data'!$H$4:$H$5000,"",0),"")</f>
        <v/>
      </c>
      <c r="P2747" s="9" t="str" cm="1">
        <f t="array" aca="1" ref="P2747" ca="1">IF(INDIRECT(M2747) = "","",INDIRECT(M2747))</f>
        <v/>
      </c>
      <c r="Q2747" s="359" t="s">
        <v>4380</v>
      </c>
      <c r="R2747" t="s">
        <v>4632</v>
      </c>
    </row>
    <row r="2748" spans="1:18" x14ac:dyDescent="0.35">
      <c r="A2748" t="s">
        <v>3428</v>
      </c>
      <c r="E2748" t="str">
        <f>_xlfn.XLOOKUP(F2748,'Raw Data'!$I$4:$I$5000,'Raw Data'!$D$4:$D$5000,"*** Mnemonic not found ***",0)</f>
        <v>*** Mnemonic not found ***</v>
      </c>
      <c r="F2748" t="str">
        <f t="shared" si="563"/>
        <v>SUCMRESRSK_US_OLO_C__</v>
      </c>
      <c r="H2748" s="9" t="s">
        <v>1137</v>
      </c>
      <c r="K2748" s="9">
        <f t="shared" si="567"/>
        <v>593</v>
      </c>
      <c r="L2748" s="9" t="str">
        <f t="shared" si="565"/>
        <v>O</v>
      </c>
      <c r="M2748" s="9" t="str">
        <f t="shared" si="566"/>
        <v>Input!O593</v>
      </c>
      <c r="N2748" s="9">
        <f>_xlfn.XLOOKUP(F2748,'Raw Data'!$I$4:$I$5000,'Raw Data'!$E$4:$E$5000,100,0)</f>
        <v>100</v>
      </c>
      <c r="O2748" s="9" t="str">
        <f>IF(N2748=0,_xlfn.XLOOKUP(F2748,'Raw Data'!$I$4:$I$5000,'Raw Data'!$H$4:$H$5000,"",0),"")</f>
        <v/>
      </c>
      <c r="P2748" s="9" t="str" cm="1">
        <f t="array" aca="1" ref="P2748" ca="1">IF(INDIRECT(M2748) = "","",INDIRECT(M2748))</f>
        <v/>
      </c>
      <c r="Q2748" s="359" t="s">
        <v>4380</v>
      </c>
      <c r="R2748" t="s">
        <v>4633</v>
      </c>
    </row>
    <row r="2749" spans="1:18" x14ac:dyDescent="0.35">
      <c r="A2749" t="s">
        <v>3429</v>
      </c>
      <c r="E2749" t="str">
        <f>_xlfn.XLOOKUP(F2749,'Raw Data'!$I$4:$I$5000,'Raw Data'!$D$4:$D$5000,"*** Mnemonic not found ***",0)</f>
        <v>*** Mnemonic not found ***</v>
      </c>
      <c r="F2749" t="str">
        <f t="shared" si="563"/>
        <v>SUCMRESRSK_US_PLC_C__</v>
      </c>
      <c r="H2749" s="9" t="s">
        <v>1137</v>
      </c>
      <c r="K2749" s="9">
        <f t="shared" si="567"/>
        <v>594</v>
      </c>
      <c r="L2749" s="9" t="str">
        <f t="shared" si="565"/>
        <v>O</v>
      </c>
      <c r="M2749" s="9" t="str">
        <f t="shared" si="566"/>
        <v>Input!O594</v>
      </c>
      <c r="N2749" s="9">
        <f>_xlfn.XLOOKUP(F2749,'Raw Data'!$I$4:$I$5000,'Raw Data'!$E$4:$E$5000,100,0)</f>
        <v>100</v>
      </c>
      <c r="O2749" s="9" t="str">
        <f>IF(N2749=0,_xlfn.XLOOKUP(F2749,'Raw Data'!$I$4:$I$5000,'Raw Data'!$H$4:$H$5000,"",0),"")</f>
        <v/>
      </c>
      <c r="P2749" s="9" t="str" cm="1">
        <f t="array" aca="1" ref="P2749" ca="1">IF(INDIRECT(M2749) = "","",INDIRECT(M2749))</f>
        <v/>
      </c>
      <c r="Q2749" s="359" t="s">
        <v>4380</v>
      </c>
      <c r="R2749" t="s">
        <v>4634</v>
      </c>
    </row>
    <row r="2750" spans="1:18" x14ac:dyDescent="0.35">
      <c r="A2750" t="s">
        <v>3430</v>
      </c>
      <c r="E2750" t="str">
        <f>_xlfn.XLOOKUP(F2750,'Raw Data'!$I$4:$I$5000,'Raw Data'!$D$4:$D$5000,"*** Mnemonic not found ***",0)</f>
        <v>*** Mnemonic not found ***</v>
      </c>
      <c r="F2750" t="str">
        <f t="shared" si="563"/>
        <v>SUCMRESRSK_US_PLO_C__</v>
      </c>
      <c r="H2750" s="9" t="s">
        <v>1137</v>
      </c>
      <c r="K2750" s="9">
        <f t="shared" si="567"/>
        <v>595</v>
      </c>
      <c r="L2750" s="9" t="str">
        <f t="shared" si="565"/>
        <v>O</v>
      </c>
      <c r="M2750" s="9" t="str">
        <f t="shared" si="566"/>
        <v>Input!O595</v>
      </c>
      <c r="N2750" s="9">
        <f>_xlfn.XLOOKUP(F2750,'Raw Data'!$I$4:$I$5000,'Raw Data'!$E$4:$E$5000,100,0)</f>
        <v>100</v>
      </c>
      <c r="O2750" s="9" t="str">
        <f>IF(N2750=0,_xlfn.XLOOKUP(F2750,'Raw Data'!$I$4:$I$5000,'Raw Data'!$H$4:$H$5000,"",0),"")</f>
        <v/>
      </c>
      <c r="P2750" s="9" t="str" cm="1">
        <f t="array" aca="1" ref="P2750" ca="1">IF(INDIRECT(M2750) = "","",INDIRECT(M2750))</f>
        <v/>
      </c>
      <c r="Q2750" s="359" t="s">
        <v>4380</v>
      </c>
      <c r="R2750" t="s">
        <v>4635</v>
      </c>
    </row>
    <row r="2751" spans="1:18" x14ac:dyDescent="0.35">
      <c r="A2751" t="s">
        <v>3431</v>
      </c>
      <c r="E2751" t="str">
        <f>_xlfn.XLOOKUP(F2751,'Raw Data'!$I$4:$I$5000,'Raw Data'!$D$4:$D$5000,"*** Mnemonic not found ***",0)</f>
        <v>*** Mnemonic not found ***</v>
      </c>
      <c r="F2751" t="str">
        <f t="shared" si="563"/>
        <v>SUCMRESRSK_US_WCP_C__</v>
      </c>
      <c r="H2751" s="9" t="s">
        <v>1137</v>
      </c>
      <c r="K2751" s="9">
        <f t="shared" si="567"/>
        <v>596</v>
      </c>
      <c r="L2751" s="9" t="str">
        <f t="shared" si="565"/>
        <v>O</v>
      </c>
      <c r="M2751" s="9" t="str">
        <f t="shared" si="566"/>
        <v>Input!O596</v>
      </c>
      <c r="N2751" s="9">
        <f>_xlfn.XLOOKUP(F2751,'Raw Data'!$I$4:$I$5000,'Raw Data'!$E$4:$E$5000,100,0)</f>
        <v>100</v>
      </c>
      <c r="O2751" s="9" t="str">
        <f>IF(N2751=0,_xlfn.XLOOKUP(F2751,'Raw Data'!$I$4:$I$5000,'Raw Data'!$H$4:$H$5000,"",0),"")</f>
        <v/>
      </c>
      <c r="P2751" s="9" t="str" cm="1">
        <f t="array" aca="1" ref="P2751" ca="1">IF(INDIRECT(M2751) = "","",INDIRECT(M2751))</f>
        <v/>
      </c>
      <c r="Q2751" s="359" t="s">
        <v>4380</v>
      </c>
      <c r="R2751" t="s">
        <v>4636</v>
      </c>
    </row>
    <row r="2752" spans="1:18" x14ac:dyDescent="0.35">
      <c r="A2752" t="s">
        <v>3432</v>
      </c>
      <c r="E2752" t="str">
        <f>_xlfn.XLOOKUP(F2752,'Raw Data'!$I$4:$I$5000,'Raw Data'!$D$4:$D$5000,"*** Mnemonic not found ***",0)</f>
        <v>*** Mnemonic not found ***</v>
      </c>
      <c r="F2752" t="str">
        <f t="shared" si="563"/>
        <v>SUCMRESRSK_US_BLM_C__</v>
      </c>
      <c r="H2752" s="9" t="s">
        <v>1137</v>
      </c>
      <c r="K2752" s="9">
        <f t="shared" si="567"/>
        <v>597</v>
      </c>
      <c r="L2752" s="9" t="str">
        <f t="shared" si="565"/>
        <v>O</v>
      </c>
      <c r="M2752" s="9" t="str">
        <f t="shared" si="566"/>
        <v>Input!O597</v>
      </c>
      <c r="N2752" s="9">
        <f>_xlfn.XLOOKUP(F2752,'Raw Data'!$I$4:$I$5000,'Raw Data'!$E$4:$E$5000,100,0)</f>
        <v>100</v>
      </c>
      <c r="O2752" s="9" t="str">
        <f>IF(N2752=0,_xlfn.XLOOKUP(F2752,'Raw Data'!$I$4:$I$5000,'Raw Data'!$H$4:$H$5000,"",0),"")</f>
        <v/>
      </c>
      <c r="P2752" s="9" t="str" cm="1">
        <f t="array" aca="1" ref="P2752" ca="1">IF(INDIRECT(M2752) = "","",INDIRECT(M2752))</f>
        <v/>
      </c>
      <c r="Q2752" s="359" t="s">
        <v>4380</v>
      </c>
      <c r="R2752" t="s">
        <v>4637</v>
      </c>
    </row>
    <row r="2753" spans="1:18" x14ac:dyDescent="0.35">
      <c r="A2753" t="s">
        <v>3433</v>
      </c>
      <c r="E2753" t="str">
        <f>_xlfn.XLOOKUP(F2753,'Raw Data'!$I$4:$I$5000,'Raw Data'!$D$4:$D$5000,"*** Mnemonic not found ***",0)</f>
        <v>*** Mnemonic not found ***</v>
      </c>
      <c r="F2753" t="str">
        <f t="shared" si="563"/>
        <v>SUCMRESRSK_US_CMP_C__</v>
      </c>
      <c r="H2753" s="9" t="s">
        <v>1137</v>
      </c>
      <c r="K2753" s="9">
        <f t="shared" si="567"/>
        <v>598</v>
      </c>
      <c r="L2753" s="9" t="str">
        <f t="shared" si="565"/>
        <v>O</v>
      </c>
      <c r="M2753" s="9" t="str">
        <f t="shared" si="566"/>
        <v>Input!O598</v>
      </c>
      <c r="N2753" s="9">
        <f>_xlfn.XLOOKUP(F2753,'Raw Data'!$I$4:$I$5000,'Raw Data'!$E$4:$E$5000,100,0)</f>
        <v>100</v>
      </c>
      <c r="O2753" s="9" t="str">
        <f>IF(N2753=0,_xlfn.XLOOKUP(F2753,'Raw Data'!$I$4:$I$5000,'Raw Data'!$H$4:$H$5000,"",0),"")</f>
        <v/>
      </c>
      <c r="P2753" s="9" t="str" cm="1">
        <f t="array" aca="1" ref="P2753" ca="1">IF(INDIRECT(M2753) = "","",INDIRECT(M2753))</f>
        <v/>
      </c>
      <c r="Q2753" s="359" t="s">
        <v>4380</v>
      </c>
      <c r="R2753" t="s">
        <v>4638</v>
      </c>
    </row>
    <row r="2754" spans="1:18" x14ac:dyDescent="0.35">
      <c r="A2754" t="s">
        <v>3434</v>
      </c>
      <c r="E2754" t="str">
        <f>_xlfn.XLOOKUP(F2754,'Raw Data'!$I$4:$I$5000,'Raw Data'!$D$4:$D$5000,"*** Mnemonic not found ***",0)</f>
        <v>*** Mnemonic not found ***</v>
      </c>
      <c r="F2754" t="str">
        <f t="shared" si="563"/>
        <v>SUCMRESRSK_US_HFM_C__</v>
      </c>
      <c r="H2754" s="9" t="s">
        <v>1137</v>
      </c>
      <c r="K2754" s="9">
        <f t="shared" si="567"/>
        <v>599</v>
      </c>
      <c r="L2754" s="9" t="str">
        <f t="shared" si="565"/>
        <v>O</v>
      </c>
      <c r="M2754" s="9" t="str">
        <f t="shared" si="566"/>
        <v>Input!O599</v>
      </c>
      <c r="N2754" s="9">
        <f>_xlfn.XLOOKUP(F2754,'Raw Data'!$I$4:$I$5000,'Raw Data'!$E$4:$E$5000,100,0)</f>
        <v>100</v>
      </c>
      <c r="O2754" s="9" t="str">
        <f>IF(N2754=0,_xlfn.XLOOKUP(F2754,'Raw Data'!$I$4:$I$5000,'Raw Data'!$H$4:$H$5000,"",0),"")</f>
        <v/>
      </c>
      <c r="P2754" s="9" t="str" cm="1">
        <f t="array" aca="1" ref="P2754" ca="1">IF(INDIRECT(M2754) = "","",INDIRECT(M2754))</f>
        <v/>
      </c>
      <c r="Q2754" s="359" t="s">
        <v>4380</v>
      </c>
      <c r="R2754" t="s">
        <v>4639</v>
      </c>
    </row>
    <row r="2755" spans="1:18" x14ac:dyDescent="0.35">
      <c r="A2755" t="s">
        <v>3435</v>
      </c>
      <c r="E2755" t="str">
        <f>_xlfn.XLOOKUP(F2755,'Raw Data'!$I$4:$I$5000,'Raw Data'!$D$4:$D$5000,"*** Mnemonic not found ***",0)</f>
        <v>*** Mnemonic not found ***</v>
      </c>
      <c r="F2755" t="str">
        <f t="shared" si="563"/>
        <v>SUCMRESRSK_US_SPP_C__</v>
      </c>
      <c r="H2755" s="9" t="s">
        <v>1137</v>
      </c>
      <c r="K2755" s="9">
        <f t="shared" si="567"/>
        <v>600</v>
      </c>
      <c r="L2755" s="9" t="str">
        <f t="shared" si="565"/>
        <v>O</v>
      </c>
      <c r="M2755" s="9" t="str">
        <f t="shared" si="566"/>
        <v>Input!O600</v>
      </c>
      <c r="N2755" s="9">
        <f>_xlfn.XLOOKUP(F2755,'Raw Data'!$I$4:$I$5000,'Raw Data'!$E$4:$E$5000,100,0)</f>
        <v>100</v>
      </c>
      <c r="O2755" s="9" t="str">
        <f>IF(N2755=0,_xlfn.XLOOKUP(F2755,'Raw Data'!$I$4:$I$5000,'Raw Data'!$H$4:$H$5000,"",0),"")</f>
        <v/>
      </c>
      <c r="P2755" s="9" t="str" cm="1">
        <f t="array" aca="1" ref="P2755" ca="1">IF(INDIRECT(M2755) = "","",INDIRECT(M2755))</f>
        <v/>
      </c>
      <c r="Q2755" s="359" t="s">
        <v>4380</v>
      </c>
      <c r="R2755" t="s">
        <v>4640</v>
      </c>
    </row>
    <row r="2756" spans="1:18" x14ac:dyDescent="0.35">
      <c r="A2756" t="s">
        <v>3436</v>
      </c>
      <c r="E2756" t="str">
        <f>_xlfn.XLOOKUP(F2756,'Raw Data'!$I$4:$I$5000,'Raw Data'!$D$4:$D$5000,"*** Mnemonic not found ***",0)</f>
        <v>*** Mnemonic not found ***</v>
      </c>
      <c r="F2756" t="str">
        <f t="shared" si="563"/>
        <v>SUCMRESRSK_US_APB_C__</v>
      </c>
      <c r="H2756" s="9" t="s">
        <v>1137</v>
      </c>
      <c r="K2756" s="9">
        <f t="shared" si="567"/>
        <v>601</v>
      </c>
      <c r="L2756" s="9" t="str">
        <f t="shared" si="565"/>
        <v>O</v>
      </c>
      <c r="M2756" s="9" t="str">
        <f t="shared" si="566"/>
        <v>Input!O601</v>
      </c>
      <c r="N2756" s="9">
        <f>_xlfn.XLOOKUP(F2756,'Raw Data'!$I$4:$I$5000,'Raw Data'!$E$4:$E$5000,100,0)</f>
        <v>100</v>
      </c>
      <c r="O2756" s="9" t="str">
        <f>IF(N2756=0,_xlfn.XLOOKUP(F2756,'Raw Data'!$I$4:$I$5000,'Raw Data'!$H$4:$H$5000,"",0),"")</f>
        <v/>
      </c>
      <c r="P2756" s="9" t="str" cm="1">
        <f t="array" aca="1" ref="P2756" ca="1">IF(INDIRECT(M2756) = "","",INDIRECT(M2756))</f>
        <v/>
      </c>
      <c r="Q2756" s="359" t="s">
        <v>4380</v>
      </c>
      <c r="R2756" t="s">
        <v>4641</v>
      </c>
    </row>
    <row r="2757" spans="1:18" x14ac:dyDescent="0.35">
      <c r="A2757" t="s">
        <v>3437</v>
      </c>
      <c r="E2757" t="str">
        <f>_xlfn.XLOOKUP(F2757,'Raw Data'!$I$4:$I$5000,'Raw Data'!$D$4:$D$5000,"*** Mnemonic not found ***",0)</f>
        <v>*** Mnemonic not found ***</v>
      </c>
      <c r="F2757" t="str">
        <f t="shared" si="563"/>
        <v>SUCMRESRSK_US_CAL_C__</v>
      </c>
      <c r="H2757" s="9" t="s">
        <v>1137</v>
      </c>
      <c r="K2757" s="9">
        <f t="shared" si="567"/>
        <v>602</v>
      </c>
      <c r="L2757" s="9" t="str">
        <f t="shared" si="565"/>
        <v>O</v>
      </c>
      <c r="M2757" s="9" t="str">
        <f t="shared" si="566"/>
        <v>Input!O602</v>
      </c>
      <c r="N2757" s="9">
        <f>_xlfn.XLOOKUP(F2757,'Raw Data'!$I$4:$I$5000,'Raw Data'!$E$4:$E$5000,100,0)</f>
        <v>100</v>
      </c>
      <c r="O2757" s="9" t="str">
        <f>IF(N2757=0,_xlfn.XLOOKUP(F2757,'Raw Data'!$I$4:$I$5000,'Raw Data'!$H$4:$H$5000,"",0),"")</f>
        <v/>
      </c>
      <c r="P2757" s="9" t="str" cm="1">
        <f t="array" aca="1" ref="P2757" ca="1">IF(INDIRECT(M2757) = "","",INDIRECT(M2757))</f>
        <v/>
      </c>
      <c r="Q2757" s="359" t="s">
        <v>4380</v>
      </c>
      <c r="R2757" t="s">
        <v>4642</v>
      </c>
    </row>
    <row r="2758" spans="1:18" x14ac:dyDescent="0.35">
      <c r="A2758" t="s">
        <v>3438</v>
      </c>
      <c r="E2758" t="str">
        <f>_xlfn.XLOOKUP(F2758,'Raw Data'!$I$4:$I$5000,'Raw Data'!$D$4:$D$5000,"*** Mnemonic not found ***",0)</f>
        <v>*** Mnemonic not found ***</v>
      </c>
      <c r="F2758" t="str">
        <f t="shared" si="563"/>
        <v>SUCMRESRSK_US_PPA_C__</v>
      </c>
      <c r="H2758" s="9" t="s">
        <v>1137</v>
      </c>
      <c r="K2758" s="9">
        <f t="shared" si="567"/>
        <v>603</v>
      </c>
      <c r="L2758" s="9" t="str">
        <f t="shared" si="565"/>
        <v>O</v>
      </c>
      <c r="M2758" s="9" t="str">
        <f t="shared" si="566"/>
        <v>Input!O603</v>
      </c>
      <c r="N2758" s="9">
        <f>_xlfn.XLOOKUP(F2758,'Raw Data'!$I$4:$I$5000,'Raw Data'!$E$4:$E$5000,100,0)</f>
        <v>100</v>
      </c>
      <c r="O2758" s="9" t="str">
        <f>IF(N2758=0,_xlfn.XLOOKUP(F2758,'Raw Data'!$I$4:$I$5000,'Raw Data'!$H$4:$H$5000,"",0),"")</f>
        <v/>
      </c>
      <c r="P2758" s="9" t="str" cm="1">
        <f t="array" aca="1" ref="P2758" ca="1">IF(INDIRECT(M2758) = "","",INDIRECT(M2758))</f>
        <v/>
      </c>
      <c r="Q2758" s="359" t="s">
        <v>4380</v>
      </c>
      <c r="R2758" t="s">
        <v>4643</v>
      </c>
    </row>
    <row r="2759" spans="1:18" x14ac:dyDescent="0.35">
      <c r="A2759" t="s">
        <v>3439</v>
      </c>
      <c r="E2759" t="str">
        <f>_xlfn.XLOOKUP(F2759,'Raw Data'!$I$4:$I$5000,'Raw Data'!$D$4:$D$5000,"*** Mnemonic not found ***",0)</f>
        <v>*** Mnemonic not found ***</v>
      </c>
      <c r="F2759" t="str">
        <f t="shared" si="563"/>
        <v>SUCMRESRSK_US_CRD_C__</v>
      </c>
      <c r="H2759" s="9" t="s">
        <v>1137</v>
      </c>
      <c r="K2759" s="9">
        <f t="shared" si="567"/>
        <v>604</v>
      </c>
      <c r="L2759" s="9" t="str">
        <f t="shared" si="565"/>
        <v>O</v>
      </c>
      <c r="M2759" s="9" t="str">
        <f t="shared" si="566"/>
        <v>Input!O604</v>
      </c>
      <c r="N2759" s="9">
        <f>_xlfn.XLOOKUP(F2759,'Raw Data'!$I$4:$I$5000,'Raw Data'!$E$4:$E$5000,100,0)</f>
        <v>100</v>
      </c>
      <c r="O2759" s="9" t="str">
        <f>IF(N2759=0,_xlfn.XLOOKUP(F2759,'Raw Data'!$I$4:$I$5000,'Raw Data'!$H$4:$H$5000,"",0),"")</f>
        <v/>
      </c>
      <c r="P2759" s="9" t="str" cm="1">
        <f t="array" aca="1" ref="P2759" ca="1">IF(INDIRECT(M2759) = "","",INDIRECT(M2759))</f>
        <v/>
      </c>
      <c r="Q2759" s="359" t="s">
        <v>4380</v>
      </c>
      <c r="R2759" t="s">
        <v>4644</v>
      </c>
    </row>
    <row r="2760" spans="1:18" x14ac:dyDescent="0.35">
      <c r="A2760" t="s">
        <v>3440</v>
      </c>
      <c r="E2760" t="str">
        <f>_xlfn.XLOOKUP(F2760,'Raw Data'!$I$4:$I$5000,'Raw Data'!$D$4:$D$5000,"*** Mnemonic not found ***",0)</f>
        <v>*** Mnemonic not found ***</v>
      </c>
      <c r="F2760" t="str">
        <f t="shared" si="563"/>
        <v>SUCMRESRSK_US_FIDSUR_C__</v>
      </c>
      <c r="H2760" s="9" t="s">
        <v>1137</v>
      </c>
      <c r="K2760" s="9">
        <f t="shared" si="567"/>
        <v>605</v>
      </c>
      <c r="L2760" s="9" t="str">
        <f t="shared" si="565"/>
        <v>O</v>
      </c>
      <c r="M2760" s="9" t="str">
        <f t="shared" si="566"/>
        <v>Input!O605</v>
      </c>
      <c r="N2760" s="9">
        <f>_xlfn.XLOOKUP(F2760,'Raw Data'!$I$4:$I$5000,'Raw Data'!$E$4:$E$5000,100,0)</f>
        <v>100</v>
      </c>
      <c r="O2760" s="9" t="str">
        <f>IF(N2760=0,_xlfn.XLOOKUP(F2760,'Raw Data'!$I$4:$I$5000,'Raw Data'!$H$4:$H$5000,"",0),"")</f>
        <v/>
      </c>
      <c r="P2760" s="9" t="str" cm="1">
        <f t="array" aca="1" ref="P2760" ca="1">IF(INDIRECT(M2760) = "","",INDIRECT(M2760))</f>
        <v/>
      </c>
      <c r="Q2760" s="359" t="s">
        <v>4380</v>
      </c>
      <c r="R2760" t="s">
        <v>4645</v>
      </c>
    </row>
    <row r="2761" spans="1:18" x14ac:dyDescent="0.35">
      <c r="A2761" t="s">
        <v>3441</v>
      </c>
      <c r="E2761" t="str">
        <f>_xlfn.XLOOKUP(F2761,'Raw Data'!$I$4:$I$5000,'Raw Data'!$D$4:$D$5000,"*** Mnemonic not found ***",0)</f>
        <v>*** Mnemonic not found ***</v>
      </c>
      <c r="F2761" t="str">
        <f t="shared" si="563"/>
        <v>SUCMRESRSK_US_FIG_C__</v>
      </c>
      <c r="H2761" s="9" t="s">
        <v>1137</v>
      </c>
      <c r="K2761" s="9">
        <f t="shared" si="567"/>
        <v>606</v>
      </c>
      <c r="L2761" s="9" t="str">
        <f t="shared" si="565"/>
        <v>O</v>
      </c>
      <c r="M2761" s="9" t="str">
        <f t="shared" si="566"/>
        <v>Input!O606</v>
      </c>
      <c r="N2761" s="9">
        <f>_xlfn.XLOOKUP(F2761,'Raw Data'!$I$4:$I$5000,'Raw Data'!$E$4:$E$5000,100,0)</f>
        <v>100</v>
      </c>
      <c r="O2761" s="9" t="str">
        <f>IF(N2761=0,_xlfn.XLOOKUP(F2761,'Raw Data'!$I$4:$I$5000,'Raw Data'!$H$4:$H$5000,"",0),"")</f>
        <v/>
      </c>
      <c r="P2761" s="9" t="str" cm="1">
        <f t="array" aca="1" ref="P2761" ca="1">IF(INDIRECT(M2761) = "","",INDIRECT(M2761))</f>
        <v/>
      </c>
      <c r="Q2761" s="359" t="s">
        <v>4380</v>
      </c>
      <c r="R2761" t="s">
        <v>4646</v>
      </c>
    </row>
    <row r="2762" spans="1:18" x14ac:dyDescent="0.35">
      <c r="A2762" t="s">
        <v>3443</v>
      </c>
      <c r="E2762" t="str">
        <f>_xlfn.XLOOKUP(F2762,'Raw Data'!$I$4:$I$5000,'Raw Data'!$D$4:$D$5000,"*** Mnemonic not found ***",0)</f>
        <v>*** Mnemonic not found ***</v>
      </c>
      <c r="F2762" t="str">
        <f t="shared" si="563"/>
        <v>SUCMRESRSK_US_AAH_C__</v>
      </c>
      <c r="H2762" s="9" t="s">
        <v>1137</v>
      </c>
      <c r="K2762" s="9">
        <f t="shared" si="567"/>
        <v>607</v>
      </c>
      <c r="L2762" s="9" t="str">
        <f t="shared" si="565"/>
        <v>O</v>
      </c>
      <c r="M2762" s="9" t="str">
        <f t="shared" si="566"/>
        <v>Input!O607</v>
      </c>
      <c r="N2762" s="9">
        <f>_xlfn.XLOOKUP(F2762,'Raw Data'!$I$4:$I$5000,'Raw Data'!$E$4:$E$5000,100,0)</f>
        <v>100</v>
      </c>
      <c r="O2762" s="9" t="str">
        <f>IF(N2762=0,_xlfn.XLOOKUP(F2762,'Raw Data'!$I$4:$I$5000,'Raw Data'!$H$4:$H$5000,"",0),"")</f>
        <v/>
      </c>
      <c r="P2762" s="9" t="str" cm="1">
        <f t="array" aca="1" ref="P2762" ca="1">IF(INDIRECT(M2762) = "","",INDIRECT(M2762))</f>
        <v/>
      </c>
      <c r="Q2762" s="359" t="s">
        <v>4380</v>
      </c>
      <c r="R2762" t="s">
        <v>4647</v>
      </c>
    </row>
    <row r="2763" spans="1:18" x14ac:dyDescent="0.35">
      <c r="A2763" t="s">
        <v>3444</v>
      </c>
      <c r="E2763" t="str">
        <f>_xlfn.XLOOKUP(F2763,'Raw Data'!$I$4:$I$5000,'Raw Data'!$D$4:$D$5000,"*** Mnemonic not found ***",0)</f>
        <v>*** Mnemonic not found ***</v>
      </c>
      <c r="F2763" t="str">
        <f t="shared" si="563"/>
        <v>SUCMRESRSK_US_OLBF_C__</v>
      </c>
      <c r="H2763" s="9" t="s">
        <v>1137</v>
      </c>
      <c r="K2763" s="9">
        <f t="shared" si="567"/>
        <v>608</v>
      </c>
      <c r="L2763" s="9" t="str">
        <f t="shared" si="565"/>
        <v>O</v>
      </c>
      <c r="M2763" s="9" t="str">
        <f t="shared" si="566"/>
        <v>Input!O608</v>
      </c>
      <c r="N2763" s="9">
        <f>_xlfn.XLOOKUP(F2763,'Raw Data'!$I$4:$I$5000,'Raw Data'!$E$4:$E$5000,100,0)</f>
        <v>100</v>
      </c>
      <c r="O2763" s="9" t="str">
        <f>IF(N2763=0,_xlfn.XLOOKUP(F2763,'Raw Data'!$I$4:$I$5000,'Raw Data'!$H$4:$H$5000,"",0),"")</f>
        <v/>
      </c>
      <c r="P2763" s="9" t="str" cm="1">
        <f t="array" aca="1" ref="P2763" ca="1">IF(INDIRECT(M2763) = "","",INDIRECT(M2763))</f>
        <v/>
      </c>
      <c r="Q2763" s="359" t="s">
        <v>4380</v>
      </c>
      <c r="R2763" t="s">
        <v>4648</v>
      </c>
    </row>
    <row r="2764" spans="1:18" x14ac:dyDescent="0.35">
      <c r="A2764" t="s">
        <v>3445</v>
      </c>
      <c r="E2764" t="str">
        <f>_xlfn.XLOOKUP(F2764,'Raw Data'!$I$4:$I$5000,'Raw Data'!$D$4:$D$5000,"*** Mnemonic not found ***",0)</f>
        <v>*** Mnemonic not found ***</v>
      </c>
      <c r="F2764" t="str">
        <f t="shared" si="563"/>
        <v>SUCMRESRSK_US_AIR_C__</v>
      </c>
      <c r="H2764" s="9" t="s">
        <v>1137</v>
      </c>
      <c r="K2764" s="9">
        <f t="shared" si="567"/>
        <v>609</v>
      </c>
      <c r="L2764" s="9" t="str">
        <f t="shared" si="565"/>
        <v>O</v>
      </c>
      <c r="M2764" s="9" t="str">
        <f t="shared" si="566"/>
        <v>Input!O609</v>
      </c>
      <c r="N2764" s="9">
        <f>_xlfn.XLOOKUP(F2764,'Raw Data'!$I$4:$I$5000,'Raw Data'!$E$4:$E$5000,100,0)</f>
        <v>100</v>
      </c>
      <c r="O2764" s="9" t="str">
        <f>IF(N2764=0,_xlfn.XLOOKUP(F2764,'Raw Data'!$I$4:$I$5000,'Raw Data'!$H$4:$H$5000,"",0),"")</f>
        <v/>
      </c>
      <c r="P2764" s="9" t="str" cm="1">
        <f t="array" aca="1" ref="P2764" ca="1">IF(INDIRECT(M2764) = "","",INDIRECT(M2764))</f>
        <v/>
      </c>
      <c r="Q2764" s="359" t="s">
        <v>4380</v>
      </c>
      <c r="R2764" t="s">
        <v>4649</v>
      </c>
    </row>
    <row r="2765" spans="1:18" x14ac:dyDescent="0.35">
      <c r="A2765" s="694" t="s">
        <v>4359</v>
      </c>
      <c r="B2765" s="694"/>
      <c r="E2765" t="str">
        <f>_xlfn.XLOOKUP(F2765,'Raw Data'!$I$4:$I$5000,'Raw Data'!$D$4:$D$5000,"*** Mnemonic not found ***",0)</f>
        <v>*** Mnemonic not found ***</v>
      </c>
      <c r="F2765" t="str">
        <f t="shared" si="563"/>
        <v>SUCMRESRSK_US_MPIN_C__</v>
      </c>
      <c r="H2765" s="9" t="s">
        <v>1137</v>
      </c>
      <c r="K2765" s="9">
        <f t="shared" si="567"/>
        <v>610</v>
      </c>
      <c r="L2765" s="9" t="str">
        <f t="shared" si="565"/>
        <v>O</v>
      </c>
      <c r="M2765" s="9" t="str">
        <f t="shared" si="566"/>
        <v>Input!O610</v>
      </c>
      <c r="N2765" s="9">
        <f>_xlfn.XLOOKUP(F2765,'Raw Data'!$I$4:$I$5000,'Raw Data'!$E$4:$E$5000,100,0)</f>
        <v>100</v>
      </c>
      <c r="O2765" s="9" t="str">
        <f>IF(N2765=0,_xlfn.XLOOKUP(F2765,'Raw Data'!$I$4:$I$5000,'Raw Data'!$H$4:$H$5000,"",0),"")</f>
        <v/>
      </c>
      <c r="P2765" s="9" t="str" cm="1">
        <f t="array" aca="1" ref="P2765" ca="1">IF(INDIRECT(M2765) = "","",INDIRECT(M2765))</f>
        <v/>
      </c>
      <c r="Q2765" s="359" t="s">
        <v>4380</v>
      </c>
      <c r="R2765" t="s">
        <v>4650</v>
      </c>
    </row>
    <row r="2766" spans="1:18" x14ac:dyDescent="0.35">
      <c r="A2766" t="s">
        <v>3446</v>
      </c>
      <c r="E2766" t="str">
        <f>_xlfn.XLOOKUP(F2766,'Raw Data'!$I$4:$I$5000,'Raw Data'!$D$4:$D$5000,"*** Mnemonic not found ***",0)</f>
        <v>*** Mnemonic not found ***</v>
      </c>
      <c r="F2766" t="str">
        <f t="shared" ref="F2766:F2829" si="568">CONCATENATE(A2766,"_",B2766,"_",D2766)</f>
        <v>SUCMRESRSK_US_OCM_C__</v>
      </c>
      <c r="H2766" s="9" t="s">
        <v>1137</v>
      </c>
      <c r="K2766" s="9">
        <f t="shared" si="567"/>
        <v>611</v>
      </c>
      <c r="L2766" s="9" t="str">
        <f t="shared" si="565"/>
        <v>O</v>
      </c>
      <c r="M2766" s="9" t="str">
        <f t="shared" si="566"/>
        <v>Input!O611</v>
      </c>
      <c r="N2766" s="9">
        <f>_xlfn.XLOOKUP(F2766,'Raw Data'!$I$4:$I$5000,'Raw Data'!$E$4:$E$5000,100,0)</f>
        <v>100</v>
      </c>
      <c r="O2766" s="9" t="str">
        <f>IF(N2766=0,_xlfn.XLOOKUP(F2766,'Raw Data'!$I$4:$I$5000,'Raw Data'!$H$4:$H$5000,"",0),"")</f>
        <v/>
      </c>
      <c r="P2766" s="9" t="str" cm="1">
        <f t="array" aca="1" ref="P2766" ca="1">IF(INDIRECT(M2766) = "","",INDIRECT(M2766))</f>
        <v/>
      </c>
      <c r="Q2766" s="359" t="s">
        <v>4380</v>
      </c>
      <c r="R2766" t="s">
        <v>4651</v>
      </c>
    </row>
    <row r="2767" spans="1:18" x14ac:dyDescent="0.35">
      <c r="A2767" t="s">
        <v>3442</v>
      </c>
      <c r="E2767" t="str">
        <f>_xlfn.XLOOKUP(F2767,'Raw Data'!$I$4:$I$5000,'Raw Data'!$D$4:$D$5000,"*** Mnemonic not found ***",0)</f>
        <v>*** Mnemonic not found ***</v>
      </c>
      <c r="F2767" t="str">
        <f t="shared" si="568"/>
        <v>SUCMRESRSK_US_TITLE_C__</v>
      </c>
      <c r="H2767" s="9" t="s">
        <v>1137</v>
      </c>
      <c r="K2767" s="9">
        <f t="shared" si="567"/>
        <v>612</v>
      </c>
      <c r="L2767" s="9" t="str">
        <f t="shared" si="565"/>
        <v>O</v>
      </c>
      <c r="M2767" s="9" t="str">
        <f t="shared" si="566"/>
        <v>Input!O612</v>
      </c>
      <c r="N2767" s="9">
        <f>_xlfn.XLOOKUP(F2767,'Raw Data'!$I$4:$I$5000,'Raw Data'!$E$4:$E$5000,100,0)</f>
        <v>100</v>
      </c>
      <c r="O2767" s="9" t="str">
        <f>IF(N2767=0,_xlfn.XLOOKUP(F2767,'Raw Data'!$I$4:$I$5000,'Raw Data'!$H$4:$H$5000,"",0),"")</f>
        <v/>
      </c>
      <c r="P2767" s="9" t="str" cm="1">
        <f t="array" aca="1" ref="P2767" ca="1">IF(INDIRECT(M2767) = "","",INDIRECT(M2767))</f>
        <v/>
      </c>
      <c r="Q2767" s="359" t="s">
        <v>4380</v>
      </c>
      <c r="R2767" t="s">
        <v>4652</v>
      </c>
    </row>
    <row r="2768" spans="1:18" x14ac:dyDescent="0.35">
      <c r="A2768" t="s">
        <v>3447</v>
      </c>
      <c r="E2768" t="str">
        <f>_xlfn.XLOOKUP(F2768,'Raw Data'!$I$4:$I$5000,'Raw Data'!$D$4:$D$5000,"*** Mnemonic not found ***",0)</f>
        <v>*** Mnemonic not found ***</v>
      </c>
      <c r="F2768" t="str">
        <f t="shared" si="568"/>
        <v>SUCMRESRSK_US_WAR_C__</v>
      </c>
      <c r="H2768" s="9" t="s">
        <v>1137</v>
      </c>
      <c r="K2768" s="9">
        <f t="shared" si="567"/>
        <v>613</v>
      </c>
      <c r="L2768" s="9" t="str">
        <f t="shared" si="565"/>
        <v>O</v>
      </c>
      <c r="M2768" s="9" t="str">
        <f t="shared" si="566"/>
        <v>Input!O613</v>
      </c>
      <c r="N2768" s="9">
        <f>_xlfn.XLOOKUP(F2768,'Raw Data'!$I$4:$I$5000,'Raw Data'!$E$4:$E$5000,100,0)</f>
        <v>100</v>
      </c>
      <c r="O2768" s="9" t="str">
        <f>IF(N2768=0,_xlfn.XLOOKUP(F2768,'Raw Data'!$I$4:$I$5000,'Raw Data'!$H$4:$H$5000,"",0),"")</f>
        <v/>
      </c>
      <c r="P2768" s="9" t="str" cm="1">
        <f t="array" aca="1" ref="P2768" ca="1">IF(INDIRECT(M2768) = "","",INDIRECT(M2768))</f>
        <v/>
      </c>
      <c r="Q2768" s="359" t="s">
        <v>4380</v>
      </c>
      <c r="R2768" t="s">
        <v>4653</v>
      </c>
    </row>
    <row r="2769" spans="1:18" x14ac:dyDescent="0.35">
      <c r="A2769" t="s">
        <v>3448</v>
      </c>
      <c r="E2769" t="str">
        <f>_xlfn.XLOOKUP(F2769,'Raw Data'!$I$4:$I$5000,'Raw Data'!$D$4:$D$5000,"*** Mnemonic not found ***",0)</f>
        <v>*** Mnemonic not found ***</v>
      </c>
      <c r="F2769" t="str">
        <f t="shared" si="568"/>
        <v>SUCMRESRSK_US_OCAH_C__</v>
      </c>
      <c r="H2769" s="9" t="s">
        <v>1137</v>
      </c>
      <c r="K2769" s="9">
        <f t="shared" si="567"/>
        <v>614</v>
      </c>
      <c r="L2769" s="9" t="str">
        <f t="shared" si="565"/>
        <v>O</v>
      </c>
      <c r="M2769" s="9" t="str">
        <f t="shared" si="566"/>
        <v>Input!O614</v>
      </c>
      <c r="N2769" s="9">
        <f>_xlfn.XLOOKUP(F2769,'Raw Data'!$I$4:$I$5000,'Raw Data'!$E$4:$E$5000,100,0)</f>
        <v>100</v>
      </c>
      <c r="O2769" s="9" t="str">
        <f>IF(N2769=0,_xlfn.XLOOKUP(F2769,'Raw Data'!$I$4:$I$5000,'Raw Data'!$H$4:$H$5000,"",0),"")</f>
        <v/>
      </c>
      <c r="P2769" s="9" t="str" cm="1">
        <f t="array" aca="1" ref="P2769" ca="1">IF(INDIRECT(M2769) = "","",INDIRECT(M2769))</f>
        <v/>
      </c>
      <c r="Q2769" s="359" t="s">
        <v>4380</v>
      </c>
      <c r="R2769" t="s">
        <v>4654</v>
      </c>
    </row>
    <row r="2770" spans="1:18" x14ac:dyDescent="0.35">
      <c r="A2770" t="s">
        <v>3449</v>
      </c>
      <c r="E2770" t="str">
        <f>_xlfn.XLOOKUP(F2770,'Raw Data'!$I$4:$I$5000,'Raw Data'!$D$4:$D$5000,"*** Mnemonic not found ***",0)</f>
        <v>*** Mnemonic not found ***</v>
      </c>
      <c r="F2770" t="str">
        <f t="shared" si="568"/>
        <v>SUCMRESRSK_CN_LIA_C__</v>
      </c>
      <c r="H2770" s="9" t="s">
        <v>1137</v>
      </c>
      <c r="K2770" s="9">
        <f>K2769+2</f>
        <v>616</v>
      </c>
      <c r="L2770" s="9" t="str">
        <f t="shared" si="565"/>
        <v>O</v>
      </c>
      <c r="M2770" s="9" t="str">
        <f t="shared" si="566"/>
        <v>Input!O616</v>
      </c>
      <c r="N2770" s="9">
        <f>_xlfn.XLOOKUP(F2770,'Raw Data'!$I$4:$I$5000,'Raw Data'!$E$4:$E$5000,100,0)</f>
        <v>100</v>
      </c>
      <c r="O2770" s="9" t="str">
        <f>IF(N2770=0,_xlfn.XLOOKUP(F2770,'Raw Data'!$I$4:$I$5000,'Raw Data'!$H$4:$H$5000,"",0),"")</f>
        <v/>
      </c>
      <c r="P2770" s="9" t="str" cm="1">
        <f t="array" aca="1" ref="P2770" ca="1">IF(INDIRECT(M2770) = "","",INDIRECT(M2770))</f>
        <v/>
      </c>
      <c r="Q2770" s="359" t="s">
        <v>4380</v>
      </c>
      <c r="R2770" t="s">
        <v>4655</v>
      </c>
    </row>
    <row r="2771" spans="1:18" x14ac:dyDescent="0.35">
      <c r="A2771" t="s">
        <v>3450</v>
      </c>
      <c r="E2771" t="str">
        <f>_xlfn.XLOOKUP(F2771,'Raw Data'!$I$4:$I$5000,'Raw Data'!$D$4:$D$5000,"*** Mnemonic not found ***",0)</f>
        <v>*** Mnemonic not found ***</v>
      </c>
      <c r="F2771" t="str">
        <f t="shared" si="568"/>
        <v>SUCMRESRSK_CN_BLM_C__</v>
      </c>
      <c r="H2771" s="9" t="s">
        <v>1137</v>
      </c>
      <c r="K2771" s="9">
        <f t="shared" si="567"/>
        <v>617</v>
      </c>
      <c r="L2771" s="9" t="str">
        <f t="shared" si="565"/>
        <v>O</v>
      </c>
      <c r="M2771" s="9" t="str">
        <f t="shared" si="566"/>
        <v>Input!O617</v>
      </c>
      <c r="N2771" s="9">
        <f>_xlfn.XLOOKUP(F2771,'Raw Data'!$I$4:$I$5000,'Raw Data'!$E$4:$E$5000,100,0)</f>
        <v>100</v>
      </c>
      <c r="O2771" s="9" t="str">
        <f>IF(N2771=0,_xlfn.XLOOKUP(F2771,'Raw Data'!$I$4:$I$5000,'Raw Data'!$H$4:$H$5000,"",0),"")</f>
        <v/>
      </c>
      <c r="P2771" s="9" t="str" cm="1">
        <f t="array" aca="1" ref="P2771" ca="1">IF(INDIRECT(M2771) = "","",INDIRECT(M2771))</f>
        <v/>
      </c>
      <c r="Q2771" s="359" t="s">
        <v>4380</v>
      </c>
      <c r="R2771" t="s">
        <v>4656</v>
      </c>
    </row>
    <row r="2772" spans="1:18" x14ac:dyDescent="0.35">
      <c r="A2772" t="s">
        <v>3451</v>
      </c>
      <c r="E2772" t="str">
        <f>_xlfn.XLOOKUP(F2772,'Raw Data'!$I$4:$I$5000,'Raw Data'!$D$4:$D$5000,"*** Mnemonic not found ***",0)</f>
        <v>*** Mnemonic not found ***</v>
      </c>
      <c r="F2772" t="str">
        <f t="shared" si="568"/>
        <v>SUCMRESRSK_CN_CMPR_C__</v>
      </c>
      <c r="H2772" s="9" t="s">
        <v>1137</v>
      </c>
      <c r="K2772" s="9">
        <f t="shared" si="567"/>
        <v>618</v>
      </c>
      <c r="L2772" s="9" t="str">
        <f t="shared" si="565"/>
        <v>O</v>
      </c>
      <c r="M2772" s="9" t="str">
        <f t="shared" si="566"/>
        <v>Input!O618</v>
      </c>
      <c r="N2772" s="9">
        <f>_xlfn.XLOOKUP(F2772,'Raw Data'!$I$4:$I$5000,'Raw Data'!$E$4:$E$5000,100,0)</f>
        <v>100</v>
      </c>
      <c r="O2772" s="9" t="str">
        <f>IF(N2772=0,_xlfn.XLOOKUP(F2772,'Raw Data'!$I$4:$I$5000,'Raw Data'!$H$4:$H$5000,"",0),"")</f>
        <v/>
      </c>
      <c r="P2772" s="9" t="str" cm="1">
        <f t="array" aca="1" ref="P2772" ca="1">IF(INDIRECT(M2772) = "","",INDIRECT(M2772))</f>
        <v/>
      </c>
      <c r="Q2772" s="359" t="s">
        <v>4380</v>
      </c>
      <c r="R2772" t="s">
        <v>4657</v>
      </c>
    </row>
    <row r="2773" spans="1:18" x14ac:dyDescent="0.35">
      <c r="A2773" t="s">
        <v>3452</v>
      </c>
      <c r="E2773" t="str">
        <f>_xlfn.XLOOKUP(F2773,'Raw Data'!$I$4:$I$5000,'Raw Data'!$D$4:$D$5000,"*** Mnemonic not found ***",0)</f>
        <v>*** Mnemonic not found ***</v>
      </c>
      <c r="F2773" t="str">
        <f t="shared" si="568"/>
        <v>SUCMRESRSK_CN_HAIL_C__</v>
      </c>
      <c r="H2773" s="9" t="s">
        <v>1137</v>
      </c>
      <c r="K2773" s="9">
        <f t="shared" si="567"/>
        <v>619</v>
      </c>
      <c r="L2773" s="9" t="str">
        <f t="shared" si="565"/>
        <v>O</v>
      </c>
      <c r="M2773" s="9" t="str">
        <f t="shared" si="566"/>
        <v>Input!O619</v>
      </c>
      <c r="N2773" s="9">
        <f>_xlfn.XLOOKUP(F2773,'Raw Data'!$I$4:$I$5000,'Raw Data'!$E$4:$E$5000,100,0)</f>
        <v>100</v>
      </c>
      <c r="O2773" s="9" t="str">
        <f>IF(N2773=0,_xlfn.XLOOKUP(F2773,'Raw Data'!$I$4:$I$5000,'Raw Data'!$H$4:$H$5000,"",0),"")</f>
        <v/>
      </c>
      <c r="P2773" s="9" t="str" cm="1">
        <f t="array" aca="1" ref="P2773" ca="1">IF(INDIRECT(M2773) = "","",INDIRECT(M2773))</f>
        <v/>
      </c>
      <c r="Q2773" s="359" t="s">
        <v>4380</v>
      </c>
      <c r="R2773" t="s">
        <v>4658</v>
      </c>
    </row>
    <row r="2774" spans="1:18" x14ac:dyDescent="0.35">
      <c r="A2774" t="s">
        <v>3453</v>
      </c>
      <c r="E2774" t="str">
        <f>_xlfn.XLOOKUP(F2774,'Raw Data'!$I$4:$I$5000,'Raw Data'!$D$4:$D$5000,"*** Mnemonic not found ***",0)</f>
        <v>*** Mnemonic not found ***</v>
      </c>
      <c r="F2774" t="str">
        <f t="shared" si="568"/>
        <v>SUCMRESRSK_CN_PPR_C__</v>
      </c>
      <c r="H2774" s="9" t="s">
        <v>1137</v>
      </c>
      <c r="K2774" s="9">
        <f t="shared" si="567"/>
        <v>620</v>
      </c>
      <c r="L2774" s="9" t="str">
        <f t="shared" si="565"/>
        <v>O</v>
      </c>
      <c r="M2774" s="9" t="str">
        <f t="shared" si="566"/>
        <v>Input!O620</v>
      </c>
      <c r="N2774" s="9">
        <f>_xlfn.XLOOKUP(F2774,'Raw Data'!$I$4:$I$5000,'Raw Data'!$E$4:$E$5000,100,0)</f>
        <v>100</v>
      </c>
      <c r="O2774" s="9" t="str">
        <f>IF(N2774=0,_xlfn.XLOOKUP(F2774,'Raw Data'!$I$4:$I$5000,'Raw Data'!$H$4:$H$5000,"",0),"")</f>
        <v/>
      </c>
      <c r="P2774" s="9" t="str" cm="1">
        <f t="array" aca="1" ref="P2774" ca="1">IF(INDIRECT(M2774) = "","",INDIRECT(M2774))</f>
        <v/>
      </c>
      <c r="Q2774" s="359" t="s">
        <v>4380</v>
      </c>
      <c r="R2774" t="s">
        <v>4659</v>
      </c>
    </row>
    <row r="2775" spans="1:18" x14ac:dyDescent="0.35">
      <c r="A2775" t="s">
        <v>3454</v>
      </c>
      <c r="E2775" t="str">
        <f>_xlfn.XLOOKUP(F2775,'Raw Data'!$I$4:$I$5000,'Raw Data'!$D$4:$D$5000,"*** Mnemonic not found ***",0)</f>
        <v>*** Mnemonic not found ***</v>
      </c>
      <c r="F2775" t="str">
        <f t="shared" si="568"/>
        <v>SUCMRESRSK_CN_ALB_C__</v>
      </c>
      <c r="H2775" s="9" t="s">
        <v>1137</v>
      </c>
      <c r="K2775" s="9">
        <f t="shared" si="567"/>
        <v>621</v>
      </c>
      <c r="L2775" s="9" t="str">
        <f t="shared" si="565"/>
        <v>O</v>
      </c>
      <c r="M2775" s="9" t="str">
        <f t="shared" si="566"/>
        <v>Input!O621</v>
      </c>
      <c r="N2775" s="9">
        <f>_xlfn.XLOOKUP(F2775,'Raw Data'!$I$4:$I$5000,'Raw Data'!$E$4:$E$5000,100,0)</f>
        <v>100</v>
      </c>
      <c r="O2775" s="9" t="str">
        <f>IF(N2775=0,_xlfn.XLOOKUP(F2775,'Raw Data'!$I$4:$I$5000,'Raw Data'!$H$4:$H$5000,"",0),"")</f>
        <v/>
      </c>
      <c r="P2775" s="9" t="str" cm="1">
        <f t="array" aca="1" ref="P2775" ca="1">IF(INDIRECT(M2775) = "","",INDIRECT(M2775))</f>
        <v/>
      </c>
      <c r="Q2775" s="359" t="s">
        <v>4380</v>
      </c>
      <c r="R2775" t="s">
        <v>4660</v>
      </c>
    </row>
    <row r="2776" spans="1:18" x14ac:dyDescent="0.35">
      <c r="A2776" t="s">
        <v>3455</v>
      </c>
      <c r="E2776" t="str">
        <f>_xlfn.XLOOKUP(F2776,'Raw Data'!$I$4:$I$5000,'Raw Data'!$D$4:$D$5000,"*** Mnemonic not found ***",0)</f>
        <v>*** Mnemonic not found ***</v>
      </c>
      <c r="F2776" t="str">
        <f t="shared" si="568"/>
        <v>SUCMRESRSK_CN_ATOTH_C__</v>
      </c>
      <c r="H2776" s="9" t="s">
        <v>1137</v>
      </c>
      <c r="K2776" s="9">
        <f t="shared" si="567"/>
        <v>622</v>
      </c>
      <c r="L2776" s="9" t="str">
        <f t="shared" si="565"/>
        <v>O</v>
      </c>
      <c r="M2776" s="9" t="str">
        <f t="shared" si="566"/>
        <v>Input!O622</v>
      </c>
      <c r="N2776" s="9">
        <f>_xlfn.XLOOKUP(F2776,'Raw Data'!$I$4:$I$5000,'Raw Data'!$E$4:$E$5000,100,0)</f>
        <v>100</v>
      </c>
      <c r="O2776" s="9" t="str">
        <f>IF(N2776=0,_xlfn.XLOOKUP(F2776,'Raw Data'!$I$4:$I$5000,'Raw Data'!$H$4:$H$5000,"",0),"")</f>
        <v/>
      </c>
      <c r="P2776" s="9" t="str" cm="1">
        <f t="array" aca="1" ref="P2776" ca="1">IF(INDIRECT(M2776) = "","",INDIRECT(M2776))</f>
        <v/>
      </c>
      <c r="Q2776" s="359" t="s">
        <v>4380</v>
      </c>
      <c r="R2776" t="s">
        <v>4661</v>
      </c>
    </row>
    <row r="2777" spans="1:18" x14ac:dyDescent="0.35">
      <c r="A2777" t="s">
        <v>3456</v>
      </c>
      <c r="E2777" t="str">
        <f>_xlfn.XLOOKUP(F2777,'Raw Data'!$I$4:$I$5000,'Raw Data'!$D$4:$D$5000,"*** Mnemonic not found ***",0)</f>
        <v>*** Mnemonic not found ***</v>
      </c>
      <c r="F2777" t="str">
        <f t="shared" si="568"/>
        <v>SUCMRESRSK_CN_ATPAC_C__</v>
      </c>
      <c r="H2777" s="9" t="s">
        <v>1137</v>
      </c>
      <c r="K2777" s="9">
        <f t="shared" si="567"/>
        <v>623</v>
      </c>
      <c r="L2777" s="9" t="str">
        <f t="shared" si="565"/>
        <v>O</v>
      </c>
      <c r="M2777" s="9" t="str">
        <f t="shared" si="566"/>
        <v>Input!O623</v>
      </c>
      <c r="N2777" s="9">
        <f>_xlfn.XLOOKUP(F2777,'Raw Data'!$I$4:$I$5000,'Raw Data'!$E$4:$E$5000,100,0)</f>
        <v>100</v>
      </c>
      <c r="O2777" s="9" t="str">
        <f>IF(N2777=0,_xlfn.XLOOKUP(F2777,'Raw Data'!$I$4:$I$5000,'Raw Data'!$H$4:$H$5000,"",0),"")</f>
        <v/>
      </c>
      <c r="P2777" s="9" t="str" cm="1">
        <f t="array" aca="1" ref="P2777" ca="1">IF(INDIRECT(M2777) = "","",INDIRECT(M2777))</f>
        <v/>
      </c>
      <c r="Q2777" s="359" t="s">
        <v>4380</v>
      </c>
      <c r="R2777" t="s">
        <v>4662</v>
      </c>
    </row>
    <row r="2778" spans="1:18" x14ac:dyDescent="0.35">
      <c r="A2778" t="s">
        <v>3457</v>
      </c>
      <c r="E2778" t="str">
        <f>_xlfn.XLOOKUP(F2778,'Raw Data'!$I$4:$I$5000,'Raw Data'!$D$4:$D$5000,"*** Mnemonic not found ***",0)</f>
        <v>*** Mnemonic not found ***</v>
      </c>
      <c r="F2778" t="str">
        <f t="shared" si="568"/>
        <v>SUCMRESRSK_CN_CRD_C__</v>
      </c>
      <c r="H2778" s="9" t="s">
        <v>1137</v>
      </c>
      <c r="K2778" s="9">
        <f t="shared" si="567"/>
        <v>624</v>
      </c>
      <c r="L2778" s="9" t="str">
        <f t="shared" si="565"/>
        <v>O</v>
      </c>
      <c r="M2778" s="9" t="str">
        <f t="shared" si="566"/>
        <v>Input!O624</v>
      </c>
      <c r="N2778" s="9">
        <f>_xlfn.XLOOKUP(F2778,'Raw Data'!$I$4:$I$5000,'Raw Data'!$E$4:$E$5000,100,0)</f>
        <v>100</v>
      </c>
      <c r="O2778" s="9" t="str">
        <f>IF(N2778=0,_xlfn.XLOOKUP(F2778,'Raw Data'!$I$4:$I$5000,'Raw Data'!$H$4:$H$5000,"",0),"")</f>
        <v/>
      </c>
      <c r="P2778" s="9" t="str" cm="1">
        <f t="array" aca="1" ref="P2778" ca="1">IF(INDIRECT(M2778) = "","",INDIRECT(M2778))</f>
        <v/>
      </c>
      <c r="Q2778" s="359" t="s">
        <v>4380</v>
      </c>
      <c r="R2778" t="s">
        <v>4663</v>
      </c>
    </row>
    <row r="2779" spans="1:18" x14ac:dyDescent="0.35">
      <c r="A2779" t="s">
        <v>3458</v>
      </c>
      <c r="E2779" t="str">
        <f>_xlfn.XLOOKUP(F2779,'Raw Data'!$I$4:$I$5000,'Raw Data'!$D$4:$D$5000,"*** Mnemonic not found ***",0)</f>
        <v>*** Mnemonic not found ***</v>
      </c>
      <c r="F2779" t="str">
        <f t="shared" si="568"/>
        <v>SUCMRESRSK_CN_CRPR_C__</v>
      </c>
      <c r="H2779" s="9" t="s">
        <v>1137</v>
      </c>
      <c r="K2779" s="9">
        <f t="shared" si="567"/>
        <v>625</v>
      </c>
      <c r="L2779" s="9" t="str">
        <f t="shared" si="565"/>
        <v>O</v>
      </c>
      <c r="M2779" s="9" t="str">
        <f t="shared" si="566"/>
        <v>Input!O625</v>
      </c>
      <c r="N2779" s="9">
        <f>_xlfn.XLOOKUP(F2779,'Raw Data'!$I$4:$I$5000,'Raw Data'!$E$4:$E$5000,100,0)</f>
        <v>100</v>
      </c>
      <c r="O2779" s="9" t="str">
        <f>IF(N2779=0,_xlfn.XLOOKUP(F2779,'Raw Data'!$I$4:$I$5000,'Raw Data'!$H$4:$H$5000,"",0),"")</f>
        <v/>
      </c>
      <c r="P2779" s="9" t="str" cm="1">
        <f t="array" aca="1" ref="P2779" ca="1">IF(INDIRECT(M2779) = "","",INDIRECT(M2779))</f>
        <v/>
      </c>
      <c r="Q2779" s="359" t="s">
        <v>4380</v>
      </c>
      <c r="R2779" t="s">
        <v>4664</v>
      </c>
    </row>
    <row r="2780" spans="1:18" x14ac:dyDescent="0.35">
      <c r="A2780" t="s">
        <v>3459</v>
      </c>
      <c r="E2780" t="str">
        <f>_xlfn.XLOOKUP(F2780,'Raw Data'!$I$4:$I$5000,'Raw Data'!$D$4:$D$5000,"*** Mnemonic not found ***",0)</f>
        <v>*** Mnemonic not found ***</v>
      </c>
      <c r="F2780" t="str">
        <f t="shared" si="568"/>
        <v>SUCMRESRSK_CN_FID_C__</v>
      </c>
      <c r="H2780" s="9" t="s">
        <v>1137</v>
      </c>
      <c r="K2780" s="9">
        <f t="shared" si="567"/>
        <v>626</v>
      </c>
      <c r="L2780" s="9" t="str">
        <f t="shared" si="565"/>
        <v>O</v>
      </c>
      <c r="M2780" s="9" t="str">
        <f t="shared" si="566"/>
        <v>Input!O626</v>
      </c>
      <c r="N2780" s="9">
        <f>_xlfn.XLOOKUP(F2780,'Raw Data'!$I$4:$I$5000,'Raw Data'!$E$4:$E$5000,100,0)</f>
        <v>100</v>
      </c>
      <c r="O2780" s="9" t="str">
        <f>IF(N2780=0,_xlfn.XLOOKUP(F2780,'Raw Data'!$I$4:$I$5000,'Raw Data'!$H$4:$H$5000,"",0),"")</f>
        <v/>
      </c>
      <c r="P2780" s="9" t="str" cm="1">
        <f t="array" aca="1" ref="P2780" ca="1">IF(INDIRECT(M2780) = "","",INDIRECT(M2780))</f>
        <v/>
      </c>
      <c r="Q2780" s="359" t="s">
        <v>4380</v>
      </c>
      <c r="R2780" t="s">
        <v>4665</v>
      </c>
    </row>
    <row r="2781" spans="1:18" x14ac:dyDescent="0.35">
      <c r="A2781" t="s">
        <v>3460</v>
      </c>
      <c r="E2781" t="str">
        <f>_xlfn.XLOOKUP(F2781,'Raw Data'!$I$4:$I$5000,'Raw Data'!$D$4:$D$5000,"*** Mnemonic not found ***",0)</f>
        <v>*** Mnemonic not found ***</v>
      </c>
      <c r="F2781" t="str">
        <f t="shared" si="568"/>
        <v>SUCMRESRSK_CN_SUR_C__</v>
      </c>
      <c r="H2781" s="9" t="s">
        <v>1137</v>
      </c>
      <c r="K2781" s="9">
        <f t="shared" si="567"/>
        <v>627</v>
      </c>
      <c r="L2781" s="9" t="str">
        <f t="shared" si="565"/>
        <v>O</v>
      </c>
      <c r="M2781" s="9" t="str">
        <f t="shared" si="566"/>
        <v>Input!O627</v>
      </c>
      <c r="N2781" s="9">
        <f>_xlfn.XLOOKUP(F2781,'Raw Data'!$I$4:$I$5000,'Raw Data'!$E$4:$E$5000,100,0)</f>
        <v>100</v>
      </c>
      <c r="O2781" s="9" t="str">
        <f>IF(N2781=0,_xlfn.XLOOKUP(F2781,'Raw Data'!$I$4:$I$5000,'Raw Data'!$H$4:$H$5000,"",0),"")</f>
        <v/>
      </c>
      <c r="P2781" s="9" t="str" cm="1">
        <f t="array" aca="1" ref="P2781" ca="1">IF(INDIRECT(M2781) = "","",INDIRECT(M2781))</f>
        <v/>
      </c>
      <c r="Q2781" s="359" t="s">
        <v>4380</v>
      </c>
      <c r="R2781" t="s">
        <v>4666</v>
      </c>
    </row>
    <row r="2782" spans="1:18" x14ac:dyDescent="0.35">
      <c r="A2782" t="s">
        <v>3462</v>
      </c>
      <c r="E2782" t="str">
        <f>_xlfn.XLOOKUP(F2782,'Raw Data'!$I$4:$I$5000,'Raw Data'!$D$4:$D$5000,"*** Mnemonic not found ***",0)</f>
        <v>*** Mnemonic not found ***</v>
      </c>
      <c r="F2782" t="str">
        <f t="shared" si="568"/>
        <v>SUCMRESRSK_CN_ACSK_C__</v>
      </c>
      <c r="H2782" s="9" t="s">
        <v>1137</v>
      </c>
      <c r="K2782" s="9">
        <f t="shared" si="567"/>
        <v>628</v>
      </c>
      <c r="L2782" s="9" t="str">
        <f t="shared" si="565"/>
        <v>O</v>
      </c>
      <c r="M2782" s="9" t="str">
        <f t="shared" si="566"/>
        <v>Input!O628</v>
      </c>
      <c r="N2782" s="9">
        <f>_xlfn.XLOOKUP(F2782,'Raw Data'!$I$4:$I$5000,'Raw Data'!$E$4:$E$5000,100,0)</f>
        <v>100</v>
      </c>
      <c r="O2782" s="9" t="str">
        <f>IF(N2782=0,_xlfn.XLOOKUP(F2782,'Raw Data'!$I$4:$I$5000,'Raw Data'!$H$4:$H$5000,"",0),"")</f>
        <v/>
      </c>
      <c r="P2782" s="9" t="str" cm="1">
        <f t="array" aca="1" ref="P2782" ca="1">IF(INDIRECT(M2782) = "","",INDIRECT(M2782))</f>
        <v/>
      </c>
      <c r="Q2782" s="359" t="s">
        <v>4380</v>
      </c>
      <c r="R2782" t="s">
        <v>4667</v>
      </c>
    </row>
    <row r="2783" spans="1:18" x14ac:dyDescent="0.35">
      <c r="A2783" s="694" t="s">
        <v>4360</v>
      </c>
      <c r="B2783" s="694"/>
      <c r="E2783" t="str">
        <f>_xlfn.XLOOKUP(F2783,'Raw Data'!$I$4:$I$5000,'Raw Data'!$D$4:$D$5000,"*** Mnemonic not found ***",0)</f>
        <v>*** Mnemonic not found ***</v>
      </c>
      <c r="F2783" t="str">
        <f t="shared" si="568"/>
        <v>SUCMRESRSK_CN_SUPH_C__</v>
      </c>
      <c r="H2783" s="9" t="s">
        <v>1137</v>
      </c>
      <c r="K2783" s="9">
        <f t="shared" si="567"/>
        <v>629</v>
      </c>
      <c r="L2783" s="9" t="str">
        <f t="shared" si="565"/>
        <v>O</v>
      </c>
      <c r="M2783" s="9" t="str">
        <f t="shared" si="566"/>
        <v>Input!O629</v>
      </c>
      <c r="N2783" s="9">
        <f>_xlfn.XLOOKUP(F2783,'Raw Data'!$I$4:$I$5000,'Raw Data'!$E$4:$E$5000,100,0)</f>
        <v>100</v>
      </c>
      <c r="O2783" s="9" t="str">
        <f>IF(N2783=0,_xlfn.XLOOKUP(F2783,'Raw Data'!$I$4:$I$5000,'Raw Data'!$H$4:$H$5000,"",0),"")</f>
        <v/>
      </c>
      <c r="P2783" s="9" t="str" cm="1">
        <f t="array" aca="1" ref="P2783" ca="1">IF(INDIRECT(M2783) = "","",INDIRECT(M2783))</f>
        <v/>
      </c>
      <c r="Q2783" s="359" t="s">
        <v>4380</v>
      </c>
      <c r="R2783" t="s">
        <v>4668</v>
      </c>
    </row>
    <row r="2784" spans="1:18" x14ac:dyDescent="0.35">
      <c r="A2784" t="s">
        <v>3463</v>
      </c>
      <c r="E2784" t="str">
        <f>_xlfn.XLOOKUP(F2784,'Raw Data'!$I$4:$I$5000,'Raw Data'!$D$4:$D$5000,"*** Mnemonic not found ***",0)</f>
        <v>*** Mnemonic not found ***</v>
      </c>
      <c r="F2784" t="str">
        <f t="shared" si="568"/>
        <v>SUCMRESRSK_CN_AIR_C__</v>
      </c>
      <c r="H2784" s="9" t="s">
        <v>1137</v>
      </c>
      <c r="K2784" s="9">
        <f t="shared" si="567"/>
        <v>630</v>
      </c>
      <c r="L2784" s="9" t="str">
        <f t="shared" si="565"/>
        <v>O</v>
      </c>
      <c r="M2784" s="9" t="str">
        <f t="shared" si="566"/>
        <v>Input!O630</v>
      </c>
      <c r="N2784" s="9">
        <f>_xlfn.XLOOKUP(F2784,'Raw Data'!$I$4:$I$5000,'Raw Data'!$E$4:$E$5000,100,0)</f>
        <v>100</v>
      </c>
      <c r="O2784" s="9" t="str">
        <f>IF(N2784=0,_xlfn.XLOOKUP(F2784,'Raw Data'!$I$4:$I$5000,'Raw Data'!$H$4:$H$5000,"",0),"")</f>
        <v/>
      </c>
      <c r="P2784" s="9" t="str" cm="1">
        <f t="array" aca="1" ref="P2784" ca="1">IF(INDIRECT(M2784) = "","",INDIRECT(M2784))</f>
        <v/>
      </c>
      <c r="Q2784" s="359" t="s">
        <v>4380</v>
      </c>
      <c r="R2784" t="s">
        <v>4669</v>
      </c>
    </row>
    <row r="2785" spans="1:18" x14ac:dyDescent="0.35">
      <c r="A2785" t="s">
        <v>3464</v>
      </c>
      <c r="E2785" t="str">
        <f>_xlfn.XLOOKUP(F2785,'Raw Data'!$I$4:$I$5000,'Raw Data'!$D$4:$D$5000,"*** Mnemonic not found ***",0)</f>
        <v>*** Mnemonic not found ***</v>
      </c>
      <c r="F2785" t="str">
        <f t="shared" si="568"/>
        <v>SUCMRESRSK_CN_OCM_C__</v>
      </c>
      <c r="H2785" s="9" t="s">
        <v>1137</v>
      </c>
      <c r="K2785" s="9">
        <f t="shared" si="567"/>
        <v>631</v>
      </c>
      <c r="L2785" s="9" t="str">
        <f t="shared" si="565"/>
        <v>O</v>
      </c>
      <c r="M2785" s="9" t="str">
        <f t="shared" si="566"/>
        <v>Input!O631</v>
      </c>
      <c r="N2785" s="9">
        <f>_xlfn.XLOOKUP(F2785,'Raw Data'!$I$4:$I$5000,'Raw Data'!$E$4:$E$5000,100,0)</f>
        <v>100</v>
      </c>
      <c r="O2785" s="9" t="str">
        <f>IF(N2785=0,_xlfn.XLOOKUP(F2785,'Raw Data'!$I$4:$I$5000,'Raw Data'!$H$4:$H$5000,"",0),"")</f>
        <v/>
      </c>
      <c r="P2785" s="9" t="str" cm="1">
        <f t="array" aca="1" ref="P2785" ca="1">IF(INDIRECT(M2785) = "","",INDIRECT(M2785))</f>
        <v/>
      </c>
      <c r="Q2785" s="359" t="s">
        <v>4380</v>
      </c>
      <c r="R2785" t="s">
        <v>4670</v>
      </c>
    </row>
    <row r="2786" spans="1:18" x14ac:dyDescent="0.35">
      <c r="A2786" s="694" t="s">
        <v>4361</v>
      </c>
      <c r="B2786" s="694"/>
      <c r="E2786" t="str">
        <f>_xlfn.XLOOKUP(F2786,'Raw Data'!$I$4:$I$5000,'Raw Data'!$D$4:$D$5000,"*** Mnemonic not found ***",0)</f>
        <v>*** Mnemonic not found ***</v>
      </c>
      <c r="F2786" t="str">
        <f t="shared" si="568"/>
        <v>SUCMRESRSK_CN_MPIN_C__</v>
      </c>
      <c r="H2786" s="9" t="s">
        <v>1137</v>
      </c>
      <c r="K2786" s="9">
        <f t="shared" si="567"/>
        <v>632</v>
      </c>
      <c r="L2786" s="9" t="str">
        <f t="shared" si="565"/>
        <v>O</v>
      </c>
      <c r="M2786" s="9" t="str">
        <f t="shared" si="566"/>
        <v>Input!O632</v>
      </c>
      <c r="N2786" s="9">
        <f>_xlfn.XLOOKUP(F2786,'Raw Data'!$I$4:$I$5000,'Raw Data'!$E$4:$E$5000,100,0)</f>
        <v>100</v>
      </c>
      <c r="O2786" s="9" t="str">
        <f>IF(N2786=0,_xlfn.XLOOKUP(F2786,'Raw Data'!$I$4:$I$5000,'Raw Data'!$H$4:$H$5000,"",0),"")</f>
        <v/>
      </c>
      <c r="P2786" s="9" t="str" cm="1">
        <f t="array" aca="1" ref="P2786" ca="1">IF(INDIRECT(M2786) = "","",INDIRECT(M2786))</f>
        <v/>
      </c>
      <c r="Q2786" s="359" t="s">
        <v>4380</v>
      </c>
      <c r="R2786" t="s">
        <v>4671</v>
      </c>
    </row>
    <row r="2787" spans="1:18" x14ac:dyDescent="0.35">
      <c r="A2787" s="217" t="s">
        <v>4362</v>
      </c>
      <c r="B2787" s="217"/>
      <c r="E2787" t="str">
        <f>_xlfn.XLOOKUP(F2787,'Raw Data'!$I$4:$I$5000,'Raw Data'!$D$4:$D$5000,"*** Mnemonic not found ***",0)</f>
        <v>*** Mnemonic not found ***</v>
      </c>
      <c r="F2787" t="str">
        <f t="shared" si="568"/>
        <v>SUCMRESRSK_CN_MAVT_C__</v>
      </c>
      <c r="H2787" s="9" t="s">
        <v>1137</v>
      </c>
      <c r="K2787" s="9">
        <f t="shared" si="567"/>
        <v>633</v>
      </c>
      <c r="L2787" s="9" t="str">
        <f t="shared" si="565"/>
        <v>O</v>
      </c>
      <c r="M2787" s="9" t="str">
        <f t="shared" si="566"/>
        <v>Input!O633</v>
      </c>
      <c r="N2787" s="9">
        <f>_xlfn.XLOOKUP(F2787,'Raw Data'!$I$4:$I$5000,'Raw Data'!$E$4:$E$5000,100,0)</f>
        <v>100</v>
      </c>
      <c r="O2787" s="9" t="str">
        <f>IF(N2787=0,_xlfn.XLOOKUP(F2787,'Raw Data'!$I$4:$I$5000,'Raw Data'!$H$4:$H$5000,"",0),"")</f>
        <v/>
      </c>
      <c r="P2787" s="9" t="str" cm="1">
        <f t="array" aca="1" ref="P2787" ca="1">IF(INDIRECT(M2787) = "","",INDIRECT(M2787))</f>
        <v/>
      </c>
      <c r="Q2787" s="359" t="s">
        <v>4380</v>
      </c>
      <c r="R2787" t="s">
        <v>4672</v>
      </c>
    </row>
    <row r="2788" spans="1:18" x14ac:dyDescent="0.35">
      <c r="A2788" t="s">
        <v>3465</v>
      </c>
      <c r="E2788" t="str">
        <f>_xlfn.XLOOKUP(F2788,'Raw Data'!$I$4:$I$5000,'Raw Data'!$D$4:$D$5000,"*** Mnemonic not found ***",0)</f>
        <v>*** Mnemonic not found ***</v>
      </c>
      <c r="F2788" t="str">
        <f t="shared" si="568"/>
        <v>SUCMRESRSK_CN_OAPR_C__</v>
      </c>
      <c r="H2788" s="9" t="s">
        <v>1137</v>
      </c>
      <c r="K2788" s="9">
        <f t="shared" si="567"/>
        <v>634</v>
      </c>
      <c r="L2788" s="9" t="str">
        <f t="shared" si="565"/>
        <v>O</v>
      </c>
      <c r="M2788" s="9" t="str">
        <f t="shared" si="566"/>
        <v>Input!O634</v>
      </c>
      <c r="N2788" s="9">
        <f>_xlfn.XLOOKUP(F2788,'Raw Data'!$I$4:$I$5000,'Raw Data'!$E$4:$E$5000,100,0)</f>
        <v>100</v>
      </c>
      <c r="O2788" s="9" t="str">
        <f>IF(N2788=0,_xlfn.XLOOKUP(F2788,'Raw Data'!$I$4:$I$5000,'Raw Data'!$H$4:$H$5000,"",0),"")</f>
        <v/>
      </c>
      <c r="P2788" s="9" t="str" cm="1">
        <f t="array" aca="1" ref="P2788" ca="1">IF(INDIRECT(M2788) = "","",INDIRECT(M2788))</f>
        <v/>
      </c>
      <c r="Q2788" s="359" t="s">
        <v>4380</v>
      </c>
      <c r="R2788" t="s">
        <v>4673</v>
      </c>
    </row>
    <row r="2789" spans="1:18" x14ac:dyDescent="0.35">
      <c r="A2789" t="s">
        <v>3461</v>
      </c>
      <c r="E2789" t="str">
        <f>_xlfn.XLOOKUP(F2789,'Raw Data'!$I$4:$I$5000,'Raw Data'!$D$4:$D$5000,"*** Mnemonic not found ***",0)</f>
        <v>*** Mnemonic not found ***</v>
      </c>
      <c r="F2789" t="str">
        <f t="shared" si="568"/>
        <v>SUCMRESRSK_CN_TITLE_C__</v>
      </c>
      <c r="H2789" s="9" t="s">
        <v>1137</v>
      </c>
      <c r="K2789" s="9">
        <f t="shared" si="567"/>
        <v>635</v>
      </c>
      <c r="L2789" s="9" t="str">
        <f t="shared" si="565"/>
        <v>O</v>
      </c>
      <c r="M2789" s="9" t="str">
        <f t="shared" si="566"/>
        <v>Input!O635</v>
      </c>
      <c r="N2789" s="9">
        <f>_xlfn.XLOOKUP(F2789,'Raw Data'!$I$4:$I$5000,'Raw Data'!$E$4:$E$5000,100,0)</f>
        <v>100</v>
      </c>
      <c r="O2789" s="9" t="str">
        <f>IF(N2789=0,_xlfn.XLOOKUP(F2789,'Raw Data'!$I$4:$I$5000,'Raw Data'!$H$4:$H$5000,"",0),"")</f>
        <v/>
      </c>
      <c r="P2789" s="9" t="str" cm="1">
        <f t="array" aca="1" ref="P2789" ca="1">IF(INDIRECT(M2789) = "","",INDIRECT(M2789))</f>
        <v/>
      </c>
      <c r="Q2789" s="359" t="s">
        <v>4380</v>
      </c>
      <c r="R2789" t="s">
        <v>4674</v>
      </c>
    </row>
    <row r="2790" spans="1:18" x14ac:dyDescent="0.35">
      <c r="A2790" t="s">
        <v>3466</v>
      </c>
      <c r="E2790" t="str">
        <f>_xlfn.XLOOKUP(F2790,'Raw Data'!$I$4:$I$5000,'Raw Data'!$D$4:$D$5000,"*** Mnemonic not found ***",0)</f>
        <v>*** Mnemonic not found ***</v>
      </c>
      <c r="F2790" t="str">
        <f t="shared" si="568"/>
        <v>SUCMRESRSK_CN_WAR_C__</v>
      </c>
      <c r="H2790" s="9" t="s">
        <v>1137</v>
      </c>
      <c r="K2790" s="9">
        <f t="shared" si="567"/>
        <v>636</v>
      </c>
      <c r="L2790" s="9" t="str">
        <f t="shared" si="565"/>
        <v>O</v>
      </c>
      <c r="M2790" s="9" t="str">
        <f t="shared" si="566"/>
        <v>Input!O636</v>
      </c>
      <c r="N2790" s="9">
        <f>_xlfn.XLOOKUP(F2790,'Raw Data'!$I$4:$I$5000,'Raw Data'!$E$4:$E$5000,100,0)</f>
        <v>100</v>
      </c>
      <c r="O2790" s="9" t="str">
        <f>IF(N2790=0,_xlfn.XLOOKUP(F2790,'Raw Data'!$I$4:$I$5000,'Raw Data'!$H$4:$H$5000,"",0),"")</f>
        <v/>
      </c>
      <c r="P2790" s="9" t="str" cm="1">
        <f t="array" aca="1" ref="P2790" ca="1">IF(INDIRECT(M2790) = "","",INDIRECT(M2790))</f>
        <v/>
      </c>
      <c r="Q2790" s="359" t="s">
        <v>4380</v>
      </c>
      <c r="R2790" t="s">
        <v>4675</v>
      </c>
    </row>
    <row r="2791" spans="1:18" x14ac:dyDescent="0.35">
      <c r="A2791" t="s">
        <v>3467</v>
      </c>
      <c r="E2791" t="str">
        <f>_xlfn.XLOOKUP(F2791,'Raw Data'!$I$4:$I$5000,'Raw Data'!$D$4:$D$5000,"*** Mnemonic not found ***",0)</f>
        <v>*** Mnemonic not found ***</v>
      </c>
      <c r="F2791" t="str">
        <f t="shared" si="568"/>
        <v>SUCMRESRSK_CN_OCAH_C__</v>
      </c>
      <c r="H2791" s="9" t="s">
        <v>1137</v>
      </c>
      <c r="K2791" s="9">
        <f t="shared" si="567"/>
        <v>637</v>
      </c>
      <c r="L2791" s="9" t="str">
        <f t="shared" si="565"/>
        <v>O</v>
      </c>
      <c r="M2791" s="9" t="str">
        <f t="shared" si="566"/>
        <v>Input!O637</v>
      </c>
      <c r="N2791" s="9">
        <f>_xlfn.XLOOKUP(F2791,'Raw Data'!$I$4:$I$5000,'Raw Data'!$E$4:$E$5000,100,0)</f>
        <v>100</v>
      </c>
      <c r="O2791" s="9" t="str">
        <f>IF(N2791=0,_xlfn.XLOOKUP(F2791,'Raw Data'!$I$4:$I$5000,'Raw Data'!$H$4:$H$5000,"",0),"")</f>
        <v/>
      </c>
      <c r="P2791" s="9" t="str" cm="1">
        <f t="array" aca="1" ref="P2791" ca="1">IF(INDIRECT(M2791) = "","",INDIRECT(M2791))</f>
        <v/>
      </c>
      <c r="Q2791" s="359" t="s">
        <v>4380</v>
      </c>
      <c r="R2791" t="s">
        <v>4676</v>
      </c>
    </row>
    <row r="2792" spans="1:18" x14ac:dyDescent="0.35">
      <c r="A2792" t="s">
        <v>3468</v>
      </c>
      <c r="E2792" t="str">
        <f>_xlfn.XLOOKUP(F2792,'Raw Data'!$I$4:$I$5000,'Raw Data'!$D$4:$D$5000,"*** Mnemonic not found ***",0)</f>
        <v>*** Mnemonic not found ***</v>
      </c>
      <c r="F2792" t="str">
        <f t="shared" si="568"/>
        <v>SUCMRESRSK_AP_EMLIB_C__</v>
      </c>
      <c r="H2792" s="9" t="s">
        <v>1137</v>
      </c>
      <c r="K2792" s="9">
        <f>K2791+2</f>
        <v>639</v>
      </c>
      <c r="L2792" s="9" t="str">
        <f t="shared" si="565"/>
        <v>O</v>
      </c>
      <c r="M2792" s="9" t="str">
        <f t="shared" si="566"/>
        <v>Input!O639</v>
      </c>
      <c r="N2792" s="9">
        <f>_xlfn.XLOOKUP(F2792,'Raw Data'!$I$4:$I$5000,'Raw Data'!$E$4:$E$5000,100,0)</f>
        <v>100</v>
      </c>
      <c r="O2792" s="9" t="str">
        <f>IF(N2792=0,_xlfn.XLOOKUP(F2792,'Raw Data'!$I$4:$I$5000,'Raw Data'!$H$4:$H$5000,"",0),"")</f>
        <v/>
      </c>
      <c r="P2792" s="9" t="str" cm="1">
        <f t="array" aca="1" ref="P2792" ca="1">IF(INDIRECT(M2792) = "","",INDIRECT(M2792))</f>
        <v/>
      </c>
      <c r="Q2792" s="359" t="s">
        <v>4380</v>
      </c>
      <c r="R2792" t="s">
        <v>4677</v>
      </c>
    </row>
    <row r="2793" spans="1:18" x14ac:dyDescent="0.35">
      <c r="A2793" t="s">
        <v>3469</v>
      </c>
      <c r="E2793" t="str">
        <f>_xlfn.XLOOKUP(F2793,'Raw Data'!$I$4:$I$5000,'Raw Data'!$D$4:$D$5000,"*** Mnemonic not found ***",0)</f>
        <v>*** Mnemonic not found ***</v>
      </c>
      <c r="F2793" t="str">
        <f t="shared" si="568"/>
        <v>SUCMRESRSK_AP_LIA_C__</v>
      </c>
      <c r="H2793" s="9" t="s">
        <v>1137</v>
      </c>
      <c r="K2793" s="9">
        <f t="shared" si="567"/>
        <v>640</v>
      </c>
      <c r="L2793" s="9" t="str">
        <f t="shared" si="565"/>
        <v>O</v>
      </c>
      <c r="M2793" s="9" t="str">
        <f t="shared" si="566"/>
        <v>Input!O640</v>
      </c>
      <c r="N2793" s="9">
        <f>_xlfn.XLOOKUP(F2793,'Raw Data'!$I$4:$I$5000,'Raw Data'!$E$4:$E$5000,100,0)</f>
        <v>100</v>
      </c>
      <c r="O2793" s="9" t="str">
        <f>IF(N2793=0,_xlfn.XLOOKUP(F2793,'Raw Data'!$I$4:$I$5000,'Raw Data'!$H$4:$H$5000,"",0),"")</f>
        <v/>
      </c>
      <c r="P2793" s="9" t="str" cm="1">
        <f t="array" aca="1" ref="P2793" ca="1">IF(INDIRECT(M2793) = "","",INDIRECT(M2793))</f>
        <v/>
      </c>
      <c r="Q2793" s="359" t="s">
        <v>4380</v>
      </c>
      <c r="R2793" t="s">
        <v>4678</v>
      </c>
    </row>
    <row r="2794" spans="1:18" x14ac:dyDescent="0.35">
      <c r="A2794" t="s">
        <v>3470</v>
      </c>
      <c r="E2794" t="str">
        <f>_xlfn.XLOOKUP(F2794,'Raw Data'!$I$4:$I$5000,'Raw Data'!$D$4:$D$5000,"*** Mnemonic not found ***",0)</f>
        <v>*** Mnemonic not found ***</v>
      </c>
      <c r="F2794" t="str">
        <f t="shared" si="568"/>
        <v>SUCMRESRSK_AP_PRIND_C__</v>
      </c>
      <c r="H2794" s="9" t="s">
        <v>1137</v>
      </c>
      <c r="K2794" s="9">
        <f t="shared" si="567"/>
        <v>641</v>
      </c>
      <c r="L2794" s="9" t="str">
        <f t="shared" si="565"/>
        <v>O</v>
      </c>
      <c r="M2794" s="9" t="str">
        <f t="shared" si="566"/>
        <v>Input!O641</v>
      </c>
      <c r="N2794" s="9">
        <f>_xlfn.XLOOKUP(F2794,'Raw Data'!$I$4:$I$5000,'Raw Data'!$E$4:$E$5000,100,0)</f>
        <v>100</v>
      </c>
      <c r="O2794" s="9" t="str">
        <f>IF(N2794=0,_xlfn.XLOOKUP(F2794,'Raw Data'!$I$4:$I$5000,'Raw Data'!$H$4:$H$5000,"",0),"")</f>
        <v/>
      </c>
      <c r="P2794" s="9" t="str" cm="1">
        <f t="array" aca="1" ref="P2794" ca="1">IF(INDIRECT(M2794) = "","",INDIRECT(M2794))</f>
        <v/>
      </c>
      <c r="Q2794" s="359" t="s">
        <v>4380</v>
      </c>
      <c r="R2794" t="s">
        <v>4679</v>
      </c>
    </row>
    <row r="2795" spans="1:18" x14ac:dyDescent="0.35">
      <c r="A2795" t="s">
        <v>3471</v>
      </c>
      <c r="E2795" t="str">
        <f>_xlfn.XLOOKUP(F2795,'Raw Data'!$I$4:$I$5000,'Raw Data'!$D$4:$D$5000,"*** Mnemonic not found ***",0)</f>
        <v>*** Mnemonic not found ***</v>
      </c>
      <c r="F2795" t="str">
        <f t="shared" si="568"/>
        <v>SUCMRESRSK_AP_PAPL_C__</v>
      </c>
      <c r="H2795" s="9" t="s">
        <v>1137</v>
      </c>
      <c r="K2795" s="9">
        <f t="shared" si="567"/>
        <v>642</v>
      </c>
      <c r="L2795" s="9" t="str">
        <f t="shared" si="565"/>
        <v>O</v>
      </c>
      <c r="M2795" s="9" t="str">
        <f t="shared" si="566"/>
        <v>Input!O642</v>
      </c>
      <c r="N2795" s="9">
        <f>_xlfn.XLOOKUP(F2795,'Raw Data'!$I$4:$I$5000,'Raw Data'!$E$4:$E$5000,100,0)</f>
        <v>100</v>
      </c>
      <c r="O2795" s="9" t="str">
        <f>IF(N2795=0,_xlfn.XLOOKUP(F2795,'Raw Data'!$I$4:$I$5000,'Raw Data'!$H$4:$H$5000,"",0),"")</f>
        <v/>
      </c>
      <c r="P2795" s="9" t="str" cm="1">
        <f t="array" aca="1" ref="P2795" ca="1">IF(INDIRECT(M2795) = "","",INDIRECT(M2795))</f>
        <v/>
      </c>
      <c r="Q2795" s="359" t="s">
        <v>4380</v>
      </c>
      <c r="R2795" t="s">
        <v>4680</v>
      </c>
    </row>
    <row r="2796" spans="1:18" x14ac:dyDescent="0.35">
      <c r="A2796" t="s">
        <v>3472</v>
      </c>
      <c r="E2796" t="str">
        <f>_xlfn.XLOOKUP(F2796,'Raw Data'!$I$4:$I$5000,'Raw Data'!$D$4:$D$5000,"*** Mnemonic not found ***",0)</f>
        <v>*** Mnemonic not found ***</v>
      </c>
      <c r="F2796" t="str">
        <f t="shared" si="568"/>
        <v>SUCMRESRSK_AP_CMPR_C__</v>
      </c>
      <c r="H2796" s="9" t="s">
        <v>1137</v>
      </c>
      <c r="K2796" s="9">
        <f t="shared" si="567"/>
        <v>643</v>
      </c>
      <c r="L2796" s="9" t="str">
        <f t="shared" si="565"/>
        <v>O</v>
      </c>
      <c r="M2796" s="9" t="str">
        <f t="shared" si="566"/>
        <v>Input!O643</v>
      </c>
      <c r="N2796" s="9">
        <f>_xlfn.XLOOKUP(F2796,'Raw Data'!$I$4:$I$5000,'Raw Data'!$E$4:$E$5000,100,0)</f>
        <v>100</v>
      </c>
      <c r="O2796" s="9" t="str">
        <f>IF(N2796=0,_xlfn.XLOOKUP(F2796,'Raw Data'!$I$4:$I$5000,'Raw Data'!$H$4:$H$5000,"",0),"")</f>
        <v/>
      </c>
      <c r="P2796" s="9" t="str" cm="1">
        <f t="array" aca="1" ref="P2796" ca="1">IF(INDIRECT(M2796) = "","",INDIRECT(M2796))</f>
        <v/>
      </c>
      <c r="Q2796" s="359" t="s">
        <v>4380</v>
      </c>
      <c r="R2796" t="s">
        <v>4681</v>
      </c>
    </row>
    <row r="2797" spans="1:18" x14ac:dyDescent="0.35">
      <c r="A2797" t="s">
        <v>3473</v>
      </c>
      <c r="E2797" t="str">
        <f>_xlfn.XLOOKUP(F2797,'Raw Data'!$I$4:$I$5000,'Raw Data'!$D$4:$D$5000,"*** Mnemonic not found ***",0)</f>
        <v>*** Mnemonic not found ***</v>
      </c>
      <c r="F2797" t="str">
        <f t="shared" si="568"/>
        <v>SUCMRESRSK_AP_HMP_C__</v>
      </c>
      <c r="H2797" s="9" t="s">
        <v>1137</v>
      </c>
      <c r="K2797" s="9">
        <f t="shared" si="567"/>
        <v>644</v>
      </c>
      <c r="L2797" s="9" t="str">
        <f t="shared" si="565"/>
        <v>O</v>
      </c>
      <c r="M2797" s="9" t="str">
        <f t="shared" si="566"/>
        <v>Input!O644</v>
      </c>
      <c r="N2797" s="9">
        <f>_xlfn.XLOOKUP(F2797,'Raw Data'!$I$4:$I$5000,'Raw Data'!$E$4:$E$5000,100,0)</f>
        <v>100</v>
      </c>
      <c r="O2797" s="9" t="str">
        <f>IF(N2797=0,_xlfn.XLOOKUP(F2797,'Raw Data'!$I$4:$I$5000,'Raw Data'!$H$4:$H$5000,"",0),"")</f>
        <v/>
      </c>
      <c r="P2797" s="9" t="str" cm="1">
        <f t="array" aca="1" ref="P2797" ca="1">IF(INDIRECT(M2797) = "","",INDIRECT(M2797))</f>
        <v/>
      </c>
      <c r="Q2797" s="359" t="s">
        <v>4380</v>
      </c>
      <c r="R2797" t="s">
        <v>4682</v>
      </c>
    </row>
    <row r="2798" spans="1:18" x14ac:dyDescent="0.35">
      <c r="A2798" t="s">
        <v>3484</v>
      </c>
      <c r="E2798" t="str">
        <f>_xlfn.XLOOKUP(F2798,'Raw Data'!$I$4:$I$5000,'Raw Data'!$D$4:$D$5000,"*** Mnemonic not found ***",0)</f>
        <v>*** Mnemonic not found ***</v>
      </c>
      <c r="F2798" t="str">
        <f t="shared" si="568"/>
        <v>SUCMRESRSK_AP_ENG_C__</v>
      </c>
      <c r="H2798" s="9" t="s">
        <v>1137</v>
      </c>
      <c r="K2798" s="9">
        <f t="shared" si="567"/>
        <v>645</v>
      </c>
      <c r="L2798" s="9" t="str">
        <f t="shared" si="565"/>
        <v>O</v>
      </c>
      <c r="M2798" s="9" t="str">
        <f t="shared" si="566"/>
        <v>Input!O645</v>
      </c>
      <c r="N2798" s="9">
        <f>_xlfn.XLOOKUP(F2798,'Raw Data'!$I$4:$I$5000,'Raw Data'!$E$4:$E$5000,100,0)</f>
        <v>100</v>
      </c>
      <c r="O2798" s="9" t="str">
        <f>IF(N2798=0,_xlfn.XLOOKUP(F2798,'Raw Data'!$I$4:$I$5000,'Raw Data'!$H$4:$H$5000,"",0),"")</f>
        <v/>
      </c>
      <c r="P2798" s="9" t="str" cm="1">
        <f t="array" aca="1" ref="P2798" ca="1">IF(INDIRECT(M2798) = "","",INDIRECT(M2798))</f>
        <v/>
      </c>
      <c r="Q2798" s="359" t="s">
        <v>4380</v>
      </c>
      <c r="R2798" t="s">
        <v>4683</v>
      </c>
    </row>
    <row r="2799" spans="1:18" x14ac:dyDescent="0.35">
      <c r="A2799" t="s">
        <v>3474</v>
      </c>
      <c r="E2799" t="str">
        <f>_xlfn.XLOOKUP(F2799,'Raw Data'!$I$4:$I$5000,'Raw Data'!$D$4:$D$5000,"*** Mnemonic not found ***",0)</f>
        <v>*** Mnemonic not found ***</v>
      </c>
      <c r="F2799" t="str">
        <f t="shared" si="568"/>
        <v>SUCMRESRSK_AP_CALANZ_C__</v>
      </c>
      <c r="H2799" s="9" t="s">
        <v>1137</v>
      </c>
      <c r="K2799" s="9">
        <f t="shared" si="567"/>
        <v>646</v>
      </c>
      <c r="L2799" s="9" t="str">
        <f t="shared" si="565"/>
        <v>O</v>
      </c>
      <c r="M2799" s="9" t="str">
        <f t="shared" si="566"/>
        <v>Input!O646</v>
      </c>
      <c r="N2799" s="9">
        <f>_xlfn.XLOOKUP(F2799,'Raw Data'!$I$4:$I$5000,'Raw Data'!$E$4:$E$5000,100,0)</f>
        <v>100</v>
      </c>
      <c r="O2799" s="9" t="str">
        <f>IF(N2799=0,_xlfn.XLOOKUP(F2799,'Raw Data'!$I$4:$I$5000,'Raw Data'!$H$4:$H$5000,"",0),"")</f>
        <v/>
      </c>
      <c r="P2799" s="9" t="str" cm="1">
        <f t="array" aca="1" ref="P2799" ca="1">IF(INDIRECT(M2799) = "","",INDIRECT(M2799))</f>
        <v/>
      </c>
      <c r="Q2799" s="359" t="s">
        <v>4380</v>
      </c>
      <c r="R2799" t="s">
        <v>4684</v>
      </c>
    </row>
    <row r="2800" spans="1:18" x14ac:dyDescent="0.35">
      <c r="A2800" t="s">
        <v>3475</v>
      </c>
      <c r="E2800" t="str">
        <f>_xlfn.XLOOKUP(F2800,'Raw Data'!$I$4:$I$5000,'Raw Data'!$D$4:$D$5000,"*** Mnemonic not found ***",0)</f>
        <v>*** Mnemonic not found ***</v>
      </c>
      <c r="F2800" t="str">
        <f t="shared" si="568"/>
        <v>SUCMRESRSK_AP_PALANZ_C__</v>
      </c>
      <c r="H2800" s="9" t="s">
        <v>1137</v>
      </c>
      <c r="K2800" s="9">
        <f t="shared" si="567"/>
        <v>647</v>
      </c>
      <c r="L2800" s="9" t="str">
        <f t="shared" si="565"/>
        <v>O</v>
      </c>
      <c r="M2800" s="9" t="str">
        <f t="shared" si="566"/>
        <v>Input!O647</v>
      </c>
      <c r="N2800" s="9">
        <f>_xlfn.XLOOKUP(F2800,'Raw Data'!$I$4:$I$5000,'Raw Data'!$E$4:$E$5000,100,0)</f>
        <v>100</v>
      </c>
      <c r="O2800" s="9" t="str">
        <f>IF(N2800=0,_xlfn.XLOOKUP(F2800,'Raw Data'!$I$4:$I$5000,'Raw Data'!$H$4:$H$5000,"",0),"")</f>
        <v/>
      </c>
      <c r="P2800" s="9" t="str" cm="1">
        <f t="array" aca="1" ref="P2800" ca="1">IF(INDIRECT(M2800) = "","",INDIRECT(M2800))</f>
        <v/>
      </c>
      <c r="Q2800" s="359" t="s">
        <v>4380</v>
      </c>
      <c r="R2800" t="s">
        <v>4685</v>
      </c>
    </row>
    <row r="2801" spans="1:18" x14ac:dyDescent="0.35">
      <c r="A2801" t="s">
        <v>3476</v>
      </c>
      <c r="E2801" t="str">
        <f>_xlfn.XLOOKUP(F2801,'Raw Data'!$I$4:$I$5000,'Raw Data'!$D$4:$D$5000,"*** Mnemonic not found ***",0)</f>
        <v>*** Mnemonic not found ***</v>
      </c>
      <c r="F2801" t="str">
        <f t="shared" si="568"/>
        <v>SUCMRESRSK_AP_ALB_C__</v>
      </c>
      <c r="H2801" s="9" t="s">
        <v>1137</v>
      </c>
      <c r="K2801" s="9">
        <f t="shared" si="567"/>
        <v>648</v>
      </c>
      <c r="L2801" s="9" t="str">
        <f t="shared" si="565"/>
        <v>O</v>
      </c>
      <c r="M2801" s="9" t="str">
        <f t="shared" si="566"/>
        <v>Input!O648</v>
      </c>
      <c r="N2801" s="9">
        <f>_xlfn.XLOOKUP(F2801,'Raw Data'!$I$4:$I$5000,'Raw Data'!$E$4:$E$5000,100,0)</f>
        <v>100</v>
      </c>
      <c r="O2801" s="9" t="str">
        <f>IF(N2801=0,_xlfn.XLOOKUP(F2801,'Raw Data'!$I$4:$I$5000,'Raw Data'!$H$4:$H$5000,"",0),"")</f>
        <v/>
      </c>
      <c r="P2801" s="9" t="str" cm="1">
        <f t="array" aca="1" ref="P2801" ca="1">IF(INDIRECT(M2801) = "","",INDIRECT(M2801))</f>
        <v/>
      </c>
      <c r="Q2801" s="359" t="s">
        <v>4380</v>
      </c>
      <c r="R2801" t="s">
        <v>4686</v>
      </c>
    </row>
    <row r="2802" spans="1:18" x14ac:dyDescent="0.35">
      <c r="A2802" s="694" t="s">
        <v>4363</v>
      </c>
      <c r="B2802" s="694"/>
      <c r="E2802" t="str">
        <f>_xlfn.XLOOKUP(F2802,'Raw Data'!$I$4:$I$5000,'Raw Data'!$D$4:$D$5000,"*** Mnemonic not found ***",0)</f>
        <v>*** Mnemonic not found ***</v>
      </c>
      <c r="F2802" t="str">
        <f t="shared" si="568"/>
        <v>SUCMRESRSK_AP_AJPTW_C__</v>
      </c>
      <c r="H2802" s="9" t="s">
        <v>1137</v>
      </c>
      <c r="K2802" s="9">
        <f t="shared" si="567"/>
        <v>649</v>
      </c>
      <c r="L2802" s="9" t="str">
        <f t="shared" ref="L2802:L2840" si="569">L2801</f>
        <v>O</v>
      </c>
      <c r="M2802" s="9" t="str">
        <f t="shared" ref="M2802:M2840" si="570">CONCATENATE(H2802,"!",L2802,K2802)</f>
        <v>Input!O649</v>
      </c>
      <c r="N2802" s="9">
        <f>_xlfn.XLOOKUP(F2802,'Raw Data'!$I$4:$I$5000,'Raw Data'!$E$4:$E$5000,100,0)</f>
        <v>100</v>
      </c>
      <c r="O2802" s="9" t="str">
        <f>IF(N2802=0,_xlfn.XLOOKUP(F2802,'Raw Data'!$I$4:$I$5000,'Raw Data'!$H$4:$H$5000,"",0),"")</f>
        <v/>
      </c>
      <c r="P2802" s="9" t="str" cm="1">
        <f t="array" aca="1" ref="P2802" ca="1">IF(INDIRECT(M2802) = "","",INDIRECT(M2802))</f>
        <v/>
      </c>
      <c r="Q2802" s="359" t="s">
        <v>4380</v>
      </c>
      <c r="R2802" t="s">
        <v>4687</v>
      </c>
    </row>
    <row r="2803" spans="1:18" x14ac:dyDescent="0.35">
      <c r="A2803" t="s">
        <v>3477</v>
      </c>
      <c r="E2803" t="str">
        <f>_xlfn.XLOOKUP(F2803,'Raw Data'!$I$4:$I$5000,'Raw Data'!$D$4:$D$5000,"*** Mnemonic not found ***",0)</f>
        <v>*** Mnemonic not found ***</v>
      </c>
      <c r="F2803" t="str">
        <f t="shared" si="568"/>
        <v>SUCMRESRSK_AP_TPLM_C__</v>
      </c>
      <c r="H2803" s="9" t="s">
        <v>1137</v>
      </c>
      <c r="K2803" s="9">
        <f t="shared" si="567"/>
        <v>650</v>
      </c>
      <c r="L2803" s="9" t="str">
        <f t="shared" si="569"/>
        <v>O</v>
      </c>
      <c r="M2803" s="9" t="str">
        <f t="shared" si="570"/>
        <v>Input!O650</v>
      </c>
      <c r="N2803" s="9">
        <f>_xlfn.XLOOKUP(F2803,'Raw Data'!$I$4:$I$5000,'Raw Data'!$E$4:$E$5000,100,0)</f>
        <v>100</v>
      </c>
      <c r="O2803" s="9" t="str">
        <f>IF(N2803=0,_xlfn.XLOOKUP(F2803,'Raw Data'!$I$4:$I$5000,'Raw Data'!$H$4:$H$5000,"",0),"")</f>
        <v/>
      </c>
      <c r="P2803" s="9" t="str" cm="1">
        <f t="array" aca="1" ref="P2803" ca="1">IF(INDIRECT(M2803) = "","",INDIRECT(M2803))</f>
        <v/>
      </c>
      <c r="Q2803" s="359" t="s">
        <v>4380</v>
      </c>
      <c r="R2803" t="s">
        <v>4688</v>
      </c>
    </row>
    <row r="2804" spans="1:18" x14ac:dyDescent="0.35">
      <c r="A2804" t="s">
        <v>3478</v>
      </c>
      <c r="E2804" t="str">
        <f>_xlfn.XLOOKUP(F2804,'Raw Data'!$I$4:$I$5000,'Raw Data'!$D$4:$D$5000,"*** Mnemonic not found ***",0)</f>
        <v>*** Mnemonic not found ***</v>
      </c>
      <c r="F2804" t="str">
        <f t="shared" si="568"/>
        <v>SUCMRESRSK_AP_CONCR_C__</v>
      </c>
      <c r="H2804" s="9" t="s">
        <v>1137</v>
      </c>
      <c r="K2804" s="9">
        <f t="shared" si="567"/>
        <v>651</v>
      </c>
      <c r="L2804" s="9" t="str">
        <f t="shared" si="569"/>
        <v>O</v>
      </c>
      <c r="M2804" s="9" t="str">
        <f t="shared" si="570"/>
        <v>Input!O651</v>
      </c>
      <c r="N2804" s="9">
        <f>_xlfn.XLOOKUP(F2804,'Raw Data'!$I$4:$I$5000,'Raw Data'!$E$4:$E$5000,100,0)</f>
        <v>100</v>
      </c>
      <c r="O2804" s="9" t="str">
        <f>IF(N2804=0,_xlfn.XLOOKUP(F2804,'Raw Data'!$I$4:$I$5000,'Raw Data'!$H$4:$H$5000,"",0),"")</f>
        <v/>
      </c>
      <c r="P2804" s="9" t="str" cm="1">
        <f t="array" aca="1" ref="P2804" ca="1">IF(INDIRECT(M2804) = "","",INDIRECT(M2804))</f>
        <v/>
      </c>
      <c r="Q2804" s="359" t="s">
        <v>4380</v>
      </c>
      <c r="R2804" t="s">
        <v>4689</v>
      </c>
    </row>
    <row r="2805" spans="1:18" x14ac:dyDescent="0.35">
      <c r="A2805" t="s">
        <v>3479</v>
      </c>
      <c r="E2805" t="str">
        <f>_xlfn.XLOOKUP(F2805,'Raw Data'!$I$4:$I$5000,'Raw Data'!$D$4:$D$5000,"*** Mnemonic not found ***",0)</f>
        <v>*** Mnemonic not found ***</v>
      </c>
      <c r="F2805" t="str">
        <f t="shared" si="568"/>
        <v>SUCMRESRSK_AP_CRD_C__</v>
      </c>
      <c r="H2805" s="9" t="s">
        <v>1137</v>
      </c>
      <c r="K2805" s="9">
        <f t="shared" si="567"/>
        <v>652</v>
      </c>
      <c r="L2805" s="9" t="str">
        <f t="shared" si="569"/>
        <v>O</v>
      </c>
      <c r="M2805" s="9" t="str">
        <f t="shared" si="570"/>
        <v>Input!O652</v>
      </c>
      <c r="N2805" s="9">
        <f>_xlfn.XLOOKUP(F2805,'Raw Data'!$I$4:$I$5000,'Raw Data'!$E$4:$E$5000,100,0)</f>
        <v>100</v>
      </c>
      <c r="O2805" s="9" t="str">
        <f>IF(N2805=0,_xlfn.XLOOKUP(F2805,'Raw Data'!$I$4:$I$5000,'Raw Data'!$H$4:$H$5000,"",0),"")</f>
        <v/>
      </c>
      <c r="P2805" s="9" t="str" cm="1">
        <f t="array" aca="1" ref="P2805" ca="1">IF(INDIRECT(M2805) = "","",INDIRECT(M2805))</f>
        <v/>
      </c>
      <c r="Q2805" s="359" t="s">
        <v>4380</v>
      </c>
      <c r="R2805" t="s">
        <v>4690</v>
      </c>
    </row>
    <row r="2806" spans="1:18" x14ac:dyDescent="0.35">
      <c r="A2806" t="s">
        <v>3480</v>
      </c>
      <c r="E2806" t="str">
        <f>_xlfn.XLOOKUP(F2806,'Raw Data'!$I$4:$I$5000,'Raw Data'!$D$4:$D$5000,"*** Mnemonic not found ***",0)</f>
        <v>*** Mnemonic not found ***</v>
      </c>
      <c r="F2806" t="str">
        <f t="shared" si="568"/>
        <v>SUCMRESRSK_AP_AAH_C__</v>
      </c>
      <c r="H2806" s="9" t="s">
        <v>1137</v>
      </c>
      <c r="K2806" s="9">
        <f t="shared" si="567"/>
        <v>653</v>
      </c>
      <c r="L2806" s="9" t="str">
        <f t="shared" si="569"/>
        <v>O</v>
      </c>
      <c r="M2806" s="9" t="str">
        <f t="shared" si="570"/>
        <v>Input!O653</v>
      </c>
      <c r="N2806" s="9">
        <f>_xlfn.XLOOKUP(F2806,'Raw Data'!$I$4:$I$5000,'Raw Data'!$E$4:$E$5000,100,0)</f>
        <v>100</v>
      </c>
      <c r="O2806" s="9" t="str">
        <f>IF(N2806=0,_xlfn.XLOOKUP(F2806,'Raw Data'!$I$4:$I$5000,'Raw Data'!$H$4:$H$5000,"",0),"")</f>
        <v/>
      </c>
      <c r="P2806" s="9" t="str" cm="1">
        <f t="array" aca="1" ref="P2806" ca="1">IF(INDIRECT(M2806) = "","",INDIRECT(M2806))</f>
        <v/>
      </c>
      <c r="Q2806" s="359" t="s">
        <v>4380</v>
      </c>
      <c r="R2806" t="s">
        <v>4691</v>
      </c>
    </row>
    <row r="2807" spans="1:18" x14ac:dyDescent="0.35">
      <c r="A2807" t="s">
        <v>3481</v>
      </c>
      <c r="E2807" t="str">
        <f>_xlfn.XLOOKUP(F2807,'Raw Data'!$I$4:$I$5000,'Raw Data'!$D$4:$D$5000,"*** Mnemonic not found ***",0)</f>
        <v>*** Mnemonic not found ***</v>
      </c>
      <c r="F2807" t="str">
        <f t="shared" si="568"/>
        <v>SUCMRESRSK_AP_HLTH_C__</v>
      </c>
      <c r="H2807" s="9" t="s">
        <v>1137</v>
      </c>
      <c r="K2807" s="9">
        <f t="shared" si="567"/>
        <v>654</v>
      </c>
      <c r="L2807" s="9" t="str">
        <f t="shared" si="569"/>
        <v>O</v>
      </c>
      <c r="M2807" s="9" t="str">
        <f t="shared" si="570"/>
        <v>Input!O654</v>
      </c>
      <c r="N2807" s="9">
        <f>_xlfn.XLOOKUP(F2807,'Raw Data'!$I$4:$I$5000,'Raw Data'!$E$4:$E$5000,100,0)</f>
        <v>100</v>
      </c>
      <c r="O2807" s="9" t="str">
        <f>IF(N2807=0,_xlfn.XLOOKUP(F2807,'Raw Data'!$I$4:$I$5000,'Raw Data'!$H$4:$H$5000,"",0),"")</f>
        <v/>
      </c>
      <c r="P2807" s="9" t="str" cm="1">
        <f t="array" aca="1" ref="P2807" ca="1">IF(INDIRECT(M2807) = "","",INDIRECT(M2807))</f>
        <v/>
      </c>
      <c r="Q2807" s="359" t="s">
        <v>4380</v>
      </c>
      <c r="R2807" t="s">
        <v>4692</v>
      </c>
    </row>
    <row r="2808" spans="1:18" x14ac:dyDescent="0.35">
      <c r="A2808" t="s">
        <v>3482</v>
      </c>
      <c r="E2808" t="str">
        <f>_xlfn.XLOOKUP(F2808,'Raw Data'!$I$4:$I$5000,'Raw Data'!$D$4:$D$5000,"*** Mnemonic not found ***",0)</f>
        <v>*** Mnemonic not found ***</v>
      </c>
      <c r="F2808" t="str">
        <f t="shared" si="568"/>
        <v>SUCMRESRSK_AP_MAVC_C__</v>
      </c>
      <c r="H2808" s="9" t="s">
        <v>1137</v>
      </c>
      <c r="K2808" s="9">
        <f t="shared" si="567"/>
        <v>655</v>
      </c>
      <c r="L2808" s="9" t="str">
        <f t="shared" si="569"/>
        <v>O</v>
      </c>
      <c r="M2808" s="9" t="str">
        <f t="shared" si="570"/>
        <v>Input!O655</v>
      </c>
      <c r="N2808" s="9">
        <f>_xlfn.XLOOKUP(F2808,'Raw Data'!$I$4:$I$5000,'Raw Data'!$E$4:$E$5000,100,0)</f>
        <v>100</v>
      </c>
      <c r="O2808" s="9" t="str">
        <f>IF(N2808=0,_xlfn.XLOOKUP(F2808,'Raw Data'!$I$4:$I$5000,'Raw Data'!$H$4:$H$5000,"",0),"")</f>
        <v/>
      </c>
      <c r="P2808" s="9" t="str" cm="1">
        <f t="array" aca="1" ref="P2808" ca="1">IF(INDIRECT(M2808) = "","",INDIRECT(M2808))</f>
        <v/>
      </c>
      <c r="Q2808" s="359" t="s">
        <v>4380</v>
      </c>
      <c r="R2808" t="s">
        <v>4693</v>
      </c>
    </row>
    <row r="2809" spans="1:18" x14ac:dyDescent="0.35">
      <c r="A2809" t="s">
        <v>3483</v>
      </c>
      <c r="E2809" t="str">
        <f>_xlfn.XLOOKUP(F2809,'Raw Data'!$I$4:$I$5000,'Raw Data'!$D$4:$D$5000,"*** Mnemonic not found ***",0)</f>
        <v>*** Mnemonic not found ***</v>
      </c>
      <c r="F2809" t="str">
        <f t="shared" si="568"/>
        <v>SUCMRESRSK_AP_MAVH_C__</v>
      </c>
      <c r="H2809" s="9" t="s">
        <v>1137</v>
      </c>
      <c r="K2809" s="9">
        <f t="shared" si="567"/>
        <v>656</v>
      </c>
      <c r="L2809" s="9" t="str">
        <f t="shared" si="569"/>
        <v>O</v>
      </c>
      <c r="M2809" s="9" t="str">
        <f t="shared" si="570"/>
        <v>Input!O656</v>
      </c>
      <c r="N2809" s="9">
        <f>_xlfn.XLOOKUP(F2809,'Raw Data'!$I$4:$I$5000,'Raw Data'!$E$4:$E$5000,100,0)</f>
        <v>100</v>
      </c>
      <c r="O2809" s="9" t="str">
        <f>IF(N2809=0,_xlfn.XLOOKUP(F2809,'Raw Data'!$I$4:$I$5000,'Raw Data'!$H$4:$H$5000,"",0),"")</f>
        <v/>
      </c>
      <c r="P2809" s="9" t="str" cm="1">
        <f t="array" aca="1" ref="P2809" ca="1">IF(INDIRECT(M2809) = "","",INDIRECT(M2809))</f>
        <v/>
      </c>
      <c r="Q2809" s="359" t="s">
        <v>4380</v>
      </c>
      <c r="R2809" t="s">
        <v>4694</v>
      </c>
    </row>
    <row r="2810" spans="1:18" x14ac:dyDescent="0.35">
      <c r="A2810" s="694" t="s">
        <v>4364</v>
      </c>
      <c r="B2810" s="694"/>
      <c r="E2810" t="str">
        <f>_xlfn.XLOOKUP(F2810,'Raw Data'!$I$4:$I$5000,'Raw Data'!$D$4:$D$5000,"*** Mnemonic not found ***",0)</f>
        <v>*** Mnemonic not found ***</v>
      </c>
      <c r="F2810" t="str">
        <f t="shared" si="568"/>
        <v>SUCMRESRSK_AP_MPIN_C__</v>
      </c>
      <c r="H2810" s="9" t="s">
        <v>1137</v>
      </c>
      <c r="K2810" s="9">
        <f t="shared" si="567"/>
        <v>657</v>
      </c>
      <c r="L2810" s="9" t="str">
        <f t="shared" si="569"/>
        <v>O</v>
      </c>
      <c r="M2810" s="9" t="str">
        <f t="shared" si="570"/>
        <v>Input!O657</v>
      </c>
      <c r="N2810" s="9">
        <f>_xlfn.XLOOKUP(F2810,'Raw Data'!$I$4:$I$5000,'Raw Data'!$E$4:$E$5000,100,0)</f>
        <v>100</v>
      </c>
      <c r="O2810" s="9" t="str">
        <f>IF(N2810=0,_xlfn.XLOOKUP(F2810,'Raw Data'!$I$4:$I$5000,'Raw Data'!$H$4:$H$5000,"",0),"")</f>
        <v/>
      </c>
      <c r="P2810" s="9" t="str" cm="1">
        <f t="array" aca="1" ref="P2810" ca="1">IF(INDIRECT(M2810) = "","",INDIRECT(M2810))</f>
        <v/>
      </c>
      <c r="Q2810" s="359" t="s">
        <v>4380</v>
      </c>
      <c r="R2810" t="s">
        <v>4695</v>
      </c>
    </row>
    <row r="2811" spans="1:18" x14ac:dyDescent="0.35">
      <c r="A2811" t="s">
        <v>3485</v>
      </c>
      <c r="E2811" t="str">
        <f>_xlfn.XLOOKUP(F2811,'Raw Data'!$I$4:$I$5000,'Raw Data'!$D$4:$D$5000,"*** Mnemonic not found ***",0)</f>
        <v>*** Mnemonic not found ***</v>
      </c>
      <c r="F2811" t="str">
        <f t="shared" si="568"/>
        <v>SUCMRESRSK_AP_TRV_C__</v>
      </c>
      <c r="H2811" s="9" t="s">
        <v>1137</v>
      </c>
      <c r="K2811" s="9">
        <f t="shared" si="567"/>
        <v>658</v>
      </c>
      <c r="L2811" s="9" t="str">
        <f t="shared" si="569"/>
        <v>O</v>
      </c>
      <c r="M2811" s="9" t="str">
        <f t="shared" si="570"/>
        <v>Input!O658</v>
      </c>
      <c r="N2811" s="9">
        <f>_xlfn.XLOOKUP(F2811,'Raw Data'!$I$4:$I$5000,'Raw Data'!$E$4:$E$5000,100,0)</f>
        <v>100</v>
      </c>
      <c r="O2811" s="9" t="str">
        <f>IF(N2811=0,_xlfn.XLOOKUP(F2811,'Raw Data'!$I$4:$I$5000,'Raw Data'!$H$4:$H$5000,"",0),"")</f>
        <v/>
      </c>
      <c r="P2811" s="9" t="str" cm="1">
        <f t="array" aca="1" ref="P2811" ca="1">IF(INDIRECT(M2811) = "","",INDIRECT(M2811))</f>
        <v/>
      </c>
      <c r="Q2811" s="359" t="s">
        <v>4380</v>
      </c>
      <c r="R2811" t="s">
        <v>4696</v>
      </c>
    </row>
    <row r="2812" spans="1:18" x14ac:dyDescent="0.35">
      <c r="A2812" t="s">
        <v>3486</v>
      </c>
      <c r="E2812" t="str">
        <f>_xlfn.XLOOKUP(F2812,'Raw Data'!$I$4:$I$5000,'Raw Data'!$D$4:$D$5000,"*** Mnemonic not found ***",0)</f>
        <v>*** Mnemonic not found ***</v>
      </c>
      <c r="F2812" t="str">
        <f t="shared" si="568"/>
        <v>SUCMRESRSK_AP_OCAH_C__</v>
      </c>
      <c r="H2812" s="9" t="s">
        <v>1137</v>
      </c>
      <c r="K2812" s="9">
        <f t="shared" si="567"/>
        <v>659</v>
      </c>
      <c r="L2812" s="9" t="str">
        <f t="shared" si="569"/>
        <v>O</v>
      </c>
      <c r="M2812" s="9" t="str">
        <f t="shared" si="570"/>
        <v>Input!O659</v>
      </c>
      <c r="N2812" s="9">
        <f>_xlfn.XLOOKUP(F2812,'Raw Data'!$I$4:$I$5000,'Raw Data'!$E$4:$E$5000,100,0)</f>
        <v>100</v>
      </c>
      <c r="O2812" s="9" t="str">
        <f>IF(N2812=0,_xlfn.XLOOKUP(F2812,'Raw Data'!$I$4:$I$5000,'Raw Data'!$H$4:$H$5000,"",0),"")</f>
        <v/>
      </c>
      <c r="P2812" s="9" t="str" cm="1">
        <f t="array" aca="1" ref="P2812" ca="1">IF(INDIRECT(M2812) = "","",INDIRECT(M2812))</f>
        <v/>
      </c>
      <c r="Q2812" s="359" t="s">
        <v>4380</v>
      </c>
      <c r="R2812" t="s">
        <v>4697</v>
      </c>
    </row>
    <row r="2813" spans="1:18" x14ac:dyDescent="0.35">
      <c r="A2813" t="s">
        <v>3487</v>
      </c>
      <c r="E2813" t="str">
        <f>_xlfn.XLOOKUP(F2813,'Raw Data'!$I$4:$I$5000,'Raw Data'!$D$4:$D$5000,"*** Mnemonic not found ***",0)</f>
        <v>*** Mnemonic not found ***</v>
      </c>
      <c r="F2813" t="str">
        <f t="shared" si="568"/>
        <v>SUCMRESRSK_LAM_EMLIB_C__</v>
      </c>
      <c r="H2813" s="9" t="s">
        <v>1137</v>
      </c>
      <c r="K2813" s="9">
        <f>K2812+2</f>
        <v>661</v>
      </c>
      <c r="L2813" s="9" t="str">
        <f t="shared" si="569"/>
        <v>O</v>
      </c>
      <c r="M2813" s="9" t="str">
        <f t="shared" si="570"/>
        <v>Input!O661</v>
      </c>
      <c r="N2813" s="9">
        <f>_xlfn.XLOOKUP(F2813,'Raw Data'!$I$4:$I$5000,'Raw Data'!$E$4:$E$5000,100,0)</f>
        <v>100</v>
      </c>
      <c r="O2813" s="9" t="str">
        <f>IF(N2813=0,_xlfn.XLOOKUP(F2813,'Raw Data'!$I$4:$I$5000,'Raw Data'!$H$4:$H$5000,"",0),"")</f>
        <v/>
      </c>
      <c r="P2813" s="9" t="str" cm="1">
        <f t="array" aca="1" ref="P2813" ca="1">IF(INDIRECT(M2813) = "","",INDIRECT(M2813))</f>
        <v/>
      </c>
      <c r="Q2813" s="359" t="s">
        <v>4380</v>
      </c>
      <c r="R2813" t="s">
        <v>4698</v>
      </c>
    </row>
    <row r="2814" spans="1:18" x14ac:dyDescent="0.35">
      <c r="A2814" t="s">
        <v>3488</v>
      </c>
      <c r="E2814" t="str">
        <f>_xlfn.XLOOKUP(F2814,'Raw Data'!$I$4:$I$5000,'Raw Data'!$D$4:$D$5000,"*** Mnemonic not found ***",0)</f>
        <v>*** Mnemonic not found ***</v>
      </c>
      <c r="F2814" t="str">
        <f t="shared" si="568"/>
        <v>SUCMRESRSK_LAM_LIA_C__</v>
      </c>
      <c r="H2814" s="9" t="s">
        <v>1137</v>
      </c>
      <c r="K2814" s="9">
        <f t="shared" ref="K2814:K2839" si="571">K2813+1</f>
        <v>662</v>
      </c>
      <c r="L2814" s="9" t="str">
        <f t="shared" si="569"/>
        <v>O</v>
      </c>
      <c r="M2814" s="9" t="str">
        <f t="shared" si="570"/>
        <v>Input!O662</v>
      </c>
      <c r="N2814" s="9">
        <f>_xlfn.XLOOKUP(F2814,'Raw Data'!$I$4:$I$5000,'Raw Data'!$E$4:$E$5000,100,0)</f>
        <v>100</v>
      </c>
      <c r="O2814" s="9" t="str">
        <f>IF(N2814=0,_xlfn.XLOOKUP(F2814,'Raw Data'!$I$4:$I$5000,'Raw Data'!$H$4:$H$5000,"",0),"")</f>
        <v/>
      </c>
      <c r="P2814" s="9" t="str" cm="1">
        <f t="array" aca="1" ref="P2814" ca="1">IF(INDIRECT(M2814) = "","",INDIRECT(M2814))</f>
        <v/>
      </c>
      <c r="Q2814" s="359" t="s">
        <v>4380</v>
      </c>
      <c r="R2814" t="s">
        <v>4699</v>
      </c>
    </row>
    <row r="2815" spans="1:18" x14ac:dyDescent="0.35">
      <c r="A2815" t="s">
        <v>3489</v>
      </c>
      <c r="E2815" t="str">
        <f>_xlfn.XLOOKUP(F2815,'Raw Data'!$I$4:$I$5000,'Raw Data'!$D$4:$D$5000,"*** Mnemonic not found ***",0)</f>
        <v>*** Mnemonic not found ***</v>
      </c>
      <c r="F2815" t="str">
        <f t="shared" si="568"/>
        <v>SUCMRESRSK_LAM_PRIND_C__</v>
      </c>
      <c r="H2815" s="9" t="s">
        <v>1137</v>
      </c>
      <c r="K2815" s="9">
        <f t="shared" si="571"/>
        <v>663</v>
      </c>
      <c r="L2815" s="9" t="str">
        <f t="shared" si="569"/>
        <v>O</v>
      </c>
      <c r="M2815" s="9" t="str">
        <f t="shared" si="570"/>
        <v>Input!O663</v>
      </c>
      <c r="N2815" s="9">
        <f>_xlfn.XLOOKUP(F2815,'Raw Data'!$I$4:$I$5000,'Raw Data'!$E$4:$E$5000,100,0)</f>
        <v>100</v>
      </c>
      <c r="O2815" s="9" t="str">
        <f>IF(N2815=0,_xlfn.XLOOKUP(F2815,'Raw Data'!$I$4:$I$5000,'Raw Data'!$H$4:$H$5000,"",0),"")</f>
        <v/>
      </c>
      <c r="P2815" s="9" t="str" cm="1">
        <f t="array" aca="1" ref="P2815" ca="1">IF(INDIRECT(M2815) = "","",INDIRECT(M2815))</f>
        <v/>
      </c>
      <c r="Q2815" s="359" t="s">
        <v>4380</v>
      </c>
      <c r="R2815" t="s">
        <v>4700</v>
      </c>
    </row>
    <row r="2816" spans="1:18" x14ac:dyDescent="0.35">
      <c r="A2816" t="s">
        <v>3490</v>
      </c>
      <c r="E2816" t="str">
        <f>_xlfn.XLOOKUP(F2816,'Raw Data'!$I$4:$I$5000,'Raw Data'!$D$4:$D$5000,"*** Mnemonic not found ***",0)</f>
        <v>*** Mnemonic not found ***</v>
      </c>
      <c r="F2816" t="str">
        <f t="shared" si="568"/>
        <v>SUCMRESRSK_LAM_CMPR_C__</v>
      </c>
      <c r="H2816" s="9" t="s">
        <v>1137</v>
      </c>
      <c r="K2816" s="9">
        <f t="shared" si="571"/>
        <v>664</v>
      </c>
      <c r="L2816" s="9" t="str">
        <f t="shared" si="569"/>
        <v>O</v>
      </c>
      <c r="M2816" s="9" t="str">
        <f t="shared" si="570"/>
        <v>Input!O664</v>
      </c>
      <c r="N2816" s="9">
        <f>_xlfn.XLOOKUP(F2816,'Raw Data'!$I$4:$I$5000,'Raw Data'!$E$4:$E$5000,100,0)</f>
        <v>100</v>
      </c>
      <c r="O2816" s="9" t="str">
        <f>IF(N2816=0,_xlfn.XLOOKUP(F2816,'Raw Data'!$I$4:$I$5000,'Raw Data'!$H$4:$H$5000,"",0),"")</f>
        <v/>
      </c>
      <c r="P2816" s="9" t="str" cm="1">
        <f t="array" aca="1" ref="P2816" ca="1">IF(INDIRECT(M2816) = "","",INDIRECT(M2816))</f>
        <v/>
      </c>
      <c r="Q2816" s="359" t="s">
        <v>4380</v>
      </c>
      <c r="R2816" t="s">
        <v>4701</v>
      </c>
    </row>
    <row r="2817" spans="1:18" x14ac:dyDescent="0.35">
      <c r="A2817" t="s">
        <v>3491</v>
      </c>
      <c r="E2817" t="str">
        <f>_xlfn.XLOOKUP(F2817,'Raw Data'!$I$4:$I$5000,'Raw Data'!$D$4:$D$5000,"*** Mnemonic not found ***",0)</f>
        <v>*** Mnemonic not found ***</v>
      </c>
      <c r="F2817" t="str">
        <f t="shared" si="568"/>
        <v>SUCMRESRSK_LAM_HMP_C__</v>
      </c>
      <c r="H2817" s="9" t="s">
        <v>1137</v>
      </c>
      <c r="K2817" s="9">
        <f t="shared" si="571"/>
        <v>665</v>
      </c>
      <c r="L2817" s="9" t="str">
        <f t="shared" si="569"/>
        <v>O</v>
      </c>
      <c r="M2817" s="9" t="str">
        <f t="shared" si="570"/>
        <v>Input!O665</v>
      </c>
      <c r="N2817" s="9">
        <f>_xlfn.XLOOKUP(F2817,'Raw Data'!$I$4:$I$5000,'Raw Data'!$E$4:$E$5000,100,0)</f>
        <v>100</v>
      </c>
      <c r="O2817" s="9" t="str">
        <f>IF(N2817=0,_xlfn.XLOOKUP(F2817,'Raw Data'!$I$4:$I$5000,'Raw Data'!$H$4:$H$5000,"",0),"")</f>
        <v/>
      </c>
      <c r="P2817" s="9" t="str" cm="1">
        <f t="array" aca="1" ref="P2817" ca="1">IF(INDIRECT(M2817) = "","",INDIRECT(M2817))</f>
        <v/>
      </c>
      <c r="Q2817" s="359" t="s">
        <v>4380</v>
      </c>
      <c r="R2817" t="s">
        <v>4702</v>
      </c>
    </row>
    <row r="2818" spans="1:18" x14ac:dyDescent="0.35">
      <c r="A2818" t="s">
        <v>3492</v>
      </c>
      <c r="E2818" t="str">
        <f>_xlfn.XLOOKUP(F2818,'Raw Data'!$I$4:$I$5000,'Raw Data'!$D$4:$D$5000,"*** Mnemonic not found ***",0)</f>
        <v>*** Mnemonic not found ***</v>
      </c>
      <c r="F2818" t="str">
        <f t="shared" si="568"/>
        <v>SUCMRESRSK_LAM_MEXFR_C__</v>
      </c>
      <c r="H2818" s="9" t="s">
        <v>1137</v>
      </c>
      <c r="K2818" s="9">
        <f t="shared" si="571"/>
        <v>666</v>
      </c>
      <c r="L2818" s="9" t="str">
        <f t="shared" si="569"/>
        <v>O</v>
      </c>
      <c r="M2818" s="9" t="str">
        <f t="shared" si="570"/>
        <v>Input!O666</v>
      </c>
      <c r="N2818" s="9">
        <f>_xlfn.XLOOKUP(F2818,'Raw Data'!$I$4:$I$5000,'Raw Data'!$E$4:$E$5000,100,0)</f>
        <v>100</v>
      </c>
      <c r="O2818" s="9" t="str">
        <f>IF(N2818=0,_xlfn.XLOOKUP(F2818,'Raw Data'!$I$4:$I$5000,'Raw Data'!$H$4:$H$5000,"",0),"")</f>
        <v/>
      </c>
      <c r="P2818" s="9" t="str" cm="1">
        <f t="array" aca="1" ref="P2818" ca="1">IF(INDIRECT(M2818) = "","",INDIRECT(M2818))</f>
        <v/>
      </c>
      <c r="Q2818" s="359" t="s">
        <v>4380</v>
      </c>
      <c r="R2818" t="s">
        <v>4703</v>
      </c>
    </row>
    <row r="2819" spans="1:18" x14ac:dyDescent="0.35">
      <c r="A2819" t="s">
        <v>3493</v>
      </c>
      <c r="E2819" t="str">
        <f>_xlfn.XLOOKUP(F2819,'Raw Data'!$I$4:$I$5000,'Raw Data'!$D$4:$D$5000,"*** Mnemonic not found ***",0)</f>
        <v>*** Mnemonic not found ***</v>
      </c>
      <c r="F2819" t="str">
        <f t="shared" si="568"/>
        <v>SUCMRESRSK_LAM_PLM_C__</v>
      </c>
      <c r="H2819" s="9" t="s">
        <v>1137</v>
      </c>
      <c r="K2819" s="9">
        <f t="shared" si="571"/>
        <v>667</v>
      </c>
      <c r="L2819" s="9" t="str">
        <f t="shared" si="569"/>
        <v>O</v>
      </c>
      <c r="M2819" s="9" t="str">
        <f t="shared" si="570"/>
        <v>Input!O667</v>
      </c>
      <c r="N2819" s="9">
        <f>_xlfn.XLOOKUP(F2819,'Raw Data'!$I$4:$I$5000,'Raw Data'!$E$4:$E$5000,100,0)</f>
        <v>100</v>
      </c>
      <c r="O2819" s="9" t="str">
        <f>IF(N2819=0,_xlfn.XLOOKUP(F2819,'Raw Data'!$I$4:$I$5000,'Raw Data'!$H$4:$H$5000,"",0),"")</f>
        <v/>
      </c>
      <c r="P2819" s="9" t="str" cm="1">
        <f t="array" aca="1" ref="P2819" ca="1">IF(INDIRECT(M2819) = "","",INDIRECT(M2819))</f>
        <v/>
      </c>
      <c r="Q2819" s="359" t="s">
        <v>4380</v>
      </c>
      <c r="R2819" t="s">
        <v>4704</v>
      </c>
    </row>
    <row r="2820" spans="1:18" x14ac:dyDescent="0.35">
      <c r="A2820" t="s">
        <v>3494</v>
      </c>
      <c r="E2820" t="str">
        <f>_xlfn.XLOOKUP(F2820,'Raw Data'!$I$4:$I$5000,'Raw Data'!$D$4:$D$5000,"*** Mnemonic not found ***",0)</f>
        <v>*** Mnemonic not found ***</v>
      </c>
      <c r="F2820" t="str">
        <f t="shared" si="568"/>
        <v>SUCMRESRSK_LAM_ALB_C__</v>
      </c>
      <c r="H2820" s="9" t="s">
        <v>1137</v>
      </c>
      <c r="K2820" s="9">
        <f t="shared" si="571"/>
        <v>668</v>
      </c>
      <c r="L2820" s="9" t="str">
        <f t="shared" si="569"/>
        <v>O</v>
      </c>
      <c r="M2820" s="9" t="str">
        <f t="shared" si="570"/>
        <v>Input!O668</v>
      </c>
      <c r="N2820" s="9">
        <f>_xlfn.XLOOKUP(F2820,'Raw Data'!$I$4:$I$5000,'Raw Data'!$E$4:$E$5000,100,0)</f>
        <v>100</v>
      </c>
      <c r="O2820" s="9" t="str">
        <f>IF(N2820=0,_xlfn.XLOOKUP(F2820,'Raw Data'!$I$4:$I$5000,'Raw Data'!$H$4:$H$5000,"",0),"")</f>
        <v/>
      </c>
      <c r="P2820" s="9" t="str" cm="1">
        <f t="array" aca="1" ref="P2820" ca="1">IF(INDIRECT(M2820) = "","",INDIRECT(M2820))</f>
        <v/>
      </c>
      <c r="Q2820" s="359" t="s">
        <v>4380</v>
      </c>
      <c r="R2820" t="s">
        <v>4705</v>
      </c>
    </row>
    <row r="2821" spans="1:18" x14ac:dyDescent="0.35">
      <c r="A2821" t="s">
        <v>3495</v>
      </c>
      <c r="E2821" t="str">
        <f>_xlfn.XLOOKUP(F2821,'Raw Data'!$I$4:$I$5000,'Raw Data'!$D$4:$D$5000,"*** Mnemonic not found ***",0)</f>
        <v>*** Mnemonic not found ***</v>
      </c>
      <c r="F2821" t="str">
        <f t="shared" si="568"/>
        <v>SUCMRESRSK_LAM_CRD_C__</v>
      </c>
      <c r="H2821" s="9" t="s">
        <v>1137</v>
      </c>
      <c r="K2821" s="9">
        <f t="shared" si="571"/>
        <v>669</v>
      </c>
      <c r="L2821" s="9" t="str">
        <f t="shared" si="569"/>
        <v>O</v>
      </c>
      <c r="M2821" s="9" t="str">
        <f t="shared" si="570"/>
        <v>Input!O669</v>
      </c>
      <c r="N2821" s="9">
        <f>_xlfn.XLOOKUP(F2821,'Raw Data'!$I$4:$I$5000,'Raw Data'!$E$4:$E$5000,100,0)</f>
        <v>100</v>
      </c>
      <c r="O2821" s="9" t="str">
        <f>IF(N2821=0,_xlfn.XLOOKUP(F2821,'Raw Data'!$I$4:$I$5000,'Raw Data'!$H$4:$H$5000,"",0),"")</f>
        <v/>
      </c>
      <c r="P2821" s="9" t="str" cm="1">
        <f t="array" aca="1" ref="P2821" ca="1">IF(INDIRECT(M2821) = "","",INDIRECT(M2821))</f>
        <v/>
      </c>
      <c r="Q2821" s="359" t="s">
        <v>4380</v>
      </c>
      <c r="R2821" t="s">
        <v>4706</v>
      </c>
    </row>
    <row r="2822" spans="1:18" x14ac:dyDescent="0.35">
      <c r="A2822" t="s">
        <v>3496</v>
      </c>
      <c r="E2822" t="str">
        <f>_xlfn.XLOOKUP(F2822,'Raw Data'!$I$4:$I$5000,'Raw Data'!$D$4:$D$5000,"*** Mnemonic not found ***",0)</f>
        <v>*** Mnemonic not found ***</v>
      </c>
      <c r="F2822" t="str">
        <f t="shared" si="568"/>
        <v>SUCMRESRSK_LAM_FID_C__</v>
      </c>
      <c r="H2822" s="9" t="s">
        <v>1137</v>
      </c>
      <c r="K2822" s="9">
        <f t="shared" si="571"/>
        <v>670</v>
      </c>
      <c r="L2822" s="9" t="str">
        <f t="shared" si="569"/>
        <v>O</v>
      </c>
      <c r="M2822" s="9" t="str">
        <f t="shared" si="570"/>
        <v>Input!O670</v>
      </c>
      <c r="N2822" s="9">
        <f>_xlfn.XLOOKUP(F2822,'Raw Data'!$I$4:$I$5000,'Raw Data'!$E$4:$E$5000,100,0)</f>
        <v>100</v>
      </c>
      <c r="O2822" s="9" t="str">
        <f>IF(N2822=0,_xlfn.XLOOKUP(F2822,'Raw Data'!$I$4:$I$5000,'Raw Data'!$H$4:$H$5000,"",0),"")</f>
        <v/>
      </c>
      <c r="P2822" s="9" t="str" cm="1">
        <f t="array" aca="1" ref="P2822" ca="1">IF(INDIRECT(M2822) = "","",INDIRECT(M2822))</f>
        <v/>
      </c>
      <c r="Q2822" s="359" t="s">
        <v>4380</v>
      </c>
      <c r="R2822" t="s">
        <v>4707</v>
      </c>
    </row>
    <row r="2823" spans="1:18" x14ac:dyDescent="0.35">
      <c r="A2823" t="s">
        <v>3497</v>
      </c>
      <c r="E2823" t="str">
        <f>_xlfn.XLOOKUP(F2823,'Raw Data'!$I$4:$I$5000,'Raw Data'!$D$4:$D$5000,"*** Mnemonic not found ***",0)</f>
        <v>*** Mnemonic not found ***</v>
      </c>
      <c r="F2823" t="str">
        <f t="shared" si="568"/>
        <v>SUCMRESRSK_LAM_SUR_C__</v>
      </c>
      <c r="H2823" s="9" t="s">
        <v>1137</v>
      </c>
      <c r="K2823" s="9">
        <f t="shared" si="571"/>
        <v>671</v>
      </c>
      <c r="L2823" s="9" t="str">
        <f t="shared" si="569"/>
        <v>O</v>
      </c>
      <c r="M2823" s="9" t="str">
        <f t="shared" si="570"/>
        <v>Input!O671</v>
      </c>
      <c r="N2823" s="9">
        <f>_xlfn.XLOOKUP(F2823,'Raw Data'!$I$4:$I$5000,'Raw Data'!$E$4:$E$5000,100,0)</f>
        <v>100</v>
      </c>
      <c r="O2823" s="9" t="str">
        <f>IF(N2823=0,_xlfn.XLOOKUP(F2823,'Raw Data'!$I$4:$I$5000,'Raw Data'!$H$4:$H$5000,"",0),"")</f>
        <v/>
      </c>
      <c r="P2823" s="9" t="str" cm="1">
        <f t="array" aca="1" ref="P2823" ca="1">IF(INDIRECT(M2823) = "","",INDIRECT(M2823))</f>
        <v/>
      </c>
      <c r="Q2823" s="359" t="s">
        <v>4380</v>
      </c>
      <c r="R2823" t="s">
        <v>4708</v>
      </c>
    </row>
    <row r="2824" spans="1:18" x14ac:dyDescent="0.35">
      <c r="A2824" t="s">
        <v>3498</v>
      </c>
      <c r="E2824" t="str">
        <f>_xlfn.XLOOKUP(F2824,'Raw Data'!$I$4:$I$5000,'Raw Data'!$D$4:$D$5000,"*** Mnemonic not found ***",0)</f>
        <v>*** Mnemonic not found ***</v>
      </c>
      <c r="F2824" t="str">
        <f t="shared" si="568"/>
        <v>SUCMRESRSK_LAM_AAH_C__</v>
      </c>
      <c r="H2824" s="9" t="s">
        <v>1137</v>
      </c>
      <c r="K2824" s="9">
        <f t="shared" si="571"/>
        <v>672</v>
      </c>
      <c r="L2824" s="9" t="str">
        <f t="shared" si="569"/>
        <v>O</v>
      </c>
      <c r="M2824" s="9" t="str">
        <f t="shared" si="570"/>
        <v>Input!O672</v>
      </c>
      <c r="N2824" s="9">
        <f>_xlfn.XLOOKUP(F2824,'Raw Data'!$I$4:$I$5000,'Raw Data'!$E$4:$E$5000,100,0)</f>
        <v>100</v>
      </c>
      <c r="O2824" s="9" t="str">
        <f>IF(N2824=0,_xlfn.XLOOKUP(F2824,'Raw Data'!$I$4:$I$5000,'Raw Data'!$H$4:$H$5000,"",0),"")</f>
        <v/>
      </c>
      <c r="P2824" s="9" t="str" cm="1">
        <f t="array" aca="1" ref="P2824" ca="1">IF(INDIRECT(M2824) = "","",INDIRECT(M2824))</f>
        <v/>
      </c>
      <c r="Q2824" s="359" t="s">
        <v>4380</v>
      </c>
      <c r="R2824" t="s">
        <v>4709</v>
      </c>
    </row>
    <row r="2825" spans="1:18" x14ac:dyDescent="0.35">
      <c r="A2825" t="s">
        <v>3499</v>
      </c>
      <c r="E2825" t="str">
        <f>_xlfn.XLOOKUP(F2825,'Raw Data'!$I$4:$I$5000,'Raw Data'!$D$4:$D$5000,"*** Mnemonic not found ***",0)</f>
        <v>*** Mnemonic not found ***</v>
      </c>
      <c r="F2825" t="str">
        <f t="shared" si="568"/>
        <v>SUCMRESRSK_LAM_HMEDEX_C__</v>
      </c>
      <c r="H2825" s="9" t="s">
        <v>1137</v>
      </c>
      <c r="K2825" s="9">
        <f t="shared" si="571"/>
        <v>673</v>
      </c>
      <c r="L2825" s="9" t="str">
        <f t="shared" si="569"/>
        <v>O</v>
      </c>
      <c r="M2825" s="9" t="str">
        <f t="shared" si="570"/>
        <v>Input!O673</v>
      </c>
      <c r="N2825" s="9">
        <f>_xlfn.XLOOKUP(F2825,'Raw Data'!$I$4:$I$5000,'Raw Data'!$E$4:$E$5000,100,0)</f>
        <v>100</v>
      </c>
      <c r="O2825" s="9" t="str">
        <f>IF(N2825=0,_xlfn.XLOOKUP(F2825,'Raw Data'!$I$4:$I$5000,'Raw Data'!$H$4:$H$5000,"",0),"")</f>
        <v/>
      </c>
      <c r="P2825" s="9" t="str" cm="1">
        <f t="array" aca="1" ref="P2825" ca="1">IF(INDIRECT(M2825) = "","",INDIRECT(M2825))</f>
        <v/>
      </c>
      <c r="Q2825" s="359" t="s">
        <v>4380</v>
      </c>
      <c r="R2825" t="s">
        <v>4710</v>
      </c>
    </row>
    <row r="2826" spans="1:18" x14ac:dyDescent="0.35">
      <c r="A2826" t="s">
        <v>3500</v>
      </c>
      <c r="E2826" t="str">
        <f>_xlfn.XLOOKUP(F2826,'Raw Data'!$I$4:$I$5000,'Raw Data'!$D$4:$D$5000,"*** Mnemonic not found ***",0)</f>
        <v>*** Mnemonic not found ***</v>
      </c>
      <c r="F2826" t="str">
        <f t="shared" si="568"/>
        <v>SUCMRESRSK_LAM_MAVA_C__</v>
      </c>
      <c r="H2826" s="9" t="s">
        <v>1137</v>
      </c>
      <c r="K2826" s="9">
        <f t="shared" si="571"/>
        <v>674</v>
      </c>
      <c r="L2826" s="9" t="str">
        <f t="shared" si="569"/>
        <v>O</v>
      </c>
      <c r="M2826" s="9" t="str">
        <f t="shared" si="570"/>
        <v>Input!O674</v>
      </c>
      <c r="N2826" s="9">
        <f>_xlfn.XLOOKUP(F2826,'Raw Data'!$I$4:$I$5000,'Raw Data'!$E$4:$E$5000,100,0)</f>
        <v>100</v>
      </c>
      <c r="O2826" s="9" t="str">
        <f>IF(N2826=0,_xlfn.XLOOKUP(F2826,'Raw Data'!$I$4:$I$5000,'Raw Data'!$H$4:$H$5000,"",0),"")</f>
        <v/>
      </c>
      <c r="P2826" s="9" t="str" cm="1">
        <f t="array" aca="1" ref="P2826" ca="1">IF(INDIRECT(M2826) = "","",INDIRECT(M2826))</f>
        <v/>
      </c>
      <c r="Q2826" s="359" t="s">
        <v>4380</v>
      </c>
      <c r="R2826" t="s">
        <v>4711</v>
      </c>
    </row>
    <row r="2827" spans="1:18" x14ac:dyDescent="0.35">
      <c r="A2827" t="s">
        <v>3501</v>
      </c>
      <c r="E2827" t="str">
        <f>_xlfn.XLOOKUP(F2827,'Raw Data'!$I$4:$I$5000,'Raw Data'!$D$4:$D$5000,"*** Mnemonic not found ***",0)</f>
        <v>*** Mnemonic not found ***</v>
      </c>
      <c r="F2827" t="str">
        <f t="shared" si="568"/>
        <v>SUCMRESRSK_LAM_MAVC_C__</v>
      </c>
      <c r="H2827" s="9" t="s">
        <v>1137</v>
      </c>
      <c r="K2827" s="9">
        <f t="shared" si="571"/>
        <v>675</v>
      </c>
      <c r="L2827" s="9" t="str">
        <f t="shared" si="569"/>
        <v>O</v>
      </c>
      <c r="M2827" s="9" t="str">
        <f t="shared" si="570"/>
        <v>Input!O675</v>
      </c>
      <c r="N2827" s="9">
        <f>_xlfn.XLOOKUP(F2827,'Raw Data'!$I$4:$I$5000,'Raw Data'!$E$4:$E$5000,100,0)</f>
        <v>100</v>
      </c>
      <c r="O2827" s="9" t="str">
        <f>IF(N2827=0,_xlfn.XLOOKUP(F2827,'Raw Data'!$I$4:$I$5000,'Raw Data'!$H$4:$H$5000,"",0),"")</f>
        <v/>
      </c>
      <c r="P2827" s="9" t="str" cm="1">
        <f t="array" aca="1" ref="P2827" ca="1">IF(INDIRECT(M2827) = "","",INDIRECT(M2827))</f>
        <v/>
      </c>
      <c r="Q2827" s="359" t="s">
        <v>4380</v>
      </c>
      <c r="R2827" t="s">
        <v>4712</v>
      </c>
    </row>
    <row r="2828" spans="1:18" x14ac:dyDescent="0.35">
      <c r="A2828" s="694" t="s">
        <v>4365</v>
      </c>
      <c r="B2828" s="694"/>
      <c r="E2828" t="str">
        <f>_xlfn.XLOOKUP(F2828,'Raw Data'!$I$4:$I$5000,'Raw Data'!$D$4:$D$5000,"*** Mnemonic not found ***",0)</f>
        <v>*** Mnemonic not found ***</v>
      </c>
      <c r="F2828" t="str">
        <f t="shared" si="568"/>
        <v>SUCMRESRSK_LAM_MPIN_C__</v>
      </c>
      <c r="H2828" s="9" t="s">
        <v>1137</v>
      </c>
      <c r="K2828" s="9">
        <f t="shared" si="571"/>
        <v>676</v>
      </c>
      <c r="L2828" s="9" t="str">
        <f t="shared" si="569"/>
        <v>O</v>
      </c>
      <c r="M2828" s="9" t="str">
        <f t="shared" si="570"/>
        <v>Input!O676</v>
      </c>
      <c r="N2828" s="9">
        <f>_xlfn.XLOOKUP(F2828,'Raw Data'!$I$4:$I$5000,'Raw Data'!$E$4:$E$5000,100,0)</f>
        <v>100</v>
      </c>
      <c r="O2828" s="9" t="str">
        <f>IF(N2828=0,_xlfn.XLOOKUP(F2828,'Raw Data'!$I$4:$I$5000,'Raw Data'!$H$4:$H$5000,"",0),"")</f>
        <v/>
      </c>
      <c r="P2828" s="9" t="str" cm="1">
        <f t="array" aca="1" ref="P2828" ca="1">IF(INDIRECT(M2828) = "","",INDIRECT(M2828))</f>
        <v/>
      </c>
      <c r="Q2828" s="359" t="s">
        <v>4380</v>
      </c>
      <c r="R2828" t="s">
        <v>4713</v>
      </c>
    </row>
    <row r="2829" spans="1:18" x14ac:dyDescent="0.35">
      <c r="A2829" t="s">
        <v>3502</v>
      </c>
      <c r="E2829" t="str">
        <f>_xlfn.XLOOKUP(F2829,'Raw Data'!$I$4:$I$5000,'Raw Data'!$D$4:$D$5000,"*** Mnemonic not found ***",0)</f>
        <v>*** Mnemonic not found ***</v>
      </c>
      <c r="F2829" t="str">
        <f t="shared" si="568"/>
        <v>SUCMRESRSK_LAM_TRV_C__</v>
      </c>
      <c r="H2829" s="9" t="s">
        <v>1137</v>
      </c>
      <c r="K2829" s="9">
        <f t="shared" si="571"/>
        <v>677</v>
      </c>
      <c r="L2829" s="9" t="str">
        <f t="shared" si="569"/>
        <v>O</v>
      </c>
      <c r="M2829" s="9" t="str">
        <f t="shared" si="570"/>
        <v>Input!O677</v>
      </c>
      <c r="N2829" s="9">
        <f>_xlfn.XLOOKUP(F2829,'Raw Data'!$I$4:$I$5000,'Raw Data'!$E$4:$E$5000,100,0)</f>
        <v>100</v>
      </c>
      <c r="O2829" s="9" t="str">
        <f>IF(N2829=0,_xlfn.XLOOKUP(F2829,'Raw Data'!$I$4:$I$5000,'Raw Data'!$H$4:$H$5000,"",0),"")</f>
        <v/>
      </c>
      <c r="P2829" s="9" t="str" cm="1">
        <f t="array" aca="1" ref="P2829" ca="1">IF(INDIRECT(M2829) = "","",INDIRECT(M2829))</f>
        <v/>
      </c>
      <c r="Q2829" s="359" t="s">
        <v>4380</v>
      </c>
      <c r="R2829" t="s">
        <v>4714</v>
      </c>
    </row>
    <row r="2830" spans="1:18" x14ac:dyDescent="0.35">
      <c r="A2830" t="s">
        <v>3503</v>
      </c>
      <c r="E2830" t="str">
        <f>_xlfn.XLOOKUP(F2830,'Raw Data'!$I$4:$I$5000,'Raw Data'!$D$4:$D$5000,"*** Mnemonic not found ***",0)</f>
        <v>*** Mnemonic not found ***</v>
      </c>
      <c r="F2830" t="str">
        <f t="shared" ref="F2830:F2893" si="572">CONCATENATE(A2830,"_",B2830,"_",D2830)</f>
        <v>SUCMRESRSK_LAM_WAR_C__</v>
      </c>
      <c r="H2830" s="9" t="s">
        <v>1137</v>
      </c>
      <c r="K2830" s="9">
        <f t="shared" si="571"/>
        <v>678</v>
      </c>
      <c r="L2830" s="9" t="str">
        <f t="shared" si="569"/>
        <v>O</v>
      </c>
      <c r="M2830" s="9" t="str">
        <f t="shared" si="570"/>
        <v>Input!O678</v>
      </c>
      <c r="N2830" s="9">
        <f>_xlfn.XLOOKUP(F2830,'Raw Data'!$I$4:$I$5000,'Raw Data'!$E$4:$E$5000,100,0)</f>
        <v>100</v>
      </c>
      <c r="O2830" s="9" t="str">
        <f>IF(N2830=0,_xlfn.XLOOKUP(F2830,'Raw Data'!$I$4:$I$5000,'Raw Data'!$H$4:$H$5000,"",0),"")</f>
        <v/>
      </c>
      <c r="P2830" s="9" t="str" cm="1">
        <f t="array" aca="1" ref="P2830" ca="1">IF(INDIRECT(M2830) = "","",INDIRECT(M2830))</f>
        <v/>
      </c>
      <c r="Q2830" s="359" t="s">
        <v>4380</v>
      </c>
      <c r="R2830" t="s">
        <v>4715</v>
      </c>
    </row>
    <row r="2831" spans="1:18" x14ac:dyDescent="0.35">
      <c r="A2831" t="s">
        <v>3504</v>
      </c>
      <c r="E2831" t="str">
        <f>_xlfn.XLOOKUP(F2831,'Raw Data'!$I$4:$I$5000,'Raw Data'!$D$4:$D$5000,"*** Mnemonic not found ***",0)</f>
        <v>*** Mnemonic not found ***</v>
      </c>
      <c r="F2831" t="str">
        <f t="shared" si="572"/>
        <v>SUCMRESRSK_LAM_OCAH_C__</v>
      </c>
      <c r="H2831" s="9" t="s">
        <v>1137</v>
      </c>
      <c r="K2831" s="9">
        <f t="shared" si="571"/>
        <v>679</v>
      </c>
      <c r="L2831" s="9" t="str">
        <f t="shared" si="569"/>
        <v>O</v>
      </c>
      <c r="M2831" s="9" t="str">
        <f t="shared" si="570"/>
        <v>Input!O679</v>
      </c>
      <c r="N2831" s="9">
        <f>_xlfn.XLOOKUP(F2831,'Raw Data'!$I$4:$I$5000,'Raw Data'!$E$4:$E$5000,100,0)</f>
        <v>100</v>
      </c>
      <c r="O2831" s="9" t="str">
        <f>IF(N2831=0,_xlfn.XLOOKUP(F2831,'Raw Data'!$I$4:$I$5000,'Raw Data'!$H$4:$H$5000,"",0),"")</f>
        <v/>
      </c>
      <c r="P2831" s="9" t="str" cm="1">
        <f t="array" aca="1" ref="P2831" ca="1">IF(INDIRECT(M2831) = "","",INDIRECT(M2831))</f>
        <v/>
      </c>
      <c r="Q2831" s="359" t="s">
        <v>4380</v>
      </c>
      <c r="R2831" t="s">
        <v>4716</v>
      </c>
    </row>
    <row r="2832" spans="1:18" x14ac:dyDescent="0.35">
      <c r="A2832" t="s">
        <v>3505</v>
      </c>
      <c r="E2832" t="str">
        <f>_xlfn.XLOOKUP(F2832,'Raw Data'!$I$4:$I$5000,'Raw Data'!$D$4:$D$5000,"*** Mnemonic not found ***",0)</f>
        <v>*** Mnemonic not found ***</v>
      </c>
      <c r="F2832" t="str">
        <f t="shared" si="572"/>
        <v>SUCMRESRSK_INPUT_C__</v>
      </c>
      <c r="H2832" s="9" t="s">
        <v>1137</v>
      </c>
      <c r="K2832" s="9">
        <f>K2831+2</f>
        <v>681</v>
      </c>
      <c r="L2832" s="9" t="str">
        <f t="shared" si="569"/>
        <v>O</v>
      </c>
      <c r="M2832" s="9" t="str">
        <f t="shared" si="570"/>
        <v>Input!O681</v>
      </c>
      <c r="N2832" s="9">
        <f>_xlfn.XLOOKUP(F2832,'Raw Data'!$I$4:$I$5000,'Raw Data'!$E$4:$E$5000,100,0)</f>
        <v>100</v>
      </c>
      <c r="O2832" s="9" t="str">
        <f>IF(N2832=0,_xlfn.XLOOKUP(F2832,'Raw Data'!$I$4:$I$5000,'Raw Data'!$H$4:$H$5000,"",0),"")</f>
        <v/>
      </c>
      <c r="P2832" s="9" t="str" cm="1">
        <f t="array" aca="1" ref="P2832" ca="1">IF(INDIRECT(M2832) = "","",INDIRECT(M2832))</f>
        <v/>
      </c>
      <c r="Q2832" s="359" t="s">
        <v>4380</v>
      </c>
    </row>
    <row r="2833" spans="1:17" x14ac:dyDescent="0.35">
      <c r="A2833" t="s">
        <v>3506</v>
      </c>
      <c r="E2833" t="str">
        <f>_xlfn.XLOOKUP(F2833,'Raw Data'!$I$4:$I$5000,'Raw Data'!$D$4:$D$5000,"*** Mnemonic not found ***",0)</f>
        <v>*** Mnemonic not found ***</v>
      </c>
      <c r="F2833" t="str">
        <f t="shared" si="572"/>
        <v>SUCMRESRSK_INPUT_LIA_C__</v>
      </c>
      <c r="H2833" s="9" t="s">
        <v>1137</v>
      </c>
      <c r="K2833" s="9">
        <f t="shared" si="571"/>
        <v>682</v>
      </c>
      <c r="L2833" s="9" t="str">
        <f t="shared" si="569"/>
        <v>O</v>
      </c>
      <c r="M2833" s="9" t="str">
        <f t="shared" si="570"/>
        <v>Input!O682</v>
      </c>
      <c r="N2833" s="9">
        <f>_xlfn.XLOOKUP(F2833,'Raw Data'!$I$4:$I$5000,'Raw Data'!$E$4:$E$5000,100,0)</f>
        <v>100</v>
      </c>
      <c r="O2833" s="9" t="str">
        <f>IF(N2833=0,_xlfn.XLOOKUP(F2833,'Raw Data'!$I$4:$I$5000,'Raw Data'!$H$4:$H$5000,"",0),"")</f>
        <v/>
      </c>
      <c r="P2833" s="9" t="str" cm="1">
        <f t="array" aca="1" ref="P2833" ca="1">IF(INDIRECT(M2833) = "","",INDIRECT(M2833))</f>
        <v/>
      </c>
      <c r="Q2833" s="359" t="s">
        <v>4380</v>
      </c>
    </row>
    <row r="2834" spans="1:17" x14ac:dyDescent="0.35">
      <c r="A2834" t="s">
        <v>3507</v>
      </c>
      <c r="E2834" t="str">
        <f>_xlfn.XLOOKUP(F2834,'Raw Data'!$I$4:$I$5000,'Raw Data'!$D$4:$D$5000,"*** Mnemonic not found ***",0)</f>
        <v>*** Mnemonic not found ***</v>
      </c>
      <c r="F2834" t="str">
        <f t="shared" si="572"/>
        <v>SUCMRESRSK_INPUT_PROP_C__</v>
      </c>
      <c r="H2834" s="9" t="s">
        <v>1137</v>
      </c>
      <c r="K2834" s="9">
        <f t="shared" si="571"/>
        <v>683</v>
      </c>
      <c r="L2834" s="9" t="str">
        <f t="shared" si="569"/>
        <v>O</v>
      </c>
      <c r="M2834" s="9" t="str">
        <f t="shared" si="570"/>
        <v>Input!O683</v>
      </c>
      <c r="N2834" s="9">
        <f>_xlfn.XLOOKUP(F2834,'Raw Data'!$I$4:$I$5000,'Raw Data'!$E$4:$E$5000,100,0)</f>
        <v>100</v>
      </c>
      <c r="O2834" s="9" t="str">
        <f>IF(N2834=0,_xlfn.XLOOKUP(F2834,'Raw Data'!$I$4:$I$5000,'Raw Data'!$H$4:$H$5000,"",0),"")</f>
        <v/>
      </c>
      <c r="P2834" s="9" t="str" cm="1">
        <f t="array" aca="1" ref="P2834" ca="1">IF(INDIRECT(M2834) = "","",INDIRECT(M2834))</f>
        <v/>
      </c>
      <c r="Q2834" s="359" t="s">
        <v>4380</v>
      </c>
    </row>
    <row r="2835" spans="1:17" x14ac:dyDescent="0.35">
      <c r="A2835" t="s">
        <v>3508</v>
      </c>
      <c r="E2835" t="str">
        <f>_xlfn.XLOOKUP(F2835,'Raw Data'!$I$4:$I$5000,'Raw Data'!$D$4:$D$5000,"*** Mnemonic not found ***",0)</f>
        <v>*** Mnemonic not found ***</v>
      </c>
      <c r="F2835" t="str">
        <f t="shared" si="572"/>
        <v>SUCMRESRSK_INPUT_MOT_C__</v>
      </c>
      <c r="H2835" s="9" t="s">
        <v>1137</v>
      </c>
      <c r="K2835" s="9">
        <f t="shared" si="571"/>
        <v>684</v>
      </c>
      <c r="L2835" s="9" t="str">
        <f t="shared" si="569"/>
        <v>O</v>
      </c>
      <c r="M2835" s="9" t="str">
        <f t="shared" si="570"/>
        <v>Input!O684</v>
      </c>
      <c r="N2835" s="9">
        <f>_xlfn.XLOOKUP(F2835,'Raw Data'!$I$4:$I$5000,'Raw Data'!$E$4:$E$5000,100,0)</f>
        <v>100</v>
      </c>
      <c r="O2835" s="9" t="str">
        <f>IF(N2835=0,_xlfn.XLOOKUP(F2835,'Raw Data'!$I$4:$I$5000,'Raw Data'!$H$4:$H$5000,"",0),"")</f>
        <v/>
      </c>
      <c r="P2835" s="9" t="str" cm="1">
        <f t="array" aca="1" ref="P2835" ca="1">IF(INDIRECT(M2835) = "","",INDIRECT(M2835))</f>
        <v/>
      </c>
      <c r="Q2835" s="359" t="s">
        <v>4380</v>
      </c>
    </row>
    <row r="2836" spans="1:17" x14ac:dyDescent="0.35">
      <c r="A2836" t="s">
        <v>3509</v>
      </c>
      <c r="E2836" t="str">
        <f>_xlfn.XLOOKUP(F2836,'Raw Data'!$I$4:$I$5000,'Raw Data'!$D$4:$D$5000,"*** Mnemonic not found ***",0)</f>
        <v>*** Mnemonic not found ***</v>
      </c>
      <c r="F2836" t="str">
        <f t="shared" si="572"/>
        <v>SUCMRESRSK_INPUT_FIN_C__</v>
      </c>
      <c r="H2836" s="9" t="s">
        <v>1137</v>
      </c>
      <c r="K2836" s="9">
        <f t="shared" si="571"/>
        <v>685</v>
      </c>
      <c r="L2836" s="9" t="str">
        <f t="shared" si="569"/>
        <v>O</v>
      </c>
      <c r="M2836" s="9" t="str">
        <f t="shared" si="570"/>
        <v>Input!O685</v>
      </c>
      <c r="N2836" s="9">
        <f>_xlfn.XLOOKUP(F2836,'Raw Data'!$I$4:$I$5000,'Raw Data'!$E$4:$E$5000,100,0)</f>
        <v>100</v>
      </c>
      <c r="O2836" s="9" t="str">
        <f>IF(N2836=0,_xlfn.XLOOKUP(F2836,'Raw Data'!$I$4:$I$5000,'Raw Data'!$H$4:$H$5000,"",0),"")</f>
        <v/>
      </c>
      <c r="P2836" s="9" t="str" cm="1">
        <f t="array" aca="1" ref="P2836" ca="1">IF(INDIRECT(M2836) = "","",INDIRECT(M2836))</f>
        <v/>
      </c>
      <c r="Q2836" s="359" t="s">
        <v>4380</v>
      </c>
    </row>
    <row r="2837" spans="1:17" x14ac:dyDescent="0.35">
      <c r="A2837" t="s">
        <v>3510</v>
      </c>
      <c r="E2837" t="str">
        <f>_xlfn.XLOOKUP(F2837,'Raw Data'!$I$4:$I$5000,'Raw Data'!$D$4:$D$5000,"*** Mnemonic not found ***",0)</f>
        <v>*** Mnemonic not found ***</v>
      </c>
      <c r="F2837" t="str">
        <f t="shared" si="572"/>
        <v>SUCMRESRSK_INPUT_HLTH_C__</v>
      </c>
      <c r="H2837" s="9" t="s">
        <v>1137</v>
      </c>
      <c r="K2837" s="9">
        <f t="shared" si="571"/>
        <v>686</v>
      </c>
      <c r="L2837" s="9" t="str">
        <f t="shared" si="569"/>
        <v>O</v>
      </c>
      <c r="M2837" s="9" t="str">
        <f t="shared" si="570"/>
        <v>Input!O686</v>
      </c>
      <c r="N2837" s="9">
        <f>_xlfn.XLOOKUP(F2837,'Raw Data'!$I$4:$I$5000,'Raw Data'!$E$4:$E$5000,100,0)</f>
        <v>100</v>
      </c>
      <c r="O2837" s="9" t="str">
        <f>IF(N2837=0,_xlfn.XLOOKUP(F2837,'Raw Data'!$I$4:$I$5000,'Raw Data'!$H$4:$H$5000,"",0),"")</f>
        <v/>
      </c>
      <c r="P2837" s="9" t="str" cm="1">
        <f t="array" aca="1" ref="P2837" ca="1">IF(INDIRECT(M2837) = "","",INDIRECT(M2837))</f>
        <v/>
      </c>
      <c r="Q2837" s="359" t="s">
        <v>4380</v>
      </c>
    </row>
    <row r="2838" spans="1:17" x14ac:dyDescent="0.35">
      <c r="A2838" t="s">
        <v>3511</v>
      </c>
      <c r="E2838" t="str">
        <f>_xlfn.XLOOKUP(F2838,'Raw Data'!$I$4:$I$5000,'Raw Data'!$D$4:$D$5000,"*** Mnemonic not found ***",0)</f>
        <v>*** Mnemonic not found ***</v>
      </c>
      <c r="F2838" t="str">
        <f t="shared" si="572"/>
        <v>SUCMRESRSK_INPUT_MAT_C__</v>
      </c>
      <c r="H2838" s="9" t="s">
        <v>1137</v>
      </c>
      <c r="K2838" s="9">
        <f t="shared" si="571"/>
        <v>687</v>
      </c>
      <c r="L2838" s="9" t="str">
        <f t="shared" si="569"/>
        <v>O</v>
      </c>
      <c r="M2838" s="9" t="str">
        <f t="shared" si="570"/>
        <v>Input!O687</v>
      </c>
      <c r="N2838" s="9">
        <f>_xlfn.XLOOKUP(F2838,'Raw Data'!$I$4:$I$5000,'Raw Data'!$E$4:$E$5000,100,0)</f>
        <v>100</v>
      </c>
      <c r="O2838" s="9" t="str">
        <f>IF(N2838=0,_xlfn.XLOOKUP(F2838,'Raw Data'!$I$4:$I$5000,'Raw Data'!$H$4:$H$5000,"",0),"")</f>
        <v/>
      </c>
      <c r="P2838" s="9" t="str" cm="1">
        <f t="array" aca="1" ref="P2838" ca="1">IF(INDIRECT(M2838) = "","",INDIRECT(M2838))</f>
        <v/>
      </c>
      <c r="Q2838" s="359" t="s">
        <v>4380</v>
      </c>
    </row>
    <row r="2839" spans="1:17" x14ac:dyDescent="0.35">
      <c r="A2839" t="s">
        <v>3512</v>
      </c>
      <c r="E2839" t="str">
        <f>_xlfn.XLOOKUP(F2839,'Raw Data'!$I$4:$I$5000,'Raw Data'!$D$4:$D$5000,"*** Mnemonic not found ***",0)</f>
        <v>*** Mnemonic not found ***</v>
      </c>
      <c r="F2839" t="str">
        <f t="shared" si="572"/>
        <v>SUCMRESRSK_INPUT_OTH_C__</v>
      </c>
      <c r="H2839" s="9" t="s">
        <v>1137</v>
      </c>
      <c r="K2839" s="9">
        <f t="shared" si="571"/>
        <v>688</v>
      </c>
      <c r="L2839" s="9" t="str">
        <f t="shared" si="569"/>
        <v>O</v>
      </c>
      <c r="M2839" s="9" t="str">
        <f t="shared" si="570"/>
        <v>Input!O688</v>
      </c>
      <c r="N2839" s="9">
        <f>_xlfn.XLOOKUP(F2839,'Raw Data'!$I$4:$I$5000,'Raw Data'!$E$4:$E$5000,100,0)</f>
        <v>100</v>
      </c>
      <c r="O2839" s="9" t="str">
        <f>IF(N2839=0,_xlfn.XLOOKUP(F2839,'Raw Data'!$I$4:$I$5000,'Raw Data'!$H$4:$H$5000,"",0),"")</f>
        <v/>
      </c>
      <c r="P2839" s="9" t="str" cm="1">
        <f t="array" aca="1" ref="P2839" ca="1">IF(INDIRECT(M2839) = "","",INDIRECT(M2839))</f>
        <v/>
      </c>
      <c r="Q2839" s="359" t="s">
        <v>4380</v>
      </c>
    </row>
    <row r="2840" spans="1:17" x14ac:dyDescent="0.35">
      <c r="A2840" t="s">
        <v>3513</v>
      </c>
      <c r="E2840" t="str">
        <f>_xlfn.XLOOKUP(F2840,'Raw Data'!$I$4:$I$5000,'Raw Data'!$D$4:$D$5000,"*** Mnemonic not found ***",0)</f>
        <v>*** Mnemonic not found ***</v>
      </c>
      <c r="F2840" t="str">
        <f t="shared" si="572"/>
        <v>SUCMRESRSK_INPUT_SUM_C__</v>
      </c>
      <c r="H2840" s="9" t="s">
        <v>1137</v>
      </c>
      <c r="K2840" s="9">
        <f>K2839+2</f>
        <v>690</v>
      </c>
      <c r="L2840" s="9" t="str">
        <f t="shared" si="569"/>
        <v>O</v>
      </c>
      <c r="M2840" s="9" t="str">
        <f t="shared" si="570"/>
        <v>Input!O690</v>
      </c>
      <c r="N2840" s="9">
        <f>_xlfn.XLOOKUP(F2840,'Raw Data'!$I$4:$I$5000,'Raw Data'!$E$4:$E$5000,100,0)</f>
        <v>100</v>
      </c>
      <c r="O2840" s="9" t="str">
        <f>IF(N2840=0,_xlfn.XLOOKUP(F2840,'Raw Data'!$I$4:$I$5000,'Raw Data'!$H$4:$H$5000,"",0),"")</f>
        <v/>
      </c>
      <c r="P2840" s="9" t="str" cm="1">
        <f t="array" aca="1" ref="P2840" ca="1">IF(INDIRECT(M2840) = "","",INDIRECT(M2840))</f>
        <v/>
      </c>
      <c r="Q2840" s="359" t="s">
        <v>4380</v>
      </c>
    </row>
    <row r="2841" spans="1:17" x14ac:dyDescent="0.35">
      <c r="A2841" t="s">
        <v>3514</v>
      </c>
      <c r="E2841" t="str">
        <f>_xlfn.XLOOKUP(F2841,'Raw Data'!$I$4:$I$5000,'Raw Data'!$D$4:$D$5000,"*** Mnemonic not found ***",0)</f>
        <v>*** Mnemonic not found ***</v>
      </c>
      <c r="F2841" t="str">
        <f t="shared" si="572"/>
        <v>SUCMNPW_MI_C__</v>
      </c>
      <c r="G2841" t="s">
        <v>3119</v>
      </c>
      <c r="H2841" s="9" t="s">
        <v>1137</v>
      </c>
      <c r="I2841" s="289">
        <f>ROW(section_mortgage_insurance)</f>
        <v>693</v>
      </c>
      <c r="J2841" s="9">
        <v>3</v>
      </c>
      <c r="K2841" s="9">
        <f>I2841+J2841</f>
        <v>696</v>
      </c>
      <c r="L2841" s="9" t="str">
        <f>L2840</f>
        <v>O</v>
      </c>
      <c r="M2841" s="9" t="str">
        <f t="shared" ref="M2841:M2865" si="573">CONCATENATE(H2841,"!",L2841,K2841)</f>
        <v>Input!O696</v>
      </c>
      <c r="N2841" s="9">
        <f>_xlfn.XLOOKUP(F2841,'Raw Data'!$I$4:$I$5000,'Raw Data'!$E$4:$E$5000,100,0)</f>
        <v>100</v>
      </c>
      <c r="O2841" s="9" t="str">
        <f>IF(N2841=0,_xlfn.XLOOKUP(F2841,'Raw Data'!$I$4:$I$5000,'Raw Data'!$H$4:$H$5000,"",0),"")</f>
        <v/>
      </c>
      <c r="P2841" s="9" t="str" cm="1">
        <f t="array" aca="1" ref="P2841" ca="1">IF(INDIRECT(M2841) = "","",INDIRECT(M2841))</f>
        <v/>
      </c>
      <c r="Q2841" s="359" t="s">
        <v>4380</v>
      </c>
    </row>
    <row r="2842" spans="1:17" x14ac:dyDescent="0.35">
      <c r="A2842" t="s">
        <v>3515</v>
      </c>
      <c r="E2842" t="str">
        <f>_xlfn.XLOOKUP(F2842,'Raw Data'!$I$4:$I$5000,'Raw Data'!$D$4:$D$5000,"*** Mnemonic not found ***",0)</f>
        <v>*** Mnemonic not found ***</v>
      </c>
      <c r="F2842" t="str">
        <f t="shared" si="572"/>
        <v>SUCMUEP_MI_C__</v>
      </c>
      <c r="H2842" s="9" t="s">
        <v>1137</v>
      </c>
      <c r="K2842" s="9">
        <f t="shared" ref="K2842:K2843" si="574">K2841+1</f>
        <v>697</v>
      </c>
      <c r="L2842" s="9" t="str">
        <f t="shared" ref="L2842:L2857" si="575">L2841</f>
        <v>O</v>
      </c>
      <c r="M2842" s="9" t="str">
        <f t="shared" si="573"/>
        <v>Input!O697</v>
      </c>
      <c r="N2842" s="9">
        <f>_xlfn.XLOOKUP(F2842,'Raw Data'!$I$4:$I$5000,'Raw Data'!$E$4:$E$5000,100,0)</f>
        <v>100</v>
      </c>
      <c r="O2842" s="9" t="str">
        <f>IF(N2842=0,_xlfn.XLOOKUP(F2842,'Raw Data'!$I$4:$I$5000,'Raw Data'!$H$4:$H$5000,"",0),"")</f>
        <v/>
      </c>
      <c r="P2842" s="9" t="str" cm="1">
        <f t="array" aca="1" ref="P2842" ca="1">IF(INDIRECT(M2842) = "","",INDIRECT(M2842))</f>
        <v/>
      </c>
      <c r="Q2842" s="359" t="s">
        <v>4380</v>
      </c>
    </row>
    <row r="2843" spans="1:17" x14ac:dyDescent="0.35">
      <c r="A2843" t="s">
        <v>3516</v>
      </c>
      <c r="E2843" t="str">
        <f>_xlfn.XLOOKUP(F2843,'Raw Data'!$I$4:$I$5000,'Raw Data'!$D$4:$D$5000,"*** Mnemonic not found ***",0)</f>
        <v>*** Mnemonic not found ***</v>
      </c>
      <c r="F2843" t="str">
        <f t="shared" si="572"/>
        <v>SUCMLR_MI_C__</v>
      </c>
      <c r="H2843" s="9" t="s">
        <v>1137</v>
      </c>
      <c r="K2843" s="9">
        <f t="shared" si="574"/>
        <v>698</v>
      </c>
      <c r="L2843" s="9" t="str">
        <f t="shared" si="575"/>
        <v>O</v>
      </c>
      <c r="M2843" s="9" t="str">
        <f t="shared" si="573"/>
        <v>Input!O698</v>
      </c>
      <c r="N2843" s="9">
        <f>_xlfn.XLOOKUP(F2843,'Raw Data'!$I$4:$I$5000,'Raw Data'!$E$4:$E$5000,100,0)</f>
        <v>100</v>
      </c>
      <c r="O2843" s="9" t="str">
        <f>IF(N2843=0,_xlfn.XLOOKUP(F2843,'Raw Data'!$I$4:$I$5000,'Raw Data'!$H$4:$H$5000,"",0),"")</f>
        <v/>
      </c>
      <c r="P2843" s="9" t="str" cm="1">
        <f t="array" aca="1" ref="P2843" ca="1">IF(INDIRECT(M2843) = "","",INDIRECT(M2843))</f>
        <v/>
      </c>
      <c r="Q2843" s="359" t="s">
        <v>4380</v>
      </c>
    </row>
    <row r="2844" spans="1:17" x14ac:dyDescent="0.35">
      <c r="A2844" t="s">
        <v>3517</v>
      </c>
      <c r="E2844" t="str">
        <f>_xlfn.XLOOKUP(F2844,'Raw Data'!$I$4:$I$5000,'Raw Data'!$D$4:$D$5000,"*** Mnemonic not found ***",0)</f>
        <v>*** Mnemonic not found ***</v>
      </c>
      <c r="F2844" t="str">
        <f t="shared" si="572"/>
        <v>SUCMAEPOEPCURVE_C__</v>
      </c>
      <c r="G2844" t="s">
        <v>3120</v>
      </c>
      <c r="H2844" s="9" t="s">
        <v>1137</v>
      </c>
      <c r="I2844" s="289">
        <f>ROW(section_natural_catastrophe)</f>
        <v>701</v>
      </c>
      <c r="J2844" s="9">
        <v>2</v>
      </c>
      <c r="K2844" s="9">
        <f>I2844+J2844</f>
        <v>703</v>
      </c>
      <c r="L2844" s="9" t="str">
        <f>L2843</f>
        <v>O</v>
      </c>
      <c r="M2844" s="9" t="str">
        <f t="shared" si="573"/>
        <v>Input!O703</v>
      </c>
      <c r="N2844" s="9">
        <f>_xlfn.XLOOKUP(F2844,'Raw Data'!$I$4:$I$5000,'Raw Data'!$E$4:$E$5000,100,0)</f>
        <v>100</v>
      </c>
      <c r="O2844" s="9" t="str">
        <f>IF(N2844=0,_xlfn.XLOOKUP(F2844,'Raw Data'!$I$4:$I$5000,'Raw Data'!$H$4:$H$5000,"",0),"")</f>
        <v/>
      </c>
      <c r="P2844" s="9" t="str" cm="1">
        <f t="array" aca="1" ref="P2844" ca="1">IF(INDIRECT(M2844) = "","",INDIRECT(M2844))</f>
        <v/>
      </c>
      <c r="Q2844" s="359" t="s">
        <v>4380</v>
      </c>
    </row>
    <row r="2845" spans="1:17" x14ac:dyDescent="0.35">
      <c r="A2845" t="s">
        <v>3518</v>
      </c>
      <c r="E2845" t="str">
        <f>_xlfn.XLOOKUP(F2845,'Raw Data'!$I$4:$I$5000,'Raw Data'!$D$4:$D$5000,"*** Mnemonic not found ***",0)</f>
        <v>*** Mnemonic not found ***</v>
      </c>
      <c r="F2845" t="str">
        <f t="shared" si="572"/>
        <v>SUCMNCRGROSS_C__</v>
      </c>
      <c r="H2845" s="9" t="s">
        <v>1137</v>
      </c>
      <c r="K2845" s="9">
        <f>K2844+3</f>
        <v>706</v>
      </c>
      <c r="L2845" s="9" t="str">
        <f t="shared" si="575"/>
        <v>O</v>
      </c>
      <c r="M2845" s="9" t="str">
        <f t="shared" si="573"/>
        <v>Input!O706</v>
      </c>
      <c r="N2845" s="9">
        <f>_xlfn.XLOOKUP(F2845,'Raw Data'!$I$4:$I$5000,'Raw Data'!$E$4:$E$5000,100,0)</f>
        <v>100</v>
      </c>
      <c r="O2845" s="9" t="str">
        <f>IF(N2845=0,_xlfn.XLOOKUP(F2845,'Raw Data'!$I$4:$I$5000,'Raw Data'!$H$4:$H$5000,"",0),"")</f>
        <v/>
      </c>
      <c r="P2845" s="9" t="str" cm="1">
        <f t="array" aca="1" ref="P2845" ca="1">IF(INDIRECT(M2845) = "","",INDIRECT(M2845))</f>
        <v/>
      </c>
      <c r="Q2845" s="359" t="s">
        <v>4380</v>
      </c>
    </row>
    <row r="2846" spans="1:17" x14ac:dyDescent="0.35">
      <c r="A2846" t="s">
        <v>3519</v>
      </c>
      <c r="E2846" t="str">
        <f>_xlfn.XLOOKUP(F2846,'Raw Data'!$I$4:$I$5000,'Raw Data'!$D$4:$D$5000,"*** Mnemonic not found ***",0)</f>
        <v>*** Mnemonic not found ***</v>
      </c>
      <c r="F2846" t="str">
        <f t="shared" si="572"/>
        <v>SUCMNCRNET_C__</v>
      </c>
      <c r="H2846" s="9" t="s">
        <v>1137</v>
      </c>
      <c r="K2846" s="9">
        <f t="shared" ref="K2846:K2851" si="576">K2845+1</f>
        <v>707</v>
      </c>
      <c r="L2846" s="9" t="str">
        <f t="shared" si="575"/>
        <v>O</v>
      </c>
      <c r="M2846" s="9" t="str">
        <f t="shared" si="573"/>
        <v>Input!O707</v>
      </c>
      <c r="N2846" s="9">
        <f>_xlfn.XLOOKUP(F2846,'Raw Data'!$I$4:$I$5000,'Raw Data'!$E$4:$E$5000,100,0)</f>
        <v>100</v>
      </c>
      <c r="O2846" s="9" t="str">
        <f>IF(N2846=0,_xlfn.XLOOKUP(F2846,'Raw Data'!$I$4:$I$5000,'Raw Data'!$H$4:$H$5000,"",0),"")</f>
        <v/>
      </c>
      <c r="P2846" s="9" t="str" cm="1">
        <f t="array" aca="1" ref="P2846" ca="1">IF(INDIRECT(M2846) = "","",INDIRECT(M2846))</f>
        <v/>
      </c>
      <c r="Q2846" s="359" t="s">
        <v>4380</v>
      </c>
    </row>
    <row r="2847" spans="1:17" x14ac:dyDescent="0.35">
      <c r="A2847" t="s">
        <v>3520</v>
      </c>
      <c r="E2847" t="str">
        <f>_xlfn.XLOOKUP(F2847,'Raw Data'!$I$4:$I$5000,'Raw Data'!$D$4:$D$5000,"*** Mnemonic not found ***",0)</f>
        <v>*** Mnemonic not found ***</v>
      </c>
      <c r="F2847" t="str">
        <f t="shared" si="572"/>
        <v>SUCMNCRRECUNCOLL_C__</v>
      </c>
      <c r="H2847" s="9" t="s">
        <v>1137</v>
      </c>
      <c r="K2847" s="9">
        <f t="shared" si="576"/>
        <v>708</v>
      </c>
      <c r="L2847" s="9" t="str">
        <f t="shared" si="575"/>
        <v>O</v>
      </c>
      <c r="M2847" s="9" t="str">
        <f t="shared" si="573"/>
        <v>Input!O708</v>
      </c>
      <c r="N2847" s="9">
        <f>_xlfn.XLOOKUP(F2847,'Raw Data'!$I$4:$I$5000,'Raw Data'!$E$4:$E$5000,100,0)</f>
        <v>100</v>
      </c>
      <c r="O2847" s="9" t="str">
        <f>IF(N2847=0,_xlfn.XLOOKUP(F2847,'Raw Data'!$I$4:$I$5000,'Raw Data'!$H$4:$H$5000,"",0),"")</f>
        <v/>
      </c>
      <c r="P2847" s="9" t="str" cm="1">
        <f t="array" aca="1" ref="P2847" ca="1">IF(INDIRECT(M2847) = "","",INDIRECT(M2847))</f>
        <v/>
      </c>
      <c r="Q2847" s="359" t="s">
        <v>4380</v>
      </c>
    </row>
    <row r="2848" spans="1:17" x14ac:dyDescent="0.35">
      <c r="A2848" t="s">
        <v>3521</v>
      </c>
      <c r="E2848" t="str">
        <f>_xlfn.XLOOKUP(F2848,'Raw Data'!$I$4:$I$5000,'Raw Data'!$D$4:$D$5000,"*** Mnemonic not found ***",0)</f>
        <v>*** Mnemonic not found ***</v>
      </c>
      <c r="F2848" t="str">
        <f t="shared" si="572"/>
        <v>SUCMNCRRECCOLL_C__</v>
      </c>
      <c r="H2848" s="9" t="s">
        <v>1137</v>
      </c>
      <c r="K2848" s="9">
        <f t="shared" si="576"/>
        <v>709</v>
      </c>
      <c r="L2848" s="9" t="str">
        <f t="shared" si="575"/>
        <v>O</v>
      </c>
      <c r="M2848" s="9" t="str">
        <f t="shared" si="573"/>
        <v>Input!O709</v>
      </c>
      <c r="N2848" s="9">
        <f>_xlfn.XLOOKUP(F2848,'Raw Data'!$I$4:$I$5000,'Raw Data'!$E$4:$E$5000,100,0)</f>
        <v>100</v>
      </c>
      <c r="O2848" s="9" t="str">
        <f>IF(N2848=0,_xlfn.XLOOKUP(F2848,'Raw Data'!$I$4:$I$5000,'Raw Data'!$H$4:$H$5000,"",0),"")</f>
        <v/>
      </c>
      <c r="P2848" s="9" t="str" cm="1">
        <f t="array" aca="1" ref="P2848" ca="1">IF(INDIRECT(M2848) = "","",INDIRECT(M2848))</f>
        <v/>
      </c>
      <c r="Q2848" s="359" t="s">
        <v>4380</v>
      </c>
    </row>
    <row r="2849" spans="1:17" x14ac:dyDescent="0.35">
      <c r="A2849" t="s">
        <v>3522</v>
      </c>
      <c r="E2849" t="str">
        <f>_xlfn.XLOOKUP(F2849,'Raw Data'!$I$4:$I$5000,'Raw Data'!$D$4:$D$5000,"*** Mnemonic not found ***",0)</f>
        <v>*** Mnemonic not found ***</v>
      </c>
      <c r="F2849" t="str">
        <f t="shared" si="572"/>
        <v>SUCMNCPINWARD_C__</v>
      </c>
      <c r="H2849" s="9" t="s">
        <v>1137</v>
      </c>
      <c r="K2849" s="9">
        <f t="shared" si="576"/>
        <v>710</v>
      </c>
      <c r="L2849" s="9" t="str">
        <f t="shared" si="575"/>
        <v>O</v>
      </c>
      <c r="M2849" s="9" t="str">
        <f t="shared" si="573"/>
        <v>Input!O710</v>
      </c>
      <c r="N2849" s="9">
        <f>_xlfn.XLOOKUP(F2849,'Raw Data'!$I$4:$I$5000,'Raw Data'!$E$4:$E$5000,100,0)</f>
        <v>100</v>
      </c>
      <c r="O2849" s="9" t="str">
        <f>IF(N2849=0,_xlfn.XLOOKUP(F2849,'Raw Data'!$I$4:$I$5000,'Raw Data'!$H$4:$H$5000,"",0),"")</f>
        <v/>
      </c>
      <c r="P2849" s="9" t="str" cm="1">
        <f t="array" aca="1" ref="P2849" ca="1">IF(INDIRECT(M2849) = "","",INDIRECT(M2849))</f>
        <v/>
      </c>
      <c r="Q2849" s="359" t="s">
        <v>4380</v>
      </c>
    </row>
    <row r="2850" spans="1:17" x14ac:dyDescent="0.35">
      <c r="A2850" t="s">
        <v>3523</v>
      </c>
      <c r="E2850" t="str">
        <f>_xlfn.XLOOKUP(F2850,'Raw Data'!$I$4:$I$5000,'Raw Data'!$D$4:$D$5000,"*** Mnemonic not found ***",0)</f>
        <v>*** Mnemonic not found ***</v>
      </c>
      <c r="F2850" t="str">
        <f t="shared" si="572"/>
        <v>SUCMNCPOUTWARD_C__</v>
      </c>
      <c r="H2850" s="9" t="s">
        <v>1137</v>
      </c>
      <c r="K2850" s="9">
        <f t="shared" si="576"/>
        <v>711</v>
      </c>
      <c r="L2850" s="9" t="str">
        <f t="shared" si="575"/>
        <v>O</v>
      </c>
      <c r="M2850" s="9" t="str">
        <f t="shared" si="573"/>
        <v>Input!O711</v>
      </c>
      <c r="N2850" s="9">
        <f>_xlfn.XLOOKUP(F2850,'Raw Data'!$I$4:$I$5000,'Raw Data'!$E$4:$E$5000,100,0)</f>
        <v>100</v>
      </c>
      <c r="O2850" s="9" t="str">
        <f>IF(N2850=0,_xlfn.XLOOKUP(F2850,'Raw Data'!$I$4:$I$5000,'Raw Data'!$H$4:$H$5000,"",0),"")</f>
        <v/>
      </c>
      <c r="P2850" s="9" t="str" cm="1">
        <f t="array" aca="1" ref="P2850" ca="1">IF(INDIRECT(M2850) = "","",INDIRECT(M2850))</f>
        <v/>
      </c>
      <c r="Q2850" s="359" t="s">
        <v>4380</v>
      </c>
    </row>
    <row r="2851" spans="1:17" x14ac:dyDescent="0.35">
      <c r="A2851" t="s">
        <v>3524</v>
      </c>
      <c r="E2851" t="str">
        <f>_xlfn.XLOOKUP(F2851,'Raw Data'!$I$4:$I$5000,'Raw Data'!$D$4:$D$5000,"*** Mnemonic not found ***",0)</f>
        <v>*** Mnemonic not found ***</v>
      </c>
      <c r="F2851" t="str">
        <f t="shared" si="572"/>
        <v>SUCMNCNETLOSS_C__</v>
      </c>
      <c r="H2851" s="9" t="s">
        <v>1137</v>
      </c>
      <c r="K2851" s="9">
        <f t="shared" si="576"/>
        <v>712</v>
      </c>
      <c r="L2851" s="9" t="str">
        <f t="shared" si="575"/>
        <v>O</v>
      </c>
      <c r="M2851" s="9" t="str">
        <f t="shared" si="573"/>
        <v>Input!O712</v>
      </c>
      <c r="N2851" s="9">
        <f>_xlfn.XLOOKUP(F2851,'Raw Data'!$I$4:$I$5000,'Raw Data'!$E$4:$E$5000,100,0)</f>
        <v>100</v>
      </c>
      <c r="O2851" s="9" t="str">
        <f>IF(N2851=0,_xlfn.XLOOKUP(F2851,'Raw Data'!$I$4:$I$5000,'Raw Data'!$H$4:$H$5000,"",0),"")</f>
        <v/>
      </c>
      <c r="P2851" s="9" t="str" cm="1">
        <f t="array" aca="1" ref="P2851" ca="1">IF(INDIRECT(M2851) = "","",INDIRECT(M2851))</f>
        <v/>
      </c>
      <c r="Q2851" s="359" t="s">
        <v>4380</v>
      </c>
    </row>
    <row r="2852" spans="1:17" x14ac:dyDescent="0.35">
      <c r="A2852" t="s">
        <v>3525</v>
      </c>
      <c r="E2852" t="str">
        <f>_xlfn.XLOOKUP(F2852,'Raw Data'!$I$4:$I$5000,'Raw Data'!$D$4:$D$5000,"*** Mnemonic not found ***",0)</f>
        <v>*** Mnemonic not found ***</v>
      </c>
      <c r="F2852" t="str">
        <f t="shared" si="572"/>
        <v>SUCMNCRAAL_C__</v>
      </c>
      <c r="H2852" s="9" t="s">
        <v>1137</v>
      </c>
      <c r="K2852" s="9">
        <f>K2851+2</f>
        <v>714</v>
      </c>
      <c r="L2852" s="9" t="str">
        <f t="shared" si="575"/>
        <v>O</v>
      </c>
      <c r="M2852" s="9" t="str">
        <f t="shared" si="573"/>
        <v>Input!O714</v>
      </c>
      <c r="N2852" s="9">
        <f>_xlfn.XLOOKUP(F2852,'Raw Data'!$I$4:$I$5000,'Raw Data'!$E$4:$E$5000,100,0)</f>
        <v>100</v>
      </c>
      <c r="O2852" s="9" t="str">
        <f>IF(N2852=0,_xlfn.XLOOKUP(F2852,'Raw Data'!$I$4:$I$5000,'Raw Data'!$H$4:$H$5000,"",0),"")</f>
        <v/>
      </c>
      <c r="P2852" s="9" t="str" cm="1">
        <f t="array" aca="1" ref="P2852" ca="1">IF(INDIRECT(M2852) = "","",INDIRECT(M2852))</f>
        <v/>
      </c>
      <c r="Q2852" s="359" t="s">
        <v>4380</v>
      </c>
    </row>
    <row r="2853" spans="1:17" x14ac:dyDescent="0.35">
      <c r="A2853" t="s">
        <v>3526</v>
      </c>
      <c r="E2853" t="str">
        <f>_xlfn.XLOOKUP(F2853,'Raw Data'!$I$4:$I$5000,'Raw Data'!$D$4:$D$5000,"*** Mnemonic not found ***",0)</f>
        <v>*** Mnemonic not found ***</v>
      </c>
      <c r="F2853" t="str">
        <f t="shared" si="572"/>
        <v>SUCMNATCATCHG_995_C__</v>
      </c>
      <c r="H2853" s="9" t="s">
        <v>1137</v>
      </c>
      <c r="K2853" s="9">
        <f>K2852+2</f>
        <v>716</v>
      </c>
      <c r="L2853" s="9" t="str">
        <f t="shared" si="575"/>
        <v>O</v>
      </c>
      <c r="M2853" s="9" t="str">
        <f t="shared" si="573"/>
        <v>Input!O716</v>
      </c>
      <c r="N2853" s="9">
        <f>_xlfn.XLOOKUP(F2853,'Raw Data'!$I$4:$I$5000,'Raw Data'!$E$4:$E$5000,100,0)</f>
        <v>100</v>
      </c>
      <c r="O2853" s="9" t="str">
        <f>IF(N2853=0,_xlfn.XLOOKUP(F2853,'Raw Data'!$I$4:$I$5000,'Raw Data'!$H$4:$H$5000,"",0),"")</f>
        <v/>
      </c>
      <c r="P2853" s="9" t="str" cm="1">
        <f t="array" aca="1" ref="P2853" ca="1">IF(INDIRECT(M2853) = "","",INDIRECT(M2853))</f>
        <v/>
      </c>
      <c r="Q2853" s="359" t="s">
        <v>4380</v>
      </c>
    </row>
    <row r="2854" spans="1:17" x14ac:dyDescent="0.35">
      <c r="A2854" t="s">
        <v>3527</v>
      </c>
      <c r="E2854" t="str">
        <f>_xlfn.XLOOKUP(F2854,'Raw Data'!$I$4:$I$5000,'Raw Data'!$D$4:$D$5000,"*** Mnemonic not found ***",0)</f>
        <v>*** Mnemonic not found ***</v>
      </c>
      <c r="F2854" t="str">
        <f t="shared" si="572"/>
        <v>SUCMMORTCIRITHDM_C__</v>
      </c>
      <c r="G2854" t="s">
        <v>3121</v>
      </c>
      <c r="H2854" s="9" t="s">
        <v>1137</v>
      </c>
      <c r="I2854" s="289">
        <f>ROW(section_mort_and_pandemic)</f>
        <v>721</v>
      </c>
      <c r="J2854" s="9">
        <v>3</v>
      </c>
      <c r="K2854" s="9">
        <f>I2854+J2854</f>
        <v>724</v>
      </c>
      <c r="L2854" s="9" t="str">
        <f>L2853</f>
        <v>O</v>
      </c>
      <c r="M2854" s="9" t="str">
        <f t="shared" si="573"/>
        <v>Input!O724</v>
      </c>
      <c r="N2854" s="9">
        <f>_xlfn.XLOOKUP(F2854,'Raw Data'!$I$4:$I$5000,'Raw Data'!$E$4:$E$5000,100,0)</f>
        <v>100</v>
      </c>
      <c r="O2854" s="9" t="str">
        <f>IF(N2854=0,_xlfn.XLOOKUP(F2854,'Raw Data'!$I$4:$I$5000,'Raw Data'!$H$4:$H$5000,"",0),"")</f>
        <v/>
      </c>
      <c r="P2854" s="9" t="str" cm="1">
        <f t="array" aca="1" ref="P2854" ca="1">IF(INDIRECT(M2854) = "","",INDIRECT(M2854))</f>
        <v/>
      </c>
      <c r="Q2854" s="359" t="s">
        <v>4380</v>
      </c>
    </row>
    <row r="2855" spans="1:17" x14ac:dyDescent="0.35">
      <c r="A2855" t="s">
        <v>3528</v>
      </c>
      <c r="E2855" t="str">
        <f>_xlfn.XLOOKUP(F2855,'Raw Data'!$I$4:$I$5000,'Raw Data'!$D$4:$D$5000,"*** Mnemonic not found ***",0)</f>
        <v>*** Mnemonic not found ***</v>
      </c>
      <c r="F2855" t="str">
        <f t="shared" si="572"/>
        <v>SUCMMORTCIRITLDM_C__</v>
      </c>
      <c r="H2855" s="9" t="s">
        <v>1137</v>
      </c>
      <c r="K2855" s="9">
        <f t="shared" ref="K2855" si="577">K2854+1</f>
        <v>725</v>
      </c>
      <c r="L2855" s="9" t="str">
        <f t="shared" si="575"/>
        <v>O</v>
      </c>
      <c r="M2855" s="9" t="str">
        <f t="shared" si="573"/>
        <v>Input!O725</v>
      </c>
      <c r="N2855" s="9">
        <f>_xlfn.XLOOKUP(F2855,'Raw Data'!$I$4:$I$5000,'Raw Data'!$E$4:$E$5000,100,0)</f>
        <v>100</v>
      </c>
      <c r="O2855" s="9" t="str">
        <f>IF(N2855=0,_xlfn.XLOOKUP(F2855,'Raw Data'!$I$4:$I$5000,'Raw Data'!$H$4:$H$5000,"",0),"")</f>
        <v/>
      </c>
      <c r="P2855" s="9" t="str" cm="1">
        <f t="array" aca="1" ref="P2855" ca="1">IF(INDIRECT(M2855) = "","",INDIRECT(M2855))</f>
        <v/>
      </c>
      <c r="Q2855" s="359" t="s">
        <v>4380</v>
      </c>
    </row>
    <row r="2856" spans="1:17" x14ac:dyDescent="0.35">
      <c r="A2856" t="s">
        <v>3529</v>
      </c>
      <c r="E2856" t="str">
        <f>_xlfn.XLOOKUP(F2856,'Raw Data'!$I$4:$I$5000,'Raw Data'!$D$4:$D$5000,"*** Mnemonic not found ***",0)</f>
        <v>*** Mnemonic not found ***</v>
      </c>
      <c r="F2856" t="str">
        <f t="shared" si="572"/>
        <v>SUCMMORTNETTOT_C__</v>
      </c>
      <c r="H2856" s="9" t="s">
        <v>1137</v>
      </c>
      <c r="K2856" s="9">
        <f>K2855+2</f>
        <v>727</v>
      </c>
      <c r="L2856" s="9" t="str">
        <f t="shared" si="575"/>
        <v>O</v>
      </c>
      <c r="M2856" s="9" t="str">
        <f t="shared" si="573"/>
        <v>Input!O727</v>
      </c>
      <c r="N2856" s="9">
        <f>_xlfn.XLOOKUP(F2856,'Raw Data'!$I$4:$I$5000,'Raw Data'!$E$4:$E$5000,100,0)</f>
        <v>100</v>
      </c>
      <c r="O2856" s="9" t="str">
        <f>IF(N2856=0,_xlfn.XLOOKUP(F2856,'Raw Data'!$I$4:$I$5000,'Raw Data'!$H$4:$H$5000,"",0),"")</f>
        <v/>
      </c>
      <c r="P2856" s="9" t="str" cm="1">
        <f t="array" aca="1" ref="P2856" ca="1">IF(INDIRECT(M2856) = "","",INDIRECT(M2856))</f>
        <v/>
      </c>
      <c r="Q2856" s="359" t="s">
        <v>4380</v>
      </c>
    </row>
    <row r="2857" spans="1:17" x14ac:dyDescent="0.35">
      <c r="A2857" t="s">
        <v>3530</v>
      </c>
      <c r="E2857" t="str">
        <f>_xlfn.XLOOKUP(F2857,'Raw Data'!$I$4:$I$5000,'Raw Data'!$D$4:$D$5000,"*** Mnemonic not found ***",0)</f>
        <v>*** Mnemonic not found ***</v>
      </c>
      <c r="F2857" t="str">
        <f t="shared" si="572"/>
        <v>SUCMMORTGROSSTOT_C__</v>
      </c>
      <c r="H2857" s="9" t="s">
        <v>1137</v>
      </c>
      <c r="K2857" s="9">
        <f>K2856+2</f>
        <v>729</v>
      </c>
      <c r="L2857" s="9" t="str">
        <f t="shared" si="575"/>
        <v>O</v>
      </c>
      <c r="M2857" s="9" t="str">
        <f t="shared" si="573"/>
        <v>Input!O729</v>
      </c>
      <c r="N2857" s="9">
        <f>_xlfn.XLOOKUP(F2857,'Raw Data'!$I$4:$I$5000,'Raw Data'!$E$4:$E$5000,100,0)</f>
        <v>100</v>
      </c>
      <c r="O2857" s="9" t="str">
        <f>IF(N2857=0,_xlfn.XLOOKUP(F2857,'Raw Data'!$I$4:$I$5000,'Raw Data'!$H$4:$H$5000,"",0),"")</f>
        <v/>
      </c>
      <c r="P2857" s="9" t="str" cm="1">
        <f t="array" aca="1" ref="P2857" ca="1">IF(INDIRECT(M2857) = "","",INDIRECT(M2857))</f>
        <v/>
      </c>
      <c r="Q2857" s="359" t="s">
        <v>4380</v>
      </c>
    </row>
    <row r="2858" spans="1:17" x14ac:dyDescent="0.35">
      <c r="A2858" t="s">
        <v>3531</v>
      </c>
      <c r="E2858" t="str">
        <f>_xlfn.XLOOKUP(F2858,'Raw Data'!$I$4:$I$5000,'Raw Data'!$D$4:$D$5000,"*** Mnemonic not found ***",0)</f>
        <v>*** Mnemonic not found ***</v>
      </c>
      <c r="F2858" t="str">
        <f t="shared" si="572"/>
        <v>SUCMMORBCIRITHDM_C__</v>
      </c>
      <c r="G2858" t="s">
        <v>3122</v>
      </c>
      <c r="H2858" s="9" t="s">
        <v>1137</v>
      </c>
      <c r="I2858" s="289">
        <f>ROW(section_morbidity_ci)</f>
        <v>732</v>
      </c>
      <c r="J2858" s="9">
        <v>3</v>
      </c>
      <c r="K2858" s="9">
        <f>I2858+J2858</f>
        <v>735</v>
      </c>
      <c r="L2858" s="9" t="str">
        <f>L2857</f>
        <v>O</v>
      </c>
      <c r="M2858" s="9" t="str">
        <f t="shared" si="573"/>
        <v>Input!O735</v>
      </c>
      <c r="N2858" s="9">
        <f>_xlfn.XLOOKUP(F2858,'Raw Data'!$I$4:$I$5000,'Raw Data'!$E$4:$E$5000,100,0)</f>
        <v>100</v>
      </c>
      <c r="O2858" s="9" t="str">
        <f>IF(N2858=0,_xlfn.XLOOKUP(F2858,'Raw Data'!$I$4:$I$5000,'Raw Data'!$H$4:$H$5000,"",0),"")</f>
        <v/>
      </c>
      <c r="P2858" s="9" t="str" cm="1">
        <f t="array" aca="1" ref="P2858" ca="1">IF(INDIRECT(M2858) = "","",INDIRECT(M2858))</f>
        <v/>
      </c>
      <c r="Q2858" s="359" t="s">
        <v>4380</v>
      </c>
    </row>
    <row r="2859" spans="1:17" x14ac:dyDescent="0.35">
      <c r="A2859" t="s">
        <v>3532</v>
      </c>
      <c r="E2859" t="str">
        <f>_xlfn.XLOOKUP(F2859,'Raw Data'!$I$4:$I$5000,'Raw Data'!$D$4:$D$5000,"*** Mnemonic not found ***",0)</f>
        <v>*** Mnemonic not found ***</v>
      </c>
      <c r="F2859" t="str">
        <f t="shared" si="572"/>
        <v>SUCMMORBCIRITLDM_C__</v>
      </c>
      <c r="H2859" s="9" t="s">
        <v>1137</v>
      </c>
      <c r="K2859" s="9">
        <f t="shared" ref="K2859" si="578">K2858+1</f>
        <v>736</v>
      </c>
      <c r="L2859" s="9" t="str">
        <f t="shared" ref="L2859" si="579">L2858</f>
        <v>O</v>
      </c>
      <c r="M2859" s="9" t="str">
        <f t="shared" si="573"/>
        <v>Input!O736</v>
      </c>
      <c r="N2859" s="9">
        <f>_xlfn.XLOOKUP(F2859,'Raw Data'!$I$4:$I$5000,'Raw Data'!$E$4:$E$5000,100,0)</f>
        <v>100</v>
      </c>
      <c r="O2859" s="9" t="str">
        <f>IF(N2859=0,_xlfn.XLOOKUP(F2859,'Raw Data'!$I$4:$I$5000,'Raw Data'!$H$4:$H$5000,"",0),"")</f>
        <v/>
      </c>
      <c r="P2859" s="9" t="str" cm="1">
        <f t="array" aca="1" ref="P2859" ca="1">IF(INDIRECT(M2859) = "","",INDIRECT(M2859))</f>
        <v/>
      </c>
      <c r="Q2859" s="359" t="s">
        <v>4380</v>
      </c>
    </row>
    <row r="2860" spans="1:17" x14ac:dyDescent="0.35">
      <c r="A2860" t="s">
        <v>3533</v>
      </c>
      <c r="E2860" t="str">
        <f>_xlfn.XLOOKUP(F2860,'Raw Data'!$I$4:$I$5000,'Raw Data'!$D$4:$D$5000,"*** Mnemonic not found ***",0)</f>
        <v>*** Mnemonic not found ***</v>
      </c>
      <c r="F2860" t="str">
        <f t="shared" si="572"/>
        <v>SUCMDISPRDISNONCANCEL_C__</v>
      </c>
      <c r="G2860" t="s">
        <v>3123</v>
      </c>
      <c r="H2860" s="9" t="s">
        <v>1137</v>
      </c>
      <c r="I2860" s="289">
        <f>ROW(section_morbidity_disability)</f>
        <v>739</v>
      </c>
      <c r="J2860" s="9">
        <v>3</v>
      </c>
      <c r="K2860" s="9">
        <f>I2860+J2860</f>
        <v>742</v>
      </c>
      <c r="L2860" s="9" t="str">
        <f>L2859</f>
        <v>O</v>
      </c>
      <c r="M2860" s="9" t="str">
        <f t="shared" si="573"/>
        <v>Input!O742</v>
      </c>
      <c r="N2860" s="9">
        <f>_xlfn.XLOOKUP(F2860,'Raw Data'!$I$4:$I$5000,'Raw Data'!$E$4:$E$5000,100,0)</f>
        <v>100</v>
      </c>
      <c r="O2860" s="9" t="str">
        <f>IF(N2860=0,_xlfn.XLOOKUP(F2860,'Raw Data'!$I$4:$I$5000,'Raw Data'!$H$4:$H$5000,"",0),"")</f>
        <v/>
      </c>
      <c r="P2860" s="9" t="str" cm="1">
        <f t="array" aca="1" ref="P2860" ca="1">IF(INDIRECT(M2860) = "","",INDIRECT(M2860))</f>
        <v/>
      </c>
      <c r="Q2860" s="359" t="s">
        <v>4380</v>
      </c>
    </row>
    <row r="2861" spans="1:17" x14ac:dyDescent="0.35">
      <c r="A2861" t="s">
        <v>3534</v>
      </c>
      <c r="E2861" t="str">
        <f>_xlfn.XLOOKUP(F2861,'Raw Data'!$I$4:$I$5000,'Raw Data'!$D$4:$D$5000,"*** Mnemonic not found ***",0)</f>
        <v>*** Mnemonic not found ***</v>
      </c>
      <c r="F2861" t="str">
        <f t="shared" si="572"/>
        <v>SUCMDISPRDISOII_C__</v>
      </c>
      <c r="H2861" s="9" t="s">
        <v>1137</v>
      </c>
      <c r="K2861" s="9">
        <f>K2860+1</f>
        <v>743</v>
      </c>
      <c r="L2861" s="9" t="str">
        <f>L2860</f>
        <v>O</v>
      </c>
      <c r="M2861" s="9" t="str">
        <f t="shared" si="573"/>
        <v>Input!O743</v>
      </c>
      <c r="N2861" s="9">
        <f>_xlfn.XLOOKUP(F2861,'Raw Data'!$I$4:$I$5000,'Raw Data'!$E$4:$E$5000,100,0)</f>
        <v>100</v>
      </c>
      <c r="O2861" s="9" t="str">
        <f>IF(N2861=0,_xlfn.XLOOKUP(F2861,'Raw Data'!$I$4:$I$5000,'Raw Data'!$H$4:$H$5000,"",0),"")</f>
        <v/>
      </c>
      <c r="P2861" s="9" t="str" cm="1">
        <f t="array" aca="1" ref="P2861" ca="1">IF(INDIRECT(M2861) = "","",INDIRECT(M2861))</f>
        <v/>
      </c>
      <c r="Q2861" s="359" t="s">
        <v>4380</v>
      </c>
    </row>
    <row r="2862" spans="1:17" x14ac:dyDescent="0.35">
      <c r="A2862" t="s">
        <v>3535</v>
      </c>
      <c r="E2862" t="str">
        <f>_xlfn.XLOOKUP(F2862,'Raw Data'!$I$4:$I$5000,'Raw Data'!$D$4:$D$5000,"*** Mnemonic not found ***",0)</f>
        <v>*** Mnemonic not found ***</v>
      </c>
      <c r="F2862" t="str">
        <f t="shared" si="572"/>
        <v>SUCMDISPRDISGLT_C__</v>
      </c>
      <c r="H2862" s="9" t="s">
        <v>1137</v>
      </c>
      <c r="K2862" s="9">
        <f t="shared" ref="K2862:K2867" si="580">K2861+1</f>
        <v>744</v>
      </c>
      <c r="L2862" s="9" t="str">
        <f t="shared" ref="L2862:L2863" si="581">L2861</f>
        <v>O</v>
      </c>
      <c r="M2862" s="9" t="str">
        <f t="shared" si="573"/>
        <v>Input!O744</v>
      </c>
      <c r="N2862" s="9">
        <f>_xlfn.XLOOKUP(F2862,'Raw Data'!$I$4:$I$5000,'Raw Data'!$E$4:$E$5000,100,0)</f>
        <v>100</v>
      </c>
      <c r="O2862" s="9" t="str">
        <f>IF(N2862=0,_xlfn.XLOOKUP(F2862,'Raw Data'!$I$4:$I$5000,'Raw Data'!$H$4:$H$5000,"",0),"")</f>
        <v/>
      </c>
      <c r="P2862" s="9" t="str" cm="1">
        <f t="array" aca="1" ref="P2862" ca="1">IF(INDIRECT(M2862) = "","",INDIRECT(M2862))</f>
        <v/>
      </c>
      <c r="Q2862" s="359" t="s">
        <v>4380</v>
      </c>
    </row>
    <row r="2863" spans="1:17" x14ac:dyDescent="0.35">
      <c r="A2863" t="s">
        <v>3536</v>
      </c>
      <c r="E2863" t="str">
        <f>_xlfn.XLOOKUP(F2863,'Raw Data'!$I$4:$I$5000,'Raw Data'!$D$4:$D$5000,"*** Mnemonic not found ***",0)</f>
        <v>*** Mnemonic not found ***</v>
      </c>
      <c r="F2863" t="str">
        <f t="shared" si="572"/>
        <v>SUCMDISPRGST_C__</v>
      </c>
      <c r="H2863" s="9" t="s">
        <v>1137</v>
      </c>
      <c r="K2863" s="9">
        <f t="shared" si="580"/>
        <v>745</v>
      </c>
      <c r="L2863" s="9" t="str">
        <f t="shared" si="581"/>
        <v>O</v>
      </c>
      <c r="M2863" s="9" t="str">
        <f t="shared" si="573"/>
        <v>Input!O745</v>
      </c>
      <c r="N2863" s="9">
        <f>_xlfn.XLOOKUP(F2863,'Raw Data'!$I$4:$I$5000,'Raw Data'!$E$4:$E$5000,100,0)</f>
        <v>100</v>
      </c>
      <c r="O2863" s="9" t="str">
        <f>IF(N2863=0,_xlfn.XLOOKUP(F2863,'Raw Data'!$I$4:$I$5000,'Raw Data'!$H$4:$H$5000,"",0),"")</f>
        <v/>
      </c>
      <c r="P2863" s="9" t="str" cm="1">
        <f t="array" aca="1" ref="P2863" ca="1">IF(INDIRECT(M2863) = "","",INDIRECT(M2863))</f>
        <v/>
      </c>
      <c r="Q2863" s="359" t="s">
        <v>4380</v>
      </c>
    </row>
    <row r="2864" spans="1:17" x14ac:dyDescent="0.35">
      <c r="A2864" t="s">
        <v>3537</v>
      </c>
      <c r="E2864" t="str">
        <f>_xlfn.XLOOKUP(F2864,'Raw Data'!$I$4:$I$5000,'Raw Data'!$D$4:$D$5000,"*** Mnemonic not found ***",0)</f>
        <v>*** Mnemonic not found ***</v>
      </c>
      <c r="F2864" t="str">
        <f t="shared" si="572"/>
        <v>SUCMDISPRCROSBAL_C__</v>
      </c>
      <c r="H2864" s="9" t="s">
        <v>1137</v>
      </c>
      <c r="K2864" s="9">
        <f t="shared" si="580"/>
        <v>746</v>
      </c>
      <c r="L2864" s="9" t="str">
        <f>L2863</f>
        <v>O</v>
      </c>
      <c r="M2864" s="9" t="str">
        <f t="shared" si="573"/>
        <v>Input!O746</v>
      </c>
      <c r="N2864" s="9">
        <f>_xlfn.XLOOKUP(F2864,'Raw Data'!$I$4:$I$5000,'Raw Data'!$E$4:$E$5000,100,0)</f>
        <v>100</v>
      </c>
      <c r="O2864" s="9" t="str">
        <f>IF(N2864=0,_xlfn.XLOOKUP(F2864,'Raw Data'!$I$4:$I$5000,'Raw Data'!$H$4:$H$5000,"",0),"")</f>
        <v/>
      </c>
      <c r="P2864" s="9" t="str" cm="1">
        <f t="array" aca="1" ref="P2864" ca="1">IF(INDIRECT(M2864) = "","",INDIRECT(M2864))</f>
        <v/>
      </c>
      <c r="Q2864" s="359" t="s">
        <v>4380</v>
      </c>
    </row>
    <row r="2865" spans="1:17" x14ac:dyDescent="0.35">
      <c r="A2865" t="s">
        <v>3538</v>
      </c>
      <c r="E2865" t="str">
        <f>_xlfn.XLOOKUP(F2865,'Raw Data'!$I$4:$I$5000,'Raw Data'!$D$4:$D$5000,"*** Mnemonic not found ***",0)</f>
        <v>*** Mnemonic not found ***</v>
      </c>
      <c r="F2865" t="str">
        <f t="shared" si="572"/>
        <v>SUCMDISPRCSRWITH_C__</v>
      </c>
      <c r="H2865" s="9" t="s">
        <v>1137</v>
      </c>
      <c r="K2865" s="9">
        <f t="shared" si="580"/>
        <v>747</v>
      </c>
      <c r="L2865" s="9" t="str">
        <f t="shared" ref="L2865:L2868" si="582">L2864</f>
        <v>O</v>
      </c>
      <c r="M2865" s="9" t="str">
        <f t="shared" si="573"/>
        <v>Input!O747</v>
      </c>
      <c r="N2865" s="9">
        <f>_xlfn.XLOOKUP(F2865,'Raw Data'!$I$4:$I$5000,'Raw Data'!$E$4:$E$5000,100,0)</f>
        <v>100</v>
      </c>
      <c r="O2865" s="9" t="str">
        <f>IF(N2865=0,_xlfn.XLOOKUP(F2865,'Raw Data'!$I$4:$I$5000,'Raw Data'!$H$4:$H$5000,"",0),"")</f>
        <v/>
      </c>
      <c r="P2865" s="9" t="str" cm="1">
        <f t="array" aca="1" ref="P2865" ca="1">IF(INDIRECT(M2865) = "","",INDIRECT(M2865))</f>
        <v/>
      </c>
      <c r="Q2865" s="359" t="s">
        <v>4380</v>
      </c>
    </row>
    <row r="2866" spans="1:17" x14ac:dyDescent="0.35">
      <c r="A2866" t="s">
        <v>3539</v>
      </c>
      <c r="E2866" t="str">
        <f>_xlfn.XLOOKUP(F2866,'Raw Data'!$I$4:$I$5000,'Raw Data'!$D$4:$D$5000,"*** Mnemonic not found ***",0)</f>
        <v>*** Mnemonic not found ***</v>
      </c>
      <c r="F2866" t="str">
        <f t="shared" si="572"/>
        <v>SUCMDISPRCSRWITHOUT_C__</v>
      </c>
      <c r="H2866" s="9" t="s">
        <v>1137</v>
      </c>
      <c r="K2866" s="9">
        <f t="shared" si="580"/>
        <v>748</v>
      </c>
      <c r="L2866" s="9" t="str">
        <f t="shared" si="582"/>
        <v>O</v>
      </c>
      <c r="M2866" s="9" t="str">
        <f t="shared" ref="M2866:M2903" si="583">CONCATENATE(H2866,"!",L2866,K2866)</f>
        <v>Input!O748</v>
      </c>
      <c r="N2866" s="9">
        <f>_xlfn.XLOOKUP(F2866,'Raw Data'!$I$4:$I$5000,'Raw Data'!$E$4:$E$5000,100,0)</f>
        <v>100</v>
      </c>
      <c r="O2866" s="9" t="str">
        <f>IF(N2866=0,_xlfn.XLOOKUP(F2866,'Raw Data'!$I$4:$I$5000,'Raw Data'!$H$4:$H$5000,"",0),"")</f>
        <v/>
      </c>
      <c r="P2866" s="9" t="str" cm="1">
        <f t="array" aca="1" ref="P2866" ca="1">IF(INDIRECT(M2866) = "","",INDIRECT(M2866))</f>
        <v/>
      </c>
      <c r="Q2866" s="359" t="s">
        <v>4380</v>
      </c>
    </row>
    <row r="2867" spans="1:17" x14ac:dyDescent="0.35">
      <c r="A2867" t="s">
        <v>3540</v>
      </c>
      <c r="E2867" t="str">
        <f>_xlfn.XLOOKUP(F2867,'Raw Data'!$I$4:$I$5000,'Raw Data'!$D$4:$D$5000,"*** Mnemonic not found ***",0)</f>
        <v>*** Mnemonic not found ***</v>
      </c>
      <c r="F2867" t="str">
        <f t="shared" si="572"/>
        <v>SUCMDISPROTHERDISB_C__</v>
      </c>
      <c r="H2867" s="9" t="s">
        <v>1137</v>
      </c>
      <c r="K2867" s="9">
        <f t="shared" si="580"/>
        <v>749</v>
      </c>
      <c r="L2867" s="9" t="str">
        <f t="shared" si="582"/>
        <v>O</v>
      </c>
      <c r="M2867" s="9" t="str">
        <f t="shared" si="583"/>
        <v>Input!O749</v>
      </c>
      <c r="N2867" s="9">
        <f>_xlfn.XLOOKUP(F2867,'Raw Data'!$I$4:$I$5000,'Raw Data'!$E$4:$E$5000,100,0)</f>
        <v>100</v>
      </c>
      <c r="O2867" s="9" t="str">
        <f>IF(N2867=0,_xlfn.XLOOKUP(F2867,'Raw Data'!$I$4:$I$5000,'Raw Data'!$H$4:$H$5000,"",0),"")</f>
        <v/>
      </c>
      <c r="P2867" s="9" t="str" cm="1">
        <f t="array" aca="1" ref="P2867" ca="1">IF(INDIRECT(M2867) = "","",INDIRECT(M2867))</f>
        <v/>
      </c>
      <c r="Q2867" s="359" t="s">
        <v>4380</v>
      </c>
    </row>
    <row r="2868" spans="1:17" x14ac:dyDescent="0.35">
      <c r="A2868" t="s">
        <v>3541</v>
      </c>
      <c r="E2868" t="str">
        <f>_xlfn.XLOOKUP(F2868,'Raw Data'!$I$4:$I$5000,'Raw Data'!$D$4:$D$5000,"*** Mnemonic not found ***",0)</f>
        <v>*** Mnemonic not found ***</v>
      </c>
      <c r="F2868" t="str">
        <f t="shared" si="572"/>
        <v>SUCMDISRESERPROD_C__</v>
      </c>
      <c r="H2868" s="9" t="s">
        <v>1137</v>
      </c>
      <c r="K2868" s="9">
        <f>K2867+3</f>
        <v>752</v>
      </c>
      <c r="L2868" s="9" t="str">
        <f t="shared" si="582"/>
        <v>O</v>
      </c>
      <c r="M2868" s="9" t="str">
        <f t="shared" si="583"/>
        <v>Input!O752</v>
      </c>
      <c r="N2868" s="9">
        <f>_xlfn.XLOOKUP(F2868,'Raw Data'!$I$4:$I$5000,'Raw Data'!$E$4:$E$5000,100,0)</f>
        <v>100</v>
      </c>
      <c r="O2868" s="9" t="str">
        <f>IF(N2868=0,_xlfn.XLOOKUP(F2868,'Raw Data'!$I$4:$I$5000,'Raw Data'!$H$4:$H$5000,"",0),"")</f>
        <v/>
      </c>
      <c r="P2868" s="9" t="str" cm="1">
        <f t="array" aca="1" ref="P2868" ca="1">IF(INDIRECT(M2868) = "","",INDIRECT(M2868))</f>
        <v/>
      </c>
      <c r="Q2868" s="359" t="s">
        <v>4380</v>
      </c>
    </row>
    <row r="2869" spans="1:17" x14ac:dyDescent="0.35">
      <c r="A2869" t="s">
        <v>3542</v>
      </c>
      <c r="E2869" t="str">
        <f>_xlfn.XLOOKUP(F2869,'Raw Data'!$I$4:$I$5000,'Raw Data'!$D$4:$D$5000,"*** Mnemonic not found ***",0)</f>
        <v>*** Mnemonic not found ***</v>
      </c>
      <c r="F2869" t="str">
        <f t="shared" si="572"/>
        <v>SUCMLTCLAIB_NONUS_C__</v>
      </c>
      <c r="G2869" t="s">
        <v>3124</v>
      </c>
      <c r="H2869" s="9" t="s">
        <v>1137</v>
      </c>
      <c r="I2869" s="289">
        <f>ROW(section_morbidity_ltc)</f>
        <v>755</v>
      </c>
      <c r="J2869" s="9">
        <v>3</v>
      </c>
      <c r="K2869" s="9">
        <f>I2869+J2869</f>
        <v>758</v>
      </c>
      <c r="L2869" s="9" t="str">
        <f>L2868</f>
        <v>O</v>
      </c>
      <c r="M2869" s="9" t="str">
        <f t="shared" si="583"/>
        <v>Input!O758</v>
      </c>
      <c r="N2869" s="9">
        <f>_xlfn.XLOOKUP(F2869,'Raw Data'!$I$4:$I$5000,'Raw Data'!$E$4:$E$5000,100,0)</f>
        <v>100</v>
      </c>
      <c r="O2869" s="9" t="str">
        <f>IF(N2869=0,_xlfn.XLOOKUP(F2869,'Raw Data'!$I$4:$I$5000,'Raw Data'!$H$4:$H$5000,"",0),"")</f>
        <v/>
      </c>
      <c r="P2869" s="9" t="str" cm="1">
        <f t="array" aca="1" ref="P2869" ca="1">IF(INDIRECT(M2869) = "","",INDIRECT(M2869))</f>
        <v/>
      </c>
      <c r="Q2869" s="359" t="s">
        <v>4380</v>
      </c>
    </row>
    <row r="2870" spans="1:17" x14ac:dyDescent="0.35">
      <c r="A2870" t="s">
        <v>3543</v>
      </c>
      <c r="E2870" t="str">
        <f>_xlfn.XLOOKUP(F2870,'Raw Data'!$I$4:$I$5000,'Raw Data'!$D$4:$D$5000,"*** Mnemonic not found ***",0)</f>
        <v>*** Mnemonic not found ***</v>
      </c>
      <c r="F2870" t="str">
        <f t="shared" si="572"/>
        <v>SUCMLTCCLAIMS_US_C__</v>
      </c>
      <c r="H2870" s="9" t="s">
        <v>1137</v>
      </c>
      <c r="K2870" s="9">
        <f>K2869+2</f>
        <v>760</v>
      </c>
      <c r="L2870" s="9" t="str">
        <f>L2869</f>
        <v>O</v>
      </c>
      <c r="M2870" s="9" t="str">
        <f t="shared" si="583"/>
        <v>Input!O760</v>
      </c>
      <c r="N2870" s="9">
        <f>_xlfn.XLOOKUP(F2870,'Raw Data'!$I$4:$I$5000,'Raw Data'!$E$4:$E$5000,100,0)</f>
        <v>100</v>
      </c>
      <c r="O2870" s="9" t="str">
        <f>IF(N2870=0,_xlfn.XLOOKUP(F2870,'Raw Data'!$I$4:$I$5000,'Raw Data'!$H$4:$H$5000,"",0),"")</f>
        <v/>
      </c>
      <c r="P2870" s="9" t="str" cm="1">
        <f t="array" aca="1" ref="P2870" ca="1">IF(INDIRECT(M2870) = "","",INDIRECT(M2870))</f>
        <v/>
      </c>
      <c r="Q2870" s="359" t="s">
        <v>4380</v>
      </c>
    </row>
    <row r="2871" spans="1:17" x14ac:dyDescent="0.35">
      <c r="A2871" t="s">
        <v>3544</v>
      </c>
      <c r="E2871" t="str">
        <f>_xlfn.XLOOKUP(F2871,'Raw Data'!$I$4:$I$5000,'Raw Data'!$D$4:$D$5000,"*** Mnemonic not found ***",0)</f>
        <v>*** Mnemonic not found ***</v>
      </c>
      <c r="F2871" t="str">
        <f t="shared" si="572"/>
        <v>SUCMLTCEARNPREM_US_C__</v>
      </c>
      <c r="H2871" s="9" t="s">
        <v>1137</v>
      </c>
      <c r="K2871" s="9">
        <f t="shared" ref="K2871:K2872" si="584">K2870+1</f>
        <v>761</v>
      </c>
      <c r="L2871" s="9" t="str">
        <f t="shared" ref="L2871:L2872" si="585">L2870</f>
        <v>O</v>
      </c>
      <c r="M2871" s="9" t="str">
        <f t="shared" si="583"/>
        <v>Input!O761</v>
      </c>
      <c r="N2871" s="9">
        <f>_xlfn.XLOOKUP(F2871,'Raw Data'!$I$4:$I$5000,'Raw Data'!$E$4:$E$5000,100,0)</f>
        <v>100</v>
      </c>
      <c r="O2871" s="9" t="str">
        <f>IF(N2871=0,_xlfn.XLOOKUP(F2871,'Raw Data'!$I$4:$I$5000,'Raw Data'!$H$4:$H$5000,"",0),"")</f>
        <v/>
      </c>
      <c r="P2871" s="9" t="str" cm="1">
        <f t="array" aca="1" ref="P2871" ca="1">IF(INDIRECT(M2871) = "","",INDIRECT(M2871))</f>
        <v/>
      </c>
      <c r="Q2871" s="359" t="s">
        <v>4380</v>
      </c>
    </row>
    <row r="2872" spans="1:17" x14ac:dyDescent="0.35">
      <c r="A2872" t="s">
        <v>3545</v>
      </c>
      <c r="E2872" t="str">
        <f>_xlfn.XLOOKUP(F2872,'Raw Data'!$I$4:$I$5000,'Raw Data'!$D$4:$D$5000,"*** Mnemonic not found ***",0)</f>
        <v>*** Mnemonic not found ***</v>
      </c>
      <c r="F2872" t="str">
        <f t="shared" si="572"/>
        <v>SUCMLTCCLAIMRES_US_C__</v>
      </c>
      <c r="H2872" s="9" t="s">
        <v>1137</v>
      </c>
      <c r="K2872" s="9">
        <f t="shared" si="584"/>
        <v>762</v>
      </c>
      <c r="L2872" s="9" t="str">
        <f t="shared" si="585"/>
        <v>O</v>
      </c>
      <c r="M2872" s="9" t="str">
        <f t="shared" si="583"/>
        <v>Input!O762</v>
      </c>
      <c r="N2872" s="9">
        <f>_xlfn.XLOOKUP(F2872,'Raw Data'!$I$4:$I$5000,'Raw Data'!$E$4:$E$5000,100,0)</f>
        <v>100</v>
      </c>
      <c r="O2872" s="9" t="str">
        <f>IF(N2872=0,_xlfn.XLOOKUP(F2872,'Raw Data'!$I$4:$I$5000,'Raw Data'!$H$4:$H$5000,"",0),"")</f>
        <v/>
      </c>
      <c r="P2872" s="9" t="str" cm="1">
        <f t="array" aca="1" ref="P2872" ca="1">IF(INDIRECT(M2872) = "","",INDIRECT(M2872))</f>
        <v/>
      </c>
      <c r="Q2872" s="359" t="s">
        <v>4380</v>
      </c>
    </row>
    <row r="2873" spans="1:17" x14ac:dyDescent="0.35">
      <c r="A2873" t="s">
        <v>3546</v>
      </c>
      <c r="E2873" t="str">
        <f>_xlfn.XLOOKUP(F2873,'Raw Data'!$I$4:$I$5000,'Raw Data'!$D$4:$D$5000,"*** Mnemonic not found ***",0)</f>
        <v>*** Mnemonic not found ***</v>
      </c>
      <c r="F2873" t="str">
        <f t="shared" si="572"/>
        <v>SUCMLONGOTHERIP_CAT1_C__</v>
      </c>
      <c r="G2873" t="s">
        <v>3125</v>
      </c>
      <c r="H2873" s="9" t="s">
        <v>1137</v>
      </c>
      <c r="I2873" s="289">
        <f>ROW(section_longevity)</f>
        <v>766</v>
      </c>
      <c r="J2873" s="9">
        <v>2</v>
      </c>
      <c r="K2873" s="9">
        <f>I2873+J2873</f>
        <v>768</v>
      </c>
      <c r="L2873" s="9" t="str">
        <f>L2872</f>
        <v>O</v>
      </c>
      <c r="M2873" s="9" t="str">
        <f t="shared" si="583"/>
        <v>Input!O768</v>
      </c>
      <c r="N2873" s="9">
        <f>_xlfn.XLOOKUP(F2873,'Raw Data'!$I$4:$I$5000,'Raw Data'!$E$4:$E$5000,100,0)</f>
        <v>100</v>
      </c>
      <c r="O2873" s="9" t="str">
        <f>IF(N2873=0,_xlfn.XLOOKUP(F2873,'Raw Data'!$I$4:$I$5000,'Raw Data'!$H$4:$H$5000,"",0),"")</f>
        <v/>
      </c>
      <c r="P2873" s="9" t="str" cm="1">
        <f t="array" aca="1" ref="P2873" ca="1">IF(INDIRECT(M2873) = "","",INDIRECT(M2873))</f>
        <v/>
      </c>
      <c r="Q2873" s="359" t="s">
        <v>4380</v>
      </c>
    </row>
    <row r="2874" spans="1:17" x14ac:dyDescent="0.35">
      <c r="A2874" t="s">
        <v>3547</v>
      </c>
      <c r="E2874" t="str">
        <f>_xlfn.XLOOKUP(F2874,'Raw Data'!$I$4:$I$5000,'Raw Data'!$D$4:$D$5000,"*** Mnemonic not found ***",0)</f>
        <v>*** Mnemonic not found ***</v>
      </c>
      <c r="F2874" t="str">
        <f t="shared" si="572"/>
        <v>SUCMLONGOTHER_CAT1_C__</v>
      </c>
      <c r="H2874" s="9" t="s">
        <v>1137</v>
      </c>
      <c r="K2874" s="9">
        <f t="shared" ref="K2874:K2875" si="586">K2873+1</f>
        <v>769</v>
      </c>
      <c r="L2874" s="9" t="str">
        <f t="shared" ref="L2874:L2875" si="587">L2873</f>
        <v>O</v>
      </c>
      <c r="M2874" s="9" t="str">
        <f t="shared" si="583"/>
        <v>Input!O769</v>
      </c>
      <c r="N2874" s="9">
        <f>_xlfn.XLOOKUP(F2874,'Raw Data'!$I$4:$I$5000,'Raw Data'!$E$4:$E$5000,100,0)</f>
        <v>100</v>
      </c>
      <c r="O2874" s="9" t="str">
        <f>IF(N2874=0,_xlfn.XLOOKUP(F2874,'Raw Data'!$I$4:$I$5000,'Raw Data'!$H$4:$H$5000,"",0),"")</f>
        <v/>
      </c>
      <c r="P2874" s="9" t="str" cm="1">
        <f t="array" aca="1" ref="P2874" ca="1">IF(INDIRECT(M2874) = "","",INDIRECT(M2874))</f>
        <v/>
      </c>
      <c r="Q2874" s="359" t="s">
        <v>4380</v>
      </c>
    </row>
    <row r="2875" spans="1:17" x14ac:dyDescent="0.35">
      <c r="A2875" t="s">
        <v>3548</v>
      </c>
      <c r="E2875" t="str">
        <f>_xlfn.XLOOKUP(F2875,'Raw Data'!$I$4:$I$5000,'Raw Data'!$D$4:$D$5000,"*** Mnemonic not found ***",0)</f>
        <v>*** Mnemonic not found ***</v>
      </c>
      <c r="F2875" t="str">
        <f t="shared" si="572"/>
        <v>SUCMLONGOTHER_CAT2_C__</v>
      </c>
      <c r="H2875" s="9" t="s">
        <v>1137</v>
      </c>
      <c r="K2875" s="9">
        <f t="shared" si="586"/>
        <v>770</v>
      </c>
      <c r="L2875" s="9" t="str">
        <f t="shared" si="587"/>
        <v>O</v>
      </c>
      <c r="M2875" s="9" t="str">
        <f t="shared" si="583"/>
        <v>Input!O770</v>
      </c>
      <c r="N2875" s="9">
        <f>_xlfn.XLOOKUP(F2875,'Raw Data'!$I$4:$I$5000,'Raw Data'!$E$4:$E$5000,100,0)</f>
        <v>100</v>
      </c>
      <c r="O2875" s="9" t="str">
        <f>IF(N2875=0,_xlfn.XLOOKUP(F2875,'Raw Data'!$I$4:$I$5000,'Raw Data'!$H$4:$H$5000,"",0),"")</f>
        <v/>
      </c>
      <c r="P2875" s="9" t="str" cm="1">
        <f t="array" aca="1" ref="P2875" ca="1">IF(INDIRECT(M2875) = "","",INDIRECT(M2875))</f>
        <v/>
      </c>
      <c r="Q2875" s="359" t="s">
        <v>4380</v>
      </c>
    </row>
    <row r="2876" spans="1:17" x14ac:dyDescent="0.35">
      <c r="A2876" t="s">
        <v>3549</v>
      </c>
      <c r="E2876" t="str">
        <f>_xlfn.XLOOKUP(F2876,'Raw Data'!$I$4:$I$5000,'Raw Data'!$D$4:$D$5000,"*** Mnemonic not found ***",0)</f>
        <v>*** Mnemonic not found ***</v>
      </c>
      <c r="F2876" t="str">
        <f t="shared" si="572"/>
        <v>SUCMLONGOTHER_CAT3_C__</v>
      </c>
      <c r="H2876" s="9" t="s">
        <v>1137</v>
      </c>
      <c r="K2876" s="9">
        <f>K2875+1</f>
        <v>771</v>
      </c>
      <c r="L2876" s="9" t="str">
        <f>L2875</f>
        <v>O</v>
      </c>
      <c r="M2876" s="9" t="str">
        <f t="shared" si="583"/>
        <v>Input!O771</v>
      </c>
      <c r="N2876" s="9">
        <f>_xlfn.XLOOKUP(F2876,'Raw Data'!$I$4:$I$5000,'Raw Data'!$E$4:$E$5000,100,0)</f>
        <v>100</v>
      </c>
      <c r="O2876" s="9" t="str">
        <f>IF(N2876=0,_xlfn.XLOOKUP(F2876,'Raw Data'!$I$4:$I$5000,'Raw Data'!$H$4:$H$5000,"",0),"")</f>
        <v/>
      </c>
      <c r="P2876" s="9" t="str" cm="1">
        <f t="array" aca="1" ref="P2876" ca="1">IF(INDIRECT(M2876) = "","",INDIRECT(M2876))</f>
        <v/>
      </c>
      <c r="Q2876" s="359" t="s">
        <v>4380</v>
      </c>
    </row>
    <row r="2877" spans="1:17" x14ac:dyDescent="0.35">
      <c r="A2877" s="694" t="s">
        <v>4366</v>
      </c>
      <c r="E2877" t="str">
        <f>_xlfn.XLOOKUP(F2877,'Raw Data'!$I$4:$I$5000,'Raw Data'!$D$4:$D$5000,"*** Mnemonic not found ***",0)</f>
        <v>*** Mnemonic not found ***</v>
      </c>
      <c r="F2877" t="str">
        <f t="shared" si="572"/>
        <v>SUCMLONGRESCONFLVL_C__</v>
      </c>
      <c r="H2877" s="9" t="s">
        <v>1137</v>
      </c>
      <c r="K2877" s="9">
        <f>K2876+1</f>
        <v>772</v>
      </c>
      <c r="L2877" s="9" t="str">
        <f>L2876</f>
        <v>O</v>
      </c>
      <c r="M2877" s="9" t="str">
        <f t="shared" ref="M2877" si="588">CONCATENATE(H2877,"!",L2877,K2877)</f>
        <v>Input!O772</v>
      </c>
      <c r="N2877" s="9">
        <f>_xlfn.XLOOKUP(F2877,'Raw Data'!$I$4:$I$5000,'Raw Data'!$E$4:$E$5000,100,0)</f>
        <v>100</v>
      </c>
      <c r="O2877" s="9" t="str">
        <f>IF(N2877=0,_xlfn.XLOOKUP(F2877,'Raw Data'!$I$4:$I$5000,'Raw Data'!$H$4:$H$5000,"",0),"")</f>
        <v/>
      </c>
      <c r="P2877" s="9" t="str" cm="1">
        <f t="array" aca="1" ref="P2877" ca="1">IF(INDIRECT(M2877) = "","",INDIRECT(M2877))</f>
        <v/>
      </c>
      <c r="Q2877" s="359" t="s">
        <v>4380</v>
      </c>
    </row>
    <row r="2878" spans="1:17" x14ac:dyDescent="0.35">
      <c r="A2878" t="s">
        <v>3550</v>
      </c>
      <c r="E2878" t="str">
        <f>_xlfn.XLOOKUP(F2878,'Raw Data'!$I$4:$I$5000,'Raw Data'!$D$4:$D$5000,"*** Mnemonic not found ***",0)</f>
        <v>*** Mnemonic not found ***</v>
      </c>
      <c r="F2878" t="str">
        <f t="shared" si="572"/>
        <v>SUCMLONGEXPTOT_C__</v>
      </c>
      <c r="H2878" s="9" t="s">
        <v>1137</v>
      </c>
      <c r="K2878" s="9">
        <f>K2877+2</f>
        <v>774</v>
      </c>
      <c r="L2878" s="9" t="str">
        <f>L2877</f>
        <v>O</v>
      </c>
      <c r="M2878" s="9" t="str">
        <f t="shared" si="583"/>
        <v>Input!O774</v>
      </c>
      <c r="N2878" s="9">
        <f>_xlfn.XLOOKUP(F2878,'Raw Data'!$I$4:$I$5000,'Raw Data'!$E$4:$E$5000,100,0)</f>
        <v>100</v>
      </c>
      <c r="O2878" s="9" t="str">
        <f>IF(N2878=0,_xlfn.XLOOKUP(F2878,'Raw Data'!$I$4:$I$5000,'Raw Data'!$H$4:$H$5000,"",0),"")</f>
        <v/>
      </c>
      <c r="P2878" s="9" t="str" cm="1">
        <f t="array" aca="1" ref="P2878" ca="1">IF(INDIRECT(M2878) = "","",INDIRECT(M2878))</f>
        <v/>
      </c>
      <c r="Q2878" s="359" t="s">
        <v>4380</v>
      </c>
    </row>
    <row r="2879" spans="1:17" x14ac:dyDescent="0.35">
      <c r="A2879" t="s">
        <v>3551</v>
      </c>
      <c r="E2879" t="str">
        <f>_xlfn.XLOOKUP(F2879,'Raw Data'!$I$4:$I$5000,'Raw Data'!$D$4:$D$5000,"*** Mnemonic not found ***",0)</f>
        <v>*** Mnemonic not found ***</v>
      </c>
      <c r="F2879" t="str">
        <f t="shared" si="572"/>
        <v>SUCMOLTRPROT_C__</v>
      </c>
      <c r="G2879" t="s">
        <v>3126</v>
      </c>
      <c r="H2879" s="9" t="s">
        <v>1137</v>
      </c>
      <c r="I2879" s="289">
        <f>ROW(section_other_life)</f>
        <v>777</v>
      </c>
      <c r="J2879" s="9">
        <v>5</v>
      </c>
      <c r="K2879" s="9">
        <f>I2879+J2879</f>
        <v>782</v>
      </c>
      <c r="L2879" s="9" t="str">
        <f>L2878</f>
        <v>O</v>
      </c>
      <c r="M2879" s="9" t="str">
        <f t="shared" si="583"/>
        <v>Input!O782</v>
      </c>
      <c r="N2879" s="9">
        <f>_xlfn.XLOOKUP(F2879,'Raw Data'!$I$4:$I$5000,'Raw Data'!$E$4:$E$5000,100,0)</f>
        <v>100</v>
      </c>
      <c r="O2879" s="9" t="str">
        <f>IF(N2879=0,_xlfn.XLOOKUP(F2879,'Raw Data'!$I$4:$I$5000,'Raw Data'!$H$4:$H$5000,"",0),"")</f>
        <v/>
      </c>
      <c r="P2879" s="9" t="str" cm="1">
        <f t="array" aca="1" ref="P2879" ca="1">IF(INDIRECT(M2879) = "","",INDIRECT(M2879))</f>
        <v/>
      </c>
      <c r="Q2879" s="359" t="s">
        <v>4380</v>
      </c>
    </row>
    <row r="2880" spans="1:17" x14ac:dyDescent="0.35">
      <c r="A2880" t="s">
        <v>3552</v>
      </c>
      <c r="E2880" t="str">
        <f>_xlfn.XLOOKUP(F2880,'Raw Data'!$I$4:$I$5000,'Raw Data'!$D$4:$D$5000,"*** Mnemonic not found ***",0)</f>
        <v>*** Mnemonic not found ***</v>
      </c>
      <c r="F2880" t="str">
        <f t="shared" si="572"/>
        <v>SUCMOLTRPHI_C__</v>
      </c>
      <c r="H2880" s="9" t="s">
        <v>1137</v>
      </c>
      <c r="K2880" s="9">
        <f t="shared" ref="K2880" si="589">K2879+1</f>
        <v>783</v>
      </c>
      <c r="L2880" s="9" t="str">
        <f t="shared" ref="L2880" si="590">L2879</f>
        <v>O</v>
      </c>
      <c r="M2880" s="9" t="str">
        <f t="shared" si="583"/>
        <v>Input!O783</v>
      </c>
      <c r="N2880" s="9">
        <f>_xlfn.XLOOKUP(F2880,'Raw Data'!$I$4:$I$5000,'Raw Data'!$E$4:$E$5000,100,0)</f>
        <v>100</v>
      </c>
      <c r="O2880" s="9" t="str">
        <f>IF(N2880=0,_xlfn.XLOOKUP(F2880,'Raw Data'!$I$4:$I$5000,'Raw Data'!$H$4:$H$5000,"",0),"")</f>
        <v/>
      </c>
      <c r="P2880" s="9" t="str" cm="1">
        <f t="array" aca="1" ref="P2880" ca="1">IF(INDIRECT(M2880) = "","",INDIRECT(M2880))</f>
        <v/>
      </c>
      <c r="Q2880" s="359" t="s">
        <v>4380</v>
      </c>
    </row>
    <row r="2881" spans="1:17" x14ac:dyDescent="0.35">
      <c r="A2881" t="s">
        <v>3553</v>
      </c>
      <c r="E2881" t="str">
        <f>_xlfn.XLOOKUP(F2881,'Raw Data'!$I$4:$I$5000,'Raw Data'!$D$4:$D$5000,"*** Mnemonic not found ***",0)</f>
        <v>*** Mnemonic not found ***</v>
      </c>
      <c r="F2881" t="str">
        <f t="shared" si="572"/>
        <v>SUCMOLTRNLS_C__</v>
      </c>
      <c r="H2881" s="9" t="s">
        <v>1137</v>
      </c>
      <c r="K2881" s="9">
        <f>K2880+2</f>
        <v>785</v>
      </c>
      <c r="L2881" s="9" t="str">
        <f>L2880</f>
        <v>O</v>
      </c>
      <c r="M2881" s="9" t="str">
        <f t="shared" si="583"/>
        <v>Input!O785</v>
      </c>
      <c r="N2881" s="9">
        <f>_xlfn.XLOOKUP(F2881,'Raw Data'!$I$4:$I$5000,'Raw Data'!$E$4:$E$5000,100,0)</f>
        <v>100</v>
      </c>
      <c r="O2881" s="9" t="str">
        <f>IF(N2881=0,_xlfn.XLOOKUP(F2881,'Raw Data'!$I$4:$I$5000,'Raw Data'!$H$4:$H$5000,"",0),"")</f>
        <v/>
      </c>
      <c r="P2881" s="9" t="str" cm="1">
        <f t="array" aca="1" ref="P2881" ca="1">IF(INDIRECT(M2881) = "","",INDIRECT(M2881))</f>
        <v/>
      </c>
      <c r="Q2881" s="359" t="s">
        <v>4380</v>
      </c>
    </row>
    <row r="2882" spans="1:17" x14ac:dyDescent="0.35">
      <c r="A2882" t="s">
        <v>3554</v>
      </c>
      <c r="E2882" t="str">
        <f>_xlfn.XLOOKUP(F2882,'Raw Data'!$I$4:$I$5000,'Raw Data'!$D$4:$D$5000,"*** Mnemonic not found ***",0)</f>
        <v>*** Mnemonic not found ***</v>
      </c>
      <c r="F2882" t="str">
        <f t="shared" si="572"/>
        <v>SUCMOLTRIPA_C__</v>
      </c>
      <c r="H2882" s="9" t="s">
        <v>1137</v>
      </c>
      <c r="K2882" s="9">
        <f>K2881+2</f>
        <v>787</v>
      </c>
      <c r="L2882" s="9" t="str">
        <f t="shared" ref="L2882:L2883" si="591">L2881</f>
        <v>O</v>
      </c>
      <c r="M2882" s="9" t="str">
        <f t="shared" si="583"/>
        <v>Input!O787</v>
      </c>
      <c r="N2882" s="9">
        <f>_xlfn.XLOOKUP(F2882,'Raw Data'!$I$4:$I$5000,'Raw Data'!$E$4:$E$5000,100,0)</f>
        <v>100</v>
      </c>
      <c r="O2882" s="9" t="str">
        <f>IF(N2882=0,_xlfn.XLOOKUP(F2882,'Raw Data'!$I$4:$I$5000,'Raw Data'!$H$4:$H$5000,"",0),"")</f>
        <v/>
      </c>
      <c r="P2882" s="9" t="str" cm="1">
        <f t="array" aca="1" ref="P2882" ca="1">IF(INDIRECT(M2882) = "","",INDIRECT(M2882))</f>
        <v/>
      </c>
      <c r="Q2882" s="359" t="s">
        <v>4380</v>
      </c>
    </row>
    <row r="2883" spans="1:17" x14ac:dyDescent="0.35">
      <c r="A2883" t="s">
        <v>3555</v>
      </c>
      <c r="E2883" t="str">
        <f>_xlfn.XLOOKUP(F2883,'Raw Data'!$I$4:$I$5000,'Raw Data'!$D$4:$D$5000,"*** Mnemonic not found ***",0)</f>
        <v>*** Mnemonic not found ***</v>
      </c>
      <c r="F2883" t="str">
        <f t="shared" si="572"/>
        <v>SUCMOLTRDEFWO_C__</v>
      </c>
      <c r="H2883" s="9" t="s">
        <v>1137</v>
      </c>
      <c r="K2883" s="9">
        <f>K2882+1</f>
        <v>788</v>
      </c>
      <c r="L2883" s="9" t="str">
        <f t="shared" si="591"/>
        <v>O</v>
      </c>
      <c r="M2883" s="9" t="str">
        <f t="shared" si="583"/>
        <v>Input!O788</v>
      </c>
      <c r="N2883" s="9">
        <f>_xlfn.XLOOKUP(F2883,'Raw Data'!$I$4:$I$5000,'Raw Data'!$E$4:$E$5000,100,0)</f>
        <v>100</v>
      </c>
      <c r="O2883" s="9" t="str">
        <f>IF(N2883=0,_xlfn.XLOOKUP(F2883,'Raw Data'!$I$4:$I$5000,'Raw Data'!$H$4:$H$5000,"",0),"")</f>
        <v/>
      </c>
      <c r="P2883" s="9" t="str" cm="1">
        <f t="array" aca="1" ref="P2883" ca="1">IF(INDIRECT(M2883) = "","",INDIRECT(M2883))</f>
        <v/>
      </c>
      <c r="Q2883" s="359" t="s">
        <v>4380</v>
      </c>
    </row>
    <row r="2884" spans="1:17" x14ac:dyDescent="0.35">
      <c r="A2884" t="s">
        <v>3556</v>
      </c>
      <c r="E2884" t="str">
        <f>_xlfn.XLOOKUP(F2884,'Raw Data'!$I$4:$I$5000,'Raw Data'!$D$4:$D$5000,"*** Mnemonic not found ***",0)</f>
        <v>*** Mnemonic not found ***</v>
      </c>
      <c r="F2884" t="str">
        <f t="shared" si="572"/>
        <v>SUCMOLTRDEFW_C__</v>
      </c>
      <c r="H2884" s="9" t="s">
        <v>1137</v>
      </c>
      <c r="K2884" s="9">
        <f t="shared" ref="K2884:K2891" si="592">K2883+1</f>
        <v>789</v>
      </c>
      <c r="L2884" s="9" t="str">
        <f>L2883</f>
        <v>O</v>
      </c>
      <c r="M2884" s="9" t="str">
        <f t="shared" si="583"/>
        <v>Input!O789</v>
      </c>
      <c r="N2884" s="9">
        <f>_xlfn.XLOOKUP(F2884,'Raw Data'!$I$4:$I$5000,'Raw Data'!$E$4:$E$5000,100,0)</f>
        <v>100</v>
      </c>
      <c r="O2884" s="9" t="str">
        <f>IF(N2884=0,_xlfn.XLOOKUP(F2884,'Raw Data'!$I$4:$I$5000,'Raw Data'!$H$4:$H$5000,"",0),"")</f>
        <v/>
      </c>
      <c r="P2884" s="9" t="str" cm="1">
        <f t="array" aca="1" ref="P2884" ca="1">IF(INDIRECT(M2884) = "","",INDIRECT(M2884))</f>
        <v/>
      </c>
      <c r="Q2884" s="359" t="s">
        <v>4380</v>
      </c>
    </row>
    <row r="2885" spans="1:17" x14ac:dyDescent="0.35">
      <c r="A2885" t="s">
        <v>3557</v>
      </c>
      <c r="E2885" t="str">
        <f>_xlfn.XLOOKUP(F2885,'Raw Data'!$I$4:$I$5000,'Raw Data'!$D$4:$D$5000,"*** Mnemonic not found ***",0)</f>
        <v>*** Mnemonic not found ***</v>
      </c>
      <c r="F2885" t="str">
        <f t="shared" si="572"/>
        <v>SUCMOLTRDEFGIC_C__</v>
      </c>
      <c r="H2885" s="9" t="s">
        <v>1137</v>
      </c>
      <c r="K2885" s="9">
        <f>K2884+2</f>
        <v>791</v>
      </c>
      <c r="L2885" s="9" t="str">
        <f t="shared" ref="L2885:L2892" si="593">L2884</f>
        <v>O</v>
      </c>
      <c r="M2885" s="9" t="str">
        <f t="shared" si="583"/>
        <v>Input!O791</v>
      </c>
      <c r="N2885" s="9">
        <f>_xlfn.XLOOKUP(F2885,'Raw Data'!$I$4:$I$5000,'Raw Data'!$E$4:$E$5000,100,0)</f>
        <v>100</v>
      </c>
      <c r="O2885" s="9" t="str">
        <f>IF(N2885=0,_xlfn.XLOOKUP(F2885,'Raw Data'!$I$4:$I$5000,'Raw Data'!$H$4:$H$5000,"",0),"")</f>
        <v/>
      </c>
      <c r="P2885" s="9" t="str" cm="1">
        <f t="array" aca="1" ref="P2885" ca="1">IF(INDIRECT(M2885) = "","",INDIRECT(M2885))</f>
        <v/>
      </c>
      <c r="Q2885" s="359" t="s">
        <v>4380</v>
      </c>
    </row>
    <row r="2886" spans="1:17" x14ac:dyDescent="0.35">
      <c r="A2886" t="s">
        <v>3558</v>
      </c>
      <c r="E2886" t="str">
        <f>_xlfn.XLOOKUP(F2886,'Raw Data'!$I$4:$I$5000,'Raw Data'!$D$4:$D$5000,"*** Mnemonic not found ***",0)</f>
        <v>*** Mnemonic not found ***</v>
      </c>
      <c r="F2886" t="str">
        <f t="shared" si="572"/>
        <v>SUCMOLTRDEFOLP_C__</v>
      </c>
      <c r="H2886" s="9" t="s">
        <v>1137</v>
      </c>
      <c r="K2886" s="9">
        <f>K2885+1</f>
        <v>792</v>
      </c>
      <c r="L2886" s="9" t="str">
        <f t="shared" si="593"/>
        <v>O</v>
      </c>
      <c r="M2886" s="9" t="str">
        <f t="shared" si="583"/>
        <v>Input!O792</v>
      </c>
      <c r="N2886" s="9">
        <f>_xlfn.XLOOKUP(F2886,'Raw Data'!$I$4:$I$5000,'Raw Data'!$E$4:$E$5000,100,0)</f>
        <v>100</v>
      </c>
      <c r="O2886" s="9" t="str">
        <f>IF(N2886=0,_xlfn.XLOOKUP(F2886,'Raw Data'!$I$4:$I$5000,'Raw Data'!$H$4:$H$5000,"",0),"")</f>
        <v/>
      </c>
      <c r="P2886" s="9" t="str" cm="1">
        <f t="array" aca="1" ref="P2886" ca="1">IF(INDIRECT(M2886) = "","",INDIRECT(M2886))</f>
        <v/>
      </c>
      <c r="Q2886" s="359" t="s">
        <v>4380</v>
      </c>
    </row>
    <row r="2887" spans="1:17" x14ac:dyDescent="0.35">
      <c r="A2887" t="s">
        <v>3559</v>
      </c>
      <c r="E2887" t="str">
        <f>_xlfn.XLOOKUP(F2887,'Raw Data'!$I$4:$I$5000,'Raw Data'!$D$4:$D$5000,"*** Mnemonic not found ***",0)</f>
        <v>*** Mnemonic not found ***</v>
      </c>
      <c r="F2887" t="str">
        <f t="shared" si="572"/>
        <v>SUCMOLTRNONSADEFLBW_C__</v>
      </c>
      <c r="H2887" s="9" t="s">
        <v>1137</v>
      </c>
      <c r="K2887" s="9">
        <f>K2886+2</f>
        <v>794</v>
      </c>
      <c r="L2887" s="9" t="str">
        <f t="shared" si="593"/>
        <v>O</v>
      </c>
      <c r="M2887" s="9" t="str">
        <f t="shared" si="583"/>
        <v>Input!O794</v>
      </c>
      <c r="N2887" s="9">
        <f>_xlfn.XLOOKUP(F2887,'Raw Data'!$I$4:$I$5000,'Raw Data'!$E$4:$E$5000,100,0)</f>
        <v>100</v>
      </c>
      <c r="O2887" s="9" t="str">
        <f>IF(N2887=0,_xlfn.XLOOKUP(F2887,'Raw Data'!$I$4:$I$5000,'Raw Data'!$H$4:$H$5000,"",0),"")</f>
        <v/>
      </c>
      <c r="P2887" s="9" t="str" cm="1">
        <f t="array" aca="1" ref="P2887" ca="1">IF(INDIRECT(M2887) = "","",INDIRECT(M2887))</f>
        <v/>
      </c>
      <c r="Q2887" s="359" t="s">
        <v>4380</v>
      </c>
    </row>
    <row r="2888" spans="1:17" x14ac:dyDescent="0.35">
      <c r="A2888" t="s">
        <v>3560</v>
      </c>
      <c r="E2888" t="str">
        <f>_xlfn.XLOOKUP(F2888,'Raw Data'!$I$4:$I$5000,'Raw Data'!$D$4:$D$5000,"*** Mnemonic not found ***",0)</f>
        <v>*** Mnemonic not found ***</v>
      </c>
      <c r="F2888" t="str">
        <f t="shared" si="572"/>
        <v>SUCMOLTRNONSADEFBINVWO_C__</v>
      </c>
      <c r="H2888" s="9" t="s">
        <v>1137</v>
      </c>
      <c r="K2888" s="9">
        <f>K2887+1</f>
        <v>795</v>
      </c>
      <c r="L2888" s="9" t="str">
        <f t="shared" si="593"/>
        <v>O</v>
      </c>
      <c r="M2888" s="9" t="str">
        <f t="shared" si="583"/>
        <v>Input!O795</v>
      </c>
      <c r="N2888" s="9">
        <f>_xlfn.XLOOKUP(F2888,'Raw Data'!$I$4:$I$5000,'Raw Data'!$E$4:$E$5000,100,0)</f>
        <v>100</v>
      </c>
      <c r="O2888" s="9" t="str">
        <f>IF(N2888=0,_xlfn.XLOOKUP(F2888,'Raw Data'!$I$4:$I$5000,'Raw Data'!$H$4:$H$5000,"",0),"")</f>
        <v/>
      </c>
      <c r="P2888" s="9" t="str" cm="1">
        <f t="array" aca="1" ref="P2888" ca="1">IF(INDIRECT(M2888) = "","",INDIRECT(M2888))</f>
        <v/>
      </c>
      <c r="Q2888" s="359" t="s">
        <v>4380</v>
      </c>
    </row>
    <row r="2889" spans="1:17" x14ac:dyDescent="0.35">
      <c r="A2889" t="s">
        <v>3561</v>
      </c>
      <c r="E2889" t="str">
        <f>_xlfn.XLOOKUP(F2889,'Raw Data'!$I$4:$I$5000,'Raw Data'!$D$4:$D$5000,"*** Mnemonic not found ***",0)</f>
        <v>*** Mnemonic not found ***</v>
      </c>
      <c r="F2889" t="str">
        <f t="shared" si="572"/>
        <v>SUCMOLTRNONPBEXPOA_C__</v>
      </c>
      <c r="H2889" s="9" t="s">
        <v>1137</v>
      </c>
      <c r="K2889" s="9">
        <f>K2888+3</f>
        <v>798</v>
      </c>
      <c r="L2889" s="9" t="str">
        <f t="shared" si="593"/>
        <v>O</v>
      </c>
      <c r="M2889" s="9" t="str">
        <f t="shared" si="583"/>
        <v>Input!O798</v>
      </c>
      <c r="N2889" s="9">
        <f>_xlfn.XLOOKUP(F2889,'Raw Data'!$I$4:$I$5000,'Raw Data'!$E$4:$E$5000,100,0)</f>
        <v>100</v>
      </c>
      <c r="O2889" s="9" t="str">
        <f>IF(N2889=0,_xlfn.XLOOKUP(F2889,'Raw Data'!$I$4:$I$5000,'Raw Data'!$H$4:$H$5000,"",0),"")</f>
        <v/>
      </c>
      <c r="P2889" s="9" t="str" cm="1">
        <f t="array" aca="1" ref="P2889" ca="1">IF(INDIRECT(M2889) = "","",INDIRECT(M2889))</f>
        <v/>
      </c>
      <c r="Q2889" s="359" t="s">
        <v>4380</v>
      </c>
    </row>
    <row r="2890" spans="1:17" x14ac:dyDescent="0.35">
      <c r="A2890" t="s">
        <v>3562</v>
      </c>
      <c r="E2890" t="str">
        <f>_xlfn.XLOOKUP(F2890,'Raw Data'!$I$4:$I$5000,'Raw Data'!$D$4:$D$5000,"*** Mnemonic not found ***",0)</f>
        <v>*** Mnemonic not found ***</v>
      </c>
      <c r="F2890" t="str">
        <f t="shared" si="572"/>
        <v>SUCMOLTRNONPBCPOA_C__</v>
      </c>
      <c r="H2890" s="9" t="s">
        <v>1137</v>
      </c>
      <c r="K2890" s="9">
        <f>K2889+1</f>
        <v>799</v>
      </c>
      <c r="L2890" s="9" t="str">
        <f t="shared" si="593"/>
        <v>O</v>
      </c>
      <c r="M2890" s="9" t="str">
        <f t="shared" si="583"/>
        <v>Input!O799</v>
      </c>
      <c r="N2890" s="9">
        <f>_xlfn.XLOOKUP(F2890,'Raw Data'!$I$4:$I$5000,'Raw Data'!$E$4:$E$5000,100,0)</f>
        <v>100</v>
      </c>
      <c r="O2890" s="9" t="str">
        <f>IF(N2890=0,_xlfn.XLOOKUP(F2890,'Raw Data'!$I$4:$I$5000,'Raw Data'!$H$4:$H$5000,"",0),"")</f>
        <v/>
      </c>
      <c r="P2890" s="9" t="str" cm="1">
        <f t="array" aca="1" ref="P2890" ca="1">IF(INDIRECT(M2890) = "","",INDIRECT(M2890))</f>
        <v/>
      </c>
      <c r="Q2890" s="359" t="s">
        <v>4380</v>
      </c>
    </row>
    <row r="2891" spans="1:17" x14ac:dyDescent="0.35">
      <c r="A2891" t="s">
        <v>3563</v>
      </c>
      <c r="E2891" t="str">
        <f>_xlfn.XLOOKUP(F2891,'Raw Data'!$I$4:$I$5000,'Raw Data'!$D$4:$D$5000,"*** Mnemonic not found ***",0)</f>
        <v>*** Mnemonic not found ***</v>
      </c>
      <c r="F2891" t="str">
        <f t="shared" si="572"/>
        <v>SUCMOLTRNONPBCPDA_C__</v>
      </c>
      <c r="H2891" s="9" t="s">
        <v>1137</v>
      </c>
      <c r="K2891" s="9">
        <f t="shared" si="592"/>
        <v>800</v>
      </c>
      <c r="L2891" s="9" t="str">
        <f t="shared" si="593"/>
        <v>O</v>
      </c>
      <c r="M2891" s="9" t="str">
        <f t="shared" si="583"/>
        <v>Input!O800</v>
      </c>
      <c r="N2891" s="9">
        <f>_xlfn.XLOOKUP(F2891,'Raw Data'!$I$4:$I$5000,'Raw Data'!$E$4:$E$5000,100,0)</f>
        <v>100</v>
      </c>
      <c r="O2891" s="9" t="str">
        <f>IF(N2891=0,_xlfn.XLOOKUP(F2891,'Raw Data'!$I$4:$I$5000,'Raw Data'!$H$4:$H$5000,"",0),"")</f>
        <v/>
      </c>
      <c r="P2891" s="9" t="str" cm="1">
        <f t="array" aca="1" ref="P2891" ca="1">IF(INDIRECT(M2891) = "","",INDIRECT(M2891))</f>
        <v/>
      </c>
      <c r="Q2891" s="359" t="s">
        <v>4380</v>
      </c>
    </row>
    <row r="2892" spans="1:17" x14ac:dyDescent="0.35">
      <c r="A2892" t="s">
        <v>3564</v>
      </c>
      <c r="E2892" t="str">
        <f>_xlfn.XLOOKUP(F2892,'Raw Data'!$I$4:$I$5000,'Raw Data'!$D$4:$D$5000,"*** Mnemonic not found ***",0)</f>
        <v>*** Mnemonic not found ***</v>
      </c>
      <c r="F2892" t="str">
        <f t="shared" si="572"/>
        <v>SUCMOLTRTOTLR_C__</v>
      </c>
      <c r="H2892" s="9" t="s">
        <v>1137</v>
      </c>
      <c r="K2892" s="9">
        <f>K2891+2</f>
        <v>802</v>
      </c>
      <c r="L2892" s="9" t="str">
        <f t="shared" si="593"/>
        <v>O</v>
      </c>
      <c r="M2892" s="9" t="str">
        <f t="shared" si="583"/>
        <v>Input!O802</v>
      </c>
      <c r="N2892" s="9">
        <f>_xlfn.XLOOKUP(F2892,'Raw Data'!$I$4:$I$5000,'Raw Data'!$E$4:$E$5000,100,0)</f>
        <v>100</v>
      </c>
      <c r="O2892" s="9" t="str">
        <f>IF(N2892=0,_xlfn.XLOOKUP(F2892,'Raw Data'!$I$4:$I$5000,'Raw Data'!$H$4:$H$5000,"",0),"")</f>
        <v/>
      </c>
      <c r="P2892" s="9" t="str" cm="1">
        <f t="array" aca="1" ref="P2892" ca="1">IF(INDIRECT(M2892) = "","",INDIRECT(M2892))</f>
        <v/>
      </c>
      <c r="Q2892" s="359" t="s">
        <v>4380</v>
      </c>
    </row>
    <row r="2893" spans="1:17" x14ac:dyDescent="0.35">
      <c r="A2893" t="s">
        <v>3565</v>
      </c>
      <c r="E2893" t="str">
        <f>_xlfn.XLOOKUP(F2893,'Raw Data'!$I$4:$I$5000,'Raw Data'!$D$4:$D$5000,"*** Mnemonic not found ***",0)</f>
        <v>*** Mnemonic not found ***</v>
      </c>
      <c r="F2893" t="str">
        <f t="shared" si="572"/>
        <v>SUCMVA995_C__</v>
      </c>
      <c r="G2893" t="s">
        <v>3127</v>
      </c>
      <c r="H2893" s="9" t="s">
        <v>1137</v>
      </c>
      <c r="I2893" s="289">
        <f>ROW(section_variable_annuities)</f>
        <v>807</v>
      </c>
      <c r="J2893" s="9">
        <v>3</v>
      </c>
      <c r="K2893" s="9">
        <f>I2893+J2893</f>
        <v>810</v>
      </c>
      <c r="L2893" s="9" t="str">
        <f>L2892</f>
        <v>O</v>
      </c>
      <c r="M2893" s="9" t="str">
        <f t="shared" si="583"/>
        <v>Input!O810</v>
      </c>
      <c r="N2893" s="9">
        <f>_xlfn.XLOOKUP(F2893,'Raw Data'!$I$4:$I$5000,'Raw Data'!$E$4:$E$5000,100,0)</f>
        <v>100</v>
      </c>
      <c r="O2893" s="9" t="str">
        <f>IF(N2893=0,_xlfn.XLOOKUP(F2893,'Raw Data'!$I$4:$I$5000,'Raw Data'!$H$4:$H$5000,"",0),"")</f>
        <v/>
      </c>
      <c r="P2893" s="9" t="str" cm="1">
        <f t="array" aca="1" ref="P2893" ca="1">IF(INDIRECT(M2893) = "","",INDIRECT(M2893))</f>
        <v/>
      </c>
      <c r="Q2893" s="359" t="s">
        <v>4380</v>
      </c>
    </row>
    <row r="2894" spans="1:17" x14ac:dyDescent="0.35">
      <c r="A2894" t="s">
        <v>3566</v>
      </c>
      <c r="E2894" t="str">
        <f>_xlfn.XLOOKUP(F2894,'Raw Data'!$I$4:$I$5000,'Raw Data'!$D$4:$D$5000,"*** Mnemonic not found ***",0)</f>
        <v>*** Mnemonic not found ***</v>
      </c>
      <c r="F2894" t="str">
        <f t="shared" ref="F2894:F2954" si="594">CONCATENATE(A2894,"_",B2894,"_",D2894)</f>
        <v>SUCMVA98_C__</v>
      </c>
      <c r="H2894" s="9" t="s">
        <v>1137</v>
      </c>
      <c r="K2894" s="9">
        <f t="shared" ref="K2894" si="595">K2893+1</f>
        <v>811</v>
      </c>
      <c r="L2894" s="9" t="str">
        <f t="shared" ref="L2894" si="596">L2893</f>
        <v>O</v>
      </c>
      <c r="M2894" s="9" t="str">
        <f t="shared" si="583"/>
        <v>Input!O811</v>
      </c>
      <c r="N2894" s="9">
        <f>_xlfn.XLOOKUP(F2894,'Raw Data'!$I$4:$I$5000,'Raw Data'!$E$4:$E$5000,100,0)</f>
        <v>100</v>
      </c>
      <c r="O2894" s="9" t="str">
        <f>IF(N2894=0,_xlfn.XLOOKUP(F2894,'Raw Data'!$I$4:$I$5000,'Raw Data'!$H$4:$H$5000,"",0),"")</f>
        <v/>
      </c>
      <c r="P2894" s="9" t="str" cm="1">
        <f t="array" aca="1" ref="P2894" ca="1">IF(INDIRECT(M2894) = "","",INDIRECT(M2894))</f>
        <v/>
      </c>
      <c r="Q2894" s="359" t="s">
        <v>4380</v>
      </c>
    </row>
    <row r="2895" spans="1:17" x14ac:dyDescent="0.35">
      <c r="A2895" t="s">
        <v>3567</v>
      </c>
      <c r="E2895" t="str">
        <f>_xlfn.XLOOKUP(F2895,'Raw Data'!$I$4:$I$5000,'Raw Data'!$D$4:$D$5000,"*** Mnemonic not found ***",0)</f>
        <v>*** Mnemonic not found ***</v>
      </c>
      <c r="F2895" t="str">
        <f t="shared" si="594"/>
        <v>SUCMVA95_C__</v>
      </c>
      <c r="H2895" s="9" t="s">
        <v>1137</v>
      </c>
      <c r="K2895" s="9">
        <f>K2894+1</f>
        <v>812</v>
      </c>
      <c r="L2895" s="9" t="str">
        <f>L2894</f>
        <v>O</v>
      </c>
      <c r="M2895" s="9" t="str">
        <f t="shared" si="583"/>
        <v>Input!O812</v>
      </c>
      <c r="N2895" s="9">
        <f>_xlfn.XLOOKUP(F2895,'Raw Data'!$I$4:$I$5000,'Raw Data'!$E$4:$E$5000,100,0)</f>
        <v>100</v>
      </c>
      <c r="O2895" s="9" t="str">
        <f>IF(N2895=0,_xlfn.XLOOKUP(F2895,'Raw Data'!$I$4:$I$5000,'Raw Data'!$H$4:$H$5000,"",0),"")</f>
        <v/>
      </c>
      <c r="P2895" s="9" t="str" cm="1">
        <f t="array" aca="1" ref="P2895" ca="1">IF(INDIRECT(M2895) = "","",INDIRECT(M2895))</f>
        <v/>
      </c>
      <c r="Q2895" s="359" t="s">
        <v>4380</v>
      </c>
    </row>
    <row r="2896" spans="1:17" x14ac:dyDescent="0.35">
      <c r="A2896" t="s">
        <v>3568</v>
      </c>
      <c r="E2896" t="str">
        <f>_xlfn.XLOOKUP(F2896,'Raw Data'!$I$4:$I$5000,'Raw Data'!$D$4:$D$5000,"*** Mnemonic not found ***",0)</f>
        <v>*** Mnemonic not found ***</v>
      </c>
      <c r="F2896" t="str">
        <f t="shared" si="594"/>
        <v>SUCMVA90_C__</v>
      </c>
      <c r="H2896" s="9" t="s">
        <v>1137</v>
      </c>
      <c r="K2896" s="9">
        <f t="shared" ref="K2896" si="597">K2895+1</f>
        <v>813</v>
      </c>
      <c r="L2896" s="9" t="str">
        <f t="shared" ref="L2896:L2897" si="598">L2895</f>
        <v>O</v>
      </c>
      <c r="M2896" s="9" t="str">
        <f t="shared" si="583"/>
        <v>Input!O813</v>
      </c>
      <c r="N2896" s="9">
        <f>_xlfn.XLOOKUP(F2896,'Raw Data'!$I$4:$I$5000,'Raw Data'!$E$4:$E$5000,100,0)</f>
        <v>100</v>
      </c>
      <c r="O2896" s="9" t="str">
        <f>IF(N2896=0,_xlfn.XLOOKUP(F2896,'Raw Data'!$I$4:$I$5000,'Raw Data'!$H$4:$H$5000,"",0),"")</f>
        <v/>
      </c>
      <c r="P2896" s="9" t="str" cm="1">
        <f t="array" aca="1" ref="P2896" ca="1">IF(INDIRECT(M2896) = "","",INDIRECT(M2896))</f>
        <v/>
      </c>
      <c r="Q2896" s="359" t="s">
        <v>4380</v>
      </c>
    </row>
    <row r="2897" spans="1:17" x14ac:dyDescent="0.35">
      <c r="A2897" t="s">
        <v>3569</v>
      </c>
      <c r="E2897" t="str">
        <f>_xlfn.XLOOKUP(F2897,'Raw Data'!$I$4:$I$5000,'Raw Data'!$D$4:$D$5000,"*** Mnemonic not found ***",0)</f>
        <v>*** Mnemonic not found ***</v>
      </c>
      <c r="F2897" t="str">
        <f t="shared" si="594"/>
        <v>SUCMVAERROR_C__</v>
      </c>
      <c r="H2897" s="9" t="s">
        <v>1137</v>
      </c>
      <c r="K2897" s="9">
        <f>K2896+2</f>
        <v>815</v>
      </c>
      <c r="L2897" s="9" t="str">
        <f t="shared" si="598"/>
        <v>O</v>
      </c>
      <c r="M2897" s="9" t="str">
        <f t="shared" si="583"/>
        <v>Input!O815</v>
      </c>
      <c r="N2897" s="9">
        <f>_xlfn.XLOOKUP(F2897,'Raw Data'!$I$4:$I$5000,'Raw Data'!$E$4:$E$5000,100,0)</f>
        <v>100</v>
      </c>
      <c r="O2897" s="9" t="str">
        <f>IF(N2897=0,_xlfn.XLOOKUP(F2897,'Raw Data'!$I$4:$I$5000,'Raw Data'!$H$4:$H$5000,"",0),"")</f>
        <v/>
      </c>
      <c r="P2897" s="9" t="str" cm="1">
        <f t="array" aca="1" ref="P2897" ca="1">IF(INDIRECT(M2897) = "","",INDIRECT(M2897))</f>
        <v/>
      </c>
      <c r="Q2897" s="359" t="s">
        <v>4380</v>
      </c>
    </row>
    <row r="2898" spans="1:17" x14ac:dyDescent="0.35">
      <c r="A2898" t="s">
        <v>3570</v>
      </c>
      <c r="E2898" t="str">
        <f>_xlfn.XLOOKUP(F2898,'Raw Data'!$I$4:$I$5000,'Raw Data'!$D$4:$D$5000,"*** Mnemonic not found ***",0)</f>
        <v>*** Mnemonic not found ***</v>
      </c>
      <c r="F2898" t="str">
        <f t="shared" si="594"/>
        <v>SUCMVASTATNETREINS_C__</v>
      </c>
      <c r="H2898" s="9" t="s">
        <v>1137</v>
      </c>
      <c r="K2898" s="9">
        <f>K2897+2</f>
        <v>817</v>
      </c>
      <c r="L2898" s="9" t="str">
        <f>L2897</f>
        <v>O</v>
      </c>
      <c r="M2898" s="9" t="str">
        <f t="shared" si="583"/>
        <v>Input!O817</v>
      </c>
      <c r="N2898" s="9">
        <f>_xlfn.XLOOKUP(F2898,'Raw Data'!$I$4:$I$5000,'Raw Data'!$E$4:$E$5000,100,0)</f>
        <v>100</v>
      </c>
      <c r="O2898" s="9" t="str">
        <f>IF(N2898=0,_xlfn.XLOOKUP(F2898,'Raw Data'!$I$4:$I$5000,'Raw Data'!$H$4:$H$5000,"",0),"")</f>
        <v/>
      </c>
      <c r="P2898" s="9" t="str" cm="1">
        <f t="array" aca="1" ref="P2898" ca="1">IF(INDIRECT(M2898) = "","",INDIRECT(M2898))</f>
        <v/>
      </c>
      <c r="Q2898" s="359" t="s">
        <v>4380</v>
      </c>
    </row>
    <row r="2899" spans="1:17" x14ac:dyDescent="0.35">
      <c r="A2899" t="s">
        <v>3571</v>
      </c>
      <c r="E2899" t="str">
        <f>_xlfn.XLOOKUP(F2899,'Raw Data'!$I$4:$I$5000,'Raw Data'!$D$4:$D$5000,"*** Mnemonic not found ***",0)</f>
        <v>*** Mnemonic not found ***</v>
      </c>
      <c r="F2899" t="str">
        <f t="shared" si="594"/>
        <v>SUCMSEGFUND_9999_C__</v>
      </c>
      <c r="G2899" t="s">
        <v>3128</v>
      </c>
      <c r="H2899" s="9" t="s">
        <v>1137</v>
      </c>
      <c r="I2899" s="289">
        <f>ROW(section_ring_fenced_funds)</f>
        <v>820</v>
      </c>
      <c r="J2899" s="9">
        <v>3</v>
      </c>
      <c r="K2899" s="9">
        <f>I2899+J2899</f>
        <v>823</v>
      </c>
      <c r="L2899" s="9" t="str">
        <f>L2898</f>
        <v>O</v>
      </c>
      <c r="M2899" s="9" t="str">
        <f t="shared" si="583"/>
        <v>Input!O823</v>
      </c>
      <c r="N2899" s="9">
        <f>_xlfn.XLOOKUP(F2899,'Raw Data'!$I$4:$I$5000,'Raw Data'!$E$4:$E$5000,100,0)</f>
        <v>100</v>
      </c>
      <c r="O2899" s="9" t="str">
        <f>IF(N2899=0,_xlfn.XLOOKUP(F2899,'Raw Data'!$I$4:$I$5000,'Raw Data'!$H$4:$H$5000,"",0),"")</f>
        <v/>
      </c>
      <c r="P2899" s="9" t="str" cm="1">
        <f t="array" aca="1" ref="P2899" ca="1">IF(INDIRECT(M2899) = "","",INDIRECT(M2899))</f>
        <v/>
      </c>
      <c r="Q2899" s="359" t="s">
        <v>4380</v>
      </c>
    </row>
    <row r="2900" spans="1:17" x14ac:dyDescent="0.35">
      <c r="A2900" t="s">
        <v>3572</v>
      </c>
      <c r="E2900" t="str">
        <f>_xlfn.XLOOKUP(F2900,'Raw Data'!$I$4:$I$5000,'Raw Data'!$D$4:$D$5000,"*** Mnemonic not found ***",0)</f>
        <v>*** Mnemonic not found ***</v>
      </c>
      <c r="F2900" t="str">
        <f t="shared" si="594"/>
        <v>SUCMSEGFUND_9995_C__</v>
      </c>
      <c r="H2900" s="9" t="s">
        <v>1137</v>
      </c>
      <c r="K2900" s="9">
        <f t="shared" ref="K2900:K2902" si="599">K2899+1</f>
        <v>824</v>
      </c>
      <c r="L2900" s="9" t="str">
        <f t="shared" ref="L2900:L2901" si="600">L2899</f>
        <v>O</v>
      </c>
      <c r="M2900" s="9" t="str">
        <f t="shared" si="583"/>
        <v>Input!O824</v>
      </c>
      <c r="N2900" s="9">
        <f>_xlfn.XLOOKUP(F2900,'Raw Data'!$I$4:$I$5000,'Raw Data'!$E$4:$E$5000,100,0)</f>
        <v>100</v>
      </c>
      <c r="O2900" s="9" t="str">
        <f>IF(N2900=0,_xlfn.XLOOKUP(F2900,'Raw Data'!$I$4:$I$5000,'Raw Data'!$H$4:$H$5000,"",0),"")</f>
        <v/>
      </c>
      <c r="P2900" s="9" t="str" cm="1">
        <f t="array" aca="1" ref="P2900" ca="1">IF(INDIRECT(M2900) = "","",INDIRECT(M2900))</f>
        <v/>
      </c>
      <c r="Q2900" s="359" t="s">
        <v>4380</v>
      </c>
    </row>
    <row r="2901" spans="1:17" x14ac:dyDescent="0.35">
      <c r="A2901" t="s">
        <v>3573</v>
      </c>
      <c r="E2901" t="str">
        <f>_xlfn.XLOOKUP(F2901,'Raw Data'!$I$4:$I$5000,'Raw Data'!$D$4:$D$5000,"*** Mnemonic not found ***",0)</f>
        <v>*** Mnemonic not found ***</v>
      </c>
      <c r="F2901" t="str">
        <f t="shared" si="594"/>
        <v>SUCMSEGFUND_9980_C__</v>
      </c>
      <c r="H2901" s="9" t="s">
        <v>1137</v>
      </c>
      <c r="K2901" s="9">
        <f t="shared" si="599"/>
        <v>825</v>
      </c>
      <c r="L2901" s="9" t="str">
        <f t="shared" si="600"/>
        <v>O</v>
      </c>
      <c r="M2901" s="9" t="str">
        <f t="shared" si="583"/>
        <v>Input!O825</v>
      </c>
      <c r="N2901" s="9">
        <f>_xlfn.XLOOKUP(F2901,'Raw Data'!$I$4:$I$5000,'Raw Data'!$E$4:$E$5000,100,0)</f>
        <v>100</v>
      </c>
      <c r="O2901" s="9" t="str">
        <f>IF(N2901=0,_xlfn.XLOOKUP(F2901,'Raw Data'!$I$4:$I$5000,'Raw Data'!$H$4:$H$5000,"",0),"")</f>
        <v/>
      </c>
      <c r="P2901" s="9" t="str" cm="1">
        <f t="array" aca="1" ref="P2901" ca="1">IF(INDIRECT(M2901) = "","",INDIRECT(M2901))</f>
        <v/>
      </c>
      <c r="Q2901" s="359" t="s">
        <v>4380</v>
      </c>
    </row>
    <row r="2902" spans="1:17" x14ac:dyDescent="0.35">
      <c r="A2902" t="s">
        <v>3574</v>
      </c>
      <c r="E2902" t="str">
        <f>_xlfn.XLOOKUP(F2902,'Raw Data'!$I$4:$I$5000,'Raw Data'!$D$4:$D$5000,"*** Mnemonic not found ***",0)</f>
        <v>*** Mnemonic not found ***</v>
      </c>
      <c r="F2902" t="str">
        <f t="shared" si="594"/>
        <v>SUCMSEGFUND_9950_C__</v>
      </c>
      <c r="H2902" s="9" t="s">
        <v>1137</v>
      </c>
      <c r="K2902" s="9">
        <f t="shared" si="599"/>
        <v>826</v>
      </c>
      <c r="L2902" s="9" t="str">
        <f>L2901</f>
        <v>O</v>
      </c>
      <c r="M2902" s="9" t="str">
        <f t="shared" si="583"/>
        <v>Input!O826</v>
      </c>
      <c r="N2902" s="9">
        <f>_xlfn.XLOOKUP(F2902,'Raw Data'!$I$4:$I$5000,'Raw Data'!$E$4:$E$5000,100,0)</f>
        <v>100</v>
      </c>
      <c r="O2902" s="9" t="str">
        <f>IF(N2902=0,_xlfn.XLOOKUP(F2902,'Raw Data'!$I$4:$I$5000,'Raw Data'!$H$4:$H$5000,"",0),"")</f>
        <v/>
      </c>
      <c r="P2902" s="9" t="str" cm="1">
        <f t="array" aca="1" ref="P2902" ca="1">IF(INDIRECT(M2902) = "","",INDIRECT(M2902))</f>
        <v/>
      </c>
      <c r="Q2902" s="359" t="s">
        <v>4380</v>
      </c>
    </row>
    <row r="2903" spans="1:17" x14ac:dyDescent="0.35">
      <c r="A2903" t="s">
        <v>3575</v>
      </c>
      <c r="E2903" t="str">
        <f>_xlfn.XLOOKUP(F2903,'Raw Data'!$I$4:$I$5000,'Raw Data'!$D$4:$D$5000,"*** Mnemonic not found ***",0)</f>
        <v>*** Mnemonic not found ***</v>
      </c>
      <c r="F2903" t="str">
        <f t="shared" si="594"/>
        <v>SUCMGERMANAGE_C__</v>
      </c>
      <c r="G2903" t="s">
        <v>3129</v>
      </c>
      <c r="H2903" s="9" t="s">
        <v>1137</v>
      </c>
      <c r="I2903" s="289">
        <f>ROW(section_german_health)</f>
        <v>829</v>
      </c>
      <c r="J2903" s="9">
        <v>2</v>
      </c>
      <c r="K2903" s="9">
        <f>I2903+J2903</f>
        <v>831</v>
      </c>
      <c r="L2903" s="9" t="str">
        <f>L2902</f>
        <v>O</v>
      </c>
      <c r="M2903" s="9" t="str">
        <f t="shared" si="583"/>
        <v>Input!O831</v>
      </c>
      <c r="N2903" s="9">
        <f>_xlfn.XLOOKUP(F2903,'Raw Data'!$I$4:$I$5000,'Raw Data'!$E$4:$E$5000,100,0)</f>
        <v>100</v>
      </c>
      <c r="O2903" s="9" t="str">
        <f>IF(N2903=0,_xlfn.XLOOKUP(F2903,'Raw Data'!$I$4:$I$5000,'Raw Data'!$H$4:$H$5000,"",0),"")</f>
        <v/>
      </c>
      <c r="P2903" s="9" t="str" cm="1">
        <f t="array" aca="1" ref="P2903" ca="1">IF(INDIRECT(M2903) = "","",INDIRECT(M2903))</f>
        <v/>
      </c>
      <c r="Q2903" s="359" t="s">
        <v>4380</v>
      </c>
    </row>
    <row r="2904" spans="1:17" x14ac:dyDescent="0.35">
      <c r="A2904" t="s">
        <v>3576</v>
      </c>
      <c r="E2904" t="str">
        <f>_xlfn.XLOOKUP(F2904,'Raw Data'!$I$4:$I$5000,'Raw Data'!$D$4:$D$5000,"*** Mnemonic not found ***",0)</f>
        <v>*** Mnemonic not found ***</v>
      </c>
      <c r="F2904" t="str">
        <f t="shared" si="594"/>
        <v>SUCMDETMISMATCH_C__</v>
      </c>
      <c r="G2904" t="s">
        <v>3130</v>
      </c>
      <c r="H2904" s="9" t="s">
        <v>1137</v>
      </c>
      <c r="I2904" s="289">
        <f>ROW(section_interest_rate)</f>
        <v>836</v>
      </c>
      <c r="J2904" s="9">
        <v>2</v>
      </c>
      <c r="K2904" s="9">
        <f>I2904+J2904</f>
        <v>838</v>
      </c>
      <c r="L2904" s="9" t="str">
        <f t="shared" ref="L2904:L2907" si="601">L2903</f>
        <v>O</v>
      </c>
      <c r="M2904" s="9" t="str">
        <f t="shared" ref="M2904:M2954" si="602">CONCATENATE(H2904,"!",L2904,K2904)</f>
        <v>Input!O838</v>
      </c>
      <c r="N2904" s="9">
        <f>_xlfn.XLOOKUP(F2904,'Raw Data'!$I$4:$I$5000,'Raw Data'!$E$4:$E$5000,100,0)</f>
        <v>100</v>
      </c>
      <c r="O2904" s="9" t="str">
        <f>IF(N2904=0,_xlfn.XLOOKUP(F2904,'Raw Data'!$I$4:$I$5000,'Raw Data'!$H$4:$H$5000,"",0),"")</f>
        <v/>
      </c>
      <c r="P2904" s="9" t="str" cm="1">
        <f t="array" aca="1" ref="P2904" ca="1">IF(INDIRECT(M2904) = "","",INDIRECT(M2904))</f>
        <v/>
      </c>
      <c r="Q2904" s="359" t="s">
        <v>4380</v>
      </c>
    </row>
    <row r="2905" spans="1:17" x14ac:dyDescent="0.35">
      <c r="A2905" t="s">
        <v>3577</v>
      </c>
      <c r="E2905" t="str">
        <f>_xlfn.XLOOKUP(F2905,'Raw Data'!$I$4:$I$5000,'Raw Data'!$D$4:$D$5000,"*** Mnemonic not found ***",0)</f>
        <v>*** Mnemonic not found ***</v>
      </c>
      <c r="F2905" t="str">
        <f t="shared" si="594"/>
        <v>SUCMCOMDURMISMATCH_C__</v>
      </c>
      <c r="H2905" s="9" t="s">
        <v>1137</v>
      </c>
      <c r="K2905" s="9">
        <f t="shared" ref="K2905:K2951" si="603">K2904+1</f>
        <v>839</v>
      </c>
      <c r="L2905" s="9" t="str">
        <f t="shared" si="601"/>
        <v>O</v>
      </c>
      <c r="M2905" s="9" t="str">
        <f t="shared" si="602"/>
        <v>Input!O839</v>
      </c>
      <c r="N2905" s="9">
        <f>_xlfn.XLOOKUP(F2905,'Raw Data'!$I$4:$I$5000,'Raw Data'!$E$4:$E$5000,100,0)</f>
        <v>100</v>
      </c>
      <c r="O2905" s="9" t="str">
        <f>IF(N2905=0,_xlfn.XLOOKUP(F2905,'Raw Data'!$I$4:$I$5000,'Raw Data'!$H$4:$H$5000,"",0),"")</f>
        <v/>
      </c>
      <c r="P2905" s="9" t="str" cm="1">
        <f t="array" aca="1" ref="P2905" ca="1">IF(INDIRECT(M2905) = "","",INDIRECT(M2905))</f>
        <v/>
      </c>
      <c r="Q2905" s="359" t="s">
        <v>4380</v>
      </c>
    </row>
    <row r="2906" spans="1:17" x14ac:dyDescent="0.35">
      <c r="A2906" t="s">
        <v>3578</v>
      </c>
      <c r="E2906" t="str">
        <f>_xlfn.XLOOKUP(F2906,'Raw Data'!$I$4:$I$5000,'Raw Data'!$D$4:$D$5000,"*** Mnemonic not found ***",0)</f>
        <v>*** Mnemonic not found ***</v>
      </c>
      <c r="F2906" t="str">
        <f t="shared" si="594"/>
        <v>SUCMONERSTRESS_C__</v>
      </c>
      <c r="H2906" s="9" t="s">
        <v>1137</v>
      </c>
      <c r="K2906" s="9">
        <f t="shared" si="603"/>
        <v>840</v>
      </c>
      <c r="L2906" s="9" t="str">
        <f t="shared" si="601"/>
        <v>O</v>
      </c>
      <c r="M2906" s="9" t="str">
        <f t="shared" si="602"/>
        <v>Input!O840</v>
      </c>
      <c r="N2906" s="9">
        <f>_xlfn.XLOOKUP(F2906,'Raw Data'!$I$4:$I$5000,'Raw Data'!$E$4:$E$5000,100,0)</f>
        <v>100</v>
      </c>
      <c r="O2906" s="9" t="str">
        <f>IF(N2906=0,_xlfn.XLOOKUP(F2906,'Raw Data'!$I$4:$I$5000,'Raw Data'!$H$4:$H$5000,"",0),"")</f>
        <v/>
      </c>
      <c r="P2906" s="9" t="str" cm="1">
        <f t="array" aca="1" ref="P2906" ca="1">IF(INDIRECT(M2906) = "","",INDIRECT(M2906))</f>
        <v/>
      </c>
      <c r="Q2906" s="359" t="s">
        <v>4380</v>
      </c>
    </row>
    <row r="2907" spans="1:17" x14ac:dyDescent="0.35">
      <c r="A2907" t="s">
        <v>3579</v>
      </c>
      <c r="E2907" t="str">
        <f>_xlfn.XLOOKUP(F2907,'Raw Data'!$I$4:$I$5000,'Raw Data'!$D$4:$D$5000,"*** Mnemonic not found ***",0)</f>
        <v>*** Mnemonic not found ***</v>
      </c>
      <c r="F2907" t="str">
        <f t="shared" si="594"/>
        <v>SUCMDURNONLIFELIAB_C__</v>
      </c>
      <c r="H2907" s="9" t="s">
        <v>1137</v>
      </c>
      <c r="K2907" s="9">
        <f>K2906+2</f>
        <v>842</v>
      </c>
      <c r="L2907" s="9" t="str">
        <f t="shared" si="601"/>
        <v>O</v>
      </c>
      <c r="M2907" s="9" t="str">
        <f t="shared" si="602"/>
        <v>Input!O842</v>
      </c>
      <c r="N2907" s="9">
        <f>_xlfn.XLOOKUP(F2907,'Raw Data'!$I$4:$I$5000,'Raw Data'!$E$4:$E$5000,100,0)</f>
        <v>100</v>
      </c>
      <c r="O2907" s="9" t="str">
        <f>IF(N2907=0,_xlfn.XLOOKUP(F2907,'Raw Data'!$I$4:$I$5000,'Raw Data'!$H$4:$H$5000,"",0),"")</f>
        <v/>
      </c>
      <c r="P2907" s="9" t="str" cm="1">
        <f t="array" aca="1" ref="P2907" ca="1">IF(INDIRECT(M2907) = "","",INDIRECT(M2907))</f>
        <v/>
      </c>
      <c r="Q2907" s="359" t="s">
        <v>4380</v>
      </c>
    </row>
    <row r="2908" spans="1:17" x14ac:dyDescent="0.35">
      <c r="A2908" t="s">
        <v>3580</v>
      </c>
      <c r="E2908" t="str">
        <f>_xlfn.XLOOKUP(F2908,'Raw Data'!$I$4:$I$5000,'Raw Data'!$D$4:$D$5000,"*** Mnemonic not found ***",0)</f>
        <v>*** Mnemonic not found ***</v>
      </c>
      <c r="F2908" t="str">
        <f t="shared" si="594"/>
        <v>SUCMDURXSASSETYEARS_C__</v>
      </c>
      <c r="H2908" s="9" t="s">
        <v>1137</v>
      </c>
      <c r="K2908" s="9">
        <f t="shared" si="603"/>
        <v>843</v>
      </c>
      <c r="L2908" s="9" t="str">
        <f>L2907</f>
        <v>O</v>
      </c>
      <c r="M2908" s="9" t="str">
        <f t="shared" si="602"/>
        <v>Input!O843</v>
      </c>
      <c r="N2908" s="9">
        <f>_xlfn.XLOOKUP(F2908,'Raw Data'!$I$4:$I$5000,'Raw Data'!$E$4:$E$5000,100,0)</f>
        <v>100</v>
      </c>
      <c r="O2908" s="9" t="str">
        <f>IF(N2908=0,_xlfn.XLOOKUP(F2908,'Raw Data'!$I$4:$I$5000,'Raw Data'!$H$4:$H$5000,"",0),"")</f>
        <v/>
      </c>
      <c r="P2908" s="9" t="str" cm="1">
        <f t="array" aca="1" ref="P2908" ca="1">IF(INDIRECT(M2908) = "","",INDIRECT(M2908))</f>
        <v/>
      </c>
      <c r="Q2908" s="359" t="s">
        <v>4380</v>
      </c>
    </row>
    <row r="2909" spans="1:17" x14ac:dyDescent="0.35">
      <c r="A2909" t="s">
        <v>3581</v>
      </c>
      <c r="E2909" t="str">
        <f>_xlfn.XLOOKUP(F2909,'Raw Data'!$I$4:$I$5000,'Raw Data'!$D$4:$D$5000,"*** Mnemonic not found ***",0)</f>
        <v>*** Mnemonic not found ***</v>
      </c>
      <c r="F2909" t="str">
        <f t="shared" si="594"/>
        <v>SUCMONSTRESSBOTH_C__</v>
      </c>
      <c r="H2909" s="9" t="s">
        <v>1137</v>
      </c>
      <c r="K2909" s="9">
        <f>K2908+2</f>
        <v>845</v>
      </c>
      <c r="L2909" s="9" t="str">
        <f t="shared" ref="L2909:L2910" si="604">L2908</f>
        <v>O</v>
      </c>
      <c r="M2909" s="9" t="str">
        <f t="shared" si="602"/>
        <v>Input!O845</v>
      </c>
      <c r="N2909" s="9">
        <f>_xlfn.XLOOKUP(F2909,'Raw Data'!$I$4:$I$5000,'Raw Data'!$E$4:$E$5000,100,0)</f>
        <v>100</v>
      </c>
      <c r="O2909" s="9" t="str">
        <f>IF(N2909=0,_xlfn.XLOOKUP(F2909,'Raw Data'!$I$4:$I$5000,'Raw Data'!$H$4:$H$5000,"",0),"")</f>
        <v/>
      </c>
      <c r="P2909" s="9" t="str" cm="1">
        <f t="array" aca="1" ref="P2909" ca="1">IF(INDIRECT(M2909) = "","",INDIRECT(M2909))</f>
        <v/>
      </c>
      <c r="Q2909" s="359" t="s">
        <v>4380</v>
      </c>
    </row>
    <row r="2910" spans="1:17" x14ac:dyDescent="0.35">
      <c r="A2910" t="s">
        <v>3582</v>
      </c>
      <c r="E2910" t="str">
        <f>_xlfn.XLOOKUP(F2910,'Raw Data'!$I$4:$I$5000,'Raw Data'!$D$4:$D$5000,"*** Mnemonic not found ***",0)</f>
        <v>*** Mnemonic not found ***</v>
      </c>
      <c r="F2910" t="str">
        <f t="shared" si="594"/>
        <v>SUCMONEROUSSTRESS_C__</v>
      </c>
      <c r="H2910" s="9" t="s">
        <v>1137</v>
      </c>
      <c r="K2910" s="9">
        <f>K2909+2</f>
        <v>847</v>
      </c>
      <c r="L2910" s="9" t="str">
        <f t="shared" si="604"/>
        <v>O</v>
      </c>
      <c r="M2910" s="9" t="str">
        <f t="shared" si="602"/>
        <v>Input!O847</v>
      </c>
      <c r="N2910" s="9">
        <f>_xlfn.XLOOKUP(F2910,'Raw Data'!$I$4:$I$5000,'Raw Data'!$E$4:$E$5000,100,0)</f>
        <v>100</v>
      </c>
      <c r="O2910" s="9" t="str">
        <f>IF(N2910=0,_xlfn.XLOOKUP(F2910,'Raw Data'!$I$4:$I$5000,'Raw Data'!$H$4:$H$5000,"",0),"")</f>
        <v/>
      </c>
      <c r="P2910" s="9" t="str" cm="1">
        <f t="array" aca="1" ref="P2910" ca="1">IF(INDIRECT(M2910) = "","",INDIRECT(M2910))</f>
        <v/>
      </c>
      <c r="Q2910" s="359" t="s">
        <v>4380</v>
      </c>
    </row>
    <row r="2911" spans="1:17" x14ac:dyDescent="0.35">
      <c r="A2911" t="s">
        <v>3583</v>
      </c>
      <c r="E2911" t="str">
        <f>_xlfn.XLOOKUP(F2911,'Raw Data'!$I$4:$I$5000,'Raw Data'!$D$4:$D$5000,"*** Mnemonic not found ***",0)</f>
        <v>*** Mnemonic not found ***</v>
      </c>
      <c r="F2911" t="str">
        <f t="shared" si="594"/>
        <v>SUCMIRRREV_CAP_C__</v>
      </c>
      <c r="H2911" s="9" t="s">
        <v>1137</v>
      </c>
      <c r="K2911" s="9">
        <f>K2910+5</f>
        <v>852</v>
      </c>
      <c r="L2911" s="9" t="str">
        <f>L2910</f>
        <v>O</v>
      </c>
      <c r="M2911" s="9" t="str">
        <f t="shared" si="602"/>
        <v>Input!O852</v>
      </c>
      <c r="N2911" s="9">
        <f>_xlfn.XLOOKUP(F2911,'Raw Data'!$I$4:$I$5000,'Raw Data'!$E$4:$E$5000,100,0)</f>
        <v>100</v>
      </c>
      <c r="O2911" s="9" t="str">
        <f>IF(N2911=0,_xlfn.XLOOKUP(F2911,'Raw Data'!$I$4:$I$5000,'Raw Data'!$H$4:$H$5000,"",0),"")</f>
        <v/>
      </c>
      <c r="P2911" s="9" t="str" cm="1">
        <f t="array" aca="1" ref="P2911" ca="1">IF(INDIRECT(M2911) = "","",INDIRECT(M2911))</f>
        <v/>
      </c>
      <c r="Q2911" s="359" t="s">
        <v>4380</v>
      </c>
    </row>
    <row r="2912" spans="1:17" x14ac:dyDescent="0.35">
      <c r="A2912" t="s">
        <v>3584</v>
      </c>
      <c r="E2912" t="str">
        <f>_xlfn.XLOOKUP(F2912,'Raw Data'!$I$4:$I$5000,'Raw Data'!$D$4:$D$5000,"*** Mnemonic not found ***",0)</f>
        <v>*** Mnemonic not found ***</v>
      </c>
      <c r="F2912" t="str">
        <f t="shared" si="594"/>
        <v>SUCMIRRREV_LIFE_C__</v>
      </c>
      <c r="H2912" s="9" t="s">
        <v>1137</v>
      </c>
      <c r="K2912" s="9">
        <f t="shared" si="603"/>
        <v>853</v>
      </c>
      <c r="L2912" s="9" t="str">
        <f t="shared" ref="L2912" si="605">L2911</f>
        <v>O</v>
      </c>
      <c r="M2912" s="9" t="str">
        <f t="shared" si="602"/>
        <v>Input!O853</v>
      </c>
      <c r="N2912" s="9">
        <f>_xlfn.XLOOKUP(F2912,'Raw Data'!$I$4:$I$5000,'Raw Data'!$E$4:$E$5000,100,0)</f>
        <v>100</v>
      </c>
      <c r="O2912" s="9" t="str">
        <f>IF(N2912=0,_xlfn.XLOOKUP(F2912,'Raw Data'!$I$4:$I$5000,'Raw Data'!$H$4:$H$5000,"",0),"")</f>
        <v/>
      </c>
      <c r="P2912" s="9" t="str" cm="1">
        <f t="array" aca="1" ref="P2912" ca="1">IF(INDIRECT(M2912) = "","",INDIRECT(M2912))</f>
        <v/>
      </c>
      <c r="Q2912" s="359" t="s">
        <v>4380</v>
      </c>
    </row>
    <row r="2913" spans="1:17" x14ac:dyDescent="0.35">
      <c r="A2913" t="s">
        <v>3585</v>
      </c>
      <c r="E2913" t="str">
        <f>_xlfn.XLOOKUP(F2913,'Raw Data'!$I$4:$I$5000,'Raw Data'!$D$4:$D$5000,"*** Mnemonic not found ***",0)</f>
        <v>*** Mnemonic not found ***</v>
      </c>
      <c r="F2913" t="str">
        <f t="shared" si="594"/>
        <v>SUCMIRRREV_NOLIFE_C__</v>
      </c>
      <c r="H2913" s="9" t="s">
        <v>1137</v>
      </c>
      <c r="K2913" s="9">
        <f t="shared" si="603"/>
        <v>854</v>
      </c>
      <c r="L2913" s="9" t="str">
        <f>L2912</f>
        <v>O</v>
      </c>
      <c r="M2913" s="9" t="str">
        <f t="shared" si="602"/>
        <v>Input!O854</v>
      </c>
      <c r="N2913" s="9">
        <f>_xlfn.XLOOKUP(F2913,'Raw Data'!$I$4:$I$5000,'Raw Data'!$E$4:$E$5000,100,0)</f>
        <v>100</v>
      </c>
      <c r="O2913" s="9" t="str">
        <f>IF(N2913=0,_xlfn.XLOOKUP(F2913,'Raw Data'!$I$4:$I$5000,'Raw Data'!$H$4:$H$5000,"",0),"")</f>
        <v/>
      </c>
      <c r="P2913" s="9" t="str" cm="1">
        <f t="array" aca="1" ref="P2913" ca="1">IF(INDIRECT(M2913) = "","",INDIRECT(M2913))</f>
        <v/>
      </c>
      <c r="Q2913" s="359" t="s">
        <v>4380</v>
      </c>
    </row>
    <row r="2914" spans="1:17" x14ac:dyDescent="0.35">
      <c r="A2914" t="s">
        <v>3586</v>
      </c>
      <c r="E2914" t="str">
        <f>_xlfn.XLOOKUP(F2914,'Raw Data'!$I$4:$I$5000,'Raw Data'!$D$4:$D$5000,"*** Mnemonic not found ***",0)</f>
        <v>*** Mnemonic not found ***</v>
      </c>
      <c r="F2914" t="str">
        <f t="shared" si="594"/>
        <v>SUCMIRRREV_IG_C__</v>
      </c>
      <c r="H2914" s="9" t="s">
        <v>1137</v>
      </c>
      <c r="K2914" s="9">
        <f t="shared" si="603"/>
        <v>855</v>
      </c>
      <c r="L2914" s="9" t="str">
        <f t="shared" ref="L2914:L2915" si="606">L2913</f>
        <v>O</v>
      </c>
      <c r="M2914" s="9" t="str">
        <f t="shared" si="602"/>
        <v>Input!O855</v>
      </c>
      <c r="N2914" s="9">
        <f>_xlfn.XLOOKUP(F2914,'Raw Data'!$I$4:$I$5000,'Raw Data'!$E$4:$E$5000,100,0)</f>
        <v>100</v>
      </c>
      <c r="O2914" s="9" t="str">
        <f>IF(N2914=0,_xlfn.XLOOKUP(F2914,'Raw Data'!$I$4:$I$5000,'Raw Data'!$H$4:$H$5000,"",0),"")</f>
        <v/>
      </c>
      <c r="P2914" s="9" t="str" cm="1">
        <f t="array" aca="1" ref="P2914" ca="1">IF(INDIRECT(M2914) = "","",INDIRECT(M2914))</f>
        <v/>
      </c>
      <c r="Q2914" s="359" t="s">
        <v>4380</v>
      </c>
    </row>
    <row r="2915" spans="1:17" x14ac:dyDescent="0.35">
      <c r="A2915" s="694" t="s">
        <v>4377</v>
      </c>
      <c r="E2915" t="str">
        <f>_xlfn.XLOOKUP(F2915,'Raw Data'!$I$4:$I$5000,'Raw Data'!$D$4:$D$5000,"*** Mnemonic not found ***",0)</f>
        <v>*** Mnemonic not found ***</v>
      </c>
      <c r="F2915" t="str">
        <f t="shared" ref="F2915" si="607">CONCATENATE(A2915,"_",B2915,"_",D2915)</f>
        <v>SUCMIRRREV_HLTH_C__</v>
      </c>
      <c r="H2915" s="9" t="s">
        <v>1137</v>
      </c>
      <c r="K2915" s="9">
        <f t="shared" si="603"/>
        <v>856</v>
      </c>
      <c r="L2915" s="9" t="str">
        <f t="shared" si="606"/>
        <v>O</v>
      </c>
      <c r="M2915" s="9" t="str">
        <f t="shared" ref="M2915" si="608">CONCATENATE(H2915,"!",L2915,K2915)</f>
        <v>Input!O856</v>
      </c>
      <c r="N2915" s="9">
        <f>_xlfn.XLOOKUP(F2915,'Raw Data'!$I$4:$I$5000,'Raw Data'!$E$4:$E$5000,100,0)</f>
        <v>100</v>
      </c>
      <c r="O2915" s="9" t="str">
        <f>IF(N2915=0,_xlfn.XLOOKUP(F2915,'Raw Data'!$I$4:$I$5000,'Raw Data'!$H$4:$H$5000,"",0),"")</f>
        <v/>
      </c>
      <c r="P2915" s="9" t="str" cm="1">
        <f t="array" aca="1" ref="P2915" ca="1">IF(INDIRECT(M2915) = "","",INDIRECT(M2915))</f>
        <v/>
      </c>
      <c r="Q2915" s="359" t="s">
        <v>4380</v>
      </c>
    </row>
    <row r="2916" spans="1:17" x14ac:dyDescent="0.35">
      <c r="A2916" t="s">
        <v>3587</v>
      </c>
      <c r="E2916" t="str">
        <f>_xlfn.XLOOKUP(F2916,'Raw Data'!$I$4:$I$5000,'Raw Data'!$D$4:$D$5000,"*** Mnemonic not found ***",0)</f>
        <v>*** Mnemonic not found ***</v>
      </c>
      <c r="F2916" t="str">
        <f t="shared" si="594"/>
        <v>SUCMFORCURRPROD_C__</v>
      </c>
      <c r="H2916" s="9" t="s">
        <v>1137</v>
      </c>
      <c r="K2916" s="9">
        <f>K2915+2</f>
        <v>858</v>
      </c>
      <c r="L2916" s="9" t="str">
        <f>L2915</f>
        <v>O</v>
      </c>
      <c r="M2916" s="9" t="str">
        <f t="shared" si="602"/>
        <v>Input!O858</v>
      </c>
      <c r="N2916" s="9">
        <f>_xlfn.XLOOKUP(F2916,'Raw Data'!$I$4:$I$5000,'Raw Data'!$E$4:$E$5000,100,0)</f>
        <v>100</v>
      </c>
      <c r="O2916" s="9" t="str">
        <f>IF(N2916=0,_xlfn.XLOOKUP(F2916,'Raw Data'!$I$4:$I$5000,'Raw Data'!$H$4:$H$5000,"",0),"")</f>
        <v/>
      </c>
      <c r="P2916" s="9" t="str" cm="1">
        <f t="array" aca="1" ref="P2916" ca="1">IF(INDIRECT(M2916) = "","",INDIRECT(M2916))</f>
        <v/>
      </c>
      <c r="Q2916" s="359" t="s">
        <v>4380</v>
      </c>
    </row>
    <row r="2917" spans="1:17" x14ac:dyDescent="0.35">
      <c r="A2917" t="s">
        <v>3588</v>
      </c>
      <c r="E2917" t="str">
        <f>_xlfn.XLOOKUP(F2917,'Raw Data'!$I$4:$I$5000,'Raw Data'!$D$4:$D$5000,"*** Mnemonic not found ***",0)</f>
        <v>*** Mnemonic not found ***</v>
      </c>
      <c r="F2917" t="str">
        <f t="shared" si="594"/>
        <v>SUCMFCPROD_1_C__</v>
      </c>
      <c r="H2917" s="9" t="s">
        <v>1137</v>
      </c>
      <c r="K2917" s="9">
        <f>K2916+4</f>
        <v>862</v>
      </c>
      <c r="L2917" s="9" t="str">
        <f>L2916</f>
        <v>O</v>
      </c>
      <c r="M2917" s="9" t="str">
        <f t="shared" si="602"/>
        <v>Input!O862</v>
      </c>
      <c r="N2917" s="9">
        <f>_xlfn.XLOOKUP(F2917,'Raw Data'!$I$4:$I$5000,'Raw Data'!$E$4:$E$5000,100,0)</f>
        <v>100</v>
      </c>
      <c r="O2917" s="9" t="str">
        <f>IF(N2917=0,_xlfn.XLOOKUP(F2917,'Raw Data'!$I$4:$I$5000,'Raw Data'!$H$4:$H$5000,"",0),"")</f>
        <v/>
      </c>
      <c r="P2917" s="9" t="str" cm="1">
        <f t="array" aca="1" ref="P2917" ca="1">IF(INDIRECT(M2917) = "","",INDIRECT(M2917))</f>
        <v/>
      </c>
      <c r="Q2917" s="359" t="s">
        <v>4380</v>
      </c>
    </row>
    <row r="2918" spans="1:17" x14ac:dyDescent="0.35">
      <c r="A2918" t="s">
        <v>3589</v>
      </c>
      <c r="E2918" t="str">
        <f>_xlfn.XLOOKUP(F2918,'Raw Data'!$I$4:$I$5000,'Raw Data'!$D$4:$D$5000,"*** Mnemonic not found ***",0)</f>
        <v>*** Mnemonic not found ***</v>
      </c>
      <c r="F2918" t="str">
        <f t="shared" si="594"/>
        <v>SUCMFCPROD_2_C__</v>
      </c>
      <c r="H2918" s="9" t="s">
        <v>1137</v>
      </c>
      <c r="K2918" s="9">
        <f t="shared" si="603"/>
        <v>863</v>
      </c>
      <c r="L2918" s="9" t="str">
        <f t="shared" ref="L2918:L2919" si="609">L2917</f>
        <v>O</v>
      </c>
      <c r="M2918" s="9" t="str">
        <f t="shared" si="602"/>
        <v>Input!O863</v>
      </c>
      <c r="N2918" s="9">
        <f>_xlfn.XLOOKUP(F2918,'Raw Data'!$I$4:$I$5000,'Raw Data'!$E$4:$E$5000,100,0)</f>
        <v>100</v>
      </c>
      <c r="O2918" s="9" t="str">
        <f>IF(N2918=0,_xlfn.XLOOKUP(F2918,'Raw Data'!$I$4:$I$5000,'Raw Data'!$H$4:$H$5000,"",0),"")</f>
        <v/>
      </c>
      <c r="P2918" s="9" t="str" cm="1">
        <f t="array" aca="1" ref="P2918" ca="1">IF(INDIRECT(M2918) = "","",INDIRECT(M2918))</f>
        <v/>
      </c>
      <c r="Q2918" s="359" t="s">
        <v>4380</v>
      </c>
    </row>
    <row r="2919" spans="1:17" x14ac:dyDescent="0.35">
      <c r="A2919" t="s">
        <v>3590</v>
      </c>
      <c r="E2919" t="str">
        <f>_xlfn.XLOOKUP(F2919,'Raw Data'!$I$4:$I$5000,'Raw Data'!$D$4:$D$5000,"*** Mnemonic not found ***",0)</f>
        <v>*** Mnemonic not found ***</v>
      </c>
      <c r="F2919" t="str">
        <f t="shared" si="594"/>
        <v>SUCMFCPROD_3_C__</v>
      </c>
      <c r="H2919" s="9" t="s">
        <v>1137</v>
      </c>
      <c r="K2919" s="9">
        <f t="shared" si="603"/>
        <v>864</v>
      </c>
      <c r="L2919" s="9" t="str">
        <f t="shared" si="609"/>
        <v>O</v>
      </c>
      <c r="M2919" s="9" t="str">
        <f t="shared" si="602"/>
        <v>Input!O864</v>
      </c>
      <c r="N2919" s="9">
        <f>_xlfn.XLOOKUP(F2919,'Raw Data'!$I$4:$I$5000,'Raw Data'!$E$4:$E$5000,100,0)</f>
        <v>100</v>
      </c>
      <c r="O2919" s="9" t="str">
        <f>IF(N2919=0,_xlfn.XLOOKUP(F2919,'Raw Data'!$I$4:$I$5000,'Raw Data'!$H$4:$H$5000,"",0),"")</f>
        <v/>
      </c>
      <c r="P2919" s="9" t="str" cm="1">
        <f t="array" aca="1" ref="P2919" ca="1">IF(INDIRECT(M2919) = "","",INDIRECT(M2919))</f>
        <v/>
      </c>
      <c r="Q2919" s="359" t="s">
        <v>4380</v>
      </c>
    </row>
    <row r="2920" spans="1:17" x14ac:dyDescent="0.35">
      <c r="A2920" t="s">
        <v>3591</v>
      </c>
      <c r="E2920" t="str">
        <f>_xlfn.XLOOKUP(F2920,'Raw Data'!$I$4:$I$5000,'Raw Data'!$D$4:$D$5000,"*** Mnemonic not found ***",0)</f>
        <v>*** Mnemonic not found ***</v>
      </c>
      <c r="F2920" t="str">
        <f t="shared" si="594"/>
        <v>SUCMFCPROD_4_C__</v>
      </c>
      <c r="H2920" s="9" t="s">
        <v>1137</v>
      </c>
      <c r="K2920" s="9">
        <f t="shared" si="603"/>
        <v>865</v>
      </c>
      <c r="L2920" s="9" t="str">
        <f>L2919</f>
        <v>O</v>
      </c>
      <c r="M2920" s="9" t="str">
        <f t="shared" si="602"/>
        <v>Input!O865</v>
      </c>
      <c r="N2920" s="9">
        <f>_xlfn.XLOOKUP(F2920,'Raw Data'!$I$4:$I$5000,'Raw Data'!$E$4:$E$5000,100,0)</f>
        <v>100</v>
      </c>
      <c r="O2920" s="9" t="str">
        <f>IF(N2920=0,_xlfn.XLOOKUP(F2920,'Raw Data'!$I$4:$I$5000,'Raw Data'!$H$4:$H$5000,"",0),"")</f>
        <v/>
      </c>
      <c r="P2920" s="9" t="str" cm="1">
        <f t="array" aca="1" ref="P2920" ca="1">IF(INDIRECT(M2920) = "","",INDIRECT(M2920))</f>
        <v/>
      </c>
      <c r="Q2920" s="359" t="s">
        <v>4380</v>
      </c>
    </row>
    <row r="2921" spans="1:17" x14ac:dyDescent="0.35">
      <c r="A2921" t="s">
        <v>3592</v>
      </c>
      <c r="E2921" t="str">
        <f>_xlfn.XLOOKUP(F2921,'Raw Data'!$I$4:$I$5000,'Raw Data'!$D$4:$D$5000,"*** Mnemonic not found ***",0)</f>
        <v>*** Mnemonic not found ***</v>
      </c>
      <c r="F2921" t="str">
        <f t="shared" si="594"/>
        <v>SUCMFCPROD_5_C__</v>
      </c>
      <c r="H2921" s="9" t="s">
        <v>1137</v>
      </c>
      <c r="K2921" s="9">
        <f t="shared" si="603"/>
        <v>866</v>
      </c>
      <c r="L2921" s="9" t="str">
        <f t="shared" ref="L2921:L2928" si="610">L2920</f>
        <v>O</v>
      </c>
      <c r="M2921" s="9" t="str">
        <f t="shared" si="602"/>
        <v>Input!O866</v>
      </c>
      <c r="N2921" s="9">
        <f>_xlfn.XLOOKUP(F2921,'Raw Data'!$I$4:$I$5000,'Raw Data'!$E$4:$E$5000,100,0)</f>
        <v>100</v>
      </c>
      <c r="O2921" s="9" t="str">
        <f>IF(N2921=0,_xlfn.XLOOKUP(F2921,'Raw Data'!$I$4:$I$5000,'Raw Data'!$H$4:$H$5000,"",0),"")</f>
        <v/>
      </c>
      <c r="P2921" s="9" t="str" cm="1">
        <f t="array" aca="1" ref="P2921" ca="1">IF(INDIRECT(M2921) = "","",INDIRECT(M2921))</f>
        <v/>
      </c>
      <c r="Q2921" s="359" t="s">
        <v>4380</v>
      </c>
    </row>
    <row r="2922" spans="1:17" x14ac:dyDescent="0.35">
      <c r="A2922" t="s">
        <v>3593</v>
      </c>
      <c r="E2922" t="str">
        <f>_xlfn.XLOOKUP(F2922,'Raw Data'!$I$4:$I$5000,'Raw Data'!$D$4:$D$5000,"*** Mnemonic not found ***",0)</f>
        <v>*** Mnemonic not found ***</v>
      </c>
      <c r="F2922" t="str">
        <f t="shared" si="594"/>
        <v>SUCMFCPROD_6_C__</v>
      </c>
      <c r="H2922" s="9" t="s">
        <v>1137</v>
      </c>
      <c r="K2922" s="9">
        <f t="shared" si="603"/>
        <v>867</v>
      </c>
      <c r="L2922" s="9" t="str">
        <f t="shared" si="610"/>
        <v>O</v>
      </c>
      <c r="M2922" s="9" t="str">
        <f t="shared" si="602"/>
        <v>Input!O867</v>
      </c>
      <c r="N2922" s="9">
        <f>_xlfn.XLOOKUP(F2922,'Raw Data'!$I$4:$I$5000,'Raw Data'!$E$4:$E$5000,100,0)</f>
        <v>100</v>
      </c>
      <c r="O2922" s="9" t="str">
        <f>IF(N2922=0,_xlfn.XLOOKUP(F2922,'Raw Data'!$I$4:$I$5000,'Raw Data'!$H$4:$H$5000,"",0),"")</f>
        <v/>
      </c>
      <c r="P2922" s="9" t="str" cm="1">
        <f t="array" aca="1" ref="P2922" ca="1">IF(INDIRECT(M2922) = "","",INDIRECT(M2922))</f>
        <v/>
      </c>
      <c r="Q2922" s="359" t="s">
        <v>4380</v>
      </c>
    </row>
    <row r="2923" spans="1:17" x14ac:dyDescent="0.35">
      <c r="A2923" t="s">
        <v>3594</v>
      </c>
      <c r="E2923" t="str">
        <f>_xlfn.XLOOKUP(F2923,'Raw Data'!$I$4:$I$5000,'Raw Data'!$D$4:$D$5000,"*** Mnemonic not found ***",0)</f>
        <v>*** Mnemonic not found ***</v>
      </c>
      <c r="F2923" t="str">
        <f t="shared" si="594"/>
        <v>SUCMFCPROD_7_C__</v>
      </c>
      <c r="H2923" s="9" t="s">
        <v>1137</v>
      </c>
      <c r="K2923" s="9">
        <f t="shared" si="603"/>
        <v>868</v>
      </c>
      <c r="L2923" s="9" t="str">
        <f t="shared" si="610"/>
        <v>O</v>
      </c>
      <c r="M2923" s="9" t="str">
        <f t="shared" si="602"/>
        <v>Input!O868</v>
      </c>
      <c r="N2923" s="9">
        <f>_xlfn.XLOOKUP(F2923,'Raw Data'!$I$4:$I$5000,'Raw Data'!$E$4:$E$5000,100,0)</f>
        <v>100</v>
      </c>
      <c r="O2923" s="9" t="str">
        <f>IF(N2923=0,_xlfn.XLOOKUP(F2923,'Raw Data'!$I$4:$I$5000,'Raw Data'!$H$4:$H$5000,"",0),"")</f>
        <v/>
      </c>
      <c r="P2923" s="9" t="str" cm="1">
        <f t="array" aca="1" ref="P2923" ca="1">IF(INDIRECT(M2923) = "","",INDIRECT(M2923))</f>
        <v/>
      </c>
      <c r="Q2923" s="359" t="s">
        <v>4380</v>
      </c>
    </row>
    <row r="2924" spans="1:17" x14ac:dyDescent="0.35">
      <c r="A2924" t="s">
        <v>3595</v>
      </c>
      <c r="E2924" t="str">
        <f>_xlfn.XLOOKUP(F2924,'Raw Data'!$I$4:$I$5000,'Raw Data'!$D$4:$D$5000,"*** Mnemonic not found ***",0)</f>
        <v>*** Mnemonic not found ***</v>
      </c>
      <c r="F2924" t="str">
        <f t="shared" si="594"/>
        <v>SUCMFCPROD_8_C__</v>
      </c>
      <c r="H2924" s="9" t="s">
        <v>1137</v>
      </c>
      <c r="K2924" s="9">
        <f t="shared" si="603"/>
        <v>869</v>
      </c>
      <c r="L2924" s="9" t="str">
        <f t="shared" si="610"/>
        <v>O</v>
      </c>
      <c r="M2924" s="9" t="str">
        <f t="shared" si="602"/>
        <v>Input!O869</v>
      </c>
      <c r="N2924" s="9">
        <f>_xlfn.XLOOKUP(F2924,'Raw Data'!$I$4:$I$5000,'Raw Data'!$E$4:$E$5000,100,0)</f>
        <v>100</v>
      </c>
      <c r="O2924" s="9" t="str">
        <f>IF(N2924=0,_xlfn.XLOOKUP(F2924,'Raw Data'!$I$4:$I$5000,'Raw Data'!$H$4:$H$5000,"",0),"")</f>
        <v/>
      </c>
      <c r="P2924" s="9" t="str" cm="1">
        <f t="array" aca="1" ref="P2924" ca="1">IF(INDIRECT(M2924) = "","",INDIRECT(M2924))</f>
        <v/>
      </c>
      <c r="Q2924" s="359" t="s">
        <v>4380</v>
      </c>
    </row>
    <row r="2925" spans="1:17" x14ac:dyDescent="0.35">
      <c r="A2925" t="s">
        <v>3596</v>
      </c>
      <c r="E2925" t="str">
        <f>_xlfn.XLOOKUP(F2925,'Raw Data'!$I$4:$I$5000,'Raw Data'!$D$4:$D$5000,"*** Mnemonic not found ***",0)</f>
        <v>*** Mnemonic not found ***</v>
      </c>
      <c r="F2925" t="str">
        <f t="shared" si="594"/>
        <v>SUCMFCPROD_9_C__</v>
      </c>
      <c r="H2925" s="9" t="s">
        <v>1137</v>
      </c>
      <c r="K2925" s="9">
        <f t="shared" si="603"/>
        <v>870</v>
      </c>
      <c r="L2925" s="9" t="str">
        <f t="shared" si="610"/>
        <v>O</v>
      </c>
      <c r="M2925" s="9" t="str">
        <f t="shared" si="602"/>
        <v>Input!O870</v>
      </c>
      <c r="N2925" s="9">
        <f>_xlfn.XLOOKUP(F2925,'Raw Data'!$I$4:$I$5000,'Raw Data'!$E$4:$E$5000,100,0)</f>
        <v>100</v>
      </c>
      <c r="O2925" s="9" t="str">
        <f>IF(N2925=0,_xlfn.XLOOKUP(F2925,'Raw Data'!$I$4:$I$5000,'Raw Data'!$H$4:$H$5000,"",0),"")</f>
        <v/>
      </c>
      <c r="P2925" s="9" t="str" cm="1">
        <f t="array" aca="1" ref="P2925" ca="1">IF(INDIRECT(M2925) = "","",INDIRECT(M2925))</f>
        <v/>
      </c>
      <c r="Q2925" s="359" t="s">
        <v>4380</v>
      </c>
    </row>
    <row r="2926" spans="1:17" x14ac:dyDescent="0.35">
      <c r="A2926" t="s">
        <v>3597</v>
      </c>
      <c r="E2926" t="str">
        <f>_xlfn.XLOOKUP(F2926,'Raw Data'!$I$4:$I$5000,'Raw Data'!$D$4:$D$5000,"*** Mnemonic not found ***",0)</f>
        <v>*** Mnemonic not found ***</v>
      </c>
      <c r="F2926" t="str">
        <f t="shared" si="594"/>
        <v>SUCMFCPROD_10_C__</v>
      </c>
      <c r="H2926" s="9" t="s">
        <v>1137</v>
      </c>
      <c r="K2926" s="9">
        <f t="shared" si="603"/>
        <v>871</v>
      </c>
      <c r="L2926" s="9" t="str">
        <f t="shared" si="610"/>
        <v>O</v>
      </c>
      <c r="M2926" s="9" t="str">
        <f t="shared" si="602"/>
        <v>Input!O871</v>
      </c>
      <c r="N2926" s="9">
        <f>_xlfn.XLOOKUP(F2926,'Raw Data'!$I$4:$I$5000,'Raw Data'!$E$4:$E$5000,100,0)</f>
        <v>100</v>
      </c>
      <c r="O2926" s="9" t="str">
        <f>IF(N2926=0,_xlfn.XLOOKUP(F2926,'Raw Data'!$I$4:$I$5000,'Raw Data'!$H$4:$H$5000,"",0),"")</f>
        <v/>
      </c>
      <c r="P2926" s="9" t="str" cm="1">
        <f t="array" aca="1" ref="P2926" ca="1">IF(INDIRECT(M2926) = "","",INDIRECT(M2926))</f>
        <v/>
      </c>
      <c r="Q2926" s="359" t="s">
        <v>4380</v>
      </c>
    </row>
    <row r="2927" spans="1:17" x14ac:dyDescent="0.35">
      <c r="A2927" t="s">
        <v>3598</v>
      </c>
      <c r="E2927" t="str">
        <f>_xlfn.XLOOKUP(F2927,'Raw Data'!$I$4:$I$5000,'Raw Data'!$D$4:$D$5000,"*** Mnemonic not found ***",0)</f>
        <v>*** Mnemonic not found ***</v>
      </c>
      <c r="F2927" t="str">
        <f t="shared" si="594"/>
        <v>SUCMFCPROD_11_C__</v>
      </c>
      <c r="H2927" s="9" t="s">
        <v>1137</v>
      </c>
      <c r="K2927" s="9">
        <f t="shared" si="603"/>
        <v>872</v>
      </c>
      <c r="L2927" s="9" t="str">
        <f t="shared" si="610"/>
        <v>O</v>
      </c>
      <c r="M2927" s="9" t="str">
        <f t="shared" si="602"/>
        <v>Input!O872</v>
      </c>
      <c r="N2927" s="9">
        <f>_xlfn.XLOOKUP(F2927,'Raw Data'!$I$4:$I$5000,'Raw Data'!$E$4:$E$5000,100,0)</f>
        <v>100</v>
      </c>
      <c r="O2927" s="9" t="str">
        <f>IF(N2927=0,_xlfn.XLOOKUP(F2927,'Raw Data'!$I$4:$I$5000,'Raw Data'!$H$4:$H$5000,"",0),"")</f>
        <v/>
      </c>
      <c r="P2927" s="9" t="str" cm="1">
        <f t="array" aca="1" ref="P2927" ca="1">IF(INDIRECT(M2927) = "","",INDIRECT(M2927))</f>
        <v/>
      </c>
      <c r="Q2927" s="359" t="s">
        <v>4380</v>
      </c>
    </row>
    <row r="2928" spans="1:17" x14ac:dyDescent="0.35">
      <c r="A2928" t="s">
        <v>3599</v>
      </c>
      <c r="E2928" t="str">
        <f>_xlfn.XLOOKUP(F2928,'Raw Data'!$I$4:$I$5000,'Raw Data'!$D$4:$D$5000,"*** Mnemonic not found ***",0)</f>
        <v>*** Mnemonic not found ***</v>
      </c>
      <c r="F2928" t="str">
        <f t="shared" si="594"/>
        <v>SUCMFCPROD_12_C__</v>
      </c>
      <c r="H2928" s="9" t="s">
        <v>1137</v>
      </c>
      <c r="K2928" s="9">
        <f t="shared" si="603"/>
        <v>873</v>
      </c>
      <c r="L2928" s="9" t="str">
        <f t="shared" si="610"/>
        <v>O</v>
      </c>
      <c r="M2928" s="9" t="str">
        <f t="shared" si="602"/>
        <v>Input!O873</v>
      </c>
      <c r="N2928" s="9">
        <f>_xlfn.XLOOKUP(F2928,'Raw Data'!$I$4:$I$5000,'Raw Data'!$E$4:$E$5000,100,0)</f>
        <v>100</v>
      </c>
      <c r="O2928" s="9" t="str">
        <f>IF(N2928=0,_xlfn.XLOOKUP(F2928,'Raw Data'!$I$4:$I$5000,'Raw Data'!$H$4:$H$5000,"",0),"")</f>
        <v/>
      </c>
      <c r="P2928" s="9" t="str" cm="1">
        <f t="array" aca="1" ref="P2928" ca="1">IF(INDIRECT(M2928) = "","",INDIRECT(M2928))</f>
        <v/>
      </c>
      <c r="Q2928" s="359" t="s">
        <v>4380</v>
      </c>
    </row>
    <row r="2929" spans="1:17" x14ac:dyDescent="0.35">
      <c r="A2929" t="s">
        <v>3600</v>
      </c>
      <c r="E2929" t="str">
        <f>_xlfn.XLOOKUP(F2929,'Raw Data'!$I$4:$I$5000,'Raw Data'!$D$4:$D$5000,"*** Mnemonic not found ***",0)</f>
        <v>*** Mnemonic not found ***</v>
      </c>
      <c r="F2929" t="str">
        <f t="shared" si="594"/>
        <v>SUCMFCPROD_13_C__</v>
      </c>
      <c r="H2929" s="9" t="s">
        <v>1137</v>
      </c>
      <c r="K2929" s="9">
        <f t="shared" si="603"/>
        <v>874</v>
      </c>
      <c r="L2929" s="9" t="str">
        <f>L2928</f>
        <v>O</v>
      </c>
      <c r="M2929" s="9" t="str">
        <f t="shared" si="602"/>
        <v>Input!O874</v>
      </c>
      <c r="N2929" s="9">
        <f>_xlfn.XLOOKUP(F2929,'Raw Data'!$I$4:$I$5000,'Raw Data'!$E$4:$E$5000,100,0)</f>
        <v>100</v>
      </c>
      <c r="O2929" s="9" t="str">
        <f>IF(N2929=0,_xlfn.XLOOKUP(F2929,'Raw Data'!$I$4:$I$5000,'Raw Data'!$H$4:$H$5000,"",0),"")</f>
        <v/>
      </c>
      <c r="P2929" s="9" t="str" cm="1">
        <f t="array" aca="1" ref="P2929" ca="1">IF(INDIRECT(M2929) = "","",INDIRECT(M2929))</f>
        <v/>
      </c>
      <c r="Q2929" s="359" t="s">
        <v>4380</v>
      </c>
    </row>
    <row r="2930" spans="1:17" x14ac:dyDescent="0.35">
      <c r="A2930" t="s">
        <v>3601</v>
      </c>
      <c r="E2930" t="str">
        <f>_xlfn.XLOOKUP(F2930,'Raw Data'!$I$4:$I$5000,'Raw Data'!$D$4:$D$5000,"*** Mnemonic not found ***",0)</f>
        <v>*** Mnemonic not found ***</v>
      </c>
      <c r="F2930" t="str">
        <f t="shared" si="594"/>
        <v>SUCMFCPROD_14_C__</v>
      </c>
      <c r="H2930" s="9" t="s">
        <v>1137</v>
      </c>
      <c r="K2930" s="9">
        <f t="shared" si="603"/>
        <v>875</v>
      </c>
      <c r="L2930" s="9" t="str">
        <f t="shared" ref="L2930:L2931" si="611">L2929</f>
        <v>O</v>
      </c>
      <c r="M2930" s="9" t="str">
        <f t="shared" si="602"/>
        <v>Input!O875</v>
      </c>
      <c r="N2930" s="9">
        <f>_xlfn.XLOOKUP(F2930,'Raw Data'!$I$4:$I$5000,'Raw Data'!$E$4:$E$5000,100,0)</f>
        <v>100</v>
      </c>
      <c r="O2930" s="9" t="str">
        <f>IF(N2930=0,_xlfn.XLOOKUP(F2930,'Raw Data'!$I$4:$I$5000,'Raw Data'!$H$4:$H$5000,"",0),"")</f>
        <v/>
      </c>
      <c r="P2930" s="9" t="str" cm="1">
        <f t="array" aca="1" ref="P2930" ca="1">IF(INDIRECT(M2930) = "","",INDIRECT(M2930))</f>
        <v/>
      </c>
      <c r="Q2930" s="359" t="s">
        <v>4380</v>
      </c>
    </row>
    <row r="2931" spans="1:17" x14ac:dyDescent="0.35">
      <c r="A2931" t="s">
        <v>3602</v>
      </c>
      <c r="E2931" t="str">
        <f>_xlfn.XLOOKUP(F2931,'Raw Data'!$I$4:$I$5000,'Raw Data'!$D$4:$D$5000,"*** Mnemonic not found ***",0)</f>
        <v>*** Mnemonic not found ***</v>
      </c>
      <c r="F2931" t="str">
        <f t="shared" si="594"/>
        <v>SUCMFCPROD_15_C__</v>
      </c>
      <c r="H2931" s="9" t="s">
        <v>1137</v>
      </c>
      <c r="K2931" s="9">
        <f t="shared" si="603"/>
        <v>876</v>
      </c>
      <c r="L2931" s="9" t="str">
        <f t="shared" si="611"/>
        <v>O</v>
      </c>
      <c r="M2931" s="9" t="str">
        <f t="shared" si="602"/>
        <v>Input!O876</v>
      </c>
      <c r="N2931" s="9">
        <f>_xlfn.XLOOKUP(F2931,'Raw Data'!$I$4:$I$5000,'Raw Data'!$E$4:$E$5000,100,0)</f>
        <v>100</v>
      </c>
      <c r="O2931" s="9" t="str">
        <f>IF(N2931=0,_xlfn.XLOOKUP(F2931,'Raw Data'!$I$4:$I$5000,'Raw Data'!$H$4:$H$5000,"",0),"")</f>
        <v/>
      </c>
      <c r="P2931" s="9" t="str" cm="1">
        <f t="array" aca="1" ref="P2931" ca="1">IF(INDIRECT(M2931) = "","",INDIRECT(M2931))</f>
        <v/>
      </c>
      <c r="Q2931" s="359" t="s">
        <v>4380</v>
      </c>
    </row>
    <row r="2932" spans="1:17" x14ac:dyDescent="0.35">
      <c r="A2932" t="s">
        <v>3603</v>
      </c>
      <c r="E2932" t="str">
        <f>_xlfn.XLOOKUP(F2932,'Raw Data'!$I$4:$I$5000,'Raw Data'!$D$4:$D$5000,"*** Mnemonic not found ***",0)</f>
        <v>*** Mnemonic not found ***</v>
      </c>
      <c r="F2932" t="str">
        <f t="shared" si="594"/>
        <v>SUCMFCPROD_16_C__</v>
      </c>
      <c r="H2932" s="9" t="s">
        <v>1137</v>
      </c>
      <c r="K2932" s="9">
        <f t="shared" si="603"/>
        <v>877</v>
      </c>
      <c r="L2932" s="9" t="str">
        <f>L2931</f>
        <v>O</v>
      </c>
      <c r="M2932" s="9" t="str">
        <f t="shared" si="602"/>
        <v>Input!O877</v>
      </c>
      <c r="N2932" s="9">
        <f>_xlfn.XLOOKUP(F2932,'Raw Data'!$I$4:$I$5000,'Raw Data'!$E$4:$E$5000,100,0)</f>
        <v>100</v>
      </c>
      <c r="O2932" s="9" t="str">
        <f>IF(N2932=0,_xlfn.XLOOKUP(F2932,'Raw Data'!$I$4:$I$5000,'Raw Data'!$H$4:$H$5000,"",0),"")</f>
        <v/>
      </c>
      <c r="P2932" s="9" t="str" cm="1">
        <f t="array" aca="1" ref="P2932" ca="1">IF(INDIRECT(M2932) = "","",INDIRECT(M2932))</f>
        <v/>
      </c>
      <c r="Q2932" s="359" t="s">
        <v>4380</v>
      </c>
    </row>
    <row r="2933" spans="1:17" x14ac:dyDescent="0.35">
      <c r="A2933" t="s">
        <v>3604</v>
      </c>
      <c r="E2933" t="str">
        <f>_xlfn.XLOOKUP(F2933,'Raw Data'!$I$4:$I$5000,'Raw Data'!$D$4:$D$5000,"*** Mnemonic not found ***",0)</f>
        <v>*** Mnemonic not found ***</v>
      </c>
      <c r="F2933" t="str">
        <f t="shared" si="594"/>
        <v>SUCMFCPROD_17_C__</v>
      </c>
      <c r="H2933" s="9" t="s">
        <v>1137</v>
      </c>
      <c r="K2933" s="9">
        <f t="shared" si="603"/>
        <v>878</v>
      </c>
      <c r="L2933" s="9" t="str">
        <f t="shared" ref="L2933:L2938" si="612">L2932</f>
        <v>O</v>
      </c>
      <c r="M2933" s="9" t="str">
        <f t="shared" si="602"/>
        <v>Input!O878</v>
      </c>
      <c r="N2933" s="9">
        <f>_xlfn.XLOOKUP(F2933,'Raw Data'!$I$4:$I$5000,'Raw Data'!$E$4:$E$5000,100,0)</f>
        <v>100</v>
      </c>
      <c r="O2933" s="9" t="str">
        <f>IF(N2933=0,_xlfn.XLOOKUP(F2933,'Raw Data'!$I$4:$I$5000,'Raw Data'!$H$4:$H$5000,"",0),"")</f>
        <v/>
      </c>
      <c r="P2933" s="9" t="str" cm="1">
        <f t="array" aca="1" ref="P2933" ca="1">IF(INDIRECT(M2933) = "","",INDIRECT(M2933))</f>
        <v/>
      </c>
      <c r="Q2933" s="359" t="s">
        <v>4380</v>
      </c>
    </row>
    <row r="2934" spans="1:17" x14ac:dyDescent="0.35">
      <c r="A2934" t="s">
        <v>3605</v>
      </c>
      <c r="E2934" t="str">
        <f>_xlfn.XLOOKUP(F2934,'Raw Data'!$I$4:$I$5000,'Raw Data'!$D$4:$D$5000,"*** Mnemonic not found ***",0)</f>
        <v>*** Mnemonic not found ***</v>
      </c>
      <c r="F2934" t="str">
        <f t="shared" si="594"/>
        <v>SUCMFCPROD_18_C__</v>
      </c>
      <c r="H2934" s="9" t="s">
        <v>1137</v>
      </c>
      <c r="K2934" s="9">
        <f t="shared" si="603"/>
        <v>879</v>
      </c>
      <c r="L2934" s="9" t="str">
        <f t="shared" si="612"/>
        <v>O</v>
      </c>
      <c r="M2934" s="9" t="str">
        <f t="shared" si="602"/>
        <v>Input!O879</v>
      </c>
      <c r="N2934" s="9">
        <f>_xlfn.XLOOKUP(F2934,'Raw Data'!$I$4:$I$5000,'Raw Data'!$E$4:$E$5000,100,0)</f>
        <v>100</v>
      </c>
      <c r="O2934" s="9" t="str">
        <f>IF(N2934=0,_xlfn.XLOOKUP(F2934,'Raw Data'!$I$4:$I$5000,'Raw Data'!$H$4:$H$5000,"",0),"")</f>
        <v/>
      </c>
      <c r="P2934" s="9" t="str" cm="1">
        <f t="array" aca="1" ref="P2934" ca="1">IF(INDIRECT(M2934) = "","",INDIRECT(M2934))</f>
        <v/>
      </c>
      <c r="Q2934" s="359" t="s">
        <v>4380</v>
      </c>
    </row>
    <row r="2935" spans="1:17" x14ac:dyDescent="0.35">
      <c r="A2935" t="s">
        <v>3606</v>
      </c>
      <c r="E2935" t="str">
        <f>_xlfn.XLOOKUP(F2935,'Raw Data'!$I$4:$I$5000,'Raw Data'!$D$4:$D$5000,"*** Mnemonic not found ***",0)</f>
        <v>*** Mnemonic not found ***</v>
      </c>
      <c r="F2935" t="str">
        <f t="shared" si="594"/>
        <v>SUCMFCPROD_19_C__</v>
      </c>
      <c r="H2935" s="9" t="s">
        <v>1137</v>
      </c>
      <c r="K2935" s="9">
        <f t="shared" si="603"/>
        <v>880</v>
      </c>
      <c r="L2935" s="9" t="str">
        <f t="shared" si="612"/>
        <v>O</v>
      </c>
      <c r="M2935" s="9" t="str">
        <f t="shared" si="602"/>
        <v>Input!O880</v>
      </c>
      <c r="N2935" s="9">
        <f>_xlfn.XLOOKUP(F2935,'Raw Data'!$I$4:$I$5000,'Raw Data'!$E$4:$E$5000,100,0)</f>
        <v>100</v>
      </c>
      <c r="O2935" s="9" t="str">
        <f>IF(N2935=0,_xlfn.XLOOKUP(F2935,'Raw Data'!$I$4:$I$5000,'Raw Data'!$H$4:$H$5000,"",0),"")</f>
        <v/>
      </c>
      <c r="P2935" s="9" t="str" cm="1">
        <f t="array" aca="1" ref="P2935" ca="1">IF(INDIRECT(M2935) = "","",INDIRECT(M2935))</f>
        <v/>
      </c>
      <c r="Q2935" s="359" t="s">
        <v>4380</v>
      </c>
    </row>
    <row r="2936" spans="1:17" x14ac:dyDescent="0.35">
      <c r="A2936" t="s">
        <v>3607</v>
      </c>
      <c r="E2936" t="str">
        <f>_xlfn.XLOOKUP(F2936,'Raw Data'!$I$4:$I$5000,'Raw Data'!$D$4:$D$5000,"*** Mnemonic not found ***",0)</f>
        <v>*** Mnemonic not found ***</v>
      </c>
      <c r="F2936" t="str">
        <f t="shared" si="594"/>
        <v>SUCMFCPROD_20_C__</v>
      </c>
      <c r="H2936" s="9" t="s">
        <v>1137</v>
      </c>
      <c r="K2936" s="9">
        <f t="shared" si="603"/>
        <v>881</v>
      </c>
      <c r="L2936" s="9" t="str">
        <f t="shared" si="612"/>
        <v>O</v>
      </c>
      <c r="M2936" s="9" t="str">
        <f t="shared" si="602"/>
        <v>Input!O881</v>
      </c>
      <c r="N2936" s="9">
        <f>_xlfn.XLOOKUP(F2936,'Raw Data'!$I$4:$I$5000,'Raw Data'!$E$4:$E$5000,100,0)</f>
        <v>100</v>
      </c>
      <c r="O2936" s="9" t="str">
        <f>IF(N2936=0,_xlfn.XLOOKUP(F2936,'Raw Data'!$I$4:$I$5000,'Raw Data'!$H$4:$H$5000,"",0),"")</f>
        <v/>
      </c>
      <c r="P2936" s="9" t="str" cm="1">
        <f t="array" aca="1" ref="P2936" ca="1">IF(INDIRECT(M2936) = "","",INDIRECT(M2936))</f>
        <v/>
      </c>
      <c r="Q2936" s="359" t="s">
        <v>4380</v>
      </c>
    </row>
    <row r="2937" spans="1:17" x14ac:dyDescent="0.35">
      <c r="A2937" t="s">
        <v>3608</v>
      </c>
      <c r="E2937" t="str">
        <f>_xlfn.XLOOKUP(F2937,'Raw Data'!$I$4:$I$5000,'Raw Data'!$D$4:$D$5000,"*** Mnemonic not found ***",0)</f>
        <v>*** Mnemonic not found ***</v>
      </c>
      <c r="F2937" t="str">
        <f t="shared" si="594"/>
        <v>SUCMFCPROD_21_C__</v>
      </c>
      <c r="H2937" s="9" t="s">
        <v>1137</v>
      </c>
      <c r="K2937" s="9">
        <f t="shared" si="603"/>
        <v>882</v>
      </c>
      <c r="L2937" s="9" t="str">
        <f t="shared" si="612"/>
        <v>O</v>
      </c>
      <c r="M2937" s="9" t="str">
        <f t="shared" si="602"/>
        <v>Input!O882</v>
      </c>
      <c r="N2937" s="9">
        <f>_xlfn.XLOOKUP(F2937,'Raw Data'!$I$4:$I$5000,'Raw Data'!$E$4:$E$5000,100,0)</f>
        <v>100</v>
      </c>
      <c r="O2937" s="9" t="str">
        <f>IF(N2937=0,_xlfn.XLOOKUP(F2937,'Raw Data'!$I$4:$I$5000,'Raw Data'!$H$4:$H$5000,"",0),"")</f>
        <v/>
      </c>
      <c r="P2937" s="9" t="str" cm="1">
        <f t="array" aca="1" ref="P2937" ca="1">IF(INDIRECT(M2937) = "","",INDIRECT(M2937))</f>
        <v/>
      </c>
      <c r="Q2937" s="359" t="s">
        <v>4380</v>
      </c>
    </row>
    <row r="2938" spans="1:17" x14ac:dyDescent="0.35">
      <c r="A2938" t="s">
        <v>3609</v>
      </c>
      <c r="E2938" t="str">
        <f>_xlfn.XLOOKUP(F2938,'Raw Data'!$I$4:$I$5000,'Raw Data'!$D$4:$D$5000,"*** Mnemonic not found ***",0)</f>
        <v>*** Mnemonic not found ***</v>
      </c>
      <c r="F2938" t="str">
        <f t="shared" si="594"/>
        <v>SUCMFCPROD_22_C__</v>
      </c>
      <c r="H2938" s="9" t="s">
        <v>1137</v>
      </c>
      <c r="K2938" s="9">
        <f t="shared" si="603"/>
        <v>883</v>
      </c>
      <c r="L2938" s="9" t="str">
        <f t="shared" si="612"/>
        <v>O</v>
      </c>
      <c r="M2938" s="9" t="str">
        <f t="shared" si="602"/>
        <v>Input!O883</v>
      </c>
      <c r="N2938" s="9">
        <f>_xlfn.XLOOKUP(F2938,'Raw Data'!$I$4:$I$5000,'Raw Data'!$E$4:$E$5000,100,0)</f>
        <v>100</v>
      </c>
      <c r="O2938" s="9" t="str">
        <f>IF(N2938=0,_xlfn.XLOOKUP(F2938,'Raw Data'!$I$4:$I$5000,'Raw Data'!$H$4:$H$5000,"",0),"")</f>
        <v/>
      </c>
      <c r="P2938" s="9" t="str" cm="1">
        <f t="array" aca="1" ref="P2938" ca="1">IF(INDIRECT(M2938) = "","",INDIRECT(M2938))</f>
        <v/>
      </c>
      <c r="Q2938" s="359" t="s">
        <v>4380</v>
      </c>
    </row>
    <row r="2939" spans="1:17" x14ac:dyDescent="0.35">
      <c r="A2939" t="s">
        <v>3610</v>
      </c>
      <c r="E2939" t="str">
        <f>_xlfn.XLOOKUP(F2939,'Raw Data'!$I$4:$I$5000,'Raw Data'!$D$4:$D$5000,"*** Mnemonic not found ***",0)</f>
        <v>*** Mnemonic not found ***</v>
      </c>
      <c r="F2939" t="str">
        <f t="shared" si="594"/>
        <v>SUCMFCPROD_23_C__</v>
      </c>
      <c r="H2939" s="9" t="s">
        <v>1137</v>
      </c>
      <c r="K2939" s="9">
        <f t="shared" si="603"/>
        <v>884</v>
      </c>
      <c r="L2939" s="9" t="str">
        <f>L2938</f>
        <v>O</v>
      </c>
      <c r="M2939" s="9" t="str">
        <f t="shared" si="602"/>
        <v>Input!O884</v>
      </c>
      <c r="N2939" s="9">
        <f>_xlfn.XLOOKUP(F2939,'Raw Data'!$I$4:$I$5000,'Raw Data'!$E$4:$E$5000,100,0)</f>
        <v>100</v>
      </c>
      <c r="O2939" s="9" t="str">
        <f>IF(N2939=0,_xlfn.XLOOKUP(F2939,'Raw Data'!$I$4:$I$5000,'Raw Data'!$H$4:$H$5000,"",0),"")</f>
        <v/>
      </c>
      <c r="P2939" s="9" t="str" cm="1">
        <f t="array" aca="1" ref="P2939" ca="1">IF(INDIRECT(M2939) = "","",INDIRECT(M2939))</f>
        <v/>
      </c>
      <c r="Q2939" s="359" t="s">
        <v>4380</v>
      </c>
    </row>
    <row r="2940" spans="1:17" x14ac:dyDescent="0.35">
      <c r="A2940" t="s">
        <v>3611</v>
      </c>
      <c r="E2940" t="str">
        <f>_xlfn.XLOOKUP(F2940,'Raw Data'!$I$4:$I$5000,'Raw Data'!$D$4:$D$5000,"*** Mnemonic not found ***",0)</f>
        <v>*** Mnemonic not found ***</v>
      </c>
      <c r="F2940" t="str">
        <f t="shared" si="594"/>
        <v>SUCMFCPROD_24_C__</v>
      </c>
      <c r="H2940" s="9" t="s">
        <v>1137</v>
      </c>
      <c r="K2940" s="9">
        <f t="shared" si="603"/>
        <v>885</v>
      </c>
      <c r="L2940" s="9" t="str">
        <f t="shared" ref="L2940:L2941" si="613">L2939</f>
        <v>O</v>
      </c>
      <c r="M2940" s="9" t="str">
        <f t="shared" si="602"/>
        <v>Input!O885</v>
      </c>
      <c r="N2940" s="9">
        <f>_xlfn.XLOOKUP(F2940,'Raw Data'!$I$4:$I$5000,'Raw Data'!$E$4:$E$5000,100,0)</f>
        <v>100</v>
      </c>
      <c r="O2940" s="9" t="str">
        <f>IF(N2940=0,_xlfn.XLOOKUP(F2940,'Raw Data'!$I$4:$I$5000,'Raw Data'!$H$4:$H$5000,"",0),"")</f>
        <v/>
      </c>
      <c r="P2940" s="9" t="str" cm="1">
        <f t="array" aca="1" ref="P2940" ca="1">IF(INDIRECT(M2940) = "","",INDIRECT(M2940))</f>
        <v/>
      </c>
      <c r="Q2940" s="359" t="s">
        <v>4380</v>
      </c>
    </row>
    <row r="2941" spans="1:17" x14ac:dyDescent="0.35">
      <c r="A2941" t="s">
        <v>3612</v>
      </c>
      <c r="E2941" t="str">
        <f>_xlfn.XLOOKUP(F2941,'Raw Data'!$I$4:$I$5000,'Raw Data'!$D$4:$D$5000,"*** Mnemonic not found ***",0)</f>
        <v>*** Mnemonic not found ***</v>
      </c>
      <c r="F2941" t="str">
        <f t="shared" si="594"/>
        <v>SUCMFCPROD_25_C__</v>
      </c>
      <c r="H2941" s="9" t="s">
        <v>1137</v>
      </c>
      <c r="K2941" s="9">
        <f t="shared" si="603"/>
        <v>886</v>
      </c>
      <c r="L2941" s="9" t="str">
        <f t="shared" si="613"/>
        <v>O</v>
      </c>
      <c r="M2941" s="9" t="str">
        <f t="shared" si="602"/>
        <v>Input!O886</v>
      </c>
      <c r="N2941" s="9">
        <f>_xlfn.XLOOKUP(F2941,'Raw Data'!$I$4:$I$5000,'Raw Data'!$E$4:$E$5000,100,0)</f>
        <v>100</v>
      </c>
      <c r="O2941" s="9" t="str">
        <f>IF(N2941=0,_xlfn.XLOOKUP(F2941,'Raw Data'!$I$4:$I$5000,'Raw Data'!$H$4:$H$5000,"",0),"")</f>
        <v/>
      </c>
      <c r="P2941" s="9" t="str" cm="1">
        <f t="array" aca="1" ref="P2941" ca="1">IF(INDIRECT(M2941) = "","",INDIRECT(M2941))</f>
        <v/>
      </c>
      <c r="Q2941" s="359" t="s">
        <v>4380</v>
      </c>
    </row>
    <row r="2942" spans="1:17" x14ac:dyDescent="0.35">
      <c r="A2942" t="s">
        <v>3613</v>
      </c>
      <c r="E2942" t="str">
        <f>_xlfn.XLOOKUP(F2942,'Raw Data'!$I$4:$I$5000,'Raw Data'!$D$4:$D$5000,"*** Mnemonic not found ***",0)</f>
        <v>*** Mnemonic not found ***</v>
      </c>
      <c r="F2942" t="str">
        <f t="shared" si="594"/>
        <v>SUCMFCPROD_26_C__</v>
      </c>
      <c r="H2942" s="9" t="s">
        <v>1137</v>
      </c>
      <c r="K2942" s="9">
        <f t="shared" si="603"/>
        <v>887</v>
      </c>
      <c r="L2942" s="9" t="str">
        <f>L2941</f>
        <v>O</v>
      </c>
      <c r="M2942" s="9" t="str">
        <f t="shared" si="602"/>
        <v>Input!O887</v>
      </c>
      <c r="N2942" s="9">
        <f>_xlfn.XLOOKUP(F2942,'Raw Data'!$I$4:$I$5000,'Raw Data'!$E$4:$E$5000,100,0)</f>
        <v>100</v>
      </c>
      <c r="O2942" s="9" t="str">
        <f>IF(N2942=0,_xlfn.XLOOKUP(F2942,'Raw Data'!$I$4:$I$5000,'Raw Data'!$H$4:$H$5000,"",0),"")</f>
        <v/>
      </c>
      <c r="P2942" s="9" t="str" cm="1">
        <f t="array" aca="1" ref="P2942" ca="1">IF(INDIRECT(M2942) = "","",INDIRECT(M2942))</f>
        <v/>
      </c>
      <c r="Q2942" s="359" t="s">
        <v>4380</v>
      </c>
    </row>
    <row r="2943" spans="1:17" x14ac:dyDescent="0.35">
      <c r="A2943" t="s">
        <v>3614</v>
      </c>
      <c r="E2943" t="str">
        <f>_xlfn.XLOOKUP(F2943,'Raw Data'!$I$4:$I$5000,'Raw Data'!$D$4:$D$5000,"*** Mnemonic not found ***",0)</f>
        <v>*** Mnemonic not found ***</v>
      </c>
      <c r="F2943" t="str">
        <f t="shared" si="594"/>
        <v>SUCMFCPROD_27_C__</v>
      </c>
      <c r="H2943" s="9" t="s">
        <v>1137</v>
      </c>
      <c r="K2943" s="9">
        <f t="shared" si="603"/>
        <v>888</v>
      </c>
      <c r="L2943" s="9" t="str">
        <f t="shared" ref="L2943:L2950" si="614">L2942</f>
        <v>O</v>
      </c>
      <c r="M2943" s="9" t="str">
        <f t="shared" si="602"/>
        <v>Input!O888</v>
      </c>
      <c r="N2943" s="9">
        <f>_xlfn.XLOOKUP(F2943,'Raw Data'!$I$4:$I$5000,'Raw Data'!$E$4:$E$5000,100,0)</f>
        <v>100</v>
      </c>
      <c r="O2943" s="9" t="str">
        <f>IF(N2943=0,_xlfn.XLOOKUP(F2943,'Raw Data'!$I$4:$I$5000,'Raw Data'!$H$4:$H$5000,"",0),"")</f>
        <v/>
      </c>
      <c r="P2943" s="9" t="str" cm="1">
        <f t="array" aca="1" ref="P2943" ca="1">IF(INDIRECT(M2943) = "","",INDIRECT(M2943))</f>
        <v/>
      </c>
      <c r="Q2943" s="359" t="s">
        <v>4380</v>
      </c>
    </row>
    <row r="2944" spans="1:17" x14ac:dyDescent="0.35">
      <c r="A2944" t="s">
        <v>3615</v>
      </c>
      <c r="E2944" t="str">
        <f>_xlfn.XLOOKUP(F2944,'Raw Data'!$I$4:$I$5000,'Raw Data'!$D$4:$D$5000,"*** Mnemonic not found ***",0)</f>
        <v>*** Mnemonic not found ***</v>
      </c>
      <c r="F2944" t="str">
        <f t="shared" si="594"/>
        <v>SUCMFCPROD_28_C__</v>
      </c>
      <c r="H2944" s="9" t="s">
        <v>1137</v>
      </c>
      <c r="K2944" s="9">
        <f t="shared" si="603"/>
        <v>889</v>
      </c>
      <c r="L2944" s="9" t="str">
        <f t="shared" si="614"/>
        <v>O</v>
      </c>
      <c r="M2944" s="9" t="str">
        <f t="shared" si="602"/>
        <v>Input!O889</v>
      </c>
      <c r="N2944" s="9">
        <f>_xlfn.XLOOKUP(F2944,'Raw Data'!$I$4:$I$5000,'Raw Data'!$E$4:$E$5000,100,0)</f>
        <v>100</v>
      </c>
      <c r="O2944" s="9" t="str">
        <f>IF(N2944=0,_xlfn.XLOOKUP(F2944,'Raw Data'!$I$4:$I$5000,'Raw Data'!$H$4:$H$5000,"",0),"")</f>
        <v/>
      </c>
      <c r="P2944" s="9" t="str" cm="1">
        <f t="array" aca="1" ref="P2944" ca="1">IF(INDIRECT(M2944) = "","",INDIRECT(M2944))</f>
        <v/>
      </c>
      <c r="Q2944" s="359" t="s">
        <v>4380</v>
      </c>
    </row>
    <row r="2945" spans="1:17" x14ac:dyDescent="0.35">
      <c r="A2945" t="s">
        <v>3616</v>
      </c>
      <c r="E2945" t="str">
        <f>_xlfn.XLOOKUP(F2945,'Raw Data'!$I$4:$I$5000,'Raw Data'!$D$4:$D$5000,"*** Mnemonic not found ***",0)</f>
        <v>*** Mnemonic not found ***</v>
      </c>
      <c r="F2945" t="str">
        <f t="shared" si="594"/>
        <v>SUCMFCPROD_29_C__</v>
      </c>
      <c r="H2945" s="9" t="s">
        <v>1137</v>
      </c>
      <c r="K2945" s="9">
        <f t="shared" si="603"/>
        <v>890</v>
      </c>
      <c r="L2945" s="9" t="str">
        <f t="shared" si="614"/>
        <v>O</v>
      </c>
      <c r="M2945" s="9" t="str">
        <f t="shared" si="602"/>
        <v>Input!O890</v>
      </c>
      <c r="N2945" s="9">
        <f>_xlfn.XLOOKUP(F2945,'Raw Data'!$I$4:$I$5000,'Raw Data'!$E$4:$E$5000,100,0)</f>
        <v>100</v>
      </c>
      <c r="O2945" s="9" t="str">
        <f>IF(N2945=0,_xlfn.XLOOKUP(F2945,'Raw Data'!$I$4:$I$5000,'Raw Data'!$H$4:$H$5000,"",0),"")</f>
        <v/>
      </c>
      <c r="P2945" s="9" t="str" cm="1">
        <f t="array" aca="1" ref="P2945" ca="1">IF(INDIRECT(M2945) = "","",INDIRECT(M2945))</f>
        <v/>
      </c>
      <c r="Q2945" s="359" t="s">
        <v>4380</v>
      </c>
    </row>
    <row r="2946" spans="1:17" x14ac:dyDescent="0.35">
      <c r="A2946" t="s">
        <v>3617</v>
      </c>
      <c r="E2946" t="str">
        <f>_xlfn.XLOOKUP(F2946,'Raw Data'!$I$4:$I$5000,'Raw Data'!$D$4:$D$5000,"*** Mnemonic not found ***",0)</f>
        <v>*** Mnemonic not found ***</v>
      </c>
      <c r="F2946" t="str">
        <f t="shared" si="594"/>
        <v>SUCMFCPROD_30_C__</v>
      </c>
      <c r="H2946" s="9" t="s">
        <v>1137</v>
      </c>
      <c r="K2946" s="9">
        <f t="shared" si="603"/>
        <v>891</v>
      </c>
      <c r="L2946" s="9" t="str">
        <f t="shared" si="614"/>
        <v>O</v>
      </c>
      <c r="M2946" s="9" t="str">
        <f t="shared" si="602"/>
        <v>Input!O891</v>
      </c>
      <c r="N2946" s="9">
        <f>_xlfn.XLOOKUP(F2946,'Raw Data'!$I$4:$I$5000,'Raw Data'!$E$4:$E$5000,100,0)</f>
        <v>100</v>
      </c>
      <c r="O2946" s="9" t="str">
        <f>IF(N2946=0,_xlfn.XLOOKUP(F2946,'Raw Data'!$I$4:$I$5000,'Raw Data'!$H$4:$H$5000,"",0),"")</f>
        <v/>
      </c>
      <c r="P2946" s="9" t="str" cm="1">
        <f t="array" aca="1" ref="P2946" ca="1">IF(INDIRECT(M2946) = "","",INDIRECT(M2946))</f>
        <v/>
      </c>
      <c r="Q2946" s="359" t="s">
        <v>4380</v>
      </c>
    </row>
    <row r="2947" spans="1:17" x14ac:dyDescent="0.35">
      <c r="A2947" t="s">
        <v>3618</v>
      </c>
      <c r="E2947" t="str">
        <f>_xlfn.XLOOKUP(F2947,'Raw Data'!$I$4:$I$5000,'Raw Data'!$D$4:$D$5000,"*** Mnemonic not found ***",0)</f>
        <v>*** Mnemonic not found ***</v>
      </c>
      <c r="F2947" t="str">
        <f t="shared" si="594"/>
        <v>SUCMFCPROD_31_C__</v>
      </c>
      <c r="H2947" s="9" t="s">
        <v>1137</v>
      </c>
      <c r="K2947" s="9">
        <f t="shared" si="603"/>
        <v>892</v>
      </c>
      <c r="L2947" s="9" t="str">
        <f t="shared" si="614"/>
        <v>O</v>
      </c>
      <c r="M2947" s="9" t="str">
        <f t="shared" si="602"/>
        <v>Input!O892</v>
      </c>
      <c r="N2947" s="9">
        <f>_xlfn.XLOOKUP(F2947,'Raw Data'!$I$4:$I$5000,'Raw Data'!$E$4:$E$5000,100,0)</f>
        <v>100</v>
      </c>
      <c r="O2947" s="9" t="str">
        <f>IF(N2947=0,_xlfn.XLOOKUP(F2947,'Raw Data'!$I$4:$I$5000,'Raw Data'!$H$4:$H$5000,"",0),"")</f>
        <v/>
      </c>
      <c r="P2947" s="9" t="str" cm="1">
        <f t="array" aca="1" ref="P2947" ca="1">IF(INDIRECT(M2947) = "","",INDIRECT(M2947))</f>
        <v/>
      </c>
      <c r="Q2947" s="359" t="s">
        <v>4380</v>
      </c>
    </row>
    <row r="2948" spans="1:17" x14ac:dyDescent="0.35">
      <c r="A2948" t="s">
        <v>3619</v>
      </c>
      <c r="E2948" t="str">
        <f>_xlfn.XLOOKUP(F2948,'Raw Data'!$I$4:$I$5000,'Raw Data'!$D$4:$D$5000,"*** Mnemonic not found ***",0)</f>
        <v>*** Mnemonic not found ***</v>
      </c>
      <c r="F2948" t="str">
        <f t="shared" si="594"/>
        <v>SUCMFCPROD_32_C__</v>
      </c>
      <c r="H2948" s="9" t="s">
        <v>1137</v>
      </c>
      <c r="K2948" s="9">
        <f t="shared" si="603"/>
        <v>893</v>
      </c>
      <c r="L2948" s="9" t="str">
        <f t="shared" si="614"/>
        <v>O</v>
      </c>
      <c r="M2948" s="9" t="str">
        <f t="shared" si="602"/>
        <v>Input!O893</v>
      </c>
      <c r="N2948" s="9">
        <f>_xlfn.XLOOKUP(F2948,'Raw Data'!$I$4:$I$5000,'Raw Data'!$E$4:$E$5000,100,0)</f>
        <v>100</v>
      </c>
      <c r="O2948" s="9" t="str">
        <f>IF(N2948=0,_xlfn.XLOOKUP(F2948,'Raw Data'!$I$4:$I$5000,'Raw Data'!$H$4:$H$5000,"",0),"")</f>
        <v/>
      </c>
      <c r="P2948" s="9" t="str" cm="1">
        <f t="array" aca="1" ref="P2948" ca="1">IF(INDIRECT(M2948) = "","",INDIRECT(M2948))</f>
        <v/>
      </c>
      <c r="Q2948" s="359" t="s">
        <v>4380</v>
      </c>
    </row>
    <row r="2949" spans="1:17" x14ac:dyDescent="0.35">
      <c r="A2949" t="s">
        <v>3620</v>
      </c>
      <c r="E2949" t="str">
        <f>_xlfn.XLOOKUP(F2949,'Raw Data'!$I$4:$I$5000,'Raw Data'!$D$4:$D$5000,"*** Mnemonic not found ***",0)</f>
        <v>*** Mnemonic not found ***</v>
      </c>
      <c r="F2949" t="str">
        <f t="shared" si="594"/>
        <v>SUCMFCPROD_33_C__</v>
      </c>
      <c r="H2949" s="9" t="s">
        <v>1137</v>
      </c>
      <c r="K2949" s="9">
        <f t="shared" si="603"/>
        <v>894</v>
      </c>
      <c r="L2949" s="9" t="str">
        <f t="shared" si="614"/>
        <v>O</v>
      </c>
      <c r="M2949" s="9" t="str">
        <f t="shared" si="602"/>
        <v>Input!O894</v>
      </c>
      <c r="N2949" s="9">
        <f>_xlfn.XLOOKUP(F2949,'Raw Data'!$I$4:$I$5000,'Raw Data'!$E$4:$E$5000,100,0)</f>
        <v>100</v>
      </c>
      <c r="O2949" s="9" t="str">
        <f>IF(N2949=0,_xlfn.XLOOKUP(F2949,'Raw Data'!$I$4:$I$5000,'Raw Data'!$H$4:$H$5000,"",0),"")</f>
        <v/>
      </c>
      <c r="P2949" s="9" t="str" cm="1">
        <f t="array" aca="1" ref="P2949" ca="1">IF(INDIRECT(M2949) = "","",INDIRECT(M2949))</f>
        <v/>
      </c>
      <c r="Q2949" s="359" t="s">
        <v>4380</v>
      </c>
    </row>
    <row r="2950" spans="1:17" x14ac:dyDescent="0.35">
      <c r="A2950" t="s">
        <v>3621</v>
      </c>
      <c r="E2950" t="str">
        <f>_xlfn.XLOOKUP(F2950,'Raw Data'!$I$4:$I$5000,'Raw Data'!$D$4:$D$5000,"*** Mnemonic not found ***",0)</f>
        <v>*** Mnemonic not found ***</v>
      </c>
      <c r="F2950" t="str">
        <f t="shared" si="594"/>
        <v>SUCMFCPROD_34_C__</v>
      </c>
      <c r="H2950" s="9" t="s">
        <v>1137</v>
      </c>
      <c r="K2950" s="9">
        <f t="shared" si="603"/>
        <v>895</v>
      </c>
      <c r="L2950" s="9" t="str">
        <f t="shared" si="614"/>
        <v>O</v>
      </c>
      <c r="M2950" s="9" t="str">
        <f t="shared" si="602"/>
        <v>Input!O895</v>
      </c>
      <c r="N2950" s="9">
        <f>_xlfn.XLOOKUP(F2950,'Raw Data'!$I$4:$I$5000,'Raw Data'!$E$4:$E$5000,100,0)</f>
        <v>100</v>
      </c>
      <c r="O2950" s="9" t="str">
        <f>IF(N2950=0,_xlfn.XLOOKUP(F2950,'Raw Data'!$I$4:$I$5000,'Raw Data'!$H$4:$H$5000,"",0),"")</f>
        <v/>
      </c>
      <c r="P2950" s="9" t="str" cm="1">
        <f t="array" aca="1" ref="P2950" ca="1">IF(INDIRECT(M2950) = "","",INDIRECT(M2950))</f>
        <v/>
      </c>
      <c r="Q2950" s="359" t="s">
        <v>4380</v>
      </c>
    </row>
    <row r="2951" spans="1:17" x14ac:dyDescent="0.35">
      <c r="A2951" t="s">
        <v>3622</v>
      </c>
      <c r="E2951" t="str">
        <f>_xlfn.XLOOKUP(F2951,'Raw Data'!$I$4:$I$5000,'Raw Data'!$D$4:$D$5000,"*** Mnemonic not found ***",0)</f>
        <v>*** Mnemonic not found ***</v>
      </c>
      <c r="F2951" t="str">
        <f t="shared" si="594"/>
        <v>SUCMFCPROD_35_C__</v>
      </c>
      <c r="H2951" s="9" t="s">
        <v>1137</v>
      </c>
      <c r="K2951" s="9">
        <f t="shared" si="603"/>
        <v>896</v>
      </c>
      <c r="L2951" s="9" t="str">
        <f>L2950</f>
        <v>O</v>
      </c>
      <c r="M2951" s="9" t="str">
        <f t="shared" si="602"/>
        <v>Input!O896</v>
      </c>
      <c r="N2951" s="9">
        <f>_xlfn.XLOOKUP(F2951,'Raw Data'!$I$4:$I$5000,'Raw Data'!$E$4:$E$5000,100,0)</f>
        <v>100</v>
      </c>
      <c r="O2951" s="9" t="str">
        <f>IF(N2951=0,_xlfn.XLOOKUP(F2951,'Raw Data'!$I$4:$I$5000,'Raw Data'!$H$4:$H$5000,"",0),"")</f>
        <v/>
      </c>
      <c r="P2951" s="9" t="str" cm="1">
        <f t="array" aca="1" ref="P2951" ca="1">IF(INDIRECT(M2951) = "","",INDIRECT(M2951))</f>
        <v/>
      </c>
      <c r="Q2951" s="359" t="s">
        <v>4380</v>
      </c>
    </row>
    <row r="2952" spans="1:17" x14ac:dyDescent="0.35">
      <c r="A2952" t="s">
        <v>3623</v>
      </c>
      <c r="E2952" t="str">
        <f>_xlfn.XLOOKUP(F2952,'Raw Data'!$I$4:$I$5000,'Raw Data'!$D$4:$D$5000,"*** Mnemonic not found ***",0)</f>
        <v>*** Mnemonic not found ***</v>
      </c>
      <c r="F2952" t="str">
        <f t="shared" si="594"/>
        <v>SUCMRSR_C__</v>
      </c>
      <c r="G2952" t="s">
        <v>3131</v>
      </c>
      <c r="H2952" s="9" t="s">
        <v>1137</v>
      </c>
      <c r="I2952" s="289">
        <f>ROW(section_additional_information)</f>
        <v>899</v>
      </c>
      <c r="J2952" s="9">
        <v>2</v>
      </c>
      <c r="K2952" s="9">
        <f>I2952+J2952</f>
        <v>901</v>
      </c>
      <c r="L2952" s="9" t="str">
        <f>L2951</f>
        <v>O</v>
      </c>
      <c r="M2952" s="9" t="str">
        <f t="shared" si="602"/>
        <v>Input!O901</v>
      </c>
      <c r="N2952" s="9">
        <f>_xlfn.XLOOKUP(F2952,'Raw Data'!$I$4:$I$5000,'Raw Data'!$E$4:$E$5000,100,0)</f>
        <v>100</v>
      </c>
      <c r="O2952" s="9" t="str">
        <f>IF(N2952=0,_xlfn.XLOOKUP(F2952,'Raw Data'!$I$4:$I$5000,'Raw Data'!$H$4:$H$5000,"",0),"")</f>
        <v/>
      </c>
      <c r="P2952" s="9" t="str" cm="1">
        <f t="array" aca="1" ref="P2952" ca="1">IF(INDIRECT(M2952) = "","",INDIRECT(M2952))</f>
        <v/>
      </c>
      <c r="Q2952" s="359" t="s">
        <v>4380</v>
      </c>
    </row>
    <row r="2953" spans="1:17" x14ac:dyDescent="0.35">
      <c r="A2953" t="s">
        <v>3624</v>
      </c>
      <c r="E2953" t="str">
        <f>_xlfn.XLOOKUP(F2953,'Raw Data'!$I$4:$I$5000,'Raw Data'!$D$4:$D$5000,"*** Mnemonic not found ***",0)</f>
        <v>*** Mnemonic not found ***</v>
      </c>
      <c r="F2953" t="str">
        <f t="shared" si="594"/>
        <v>SUCMNONLIFEDAC_C__</v>
      </c>
      <c r="H2953" s="9" t="s">
        <v>1137</v>
      </c>
      <c r="K2953" s="9">
        <f t="shared" ref="K2953:K2954" si="615">K2952+1</f>
        <v>902</v>
      </c>
      <c r="L2953" s="9" t="str">
        <f t="shared" ref="L2953:L2954" si="616">L2952</f>
        <v>O</v>
      </c>
      <c r="M2953" s="9" t="str">
        <f t="shared" si="602"/>
        <v>Input!O902</v>
      </c>
      <c r="N2953" s="9">
        <f>_xlfn.XLOOKUP(F2953,'Raw Data'!$I$4:$I$5000,'Raw Data'!$E$4:$E$5000,100,0)</f>
        <v>100</v>
      </c>
      <c r="O2953" s="9" t="str">
        <f>IF(N2953=0,_xlfn.XLOOKUP(F2953,'Raw Data'!$I$4:$I$5000,'Raw Data'!$H$4:$H$5000,"",0),"")</f>
        <v/>
      </c>
      <c r="P2953" s="9" t="str" cm="1">
        <f t="array" aca="1" ref="P2953" ca="1">IF(INDIRECT(M2953) = "","",INDIRECT(M2953))</f>
        <v/>
      </c>
      <c r="Q2953" s="359" t="s">
        <v>4380</v>
      </c>
    </row>
    <row r="2954" spans="1:17" x14ac:dyDescent="0.35">
      <c r="A2954" t="s">
        <v>3625</v>
      </c>
      <c r="E2954" t="str">
        <f>_xlfn.XLOOKUP(F2954,'Raw Data'!$I$4:$I$5000,'Raw Data'!$D$4:$D$5000,"*** Mnemonic not found ***",0)</f>
        <v>*** Mnemonic not found ***</v>
      </c>
      <c r="F2954" t="str">
        <f t="shared" si="594"/>
        <v>SUCMNETUPR_C__</v>
      </c>
      <c r="H2954" s="9" t="s">
        <v>1137</v>
      </c>
      <c r="K2954" s="9">
        <f t="shared" si="615"/>
        <v>903</v>
      </c>
      <c r="L2954" s="9" t="str">
        <f t="shared" si="616"/>
        <v>O</v>
      </c>
      <c r="M2954" s="9" t="str">
        <f t="shared" si="602"/>
        <v>Input!O903</v>
      </c>
      <c r="N2954" s="9">
        <f>_xlfn.XLOOKUP(F2954,'Raw Data'!$I$4:$I$5000,'Raw Data'!$E$4:$E$5000,100,0)</f>
        <v>100</v>
      </c>
      <c r="O2954" s="9" t="str">
        <f>IF(N2954=0,_xlfn.XLOOKUP(F2954,'Raw Data'!$I$4:$I$5000,'Raw Data'!$H$4:$H$5000,"",0),"")</f>
        <v/>
      </c>
      <c r="P2954" s="9" t="str" cm="1">
        <f t="array" aca="1" ref="P2954" ca="1">IF(INDIRECT(M2954) = "","",INDIRECT(M2954))</f>
        <v/>
      </c>
      <c r="Q2954" s="359" t="s">
        <v>4380</v>
      </c>
    </row>
  </sheetData>
  <sheetProtection algorithmName="SHA-512" hashValue="l0Zor1yqt4qXlH1kXO/CS4Qx/PltPbIV1MpnQR2odg4e7QoN7tSU5aknJK3a4nS/X0Ue48jvEMZMYIJPq+kIoA==" saltValue="EbKk/7ZJokeON946zPv/Xw==" spinCount="100000" sheet="1" objects="1" scenarios="1" formatColumns="0" formatRows="0"/>
  <autoFilter ref="A2:Q2954" xr:uid="{6C493924-5544-4536-B39E-5270835DEE4F}"/>
  <phoneticPr fontId="14" type="noConversion"/>
  <conditionalFormatting sqref="A2916:Q3007 Q1773:Q1817 Q2320:Q2954 A1:Q1793 R2 A1795:Q2914">
    <cfRule type="expression" dxfId="10" priority="1869">
      <formula>_xlfn.ISFORMULA(A1)</formula>
    </cfRule>
  </conditionalFormatting>
  <conditionalFormatting sqref="F2916:F1048576 F1:F1793 F1795:F2914">
    <cfRule type="duplicateValues" dxfId="9" priority="6"/>
  </conditionalFormatting>
  <conditionalFormatting sqref="A1794:Q1794">
    <cfRule type="expression" dxfId="8" priority="5">
      <formula>_xlfn.ISFORMULA(A1794)</formula>
    </cfRule>
  </conditionalFormatting>
  <conditionalFormatting sqref="F1794">
    <cfRule type="duplicateValues" dxfId="7" priority="4"/>
  </conditionalFormatting>
  <conditionalFormatting sqref="A2915:Q2915">
    <cfRule type="expression" dxfId="6" priority="3">
      <formula>_xlfn.ISFORMULA(A2915)</formula>
    </cfRule>
  </conditionalFormatting>
  <conditionalFormatting sqref="F2915">
    <cfRule type="duplicateValues" dxfId="5" priority="2"/>
  </conditionalFormatting>
  <conditionalFormatting sqref="R1862:R1865">
    <cfRule type="expression" dxfId="4" priority="1">
      <formula>_xlfn.ISFORMULA(R1862)</formula>
    </cfRule>
  </conditionalFormatting>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487BC-BA7B-4337-B2D6-697B10CD2862}">
  <sheetPr codeName="Sheet21">
    <tabColor theme="2" tint="-0.249977111117893"/>
  </sheetPr>
  <dimension ref="B2:AE120"/>
  <sheetViews>
    <sheetView topLeftCell="A23" zoomScaleNormal="100" workbookViewId="0"/>
  </sheetViews>
  <sheetFormatPr defaultRowHeight="14.5" x14ac:dyDescent="0.35"/>
  <cols>
    <col min="1" max="1" width="4.90625" customWidth="1"/>
    <col min="2" max="2" width="14.90625" bestFit="1" customWidth="1"/>
    <col min="3" max="3" width="26.36328125" bestFit="1" customWidth="1"/>
    <col min="4" max="4" width="15.6328125" bestFit="1" customWidth="1"/>
    <col min="5" max="6" width="20.36328125" bestFit="1" customWidth="1"/>
    <col min="7" max="8" width="23.90625" bestFit="1" customWidth="1"/>
    <col min="9" max="9" width="68" bestFit="1" customWidth="1"/>
    <col min="15" max="15" width="10.90625" bestFit="1" customWidth="1"/>
    <col min="16" max="16" width="11.6328125" style="360" bestFit="1" customWidth="1"/>
    <col min="18" max="18" width="62.90625" bestFit="1" customWidth="1"/>
    <col min="20" max="20" width="10.36328125" bestFit="1" customWidth="1"/>
    <col min="21" max="21" width="11.6328125" style="360" bestFit="1" customWidth="1"/>
    <col min="23" max="23" width="62.90625" bestFit="1" customWidth="1"/>
    <col min="25" max="25" width="11.453125" bestFit="1" customWidth="1"/>
    <col min="26" max="26" width="12.08984375" style="360" bestFit="1" customWidth="1"/>
    <col min="28" max="28" width="62.90625" bestFit="1" customWidth="1"/>
    <col min="30" max="30" width="11.90625" bestFit="1" customWidth="1"/>
    <col min="31" max="31" width="12.453125" style="360" bestFit="1" customWidth="1"/>
  </cols>
  <sheetData>
    <row r="2" spans="2:31" ht="43.5" x14ac:dyDescent="0.35">
      <c r="B2" s="228" t="s">
        <v>2765</v>
      </c>
      <c r="C2" s="228" t="s">
        <v>2844</v>
      </c>
      <c r="D2" s="228" t="s">
        <v>2766</v>
      </c>
      <c r="E2" s="228" t="s">
        <v>2767</v>
      </c>
      <c r="F2" s="228" t="s">
        <v>2768</v>
      </c>
      <c r="G2" s="228" t="s">
        <v>2838</v>
      </c>
      <c r="H2" s="228" t="s">
        <v>2839</v>
      </c>
      <c r="I2" s="228" t="s">
        <v>2845</v>
      </c>
      <c r="J2" s="228" t="s">
        <v>1134</v>
      </c>
      <c r="K2" s="122" t="s">
        <v>1424</v>
      </c>
      <c r="L2" s="122" t="s">
        <v>1425</v>
      </c>
      <c r="M2" s="228" t="s">
        <v>1135</v>
      </c>
      <c r="N2" s="228" t="s">
        <v>1136</v>
      </c>
      <c r="O2" s="122" t="s">
        <v>1183</v>
      </c>
      <c r="P2" s="617" t="s">
        <v>1138</v>
      </c>
      <c r="Q2" s="122" t="s">
        <v>2841</v>
      </c>
      <c r="R2" s="122" t="s">
        <v>2845</v>
      </c>
      <c r="S2" s="228" t="s">
        <v>1136</v>
      </c>
      <c r="T2" s="122" t="s">
        <v>1183</v>
      </c>
      <c r="U2" s="617" t="s">
        <v>1138</v>
      </c>
      <c r="V2" s="122" t="s">
        <v>2843</v>
      </c>
      <c r="W2" s="122" t="s">
        <v>2845</v>
      </c>
      <c r="X2" s="228" t="s">
        <v>1136</v>
      </c>
      <c r="Y2" s="122" t="s">
        <v>1183</v>
      </c>
      <c r="Z2" s="617" t="s">
        <v>1138</v>
      </c>
      <c r="AA2" s="122" t="s">
        <v>2847</v>
      </c>
      <c r="AB2" s="122" t="s">
        <v>2845</v>
      </c>
      <c r="AC2" s="228" t="s">
        <v>1136</v>
      </c>
      <c r="AD2" s="122" t="s">
        <v>1183</v>
      </c>
      <c r="AE2" s="617" t="s">
        <v>1138</v>
      </c>
    </row>
    <row r="3" spans="2:31" x14ac:dyDescent="0.35">
      <c r="B3" t="s">
        <v>2769</v>
      </c>
      <c r="C3" t="s">
        <v>2770</v>
      </c>
      <c r="I3" t="str">
        <f>CONCATENATE($B3, ":",C3,":",$D3,":",$E3,":",$F3,":",$G3,":",$H3)</f>
        <v>tac:shareholders_equity:::::</v>
      </c>
      <c r="J3" s="9" t="s">
        <v>2840</v>
      </c>
      <c r="K3" s="9" cm="1">
        <f t="array" ref="K3">ROW(out_section_tac)</f>
        <v>15</v>
      </c>
      <c r="L3" s="9">
        <v>2</v>
      </c>
      <c r="M3" s="9">
        <f>K3+L3</f>
        <v>17</v>
      </c>
      <c r="N3" s="9" t="s">
        <v>1144</v>
      </c>
      <c r="O3" s="9" t="str">
        <f>CONCATENATE($J3,"!",N3,$M3)</f>
        <v>Output!H17</v>
      </c>
      <c r="P3" s="360" cm="1">
        <f t="array" aca="1" ref="P3" ca="1">INDIRECT(O3)</f>
        <v>0</v>
      </c>
      <c r="R3" t="str">
        <f>IF(Q3="","",CONCATENATE($B3,":",Q3,":",$D3,":",$E3,":",$F3,":",$G3,":",$H3))</f>
        <v/>
      </c>
      <c r="S3" s="9" t="s">
        <v>1376</v>
      </c>
      <c r="T3" s="9" t="str">
        <f>CONCATENATE($J3,"!",S3,$M3)</f>
        <v>Output!J17</v>
      </c>
      <c r="U3" s="360" cm="1">
        <f t="array" aca="1" ref="U3" ca="1">INDIRECT(T3)</f>
        <v>0</v>
      </c>
      <c r="W3" t="str">
        <f>IF(V3="","",CONCATENATE($B3,":",V3,":",$D3,":",$E3,":",$F3,":",$G3,":",$H3))</f>
        <v/>
      </c>
      <c r="X3" s="9" t="s">
        <v>1378</v>
      </c>
      <c r="Y3" s="9" t="str">
        <f>CONCATENATE($J3,"!",X3,$M3)</f>
        <v>Output!L17</v>
      </c>
      <c r="Z3" s="360" cm="1">
        <f t="array" aca="1" ref="Z3" ca="1">INDIRECT(Y3)</f>
        <v>0</v>
      </c>
      <c r="AB3" t="str">
        <f>IF(AA3="","",CONCATENATE($B3,":",AA3,":",$D3,":",$E3,":",$F3,":",$G3,":",$H3))</f>
        <v/>
      </c>
      <c r="AC3" s="9" t="s">
        <v>2849</v>
      </c>
      <c r="AD3" s="9" t="str">
        <f>CONCATENATE($J3,"!",AC3,$M3)</f>
        <v>Output!N17</v>
      </c>
      <c r="AE3" s="360" cm="1">
        <f t="array" aca="1" ref="AE3" ca="1">INDIRECT(AD3)</f>
        <v>0</v>
      </c>
    </row>
    <row r="4" spans="2:31" x14ac:dyDescent="0.35">
      <c r="B4" t="str">
        <f>B3</f>
        <v>tac</v>
      </c>
      <c r="C4" t="s">
        <v>2771</v>
      </c>
      <c r="I4" t="str">
        <f t="shared" ref="I4:I70" si="0">CONCATENATE($B4, ":",C4,":",$D4,":",$E4,":",$F4,":",$G4,":",$H4)</f>
        <v>tac:equity_non_control_interests:::::</v>
      </c>
      <c r="J4" s="9" t="s">
        <v>2840</v>
      </c>
      <c r="K4" s="9"/>
      <c r="L4" s="9">
        <v>1</v>
      </c>
      <c r="M4" s="9">
        <f>M3+L4</f>
        <v>18</v>
      </c>
      <c r="N4" s="9" t="str">
        <f>N3</f>
        <v>H</v>
      </c>
      <c r="O4" s="9" t="str">
        <f t="shared" ref="O4:O70" si="1">CONCATENATE($J4,"!",N4,$M4)</f>
        <v>Output!H18</v>
      </c>
      <c r="P4" s="360" cm="1">
        <f t="array" aca="1" ref="P4" ca="1">INDIRECT(O4)</f>
        <v>0</v>
      </c>
      <c r="R4" t="str">
        <f t="shared" ref="R4:R70" si="2">IF(Q4="","",CONCATENATE($B4,":",Q4,":",$D4,":",$E4,":",$F4,":",$G4,":",$H4))</f>
        <v/>
      </c>
      <c r="S4" s="9" t="str">
        <f>S3</f>
        <v>J</v>
      </c>
      <c r="T4" s="9" t="str">
        <f t="shared" ref="T4:T70" si="3">CONCATENATE($J4,"!",S4,$M4)</f>
        <v>Output!J18</v>
      </c>
      <c r="U4" s="360" cm="1">
        <f t="array" aca="1" ref="U4" ca="1">INDIRECT(T4)</f>
        <v>0</v>
      </c>
      <c r="W4" t="str">
        <f t="shared" ref="W4:W70" si="4">IF(V4="","",CONCATENATE($B4,":",V4,":",$D4,":",$E4,":",$F4,":",$G4,":",$H4))</f>
        <v/>
      </c>
      <c r="X4" s="9" t="str">
        <f>X3</f>
        <v>L</v>
      </c>
      <c r="Y4" s="9" t="str">
        <f t="shared" ref="Y4:Y70" si="5">CONCATENATE($J4,"!",X4,$M4)</f>
        <v>Output!L18</v>
      </c>
      <c r="Z4" s="360" cm="1">
        <f t="array" aca="1" ref="Z4" ca="1">INDIRECT(Y4)</f>
        <v>0</v>
      </c>
      <c r="AB4" t="str">
        <f t="shared" ref="AB4:AB70" si="6">IF(AA4="","",CONCATENATE($B4,":",AA4,":",$D4,":",$E4,":",$F4,":",$G4,":",$H4))</f>
        <v/>
      </c>
      <c r="AC4" s="9" t="str">
        <f>AC3</f>
        <v>N</v>
      </c>
      <c r="AD4" s="9" t="str">
        <f t="shared" ref="AD4:AD70" si="7">CONCATENATE($J4,"!",AC4,$M4)</f>
        <v>Output!N18</v>
      </c>
      <c r="AE4" s="360" cm="1">
        <f t="array" aca="1" ref="AE4" ca="1">INDIRECT(AD4)</f>
        <v>0</v>
      </c>
    </row>
    <row r="5" spans="2:31" x14ac:dyDescent="0.35">
      <c r="B5" t="str">
        <f t="shared" ref="B5:B17" si="8">B4</f>
        <v>tac</v>
      </c>
      <c r="C5" t="s">
        <v>2772</v>
      </c>
      <c r="I5" t="str">
        <f t="shared" si="0"/>
        <v>tac:invest_own_shares:::::</v>
      </c>
      <c r="J5" s="9" t="s">
        <v>2840</v>
      </c>
      <c r="K5" s="9"/>
      <c r="L5" s="9">
        <v>1</v>
      </c>
      <c r="M5" s="9">
        <f t="shared" ref="M5:M17" si="9">M4+L5</f>
        <v>19</v>
      </c>
      <c r="N5" s="9" t="str">
        <f t="shared" ref="N5:N71" si="10">N4</f>
        <v>H</v>
      </c>
      <c r="O5" s="9" t="str">
        <f t="shared" si="1"/>
        <v>Output!H19</v>
      </c>
      <c r="P5" s="360" cm="1">
        <f t="array" aca="1" ref="P5" ca="1">INDIRECT(O5)</f>
        <v>0</v>
      </c>
      <c r="R5" t="str">
        <f t="shared" si="2"/>
        <v/>
      </c>
      <c r="S5" s="9" t="str">
        <f t="shared" ref="S5:S71" si="11">S4</f>
        <v>J</v>
      </c>
      <c r="T5" s="9" t="str">
        <f t="shared" si="3"/>
        <v>Output!J19</v>
      </c>
      <c r="U5" s="360" cm="1">
        <f t="array" aca="1" ref="U5" ca="1">INDIRECT(T5)</f>
        <v>0</v>
      </c>
      <c r="W5" t="str">
        <f t="shared" si="4"/>
        <v/>
      </c>
      <c r="X5" s="9" t="str">
        <f t="shared" ref="X5:X71" si="12">X4</f>
        <v>L</v>
      </c>
      <c r="Y5" s="9" t="str">
        <f t="shared" si="5"/>
        <v>Output!L19</v>
      </c>
      <c r="Z5" s="360" cm="1">
        <f t="array" aca="1" ref="Z5" ca="1">INDIRECT(Y5)</f>
        <v>0</v>
      </c>
      <c r="AB5" t="str">
        <f t="shared" si="6"/>
        <v/>
      </c>
      <c r="AC5" s="9" t="str">
        <f t="shared" ref="AC5:AC71" si="13">AC4</f>
        <v>N</v>
      </c>
      <c r="AD5" s="9" t="str">
        <f t="shared" si="7"/>
        <v>Output!N19</v>
      </c>
      <c r="AE5" s="360" cm="1">
        <f t="array" aca="1" ref="AE5" ca="1">INDIRECT(AD5)</f>
        <v>0</v>
      </c>
    </row>
    <row r="6" spans="2:31" x14ac:dyDescent="0.35">
      <c r="B6" t="str">
        <f t="shared" si="8"/>
        <v>tac</v>
      </c>
      <c r="C6" t="s">
        <v>2773</v>
      </c>
      <c r="I6" t="str">
        <f t="shared" si="0"/>
        <v>tac:shareholder_distrib:::::</v>
      </c>
      <c r="J6" s="9" t="s">
        <v>2840</v>
      </c>
      <c r="K6" s="9"/>
      <c r="L6" s="9">
        <v>1</v>
      </c>
      <c r="M6" s="9">
        <f t="shared" si="9"/>
        <v>20</v>
      </c>
      <c r="N6" s="9" t="str">
        <f t="shared" si="10"/>
        <v>H</v>
      </c>
      <c r="O6" s="9" t="str">
        <f t="shared" si="1"/>
        <v>Output!H20</v>
      </c>
      <c r="P6" s="360" cm="1">
        <f t="array" aca="1" ref="P6" ca="1">INDIRECT(O6)</f>
        <v>0</v>
      </c>
      <c r="R6" t="str">
        <f t="shared" si="2"/>
        <v/>
      </c>
      <c r="S6" s="9" t="str">
        <f t="shared" si="11"/>
        <v>J</v>
      </c>
      <c r="T6" s="9" t="str">
        <f t="shared" si="3"/>
        <v>Output!J20</v>
      </c>
      <c r="U6" s="360" cm="1">
        <f t="array" aca="1" ref="U6" ca="1">INDIRECT(T6)</f>
        <v>0</v>
      </c>
      <c r="W6" t="str">
        <f t="shared" si="4"/>
        <v/>
      </c>
      <c r="X6" s="9" t="str">
        <f t="shared" si="12"/>
        <v>L</v>
      </c>
      <c r="Y6" s="9" t="str">
        <f t="shared" si="5"/>
        <v>Output!L20</v>
      </c>
      <c r="Z6" s="360" cm="1">
        <f t="array" aca="1" ref="Z6" ca="1">INDIRECT(Y6)</f>
        <v>0</v>
      </c>
      <c r="AB6" t="str">
        <f t="shared" si="6"/>
        <v/>
      </c>
      <c r="AC6" s="9" t="str">
        <f t="shared" si="13"/>
        <v>N</v>
      </c>
      <c r="AD6" s="9" t="str">
        <f t="shared" si="7"/>
        <v>Output!N20</v>
      </c>
      <c r="AE6" s="360" cm="1">
        <f t="array" aca="1" ref="AE6" ca="1">INDIRECT(AD6)</f>
        <v>0</v>
      </c>
    </row>
    <row r="7" spans="2:31" x14ac:dyDescent="0.35">
      <c r="B7" t="str">
        <f t="shared" si="8"/>
        <v>tac</v>
      </c>
      <c r="C7" t="s">
        <v>2774</v>
      </c>
      <c r="I7" t="str">
        <f t="shared" si="0"/>
        <v>tac:intangible_assets:::::</v>
      </c>
      <c r="J7" s="9" t="s">
        <v>2840</v>
      </c>
      <c r="K7" s="9"/>
      <c r="L7" s="9">
        <v>1</v>
      </c>
      <c r="M7" s="9">
        <f t="shared" si="9"/>
        <v>21</v>
      </c>
      <c r="N7" s="9" t="str">
        <f t="shared" si="10"/>
        <v>H</v>
      </c>
      <c r="O7" s="9" t="str">
        <f t="shared" si="1"/>
        <v>Output!H21</v>
      </c>
      <c r="P7" s="360" cm="1">
        <f t="array" aca="1" ref="P7" ca="1">INDIRECT(O7)</f>
        <v>0</v>
      </c>
      <c r="R7" t="str">
        <f t="shared" si="2"/>
        <v/>
      </c>
      <c r="S7" s="9" t="str">
        <f t="shared" si="11"/>
        <v>J</v>
      </c>
      <c r="T7" s="9" t="str">
        <f t="shared" si="3"/>
        <v>Output!J21</v>
      </c>
      <c r="U7" s="360" cm="1">
        <f t="array" aca="1" ref="U7" ca="1">INDIRECT(T7)</f>
        <v>0</v>
      </c>
      <c r="W7" t="str">
        <f t="shared" si="4"/>
        <v/>
      </c>
      <c r="X7" s="9" t="str">
        <f t="shared" si="12"/>
        <v>L</v>
      </c>
      <c r="Y7" s="9" t="str">
        <f t="shared" si="5"/>
        <v>Output!L21</v>
      </c>
      <c r="Z7" s="360" cm="1">
        <f t="array" aca="1" ref="Z7" ca="1">INDIRECT(Y7)</f>
        <v>0</v>
      </c>
      <c r="AB7" t="str">
        <f t="shared" si="6"/>
        <v/>
      </c>
      <c r="AC7" s="9" t="str">
        <f t="shared" si="13"/>
        <v>N</v>
      </c>
      <c r="AD7" s="9" t="str">
        <f t="shared" si="7"/>
        <v>Output!N21</v>
      </c>
      <c r="AE7" s="360" cm="1">
        <f t="array" aca="1" ref="AE7" ca="1">INDIRECT(AD7)</f>
        <v>0</v>
      </c>
    </row>
    <row r="8" spans="2:31" x14ac:dyDescent="0.35">
      <c r="B8" t="str">
        <f t="shared" si="8"/>
        <v>tac</v>
      </c>
      <c r="C8" t="s">
        <v>2775</v>
      </c>
      <c r="I8" t="str">
        <f t="shared" si="0"/>
        <v>tac:employee_benefits:::::</v>
      </c>
      <c r="J8" s="9" t="s">
        <v>2840</v>
      </c>
      <c r="K8" s="9"/>
      <c r="L8" s="9">
        <v>1</v>
      </c>
      <c r="M8" s="9">
        <f t="shared" si="9"/>
        <v>22</v>
      </c>
      <c r="N8" s="9" t="str">
        <f t="shared" si="10"/>
        <v>H</v>
      </c>
      <c r="O8" s="9" t="str">
        <f t="shared" si="1"/>
        <v>Output!H22</v>
      </c>
      <c r="P8" s="360" cm="1">
        <f t="array" aca="1" ref="P8" ca="1">INDIRECT(O8)</f>
        <v>0</v>
      </c>
      <c r="R8" t="str">
        <f t="shared" si="2"/>
        <v/>
      </c>
      <c r="S8" s="9" t="str">
        <f t="shared" si="11"/>
        <v>J</v>
      </c>
      <c r="T8" s="9" t="str">
        <f t="shared" si="3"/>
        <v>Output!J22</v>
      </c>
      <c r="U8" s="360" cm="1">
        <f t="array" aca="1" ref="U8" ca="1">INDIRECT(T8)</f>
        <v>0</v>
      </c>
      <c r="W8" t="str">
        <f t="shared" si="4"/>
        <v/>
      </c>
      <c r="X8" s="9" t="str">
        <f t="shared" si="12"/>
        <v>L</v>
      </c>
      <c r="Y8" s="9" t="str">
        <f t="shared" si="5"/>
        <v>Output!L22</v>
      </c>
      <c r="Z8" s="360" cm="1">
        <f t="array" aca="1" ref="Z8" ca="1">INDIRECT(Y8)</f>
        <v>0</v>
      </c>
      <c r="AB8" t="str">
        <f t="shared" si="6"/>
        <v/>
      </c>
      <c r="AC8" s="9" t="str">
        <f t="shared" si="13"/>
        <v>N</v>
      </c>
      <c r="AD8" s="9" t="str">
        <f t="shared" si="7"/>
        <v>Output!N22</v>
      </c>
      <c r="AE8" s="360" cm="1">
        <f t="array" aca="1" ref="AE8" ca="1">INDIRECT(AD8)</f>
        <v>0</v>
      </c>
    </row>
    <row r="9" spans="2:31" x14ac:dyDescent="0.35">
      <c r="B9" t="str">
        <f t="shared" si="8"/>
        <v>tac</v>
      </c>
      <c r="C9" t="s">
        <v>2776</v>
      </c>
      <c r="I9" t="str">
        <f t="shared" si="0"/>
        <v>tac:unrealized_gains:::::</v>
      </c>
      <c r="J9" s="9" t="s">
        <v>2840</v>
      </c>
      <c r="K9" s="9"/>
      <c r="L9" s="9">
        <v>1</v>
      </c>
      <c r="M9" s="9">
        <f t="shared" si="9"/>
        <v>23</v>
      </c>
      <c r="N9" s="9" t="str">
        <f t="shared" si="10"/>
        <v>H</v>
      </c>
      <c r="O9" s="9" t="str">
        <f t="shared" si="1"/>
        <v>Output!H23</v>
      </c>
      <c r="P9" s="360" cm="1">
        <f t="array" aca="1" ref="P9" ca="1">INDIRECT(O9)</f>
        <v>0</v>
      </c>
      <c r="R9" t="str">
        <f t="shared" si="2"/>
        <v/>
      </c>
      <c r="S9" s="9" t="str">
        <f t="shared" si="11"/>
        <v>J</v>
      </c>
      <c r="T9" s="9" t="str">
        <f t="shared" si="3"/>
        <v>Output!J23</v>
      </c>
      <c r="U9" s="360" cm="1">
        <f t="array" aca="1" ref="U9" ca="1">INDIRECT(T9)</f>
        <v>0</v>
      </c>
      <c r="W9" t="str">
        <f t="shared" si="4"/>
        <v/>
      </c>
      <c r="X9" s="9" t="str">
        <f t="shared" si="12"/>
        <v>L</v>
      </c>
      <c r="Y9" s="9" t="str">
        <f t="shared" si="5"/>
        <v>Output!L23</v>
      </c>
      <c r="Z9" s="360" cm="1">
        <f t="array" aca="1" ref="Z9" ca="1">INDIRECT(Y9)</f>
        <v>0</v>
      </c>
      <c r="AB9" t="str">
        <f t="shared" si="6"/>
        <v/>
      </c>
      <c r="AC9" s="9" t="str">
        <f t="shared" si="13"/>
        <v>N</v>
      </c>
      <c r="AD9" s="9" t="str">
        <f t="shared" si="7"/>
        <v>Output!N23</v>
      </c>
      <c r="AE9" s="360" cm="1">
        <f t="array" aca="1" ref="AE9" ca="1">INDIRECT(AD9)</f>
        <v>0</v>
      </c>
    </row>
    <row r="10" spans="2:31" x14ac:dyDescent="0.35">
      <c r="B10" t="str">
        <f t="shared" si="8"/>
        <v>tac</v>
      </c>
      <c r="C10" t="s">
        <v>2777</v>
      </c>
      <c r="I10" t="str">
        <f t="shared" si="0"/>
        <v>tac:reserve_adj_non_life:::::</v>
      </c>
      <c r="J10" s="9" t="s">
        <v>2840</v>
      </c>
      <c r="K10" s="9"/>
      <c r="L10" s="9">
        <v>1</v>
      </c>
      <c r="M10" s="9">
        <f t="shared" si="9"/>
        <v>24</v>
      </c>
      <c r="N10" s="9" t="str">
        <f t="shared" si="10"/>
        <v>H</v>
      </c>
      <c r="O10" s="9" t="str">
        <f t="shared" si="1"/>
        <v>Output!H24</v>
      </c>
      <c r="P10" s="360" cm="1">
        <f t="array" aca="1" ref="P10" ca="1">INDIRECT(O10)</f>
        <v>0</v>
      </c>
      <c r="R10" t="str">
        <f t="shared" si="2"/>
        <v/>
      </c>
      <c r="S10" s="9" t="str">
        <f t="shared" si="11"/>
        <v>J</v>
      </c>
      <c r="T10" s="9" t="str">
        <f t="shared" si="3"/>
        <v>Output!J24</v>
      </c>
      <c r="U10" s="360" cm="1">
        <f t="array" aca="1" ref="U10" ca="1">INDIRECT(T10)</f>
        <v>0</v>
      </c>
      <c r="W10" t="str">
        <f t="shared" si="4"/>
        <v/>
      </c>
      <c r="X10" s="9" t="str">
        <f t="shared" si="12"/>
        <v>L</v>
      </c>
      <c r="Y10" s="9" t="str">
        <f t="shared" si="5"/>
        <v>Output!L24</v>
      </c>
      <c r="Z10" s="360" cm="1">
        <f t="array" aca="1" ref="Z10" ca="1">INDIRECT(Y10)</f>
        <v>0</v>
      </c>
      <c r="AB10" t="str">
        <f t="shared" si="6"/>
        <v/>
      </c>
      <c r="AC10" s="9" t="str">
        <f t="shared" si="13"/>
        <v>N</v>
      </c>
      <c r="AD10" s="9" t="str">
        <f t="shared" si="7"/>
        <v>Output!N24</v>
      </c>
      <c r="AE10" s="360" cm="1">
        <f t="array" aca="1" ref="AE10" ca="1">INDIRECT(AD10)</f>
        <v>0</v>
      </c>
    </row>
    <row r="11" spans="2:31" x14ac:dyDescent="0.35">
      <c r="B11" t="str">
        <f t="shared" si="8"/>
        <v>tac</v>
      </c>
      <c r="C11" t="s">
        <v>2778</v>
      </c>
      <c r="I11" t="str">
        <f t="shared" si="0"/>
        <v>tac:reserve_adj_life:::::</v>
      </c>
      <c r="J11" s="9" t="s">
        <v>2840</v>
      </c>
      <c r="K11" s="9"/>
      <c r="L11" s="9">
        <v>1</v>
      </c>
      <c r="M11" s="9">
        <f t="shared" si="9"/>
        <v>25</v>
      </c>
      <c r="N11" s="9" t="str">
        <f t="shared" si="10"/>
        <v>H</v>
      </c>
      <c r="O11" s="9" t="str">
        <f t="shared" si="1"/>
        <v>Output!H25</v>
      </c>
      <c r="P11" s="360" cm="1">
        <f t="array" aca="1" ref="P11" ca="1">INDIRECT(O11)</f>
        <v>0</v>
      </c>
      <c r="R11" t="str">
        <f t="shared" si="2"/>
        <v/>
      </c>
      <c r="S11" s="9" t="str">
        <f t="shared" si="11"/>
        <v>J</v>
      </c>
      <c r="T11" s="9" t="str">
        <f t="shared" si="3"/>
        <v>Output!J25</v>
      </c>
      <c r="U11" s="360" cm="1">
        <f t="array" aca="1" ref="U11" ca="1">INDIRECT(T11)</f>
        <v>0</v>
      </c>
      <c r="W11" t="str">
        <f t="shared" si="4"/>
        <v/>
      </c>
      <c r="X11" s="9" t="str">
        <f t="shared" si="12"/>
        <v>L</v>
      </c>
      <c r="Y11" s="9" t="str">
        <f t="shared" si="5"/>
        <v>Output!L25</v>
      </c>
      <c r="Z11" s="360" cm="1">
        <f t="array" aca="1" ref="Z11" ca="1">INDIRECT(Y11)</f>
        <v>0</v>
      </c>
      <c r="AB11" t="str">
        <f t="shared" si="6"/>
        <v/>
      </c>
      <c r="AC11" s="9" t="str">
        <f t="shared" si="13"/>
        <v>N</v>
      </c>
      <c r="AD11" s="9" t="str">
        <f t="shared" si="7"/>
        <v>Output!N25</v>
      </c>
      <c r="AE11" s="360" cm="1">
        <f t="array" aca="1" ref="AE11" ca="1">INDIRECT(AD11)</f>
        <v>0</v>
      </c>
    </row>
    <row r="12" spans="2:31" x14ac:dyDescent="0.35">
      <c r="B12" t="str">
        <f t="shared" si="8"/>
        <v>tac</v>
      </c>
      <c r="C12" t="s">
        <v>2779</v>
      </c>
      <c r="I12" t="str">
        <f t="shared" si="0"/>
        <v>tac:hybrid_capital:::::</v>
      </c>
      <c r="J12" s="9" t="s">
        <v>2840</v>
      </c>
      <c r="K12" s="9"/>
      <c r="L12" s="9">
        <v>1</v>
      </c>
      <c r="M12" s="9">
        <f t="shared" si="9"/>
        <v>26</v>
      </c>
      <c r="N12" s="9" t="str">
        <f t="shared" si="10"/>
        <v>H</v>
      </c>
      <c r="O12" s="9" t="str">
        <f t="shared" si="1"/>
        <v>Output!H26</v>
      </c>
      <c r="P12" s="360" cm="1">
        <f t="array" aca="1" ref="P12" ca="1">INDIRECT(O12)</f>
        <v>0</v>
      </c>
      <c r="R12" t="str">
        <f t="shared" si="2"/>
        <v/>
      </c>
      <c r="S12" s="9" t="str">
        <f t="shared" si="11"/>
        <v>J</v>
      </c>
      <c r="T12" s="9" t="str">
        <f t="shared" si="3"/>
        <v>Output!J26</v>
      </c>
      <c r="U12" s="360" cm="1">
        <f t="array" aca="1" ref="U12" ca="1">INDIRECT(T12)</f>
        <v>0</v>
      </c>
      <c r="W12" t="str">
        <f t="shared" si="4"/>
        <v/>
      </c>
      <c r="X12" s="9" t="str">
        <f t="shared" si="12"/>
        <v>L</v>
      </c>
      <c r="Y12" s="9" t="str">
        <f t="shared" si="5"/>
        <v>Output!L26</v>
      </c>
      <c r="Z12" s="360" cm="1">
        <f t="array" aca="1" ref="Z12" ca="1">INDIRECT(Y12)</f>
        <v>0</v>
      </c>
      <c r="AB12" t="str">
        <f t="shared" si="6"/>
        <v/>
      </c>
      <c r="AC12" s="9" t="str">
        <f t="shared" si="13"/>
        <v>N</v>
      </c>
      <c r="AD12" s="9" t="str">
        <f t="shared" si="7"/>
        <v>Output!N26</v>
      </c>
      <c r="AE12" s="360" cm="1">
        <f t="array" aca="1" ref="AE12" ca="1">INDIRECT(AD12)</f>
        <v>0</v>
      </c>
    </row>
    <row r="13" spans="2:31" x14ac:dyDescent="0.35">
      <c r="B13" t="str">
        <f t="shared" si="8"/>
        <v>tac</v>
      </c>
      <c r="C13" t="s">
        <v>2780</v>
      </c>
      <c r="I13" t="str">
        <f t="shared" si="0"/>
        <v>tac:invest_subsidiaries:::::</v>
      </c>
      <c r="J13" s="9" t="s">
        <v>2840</v>
      </c>
      <c r="K13" s="9"/>
      <c r="L13" s="9">
        <v>1</v>
      </c>
      <c r="M13" s="9">
        <f t="shared" si="9"/>
        <v>27</v>
      </c>
      <c r="N13" s="9" t="str">
        <f t="shared" si="10"/>
        <v>H</v>
      </c>
      <c r="O13" s="9" t="str">
        <f t="shared" si="1"/>
        <v>Output!H27</v>
      </c>
      <c r="P13" s="360" cm="1">
        <f t="array" aca="1" ref="P13" ca="1">INDIRECT(O13)</f>
        <v>0</v>
      </c>
      <c r="R13" t="str">
        <f t="shared" si="2"/>
        <v/>
      </c>
      <c r="S13" s="9" t="str">
        <f t="shared" si="11"/>
        <v>J</v>
      </c>
      <c r="T13" s="9" t="str">
        <f t="shared" si="3"/>
        <v>Output!J27</v>
      </c>
      <c r="U13" s="360" cm="1">
        <f t="array" aca="1" ref="U13" ca="1">INDIRECT(T13)</f>
        <v>0</v>
      </c>
      <c r="W13" t="str">
        <f t="shared" si="4"/>
        <v/>
      </c>
      <c r="X13" s="9" t="str">
        <f t="shared" si="12"/>
        <v>L</v>
      </c>
      <c r="Y13" s="9" t="str">
        <f t="shared" si="5"/>
        <v>Output!L27</v>
      </c>
      <c r="Z13" s="360" cm="1">
        <f t="array" aca="1" ref="Z13" ca="1">INDIRECT(Y13)</f>
        <v>0</v>
      </c>
      <c r="AB13" t="str">
        <f t="shared" si="6"/>
        <v/>
      </c>
      <c r="AC13" s="9" t="str">
        <f t="shared" si="13"/>
        <v>N</v>
      </c>
      <c r="AD13" s="9" t="str">
        <f t="shared" si="7"/>
        <v>Output!N27</v>
      </c>
      <c r="AE13" s="360" cm="1">
        <f t="array" aca="1" ref="AE13" ca="1">INDIRECT(AD13)</f>
        <v>0</v>
      </c>
    </row>
    <row r="14" spans="2:31" x14ac:dyDescent="0.35">
      <c r="B14" t="str">
        <f t="shared" si="8"/>
        <v>tac</v>
      </c>
      <c r="C14" t="s">
        <v>2781</v>
      </c>
      <c r="I14" t="str">
        <f t="shared" si="0"/>
        <v>tac:polycyholder_capital:::::</v>
      </c>
      <c r="J14" s="9" t="s">
        <v>2840</v>
      </c>
      <c r="K14" s="9"/>
      <c r="L14" s="9">
        <v>1</v>
      </c>
      <c r="M14" s="9">
        <f t="shared" si="9"/>
        <v>28</v>
      </c>
      <c r="N14" s="9" t="str">
        <f t="shared" si="10"/>
        <v>H</v>
      </c>
      <c r="O14" s="9" t="str">
        <f t="shared" si="1"/>
        <v>Output!H28</v>
      </c>
      <c r="P14" s="360" cm="1">
        <f t="array" aca="1" ref="P14" ca="1">INDIRECT(O14)</f>
        <v>0</v>
      </c>
      <c r="R14" t="str">
        <f t="shared" si="2"/>
        <v/>
      </c>
      <c r="S14" s="9" t="str">
        <f t="shared" si="11"/>
        <v>J</v>
      </c>
      <c r="T14" s="9" t="str">
        <f t="shared" si="3"/>
        <v>Output!J28</v>
      </c>
      <c r="U14" s="360" cm="1">
        <f t="array" aca="1" ref="U14" ca="1">INDIRECT(T14)</f>
        <v>0</v>
      </c>
      <c r="W14" t="str">
        <f t="shared" si="4"/>
        <v/>
      </c>
      <c r="X14" s="9" t="str">
        <f t="shared" si="12"/>
        <v>L</v>
      </c>
      <c r="Y14" s="9" t="str">
        <f t="shared" si="5"/>
        <v>Output!L28</v>
      </c>
      <c r="Z14" s="360" cm="1">
        <f t="array" aca="1" ref="Z14" ca="1">INDIRECT(Y14)</f>
        <v>0</v>
      </c>
      <c r="AB14" t="str">
        <f t="shared" si="6"/>
        <v/>
      </c>
      <c r="AC14" s="9" t="str">
        <f t="shared" si="13"/>
        <v>N</v>
      </c>
      <c r="AD14" s="9" t="str">
        <f t="shared" si="7"/>
        <v>Output!N28</v>
      </c>
      <c r="AE14" s="360" cm="1">
        <f t="array" aca="1" ref="AE14" ca="1">INDIRECT(AD14)</f>
        <v>0</v>
      </c>
    </row>
    <row r="15" spans="2:31" x14ac:dyDescent="0.35">
      <c r="B15" t="str">
        <f t="shared" si="8"/>
        <v>tac</v>
      </c>
      <c r="C15" t="s">
        <v>4372</v>
      </c>
      <c r="I15" t="str">
        <f t="shared" si="0"/>
        <v>tac:unrealized_gains_on_inv_backing_life:::::</v>
      </c>
      <c r="J15" s="9" t="s">
        <v>2840</v>
      </c>
      <c r="K15" s="9"/>
      <c r="L15" s="9">
        <v>1</v>
      </c>
      <c r="M15" s="9">
        <f t="shared" si="9"/>
        <v>29</v>
      </c>
      <c r="N15" s="9" t="s">
        <v>1144</v>
      </c>
      <c r="O15" s="9" t="str">
        <f t="shared" si="1"/>
        <v>Output!H29</v>
      </c>
      <c r="P15" s="360" cm="1">
        <f t="array" aca="1" ref="P15" ca="1">INDIRECT(O15)</f>
        <v>0</v>
      </c>
      <c r="R15" t="str">
        <f t="shared" si="2"/>
        <v/>
      </c>
      <c r="S15" s="9" t="str">
        <f t="shared" si="11"/>
        <v>J</v>
      </c>
      <c r="T15" s="9" t="str">
        <f t="shared" si="3"/>
        <v>Output!J29</v>
      </c>
      <c r="U15" s="360" cm="1">
        <f t="array" aca="1" ref="U15" ca="1">INDIRECT(T15)</f>
        <v>0</v>
      </c>
      <c r="W15" t="str">
        <f t="shared" si="4"/>
        <v/>
      </c>
      <c r="X15" s="9" t="str">
        <f t="shared" si="12"/>
        <v>L</v>
      </c>
      <c r="Y15" s="9" t="str">
        <f t="shared" si="5"/>
        <v>Output!L29</v>
      </c>
      <c r="Z15" s="360" cm="1">
        <f t="array" aca="1" ref="Z15" ca="1">INDIRECT(Y15)</f>
        <v>0</v>
      </c>
      <c r="AB15" t="str">
        <f t="shared" si="6"/>
        <v/>
      </c>
      <c r="AC15" s="9" t="str">
        <f t="shared" si="13"/>
        <v>N</v>
      </c>
      <c r="AD15" s="9" t="str">
        <f t="shared" si="7"/>
        <v>Output!N29</v>
      </c>
      <c r="AE15" s="360" cm="1">
        <f t="array" aca="1" ref="AE15" ca="1">INDIRECT(AD15)</f>
        <v>0</v>
      </c>
    </row>
    <row r="16" spans="2:31" x14ac:dyDescent="0.35">
      <c r="B16" t="str">
        <f>B14</f>
        <v>tac</v>
      </c>
      <c r="C16" t="s">
        <v>2782</v>
      </c>
      <c r="I16" t="str">
        <f t="shared" si="0"/>
        <v>tac:adjustments:::::</v>
      </c>
      <c r="J16" s="9" t="s">
        <v>2840</v>
      </c>
      <c r="K16" s="9"/>
      <c r="L16" s="9">
        <v>1</v>
      </c>
      <c r="M16" s="9">
        <f t="shared" si="9"/>
        <v>30</v>
      </c>
      <c r="N16" s="9" t="str">
        <f>N14</f>
        <v>H</v>
      </c>
      <c r="O16" s="9" t="str">
        <f t="shared" si="1"/>
        <v>Output!H30</v>
      </c>
      <c r="P16" s="360" cm="1">
        <f t="array" aca="1" ref="P16" ca="1">INDIRECT(O16)</f>
        <v>0</v>
      </c>
      <c r="R16" t="str">
        <f t="shared" si="2"/>
        <v/>
      </c>
      <c r="S16" s="9" t="str">
        <f t="shared" si="11"/>
        <v>J</v>
      </c>
      <c r="T16" s="9" t="str">
        <f t="shared" si="3"/>
        <v>Output!J30</v>
      </c>
      <c r="U16" s="360" cm="1">
        <f t="array" aca="1" ref="U16" ca="1">INDIRECT(T16)</f>
        <v>0</v>
      </c>
      <c r="W16" t="str">
        <f t="shared" si="4"/>
        <v/>
      </c>
      <c r="X16" s="9" t="str">
        <f t="shared" si="12"/>
        <v>L</v>
      </c>
      <c r="Y16" s="9" t="str">
        <f t="shared" si="5"/>
        <v>Output!L30</v>
      </c>
      <c r="Z16" s="360" cm="1">
        <f t="array" aca="1" ref="Z16" ca="1">INDIRECT(Y16)</f>
        <v>0</v>
      </c>
      <c r="AB16" t="str">
        <f t="shared" si="6"/>
        <v/>
      </c>
      <c r="AC16" s="9" t="str">
        <f t="shared" si="13"/>
        <v>N</v>
      </c>
      <c r="AD16" s="9" t="str">
        <f t="shared" si="7"/>
        <v>Output!N30</v>
      </c>
      <c r="AE16" s="360" cm="1">
        <f t="array" aca="1" ref="AE16" ca="1">INDIRECT(AD16)</f>
        <v>0</v>
      </c>
    </row>
    <row r="17" spans="2:31" x14ac:dyDescent="0.35">
      <c r="B17" t="str">
        <f t="shared" si="8"/>
        <v>tac</v>
      </c>
      <c r="C17" t="s">
        <v>2783</v>
      </c>
      <c r="I17" t="str">
        <f t="shared" si="0"/>
        <v>tac:total:::::</v>
      </c>
      <c r="J17" s="9" t="s">
        <v>2840</v>
      </c>
      <c r="K17" s="9"/>
      <c r="L17" s="9">
        <v>1</v>
      </c>
      <c r="M17" s="9">
        <f t="shared" si="9"/>
        <v>31</v>
      </c>
      <c r="N17" s="9" t="str">
        <f t="shared" si="10"/>
        <v>H</v>
      </c>
      <c r="O17" s="9" t="str">
        <f t="shared" si="1"/>
        <v>Output!H31</v>
      </c>
      <c r="P17" s="360" cm="1">
        <f t="array" aca="1" ref="P17" ca="1">INDIRECT(O17)</f>
        <v>0</v>
      </c>
      <c r="R17" t="str">
        <f t="shared" si="2"/>
        <v/>
      </c>
      <c r="S17" s="9" t="str">
        <f t="shared" si="11"/>
        <v>J</v>
      </c>
      <c r="T17" s="9" t="str">
        <f t="shared" si="3"/>
        <v>Output!J31</v>
      </c>
      <c r="U17" s="360" cm="1">
        <f t="array" aca="1" ref="U17" ca="1">INDIRECT(T17)</f>
        <v>0</v>
      </c>
      <c r="W17" t="str">
        <f t="shared" si="4"/>
        <v/>
      </c>
      <c r="X17" s="9" t="str">
        <f t="shared" si="12"/>
        <v>L</v>
      </c>
      <c r="Y17" s="9" t="str">
        <f t="shared" si="5"/>
        <v>Output!L31</v>
      </c>
      <c r="Z17" s="360" cm="1">
        <f t="array" aca="1" ref="Z17" ca="1">INDIRECT(Y17)</f>
        <v>0</v>
      </c>
      <c r="AB17" t="str">
        <f t="shared" si="6"/>
        <v/>
      </c>
      <c r="AC17" s="9" t="str">
        <f t="shared" si="13"/>
        <v>N</v>
      </c>
      <c r="AD17" s="9" t="str">
        <f t="shared" si="7"/>
        <v>Output!N31</v>
      </c>
      <c r="AE17" s="360" cm="1">
        <f t="array" aca="1" ref="AE17" ca="1">INDIRECT(AD17)</f>
        <v>0</v>
      </c>
    </row>
    <row r="18" spans="2:31" x14ac:dyDescent="0.35">
      <c r="B18" t="s">
        <v>2799</v>
      </c>
      <c r="C18" t="s">
        <v>2784</v>
      </c>
      <c r="D18" t="s">
        <v>2785</v>
      </c>
      <c r="E18" t="s">
        <v>2786</v>
      </c>
      <c r="F18" t="s">
        <v>2783</v>
      </c>
      <c r="I18" t="str">
        <f t="shared" si="0"/>
        <v>required_capital:99_99:asset_risk:credit_risk:total::</v>
      </c>
      <c r="J18" s="9" t="s">
        <v>2840</v>
      </c>
      <c r="K18" s="9">
        <f>ROW(out_section_asset_risk)</f>
        <v>34</v>
      </c>
      <c r="L18" s="9">
        <v>2</v>
      </c>
      <c r="M18" s="9">
        <f>K18+L18</f>
        <v>36</v>
      </c>
      <c r="N18" s="9" t="str">
        <f t="shared" si="10"/>
        <v>H</v>
      </c>
      <c r="O18" s="9" t="str">
        <f t="shared" si="1"/>
        <v>Output!H36</v>
      </c>
      <c r="P18" s="360" cm="1">
        <f t="array" aca="1" ref="P18" ca="1">INDIRECT(O18)</f>
        <v>0</v>
      </c>
      <c r="Q18" t="s">
        <v>2842</v>
      </c>
      <c r="R18" t="str">
        <f t="shared" si="2"/>
        <v>required_capital:99_95:asset_risk:credit_risk:total::</v>
      </c>
      <c r="S18" s="9" t="str">
        <f t="shared" si="11"/>
        <v>J</v>
      </c>
      <c r="T18" s="9" t="str">
        <f t="shared" si="3"/>
        <v>Output!J36</v>
      </c>
      <c r="U18" s="360" cm="1">
        <f t="array" aca="1" ref="U18" ca="1">INDIRECT(T18)</f>
        <v>0</v>
      </c>
      <c r="V18" t="s">
        <v>2846</v>
      </c>
      <c r="W18" t="str">
        <f t="shared" si="4"/>
        <v>required_capital:99_80:asset_risk:credit_risk:total::</v>
      </c>
      <c r="X18" s="9" t="str">
        <f t="shared" si="12"/>
        <v>L</v>
      </c>
      <c r="Y18" s="9" t="str">
        <f t="shared" si="5"/>
        <v>Output!L36</v>
      </c>
      <c r="Z18" s="360" cm="1">
        <f t="array" aca="1" ref="Z18" ca="1">INDIRECT(Y18)</f>
        <v>0</v>
      </c>
      <c r="AA18" t="s">
        <v>2848</v>
      </c>
      <c r="AB18" t="str">
        <f t="shared" si="6"/>
        <v>required_capital:99_50:asset_risk:credit_risk:total::</v>
      </c>
      <c r="AC18" s="9" t="str">
        <f t="shared" si="13"/>
        <v>N</v>
      </c>
      <c r="AD18" s="9" t="str">
        <f t="shared" si="7"/>
        <v>Output!N36</v>
      </c>
      <c r="AE18" s="360" cm="1">
        <f t="array" aca="1" ref="AE18" ca="1">INDIRECT(AD18)</f>
        <v>0</v>
      </c>
    </row>
    <row r="19" spans="2:31" x14ac:dyDescent="0.35">
      <c r="B19" t="str">
        <f>B18</f>
        <v>required_capital</v>
      </c>
      <c r="C19" t="str">
        <f>C18</f>
        <v>99_99</v>
      </c>
      <c r="D19" t="str">
        <f>D18</f>
        <v>asset_risk</v>
      </c>
      <c r="E19" t="s">
        <v>2786</v>
      </c>
      <c r="F19" t="s">
        <v>2787</v>
      </c>
      <c r="I19" t="str">
        <f t="shared" si="0"/>
        <v>required_capital:99_99:asset_risk:credit_risk:bonds::</v>
      </c>
      <c r="J19" s="9" t="s">
        <v>2840</v>
      </c>
      <c r="L19" s="9">
        <v>1</v>
      </c>
      <c r="M19" s="9">
        <f t="shared" ref="M19:M26" si="14">M18+L19</f>
        <v>37</v>
      </c>
      <c r="N19" s="9" t="str">
        <f t="shared" si="10"/>
        <v>H</v>
      </c>
      <c r="O19" s="9" t="str">
        <f t="shared" si="1"/>
        <v>Output!H37</v>
      </c>
      <c r="P19" s="360" cm="1">
        <f t="array" aca="1" ref="P19" ca="1">INDIRECT(O19)</f>
        <v>0</v>
      </c>
      <c r="Q19" t="s">
        <v>2842</v>
      </c>
      <c r="R19" t="str">
        <f t="shared" si="2"/>
        <v>required_capital:99_95:asset_risk:credit_risk:bonds::</v>
      </c>
      <c r="S19" s="9" t="str">
        <f t="shared" si="11"/>
        <v>J</v>
      </c>
      <c r="T19" s="9" t="str">
        <f t="shared" si="3"/>
        <v>Output!J37</v>
      </c>
      <c r="U19" s="360" cm="1">
        <f t="array" aca="1" ref="U19" ca="1">INDIRECT(T19)</f>
        <v>0</v>
      </c>
      <c r="V19" t="s">
        <v>2846</v>
      </c>
      <c r="W19" t="str">
        <f t="shared" si="4"/>
        <v>required_capital:99_80:asset_risk:credit_risk:bonds::</v>
      </c>
      <c r="X19" s="9" t="str">
        <f t="shared" si="12"/>
        <v>L</v>
      </c>
      <c r="Y19" s="9" t="str">
        <f t="shared" si="5"/>
        <v>Output!L37</v>
      </c>
      <c r="Z19" s="360" cm="1">
        <f t="array" aca="1" ref="Z19" ca="1">INDIRECT(Y19)</f>
        <v>0</v>
      </c>
      <c r="AA19" t="s">
        <v>2848</v>
      </c>
      <c r="AB19" t="str">
        <f t="shared" si="6"/>
        <v>required_capital:99_50:asset_risk:credit_risk:bonds::</v>
      </c>
      <c r="AC19" s="9" t="str">
        <f t="shared" si="13"/>
        <v>N</v>
      </c>
      <c r="AD19" s="9" t="str">
        <f t="shared" si="7"/>
        <v>Output!N37</v>
      </c>
      <c r="AE19" s="360" cm="1">
        <f t="array" aca="1" ref="AE19" ca="1">INDIRECT(AD19)</f>
        <v>0</v>
      </c>
    </row>
    <row r="20" spans="2:31" x14ac:dyDescent="0.35">
      <c r="B20" t="str">
        <f t="shared" ref="B20:D85" si="15">B19</f>
        <v>required_capital</v>
      </c>
      <c r="C20" t="str">
        <f t="shared" ref="C20:C85" si="16">C19</f>
        <v>99_99</v>
      </c>
      <c r="D20" t="str">
        <f t="shared" ref="D20:D39" si="17">D19</f>
        <v>asset_risk</v>
      </c>
      <c r="E20" t="s">
        <v>2786</v>
      </c>
      <c r="F20" t="s">
        <v>2788</v>
      </c>
      <c r="I20" t="str">
        <f t="shared" si="0"/>
        <v>required_capital:99_99:asset_risk:credit_risk:reins_recov::</v>
      </c>
      <c r="J20" s="9" t="s">
        <v>2840</v>
      </c>
      <c r="L20" s="9">
        <v>1</v>
      </c>
      <c r="M20" s="9">
        <f t="shared" si="14"/>
        <v>38</v>
      </c>
      <c r="N20" s="9" t="str">
        <f t="shared" si="10"/>
        <v>H</v>
      </c>
      <c r="O20" s="9" t="str">
        <f t="shared" si="1"/>
        <v>Output!H38</v>
      </c>
      <c r="P20" s="360" cm="1">
        <f t="array" aca="1" ref="P20" ca="1">INDIRECT(O20)</f>
        <v>0</v>
      </c>
      <c r="Q20" t="s">
        <v>2842</v>
      </c>
      <c r="R20" t="str">
        <f t="shared" si="2"/>
        <v>required_capital:99_95:asset_risk:credit_risk:reins_recov::</v>
      </c>
      <c r="S20" s="9" t="str">
        <f t="shared" si="11"/>
        <v>J</v>
      </c>
      <c r="T20" s="9" t="str">
        <f t="shared" si="3"/>
        <v>Output!J38</v>
      </c>
      <c r="U20" s="360" cm="1">
        <f t="array" aca="1" ref="U20" ca="1">INDIRECT(T20)</f>
        <v>0</v>
      </c>
      <c r="V20" t="s">
        <v>2846</v>
      </c>
      <c r="W20" t="str">
        <f t="shared" si="4"/>
        <v>required_capital:99_80:asset_risk:credit_risk:reins_recov::</v>
      </c>
      <c r="X20" s="9" t="str">
        <f t="shared" si="12"/>
        <v>L</v>
      </c>
      <c r="Y20" s="9" t="str">
        <f t="shared" si="5"/>
        <v>Output!L38</v>
      </c>
      <c r="Z20" s="360" cm="1">
        <f t="array" aca="1" ref="Z20" ca="1">INDIRECT(Y20)</f>
        <v>0</v>
      </c>
      <c r="AA20" t="s">
        <v>2848</v>
      </c>
      <c r="AB20" t="str">
        <f t="shared" si="6"/>
        <v>required_capital:99_50:asset_risk:credit_risk:reins_recov::</v>
      </c>
      <c r="AC20" s="9" t="str">
        <f t="shared" si="13"/>
        <v>N</v>
      </c>
      <c r="AD20" s="9" t="str">
        <f t="shared" si="7"/>
        <v>Output!N38</v>
      </c>
      <c r="AE20" s="360" cm="1">
        <f t="array" aca="1" ref="AE20" ca="1">INDIRECT(AD20)</f>
        <v>0</v>
      </c>
    </row>
    <row r="21" spans="2:31" x14ac:dyDescent="0.35">
      <c r="B21" t="str">
        <f t="shared" si="15"/>
        <v>required_capital</v>
      </c>
      <c r="C21" t="str">
        <f t="shared" si="16"/>
        <v>99_99</v>
      </c>
      <c r="D21" t="str">
        <f t="shared" si="17"/>
        <v>asset_risk</v>
      </c>
      <c r="E21" t="s">
        <v>2786</v>
      </c>
      <c r="F21" t="s">
        <v>2789</v>
      </c>
      <c r="I21" t="str">
        <f t="shared" si="0"/>
        <v>required_capital:99_99:asset_risk:credit_risk:mortgage::</v>
      </c>
      <c r="J21" s="9" t="s">
        <v>2840</v>
      </c>
      <c r="L21" s="9">
        <v>1</v>
      </c>
      <c r="M21" s="9">
        <f t="shared" si="14"/>
        <v>39</v>
      </c>
      <c r="N21" s="9" t="str">
        <f t="shared" si="10"/>
        <v>H</v>
      </c>
      <c r="O21" s="9" t="str">
        <f t="shared" si="1"/>
        <v>Output!H39</v>
      </c>
      <c r="P21" s="360" cm="1">
        <f t="array" aca="1" ref="P21" ca="1">INDIRECT(O21)</f>
        <v>0</v>
      </c>
      <c r="Q21" t="s">
        <v>2842</v>
      </c>
      <c r="R21" t="str">
        <f t="shared" si="2"/>
        <v>required_capital:99_95:asset_risk:credit_risk:mortgage::</v>
      </c>
      <c r="S21" s="9" t="str">
        <f t="shared" si="11"/>
        <v>J</v>
      </c>
      <c r="T21" s="9" t="str">
        <f t="shared" si="3"/>
        <v>Output!J39</v>
      </c>
      <c r="U21" s="360" cm="1">
        <f t="array" aca="1" ref="U21" ca="1">INDIRECT(T21)</f>
        <v>0</v>
      </c>
      <c r="V21" t="s">
        <v>2846</v>
      </c>
      <c r="W21" t="str">
        <f t="shared" si="4"/>
        <v>required_capital:99_80:asset_risk:credit_risk:mortgage::</v>
      </c>
      <c r="X21" s="9" t="str">
        <f t="shared" si="12"/>
        <v>L</v>
      </c>
      <c r="Y21" s="9" t="str">
        <f t="shared" si="5"/>
        <v>Output!L39</v>
      </c>
      <c r="Z21" s="360" cm="1">
        <f t="array" aca="1" ref="Z21" ca="1">INDIRECT(Y21)</f>
        <v>0</v>
      </c>
      <c r="AA21" t="s">
        <v>2848</v>
      </c>
      <c r="AB21" t="str">
        <f t="shared" si="6"/>
        <v>required_capital:99_50:asset_risk:credit_risk:mortgage::</v>
      </c>
      <c r="AC21" s="9" t="str">
        <f t="shared" si="13"/>
        <v>N</v>
      </c>
      <c r="AD21" s="9" t="str">
        <f t="shared" si="7"/>
        <v>Output!N39</v>
      </c>
      <c r="AE21" s="360" cm="1">
        <f t="array" aca="1" ref="AE21" ca="1">INDIRECT(AD21)</f>
        <v>0</v>
      </c>
    </row>
    <row r="22" spans="2:31" x14ac:dyDescent="0.35">
      <c r="B22" t="str">
        <f t="shared" si="15"/>
        <v>required_capital</v>
      </c>
      <c r="C22" t="str">
        <f t="shared" si="16"/>
        <v>99_99</v>
      </c>
      <c r="D22" t="str">
        <f t="shared" si="17"/>
        <v>asset_risk</v>
      </c>
      <c r="E22" t="s">
        <v>2786</v>
      </c>
      <c r="F22" t="s">
        <v>2790</v>
      </c>
      <c r="I22" t="str">
        <f t="shared" si="0"/>
        <v>required_capital:99_99:asset_risk:credit_risk:bank_deposits::</v>
      </c>
      <c r="J22" s="9" t="s">
        <v>2840</v>
      </c>
      <c r="L22" s="9">
        <v>1</v>
      </c>
      <c r="M22" s="9">
        <f t="shared" si="14"/>
        <v>40</v>
      </c>
      <c r="N22" s="9" t="str">
        <f t="shared" si="10"/>
        <v>H</v>
      </c>
      <c r="O22" s="9" t="str">
        <f t="shared" si="1"/>
        <v>Output!H40</v>
      </c>
      <c r="P22" s="360" cm="1">
        <f t="array" aca="1" ref="P22" ca="1">INDIRECT(O22)</f>
        <v>0</v>
      </c>
      <c r="Q22" t="s">
        <v>2842</v>
      </c>
      <c r="R22" t="str">
        <f t="shared" si="2"/>
        <v>required_capital:99_95:asset_risk:credit_risk:bank_deposits::</v>
      </c>
      <c r="S22" s="9" t="str">
        <f t="shared" si="11"/>
        <v>J</v>
      </c>
      <c r="T22" s="9" t="str">
        <f t="shared" si="3"/>
        <v>Output!J40</v>
      </c>
      <c r="U22" s="360" cm="1">
        <f t="array" aca="1" ref="U22" ca="1">INDIRECT(T22)</f>
        <v>0</v>
      </c>
      <c r="V22" t="s">
        <v>2846</v>
      </c>
      <c r="W22" t="str">
        <f t="shared" si="4"/>
        <v>required_capital:99_80:asset_risk:credit_risk:bank_deposits::</v>
      </c>
      <c r="X22" s="9" t="str">
        <f t="shared" si="12"/>
        <v>L</v>
      </c>
      <c r="Y22" s="9" t="str">
        <f t="shared" si="5"/>
        <v>Output!L40</v>
      </c>
      <c r="Z22" s="360" cm="1">
        <f t="array" aca="1" ref="Z22" ca="1">INDIRECT(Y22)</f>
        <v>0</v>
      </c>
      <c r="AA22" t="s">
        <v>2848</v>
      </c>
      <c r="AB22" t="str">
        <f t="shared" si="6"/>
        <v>required_capital:99_50:asset_risk:credit_risk:bank_deposits::</v>
      </c>
      <c r="AC22" s="9" t="str">
        <f t="shared" si="13"/>
        <v>N</v>
      </c>
      <c r="AD22" s="9" t="str">
        <f t="shared" si="7"/>
        <v>Output!N40</v>
      </c>
      <c r="AE22" s="360" cm="1">
        <f t="array" aca="1" ref="AE22" ca="1">INDIRECT(AD22)</f>
        <v>0</v>
      </c>
    </row>
    <row r="23" spans="2:31" x14ac:dyDescent="0.35">
      <c r="B23" t="str">
        <f t="shared" si="15"/>
        <v>required_capital</v>
      </c>
      <c r="C23" t="str">
        <f t="shared" si="16"/>
        <v>99_99</v>
      </c>
      <c r="D23" t="str">
        <f t="shared" si="17"/>
        <v>asset_risk</v>
      </c>
      <c r="E23" t="s">
        <v>2786</v>
      </c>
      <c r="F23" t="s">
        <v>2791</v>
      </c>
      <c r="I23" t="str">
        <f t="shared" si="0"/>
        <v>required_capital:99_99:asset_risk:credit_risk:otc_derivatives::</v>
      </c>
      <c r="J23" s="9" t="s">
        <v>2840</v>
      </c>
      <c r="L23" s="9">
        <v>1</v>
      </c>
      <c r="M23" s="9">
        <f t="shared" si="14"/>
        <v>41</v>
      </c>
      <c r="N23" s="9" t="str">
        <f t="shared" si="10"/>
        <v>H</v>
      </c>
      <c r="O23" s="9" t="str">
        <f t="shared" si="1"/>
        <v>Output!H41</v>
      </c>
      <c r="P23" s="360" cm="1">
        <f t="array" aca="1" ref="P23" ca="1">INDIRECT(O23)</f>
        <v>0</v>
      </c>
      <c r="Q23" t="s">
        <v>2842</v>
      </c>
      <c r="R23" t="str">
        <f t="shared" si="2"/>
        <v>required_capital:99_95:asset_risk:credit_risk:otc_derivatives::</v>
      </c>
      <c r="S23" s="9" t="str">
        <f t="shared" si="11"/>
        <v>J</v>
      </c>
      <c r="T23" s="9" t="str">
        <f t="shared" si="3"/>
        <v>Output!J41</v>
      </c>
      <c r="U23" s="360" cm="1">
        <f t="array" aca="1" ref="U23" ca="1">INDIRECT(T23)</f>
        <v>0</v>
      </c>
      <c r="V23" t="s">
        <v>2846</v>
      </c>
      <c r="W23" t="str">
        <f t="shared" si="4"/>
        <v>required_capital:99_80:asset_risk:credit_risk:otc_derivatives::</v>
      </c>
      <c r="X23" s="9" t="str">
        <f t="shared" si="12"/>
        <v>L</v>
      </c>
      <c r="Y23" s="9" t="str">
        <f t="shared" si="5"/>
        <v>Output!L41</v>
      </c>
      <c r="Z23" s="360" cm="1">
        <f t="array" aca="1" ref="Z23" ca="1">INDIRECT(Y23)</f>
        <v>0</v>
      </c>
      <c r="AA23" t="s">
        <v>2848</v>
      </c>
      <c r="AB23" t="str">
        <f t="shared" si="6"/>
        <v>required_capital:99_50:asset_risk:credit_risk:otc_derivatives::</v>
      </c>
      <c r="AC23" s="9" t="str">
        <f t="shared" si="13"/>
        <v>N</v>
      </c>
      <c r="AD23" s="9" t="str">
        <f t="shared" si="7"/>
        <v>Output!N41</v>
      </c>
      <c r="AE23" s="360" cm="1">
        <f t="array" aca="1" ref="AE23" ca="1">INDIRECT(AD23)</f>
        <v>0</v>
      </c>
    </row>
    <row r="24" spans="2:31" x14ac:dyDescent="0.35">
      <c r="B24" t="str">
        <f t="shared" si="15"/>
        <v>required_capital</v>
      </c>
      <c r="C24" t="str">
        <f t="shared" si="16"/>
        <v>99_99</v>
      </c>
      <c r="D24" t="str">
        <f t="shared" si="17"/>
        <v>asset_risk</v>
      </c>
      <c r="E24" t="s">
        <v>2786</v>
      </c>
      <c r="F24" t="s">
        <v>2792</v>
      </c>
      <c r="I24" t="str">
        <f t="shared" si="0"/>
        <v>required_capital:99_99:asset_risk:credit_risk:other_chargeables::</v>
      </c>
      <c r="J24" s="9" t="s">
        <v>2840</v>
      </c>
      <c r="L24" s="9">
        <v>1</v>
      </c>
      <c r="M24" s="9">
        <f t="shared" si="14"/>
        <v>42</v>
      </c>
      <c r="N24" s="9" t="str">
        <f t="shared" si="10"/>
        <v>H</v>
      </c>
      <c r="O24" s="9" t="str">
        <f t="shared" si="1"/>
        <v>Output!H42</v>
      </c>
      <c r="P24" s="360" cm="1">
        <f t="array" aca="1" ref="P24" ca="1">INDIRECT(O24)</f>
        <v>0</v>
      </c>
      <c r="Q24" t="s">
        <v>2842</v>
      </c>
      <c r="R24" t="str">
        <f t="shared" si="2"/>
        <v>required_capital:99_95:asset_risk:credit_risk:other_chargeables::</v>
      </c>
      <c r="S24" s="9" t="str">
        <f t="shared" si="11"/>
        <v>J</v>
      </c>
      <c r="T24" s="9" t="str">
        <f t="shared" si="3"/>
        <v>Output!J42</v>
      </c>
      <c r="U24" s="360" cm="1">
        <f t="array" aca="1" ref="U24" ca="1">INDIRECT(T24)</f>
        <v>0</v>
      </c>
      <c r="V24" t="s">
        <v>2846</v>
      </c>
      <c r="W24" t="str">
        <f t="shared" si="4"/>
        <v>required_capital:99_80:asset_risk:credit_risk:other_chargeables::</v>
      </c>
      <c r="X24" s="9" t="str">
        <f t="shared" si="12"/>
        <v>L</v>
      </c>
      <c r="Y24" s="9" t="str">
        <f t="shared" si="5"/>
        <v>Output!L42</v>
      </c>
      <c r="Z24" s="360" cm="1">
        <f t="array" aca="1" ref="Z24" ca="1">INDIRECT(Y24)</f>
        <v>0</v>
      </c>
      <c r="AA24" t="s">
        <v>2848</v>
      </c>
      <c r="AB24" t="str">
        <f t="shared" si="6"/>
        <v>required_capital:99_50:asset_risk:credit_risk:other_chargeables::</v>
      </c>
      <c r="AC24" s="9" t="str">
        <f t="shared" si="13"/>
        <v>N</v>
      </c>
      <c r="AD24" s="9" t="str">
        <f t="shared" si="7"/>
        <v>Output!N42</v>
      </c>
      <c r="AE24" s="360" cm="1">
        <f t="array" aca="1" ref="AE24" ca="1">INDIRECT(AD24)</f>
        <v>0</v>
      </c>
    </row>
    <row r="25" spans="2:31" x14ac:dyDescent="0.35">
      <c r="B25" t="str">
        <f t="shared" si="15"/>
        <v>required_capital</v>
      </c>
      <c r="C25" t="str">
        <f t="shared" si="15"/>
        <v>99_99</v>
      </c>
      <c r="D25" t="str">
        <f t="shared" si="15"/>
        <v>asset_risk</v>
      </c>
      <c r="E25" t="s">
        <v>2786</v>
      </c>
      <c r="F25" t="s">
        <v>2793</v>
      </c>
      <c r="I25" t="str">
        <f t="shared" si="0"/>
        <v>required_capital:99_99:asset_risk:credit_risk:deposit_with_cedents::</v>
      </c>
      <c r="J25" s="9" t="s">
        <v>2840</v>
      </c>
      <c r="L25" s="9">
        <v>1</v>
      </c>
      <c r="M25" s="9">
        <f t="shared" si="14"/>
        <v>43</v>
      </c>
      <c r="N25" s="9" t="str">
        <f t="shared" si="10"/>
        <v>H</v>
      </c>
      <c r="O25" s="9" t="str">
        <f t="shared" si="1"/>
        <v>Output!H43</v>
      </c>
      <c r="P25" s="360" cm="1">
        <f t="array" aca="1" ref="P25" ca="1">INDIRECT(O25)</f>
        <v>0</v>
      </c>
      <c r="Q25" t="s">
        <v>2842</v>
      </c>
      <c r="R25" t="str">
        <f t="shared" si="2"/>
        <v>required_capital:99_95:asset_risk:credit_risk:deposit_with_cedents::</v>
      </c>
      <c r="S25" s="9" t="str">
        <f t="shared" si="11"/>
        <v>J</v>
      </c>
      <c r="T25" s="9" t="str">
        <f t="shared" si="3"/>
        <v>Output!J43</v>
      </c>
      <c r="U25" s="360" cm="1">
        <f t="array" aca="1" ref="U25" ca="1">INDIRECT(T25)</f>
        <v>0</v>
      </c>
      <c r="V25" t="s">
        <v>2846</v>
      </c>
      <c r="W25" t="str">
        <f t="shared" si="4"/>
        <v>required_capital:99_80:asset_risk:credit_risk:deposit_with_cedents::</v>
      </c>
      <c r="X25" s="9" t="str">
        <f t="shared" si="12"/>
        <v>L</v>
      </c>
      <c r="Y25" s="9" t="str">
        <f t="shared" si="5"/>
        <v>Output!L43</v>
      </c>
      <c r="Z25" s="360" cm="1">
        <f t="array" aca="1" ref="Z25" ca="1">INDIRECT(Y25)</f>
        <v>0</v>
      </c>
      <c r="AA25" t="s">
        <v>2848</v>
      </c>
      <c r="AB25" t="str">
        <f t="shared" si="6"/>
        <v>required_capital:99_50:asset_risk:credit_risk:deposit_with_cedents::</v>
      </c>
      <c r="AC25" s="9" t="str">
        <f t="shared" si="13"/>
        <v>N</v>
      </c>
      <c r="AD25" s="9" t="str">
        <f t="shared" si="7"/>
        <v>Output!N43</v>
      </c>
      <c r="AE25" s="360" cm="1">
        <f t="array" aca="1" ref="AE25" ca="1">INDIRECT(AD25)</f>
        <v>0</v>
      </c>
    </row>
    <row r="26" spans="2:31" x14ac:dyDescent="0.35">
      <c r="B26" t="str">
        <f t="shared" si="15"/>
        <v>required_capital</v>
      </c>
      <c r="C26" t="str">
        <f t="shared" si="15"/>
        <v>99_99</v>
      </c>
      <c r="D26" t="str">
        <f t="shared" si="15"/>
        <v>asset_risk</v>
      </c>
      <c r="E26" t="s">
        <v>2794</v>
      </c>
      <c r="F26" t="s">
        <v>2783</v>
      </c>
      <c r="I26" t="str">
        <f t="shared" si="0"/>
        <v>required_capital:99_99:asset_risk:market_risk:total::</v>
      </c>
      <c r="J26" s="9" t="s">
        <v>2840</v>
      </c>
      <c r="L26" s="9">
        <v>1</v>
      </c>
      <c r="M26" s="9">
        <f t="shared" si="14"/>
        <v>44</v>
      </c>
      <c r="N26" s="9" t="str">
        <f t="shared" si="10"/>
        <v>H</v>
      </c>
      <c r="O26" s="9" t="str">
        <f t="shared" si="1"/>
        <v>Output!H44</v>
      </c>
      <c r="P26" s="360" cm="1">
        <f t="array" aca="1" ref="P26" ca="1">INDIRECT(O26)</f>
        <v>0</v>
      </c>
      <c r="Q26" t="s">
        <v>2842</v>
      </c>
      <c r="R26" t="str">
        <f t="shared" si="2"/>
        <v>required_capital:99_95:asset_risk:market_risk:total::</v>
      </c>
      <c r="S26" s="9" t="str">
        <f>S25</f>
        <v>J</v>
      </c>
      <c r="T26" s="9" t="str">
        <f t="shared" si="3"/>
        <v>Output!J44</v>
      </c>
      <c r="U26" s="360" cm="1">
        <f t="array" aca="1" ref="U26" ca="1">INDIRECT(T26)</f>
        <v>0</v>
      </c>
      <c r="V26" t="s">
        <v>2846</v>
      </c>
      <c r="W26" t="str">
        <f t="shared" si="4"/>
        <v>required_capital:99_80:asset_risk:market_risk:total::</v>
      </c>
      <c r="X26" s="9" t="str">
        <f t="shared" si="12"/>
        <v>L</v>
      </c>
      <c r="Y26" s="9" t="str">
        <f t="shared" ref="Y26" si="18">CONCATENATE($J26,"!",X26,$M26)</f>
        <v>Output!L44</v>
      </c>
      <c r="Z26" s="360" cm="1">
        <f t="array" aca="1" ref="Z26" ca="1">INDIRECT(Y26)</f>
        <v>0</v>
      </c>
      <c r="AA26" t="s">
        <v>2848</v>
      </c>
      <c r="AB26" t="str">
        <f t="shared" si="6"/>
        <v>required_capital:99_50:asset_risk:market_risk:total::</v>
      </c>
      <c r="AC26" s="9" t="str">
        <f t="shared" si="13"/>
        <v>N</v>
      </c>
      <c r="AD26" s="9" t="str">
        <f t="shared" ref="AD26" si="19">CONCATENATE($J26,"!",AC26,$M26)</f>
        <v>Output!N44</v>
      </c>
      <c r="AE26" s="360" cm="1">
        <f t="array" aca="1" ref="AE26" ca="1">INDIRECT(AD26)</f>
        <v>0</v>
      </c>
    </row>
    <row r="27" spans="2:31" x14ac:dyDescent="0.35">
      <c r="B27" t="str">
        <f t="shared" si="15"/>
        <v>required_capital</v>
      </c>
      <c r="C27" t="str">
        <f t="shared" si="16"/>
        <v>99_99</v>
      </c>
      <c r="D27" t="str">
        <f t="shared" si="17"/>
        <v>asset_risk</v>
      </c>
      <c r="E27" t="s">
        <v>2794</v>
      </c>
      <c r="F27" t="s">
        <v>2795</v>
      </c>
      <c r="I27" t="str">
        <f t="shared" si="0"/>
        <v>required_capital:99_99:asset_risk:market_risk:equity::</v>
      </c>
      <c r="J27" s="9" t="s">
        <v>2840</v>
      </c>
      <c r="L27" s="9">
        <v>1</v>
      </c>
      <c r="M27" s="9">
        <f t="shared" ref="M27:M31" si="20">M26+L27</f>
        <v>45</v>
      </c>
      <c r="N27" s="9" t="str">
        <f t="shared" si="10"/>
        <v>H</v>
      </c>
      <c r="O27" s="9" t="str">
        <f t="shared" si="1"/>
        <v>Output!H45</v>
      </c>
      <c r="P27" s="360" cm="1">
        <f t="array" aca="1" ref="P27" ca="1">INDIRECT(O27)</f>
        <v>0</v>
      </c>
      <c r="Q27" t="s">
        <v>2842</v>
      </c>
      <c r="R27" t="str">
        <f t="shared" si="2"/>
        <v>required_capital:99_95:asset_risk:market_risk:equity::</v>
      </c>
      <c r="S27" s="9" t="str">
        <f t="shared" si="11"/>
        <v>J</v>
      </c>
      <c r="T27" s="9" t="str">
        <f t="shared" si="3"/>
        <v>Output!J45</v>
      </c>
      <c r="U27" s="360" cm="1">
        <f t="array" aca="1" ref="U27" ca="1">INDIRECT(T27)</f>
        <v>0</v>
      </c>
      <c r="V27" t="s">
        <v>2846</v>
      </c>
      <c r="W27" t="str">
        <f t="shared" si="4"/>
        <v>required_capital:99_80:asset_risk:market_risk:equity::</v>
      </c>
      <c r="X27" s="9" t="str">
        <f t="shared" si="12"/>
        <v>L</v>
      </c>
      <c r="Y27" s="9" t="str">
        <f t="shared" si="5"/>
        <v>Output!L45</v>
      </c>
      <c r="Z27" s="360" cm="1">
        <f t="array" aca="1" ref="Z27" ca="1">INDIRECT(Y27)</f>
        <v>0</v>
      </c>
      <c r="AA27" t="s">
        <v>2848</v>
      </c>
      <c r="AB27" t="str">
        <f t="shared" si="6"/>
        <v>required_capital:99_50:asset_risk:market_risk:equity::</v>
      </c>
      <c r="AC27" s="9" t="str">
        <f t="shared" si="13"/>
        <v>N</v>
      </c>
      <c r="AD27" s="9" t="str">
        <f t="shared" si="7"/>
        <v>Output!N45</v>
      </c>
      <c r="AE27" s="360" cm="1">
        <f t="array" aca="1" ref="AE27" ca="1">INDIRECT(AD27)</f>
        <v>0</v>
      </c>
    </row>
    <row r="28" spans="2:31" x14ac:dyDescent="0.35">
      <c r="B28" t="str">
        <f t="shared" si="15"/>
        <v>required_capital</v>
      </c>
      <c r="C28" t="str">
        <f t="shared" si="16"/>
        <v>99_99</v>
      </c>
      <c r="D28" t="str">
        <f t="shared" si="17"/>
        <v>asset_risk</v>
      </c>
      <c r="E28" t="s">
        <v>2794</v>
      </c>
      <c r="F28" t="s">
        <v>2796</v>
      </c>
      <c r="I28" t="str">
        <f t="shared" si="0"/>
        <v>required_capital:99_99:asset_risk:market_risk:real_estate::</v>
      </c>
      <c r="J28" s="9" t="s">
        <v>2840</v>
      </c>
      <c r="L28" s="9">
        <v>1</v>
      </c>
      <c r="M28" s="9">
        <f t="shared" si="20"/>
        <v>46</v>
      </c>
      <c r="N28" s="9" t="str">
        <f t="shared" si="10"/>
        <v>H</v>
      </c>
      <c r="O28" s="9" t="str">
        <f t="shared" si="1"/>
        <v>Output!H46</v>
      </c>
      <c r="P28" s="360" cm="1">
        <f t="array" aca="1" ref="P28" ca="1">INDIRECT(O28)</f>
        <v>0</v>
      </c>
      <c r="Q28" t="s">
        <v>2842</v>
      </c>
      <c r="R28" t="str">
        <f t="shared" si="2"/>
        <v>required_capital:99_95:asset_risk:market_risk:real_estate::</v>
      </c>
      <c r="S28" s="9" t="str">
        <f t="shared" si="11"/>
        <v>J</v>
      </c>
      <c r="T28" s="9" t="str">
        <f t="shared" si="3"/>
        <v>Output!J46</v>
      </c>
      <c r="U28" s="360" cm="1">
        <f t="array" aca="1" ref="U28" ca="1">INDIRECT(T28)</f>
        <v>0</v>
      </c>
      <c r="V28" t="s">
        <v>2846</v>
      </c>
      <c r="W28" t="str">
        <f t="shared" si="4"/>
        <v>required_capital:99_80:asset_risk:market_risk:real_estate::</v>
      </c>
      <c r="X28" s="9" t="str">
        <f t="shared" si="12"/>
        <v>L</v>
      </c>
      <c r="Y28" s="9" t="str">
        <f t="shared" si="5"/>
        <v>Output!L46</v>
      </c>
      <c r="Z28" s="360" cm="1">
        <f t="array" aca="1" ref="Z28" ca="1">INDIRECT(Y28)</f>
        <v>0</v>
      </c>
      <c r="AA28" t="s">
        <v>2848</v>
      </c>
      <c r="AB28" t="str">
        <f t="shared" si="6"/>
        <v>required_capital:99_50:asset_risk:market_risk:real_estate::</v>
      </c>
      <c r="AC28" s="9" t="str">
        <f t="shared" si="13"/>
        <v>N</v>
      </c>
      <c r="AD28" s="9" t="str">
        <f t="shared" si="7"/>
        <v>Output!N46</v>
      </c>
      <c r="AE28" s="360" cm="1">
        <f t="array" aca="1" ref="AE28" ca="1">INDIRECT(AD28)</f>
        <v>0</v>
      </c>
    </row>
    <row r="29" spans="2:31" x14ac:dyDescent="0.35">
      <c r="B29" t="str">
        <f t="shared" si="15"/>
        <v>required_capital</v>
      </c>
      <c r="C29" t="str">
        <f t="shared" si="16"/>
        <v>99_99</v>
      </c>
      <c r="D29" t="str">
        <f t="shared" si="17"/>
        <v>asset_risk</v>
      </c>
      <c r="E29" t="s">
        <v>2794</v>
      </c>
      <c r="F29" t="s">
        <v>2797</v>
      </c>
      <c r="I29" t="str">
        <f t="shared" si="0"/>
        <v>required_capital:99_99:asset_risk:market_risk:interest_rate::</v>
      </c>
      <c r="J29" s="9" t="s">
        <v>2840</v>
      </c>
      <c r="L29" s="9">
        <v>1</v>
      </c>
      <c r="M29" s="9">
        <f t="shared" si="20"/>
        <v>47</v>
      </c>
      <c r="N29" s="9" t="str">
        <f t="shared" si="10"/>
        <v>H</v>
      </c>
      <c r="O29" s="9" t="str">
        <f t="shared" si="1"/>
        <v>Output!H47</v>
      </c>
      <c r="P29" s="360" cm="1">
        <f t="array" aca="1" ref="P29" ca="1">INDIRECT(O29)</f>
        <v>0</v>
      </c>
      <c r="Q29" t="s">
        <v>2842</v>
      </c>
      <c r="R29" t="str">
        <f t="shared" si="2"/>
        <v>required_capital:99_95:asset_risk:market_risk:interest_rate::</v>
      </c>
      <c r="S29" s="9" t="str">
        <f t="shared" si="11"/>
        <v>J</v>
      </c>
      <c r="T29" s="9" t="str">
        <f t="shared" si="3"/>
        <v>Output!J47</v>
      </c>
      <c r="U29" s="360" cm="1">
        <f t="array" aca="1" ref="U29" ca="1">INDIRECT(T29)</f>
        <v>0</v>
      </c>
      <c r="V29" t="s">
        <v>2846</v>
      </c>
      <c r="W29" t="str">
        <f t="shared" si="4"/>
        <v>required_capital:99_80:asset_risk:market_risk:interest_rate::</v>
      </c>
      <c r="X29" s="9" t="str">
        <f t="shared" si="12"/>
        <v>L</v>
      </c>
      <c r="Y29" s="9" t="str">
        <f t="shared" si="5"/>
        <v>Output!L47</v>
      </c>
      <c r="Z29" s="360" cm="1">
        <f t="array" aca="1" ref="Z29" ca="1">INDIRECT(Y29)</f>
        <v>0</v>
      </c>
      <c r="AA29" t="s">
        <v>2848</v>
      </c>
      <c r="AB29" t="str">
        <f t="shared" si="6"/>
        <v>required_capital:99_50:asset_risk:market_risk:interest_rate::</v>
      </c>
      <c r="AC29" s="9" t="str">
        <f t="shared" si="13"/>
        <v>N</v>
      </c>
      <c r="AD29" s="9" t="str">
        <f t="shared" si="7"/>
        <v>Output!N47</v>
      </c>
      <c r="AE29" s="360" cm="1">
        <f t="array" aca="1" ref="AE29" ca="1">INDIRECT(AD29)</f>
        <v>0</v>
      </c>
    </row>
    <row r="30" spans="2:31" x14ac:dyDescent="0.35">
      <c r="B30" t="str">
        <f t="shared" si="15"/>
        <v>required_capital</v>
      </c>
      <c r="C30" t="str">
        <f t="shared" si="16"/>
        <v>99_99</v>
      </c>
      <c r="D30" t="str">
        <f t="shared" si="17"/>
        <v>asset_risk</v>
      </c>
      <c r="E30" t="s">
        <v>2798</v>
      </c>
      <c r="I30" t="str">
        <f t="shared" si="0"/>
        <v>required_capital:99_99:asset_risk:other_assets_risk:::</v>
      </c>
      <c r="J30" s="9" t="s">
        <v>2840</v>
      </c>
      <c r="L30" s="9">
        <v>2</v>
      </c>
      <c r="M30" s="9">
        <f t="shared" si="20"/>
        <v>49</v>
      </c>
      <c r="N30" s="9" t="str">
        <f t="shared" si="10"/>
        <v>H</v>
      </c>
      <c r="O30" s="9" t="str">
        <f t="shared" si="1"/>
        <v>Output!H49</v>
      </c>
      <c r="P30" s="360" cm="1">
        <f t="array" aca="1" ref="P30" ca="1">INDIRECT(O30)</f>
        <v>0</v>
      </c>
      <c r="Q30" t="s">
        <v>2842</v>
      </c>
      <c r="R30" t="str">
        <f t="shared" si="2"/>
        <v>required_capital:99_95:asset_risk:other_assets_risk:::</v>
      </c>
      <c r="S30" s="9" t="str">
        <f t="shared" si="11"/>
        <v>J</v>
      </c>
      <c r="T30" s="9" t="str">
        <f t="shared" si="3"/>
        <v>Output!J49</v>
      </c>
      <c r="U30" s="360" cm="1">
        <f t="array" aca="1" ref="U30" ca="1">INDIRECT(T30)</f>
        <v>0</v>
      </c>
      <c r="V30" t="s">
        <v>2846</v>
      </c>
      <c r="W30" t="str">
        <f t="shared" si="4"/>
        <v>required_capital:99_80:asset_risk:other_assets_risk:::</v>
      </c>
      <c r="X30" s="9" t="str">
        <f t="shared" si="12"/>
        <v>L</v>
      </c>
      <c r="Y30" s="9" t="str">
        <f t="shared" si="5"/>
        <v>Output!L49</v>
      </c>
      <c r="Z30" s="360" cm="1">
        <f t="array" aca="1" ref="Z30" ca="1">INDIRECT(Y30)</f>
        <v>0</v>
      </c>
      <c r="AA30" t="s">
        <v>2848</v>
      </c>
      <c r="AB30" t="str">
        <f t="shared" si="6"/>
        <v>required_capital:99_50:asset_risk:other_assets_risk:::</v>
      </c>
      <c r="AC30" s="9" t="str">
        <f t="shared" si="13"/>
        <v>N</v>
      </c>
      <c r="AD30" s="9" t="str">
        <f t="shared" si="7"/>
        <v>Output!N49</v>
      </c>
      <c r="AE30" s="360" cm="1">
        <f t="array" aca="1" ref="AE30" ca="1">INDIRECT(AD30)</f>
        <v>0</v>
      </c>
    </row>
    <row r="31" spans="2:31" x14ac:dyDescent="0.35">
      <c r="B31" t="str">
        <f t="shared" si="15"/>
        <v>required_capital</v>
      </c>
      <c r="C31" t="str">
        <f t="shared" si="16"/>
        <v>99_99</v>
      </c>
      <c r="D31" t="str">
        <f t="shared" si="17"/>
        <v>asset_risk</v>
      </c>
      <c r="E31" t="s">
        <v>2782</v>
      </c>
      <c r="F31" t="s">
        <v>2783</v>
      </c>
      <c r="I31" t="str">
        <f t="shared" si="0"/>
        <v>required_capital:99_99:asset_risk:adjustments:total::</v>
      </c>
      <c r="J31" s="9" t="s">
        <v>2840</v>
      </c>
      <c r="L31" s="9">
        <v>2</v>
      </c>
      <c r="M31" s="9">
        <f t="shared" si="20"/>
        <v>51</v>
      </c>
      <c r="N31" s="9" t="str">
        <f t="shared" si="10"/>
        <v>H</v>
      </c>
      <c r="O31" s="9" t="str">
        <f t="shared" si="1"/>
        <v>Output!H51</v>
      </c>
      <c r="P31" s="360" cm="1">
        <f t="array" aca="1" ref="P31" ca="1">INDIRECT(O31)</f>
        <v>0</v>
      </c>
      <c r="Q31" t="s">
        <v>2842</v>
      </c>
      <c r="R31" t="str">
        <f t="shared" si="2"/>
        <v>required_capital:99_95:asset_risk:adjustments:total::</v>
      </c>
      <c r="S31" s="9" t="str">
        <f t="shared" si="11"/>
        <v>J</v>
      </c>
      <c r="T31" s="9" t="str">
        <f t="shared" si="3"/>
        <v>Output!J51</v>
      </c>
      <c r="U31" s="360" cm="1">
        <f t="array" aca="1" ref="U31" ca="1">INDIRECT(T31)</f>
        <v>0</v>
      </c>
      <c r="V31" t="s">
        <v>2846</v>
      </c>
      <c r="W31" t="str">
        <f t="shared" si="4"/>
        <v>required_capital:99_80:asset_risk:adjustments:total::</v>
      </c>
      <c r="X31" s="9" t="str">
        <f t="shared" si="12"/>
        <v>L</v>
      </c>
      <c r="Y31" s="9" t="str">
        <f t="shared" si="5"/>
        <v>Output!L51</v>
      </c>
      <c r="Z31" s="360" cm="1">
        <f t="array" aca="1" ref="Z31" ca="1">INDIRECT(Y31)</f>
        <v>0</v>
      </c>
      <c r="AA31" t="s">
        <v>2848</v>
      </c>
      <c r="AB31" t="str">
        <f t="shared" si="6"/>
        <v>required_capital:99_50:asset_risk:adjustments:total::</v>
      </c>
      <c r="AC31" s="9" t="str">
        <f t="shared" si="13"/>
        <v>N</v>
      </c>
      <c r="AD31" s="9" t="str">
        <f t="shared" si="7"/>
        <v>Output!N51</v>
      </c>
      <c r="AE31" s="360" cm="1">
        <f t="array" aca="1" ref="AE31" ca="1">INDIRECT(AD31)</f>
        <v>0</v>
      </c>
    </row>
    <row r="32" spans="2:31" x14ac:dyDescent="0.35">
      <c r="B32" t="str">
        <f t="shared" si="15"/>
        <v>required_capital</v>
      </c>
      <c r="C32" t="str">
        <f t="shared" si="16"/>
        <v>99_99</v>
      </c>
      <c r="D32" t="str">
        <f t="shared" si="17"/>
        <v>asset_risk</v>
      </c>
      <c r="E32" t="s">
        <v>2782</v>
      </c>
      <c r="F32" t="s">
        <v>2822</v>
      </c>
      <c r="I32" t="str">
        <f t="shared" si="0"/>
        <v>required_capital:99_99:asset_risk:adjustments:value::</v>
      </c>
      <c r="J32" s="9" t="s">
        <v>2840</v>
      </c>
      <c r="L32" s="9">
        <v>1</v>
      </c>
      <c r="M32" s="9">
        <f>M31+L32</f>
        <v>52</v>
      </c>
      <c r="N32" s="9" t="str">
        <f t="shared" si="10"/>
        <v>H</v>
      </c>
      <c r="O32" s="9" t="str">
        <f t="shared" si="1"/>
        <v>Output!H52</v>
      </c>
      <c r="P32" s="360" cm="1">
        <f t="array" aca="1" ref="P32" ca="1">INDIRECT(O32)</f>
        <v>0</v>
      </c>
      <c r="Q32" t="s">
        <v>2842</v>
      </c>
      <c r="R32" t="str">
        <f t="shared" si="2"/>
        <v>required_capital:99_95:asset_risk:adjustments:value::</v>
      </c>
      <c r="S32" s="9" t="str">
        <f t="shared" si="11"/>
        <v>J</v>
      </c>
      <c r="T32" s="9" t="str">
        <f t="shared" si="3"/>
        <v>Output!J52</v>
      </c>
      <c r="U32" s="360" cm="1">
        <f t="array" aca="1" ref="U32" ca="1">INDIRECT(T32)</f>
        <v>0</v>
      </c>
      <c r="V32" t="s">
        <v>2846</v>
      </c>
      <c r="W32" t="str">
        <f t="shared" si="4"/>
        <v>required_capital:99_80:asset_risk:adjustments:value::</v>
      </c>
      <c r="X32" s="9" t="str">
        <f t="shared" si="12"/>
        <v>L</v>
      </c>
      <c r="Y32" s="9" t="str">
        <f t="shared" si="5"/>
        <v>Output!L52</v>
      </c>
      <c r="Z32" s="360" cm="1">
        <f t="array" aca="1" ref="Z32" ca="1">INDIRECT(Y32)</f>
        <v>0</v>
      </c>
      <c r="AA32" t="s">
        <v>2848</v>
      </c>
      <c r="AB32" t="str">
        <f t="shared" si="6"/>
        <v>required_capital:99_50:asset_risk:adjustments:value::</v>
      </c>
      <c r="AC32" s="9" t="str">
        <f t="shared" si="13"/>
        <v>N</v>
      </c>
      <c r="AD32" s="9" t="str">
        <f t="shared" si="7"/>
        <v>Output!N52</v>
      </c>
      <c r="AE32" s="360" cm="1">
        <f t="array" aca="1" ref="AE32" ca="1">INDIRECT(AD32)</f>
        <v>0</v>
      </c>
    </row>
    <row r="33" spans="2:31" x14ac:dyDescent="0.35">
      <c r="B33" t="str">
        <f t="shared" si="15"/>
        <v>required_capital</v>
      </c>
      <c r="C33" t="str">
        <f t="shared" si="16"/>
        <v>99_99</v>
      </c>
      <c r="D33" t="str">
        <f t="shared" si="17"/>
        <v>asset_risk</v>
      </c>
      <c r="E33" t="s">
        <v>2782</v>
      </c>
      <c r="F33" t="s">
        <v>2786</v>
      </c>
      <c r="I33" t="str">
        <f t="shared" si="0"/>
        <v>required_capital:99_99:asset_risk:adjustments:credit_risk::</v>
      </c>
      <c r="J33" s="9" t="s">
        <v>2840</v>
      </c>
      <c r="L33" s="9">
        <v>1</v>
      </c>
      <c r="M33" s="9">
        <f t="shared" ref="M33:M39" si="21">M32+L33</f>
        <v>53</v>
      </c>
      <c r="N33" s="9" t="str">
        <f t="shared" si="10"/>
        <v>H</v>
      </c>
      <c r="O33" s="9" t="str">
        <f t="shared" si="1"/>
        <v>Output!H53</v>
      </c>
      <c r="P33" s="360" cm="1">
        <f t="array" aca="1" ref="P33" ca="1">INDIRECT(O33)</f>
        <v>0</v>
      </c>
      <c r="Q33" t="s">
        <v>2842</v>
      </c>
      <c r="R33" t="str">
        <f t="shared" si="2"/>
        <v>required_capital:99_95:asset_risk:adjustments:credit_risk::</v>
      </c>
      <c r="S33" s="9" t="str">
        <f t="shared" si="11"/>
        <v>J</v>
      </c>
      <c r="T33" s="9" t="str">
        <f t="shared" si="3"/>
        <v>Output!J53</v>
      </c>
      <c r="U33" s="360" cm="1">
        <f t="array" aca="1" ref="U33" ca="1">INDIRECT(T33)</f>
        <v>0</v>
      </c>
      <c r="V33" t="s">
        <v>2846</v>
      </c>
      <c r="W33" t="str">
        <f t="shared" si="4"/>
        <v>required_capital:99_80:asset_risk:adjustments:credit_risk::</v>
      </c>
      <c r="X33" s="9" t="str">
        <f t="shared" si="12"/>
        <v>L</v>
      </c>
      <c r="Y33" s="9" t="str">
        <f t="shared" si="5"/>
        <v>Output!L53</v>
      </c>
      <c r="Z33" s="360" cm="1">
        <f t="array" aca="1" ref="Z33" ca="1">INDIRECT(Y33)</f>
        <v>0</v>
      </c>
      <c r="AA33" t="s">
        <v>2848</v>
      </c>
      <c r="AB33" t="str">
        <f t="shared" si="6"/>
        <v>required_capital:99_50:asset_risk:adjustments:credit_risk::</v>
      </c>
      <c r="AC33" s="9" t="str">
        <f t="shared" si="13"/>
        <v>N</v>
      </c>
      <c r="AD33" s="9" t="str">
        <f t="shared" si="7"/>
        <v>Output!N53</v>
      </c>
      <c r="AE33" s="360" cm="1">
        <f t="array" aca="1" ref="AE33" ca="1">INDIRECT(AD33)</f>
        <v>0</v>
      </c>
    </row>
    <row r="34" spans="2:31" x14ac:dyDescent="0.35">
      <c r="B34" t="str">
        <f t="shared" si="15"/>
        <v>required_capital</v>
      </c>
      <c r="C34" t="str">
        <f t="shared" si="16"/>
        <v>99_99</v>
      </c>
      <c r="D34" t="str">
        <f t="shared" si="17"/>
        <v>asset_risk</v>
      </c>
      <c r="E34" t="s">
        <v>2782</v>
      </c>
      <c r="F34" t="s">
        <v>2794</v>
      </c>
      <c r="I34" t="str">
        <f t="shared" si="0"/>
        <v>required_capital:99_99:asset_risk:adjustments:market_risk::</v>
      </c>
      <c r="J34" s="9" t="s">
        <v>2840</v>
      </c>
      <c r="L34" s="9">
        <v>1</v>
      </c>
      <c r="M34" s="9">
        <f t="shared" si="21"/>
        <v>54</v>
      </c>
      <c r="N34" s="9" t="str">
        <f t="shared" si="10"/>
        <v>H</v>
      </c>
      <c r="O34" s="9" t="str">
        <f t="shared" si="1"/>
        <v>Output!H54</v>
      </c>
      <c r="P34" s="360" cm="1">
        <f t="array" aca="1" ref="P34" ca="1">INDIRECT(O34)</f>
        <v>0</v>
      </c>
      <c r="Q34" t="s">
        <v>2842</v>
      </c>
      <c r="R34" t="str">
        <f t="shared" si="2"/>
        <v>required_capital:99_95:asset_risk:adjustments:market_risk::</v>
      </c>
      <c r="S34" s="9" t="str">
        <f t="shared" si="11"/>
        <v>J</v>
      </c>
      <c r="T34" s="9" t="str">
        <f t="shared" si="3"/>
        <v>Output!J54</v>
      </c>
      <c r="U34" s="360" cm="1">
        <f t="array" aca="1" ref="U34" ca="1">INDIRECT(T34)</f>
        <v>0</v>
      </c>
      <c r="V34" t="s">
        <v>2846</v>
      </c>
      <c r="W34" t="str">
        <f t="shared" si="4"/>
        <v>required_capital:99_80:asset_risk:adjustments:market_risk::</v>
      </c>
      <c r="X34" s="9" t="str">
        <f t="shared" si="12"/>
        <v>L</v>
      </c>
      <c r="Y34" s="9" t="str">
        <f t="shared" si="5"/>
        <v>Output!L54</v>
      </c>
      <c r="Z34" s="360" cm="1">
        <f t="array" aca="1" ref="Z34" ca="1">INDIRECT(Y34)</f>
        <v>0</v>
      </c>
      <c r="AA34" t="s">
        <v>2848</v>
      </c>
      <c r="AB34" t="str">
        <f t="shared" si="6"/>
        <v>required_capital:99_50:asset_risk:adjustments:market_risk::</v>
      </c>
      <c r="AC34" s="9" t="str">
        <f t="shared" si="13"/>
        <v>N</v>
      </c>
      <c r="AD34" s="9" t="str">
        <f t="shared" si="7"/>
        <v>Output!N54</v>
      </c>
      <c r="AE34" s="360" cm="1">
        <f t="array" aca="1" ref="AE34" ca="1">INDIRECT(AD34)</f>
        <v>0</v>
      </c>
    </row>
    <row r="35" spans="2:31" x14ac:dyDescent="0.35">
      <c r="B35" t="str">
        <f t="shared" si="15"/>
        <v>required_capital</v>
      </c>
      <c r="C35" t="str">
        <f t="shared" si="16"/>
        <v>99_99</v>
      </c>
      <c r="D35" t="str">
        <f t="shared" si="17"/>
        <v>asset_risk</v>
      </c>
      <c r="E35" t="s">
        <v>2782</v>
      </c>
      <c r="F35" t="s">
        <v>2795</v>
      </c>
      <c r="I35" t="str">
        <f t="shared" si="0"/>
        <v>required_capital:99_99:asset_risk:adjustments:equity::</v>
      </c>
      <c r="J35" s="9" t="s">
        <v>2840</v>
      </c>
      <c r="L35" s="9">
        <v>1</v>
      </c>
      <c r="M35" s="9">
        <f t="shared" si="21"/>
        <v>55</v>
      </c>
      <c r="N35" s="9" t="str">
        <f t="shared" si="10"/>
        <v>H</v>
      </c>
      <c r="O35" s="9" t="str">
        <f t="shared" si="1"/>
        <v>Output!H55</v>
      </c>
      <c r="P35" s="360" cm="1">
        <f t="array" aca="1" ref="P35" ca="1">INDIRECT(O35)</f>
        <v>0</v>
      </c>
      <c r="Q35" t="s">
        <v>2842</v>
      </c>
      <c r="R35" t="str">
        <f t="shared" si="2"/>
        <v>required_capital:99_95:asset_risk:adjustments:equity::</v>
      </c>
      <c r="S35" s="9" t="str">
        <f t="shared" si="11"/>
        <v>J</v>
      </c>
      <c r="T35" s="9" t="str">
        <f t="shared" si="3"/>
        <v>Output!J55</v>
      </c>
      <c r="U35" s="360" cm="1">
        <f t="array" aca="1" ref="U35" ca="1">INDIRECT(T35)</f>
        <v>0</v>
      </c>
      <c r="V35" t="s">
        <v>2846</v>
      </c>
      <c r="W35" t="str">
        <f t="shared" si="4"/>
        <v>required_capital:99_80:asset_risk:adjustments:equity::</v>
      </c>
      <c r="X35" s="9" t="str">
        <f t="shared" si="12"/>
        <v>L</v>
      </c>
      <c r="Y35" s="9" t="str">
        <f t="shared" si="5"/>
        <v>Output!L55</v>
      </c>
      <c r="Z35" s="360" cm="1">
        <f t="array" aca="1" ref="Z35" ca="1">INDIRECT(Y35)</f>
        <v>0</v>
      </c>
      <c r="AA35" t="s">
        <v>2848</v>
      </c>
      <c r="AB35" t="str">
        <f t="shared" si="6"/>
        <v>required_capital:99_50:asset_risk:adjustments:equity::</v>
      </c>
      <c r="AC35" s="9" t="str">
        <f t="shared" si="13"/>
        <v>N</v>
      </c>
      <c r="AD35" s="9" t="str">
        <f t="shared" si="7"/>
        <v>Output!N55</v>
      </c>
      <c r="AE35" s="360" cm="1">
        <f t="array" aca="1" ref="AE35" ca="1">INDIRECT(AD35)</f>
        <v>0</v>
      </c>
    </row>
    <row r="36" spans="2:31" x14ac:dyDescent="0.35">
      <c r="B36" t="str">
        <f t="shared" si="15"/>
        <v>required_capital</v>
      </c>
      <c r="C36" t="str">
        <f t="shared" si="16"/>
        <v>99_99</v>
      </c>
      <c r="D36" t="str">
        <f t="shared" si="17"/>
        <v>asset_risk</v>
      </c>
      <c r="E36" t="s">
        <v>2782</v>
      </c>
      <c r="F36" t="s">
        <v>2796</v>
      </c>
      <c r="I36" t="str">
        <f t="shared" si="0"/>
        <v>required_capital:99_99:asset_risk:adjustments:real_estate::</v>
      </c>
      <c r="J36" s="9" t="s">
        <v>2840</v>
      </c>
      <c r="L36" s="9">
        <v>1</v>
      </c>
      <c r="M36" s="9">
        <f t="shared" si="21"/>
        <v>56</v>
      </c>
      <c r="N36" s="9" t="str">
        <f t="shared" si="10"/>
        <v>H</v>
      </c>
      <c r="O36" s="9" t="str">
        <f t="shared" si="1"/>
        <v>Output!H56</v>
      </c>
      <c r="P36" s="360" cm="1">
        <f t="array" aca="1" ref="P36" ca="1">INDIRECT(O36)</f>
        <v>0</v>
      </c>
      <c r="Q36" t="s">
        <v>2842</v>
      </c>
      <c r="R36" t="str">
        <f t="shared" si="2"/>
        <v>required_capital:99_95:asset_risk:adjustments:real_estate::</v>
      </c>
      <c r="S36" s="9" t="str">
        <f t="shared" si="11"/>
        <v>J</v>
      </c>
      <c r="T36" s="9" t="str">
        <f t="shared" si="3"/>
        <v>Output!J56</v>
      </c>
      <c r="U36" s="360" cm="1">
        <f t="array" aca="1" ref="U36" ca="1">INDIRECT(T36)</f>
        <v>0</v>
      </c>
      <c r="V36" t="s">
        <v>2846</v>
      </c>
      <c r="W36" t="str">
        <f t="shared" si="4"/>
        <v>required_capital:99_80:asset_risk:adjustments:real_estate::</v>
      </c>
      <c r="X36" s="9" t="str">
        <f t="shared" si="12"/>
        <v>L</v>
      </c>
      <c r="Y36" s="9" t="str">
        <f t="shared" si="5"/>
        <v>Output!L56</v>
      </c>
      <c r="Z36" s="360" cm="1">
        <f t="array" aca="1" ref="Z36" ca="1">INDIRECT(Y36)</f>
        <v>0</v>
      </c>
      <c r="AA36" t="s">
        <v>2848</v>
      </c>
      <c r="AB36" t="str">
        <f t="shared" si="6"/>
        <v>required_capital:99_50:asset_risk:adjustments:real_estate::</v>
      </c>
      <c r="AC36" s="9" t="str">
        <f t="shared" si="13"/>
        <v>N</v>
      </c>
      <c r="AD36" s="9" t="str">
        <f t="shared" si="7"/>
        <v>Output!N56</v>
      </c>
      <c r="AE36" s="360" cm="1">
        <f t="array" aca="1" ref="AE36" ca="1">INDIRECT(AD36)</f>
        <v>0</v>
      </c>
    </row>
    <row r="37" spans="2:31" x14ac:dyDescent="0.35">
      <c r="B37" t="str">
        <f t="shared" si="15"/>
        <v>required_capital</v>
      </c>
      <c r="C37" t="str">
        <f t="shared" si="16"/>
        <v>99_99</v>
      </c>
      <c r="D37" t="str">
        <f t="shared" si="17"/>
        <v>asset_risk</v>
      </c>
      <c r="E37" t="s">
        <v>2782</v>
      </c>
      <c r="F37" t="s">
        <v>2797</v>
      </c>
      <c r="I37" t="str">
        <f t="shared" si="0"/>
        <v>required_capital:99_99:asset_risk:adjustments:interest_rate::</v>
      </c>
      <c r="J37" s="9" t="s">
        <v>2840</v>
      </c>
      <c r="L37" s="9">
        <v>1</v>
      </c>
      <c r="M37" s="9">
        <f t="shared" si="21"/>
        <v>57</v>
      </c>
      <c r="N37" s="9" t="str">
        <f t="shared" si="10"/>
        <v>H</v>
      </c>
      <c r="O37" s="9" t="str">
        <f t="shared" si="1"/>
        <v>Output!H57</v>
      </c>
      <c r="P37" s="360" cm="1">
        <f t="array" aca="1" ref="P37" ca="1">INDIRECT(O37)</f>
        <v>0</v>
      </c>
      <c r="Q37" t="s">
        <v>2842</v>
      </c>
      <c r="R37" t="str">
        <f t="shared" si="2"/>
        <v>required_capital:99_95:asset_risk:adjustments:interest_rate::</v>
      </c>
      <c r="S37" s="9" t="str">
        <f t="shared" si="11"/>
        <v>J</v>
      </c>
      <c r="T37" s="9" t="str">
        <f t="shared" si="3"/>
        <v>Output!J57</v>
      </c>
      <c r="U37" s="360" cm="1">
        <f t="array" aca="1" ref="U37" ca="1">INDIRECT(T37)</f>
        <v>0</v>
      </c>
      <c r="V37" t="s">
        <v>2846</v>
      </c>
      <c r="W37" t="str">
        <f t="shared" si="4"/>
        <v>required_capital:99_80:asset_risk:adjustments:interest_rate::</v>
      </c>
      <c r="X37" s="9" t="str">
        <f t="shared" si="12"/>
        <v>L</v>
      </c>
      <c r="Y37" s="9" t="str">
        <f t="shared" si="5"/>
        <v>Output!L57</v>
      </c>
      <c r="Z37" s="360" cm="1">
        <f t="array" aca="1" ref="Z37" ca="1">INDIRECT(Y37)</f>
        <v>0</v>
      </c>
      <c r="AA37" t="s">
        <v>2848</v>
      </c>
      <c r="AB37" t="str">
        <f t="shared" si="6"/>
        <v>required_capital:99_50:asset_risk:adjustments:interest_rate::</v>
      </c>
      <c r="AC37" s="9" t="str">
        <f t="shared" si="13"/>
        <v>N</v>
      </c>
      <c r="AD37" s="9" t="str">
        <f t="shared" si="7"/>
        <v>Output!N57</v>
      </c>
      <c r="AE37" s="360" cm="1">
        <f t="array" aca="1" ref="AE37" ca="1">INDIRECT(AD37)</f>
        <v>0</v>
      </c>
    </row>
    <row r="38" spans="2:31" x14ac:dyDescent="0.35">
      <c r="B38" t="str">
        <f t="shared" si="15"/>
        <v>required_capital</v>
      </c>
      <c r="C38" t="str">
        <f t="shared" si="16"/>
        <v>99_99</v>
      </c>
      <c r="D38" t="str">
        <f t="shared" si="17"/>
        <v>asset_risk</v>
      </c>
      <c r="E38" t="s">
        <v>2782</v>
      </c>
      <c r="F38" t="s">
        <v>2798</v>
      </c>
      <c r="I38" t="str">
        <f t="shared" si="0"/>
        <v>required_capital:99_99:asset_risk:adjustments:other_assets_risk::</v>
      </c>
      <c r="J38" s="9" t="s">
        <v>2840</v>
      </c>
      <c r="L38" s="9">
        <v>1</v>
      </c>
      <c r="M38" s="9">
        <f t="shared" si="21"/>
        <v>58</v>
      </c>
      <c r="N38" s="9" t="str">
        <f t="shared" si="10"/>
        <v>H</v>
      </c>
      <c r="O38" s="9" t="str">
        <f t="shared" si="1"/>
        <v>Output!H58</v>
      </c>
      <c r="P38" s="360" cm="1">
        <f t="array" aca="1" ref="P38" ca="1">INDIRECT(O38)</f>
        <v>0</v>
      </c>
      <c r="Q38" t="s">
        <v>2842</v>
      </c>
      <c r="R38" t="str">
        <f t="shared" si="2"/>
        <v>required_capital:99_95:asset_risk:adjustments:other_assets_risk::</v>
      </c>
      <c r="S38" s="9" t="str">
        <f t="shared" si="11"/>
        <v>J</v>
      </c>
      <c r="T38" s="9" t="str">
        <f t="shared" si="3"/>
        <v>Output!J58</v>
      </c>
      <c r="U38" s="360" cm="1">
        <f t="array" aca="1" ref="U38" ca="1">INDIRECT(T38)</f>
        <v>0</v>
      </c>
      <c r="V38" t="s">
        <v>2846</v>
      </c>
      <c r="W38" t="str">
        <f t="shared" si="4"/>
        <v>required_capital:99_80:asset_risk:adjustments:other_assets_risk::</v>
      </c>
      <c r="X38" s="9" t="str">
        <f t="shared" si="12"/>
        <v>L</v>
      </c>
      <c r="Y38" s="9" t="str">
        <f t="shared" si="5"/>
        <v>Output!L58</v>
      </c>
      <c r="Z38" s="360" cm="1">
        <f t="array" aca="1" ref="Z38" ca="1">INDIRECT(Y38)</f>
        <v>0</v>
      </c>
      <c r="AA38" t="s">
        <v>2848</v>
      </c>
      <c r="AB38" t="str">
        <f t="shared" si="6"/>
        <v>required_capital:99_50:asset_risk:adjustments:other_assets_risk::</v>
      </c>
      <c r="AC38" s="9" t="str">
        <f t="shared" si="13"/>
        <v>N</v>
      </c>
      <c r="AD38" s="9" t="str">
        <f t="shared" si="7"/>
        <v>Output!N58</v>
      </c>
      <c r="AE38" s="360" cm="1">
        <f t="array" aca="1" ref="AE38" ca="1">INDIRECT(AD38)</f>
        <v>0</v>
      </c>
    </row>
    <row r="39" spans="2:31" x14ac:dyDescent="0.35">
      <c r="B39" t="str">
        <f t="shared" si="15"/>
        <v>required_capital</v>
      </c>
      <c r="C39" t="str">
        <f t="shared" si="16"/>
        <v>99_99</v>
      </c>
      <c r="D39" t="str">
        <f t="shared" si="17"/>
        <v>asset_risk</v>
      </c>
      <c r="E39" t="s">
        <v>2783</v>
      </c>
      <c r="I39" t="str">
        <f t="shared" si="0"/>
        <v>required_capital:99_99:asset_risk:total:::</v>
      </c>
      <c r="J39" s="9" t="s">
        <v>2840</v>
      </c>
      <c r="L39" s="9">
        <v>2</v>
      </c>
      <c r="M39" s="9">
        <f t="shared" si="21"/>
        <v>60</v>
      </c>
      <c r="N39" s="9" t="str">
        <f t="shared" si="10"/>
        <v>H</v>
      </c>
      <c r="O39" s="9" t="str">
        <f t="shared" si="1"/>
        <v>Output!H60</v>
      </c>
      <c r="P39" s="360" cm="1">
        <f t="array" aca="1" ref="P39" ca="1">INDIRECT(O39)</f>
        <v>0</v>
      </c>
      <c r="Q39" t="s">
        <v>2842</v>
      </c>
      <c r="R39" t="str">
        <f t="shared" si="2"/>
        <v>required_capital:99_95:asset_risk:total:::</v>
      </c>
      <c r="S39" s="9" t="str">
        <f t="shared" si="11"/>
        <v>J</v>
      </c>
      <c r="T39" s="9" t="str">
        <f t="shared" si="3"/>
        <v>Output!J60</v>
      </c>
      <c r="U39" s="360" cm="1">
        <f t="array" aca="1" ref="U39" ca="1">INDIRECT(T39)</f>
        <v>0</v>
      </c>
      <c r="V39" t="s">
        <v>2846</v>
      </c>
      <c r="W39" t="str">
        <f t="shared" si="4"/>
        <v>required_capital:99_80:asset_risk:total:::</v>
      </c>
      <c r="X39" s="9" t="str">
        <f t="shared" si="12"/>
        <v>L</v>
      </c>
      <c r="Y39" s="9" t="str">
        <f t="shared" si="5"/>
        <v>Output!L60</v>
      </c>
      <c r="Z39" s="360" cm="1">
        <f t="array" aca="1" ref="Z39" ca="1">INDIRECT(Y39)</f>
        <v>0</v>
      </c>
      <c r="AA39" t="s">
        <v>2848</v>
      </c>
      <c r="AB39" t="str">
        <f t="shared" si="6"/>
        <v>required_capital:99_50:asset_risk:total:::</v>
      </c>
      <c r="AC39" s="9" t="str">
        <f t="shared" si="13"/>
        <v>N</v>
      </c>
      <c r="AD39" s="9" t="str">
        <f t="shared" si="7"/>
        <v>Output!N60</v>
      </c>
      <c r="AE39" s="360" cm="1">
        <f t="array" aca="1" ref="AE39" ca="1">INDIRECT(AD39)</f>
        <v>0</v>
      </c>
    </row>
    <row r="40" spans="2:31" x14ac:dyDescent="0.35">
      <c r="B40" t="str">
        <f t="shared" si="15"/>
        <v>required_capital</v>
      </c>
      <c r="C40" t="str">
        <f t="shared" si="16"/>
        <v>99_99</v>
      </c>
      <c r="D40" t="s">
        <v>2800</v>
      </c>
      <c r="E40" t="s">
        <v>2801</v>
      </c>
      <c r="F40" t="s">
        <v>2802</v>
      </c>
      <c r="G40" t="s">
        <v>2783</v>
      </c>
      <c r="I40" t="str">
        <f t="shared" si="0"/>
        <v>required_capital:99_99:liability_risk:non_life:premium:total:</v>
      </c>
      <c r="J40" s="9" t="s">
        <v>2840</v>
      </c>
      <c r="K40" s="9">
        <f>ROW(out_section_liability_risk)</f>
        <v>63</v>
      </c>
      <c r="L40" s="9">
        <v>2</v>
      </c>
      <c r="M40" s="9">
        <f>K40+L40</f>
        <v>65</v>
      </c>
      <c r="N40" s="9" t="str">
        <f t="shared" si="10"/>
        <v>H</v>
      </c>
      <c r="O40" s="9" t="str">
        <f t="shared" si="1"/>
        <v>Output!H65</v>
      </c>
      <c r="P40" s="360" cm="1">
        <f t="array" aca="1" ref="P40" ca="1">INDIRECT(O40)</f>
        <v>0</v>
      </c>
      <c r="Q40" t="s">
        <v>2842</v>
      </c>
      <c r="R40" t="str">
        <f t="shared" si="2"/>
        <v>required_capital:99_95:liability_risk:non_life:premium:total:</v>
      </c>
      <c r="S40" s="9" t="str">
        <f t="shared" si="11"/>
        <v>J</v>
      </c>
      <c r="T40" s="9" t="str">
        <f t="shared" si="3"/>
        <v>Output!J65</v>
      </c>
      <c r="U40" s="360" cm="1">
        <f t="array" aca="1" ref="U40" ca="1">INDIRECT(T40)</f>
        <v>0</v>
      </c>
      <c r="V40" t="s">
        <v>2846</v>
      </c>
      <c r="W40" t="str">
        <f t="shared" si="4"/>
        <v>required_capital:99_80:liability_risk:non_life:premium:total:</v>
      </c>
      <c r="X40" s="9" t="str">
        <f t="shared" si="12"/>
        <v>L</v>
      </c>
      <c r="Y40" s="9" t="str">
        <f t="shared" si="5"/>
        <v>Output!L65</v>
      </c>
      <c r="Z40" s="360" cm="1">
        <f t="array" aca="1" ref="Z40" ca="1">INDIRECT(Y40)</f>
        <v>0</v>
      </c>
      <c r="AA40" t="s">
        <v>2848</v>
      </c>
      <c r="AB40" t="str">
        <f t="shared" si="6"/>
        <v>required_capital:99_50:liability_risk:non_life:premium:total:</v>
      </c>
      <c r="AC40" s="9" t="str">
        <f t="shared" si="13"/>
        <v>N</v>
      </c>
      <c r="AD40" s="9" t="str">
        <f t="shared" si="7"/>
        <v>Output!N65</v>
      </c>
      <c r="AE40" s="360" cm="1">
        <f t="array" aca="1" ref="AE40" ca="1">INDIRECT(AD40)</f>
        <v>0</v>
      </c>
    </row>
    <row r="41" spans="2:31" x14ac:dyDescent="0.35">
      <c r="B41" t="str">
        <f t="shared" si="15"/>
        <v>required_capital</v>
      </c>
      <c r="C41" t="str">
        <f t="shared" si="16"/>
        <v>99_99</v>
      </c>
      <c r="D41" t="str">
        <f>D40</f>
        <v>liability_risk</v>
      </c>
      <c r="E41" t="s">
        <v>2801</v>
      </c>
      <c r="F41" t="s">
        <v>2802</v>
      </c>
      <c r="G41" t="s">
        <v>2803</v>
      </c>
      <c r="I41" t="str">
        <f t="shared" si="0"/>
        <v>required_capital:99_99:liability_risk:non_life:premium:liability:</v>
      </c>
      <c r="J41" s="9" t="s">
        <v>2840</v>
      </c>
      <c r="L41" s="9">
        <v>1</v>
      </c>
      <c r="M41" s="9">
        <f t="shared" ref="M41:M58" si="22">M40+L41</f>
        <v>66</v>
      </c>
      <c r="N41" s="9" t="str">
        <f t="shared" si="10"/>
        <v>H</v>
      </c>
      <c r="O41" s="9" t="str">
        <f t="shared" si="1"/>
        <v>Output!H66</v>
      </c>
      <c r="P41" s="360" cm="1">
        <f t="array" aca="1" ref="P41" ca="1">INDIRECT(O41)</f>
        <v>0</v>
      </c>
      <c r="Q41" t="s">
        <v>2842</v>
      </c>
      <c r="R41" t="str">
        <f t="shared" si="2"/>
        <v>required_capital:99_95:liability_risk:non_life:premium:liability:</v>
      </c>
      <c r="S41" s="9" t="str">
        <f t="shared" si="11"/>
        <v>J</v>
      </c>
      <c r="T41" s="9" t="str">
        <f t="shared" si="3"/>
        <v>Output!J66</v>
      </c>
      <c r="U41" s="360" cm="1">
        <f t="array" aca="1" ref="U41" ca="1">INDIRECT(T41)</f>
        <v>0</v>
      </c>
      <c r="V41" t="s">
        <v>2846</v>
      </c>
      <c r="W41" t="str">
        <f t="shared" si="4"/>
        <v>required_capital:99_80:liability_risk:non_life:premium:liability:</v>
      </c>
      <c r="X41" s="9" t="str">
        <f t="shared" si="12"/>
        <v>L</v>
      </c>
      <c r="Y41" s="9" t="str">
        <f t="shared" si="5"/>
        <v>Output!L66</v>
      </c>
      <c r="Z41" s="360" cm="1">
        <f t="array" aca="1" ref="Z41" ca="1">INDIRECT(Y41)</f>
        <v>0</v>
      </c>
      <c r="AA41" t="s">
        <v>2848</v>
      </c>
      <c r="AB41" t="str">
        <f t="shared" si="6"/>
        <v>required_capital:99_50:liability_risk:non_life:premium:liability:</v>
      </c>
      <c r="AC41" s="9" t="str">
        <f t="shared" si="13"/>
        <v>N</v>
      </c>
      <c r="AD41" s="9" t="str">
        <f t="shared" si="7"/>
        <v>Output!N66</v>
      </c>
      <c r="AE41" s="360" cm="1">
        <f t="array" aca="1" ref="AE41" ca="1">INDIRECT(AD41)</f>
        <v>0</v>
      </c>
    </row>
    <row r="42" spans="2:31" x14ac:dyDescent="0.35">
      <c r="B42" t="str">
        <f t="shared" si="15"/>
        <v>required_capital</v>
      </c>
      <c r="C42" t="str">
        <f t="shared" si="16"/>
        <v>99_99</v>
      </c>
      <c r="D42" t="str">
        <f t="shared" ref="D42:D104" si="23">D41</f>
        <v>liability_risk</v>
      </c>
      <c r="E42" t="s">
        <v>2801</v>
      </c>
      <c r="F42" t="s">
        <v>2802</v>
      </c>
      <c r="G42" t="s">
        <v>2804</v>
      </c>
      <c r="I42" t="str">
        <f t="shared" si="0"/>
        <v>required_capital:99_99:liability_risk:non_life:premium:property:</v>
      </c>
      <c r="J42" s="9" t="s">
        <v>2840</v>
      </c>
      <c r="L42" s="9">
        <v>1</v>
      </c>
      <c r="M42" s="9">
        <f t="shared" si="22"/>
        <v>67</v>
      </c>
      <c r="N42" s="9" t="str">
        <f t="shared" si="10"/>
        <v>H</v>
      </c>
      <c r="O42" s="9" t="str">
        <f t="shared" si="1"/>
        <v>Output!H67</v>
      </c>
      <c r="P42" s="360" cm="1">
        <f t="array" aca="1" ref="P42" ca="1">INDIRECT(O42)</f>
        <v>0</v>
      </c>
      <c r="Q42" t="s">
        <v>2842</v>
      </c>
      <c r="R42" t="str">
        <f t="shared" si="2"/>
        <v>required_capital:99_95:liability_risk:non_life:premium:property:</v>
      </c>
      <c r="S42" s="9" t="str">
        <f t="shared" si="11"/>
        <v>J</v>
      </c>
      <c r="T42" s="9" t="str">
        <f t="shared" si="3"/>
        <v>Output!J67</v>
      </c>
      <c r="U42" s="360" cm="1">
        <f t="array" aca="1" ref="U42" ca="1">INDIRECT(T42)</f>
        <v>0</v>
      </c>
      <c r="V42" t="s">
        <v>2846</v>
      </c>
      <c r="W42" t="str">
        <f t="shared" si="4"/>
        <v>required_capital:99_80:liability_risk:non_life:premium:property:</v>
      </c>
      <c r="X42" s="9" t="str">
        <f t="shared" si="12"/>
        <v>L</v>
      </c>
      <c r="Y42" s="9" t="str">
        <f t="shared" si="5"/>
        <v>Output!L67</v>
      </c>
      <c r="Z42" s="360" cm="1">
        <f t="array" aca="1" ref="Z42" ca="1">INDIRECT(Y42)</f>
        <v>0</v>
      </c>
      <c r="AA42" t="s">
        <v>2848</v>
      </c>
      <c r="AB42" t="str">
        <f t="shared" si="6"/>
        <v>required_capital:99_50:liability_risk:non_life:premium:property:</v>
      </c>
      <c r="AC42" s="9" t="str">
        <f t="shared" si="13"/>
        <v>N</v>
      </c>
      <c r="AD42" s="9" t="str">
        <f t="shared" si="7"/>
        <v>Output!N67</v>
      </c>
      <c r="AE42" s="360" cm="1">
        <f t="array" aca="1" ref="AE42" ca="1">INDIRECT(AD42)</f>
        <v>0</v>
      </c>
    </row>
    <row r="43" spans="2:31" x14ac:dyDescent="0.35">
      <c r="B43" t="str">
        <f t="shared" si="15"/>
        <v>required_capital</v>
      </c>
      <c r="C43" t="str">
        <f t="shared" si="16"/>
        <v>99_99</v>
      </c>
      <c r="D43" t="str">
        <f t="shared" si="23"/>
        <v>liability_risk</v>
      </c>
      <c r="E43" t="s">
        <v>2801</v>
      </c>
      <c r="F43" t="s">
        <v>2802</v>
      </c>
      <c r="G43" t="s">
        <v>2805</v>
      </c>
      <c r="I43" t="str">
        <f t="shared" si="0"/>
        <v>required_capital:99_99:liability_risk:non_life:premium:motor:</v>
      </c>
      <c r="J43" s="9" t="s">
        <v>2840</v>
      </c>
      <c r="L43" s="9">
        <v>1</v>
      </c>
      <c r="M43" s="9">
        <f t="shared" si="22"/>
        <v>68</v>
      </c>
      <c r="N43" s="9" t="str">
        <f t="shared" si="10"/>
        <v>H</v>
      </c>
      <c r="O43" s="9" t="str">
        <f t="shared" si="1"/>
        <v>Output!H68</v>
      </c>
      <c r="P43" s="360" cm="1">
        <f t="array" aca="1" ref="P43" ca="1">INDIRECT(O43)</f>
        <v>0</v>
      </c>
      <c r="Q43" t="s">
        <v>2842</v>
      </c>
      <c r="R43" t="str">
        <f t="shared" si="2"/>
        <v>required_capital:99_95:liability_risk:non_life:premium:motor:</v>
      </c>
      <c r="S43" s="9" t="str">
        <f t="shared" si="11"/>
        <v>J</v>
      </c>
      <c r="T43" s="9" t="str">
        <f t="shared" si="3"/>
        <v>Output!J68</v>
      </c>
      <c r="U43" s="360" cm="1">
        <f t="array" aca="1" ref="U43" ca="1">INDIRECT(T43)</f>
        <v>0</v>
      </c>
      <c r="V43" t="s">
        <v>2846</v>
      </c>
      <c r="W43" t="str">
        <f t="shared" si="4"/>
        <v>required_capital:99_80:liability_risk:non_life:premium:motor:</v>
      </c>
      <c r="X43" s="9" t="str">
        <f t="shared" si="12"/>
        <v>L</v>
      </c>
      <c r="Y43" s="9" t="str">
        <f t="shared" si="5"/>
        <v>Output!L68</v>
      </c>
      <c r="Z43" s="360" cm="1">
        <f t="array" aca="1" ref="Z43" ca="1">INDIRECT(Y43)</f>
        <v>0</v>
      </c>
      <c r="AA43" t="s">
        <v>2848</v>
      </c>
      <c r="AB43" t="str">
        <f t="shared" si="6"/>
        <v>required_capital:99_50:liability_risk:non_life:premium:motor:</v>
      </c>
      <c r="AC43" s="9" t="str">
        <f t="shared" si="13"/>
        <v>N</v>
      </c>
      <c r="AD43" s="9" t="str">
        <f t="shared" si="7"/>
        <v>Output!N68</v>
      </c>
      <c r="AE43" s="360" cm="1">
        <f t="array" aca="1" ref="AE43" ca="1">INDIRECT(AD43)</f>
        <v>0</v>
      </c>
    </row>
    <row r="44" spans="2:31" x14ac:dyDescent="0.35">
      <c r="B44" t="str">
        <f t="shared" si="15"/>
        <v>required_capital</v>
      </c>
      <c r="C44" t="str">
        <f t="shared" si="16"/>
        <v>99_99</v>
      </c>
      <c r="D44" t="str">
        <f t="shared" si="23"/>
        <v>liability_risk</v>
      </c>
      <c r="E44" t="s">
        <v>2801</v>
      </c>
      <c r="F44" t="s">
        <v>2802</v>
      </c>
      <c r="G44" t="s">
        <v>2806</v>
      </c>
      <c r="I44" t="str">
        <f t="shared" si="0"/>
        <v>required_capital:99_99:liability_risk:non_life:premium:financial:</v>
      </c>
      <c r="J44" s="9" t="s">
        <v>2840</v>
      </c>
      <c r="L44" s="9">
        <v>1</v>
      </c>
      <c r="M44" s="9">
        <f t="shared" si="22"/>
        <v>69</v>
      </c>
      <c r="N44" s="9" t="str">
        <f t="shared" si="10"/>
        <v>H</v>
      </c>
      <c r="O44" s="9" t="str">
        <f t="shared" si="1"/>
        <v>Output!H69</v>
      </c>
      <c r="P44" s="360" cm="1">
        <f t="array" aca="1" ref="P44" ca="1">INDIRECT(O44)</f>
        <v>0</v>
      </c>
      <c r="Q44" t="s">
        <v>2842</v>
      </c>
      <c r="R44" t="str">
        <f t="shared" si="2"/>
        <v>required_capital:99_95:liability_risk:non_life:premium:financial:</v>
      </c>
      <c r="S44" s="9" t="str">
        <f t="shared" si="11"/>
        <v>J</v>
      </c>
      <c r="T44" s="9" t="str">
        <f t="shared" si="3"/>
        <v>Output!J69</v>
      </c>
      <c r="U44" s="360" cm="1">
        <f t="array" aca="1" ref="U44" ca="1">INDIRECT(T44)</f>
        <v>0</v>
      </c>
      <c r="V44" t="s">
        <v>2846</v>
      </c>
      <c r="W44" t="str">
        <f t="shared" si="4"/>
        <v>required_capital:99_80:liability_risk:non_life:premium:financial:</v>
      </c>
      <c r="X44" s="9" t="str">
        <f t="shared" si="12"/>
        <v>L</v>
      </c>
      <c r="Y44" s="9" t="str">
        <f t="shared" si="5"/>
        <v>Output!L69</v>
      </c>
      <c r="Z44" s="360" cm="1">
        <f t="array" aca="1" ref="Z44" ca="1">INDIRECT(Y44)</f>
        <v>0</v>
      </c>
      <c r="AA44" t="s">
        <v>2848</v>
      </c>
      <c r="AB44" t="str">
        <f t="shared" si="6"/>
        <v>required_capital:99_50:liability_risk:non_life:premium:financial:</v>
      </c>
      <c r="AC44" s="9" t="str">
        <f t="shared" si="13"/>
        <v>N</v>
      </c>
      <c r="AD44" s="9" t="str">
        <f t="shared" si="7"/>
        <v>Output!N69</v>
      </c>
      <c r="AE44" s="360" cm="1">
        <f t="array" aca="1" ref="AE44" ca="1">INDIRECT(AD44)</f>
        <v>0</v>
      </c>
    </row>
    <row r="45" spans="2:31" x14ac:dyDescent="0.35">
      <c r="B45" t="str">
        <f t="shared" si="15"/>
        <v>required_capital</v>
      </c>
      <c r="C45" t="str">
        <f t="shared" si="16"/>
        <v>99_99</v>
      </c>
      <c r="D45" t="str">
        <f t="shared" si="23"/>
        <v>liability_risk</v>
      </c>
      <c r="E45" t="s">
        <v>2801</v>
      </c>
      <c r="F45" t="s">
        <v>2802</v>
      </c>
      <c r="G45" t="s">
        <v>2807</v>
      </c>
      <c r="I45" t="str">
        <f t="shared" si="0"/>
        <v>required_capital:99_99:liability_risk:non_life:premium:health:</v>
      </c>
      <c r="J45" s="9" t="s">
        <v>2840</v>
      </c>
      <c r="L45" s="9">
        <v>1</v>
      </c>
      <c r="M45" s="9">
        <f t="shared" si="22"/>
        <v>70</v>
      </c>
      <c r="N45" s="9" t="str">
        <f t="shared" si="10"/>
        <v>H</v>
      </c>
      <c r="O45" s="9" t="str">
        <f t="shared" si="1"/>
        <v>Output!H70</v>
      </c>
      <c r="P45" s="360" cm="1">
        <f t="array" aca="1" ref="P45" ca="1">INDIRECT(O45)</f>
        <v>0</v>
      </c>
      <c r="Q45" t="s">
        <v>2842</v>
      </c>
      <c r="R45" t="str">
        <f t="shared" si="2"/>
        <v>required_capital:99_95:liability_risk:non_life:premium:health:</v>
      </c>
      <c r="S45" s="9" t="str">
        <f t="shared" si="11"/>
        <v>J</v>
      </c>
      <c r="T45" s="9" t="str">
        <f t="shared" si="3"/>
        <v>Output!J70</v>
      </c>
      <c r="U45" s="360" cm="1">
        <f t="array" aca="1" ref="U45" ca="1">INDIRECT(T45)</f>
        <v>0</v>
      </c>
      <c r="V45" t="s">
        <v>2846</v>
      </c>
      <c r="W45" t="str">
        <f t="shared" si="4"/>
        <v>required_capital:99_80:liability_risk:non_life:premium:health:</v>
      </c>
      <c r="X45" s="9" t="str">
        <f t="shared" si="12"/>
        <v>L</v>
      </c>
      <c r="Y45" s="9" t="str">
        <f t="shared" si="5"/>
        <v>Output!L70</v>
      </c>
      <c r="Z45" s="360" cm="1">
        <f t="array" aca="1" ref="Z45" ca="1">INDIRECT(Y45)</f>
        <v>0</v>
      </c>
      <c r="AA45" t="s">
        <v>2848</v>
      </c>
      <c r="AB45" t="str">
        <f t="shared" si="6"/>
        <v>required_capital:99_50:liability_risk:non_life:premium:health:</v>
      </c>
      <c r="AC45" s="9" t="str">
        <f t="shared" si="13"/>
        <v>N</v>
      </c>
      <c r="AD45" s="9" t="str">
        <f t="shared" si="7"/>
        <v>Output!N70</v>
      </c>
      <c r="AE45" s="360" cm="1">
        <f t="array" aca="1" ref="AE45" ca="1">INDIRECT(AD45)</f>
        <v>0</v>
      </c>
    </row>
    <row r="46" spans="2:31" x14ac:dyDescent="0.35">
      <c r="B46" t="str">
        <f t="shared" si="15"/>
        <v>required_capital</v>
      </c>
      <c r="C46" t="str">
        <f t="shared" si="16"/>
        <v>99_99</v>
      </c>
      <c r="D46" t="str">
        <f t="shared" si="23"/>
        <v>liability_risk</v>
      </c>
      <c r="E46" t="s">
        <v>2801</v>
      </c>
      <c r="F46" t="s">
        <v>2802</v>
      </c>
      <c r="G46" t="s">
        <v>2808</v>
      </c>
      <c r="I46" t="str">
        <f t="shared" si="0"/>
        <v>required_capital:99_99:liability_risk:non_life:premium:marine_aviation_transport:</v>
      </c>
      <c r="J46" s="9" t="s">
        <v>2840</v>
      </c>
      <c r="L46" s="9">
        <v>1</v>
      </c>
      <c r="M46" s="9">
        <f t="shared" si="22"/>
        <v>71</v>
      </c>
      <c r="N46" s="9" t="str">
        <f t="shared" si="10"/>
        <v>H</v>
      </c>
      <c r="O46" s="9" t="str">
        <f t="shared" si="1"/>
        <v>Output!H71</v>
      </c>
      <c r="P46" s="360" cm="1">
        <f t="array" aca="1" ref="P46" ca="1">INDIRECT(O46)</f>
        <v>0</v>
      </c>
      <c r="Q46" t="s">
        <v>2842</v>
      </c>
      <c r="R46" t="str">
        <f t="shared" si="2"/>
        <v>required_capital:99_95:liability_risk:non_life:premium:marine_aviation_transport:</v>
      </c>
      <c r="S46" s="9" t="str">
        <f t="shared" si="11"/>
        <v>J</v>
      </c>
      <c r="T46" s="9" t="str">
        <f t="shared" si="3"/>
        <v>Output!J71</v>
      </c>
      <c r="U46" s="360" cm="1">
        <f t="array" aca="1" ref="U46" ca="1">INDIRECT(T46)</f>
        <v>0</v>
      </c>
      <c r="V46" t="s">
        <v>2846</v>
      </c>
      <c r="W46" t="str">
        <f t="shared" si="4"/>
        <v>required_capital:99_80:liability_risk:non_life:premium:marine_aviation_transport:</v>
      </c>
      <c r="X46" s="9" t="str">
        <f t="shared" si="12"/>
        <v>L</v>
      </c>
      <c r="Y46" s="9" t="str">
        <f t="shared" si="5"/>
        <v>Output!L71</v>
      </c>
      <c r="Z46" s="360" cm="1">
        <f t="array" aca="1" ref="Z46" ca="1">INDIRECT(Y46)</f>
        <v>0</v>
      </c>
      <c r="AA46" t="s">
        <v>2848</v>
      </c>
      <c r="AB46" t="str">
        <f t="shared" si="6"/>
        <v>required_capital:99_50:liability_risk:non_life:premium:marine_aviation_transport:</v>
      </c>
      <c r="AC46" s="9" t="str">
        <f t="shared" si="13"/>
        <v>N</v>
      </c>
      <c r="AD46" s="9" t="str">
        <f t="shared" si="7"/>
        <v>Output!N71</v>
      </c>
      <c r="AE46" s="360" cm="1">
        <f t="array" aca="1" ref="AE46" ca="1">INDIRECT(AD46)</f>
        <v>0</v>
      </c>
    </row>
    <row r="47" spans="2:31" x14ac:dyDescent="0.35">
      <c r="B47" t="str">
        <f t="shared" si="15"/>
        <v>required_capital</v>
      </c>
      <c r="C47" t="str">
        <f t="shared" si="16"/>
        <v>99_99</v>
      </c>
      <c r="D47" t="str">
        <f t="shared" si="23"/>
        <v>liability_risk</v>
      </c>
      <c r="E47" t="s">
        <v>2801</v>
      </c>
      <c r="F47" t="s">
        <v>2802</v>
      </c>
      <c r="G47" t="s">
        <v>2809</v>
      </c>
      <c r="I47" t="str">
        <f t="shared" si="0"/>
        <v>required_capital:99_99:liability_risk:non_life:premium:other:</v>
      </c>
      <c r="J47" s="9" t="s">
        <v>2840</v>
      </c>
      <c r="L47" s="9">
        <v>1</v>
      </c>
      <c r="M47" s="9">
        <f t="shared" si="22"/>
        <v>72</v>
      </c>
      <c r="N47" s="9" t="str">
        <f t="shared" si="10"/>
        <v>H</v>
      </c>
      <c r="O47" s="9" t="str">
        <f t="shared" si="1"/>
        <v>Output!H72</v>
      </c>
      <c r="P47" s="360" cm="1">
        <f t="array" aca="1" ref="P47" ca="1">INDIRECT(O47)</f>
        <v>0</v>
      </c>
      <c r="Q47" t="s">
        <v>2842</v>
      </c>
      <c r="R47" t="str">
        <f t="shared" si="2"/>
        <v>required_capital:99_95:liability_risk:non_life:premium:other:</v>
      </c>
      <c r="S47" s="9" t="str">
        <f t="shared" si="11"/>
        <v>J</v>
      </c>
      <c r="T47" s="9" t="str">
        <f t="shared" si="3"/>
        <v>Output!J72</v>
      </c>
      <c r="U47" s="360" cm="1">
        <f t="array" aca="1" ref="U47" ca="1">INDIRECT(T47)</f>
        <v>0</v>
      </c>
      <c r="V47" t="s">
        <v>2846</v>
      </c>
      <c r="W47" t="str">
        <f t="shared" si="4"/>
        <v>required_capital:99_80:liability_risk:non_life:premium:other:</v>
      </c>
      <c r="X47" s="9" t="str">
        <f t="shared" si="12"/>
        <v>L</v>
      </c>
      <c r="Y47" s="9" t="str">
        <f t="shared" si="5"/>
        <v>Output!L72</v>
      </c>
      <c r="Z47" s="360" cm="1">
        <f t="array" aca="1" ref="Z47" ca="1">INDIRECT(Y47)</f>
        <v>0</v>
      </c>
      <c r="AA47" t="s">
        <v>2848</v>
      </c>
      <c r="AB47" t="str">
        <f t="shared" si="6"/>
        <v>required_capital:99_50:liability_risk:non_life:premium:other:</v>
      </c>
      <c r="AC47" s="9" t="str">
        <f t="shared" si="13"/>
        <v>N</v>
      </c>
      <c r="AD47" s="9" t="str">
        <f t="shared" si="7"/>
        <v>Output!N72</v>
      </c>
      <c r="AE47" s="360" cm="1">
        <f t="array" aca="1" ref="AE47" ca="1">INDIRECT(AD47)</f>
        <v>0</v>
      </c>
    </row>
    <row r="48" spans="2:31" x14ac:dyDescent="0.35">
      <c r="B48" t="str">
        <f t="shared" si="15"/>
        <v>required_capital</v>
      </c>
      <c r="C48" t="str">
        <f t="shared" si="16"/>
        <v>99_99</v>
      </c>
      <c r="D48" t="str">
        <f t="shared" si="23"/>
        <v>liability_risk</v>
      </c>
      <c r="E48" t="s">
        <v>2801</v>
      </c>
      <c r="F48" t="s">
        <v>2802</v>
      </c>
      <c r="G48" t="s">
        <v>2810</v>
      </c>
      <c r="I48" t="str">
        <f t="shared" si="0"/>
        <v>required_capital:99_99:liability_risk:non_life:premium:mortgage_insurance:</v>
      </c>
      <c r="J48" s="9" t="s">
        <v>2840</v>
      </c>
      <c r="L48" s="9">
        <v>1</v>
      </c>
      <c r="M48" s="9">
        <f t="shared" si="22"/>
        <v>73</v>
      </c>
      <c r="N48" s="9" t="str">
        <f t="shared" si="10"/>
        <v>H</v>
      </c>
      <c r="O48" s="9" t="str">
        <f t="shared" si="1"/>
        <v>Output!H73</v>
      </c>
      <c r="P48" s="360" cm="1">
        <f t="array" aca="1" ref="P48" ca="1">INDIRECT(O48)</f>
        <v>0</v>
      </c>
      <c r="Q48" t="s">
        <v>2842</v>
      </c>
      <c r="R48" t="str">
        <f t="shared" si="2"/>
        <v>required_capital:99_95:liability_risk:non_life:premium:mortgage_insurance:</v>
      </c>
      <c r="S48" s="9" t="str">
        <f t="shared" si="11"/>
        <v>J</v>
      </c>
      <c r="T48" s="9" t="str">
        <f t="shared" si="3"/>
        <v>Output!J73</v>
      </c>
      <c r="U48" s="360" cm="1">
        <f t="array" aca="1" ref="U48" ca="1">INDIRECT(T48)</f>
        <v>0</v>
      </c>
      <c r="V48" t="s">
        <v>2846</v>
      </c>
      <c r="W48" t="str">
        <f t="shared" si="4"/>
        <v>required_capital:99_80:liability_risk:non_life:premium:mortgage_insurance:</v>
      </c>
      <c r="X48" s="9" t="str">
        <f t="shared" si="12"/>
        <v>L</v>
      </c>
      <c r="Y48" s="9" t="str">
        <f t="shared" si="5"/>
        <v>Output!L73</v>
      </c>
      <c r="Z48" s="360" cm="1">
        <f t="array" aca="1" ref="Z48" ca="1">INDIRECT(Y48)</f>
        <v>0</v>
      </c>
      <c r="AA48" t="s">
        <v>2848</v>
      </c>
      <c r="AB48" t="str">
        <f t="shared" si="6"/>
        <v>required_capital:99_50:liability_risk:non_life:premium:mortgage_insurance:</v>
      </c>
      <c r="AC48" s="9" t="str">
        <f t="shared" si="13"/>
        <v>N</v>
      </c>
      <c r="AD48" s="9" t="str">
        <f t="shared" si="7"/>
        <v>Output!N73</v>
      </c>
      <c r="AE48" s="360" cm="1">
        <f t="array" aca="1" ref="AE48" ca="1">INDIRECT(AD48)</f>
        <v>0</v>
      </c>
    </row>
    <row r="49" spans="2:31" x14ac:dyDescent="0.35">
      <c r="B49" t="str">
        <f t="shared" si="15"/>
        <v>required_capital</v>
      </c>
      <c r="C49" t="str">
        <f t="shared" si="16"/>
        <v>99_99</v>
      </c>
      <c r="D49" t="str">
        <f t="shared" si="23"/>
        <v>liability_risk</v>
      </c>
      <c r="E49" t="s">
        <v>2801</v>
      </c>
      <c r="F49" t="s">
        <v>2811</v>
      </c>
      <c r="G49" t="s">
        <v>2783</v>
      </c>
      <c r="I49" t="str">
        <f t="shared" si="0"/>
        <v>required_capital:99_99:liability_risk:non_life:reserve:total:</v>
      </c>
      <c r="J49" s="9" t="s">
        <v>2840</v>
      </c>
      <c r="L49" s="9">
        <v>1</v>
      </c>
      <c r="M49" s="9">
        <f t="shared" si="22"/>
        <v>74</v>
      </c>
      <c r="N49" s="9" t="str">
        <f t="shared" si="10"/>
        <v>H</v>
      </c>
      <c r="O49" s="9" t="str">
        <f t="shared" si="1"/>
        <v>Output!H74</v>
      </c>
      <c r="P49" s="360" cm="1">
        <f t="array" aca="1" ref="P49" ca="1">INDIRECT(O49)</f>
        <v>0</v>
      </c>
      <c r="Q49" t="s">
        <v>2842</v>
      </c>
      <c r="R49" t="str">
        <f t="shared" si="2"/>
        <v>required_capital:99_95:liability_risk:non_life:reserve:total:</v>
      </c>
      <c r="S49" s="9" t="str">
        <f t="shared" si="11"/>
        <v>J</v>
      </c>
      <c r="T49" s="9" t="str">
        <f t="shared" si="3"/>
        <v>Output!J74</v>
      </c>
      <c r="U49" s="360" cm="1">
        <f t="array" aca="1" ref="U49" ca="1">INDIRECT(T49)</f>
        <v>0</v>
      </c>
      <c r="V49" t="s">
        <v>2846</v>
      </c>
      <c r="W49" t="str">
        <f t="shared" si="4"/>
        <v>required_capital:99_80:liability_risk:non_life:reserve:total:</v>
      </c>
      <c r="X49" s="9" t="str">
        <f t="shared" si="12"/>
        <v>L</v>
      </c>
      <c r="Y49" s="9" t="str">
        <f t="shared" si="5"/>
        <v>Output!L74</v>
      </c>
      <c r="Z49" s="360" cm="1">
        <f t="array" aca="1" ref="Z49" ca="1">INDIRECT(Y49)</f>
        <v>0</v>
      </c>
      <c r="AA49" t="s">
        <v>2848</v>
      </c>
      <c r="AB49" t="str">
        <f t="shared" si="6"/>
        <v>required_capital:99_50:liability_risk:non_life:reserve:total:</v>
      </c>
      <c r="AC49" s="9" t="str">
        <f t="shared" si="13"/>
        <v>N</v>
      </c>
      <c r="AD49" s="9" t="str">
        <f t="shared" si="7"/>
        <v>Output!N74</v>
      </c>
      <c r="AE49" s="360" cm="1">
        <f t="array" aca="1" ref="AE49" ca="1">INDIRECT(AD49)</f>
        <v>0</v>
      </c>
    </row>
    <row r="50" spans="2:31" x14ac:dyDescent="0.35">
      <c r="B50" t="str">
        <f t="shared" si="15"/>
        <v>required_capital</v>
      </c>
      <c r="C50" t="str">
        <f t="shared" si="16"/>
        <v>99_99</v>
      </c>
      <c r="D50" t="str">
        <f t="shared" si="23"/>
        <v>liability_risk</v>
      </c>
      <c r="E50" t="s">
        <v>2801</v>
      </c>
      <c r="F50" t="s">
        <v>2811</v>
      </c>
      <c r="G50" t="s">
        <v>2803</v>
      </c>
      <c r="I50" t="str">
        <f t="shared" si="0"/>
        <v>required_capital:99_99:liability_risk:non_life:reserve:liability:</v>
      </c>
      <c r="J50" s="9" t="s">
        <v>2840</v>
      </c>
      <c r="L50" s="9">
        <v>1</v>
      </c>
      <c r="M50" s="9">
        <f t="shared" si="22"/>
        <v>75</v>
      </c>
      <c r="N50" s="9" t="str">
        <f t="shared" si="10"/>
        <v>H</v>
      </c>
      <c r="O50" s="9" t="str">
        <f t="shared" si="1"/>
        <v>Output!H75</v>
      </c>
      <c r="P50" s="360" cm="1">
        <f t="array" aca="1" ref="P50" ca="1">INDIRECT(O50)</f>
        <v>0</v>
      </c>
      <c r="Q50" t="s">
        <v>2842</v>
      </c>
      <c r="R50" t="str">
        <f t="shared" si="2"/>
        <v>required_capital:99_95:liability_risk:non_life:reserve:liability:</v>
      </c>
      <c r="S50" s="9" t="str">
        <f t="shared" si="11"/>
        <v>J</v>
      </c>
      <c r="T50" s="9" t="str">
        <f t="shared" si="3"/>
        <v>Output!J75</v>
      </c>
      <c r="U50" s="360" cm="1">
        <f t="array" aca="1" ref="U50" ca="1">INDIRECT(T50)</f>
        <v>0</v>
      </c>
      <c r="V50" t="s">
        <v>2846</v>
      </c>
      <c r="W50" t="str">
        <f t="shared" si="4"/>
        <v>required_capital:99_80:liability_risk:non_life:reserve:liability:</v>
      </c>
      <c r="X50" s="9" t="str">
        <f t="shared" si="12"/>
        <v>L</v>
      </c>
      <c r="Y50" s="9" t="str">
        <f t="shared" si="5"/>
        <v>Output!L75</v>
      </c>
      <c r="Z50" s="360" cm="1">
        <f t="array" aca="1" ref="Z50" ca="1">INDIRECT(Y50)</f>
        <v>0</v>
      </c>
      <c r="AA50" t="s">
        <v>2848</v>
      </c>
      <c r="AB50" t="str">
        <f t="shared" si="6"/>
        <v>required_capital:99_50:liability_risk:non_life:reserve:liability:</v>
      </c>
      <c r="AC50" s="9" t="str">
        <f t="shared" si="13"/>
        <v>N</v>
      </c>
      <c r="AD50" s="9" t="str">
        <f t="shared" si="7"/>
        <v>Output!N75</v>
      </c>
      <c r="AE50" s="360" cm="1">
        <f t="array" aca="1" ref="AE50" ca="1">INDIRECT(AD50)</f>
        <v>0</v>
      </c>
    </row>
    <row r="51" spans="2:31" x14ac:dyDescent="0.35">
      <c r="B51" t="str">
        <f t="shared" si="15"/>
        <v>required_capital</v>
      </c>
      <c r="C51" t="str">
        <f t="shared" si="16"/>
        <v>99_99</v>
      </c>
      <c r="D51" t="str">
        <f t="shared" si="23"/>
        <v>liability_risk</v>
      </c>
      <c r="E51" t="s">
        <v>2801</v>
      </c>
      <c r="F51" t="s">
        <v>2811</v>
      </c>
      <c r="G51" t="s">
        <v>2804</v>
      </c>
      <c r="I51" t="str">
        <f t="shared" si="0"/>
        <v>required_capital:99_99:liability_risk:non_life:reserve:property:</v>
      </c>
      <c r="J51" s="9" t="s">
        <v>2840</v>
      </c>
      <c r="L51" s="9">
        <v>1</v>
      </c>
      <c r="M51" s="9">
        <f t="shared" si="22"/>
        <v>76</v>
      </c>
      <c r="N51" s="9" t="str">
        <f t="shared" si="10"/>
        <v>H</v>
      </c>
      <c r="O51" s="9" t="str">
        <f t="shared" si="1"/>
        <v>Output!H76</v>
      </c>
      <c r="P51" s="360" cm="1">
        <f t="array" aca="1" ref="P51" ca="1">INDIRECT(O51)</f>
        <v>0</v>
      </c>
      <c r="Q51" t="s">
        <v>2842</v>
      </c>
      <c r="R51" t="str">
        <f t="shared" si="2"/>
        <v>required_capital:99_95:liability_risk:non_life:reserve:property:</v>
      </c>
      <c r="S51" s="9" t="str">
        <f t="shared" si="11"/>
        <v>J</v>
      </c>
      <c r="T51" s="9" t="str">
        <f t="shared" si="3"/>
        <v>Output!J76</v>
      </c>
      <c r="U51" s="360" cm="1">
        <f t="array" aca="1" ref="U51" ca="1">INDIRECT(T51)</f>
        <v>0</v>
      </c>
      <c r="V51" t="s">
        <v>2846</v>
      </c>
      <c r="W51" t="str">
        <f t="shared" si="4"/>
        <v>required_capital:99_80:liability_risk:non_life:reserve:property:</v>
      </c>
      <c r="X51" s="9" t="str">
        <f t="shared" si="12"/>
        <v>L</v>
      </c>
      <c r="Y51" s="9" t="str">
        <f t="shared" si="5"/>
        <v>Output!L76</v>
      </c>
      <c r="Z51" s="360" cm="1">
        <f t="array" aca="1" ref="Z51" ca="1">INDIRECT(Y51)</f>
        <v>0</v>
      </c>
      <c r="AA51" t="s">
        <v>2848</v>
      </c>
      <c r="AB51" t="str">
        <f t="shared" si="6"/>
        <v>required_capital:99_50:liability_risk:non_life:reserve:property:</v>
      </c>
      <c r="AC51" s="9" t="str">
        <f t="shared" si="13"/>
        <v>N</v>
      </c>
      <c r="AD51" s="9" t="str">
        <f t="shared" si="7"/>
        <v>Output!N76</v>
      </c>
      <c r="AE51" s="360" cm="1">
        <f t="array" aca="1" ref="AE51" ca="1">INDIRECT(AD51)</f>
        <v>0</v>
      </c>
    </row>
    <row r="52" spans="2:31" x14ac:dyDescent="0.35">
      <c r="B52" t="str">
        <f t="shared" si="15"/>
        <v>required_capital</v>
      </c>
      <c r="C52" t="str">
        <f t="shared" si="16"/>
        <v>99_99</v>
      </c>
      <c r="D52" t="str">
        <f t="shared" si="23"/>
        <v>liability_risk</v>
      </c>
      <c r="E52" t="s">
        <v>2801</v>
      </c>
      <c r="F52" t="s">
        <v>2811</v>
      </c>
      <c r="G52" t="s">
        <v>2805</v>
      </c>
      <c r="I52" t="str">
        <f t="shared" si="0"/>
        <v>required_capital:99_99:liability_risk:non_life:reserve:motor:</v>
      </c>
      <c r="J52" s="9" t="s">
        <v>2840</v>
      </c>
      <c r="L52" s="9">
        <v>1</v>
      </c>
      <c r="M52" s="9">
        <f t="shared" si="22"/>
        <v>77</v>
      </c>
      <c r="N52" s="9" t="str">
        <f t="shared" si="10"/>
        <v>H</v>
      </c>
      <c r="O52" s="9" t="str">
        <f t="shared" si="1"/>
        <v>Output!H77</v>
      </c>
      <c r="P52" s="360" cm="1">
        <f t="array" aca="1" ref="P52" ca="1">INDIRECT(O52)</f>
        <v>0</v>
      </c>
      <c r="Q52" t="s">
        <v>2842</v>
      </c>
      <c r="R52" t="str">
        <f t="shared" si="2"/>
        <v>required_capital:99_95:liability_risk:non_life:reserve:motor:</v>
      </c>
      <c r="S52" s="9" t="str">
        <f t="shared" si="11"/>
        <v>J</v>
      </c>
      <c r="T52" s="9" t="str">
        <f t="shared" si="3"/>
        <v>Output!J77</v>
      </c>
      <c r="U52" s="360" cm="1">
        <f t="array" aca="1" ref="U52" ca="1">INDIRECT(T52)</f>
        <v>0</v>
      </c>
      <c r="V52" t="s">
        <v>2846</v>
      </c>
      <c r="W52" t="str">
        <f t="shared" si="4"/>
        <v>required_capital:99_80:liability_risk:non_life:reserve:motor:</v>
      </c>
      <c r="X52" s="9" t="str">
        <f t="shared" si="12"/>
        <v>L</v>
      </c>
      <c r="Y52" s="9" t="str">
        <f t="shared" si="5"/>
        <v>Output!L77</v>
      </c>
      <c r="Z52" s="360" cm="1">
        <f t="array" aca="1" ref="Z52" ca="1">INDIRECT(Y52)</f>
        <v>0</v>
      </c>
      <c r="AA52" t="s">
        <v>2848</v>
      </c>
      <c r="AB52" t="str">
        <f t="shared" si="6"/>
        <v>required_capital:99_50:liability_risk:non_life:reserve:motor:</v>
      </c>
      <c r="AC52" s="9" t="str">
        <f t="shared" si="13"/>
        <v>N</v>
      </c>
      <c r="AD52" s="9" t="str">
        <f t="shared" si="7"/>
        <v>Output!N77</v>
      </c>
      <c r="AE52" s="360" cm="1">
        <f t="array" aca="1" ref="AE52" ca="1">INDIRECT(AD52)</f>
        <v>0</v>
      </c>
    </row>
    <row r="53" spans="2:31" x14ac:dyDescent="0.35">
      <c r="B53" t="str">
        <f t="shared" si="15"/>
        <v>required_capital</v>
      </c>
      <c r="C53" t="str">
        <f t="shared" si="16"/>
        <v>99_99</v>
      </c>
      <c r="D53" t="str">
        <f t="shared" si="23"/>
        <v>liability_risk</v>
      </c>
      <c r="E53" t="s">
        <v>2801</v>
      </c>
      <c r="F53" t="s">
        <v>2811</v>
      </c>
      <c r="G53" t="s">
        <v>2806</v>
      </c>
      <c r="I53" t="str">
        <f t="shared" si="0"/>
        <v>required_capital:99_99:liability_risk:non_life:reserve:financial:</v>
      </c>
      <c r="J53" s="9" t="s">
        <v>2840</v>
      </c>
      <c r="L53" s="9">
        <v>1</v>
      </c>
      <c r="M53" s="9">
        <f t="shared" si="22"/>
        <v>78</v>
      </c>
      <c r="N53" s="9" t="str">
        <f t="shared" si="10"/>
        <v>H</v>
      </c>
      <c r="O53" s="9" t="str">
        <f t="shared" si="1"/>
        <v>Output!H78</v>
      </c>
      <c r="P53" s="360" cm="1">
        <f t="array" aca="1" ref="P53" ca="1">INDIRECT(O53)</f>
        <v>0</v>
      </c>
      <c r="Q53" t="s">
        <v>2842</v>
      </c>
      <c r="R53" t="str">
        <f t="shared" si="2"/>
        <v>required_capital:99_95:liability_risk:non_life:reserve:financial:</v>
      </c>
      <c r="S53" s="9" t="str">
        <f t="shared" si="11"/>
        <v>J</v>
      </c>
      <c r="T53" s="9" t="str">
        <f t="shared" si="3"/>
        <v>Output!J78</v>
      </c>
      <c r="U53" s="360" cm="1">
        <f t="array" aca="1" ref="U53" ca="1">INDIRECT(T53)</f>
        <v>0</v>
      </c>
      <c r="V53" t="s">
        <v>2846</v>
      </c>
      <c r="W53" t="str">
        <f t="shared" si="4"/>
        <v>required_capital:99_80:liability_risk:non_life:reserve:financial:</v>
      </c>
      <c r="X53" s="9" t="str">
        <f t="shared" si="12"/>
        <v>L</v>
      </c>
      <c r="Y53" s="9" t="str">
        <f t="shared" si="5"/>
        <v>Output!L78</v>
      </c>
      <c r="Z53" s="360" cm="1">
        <f t="array" aca="1" ref="Z53" ca="1">INDIRECT(Y53)</f>
        <v>0</v>
      </c>
      <c r="AA53" t="s">
        <v>2848</v>
      </c>
      <c r="AB53" t="str">
        <f t="shared" si="6"/>
        <v>required_capital:99_50:liability_risk:non_life:reserve:financial:</v>
      </c>
      <c r="AC53" s="9" t="str">
        <f t="shared" si="13"/>
        <v>N</v>
      </c>
      <c r="AD53" s="9" t="str">
        <f t="shared" si="7"/>
        <v>Output!N78</v>
      </c>
      <c r="AE53" s="360" cm="1">
        <f t="array" aca="1" ref="AE53" ca="1">INDIRECT(AD53)</f>
        <v>0</v>
      </c>
    </row>
    <row r="54" spans="2:31" x14ac:dyDescent="0.35">
      <c r="B54" t="str">
        <f t="shared" si="15"/>
        <v>required_capital</v>
      </c>
      <c r="C54" t="str">
        <f t="shared" si="16"/>
        <v>99_99</v>
      </c>
      <c r="D54" t="str">
        <f t="shared" si="23"/>
        <v>liability_risk</v>
      </c>
      <c r="E54" t="s">
        <v>2801</v>
      </c>
      <c r="F54" t="s">
        <v>2811</v>
      </c>
      <c r="G54" t="s">
        <v>2807</v>
      </c>
      <c r="I54" t="str">
        <f t="shared" si="0"/>
        <v>required_capital:99_99:liability_risk:non_life:reserve:health:</v>
      </c>
      <c r="J54" s="9" t="s">
        <v>2840</v>
      </c>
      <c r="L54" s="9">
        <v>1</v>
      </c>
      <c r="M54" s="9">
        <f t="shared" si="22"/>
        <v>79</v>
      </c>
      <c r="N54" s="9" t="str">
        <f t="shared" si="10"/>
        <v>H</v>
      </c>
      <c r="O54" s="9" t="str">
        <f t="shared" si="1"/>
        <v>Output!H79</v>
      </c>
      <c r="P54" s="360" cm="1">
        <f t="array" aca="1" ref="P54" ca="1">INDIRECT(O54)</f>
        <v>0</v>
      </c>
      <c r="Q54" t="s">
        <v>2842</v>
      </c>
      <c r="R54" t="str">
        <f t="shared" si="2"/>
        <v>required_capital:99_95:liability_risk:non_life:reserve:health:</v>
      </c>
      <c r="S54" s="9" t="str">
        <f t="shared" si="11"/>
        <v>J</v>
      </c>
      <c r="T54" s="9" t="str">
        <f t="shared" si="3"/>
        <v>Output!J79</v>
      </c>
      <c r="U54" s="360" cm="1">
        <f t="array" aca="1" ref="U54" ca="1">INDIRECT(T54)</f>
        <v>0</v>
      </c>
      <c r="V54" t="s">
        <v>2846</v>
      </c>
      <c r="W54" t="str">
        <f t="shared" si="4"/>
        <v>required_capital:99_80:liability_risk:non_life:reserve:health:</v>
      </c>
      <c r="X54" s="9" t="str">
        <f t="shared" si="12"/>
        <v>L</v>
      </c>
      <c r="Y54" s="9" t="str">
        <f t="shared" si="5"/>
        <v>Output!L79</v>
      </c>
      <c r="Z54" s="360" cm="1">
        <f t="array" aca="1" ref="Z54" ca="1">INDIRECT(Y54)</f>
        <v>0</v>
      </c>
      <c r="AA54" t="s">
        <v>2848</v>
      </c>
      <c r="AB54" t="str">
        <f t="shared" si="6"/>
        <v>required_capital:99_50:liability_risk:non_life:reserve:health:</v>
      </c>
      <c r="AC54" s="9" t="str">
        <f t="shared" si="13"/>
        <v>N</v>
      </c>
      <c r="AD54" s="9" t="str">
        <f t="shared" si="7"/>
        <v>Output!N79</v>
      </c>
      <c r="AE54" s="360" cm="1">
        <f t="array" aca="1" ref="AE54" ca="1">INDIRECT(AD54)</f>
        <v>0</v>
      </c>
    </row>
    <row r="55" spans="2:31" x14ac:dyDescent="0.35">
      <c r="B55" t="str">
        <f t="shared" si="15"/>
        <v>required_capital</v>
      </c>
      <c r="C55" t="str">
        <f t="shared" si="16"/>
        <v>99_99</v>
      </c>
      <c r="D55" t="str">
        <f t="shared" si="23"/>
        <v>liability_risk</v>
      </c>
      <c r="E55" t="s">
        <v>2801</v>
      </c>
      <c r="F55" t="s">
        <v>2811</v>
      </c>
      <c r="G55" t="s">
        <v>2808</v>
      </c>
      <c r="I55" t="str">
        <f t="shared" si="0"/>
        <v>required_capital:99_99:liability_risk:non_life:reserve:marine_aviation_transport:</v>
      </c>
      <c r="J55" s="9" t="s">
        <v>2840</v>
      </c>
      <c r="L55" s="9">
        <v>1</v>
      </c>
      <c r="M55" s="9">
        <f t="shared" si="22"/>
        <v>80</v>
      </c>
      <c r="N55" s="9" t="str">
        <f t="shared" si="10"/>
        <v>H</v>
      </c>
      <c r="O55" s="9" t="str">
        <f t="shared" si="1"/>
        <v>Output!H80</v>
      </c>
      <c r="P55" s="360" cm="1">
        <f t="array" aca="1" ref="P55" ca="1">INDIRECT(O55)</f>
        <v>0</v>
      </c>
      <c r="Q55" t="s">
        <v>2842</v>
      </c>
      <c r="R55" t="str">
        <f t="shared" si="2"/>
        <v>required_capital:99_95:liability_risk:non_life:reserve:marine_aviation_transport:</v>
      </c>
      <c r="S55" s="9" t="str">
        <f t="shared" si="11"/>
        <v>J</v>
      </c>
      <c r="T55" s="9" t="str">
        <f t="shared" si="3"/>
        <v>Output!J80</v>
      </c>
      <c r="U55" s="360" cm="1">
        <f t="array" aca="1" ref="U55" ca="1">INDIRECT(T55)</f>
        <v>0</v>
      </c>
      <c r="V55" t="s">
        <v>2846</v>
      </c>
      <c r="W55" t="str">
        <f t="shared" si="4"/>
        <v>required_capital:99_80:liability_risk:non_life:reserve:marine_aviation_transport:</v>
      </c>
      <c r="X55" s="9" t="str">
        <f t="shared" si="12"/>
        <v>L</v>
      </c>
      <c r="Y55" s="9" t="str">
        <f t="shared" si="5"/>
        <v>Output!L80</v>
      </c>
      <c r="Z55" s="360" cm="1">
        <f t="array" aca="1" ref="Z55" ca="1">INDIRECT(Y55)</f>
        <v>0</v>
      </c>
      <c r="AA55" t="s">
        <v>2848</v>
      </c>
      <c r="AB55" t="str">
        <f t="shared" si="6"/>
        <v>required_capital:99_50:liability_risk:non_life:reserve:marine_aviation_transport:</v>
      </c>
      <c r="AC55" s="9" t="str">
        <f t="shared" si="13"/>
        <v>N</v>
      </c>
      <c r="AD55" s="9" t="str">
        <f t="shared" si="7"/>
        <v>Output!N80</v>
      </c>
      <c r="AE55" s="360" cm="1">
        <f t="array" aca="1" ref="AE55" ca="1">INDIRECT(AD55)</f>
        <v>0</v>
      </c>
    </row>
    <row r="56" spans="2:31" x14ac:dyDescent="0.35">
      <c r="B56" t="str">
        <f t="shared" si="15"/>
        <v>required_capital</v>
      </c>
      <c r="C56" t="str">
        <f t="shared" si="16"/>
        <v>99_99</v>
      </c>
      <c r="D56" t="str">
        <f t="shared" si="23"/>
        <v>liability_risk</v>
      </c>
      <c r="E56" t="s">
        <v>2801</v>
      </c>
      <c r="F56" t="s">
        <v>2811</v>
      </c>
      <c r="G56" t="s">
        <v>2809</v>
      </c>
      <c r="I56" t="str">
        <f t="shared" si="0"/>
        <v>required_capital:99_99:liability_risk:non_life:reserve:other:</v>
      </c>
      <c r="J56" s="9" t="s">
        <v>2840</v>
      </c>
      <c r="L56" s="9">
        <v>1</v>
      </c>
      <c r="M56" s="9">
        <f t="shared" si="22"/>
        <v>81</v>
      </c>
      <c r="N56" s="9" t="str">
        <f t="shared" si="10"/>
        <v>H</v>
      </c>
      <c r="O56" s="9" t="str">
        <f t="shared" si="1"/>
        <v>Output!H81</v>
      </c>
      <c r="P56" s="360" cm="1">
        <f t="array" aca="1" ref="P56" ca="1">INDIRECT(O56)</f>
        <v>0</v>
      </c>
      <c r="Q56" t="s">
        <v>2842</v>
      </c>
      <c r="R56" t="str">
        <f t="shared" si="2"/>
        <v>required_capital:99_95:liability_risk:non_life:reserve:other:</v>
      </c>
      <c r="S56" s="9" t="str">
        <f t="shared" si="11"/>
        <v>J</v>
      </c>
      <c r="T56" s="9" t="str">
        <f t="shared" si="3"/>
        <v>Output!J81</v>
      </c>
      <c r="U56" s="360" cm="1">
        <f t="array" aca="1" ref="U56" ca="1">INDIRECT(T56)</f>
        <v>0</v>
      </c>
      <c r="V56" t="s">
        <v>2846</v>
      </c>
      <c r="W56" t="str">
        <f t="shared" si="4"/>
        <v>required_capital:99_80:liability_risk:non_life:reserve:other:</v>
      </c>
      <c r="X56" s="9" t="str">
        <f t="shared" si="12"/>
        <v>L</v>
      </c>
      <c r="Y56" s="9" t="str">
        <f t="shared" si="5"/>
        <v>Output!L81</v>
      </c>
      <c r="Z56" s="360" cm="1">
        <f t="array" aca="1" ref="Z56" ca="1">INDIRECT(Y56)</f>
        <v>0</v>
      </c>
      <c r="AA56" t="s">
        <v>2848</v>
      </c>
      <c r="AB56" t="str">
        <f t="shared" si="6"/>
        <v>required_capital:99_50:liability_risk:non_life:reserve:other:</v>
      </c>
      <c r="AC56" s="9" t="str">
        <f t="shared" si="13"/>
        <v>N</v>
      </c>
      <c r="AD56" s="9" t="str">
        <f t="shared" si="7"/>
        <v>Output!N81</v>
      </c>
      <c r="AE56" s="360" cm="1">
        <f t="array" aca="1" ref="AE56" ca="1">INDIRECT(AD56)</f>
        <v>0</v>
      </c>
    </row>
    <row r="57" spans="2:31" x14ac:dyDescent="0.35">
      <c r="B57" t="str">
        <f t="shared" si="15"/>
        <v>required_capital</v>
      </c>
      <c r="C57" t="str">
        <f t="shared" si="16"/>
        <v>99_99</v>
      </c>
      <c r="D57" t="str">
        <f t="shared" si="23"/>
        <v>liability_risk</v>
      </c>
      <c r="E57" t="s">
        <v>2801</v>
      </c>
      <c r="F57" t="s">
        <v>2811</v>
      </c>
      <c r="G57" t="s">
        <v>2810</v>
      </c>
      <c r="I57" t="str">
        <f t="shared" si="0"/>
        <v>required_capital:99_99:liability_risk:non_life:reserve:mortgage_insurance:</v>
      </c>
      <c r="J57" s="9" t="s">
        <v>2840</v>
      </c>
      <c r="L57" s="9">
        <v>1</v>
      </c>
      <c r="M57" s="9">
        <f t="shared" si="22"/>
        <v>82</v>
      </c>
      <c r="N57" s="9" t="str">
        <f t="shared" si="10"/>
        <v>H</v>
      </c>
      <c r="O57" s="9" t="str">
        <f t="shared" si="1"/>
        <v>Output!H82</v>
      </c>
      <c r="P57" s="360" cm="1">
        <f t="array" aca="1" ref="P57" ca="1">INDIRECT(O57)</f>
        <v>0</v>
      </c>
      <c r="Q57" t="s">
        <v>2842</v>
      </c>
      <c r="R57" t="str">
        <f t="shared" si="2"/>
        <v>required_capital:99_95:liability_risk:non_life:reserve:mortgage_insurance:</v>
      </c>
      <c r="S57" s="9" t="str">
        <f t="shared" si="11"/>
        <v>J</v>
      </c>
      <c r="T57" s="9" t="str">
        <f t="shared" si="3"/>
        <v>Output!J82</v>
      </c>
      <c r="U57" s="360" cm="1">
        <f t="array" aca="1" ref="U57" ca="1">INDIRECT(T57)</f>
        <v>0</v>
      </c>
      <c r="V57" t="s">
        <v>2846</v>
      </c>
      <c r="W57" t="str">
        <f t="shared" si="4"/>
        <v>required_capital:99_80:liability_risk:non_life:reserve:mortgage_insurance:</v>
      </c>
      <c r="X57" s="9" t="str">
        <f t="shared" si="12"/>
        <v>L</v>
      </c>
      <c r="Y57" s="9" t="str">
        <f t="shared" si="5"/>
        <v>Output!L82</v>
      </c>
      <c r="Z57" s="360" cm="1">
        <f t="array" aca="1" ref="Z57" ca="1">INDIRECT(Y57)</f>
        <v>0</v>
      </c>
      <c r="AA57" t="s">
        <v>2848</v>
      </c>
      <c r="AB57" t="str">
        <f t="shared" si="6"/>
        <v>required_capital:99_50:liability_risk:non_life:reserve:mortgage_insurance:</v>
      </c>
      <c r="AC57" s="9" t="str">
        <f t="shared" si="13"/>
        <v>N</v>
      </c>
      <c r="AD57" s="9" t="str">
        <f t="shared" si="7"/>
        <v>Output!N82</v>
      </c>
      <c r="AE57" s="360" cm="1">
        <f t="array" aca="1" ref="AE57" ca="1">INDIRECT(AD57)</f>
        <v>0</v>
      </c>
    </row>
    <row r="58" spans="2:31" x14ac:dyDescent="0.35">
      <c r="B58" t="str">
        <f t="shared" si="15"/>
        <v>required_capital</v>
      </c>
      <c r="C58" t="str">
        <f t="shared" si="16"/>
        <v>99_99</v>
      </c>
      <c r="D58" t="str">
        <f t="shared" si="23"/>
        <v>liability_risk</v>
      </c>
      <c r="E58" t="s">
        <v>2801</v>
      </c>
      <c r="F58" t="s">
        <v>2812</v>
      </c>
      <c r="G58" t="s">
        <v>2783</v>
      </c>
      <c r="I58" t="str">
        <f t="shared" si="0"/>
        <v>required_capital:99_99:liability_risk:non_life:nat_cat:total:</v>
      </c>
      <c r="J58" s="9" t="s">
        <v>2840</v>
      </c>
      <c r="L58" s="9">
        <v>1</v>
      </c>
      <c r="M58" s="9">
        <f t="shared" si="22"/>
        <v>83</v>
      </c>
      <c r="N58" s="9" t="str">
        <f t="shared" si="10"/>
        <v>H</v>
      </c>
      <c r="O58" s="9" t="str">
        <f t="shared" si="1"/>
        <v>Output!H83</v>
      </c>
      <c r="P58" s="360" cm="1">
        <f t="array" aca="1" ref="P58" ca="1">INDIRECT(O58)</f>
        <v>0</v>
      </c>
      <c r="Q58" t="s">
        <v>2842</v>
      </c>
      <c r="R58" t="str">
        <f t="shared" si="2"/>
        <v>required_capital:99_95:liability_risk:non_life:nat_cat:total:</v>
      </c>
      <c r="S58" s="9" t="str">
        <f t="shared" si="11"/>
        <v>J</v>
      </c>
      <c r="T58" s="9" t="str">
        <f t="shared" si="3"/>
        <v>Output!J83</v>
      </c>
      <c r="U58" s="360" cm="1">
        <f t="array" aca="1" ref="U58" ca="1">INDIRECT(T58)</f>
        <v>0</v>
      </c>
      <c r="V58" t="s">
        <v>2846</v>
      </c>
      <c r="W58" t="str">
        <f t="shared" si="4"/>
        <v>required_capital:99_80:liability_risk:non_life:nat_cat:total:</v>
      </c>
      <c r="X58" s="9" t="str">
        <f t="shared" si="12"/>
        <v>L</v>
      </c>
      <c r="Y58" s="9" t="str">
        <f t="shared" si="5"/>
        <v>Output!L83</v>
      </c>
      <c r="Z58" s="360" cm="1">
        <f t="array" aca="1" ref="Z58" ca="1">INDIRECT(Y58)</f>
        <v>0</v>
      </c>
      <c r="AA58" t="s">
        <v>2848</v>
      </c>
      <c r="AB58" t="str">
        <f t="shared" si="6"/>
        <v>required_capital:99_50:liability_risk:non_life:nat_cat:total:</v>
      </c>
      <c r="AC58" s="9" t="str">
        <f t="shared" si="13"/>
        <v>N</v>
      </c>
      <c r="AD58" s="9" t="str">
        <f t="shared" si="7"/>
        <v>Output!N83</v>
      </c>
      <c r="AE58" s="360" cm="1">
        <f t="array" aca="1" ref="AE58" ca="1">INDIRECT(AD58)</f>
        <v>0</v>
      </c>
    </row>
    <row r="59" spans="2:31" x14ac:dyDescent="0.35">
      <c r="B59" t="str">
        <f t="shared" si="15"/>
        <v>required_capital</v>
      </c>
      <c r="C59" t="str">
        <f t="shared" si="16"/>
        <v>99_99</v>
      </c>
      <c r="D59" t="str">
        <f t="shared" si="23"/>
        <v>liability_risk</v>
      </c>
      <c r="E59" t="s">
        <v>2801</v>
      </c>
      <c r="F59" t="s">
        <v>2812</v>
      </c>
      <c r="G59" t="s">
        <v>2822</v>
      </c>
      <c r="I59" t="str">
        <f t="shared" ref="I59" si="24">CONCATENATE($B59, ":",C59,":",$D59,":",$E59,":",$F59,":",$G59,":",$H59)</f>
        <v>required_capital:99_99:liability_risk:non_life:nat_cat:value:</v>
      </c>
      <c r="J59" s="9" t="s">
        <v>2840</v>
      </c>
      <c r="L59" s="9">
        <v>1</v>
      </c>
      <c r="M59" s="9">
        <f t="shared" ref="M59" si="25">M58+L59</f>
        <v>84</v>
      </c>
      <c r="N59" s="9" t="str">
        <f t="shared" si="10"/>
        <v>H</v>
      </c>
      <c r="O59" s="9" t="str">
        <f t="shared" ref="O59" si="26">CONCATENATE($J59,"!",N59,$M59)</f>
        <v>Output!H84</v>
      </c>
      <c r="P59" s="360" cm="1">
        <f t="array" aca="1" ref="P59" ca="1">INDIRECT(O59)</f>
        <v>0</v>
      </c>
      <c r="Q59" t="s">
        <v>2842</v>
      </c>
      <c r="R59" t="str">
        <f t="shared" ref="R59" si="27">IF(Q59="","",CONCATENATE($B59,":",Q59,":",$D59,":",$E59,":",$F59,":",$G59,":",$H59))</f>
        <v>required_capital:99_95:liability_risk:non_life:nat_cat:value:</v>
      </c>
      <c r="S59" s="9" t="str">
        <f t="shared" si="11"/>
        <v>J</v>
      </c>
      <c r="T59" s="9" t="str">
        <f t="shared" ref="T59" si="28">CONCATENATE($J59,"!",S59,$M59)</f>
        <v>Output!J84</v>
      </c>
      <c r="U59" s="360" cm="1">
        <f t="array" aca="1" ref="U59" ca="1">INDIRECT(T59)</f>
        <v>0</v>
      </c>
      <c r="V59" t="s">
        <v>2846</v>
      </c>
      <c r="W59" t="str">
        <f t="shared" ref="W59" si="29">IF(V59="","",CONCATENATE($B59,":",V59,":",$D59,":",$E59,":",$F59,":",$G59,":",$H59))</f>
        <v>required_capital:99_80:liability_risk:non_life:nat_cat:value:</v>
      </c>
      <c r="X59" s="9" t="str">
        <f t="shared" si="12"/>
        <v>L</v>
      </c>
      <c r="Y59" s="9" t="str">
        <f t="shared" ref="Y59" si="30">CONCATENATE($J59,"!",X59,$M59)</f>
        <v>Output!L84</v>
      </c>
      <c r="Z59" s="360" cm="1">
        <f t="array" aca="1" ref="Z59" ca="1">INDIRECT(Y59)</f>
        <v>0</v>
      </c>
      <c r="AA59" t="s">
        <v>2848</v>
      </c>
      <c r="AB59" t="str">
        <f t="shared" ref="AB59" si="31">IF(AA59="","",CONCATENATE($B59,":",AA59,":",$D59,":",$E59,":",$F59,":",$G59,":",$H59))</f>
        <v>required_capital:99_50:liability_risk:non_life:nat_cat:value:</v>
      </c>
      <c r="AC59" s="9" t="str">
        <f t="shared" si="13"/>
        <v>N</v>
      </c>
      <c r="AD59" s="9" t="str">
        <f t="shared" ref="AD59" si="32">CONCATENATE($J59,"!",AC59,$M59)</f>
        <v>Output!N84</v>
      </c>
      <c r="AE59" s="360" cm="1">
        <f t="array" aca="1" ref="AE59" ca="1">INDIRECT(AD59)</f>
        <v>0</v>
      </c>
    </row>
    <row r="60" spans="2:31" x14ac:dyDescent="0.35">
      <c r="B60" t="str">
        <f t="shared" si="15"/>
        <v>required_capital</v>
      </c>
      <c r="C60" t="str">
        <f t="shared" si="16"/>
        <v>99_99</v>
      </c>
      <c r="D60" t="str">
        <f t="shared" si="23"/>
        <v>liability_risk</v>
      </c>
      <c r="E60" t="s">
        <v>2801</v>
      </c>
      <c r="F60" t="s">
        <v>2812</v>
      </c>
      <c r="G60" t="s">
        <v>4373</v>
      </c>
      <c r="I60" t="str">
        <f t="shared" ref="I60" si="33">CONCATENATE($B60, ":",C60,":",$D60,":",$E60,":",$F60,":",$G60,":",$H60)</f>
        <v>required_capital:99_99:liability_risk:non_life:nat_cat:reinsurance_recoveries:</v>
      </c>
      <c r="J60" s="9" t="s">
        <v>2840</v>
      </c>
      <c r="L60" s="9">
        <v>1</v>
      </c>
      <c r="M60" s="9">
        <f t="shared" ref="M60:M61" si="34">M59+L60</f>
        <v>85</v>
      </c>
      <c r="N60" s="9" t="str">
        <f t="shared" si="10"/>
        <v>H</v>
      </c>
      <c r="O60" s="9" t="str">
        <f t="shared" ref="O60" si="35">CONCATENATE($J60,"!",N60,$M60)</f>
        <v>Output!H85</v>
      </c>
      <c r="P60" s="360" cm="1">
        <f t="array" aca="1" ref="P60" ca="1">INDIRECT(O60)</f>
        <v>0</v>
      </c>
      <c r="Q60" t="s">
        <v>2842</v>
      </c>
      <c r="R60" t="str">
        <f t="shared" ref="R60" si="36">IF(Q60="","",CONCATENATE($B60,":",Q60,":",$D60,":",$E60,":",$F60,":",$G60,":",$H60))</f>
        <v>required_capital:99_95:liability_risk:non_life:nat_cat:reinsurance_recoveries:</v>
      </c>
      <c r="S60" s="9" t="str">
        <f t="shared" si="11"/>
        <v>J</v>
      </c>
      <c r="T60" s="9" t="str">
        <f t="shared" ref="T60" si="37">CONCATENATE($J60,"!",S60,$M60)</f>
        <v>Output!J85</v>
      </c>
      <c r="U60" s="360" cm="1">
        <f t="array" aca="1" ref="U60" ca="1">INDIRECT(T60)</f>
        <v>0</v>
      </c>
      <c r="V60" t="s">
        <v>2846</v>
      </c>
      <c r="W60" t="str">
        <f t="shared" ref="W60" si="38">IF(V60="","",CONCATENATE($B60,":",V60,":",$D60,":",$E60,":",$F60,":",$G60,":",$H60))</f>
        <v>required_capital:99_80:liability_risk:non_life:nat_cat:reinsurance_recoveries:</v>
      </c>
      <c r="X60" s="9" t="str">
        <f t="shared" si="12"/>
        <v>L</v>
      </c>
      <c r="Y60" s="9" t="str">
        <f t="shared" ref="Y60" si="39">CONCATENATE($J60,"!",X60,$M60)</f>
        <v>Output!L85</v>
      </c>
      <c r="Z60" s="360" cm="1">
        <f t="array" aca="1" ref="Z60" ca="1">INDIRECT(Y60)</f>
        <v>0</v>
      </c>
      <c r="AA60" t="s">
        <v>2848</v>
      </c>
      <c r="AB60" t="str">
        <f t="shared" ref="AB60" si="40">IF(AA60="","",CONCATENATE($B60,":",AA60,":",$D60,":",$E60,":",$F60,":",$G60,":",$H60))</f>
        <v>required_capital:99_50:liability_risk:non_life:nat_cat:reinsurance_recoveries:</v>
      </c>
      <c r="AC60" s="9" t="str">
        <f t="shared" si="13"/>
        <v>N</v>
      </c>
      <c r="AD60" s="9" t="str">
        <f t="shared" ref="AD60" si="41">CONCATENATE($J60,"!",AC60,$M60)</f>
        <v>Output!N85</v>
      </c>
      <c r="AE60" s="360" cm="1">
        <f t="array" aca="1" ref="AE60" ca="1">INDIRECT(AD60)</f>
        <v>0</v>
      </c>
    </row>
    <row r="61" spans="2:31" x14ac:dyDescent="0.35">
      <c r="B61" t="str">
        <f t="shared" si="15"/>
        <v>required_capital</v>
      </c>
      <c r="C61" t="str">
        <f t="shared" si="16"/>
        <v>99_99</v>
      </c>
      <c r="D61" t="str">
        <f t="shared" si="23"/>
        <v>liability_risk</v>
      </c>
      <c r="E61" t="s">
        <v>2813</v>
      </c>
      <c r="F61" t="s">
        <v>2783</v>
      </c>
      <c r="I61" t="str">
        <f t="shared" si="0"/>
        <v>required_capital:99_99:liability_risk:life:total::</v>
      </c>
      <c r="J61" s="9" t="s">
        <v>2840</v>
      </c>
      <c r="L61" s="9">
        <v>1</v>
      </c>
      <c r="M61" s="9">
        <f t="shared" si="34"/>
        <v>86</v>
      </c>
      <c r="N61" s="9" t="str">
        <f t="shared" si="10"/>
        <v>H</v>
      </c>
      <c r="O61" s="9" t="str">
        <f t="shared" si="1"/>
        <v>Output!H86</v>
      </c>
      <c r="P61" s="360" cm="1">
        <f t="array" aca="1" ref="P61" ca="1">INDIRECT(O61)</f>
        <v>0</v>
      </c>
      <c r="Q61" t="s">
        <v>2842</v>
      </c>
      <c r="R61" t="str">
        <f t="shared" si="2"/>
        <v>required_capital:99_95:liability_risk:life:total::</v>
      </c>
      <c r="S61" s="9" t="str">
        <f t="shared" si="11"/>
        <v>J</v>
      </c>
      <c r="T61" s="9" t="str">
        <f t="shared" si="3"/>
        <v>Output!J86</v>
      </c>
      <c r="U61" s="360" cm="1">
        <f t="array" aca="1" ref="U61" ca="1">INDIRECT(T61)</f>
        <v>0</v>
      </c>
      <c r="V61" t="s">
        <v>2846</v>
      </c>
      <c r="W61" t="str">
        <f t="shared" si="4"/>
        <v>required_capital:99_80:liability_risk:life:total::</v>
      </c>
      <c r="X61" s="9" t="str">
        <f t="shared" si="12"/>
        <v>L</v>
      </c>
      <c r="Y61" s="9" t="str">
        <f t="shared" si="5"/>
        <v>Output!L86</v>
      </c>
      <c r="Z61" s="360" cm="1">
        <f t="array" aca="1" ref="Z61" ca="1">INDIRECT(Y61)</f>
        <v>0</v>
      </c>
      <c r="AA61" t="s">
        <v>2848</v>
      </c>
      <c r="AB61" t="str">
        <f t="shared" si="6"/>
        <v>required_capital:99_50:liability_risk:life:total::</v>
      </c>
      <c r="AC61" s="9" t="str">
        <f t="shared" si="13"/>
        <v>N</v>
      </c>
      <c r="AD61" s="9" t="str">
        <f t="shared" si="7"/>
        <v>Output!N86</v>
      </c>
      <c r="AE61" s="360" cm="1">
        <f t="array" aca="1" ref="AE61" ca="1">INDIRECT(AD61)</f>
        <v>0</v>
      </c>
    </row>
    <row r="62" spans="2:31" x14ac:dyDescent="0.35">
      <c r="B62" t="str">
        <f t="shared" si="15"/>
        <v>required_capital</v>
      </c>
      <c r="C62" t="str">
        <f t="shared" si="16"/>
        <v>99_99</v>
      </c>
      <c r="D62" t="str">
        <f t="shared" si="23"/>
        <v>liability_risk</v>
      </c>
      <c r="E62" t="s">
        <v>2813</v>
      </c>
      <c r="F62" t="s">
        <v>2814</v>
      </c>
      <c r="I62" t="str">
        <f t="shared" si="0"/>
        <v>required_capital:99_99:liability_risk:life:mortality::</v>
      </c>
      <c r="J62" s="9" t="s">
        <v>2840</v>
      </c>
      <c r="L62" s="9">
        <v>1</v>
      </c>
      <c r="M62" s="9">
        <f t="shared" ref="M62" si="42">M61+L62</f>
        <v>87</v>
      </c>
      <c r="N62" s="9" t="str">
        <f t="shared" si="10"/>
        <v>H</v>
      </c>
      <c r="O62" s="9" t="str">
        <f t="shared" si="1"/>
        <v>Output!H87</v>
      </c>
      <c r="P62" s="360" cm="1">
        <f t="array" aca="1" ref="P62" ca="1">INDIRECT(O62)</f>
        <v>0</v>
      </c>
      <c r="Q62" t="s">
        <v>2842</v>
      </c>
      <c r="R62" t="str">
        <f t="shared" si="2"/>
        <v>required_capital:99_95:liability_risk:life:mortality::</v>
      </c>
      <c r="S62" s="9" t="str">
        <f t="shared" si="11"/>
        <v>J</v>
      </c>
      <c r="T62" s="9" t="str">
        <f t="shared" si="3"/>
        <v>Output!J87</v>
      </c>
      <c r="U62" s="360" cm="1">
        <f t="array" aca="1" ref="U62" ca="1">INDIRECT(T62)</f>
        <v>0</v>
      </c>
      <c r="V62" t="s">
        <v>2846</v>
      </c>
      <c r="W62" t="str">
        <f t="shared" si="4"/>
        <v>required_capital:99_80:liability_risk:life:mortality::</v>
      </c>
      <c r="X62" s="9" t="str">
        <f t="shared" si="12"/>
        <v>L</v>
      </c>
      <c r="Y62" s="9" t="str">
        <f t="shared" si="5"/>
        <v>Output!L87</v>
      </c>
      <c r="Z62" s="360" cm="1">
        <f t="array" aca="1" ref="Z62" ca="1">INDIRECT(Y62)</f>
        <v>0</v>
      </c>
      <c r="AA62" t="s">
        <v>2848</v>
      </c>
      <c r="AB62" t="str">
        <f t="shared" si="6"/>
        <v>required_capital:99_50:liability_risk:life:mortality::</v>
      </c>
      <c r="AC62" s="9" t="str">
        <f t="shared" si="13"/>
        <v>N</v>
      </c>
      <c r="AD62" s="9" t="str">
        <f t="shared" si="7"/>
        <v>Output!N87</v>
      </c>
      <c r="AE62" s="360" cm="1">
        <f t="array" aca="1" ref="AE62" ca="1">INDIRECT(AD62)</f>
        <v>0</v>
      </c>
    </row>
    <row r="63" spans="2:31" x14ac:dyDescent="0.35">
      <c r="B63" t="str">
        <f t="shared" si="15"/>
        <v>required_capital</v>
      </c>
      <c r="C63" t="str">
        <f t="shared" si="16"/>
        <v>99_99</v>
      </c>
      <c r="D63" t="str">
        <f t="shared" si="23"/>
        <v>liability_risk</v>
      </c>
      <c r="E63" t="s">
        <v>2813</v>
      </c>
      <c r="F63" t="s">
        <v>2824</v>
      </c>
      <c r="G63" t="s">
        <v>2783</v>
      </c>
      <c r="I63" t="str">
        <f t="shared" si="0"/>
        <v>required_capital:99_99:liability_risk:life:pandemic:total:</v>
      </c>
      <c r="J63" s="9" t="s">
        <v>2840</v>
      </c>
      <c r="L63" s="9">
        <v>1</v>
      </c>
      <c r="M63" s="9">
        <f t="shared" ref="M63:M110" si="43">M62+L63</f>
        <v>88</v>
      </c>
      <c r="N63" s="9" t="str">
        <f t="shared" si="10"/>
        <v>H</v>
      </c>
      <c r="O63" s="9" t="str">
        <f t="shared" si="1"/>
        <v>Output!H88</v>
      </c>
      <c r="P63" s="360" cm="1">
        <f t="array" aca="1" ref="P63" ca="1">INDIRECT(O63)</f>
        <v>0</v>
      </c>
      <c r="Q63" t="s">
        <v>2842</v>
      </c>
      <c r="R63" t="str">
        <f t="shared" si="2"/>
        <v>required_capital:99_95:liability_risk:life:pandemic:total:</v>
      </c>
      <c r="S63" s="9" t="str">
        <f t="shared" si="11"/>
        <v>J</v>
      </c>
      <c r="T63" s="9" t="str">
        <f t="shared" si="3"/>
        <v>Output!J88</v>
      </c>
      <c r="U63" s="360" cm="1">
        <f t="array" aca="1" ref="U63" ca="1">INDIRECT(T63)</f>
        <v>0</v>
      </c>
      <c r="V63" t="s">
        <v>2846</v>
      </c>
      <c r="W63" t="str">
        <f t="shared" si="4"/>
        <v>required_capital:99_80:liability_risk:life:pandemic:total:</v>
      </c>
      <c r="X63" s="9" t="str">
        <f t="shared" si="12"/>
        <v>L</v>
      </c>
      <c r="Y63" s="9" t="str">
        <f t="shared" si="5"/>
        <v>Output!L88</v>
      </c>
      <c r="Z63" s="360" cm="1">
        <f t="array" aca="1" ref="Z63" ca="1">INDIRECT(Y63)</f>
        <v>0</v>
      </c>
      <c r="AA63" t="s">
        <v>2848</v>
      </c>
      <c r="AB63" t="str">
        <f t="shared" si="6"/>
        <v>required_capital:99_50:liability_risk:life:pandemic:total:</v>
      </c>
      <c r="AC63" s="9" t="str">
        <f t="shared" si="13"/>
        <v>N</v>
      </c>
      <c r="AD63" s="9" t="str">
        <f t="shared" si="7"/>
        <v>Output!N88</v>
      </c>
      <c r="AE63" s="360" cm="1">
        <f t="array" aca="1" ref="AE63" ca="1">INDIRECT(AD63)</f>
        <v>0</v>
      </c>
    </row>
    <row r="64" spans="2:31" x14ac:dyDescent="0.35">
      <c r="B64" t="str">
        <f t="shared" si="15"/>
        <v>required_capital</v>
      </c>
      <c r="C64" t="str">
        <f t="shared" si="16"/>
        <v>99_99</v>
      </c>
      <c r="D64" t="str">
        <f t="shared" si="23"/>
        <v>liability_risk</v>
      </c>
      <c r="E64" t="s">
        <v>2813</v>
      </c>
      <c r="F64" t="s">
        <v>2824</v>
      </c>
      <c r="G64" t="s">
        <v>2822</v>
      </c>
      <c r="I64" t="str">
        <f t="shared" ref="I64" si="44">CONCATENATE($B64, ":",C64,":",$D64,":",$E64,":",$F64,":",$G64,":",$H64)</f>
        <v>required_capital:99_99:liability_risk:life:pandemic:value:</v>
      </c>
      <c r="J64" s="9" t="s">
        <v>2840</v>
      </c>
      <c r="L64" s="9">
        <v>1</v>
      </c>
      <c r="M64" s="9">
        <f t="shared" ref="M64" si="45">M63+L64</f>
        <v>89</v>
      </c>
      <c r="N64" s="9" t="str">
        <f t="shared" si="10"/>
        <v>H</v>
      </c>
      <c r="O64" s="9" t="str">
        <f t="shared" ref="O64" si="46">CONCATENATE($J64,"!",N64,$M64)</f>
        <v>Output!H89</v>
      </c>
      <c r="P64" s="360" cm="1">
        <f t="array" aca="1" ref="P64" ca="1">INDIRECT(O64)</f>
        <v>0</v>
      </c>
      <c r="Q64" t="s">
        <v>2842</v>
      </c>
      <c r="R64" t="str">
        <f t="shared" ref="R64" si="47">IF(Q64="","",CONCATENATE($B64,":",Q64,":",$D64,":",$E64,":",$F64,":",$G64,":",$H64))</f>
        <v>required_capital:99_95:liability_risk:life:pandemic:value:</v>
      </c>
      <c r="S64" s="9" t="str">
        <f t="shared" si="11"/>
        <v>J</v>
      </c>
      <c r="T64" s="9" t="str">
        <f t="shared" ref="T64" si="48">CONCATENATE($J64,"!",S64,$M64)</f>
        <v>Output!J89</v>
      </c>
      <c r="U64" s="360" cm="1">
        <f t="array" aca="1" ref="U64" ca="1">INDIRECT(T64)</f>
        <v>0</v>
      </c>
      <c r="V64" t="s">
        <v>2846</v>
      </c>
      <c r="W64" t="str">
        <f t="shared" ref="W64" si="49">IF(V64="","",CONCATENATE($B64,":",V64,":",$D64,":",$E64,":",$F64,":",$G64,":",$H64))</f>
        <v>required_capital:99_80:liability_risk:life:pandemic:value:</v>
      </c>
      <c r="X64" s="9" t="str">
        <f t="shared" si="12"/>
        <v>L</v>
      </c>
      <c r="Y64" s="9" t="str">
        <f t="shared" ref="Y64" si="50">CONCATENATE($J64,"!",X64,$M64)</f>
        <v>Output!L89</v>
      </c>
      <c r="Z64" s="360" cm="1">
        <f t="array" aca="1" ref="Z64" ca="1">INDIRECT(Y64)</f>
        <v>0</v>
      </c>
      <c r="AA64" t="s">
        <v>2848</v>
      </c>
      <c r="AB64" t="str">
        <f t="shared" ref="AB64" si="51">IF(AA64="","",CONCATENATE($B64,":",AA64,":",$D64,":",$E64,":",$F64,":",$G64,":",$H64))</f>
        <v>required_capital:99_50:liability_risk:life:pandemic:value:</v>
      </c>
      <c r="AC64" s="9" t="str">
        <f t="shared" si="13"/>
        <v>N</v>
      </c>
      <c r="AD64" s="9" t="str">
        <f t="shared" ref="AD64" si="52">CONCATENATE($J64,"!",AC64,$M64)</f>
        <v>Output!N89</v>
      </c>
      <c r="AE64" s="360" cm="1">
        <f t="array" aca="1" ref="AE64" ca="1">INDIRECT(AD64)</f>
        <v>0</v>
      </c>
    </row>
    <row r="65" spans="2:31" x14ac:dyDescent="0.35">
      <c r="B65" t="str">
        <f t="shared" si="15"/>
        <v>required_capital</v>
      </c>
      <c r="C65" t="str">
        <f t="shared" si="16"/>
        <v>99_99</v>
      </c>
      <c r="D65" t="str">
        <f t="shared" si="23"/>
        <v>liability_risk</v>
      </c>
      <c r="E65" t="s">
        <v>2813</v>
      </c>
      <c r="F65" t="s">
        <v>2824</v>
      </c>
      <c r="G65" t="s">
        <v>4373</v>
      </c>
      <c r="I65" t="str">
        <f t="shared" ref="I65" si="53">CONCATENATE($B65, ":",C65,":",$D65,":",$E65,":",$F65,":",$G65,":",$H65)</f>
        <v>required_capital:99_99:liability_risk:life:pandemic:reinsurance_recoveries:</v>
      </c>
      <c r="J65" s="9" t="s">
        <v>2840</v>
      </c>
      <c r="L65" s="9">
        <v>1</v>
      </c>
      <c r="M65" s="9">
        <f t="shared" ref="M65" si="54">M64+L65</f>
        <v>90</v>
      </c>
      <c r="N65" s="9" t="str">
        <f t="shared" si="10"/>
        <v>H</v>
      </c>
      <c r="O65" s="9" t="str">
        <f t="shared" ref="O65" si="55">CONCATENATE($J65,"!",N65,$M65)</f>
        <v>Output!H90</v>
      </c>
      <c r="P65" s="360" cm="1">
        <f t="array" aca="1" ref="P65" ca="1">INDIRECT(O65)</f>
        <v>0</v>
      </c>
      <c r="Q65" t="s">
        <v>2842</v>
      </c>
      <c r="R65" t="str">
        <f t="shared" ref="R65" si="56">IF(Q65="","",CONCATENATE($B65,":",Q65,":",$D65,":",$E65,":",$F65,":",$G65,":",$H65))</f>
        <v>required_capital:99_95:liability_risk:life:pandemic:reinsurance_recoveries:</v>
      </c>
      <c r="S65" s="9" t="str">
        <f t="shared" si="11"/>
        <v>J</v>
      </c>
      <c r="T65" s="9" t="str">
        <f t="shared" ref="T65" si="57">CONCATENATE($J65,"!",S65,$M65)</f>
        <v>Output!J90</v>
      </c>
      <c r="U65" s="360" cm="1">
        <f t="array" aca="1" ref="U65" ca="1">INDIRECT(T65)</f>
        <v>0</v>
      </c>
      <c r="V65" t="s">
        <v>2846</v>
      </c>
      <c r="W65" t="str">
        <f t="shared" ref="W65" si="58">IF(V65="","",CONCATENATE($B65,":",V65,":",$D65,":",$E65,":",$F65,":",$G65,":",$H65))</f>
        <v>required_capital:99_80:liability_risk:life:pandemic:reinsurance_recoveries:</v>
      </c>
      <c r="X65" s="9" t="str">
        <f t="shared" si="12"/>
        <v>L</v>
      </c>
      <c r="Y65" s="9" t="str">
        <f t="shared" ref="Y65" si="59">CONCATENATE($J65,"!",X65,$M65)</f>
        <v>Output!L90</v>
      </c>
      <c r="Z65" s="360" cm="1">
        <f t="array" aca="1" ref="Z65" ca="1">INDIRECT(Y65)</f>
        <v>0</v>
      </c>
      <c r="AA65" t="s">
        <v>2848</v>
      </c>
      <c r="AB65" t="str">
        <f t="shared" ref="AB65" si="60">IF(AA65="","",CONCATENATE($B65,":",AA65,":",$D65,":",$E65,":",$F65,":",$G65,":",$H65))</f>
        <v>required_capital:99_50:liability_risk:life:pandemic:reinsurance_recoveries:</v>
      </c>
      <c r="AC65" s="9" t="str">
        <f t="shared" si="13"/>
        <v>N</v>
      </c>
      <c r="AD65" s="9" t="str">
        <f t="shared" ref="AD65" si="61">CONCATENATE($J65,"!",AC65,$M65)</f>
        <v>Output!N90</v>
      </c>
      <c r="AE65" s="360" cm="1">
        <f t="array" aca="1" ref="AE65" ca="1">INDIRECT(AD65)</f>
        <v>0</v>
      </c>
    </row>
    <row r="66" spans="2:31" x14ac:dyDescent="0.35">
      <c r="B66" t="str">
        <f t="shared" si="15"/>
        <v>required_capital</v>
      </c>
      <c r="C66" t="str">
        <f t="shared" si="16"/>
        <v>99_99</v>
      </c>
      <c r="D66" t="str">
        <f>D63</f>
        <v>liability_risk</v>
      </c>
      <c r="E66" t="s">
        <v>2813</v>
      </c>
      <c r="F66" t="s">
        <v>2815</v>
      </c>
      <c r="G66" t="s">
        <v>2783</v>
      </c>
      <c r="I66" t="str">
        <f t="shared" si="0"/>
        <v>required_capital:99_99:liability_risk:life:morbidity:total:</v>
      </c>
      <c r="J66" s="9" t="s">
        <v>2840</v>
      </c>
      <c r="L66" s="9">
        <v>1</v>
      </c>
      <c r="M66" s="9">
        <f t="shared" ref="M66" si="62">M65+L66</f>
        <v>91</v>
      </c>
      <c r="N66" s="9" t="str">
        <f t="shared" si="10"/>
        <v>H</v>
      </c>
      <c r="O66" s="9" t="str">
        <f t="shared" si="1"/>
        <v>Output!H91</v>
      </c>
      <c r="P66" s="360" cm="1">
        <f t="array" aca="1" ref="P66" ca="1">INDIRECT(O66)</f>
        <v>0</v>
      </c>
      <c r="Q66" t="s">
        <v>2842</v>
      </c>
      <c r="R66" t="str">
        <f t="shared" si="2"/>
        <v>required_capital:99_95:liability_risk:life:morbidity:total:</v>
      </c>
      <c r="S66" s="9" t="str">
        <f t="shared" si="11"/>
        <v>J</v>
      </c>
      <c r="T66" s="9" t="str">
        <f t="shared" si="3"/>
        <v>Output!J91</v>
      </c>
      <c r="U66" s="360" cm="1">
        <f t="array" aca="1" ref="U66" ca="1">INDIRECT(T66)</f>
        <v>0</v>
      </c>
      <c r="V66" t="s">
        <v>2846</v>
      </c>
      <c r="W66" t="str">
        <f t="shared" si="4"/>
        <v>required_capital:99_80:liability_risk:life:morbidity:total:</v>
      </c>
      <c r="X66" s="9" t="str">
        <f>X63</f>
        <v>L</v>
      </c>
      <c r="Y66" s="9" t="str">
        <f t="shared" si="5"/>
        <v>Output!L91</v>
      </c>
      <c r="Z66" s="360" cm="1">
        <f t="array" aca="1" ref="Z66" ca="1">INDIRECT(Y66)</f>
        <v>0</v>
      </c>
      <c r="AA66" t="s">
        <v>2848</v>
      </c>
      <c r="AB66" t="str">
        <f t="shared" si="6"/>
        <v>required_capital:99_50:liability_risk:life:morbidity:total:</v>
      </c>
      <c r="AC66" s="9" t="str">
        <f t="shared" si="13"/>
        <v>N</v>
      </c>
      <c r="AD66" s="9" t="str">
        <f t="shared" si="7"/>
        <v>Output!N91</v>
      </c>
      <c r="AE66" s="360" cm="1">
        <f t="array" aca="1" ref="AE66" ca="1">INDIRECT(AD66)</f>
        <v>0</v>
      </c>
    </row>
    <row r="67" spans="2:31" x14ac:dyDescent="0.35">
      <c r="B67" t="str">
        <f t="shared" si="15"/>
        <v>required_capital</v>
      </c>
      <c r="C67" t="str">
        <f t="shared" si="16"/>
        <v>99_99</v>
      </c>
      <c r="D67" t="str">
        <f t="shared" si="23"/>
        <v>liability_risk</v>
      </c>
      <c r="E67" t="s">
        <v>2813</v>
      </c>
      <c r="F67" t="s">
        <v>2815</v>
      </c>
      <c r="G67" t="s">
        <v>2816</v>
      </c>
      <c r="I67" t="str">
        <f t="shared" si="0"/>
        <v>required_capital:99_99:liability_risk:life:morbidity:critical_illness:</v>
      </c>
      <c r="J67" s="9" t="s">
        <v>2840</v>
      </c>
      <c r="L67" s="9">
        <v>1</v>
      </c>
      <c r="M67" s="9">
        <f t="shared" si="43"/>
        <v>92</v>
      </c>
      <c r="N67" s="9" t="str">
        <f t="shared" si="10"/>
        <v>H</v>
      </c>
      <c r="O67" s="9" t="str">
        <f t="shared" si="1"/>
        <v>Output!H92</v>
      </c>
      <c r="P67" s="360" cm="1">
        <f t="array" aca="1" ref="P67" ca="1">INDIRECT(O67)</f>
        <v>0</v>
      </c>
      <c r="Q67" t="s">
        <v>2842</v>
      </c>
      <c r="R67" t="str">
        <f t="shared" si="2"/>
        <v>required_capital:99_95:liability_risk:life:morbidity:critical_illness:</v>
      </c>
      <c r="S67" s="9" t="str">
        <f t="shared" si="11"/>
        <v>J</v>
      </c>
      <c r="T67" s="9" t="str">
        <f t="shared" si="3"/>
        <v>Output!J92</v>
      </c>
      <c r="U67" s="360" cm="1">
        <f t="array" aca="1" ref="U67" ca="1">INDIRECT(T67)</f>
        <v>0</v>
      </c>
      <c r="V67" t="s">
        <v>2846</v>
      </c>
      <c r="W67" t="str">
        <f t="shared" si="4"/>
        <v>required_capital:99_80:liability_risk:life:morbidity:critical_illness:</v>
      </c>
      <c r="X67" s="9" t="str">
        <f t="shared" si="12"/>
        <v>L</v>
      </c>
      <c r="Y67" s="9" t="str">
        <f t="shared" si="5"/>
        <v>Output!L92</v>
      </c>
      <c r="Z67" s="360" cm="1">
        <f t="array" aca="1" ref="Z67" ca="1">INDIRECT(Y67)</f>
        <v>0</v>
      </c>
      <c r="AA67" t="s">
        <v>2848</v>
      </c>
      <c r="AB67" t="str">
        <f t="shared" si="6"/>
        <v>required_capital:99_50:liability_risk:life:morbidity:critical_illness:</v>
      </c>
      <c r="AC67" s="9" t="str">
        <f t="shared" si="13"/>
        <v>N</v>
      </c>
      <c r="AD67" s="9" t="str">
        <f t="shared" si="7"/>
        <v>Output!N92</v>
      </c>
      <c r="AE67" s="360" cm="1">
        <f t="array" aca="1" ref="AE67" ca="1">INDIRECT(AD67)</f>
        <v>0</v>
      </c>
    </row>
    <row r="68" spans="2:31" x14ac:dyDescent="0.35">
      <c r="B68" t="str">
        <f t="shared" si="15"/>
        <v>required_capital</v>
      </c>
      <c r="C68" t="str">
        <f t="shared" si="16"/>
        <v>99_99</v>
      </c>
      <c r="D68" t="str">
        <f t="shared" si="23"/>
        <v>liability_risk</v>
      </c>
      <c r="E68" t="s">
        <v>2813</v>
      </c>
      <c r="F68" t="s">
        <v>2815</v>
      </c>
      <c r="G68" t="s">
        <v>2817</v>
      </c>
      <c r="I68" t="str">
        <f t="shared" si="0"/>
        <v>required_capital:99_99:liability_risk:life:morbidity:disability:</v>
      </c>
      <c r="J68" s="9" t="s">
        <v>2840</v>
      </c>
      <c r="L68" s="9">
        <v>1</v>
      </c>
      <c r="M68" s="9">
        <f t="shared" si="43"/>
        <v>93</v>
      </c>
      <c r="N68" s="9" t="str">
        <f t="shared" si="10"/>
        <v>H</v>
      </c>
      <c r="O68" s="9" t="str">
        <f t="shared" si="1"/>
        <v>Output!H93</v>
      </c>
      <c r="P68" s="360" cm="1">
        <f t="array" aca="1" ref="P68" ca="1">INDIRECT(O68)</f>
        <v>0</v>
      </c>
      <c r="Q68" t="s">
        <v>2842</v>
      </c>
      <c r="R68" t="str">
        <f t="shared" si="2"/>
        <v>required_capital:99_95:liability_risk:life:morbidity:disability:</v>
      </c>
      <c r="S68" s="9" t="str">
        <f t="shared" si="11"/>
        <v>J</v>
      </c>
      <c r="T68" s="9" t="str">
        <f t="shared" si="3"/>
        <v>Output!J93</v>
      </c>
      <c r="U68" s="360" cm="1">
        <f t="array" aca="1" ref="U68" ca="1">INDIRECT(T68)</f>
        <v>0</v>
      </c>
      <c r="V68" t="s">
        <v>2846</v>
      </c>
      <c r="W68" t="str">
        <f t="shared" si="4"/>
        <v>required_capital:99_80:liability_risk:life:morbidity:disability:</v>
      </c>
      <c r="X68" s="9" t="str">
        <f t="shared" si="12"/>
        <v>L</v>
      </c>
      <c r="Y68" s="9" t="str">
        <f t="shared" si="5"/>
        <v>Output!L93</v>
      </c>
      <c r="Z68" s="360" cm="1">
        <f t="array" aca="1" ref="Z68" ca="1">INDIRECT(Y68)</f>
        <v>0</v>
      </c>
      <c r="AA68" t="s">
        <v>2848</v>
      </c>
      <c r="AB68" t="str">
        <f t="shared" si="6"/>
        <v>required_capital:99_50:liability_risk:life:morbidity:disability:</v>
      </c>
      <c r="AC68" s="9" t="str">
        <f t="shared" si="13"/>
        <v>N</v>
      </c>
      <c r="AD68" s="9" t="str">
        <f t="shared" si="7"/>
        <v>Output!N93</v>
      </c>
      <c r="AE68" s="360" cm="1">
        <f t="array" aca="1" ref="AE68" ca="1">INDIRECT(AD68)</f>
        <v>0</v>
      </c>
    </row>
    <row r="69" spans="2:31" x14ac:dyDescent="0.35">
      <c r="B69" t="str">
        <f t="shared" si="15"/>
        <v>required_capital</v>
      </c>
      <c r="C69" t="str">
        <f t="shared" si="16"/>
        <v>99_99</v>
      </c>
      <c r="D69" t="str">
        <f t="shared" si="23"/>
        <v>liability_risk</v>
      </c>
      <c r="E69" t="s">
        <v>2813</v>
      </c>
      <c r="F69" t="s">
        <v>2815</v>
      </c>
      <c r="G69" t="s">
        <v>2818</v>
      </c>
      <c r="I69" t="str">
        <f t="shared" si="0"/>
        <v>required_capital:99_99:liability_risk:life:morbidity:long_term_care:</v>
      </c>
      <c r="J69" s="9" t="s">
        <v>2840</v>
      </c>
      <c r="L69" s="9">
        <v>1</v>
      </c>
      <c r="M69" s="9">
        <f t="shared" si="43"/>
        <v>94</v>
      </c>
      <c r="N69" s="9" t="str">
        <f t="shared" si="10"/>
        <v>H</v>
      </c>
      <c r="O69" s="9" t="str">
        <f t="shared" si="1"/>
        <v>Output!H94</v>
      </c>
      <c r="P69" s="360" cm="1">
        <f t="array" aca="1" ref="P69" ca="1">INDIRECT(O69)</f>
        <v>0</v>
      </c>
      <c r="Q69" t="s">
        <v>2842</v>
      </c>
      <c r="R69" t="str">
        <f t="shared" si="2"/>
        <v>required_capital:99_95:liability_risk:life:morbidity:long_term_care:</v>
      </c>
      <c r="S69" s="9" t="str">
        <f t="shared" si="11"/>
        <v>J</v>
      </c>
      <c r="T69" s="9" t="str">
        <f t="shared" si="3"/>
        <v>Output!J94</v>
      </c>
      <c r="U69" s="360" cm="1">
        <f t="array" aca="1" ref="U69" ca="1">INDIRECT(T69)</f>
        <v>0</v>
      </c>
      <c r="V69" t="s">
        <v>2846</v>
      </c>
      <c r="W69" t="str">
        <f t="shared" si="4"/>
        <v>required_capital:99_80:liability_risk:life:morbidity:long_term_care:</v>
      </c>
      <c r="X69" s="9" t="str">
        <f t="shared" si="12"/>
        <v>L</v>
      </c>
      <c r="Y69" s="9" t="str">
        <f t="shared" si="5"/>
        <v>Output!L94</v>
      </c>
      <c r="Z69" s="360" cm="1">
        <f t="array" aca="1" ref="Z69" ca="1">INDIRECT(Y69)</f>
        <v>0</v>
      </c>
      <c r="AA69" t="s">
        <v>2848</v>
      </c>
      <c r="AB69" t="str">
        <f t="shared" si="6"/>
        <v>required_capital:99_50:liability_risk:life:morbidity:long_term_care:</v>
      </c>
      <c r="AC69" s="9" t="str">
        <f t="shared" si="13"/>
        <v>N</v>
      </c>
      <c r="AD69" s="9" t="str">
        <f t="shared" si="7"/>
        <v>Output!N94</v>
      </c>
      <c r="AE69" s="360" cm="1">
        <f t="array" aca="1" ref="AE69" ca="1">INDIRECT(AD69)</f>
        <v>0</v>
      </c>
    </row>
    <row r="70" spans="2:31" x14ac:dyDescent="0.35">
      <c r="B70" t="str">
        <f t="shared" si="15"/>
        <v>required_capital</v>
      </c>
      <c r="C70" t="str">
        <f t="shared" si="16"/>
        <v>99_99</v>
      </c>
      <c r="D70" t="str">
        <f t="shared" si="23"/>
        <v>liability_risk</v>
      </c>
      <c r="E70" t="s">
        <v>2813</v>
      </c>
      <c r="F70" t="s">
        <v>2819</v>
      </c>
      <c r="I70" t="str">
        <f t="shared" si="0"/>
        <v>required_capital:99_99:liability_risk:life:longevity::</v>
      </c>
      <c r="J70" s="9" t="s">
        <v>2840</v>
      </c>
      <c r="L70" s="9">
        <v>1</v>
      </c>
      <c r="M70" s="9">
        <f t="shared" si="43"/>
        <v>95</v>
      </c>
      <c r="N70" s="9" t="str">
        <f t="shared" si="10"/>
        <v>H</v>
      </c>
      <c r="O70" s="9" t="str">
        <f t="shared" si="1"/>
        <v>Output!H95</v>
      </c>
      <c r="P70" s="360" cm="1">
        <f t="array" aca="1" ref="P70" ca="1">INDIRECT(O70)</f>
        <v>0</v>
      </c>
      <c r="Q70" t="s">
        <v>2842</v>
      </c>
      <c r="R70" t="str">
        <f t="shared" si="2"/>
        <v>required_capital:99_95:liability_risk:life:longevity::</v>
      </c>
      <c r="S70" s="9" t="str">
        <f t="shared" si="11"/>
        <v>J</v>
      </c>
      <c r="T70" s="9" t="str">
        <f t="shared" si="3"/>
        <v>Output!J95</v>
      </c>
      <c r="U70" s="360" cm="1">
        <f t="array" aca="1" ref="U70" ca="1">INDIRECT(T70)</f>
        <v>0</v>
      </c>
      <c r="V70" t="s">
        <v>2846</v>
      </c>
      <c r="W70" t="str">
        <f t="shared" si="4"/>
        <v>required_capital:99_80:liability_risk:life:longevity::</v>
      </c>
      <c r="X70" s="9" t="str">
        <f t="shared" si="12"/>
        <v>L</v>
      </c>
      <c r="Y70" s="9" t="str">
        <f t="shared" si="5"/>
        <v>Output!L95</v>
      </c>
      <c r="Z70" s="360" cm="1">
        <f t="array" aca="1" ref="Z70" ca="1">INDIRECT(Y70)</f>
        <v>0</v>
      </c>
      <c r="AA70" t="s">
        <v>2848</v>
      </c>
      <c r="AB70" t="str">
        <f t="shared" si="6"/>
        <v>required_capital:99_50:liability_risk:life:longevity::</v>
      </c>
      <c r="AC70" s="9" t="str">
        <f t="shared" si="13"/>
        <v>N</v>
      </c>
      <c r="AD70" s="9" t="str">
        <f t="shared" si="7"/>
        <v>Output!N95</v>
      </c>
      <c r="AE70" s="360" cm="1">
        <f t="array" aca="1" ref="AE70" ca="1">INDIRECT(AD70)</f>
        <v>0</v>
      </c>
    </row>
    <row r="71" spans="2:31" x14ac:dyDescent="0.35">
      <c r="B71" t="str">
        <f t="shared" si="15"/>
        <v>required_capital</v>
      </c>
      <c r="C71" t="str">
        <f t="shared" si="16"/>
        <v>99_99</v>
      </c>
      <c r="D71" t="str">
        <f t="shared" si="23"/>
        <v>liability_risk</v>
      </c>
      <c r="E71" t="s">
        <v>2813</v>
      </c>
      <c r="F71" t="s">
        <v>2820</v>
      </c>
      <c r="I71" t="str">
        <f t="shared" ref="I71:I120" si="63">CONCATENATE($B71, ":",C71,":",$D71,":",$E71,":",$F71,":",$G71,":",$H71)</f>
        <v>required_capital:99_99:liability_risk:life:other_life::</v>
      </c>
      <c r="J71" s="9" t="s">
        <v>2840</v>
      </c>
      <c r="L71" s="9">
        <v>1</v>
      </c>
      <c r="M71" s="9">
        <f t="shared" si="43"/>
        <v>96</v>
      </c>
      <c r="N71" s="9" t="str">
        <f t="shared" si="10"/>
        <v>H</v>
      </c>
      <c r="O71" s="9" t="str">
        <f t="shared" ref="O71:O120" si="64">CONCATENATE($J71,"!",N71,$M71)</f>
        <v>Output!H96</v>
      </c>
      <c r="P71" s="360" cm="1">
        <f t="array" aca="1" ref="P71" ca="1">INDIRECT(O71)</f>
        <v>0</v>
      </c>
      <c r="Q71" t="s">
        <v>2842</v>
      </c>
      <c r="R71" t="str">
        <f t="shared" ref="R71:R120" si="65">IF(Q71="","",CONCATENATE($B71,":",Q71,":",$D71,":",$E71,":",$F71,":",$G71,":",$H71))</f>
        <v>required_capital:99_95:liability_risk:life:other_life::</v>
      </c>
      <c r="S71" s="9" t="str">
        <f t="shared" si="11"/>
        <v>J</v>
      </c>
      <c r="T71" s="9" t="str">
        <f t="shared" ref="T71:T120" si="66">CONCATENATE($J71,"!",S71,$M71)</f>
        <v>Output!J96</v>
      </c>
      <c r="U71" s="360" cm="1">
        <f t="array" aca="1" ref="U71" ca="1">INDIRECT(T71)</f>
        <v>0</v>
      </c>
      <c r="V71" t="s">
        <v>2846</v>
      </c>
      <c r="W71" t="str">
        <f t="shared" ref="W71:W120" si="67">IF(V71="","",CONCATENATE($B71,":",V71,":",$D71,":",$E71,":",$F71,":",$G71,":",$H71))</f>
        <v>required_capital:99_80:liability_risk:life:other_life::</v>
      </c>
      <c r="X71" s="9" t="str">
        <f t="shared" si="12"/>
        <v>L</v>
      </c>
      <c r="Y71" s="9" t="str">
        <f t="shared" ref="Y71:Y120" si="68">CONCATENATE($J71,"!",X71,$M71)</f>
        <v>Output!L96</v>
      </c>
      <c r="Z71" s="360" cm="1">
        <f t="array" aca="1" ref="Z71" ca="1">INDIRECT(Y71)</f>
        <v>0</v>
      </c>
      <c r="AA71" t="s">
        <v>2848</v>
      </c>
      <c r="AB71" t="str">
        <f t="shared" ref="AB71:AB120" si="69">IF(AA71="","",CONCATENATE($B71,":",AA71,":",$D71,":",$E71,":",$F71,":",$G71,":",$H71))</f>
        <v>required_capital:99_50:liability_risk:life:other_life::</v>
      </c>
      <c r="AC71" s="9" t="str">
        <f t="shared" si="13"/>
        <v>N</v>
      </c>
      <c r="AD71" s="9" t="str">
        <f t="shared" ref="AD71:AD120" si="70">CONCATENATE($J71,"!",AC71,$M71)</f>
        <v>Output!N96</v>
      </c>
      <c r="AE71" s="360" cm="1">
        <f t="array" aca="1" ref="AE71" ca="1">INDIRECT(AD71)</f>
        <v>0</v>
      </c>
    </row>
    <row r="72" spans="2:31" x14ac:dyDescent="0.35">
      <c r="B72" t="str">
        <f t="shared" si="15"/>
        <v>required_capital</v>
      </c>
      <c r="C72" t="str">
        <f t="shared" si="16"/>
        <v>99_99</v>
      </c>
      <c r="D72" t="str">
        <f t="shared" si="23"/>
        <v>liability_risk</v>
      </c>
      <c r="E72" t="s">
        <v>2813</v>
      </c>
      <c r="F72" t="s">
        <v>4374</v>
      </c>
      <c r="I72" t="str">
        <f t="shared" si="63"/>
        <v>required_capital:99_99:liability_risk:life:lt_health_with_aging_reserves::</v>
      </c>
      <c r="J72" s="9" t="s">
        <v>2840</v>
      </c>
      <c r="L72" s="9">
        <v>1</v>
      </c>
      <c r="M72" s="9">
        <f t="shared" si="43"/>
        <v>97</v>
      </c>
      <c r="N72" s="9" t="str">
        <f t="shared" ref="N72:N120" si="71">N71</f>
        <v>H</v>
      </c>
      <c r="O72" s="9" t="str">
        <f t="shared" si="64"/>
        <v>Output!H97</v>
      </c>
      <c r="P72" s="360" cm="1">
        <f t="array" aca="1" ref="P72" ca="1">INDIRECT(O72)</f>
        <v>0</v>
      </c>
      <c r="Q72" t="s">
        <v>2842</v>
      </c>
      <c r="R72" t="str">
        <f t="shared" si="65"/>
        <v>required_capital:99_95:liability_risk:life:lt_health_with_aging_reserves::</v>
      </c>
      <c r="S72" s="9" t="str">
        <f t="shared" ref="S72:S120" si="72">S71</f>
        <v>J</v>
      </c>
      <c r="T72" s="9" t="str">
        <f t="shared" si="66"/>
        <v>Output!J97</v>
      </c>
      <c r="U72" s="360" cm="1">
        <f t="array" aca="1" ref="U72" ca="1">INDIRECT(T72)</f>
        <v>0</v>
      </c>
      <c r="V72" t="s">
        <v>2846</v>
      </c>
      <c r="W72" t="str">
        <f t="shared" si="67"/>
        <v>required_capital:99_80:liability_risk:life:lt_health_with_aging_reserves::</v>
      </c>
      <c r="X72" s="9" t="str">
        <f t="shared" ref="X72:X120" si="73">X71</f>
        <v>L</v>
      </c>
      <c r="Y72" s="9" t="str">
        <f t="shared" si="68"/>
        <v>Output!L97</v>
      </c>
      <c r="Z72" s="360" cm="1">
        <f t="array" aca="1" ref="Z72" ca="1">INDIRECT(Y72)</f>
        <v>0</v>
      </c>
      <c r="AA72" t="s">
        <v>2848</v>
      </c>
      <c r="AB72" t="str">
        <f t="shared" si="69"/>
        <v>required_capital:99_50:liability_risk:life:lt_health_with_aging_reserves::</v>
      </c>
      <c r="AC72" s="9" t="str">
        <f t="shared" ref="AC72:AC120" si="74">AC71</f>
        <v>N</v>
      </c>
      <c r="AD72" s="9" t="str">
        <f t="shared" si="70"/>
        <v>Output!N97</v>
      </c>
      <c r="AE72" s="360" cm="1">
        <f t="array" aca="1" ref="AE72" ca="1">INDIRECT(AD72)</f>
        <v>0</v>
      </c>
    </row>
    <row r="73" spans="2:31" x14ac:dyDescent="0.35">
      <c r="B73" t="str">
        <f t="shared" si="15"/>
        <v>required_capital</v>
      </c>
      <c r="C73" t="str">
        <f t="shared" si="16"/>
        <v>99_99</v>
      </c>
      <c r="D73" t="str">
        <f t="shared" si="23"/>
        <v>liability_risk</v>
      </c>
      <c r="E73" t="s">
        <v>2813</v>
      </c>
      <c r="F73" t="s">
        <v>2821</v>
      </c>
      <c r="I73" t="str">
        <f t="shared" si="63"/>
        <v>required_capital:99_99:liability_risk:life:variable_annuities::</v>
      </c>
      <c r="J73" s="9" t="s">
        <v>2840</v>
      </c>
      <c r="L73" s="9">
        <v>1</v>
      </c>
      <c r="M73" s="9">
        <f t="shared" si="43"/>
        <v>98</v>
      </c>
      <c r="N73" s="9" t="str">
        <f t="shared" si="71"/>
        <v>H</v>
      </c>
      <c r="O73" s="9" t="str">
        <f t="shared" si="64"/>
        <v>Output!H98</v>
      </c>
      <c r="P73" s="360" cm="1">
        <f t="array" aca="1" ref="P73" ca="1">INDIRECT(O73)</f>
        <v>0</v>
      </c>
      <c r="Q73" t="s">
        <v>2842</v>
      </c>
      <c r="R73" t="str">
        <f t="shared" si="65"/>
        <v>required_capital:99_95:liability_risk:life:variable_annuities::</v>
      </c>
      <c r="S73" s="9" t="str">
        <f t="shared" si="72"/>
        <v>J</v>
      </c>
      <c r="T73" s="9" t="str">
        <f t="shared" si="66"/>
        <v>Output!J98</v>
      </c>
      <c r="U73" s="360" cm="1">
        <f t="array" aca="1" ref="U73" ca="1">INDIRECT(T73)</f>
        <v>0</v>
      </c>
      <c r="V73" t="s">
        <v>2846</v>
      </c>
      <c r="W73" t="str">
        <f t="shared" si="67"/>
        <v>required_capital:99_80:liability_risk:life:variable_annuities::</v>
      </c>
      <c r="X73" s="9" t="str">
        <f t="shared" si="73"/>
        <v>L</v>
      </c>
      <c r="Y73" s="9" t="str">
        <f t="shared" si="68"/>
        <v>Output!L98</v>
      </c>
      <c r="Z73" s="360" cm="1">
        <f t="array" aca="1" ref="Z73" ca="1">INDIRECT(Y73)</f>
        <v>0</v>
      </c>
      <c r="AA73" t="s">
        <v>2848</v>
      </c>
      <c r="AB73" t="str">
        <f t="shared" si="69"/>
        <v>required_capital:99_50:liability_risk:life:variable_annuities::</v>
      </c>
      <c r="AC73" s="9" t="str">
        <f t="shared" si="74"/>
        <v>N</v>
      </c>
      <c r="AD73" s="9" t="str">
        <f t="shared" si="70"/>
        <v>Output!N98</v>
      </c>
      <c r="AE73" s="360" cm="1">
        <f t="array" aca="1" ref="AE73" ca="1">INDIRECT(AD73)</f>
        <v>0</v>
      </c>
    </row>
    <row r="74" spans="2:31" x14ac:dyDescent="0.35">
      <c r="B74" t="str">
        <f t="shared" si="15"/>
        <v>required_capital</v>
      </c>
      <c r="C74" t="str">
        <f t="shared" si="16"/>
        <v>99_99</v>
      </c>
      <c r="D74" t="str">
        <f t="shared" si="23"/>
        <v>liability_risk</v>
      </c>
      <c r="E74" t="s">
        <v>2782</v>
      </c>
      <c r="F74" t="s">
        <v>2783</v>
      </c>
      <c r="I74" t="str">
        <f t="shared" si="63"/>
        <v>required_capital:99_99:liability_risk:adjustments:total::</v>
      </c>
      <c r="J74" s="9" t="s">
        <v>2840</v>
      </c>
      <c r="L74" s="9">
        <v>2</v>
      </c>
      <c r="M74" s="9">
        <f t="shared" si="43"/>
        <v>100</v>
      </c>
      <c r="N74" s="9" t="str">
        <f t="shared" si="71"/>
        <v>H</v>
      </c>
      <c r="O74" s="9" t="str">
        <f t="shared" si="64"/>
        <v>Output!H100</v>
      </c>
      <c r="P74" s="360" cm="1">
        <f t="array" aca="1" ref="P74" ca="1">INDIRECT(O74)</f>
        <v>0</v>
      </c>
      <c r="Q74" t="s">
        <v>2842</v>
      </c>
      <c r="R74" t="str">
        <f t="shared" si="65"/>
        <v>required_capital:99_95:liability_risk:adjustments:total::</v>
      </c>
      <c r="S74" s="9" t="str">
        <f t="shared" si="72"/>
        <v>J</v>
      </c>
      <c r="T74" s="9" t="str">
        <f t="shared" si="66"/>
        <v>Output!J100</v>
      </c>
      <c r="U74" s="360" cm="1">
        <f t="array" aca="1" ref="U74" ca="1">INDIRECT(T74)</f>
        <v>0</v>
      </c>
      <c r="V74" t="s">
        <v>2846</v>
      </c>
      <c r="W74" t="str">
        <f t="shared" si="67"/>
        <v>required_capital:99_80:liability_risk:adjustments:total::</v>
      </c>
      <c r="X74" s="9" t="str">
        <f t="shared" si="73"/>
        <v>L</v>
      </c>
      <c r="Y74" s="9" t="str">
        <f t="shared" si="68"/>
        <v>Output!L100</v>
      </c>
      <c r="Z74" s="360" cm="1">
        <f t="array" aca="1" ref="Z74" ca="1">INDIRECT(Y74)</f>
        <v>0</v>
      </c>
      <c r="AA74" t="s">
        <v>2848</v>
      </c>
      <c r="AB74" t="str">
        <f t="shared" si="69"/>
        <v>required_capital:99_50:liability_risk:adjustments:total::</v>
      </c>
      <c r="AC74" s="9" t="str">
        <f t="shared" si="74"/>
        <v>N</v>
      </c>
      <c r="AD74" s="9" t="str">
        <f t="shared" si="70"/>
        <v>Output!N100</v>
      </c>
      <c r="AE74" s="360" cm="1">
        <f t="array" aca="1" ref="AE74" ca="1">INDIRECT(AD74)</f>
        <v>0</v>
      </c>
    </row>
    <row r="75" spans="2:31" x14ac:dyDescent="0.35">
      <c r="B75" t="str">
        <f t="shared" si="15"/>
        <v>required_capital</v>
      </c>
      <c r="C75" t="str">
        <f t="shared" si="16"/>
        <v>99_99</v>
      </c>
      <c r="D75" t="str">
        <f t="shared" si="23"/>
        <v>liability_risk</v>
      </c>
      <c r="E75" t="s">
        <v>2782</v>
      </c>
      <c r="F75" t="s">
        <v>2822</v>
      </c>
      <c r="I75" t="str">
        <f t="shared" si="63"/>
        <v>required_capital:99_99:liability_risk:adjustments:value::</v>
      </c>
      <c r="J75" s="9" t="s">
        <v>2840</v>
      </c>
      <c r="L75" s="9">
        <v>1</v>
      </c>
      <c r="M75" s="9">
        <f t="shared" si="43"/>
        <v>101</v>
      </c>
      <c r="N75" s="9" t="str">
        <f t="shared" si="71"/>
        <v>H</v>
      </c>
      <c r="O75" s="9" t="str">
        <f t="shared" si="64"/>
        <v>Output!H101</v>
      </c>
      <c r="P75" s="360" cm="1">
        <f t="array" aca="1" ref="P75" ca="1">INDIRECT(O75)</f>
        <v>0</v>
      </c>
      <c r="Q75" t="s">
        <v>2842</v>
      </c>
      <c r="R75" t="str">
        <f t="shared" si="65"/>
        <v>required_capital:99_95:liability_risk:adjustments:value::</v>
      </c>
      <c r="S75" s="9" t="str">
        <f t="shared" si="72"/>
        <v>J</v>
      </c>
      <c r="T75" s="9" t="str">
        <f t="shared" si="66"/>
        <v>Output!J101</v>
      </c>
      <c r="U75" s="360" cm="1">
        <f t="array" aca="1" ref="U75" ca="1">INDIRECT(T75)</f>
        <v>0</v>
      </c>
      <c r="V75" t="s">
        <v>2846</v>
      </c>
      <c r="W75" t="str">
        <f t="shared" si="67"/>
        <v>required_capital:99_80:liability_risk:adjustments:value::</v>
      </c>
      <c r="X75" s="9" t="str">
        <f t="shared" si="73"/>
        <v>L</v>
      </c>
      <c r="Y75" s="9" t="str">
        <f t="shared" si="68"/>
        <v>Output!L101</v>
      </c>
      <c r="Z75" s="360" cm="1">
        <f t="array" aca="1" ref="Z75" ca="1">INDIRECT(Y75)</f>
        <v>0</v>
      </c>
      <c r="AA75" t="s">
        <v>2848</v>
      </c>
      <c r="AB75" t="str">
        <f t="shared" si="69"/>
        <v>required_capital:99_50:liability_risk:adjustments:value::</v>
      </c>
      <c r="AC75" s="9" t="str">
        <f t="shared" si="74"/>
        <v>N</v>
      </c>
      <c r="AD75" s="9" t="str">
        <f t="shared" si="70"/>
        <v>Output!N101</v>
      </c>
      <c r="AE75" s="360" cm="1">
        <f t="array" aca="1" ref="AE75" ca="1">INDIRECT(AD75)</f>
        <v>0</v>
      </c>
    </row>
    <row r="76" spans="2:31" x14ac:dyDescent="0.35">
      <c r="B76" t="str">
        <f t="shared" si="15"/>
        <v>required_capital</v>
      </c>
      <c r="C76" t="str">
        <f t="shared" si="16"/>
        <v>99_99</v>
      </c>
      <c r="D76" t="str">
        <f t="shared" si="23"/>
        <v>liability_risk</v>
      </c>
      <c r="E76" t="s">
        <v>2782</v>
      </c>
      <c r="F76" t="s">
        <v>2801</v>
      </c>
      <c r="G76" t="s">
        <v>2822</v>
      </c>
      <c r="I76" t="str">
        <f t="shared" si="63"/>
        <v>required_capital:99_99:liability_risk:adjustments:non_life:value:</v>
      </c>
      <c r="J76" s="9" t="s">
        <v>2840</v>
      </c>
      <c r="L76" s="9">
        <v>1</v>
      </c>
      <c r="M76" s="9">
        <f t="shared" si="43"/>
        <v>102</v>
      </c>
      <c r="N76" s="9" t="str">
        <f t="shared" si="71"/>
        <v>H</v>
      </c>
      <c r="O76" s="9" t="str">
        <f t="shared" si="64"/>
        <v>Output!H102</v>
      </c>
      <c r="P76" s="360" cm="1">
        <f t="array" aca="1" ref="P76" ca="1">INDIRECT(O76)</f>
        <v>0</v>
      </c>
      <c r="Q76" t="s">
        <v>2842</v>
      </c>
      <c r="R76" t="str">
        <f t="shared" si="65"/>
        <v>required_capital:99_95:liability_risk:adjustments:non_life:value:</v>
      </c>
      <c r="S76" s="9" t="str">
        <f t="shared" si="72"/>
        <v>J</v>
      </c>
      <c r="T76" s="9" t="str">
        <f t="shared" si="66"/>
        <v>Output!J102</v>
      </c>
      <c r="U76" s="360" cm="1">
        <f t="array" aca="1" ref="U76" ca="1">INDIRECT(T76)</f>
        <v>0</v>
      </c>
      <c r="V76" t="s">
        <v>2846</v>
      </c>
      <c r="W76" t="str">
        <f t="shared" si="67"/>
        <v>required_capital:99_80:liability_risk:adjustments:non_life:value:</v>
      </c>
      <c r="X76" s="9" t="str">
        <f t="shared" si="73"/>
        <v>L</v>
      </c>
      <c r="Y76" s="9" t="str">
        <f t="shared" si="68"/>
        <v>Output!L102</v>
      </c>
      <c r="Z76" s="360" cm="1">
        <f t="array" aca="1" ref="Z76" ca="1">INDIRECT(Y76)</f>
        <v>0</v>
      </c>
      <c r="AA76" t="s">
        <v>2848</v>
      </c>
      <c r="AB76" t="str">
        <f t="shared" si="69"/>
        <v>required_capital:99_50:liability_risk:adjustments:non_life:value:</v>
      </c>
      <c r="AC76" s="9" t="str">
        <f t="shared" si="74"/>
        <v>N</v>
      </c>
      <c r="AD76" s="9" t="str">
        <f t="shared" si="70"/>
        <v>Output!N102</v>
      </c>
      <c r="AE76" s="360" cm="1">
        <f t="array" aca="1" ref="AE76" ca="1">INDIRECT(AD76)</f>
        <v>0</v>
      </c>
    </row>
    <row r="77" spans="2:31" x14ac:dyDescent="0.35">
      <c r="B77" t="str">
        <f t="shared" si="15"/>
        <v>required_capital</v>
      </c>
      <c r="C77" t="str">
        <f t="shared" si="16"/>
        <v>99_99</v>
      </c>
      <c r="D77" t="str">
        <f t="shared" si="23"/>
        <v>liability_risk</v>
      </c>
      <c r="E77" t="s">
        <v>2782</v>
      </c>
      <c r="F77" t="s">
        <v>2801</v>
      </c>
      <c r="G77" t="s">
        <v>2802</v>
      </c>
      <c r="H77" t="s">
        <v>2783</v>
      </c>
      <c r="I77" t="str">
        <f t="shared" si="63"/>
        <v>required_capital:99_99:liability_risk:adjustments:non_life:premium:total</v>
      </c>
      <c r="J77" s="9" t="s">
        <v>2840</v>
      </c>
      <c r="L77" s="9">
        <v>1</v>
      </c>
      <c r="M77" s="9">
        <f t="shared" si="43"/>
        <v>103</v>
      </c>
      <c r="N77" s="9" t="str">
        <f t="shared" si="71"/>
        <v>H</v>
      </c>
      <c r="O77" s="9" t="str">
        <f t="shared" si="64"/>
        <v>Output!H103</v>
      </c>
      <c r="P77" s="360" cm="1">
        <f t="array" aca="1" ref="P77" ca="1">INDIRECT(O77)</f>
        <v>0</v>
      </c>
      <c r="Q77" t="s">
        <v>2842</v>
      </c>
      <c r="R77" t="str">
        <f t="shared" si="65"/>
        <v>required_capital:99_95:liability_risk:adjustments:non_life:premium:total</v>
      </c>
      <c r="S77" s="9" t="str">
        <f t="shared" si="72"/>
        <v>J</v>
      </c>
      <c r="T77" s="9" t="str">
        <f t="shared" si="66"/>
        <v>Output!J103</v>
      </c>
      <c r="U77" s="360" cm="1">
        <f t="array" aca="1" ref="U77" ca="1">INDIRECT(T77)</f>
        <v>0</v>
      </c>
      <c r="V77" t="s">
        <v>2846</v>
      </c>
      <c r="W77" t="str">
        <f t="shared" si="67"/>
        <v>required_capital:99_80:liability_risk:adjustments:non_life:premium:total</v>
      </c>
      <c r="X77" s="9" t="str">
        <f t="shared" si="73"/>
        <v>L</v>
      </c>
      <c r="Y77" s="9" t="str">
        <f t="shared" si="68"/>
        <v>Output!L103</v>
      </c>
      <c r="Z77" s="360" cm="1">
        <f t="array" aca="1" ref="Z77" ca="1">INDIRECT(Y77)</f>
        <v>0</v>
      </c>
      <c r="AA77" t="s">
        <v>2848</v>
      </c>
      <c r="AB77" t="str">
        <f t="shared" si="69"/>
        <v>required_capital:99_50:liability_risk:adjustments:non_life:premium:total</v>
      </c>
      <c r="AC77" s="9" t="str">
        <f t="shared" si="74"/>
        <v>N</v>
      </c>
      <c r="AD77" s="9" t="str">
        <f t="shared" si="70"/>
        <v>Output!N103</v>
      </c>
      <c r="AE77" s="360" cm="1">
        <f t="array" aca="1" ref="AE77" ca="1">INDIRECT(AD77)</f>
        <v>0</v>
      </c>
    </row>
    <row r="78" spans="2:31" x14ac:dyDescent="0.35">
      <c r="B78" t="str">
        <f t="shared" si="15"/>
        <v>required_capital</v>
      </c>
      <c r="C78" t="str">
        <f t="shared" si="16"/>
        <v>99_99</v>
      </c>
      <c r="D78" t="str">
        <f t="shared" si="23"/>
        <v>liability_risk</v>
      </c>
      <c r="E78" t="s">
        <v>2782</v>
      </c>
      <c r="F78" t="s">
        <v>2801</v>
      </c>
      <c r="G78" t="s">
        <v>2802</v>
      </c>
      <c r="H78" t="s">
        <v>2803</v>
      </c>
      <c r="I78" t="str">
        <f t="shared" si="63"/>
        <v>required_capital:99_99:liability_risk:adjustments:non_life:premium:liability</v>
      </c>
      <c r="J78" s="9" t="s">
        <v>2840</v>
      </c>
      <c r="L78" s="9">
        <v>1</v>
      </c>
      <c r="M78" s="9">
        <f t="shared" si="43"/>
        <v>104</v>
      </c>
      <c r="N78" s="9" t="str">
        <f t="shared" si="71"/>
        <v>H</v>
      </c>
      <c r="O78" s="9" t="str">
        <f t="shared" si="64"/>
        <v>Output!H104</v>
      </c>
      <c r="P78" s="360" cm="1">
        <f t="array" aca="1" ref="P78" ca="1">INDIRECT(O78)</f>
        <v>0</v>
      </c>
      <c r="Q78" t="s">
        <v>2842</v>
      </c>
      <c r="R78" t="str">
        <f t="shared" si="65"/>
        <v>required_capital:99_95:liability_risk:adjustments:non_life:premium:liability</v>
      </c>
      <c r="S78" s="9" t="str">
        <f t="shared" si="72"/>
        <v>J</v>
      </c>
      <c r="T78" s="9" t="str">
        <f t="shared" si="66"/>
        <v>Output!J104</v>
      </c>
      <c r="U78" s="360" cm="1">
        <f t="array" aca="1" ref="U78" ca="1">INDIRECT(T78)</f>
        <v>0</v>
      </c>
      <c r="V78" t="s">
        <v>2846</v>
      </c>
      <c r="W78" t="str">
        <f t="shared" si="67"/>
        <v>required_capital:99_80:liability_risk:adjustments:non_life:premium:liability</v>
      </c>
      <c r="X78" s="9" t="str">
        <f t="shared" si="73"/>
        <v>L</v>
      </c>
      <c r="Y78" s="9" t="str">
        <f t="shared" si="68"/>
        <v>Output!L104</v>
      </c>
      <c r="Z78" s="360" cm="1">
        <f t="array" aca="1" ref="Z78" ca="1">INDIRECT(Y78)</f>
        <v>0</v>
      </c>
      <c r="AA78" t="s">
        <v>2848</v>
      </c>
      <c r="AB78" t="str">
        <f t="shared" si="69"/>
        <v>required_capital:99_50:liability_risk:adjustments:non_life:premium:liability</v>
      </c>
      <c r="AC78" s="9" t="str">
        <f t="shared" si="74"/>
        <v>N</v>
      </c>
      <c r="AD78" s="9" t="str">
        <f t="shared" si="70"/>
        <v>Output!N104</v>
      </c>
      <c r="AE78" s="360" cm="1">
        <f t="array" aca="1" ref="AE78" ca="1">INDIRECT(AD78)</f>
        <v>0</v>
      </c>
    </row>
    <row r="79" spans="2:31" x14ac:dyDescent="0.35">
      <c r="B79" t="str">
        <f t="shared" si="15"/>
        <v>required_capital</v>
      </c>
      <c r="C79" t="str">
        <f t="shared" si="16"/>
        <v>99_99</v>
      </c>
      <c r="D79" t="str">
        <f t="shared" si="23"/>
        <v>liability_risk</v>
      </c>
      <c r="E79" t="s">
        <v>2782</v>
      </c>
      <c r="F79" t="s">
        <v>2801</v>
      </c>
      <c r="G79" t="s">
        <v>2802</v>
      </c>
      <c r="H79" t="s">
        <v>2804</v>
      </c>
      <c r="I79" t="str">
        <f t="shared" si="63"/>
        <v>required_capital:99_99:liability_risk:adjustments:non_life:premium:property</v>
      </c>
      <c r="J79" s="9" t="s">
        <v>2840</v>
      </c>
      <c r="L79" s="9">
        <v>1</v>
      </c>
      <c r="M79" s="9">
        <f t="shared" si="43"/>
        <v>105</v>
      </c>
      <c r="N79" s="9" t="str">
        <f t="shared" si="71"/>
        <v>H</v>
      </c>
      <c r="O79" s="9" t="str">
        <f t="shared" si="64"/>
        <v>Output!H105</v>
      </c>
      <c r="P79" s="360" cm="1">
        <f t="array" aca="1" ref="P79" ca="1">INDIRECT(O79)</f>
        <v>0</v>
      </c>
      <c r="Q79" t="s">
        <v>2842</v>
      </c>
      <c r="R79" t="str">
        <f t="shared" si="65"/>
        <v>required_capital:99_95:liability_risk:adjustments:non_life:premium:property</v>
      </c>
      <c r="S79" s="9" t="str">
        <f t="shared" si="72"/>
        <v>J</v>
      </c>
      <c r="T79" s="9" t="str">
        <f t="shared" si="66"/>
        <v>Output!J105</v>
      </c>
      <c r="U79" s="360" cm="1">
        <f t="array" aca="1" ref="U79" ca="1">INDIRECT(T79)</f>
        <v>0</v>
      </c>
      <c r="V79" t="s">
        <v>2846</v>
      </c>
      <c r="W79" t="str">
        <f t="shared" si="67"/>
        <v>required_capital:99_80:liability_risk:adjustments:non_life:premium:property</v>
      </c>
      <c r="X79" s="9" t="str">
        <f t="shared" si="73"/>
        <v>L</v>
      </c>
      <c r="Y79" s="9" t="str">
        <f t="shared" si="68"/>
        <v>Output!L105</v>
      </c>
      <c r="Z79" s="360" cm="1">
        <f t="array" aca="1" ref="Z79" ca="1">INDIRECT(Y79)</f>
        <v>0</v>
      </c>
      <c r="AA79" t="s">
        <v>2848</v>
      </c>
      <c r="AB79" t="str">
        <f t="shared" si="69"/>
        <v>required_capital:99_50:liability_risk:adjustments:non_life:premium:property</v>
      </c>
      <c r="AC79" s="9" t="str">
        <f t="shared" si="74"/>
        <v>N</v>
      </c>
      <c r="AD79" s="9" t="str">
        <f t="shared" si="70"/>
        <v>Output!N105</v>
      </c>
      <c r="AE79" s="360" cm="1">
        <f t="array" aca="1" ref="AE79" ca="1">INDIRECT(AD79)</f>
        <v>0</v>
      </c>
    </row>
    <row r="80" spans="2:31" x14ac:dyDescent="0.35">
      <c r="B80" t="str">
        <f t="shared" si="15"/>
        <v>required_capital</v>
      </c>
      <c r="C80" t="str">
        <f t="shared" si="16"/>
        <v>99_99</v>
      </c>
      <c r="D80" t="str">
        <f t="shared" si="23"/>
        <v>liability_risk</v>
      </c>
      <c r="E80" t="s">
        <v>2782</v>
      </c>
      <c r="F80" t="s">
        <v>2801</v>
      </c>
      <c r="G80" t="s">
        <v>2802</v>
      </c>
      <c r="H80" t="s">
        <v>2805</v>
      </c>
      <c r="I80" t="str">
        <f t="shared" si="63"/>
        <v>required_capital:99_99:liability_risk:adjustments:non_life:premium:motor</v>
      </c>
      <c r="J80" s="9" t="s">
        <v>2840</v>
      </c>
      <c r="L80" s="9">
        <v>1</v>
      </c>
      <c r="M80" s="9">
        <f t="shared" si="43"/>
        <v>106</v>
      </c>
      <c r="N80" s="9" t="str">
        <f t="shared" si="71"/>
        <v>H</v>
      </c>
      <c r="O80" s="9" t="str">
        <f t="shared" si="64"/>
        <v>Output!H106</v>
      </c>
      <c r="P80" s="360" cm="1">
        <f t="array" aca="1" ref="P80" ca="1">INDIRECT(O80)</f>
        <v>0</v>
      </c>
      <c r="Q80" t="s">
        <v>2842</v>
      </c>
      <c r="R80" t="str">
        <f t="shared" si="65"/>
        <v>required_capital:99_95:liability_risk:adjustments:non_life:premium:motor</v>
      </c>
      <c r="S80" s="9" t="str">
        <f t="shared" si="72"/>
        <v>J</v>
      </c>
      <c r="T80" s="9" t="str">
        <f t="shared" si="66"/>
        <v>Output!J106</v>
      </c>
      <c r="U80" s="360" cm="1">
        <f t="array" aca="1" ref="U80" ca="1">INDIRECT(T80)</f>
        <v>0</v>
      </c>
      <c r="V80" t="s">
        <v>2846</v>
      </c>
      <c r="W80" t="str">
        <f t="shared" si="67"/>
        <v>required_capital:99_80:liability_risk:adjustments:non_life:premium:motor</v>
      </c>
      <c r="X80" s="9" t="str">
        <f t="shared" si="73"/>
        <v>L</v>
      </c>
      <c r="Y80" s="9" t="str">
        <f t="shared" si="68"/>
        <v>Output!L106</v>
      </c>
      <c r="Z80" s="360" cm="1">
        <f t="array" aca="1" ref="Z80" ca="1">INDIRECT(Y80)</f>
        <v>0</v>
      </c>
      <c r="AA80" t="s">
        <v>2848</v>
      </c>
      <c r="AB80" t="str">
        <f t="shared" si="69"/>
        <v>required_capital:99_50:liability_risk:adjustments:non_life:premium:motor</v>
      </c>
      <c r="AC80" s="9" t="str">
        <f t="shared" si="74"/>
        <v>N</v>
      </c>
      <c r="AD80" s="9" t="str">
        <f t="shared" si="70"/>
        <v>Output!N106</v>
      </c>
      <c r="AE80" s="360" cm="1">
        <f t="array" aca="1" ref="AE80" ca="1">INDIRECT(AD80)</f>
        <v>0</v>
      </c>
    </row>
    <row r="81" spans="2:31" x14ac:dyDescent="0.35">
      <c r="B81" t="str">
        <f t="shared" si="15"/>
        <v>required_capital</v>
      </c>
      <c r="C81" t="str">
        <f t="shared" si="16"/>
        <v>99_99</v>
      </c>
      <c r="D81" t="str">
        <f t="shared" si="23"/>
        <v>liability_risk</v>
      </c>
      <c r="E81" t="s">
        <v>2782</v>
      </c>
      <c r="F81" t="s">
        <v>2801</v>
      </c>
      <c r="G81" t="s">
        <v>2802</v>
      </c>
      <c r="H81" t="s">
        <v>2806</v>
      </c>
      <c r="I81" t="str">
        <f t="shared" si="63"/>
        <v>required_capital:99_99:liability_risk:adjustments:non_life:premium:financial</v>
      </c>
      <c r="J81" s="9" t="s">
        <v>2840</v>
      </c>
      <c r="L81" s="9">
        <v>1</v>
      </c>
      <c r="M81" s="9">
        <f t="shared" si="43"/>
        <v>107</v>
      </c>
      <c r="N81" s="9" t="str">
        <f t="shared" si="71"/>
        <v>H</v>
      </c>
      <c r="O81" s="9" t="str">
        <f t="shared" si="64"/>
        <v>Output!H107</v>
      </c>
      <c r="P81" s="360" cm="1">
        <f t="array" aca="1" ref="P81" ca="1">INDIRECT(O81)</f>
        <v>0</v>
      </c>
      <c r="Q81" t="s">
        <v>2842</v>
      </c>
      <c r="R81" t="str">
        <f t="shared" si="65"/>
        <v>required_capital:99_95:liability_risk:adjustments:non_life:premium:financial</v>
      </c>
      <c r="S81" s="9" t="str">
        <f t="shared" si="72"/>
        <v>J</v>
      </c>
      <c r="T81" s="9" t="str">
        <f t="shared" si="66"/>
        <v>Output!J107</v>
      </c>
      <c r="U81" s="360" cm="1">
        <f t="array" aca="1" ref="U81" ca="1">INDIRECT(T81)</f>
        <v>0</v>
      </c>
      <c r="V81" t="s">
        <v>2846</v>
      </c>
      <c r="W81" t="str">
        <f t="shared" si="67"/>
        <v>required_capital:99_80:liability_risk:adjustments:non_life:premium:financial</v>
      </c>
      <c r="X81" s="9" t="str">
        <f t="shared" si="73"/>
        <v>L</v>
      </c>
      <c r="Y81" s="9" t="str">
        <f t="shared" si="68"/>
        <v>Output!L107</v>
      </c>
      <c r="Z81" s="360" cm="1">
        <f t="array" aca="1" ref="Z81" ca="1">INDIRECT(Y81)</f>
        <v>0</v>
      </c>
      <c r="AA81" t="s">
        <v>2848</v>
      </c>
      <c r="AB81" t="str">
        <f t="shared" si="69"/>
        <v>required_capital:99_50:liability_risk:adjustments:non_life:premium:financial</v>
      </c>
      <c r="AC81" s="9" t="str">
        <f t="shared" si="74"/>
        <v>N</v>
      </c>
      <c r="AD81" s="9" t="str">
        <f t="shared" si="70"/>
        <v>Output!N107</v>
      </c>
      <c r="AE81" s="360" cm="1">
        <f t="array" aca="1" ref="AE81" ca="1">INDIRECT(AD81)</f>
        <v>0</v>
      </c>
    </row>
    <row r="82" spans="2:31" x14ac:dyDescent="0.35">
      <c r="B82" t="str">
        <f t="shared" si="15"/>
        <v>required_capital</v>
      </c>
      <c r="C82" t="str">
        <f t="shared" si="16"/>
        <v>99_99</v>
      </c>
      <c r="D82" t="str">
        <f t="shared" si="23"/>
        <v>liability_risk</v>
      </c>
      <c r="E82" t="s">
        <v>2782</v>
      </c>
      <c r="F82" t="s">
        <v>2801</v>
      </c>
      <c r="G82" t="s">
        <v>2802</v>
      </c>
      <c r="H82" t="s">
        <v>2807</v>
      </c>
      <c r="I82" t="str">
        <f t="shared" si="63"/>
        <v>required_capital:99_99:liability_risk:adjustments:non_life:premium:health</v>
      </c>
      <c r="J82" s="9" t="s">
        <v>2840</v>
      </c>
      <c r="L82" s="9">
        <v>1</v>
      </c>
      <c r="M82" s="9">
        <f t="shared" si="43"/>
        <v>108</v>
      </c>
      <c r="N82" s="9" t="str">
        <f t="shared" si="71"/>
        <v>H</v>
      </c>
      <c r="O82" s="9" t="str">
        <f t="shared" si="64"/>
        <v>Output!H108</v>
      </c>
      <c r="P82" s="360" cm="1">
        <f t="array" aca="1" ref="P82" ca="1">INDIRECT(O82)</f>
        <v>0</v>
      </c>
      <c r="Q82" t="s">
        <v>2842</v>
      </c>
      <c r="R82" t="str">
        <f t="shared" si="65"/>
        <v>required_capital:99_95:liability_risk:adjustments:non_life:premium:health</v>
      </c>
      <c r="S82" s="9" t="str">
        <f t="shared" si="72"/>
        <v>J</v>
      </c>
      <c r="T82" s="9" t="str">
        <f t="shared" si="66"/>
        <v>Output!J108</v>
      </c>
      <c r="U82" s="360" cm="1">
        <f t="array" aca="1" ref="U82" ca="1">INDIRECT(T82)</f>
        <v>0</v>
      </c>
      <c r="V82" t="s">
        <v>2846</v>
      </c>
      <c r="W82" t="str">
        <f t="shared" si="67"/>
        <v>required_capital:99_80:liability_risk:adjustments:non_life:premium:health</v>
      </c>
      <c r="X82" s="9" t="str">
        <f t="shared" si="73"/>
        <v>L</v>
      </c>
      <c r="Y82" s="9" t="str">
        <f t="shared" si="68"/>
        <v>Output!L108</v>
      </c>
      <c r="Z82" s="360" cm="1">
        <f t="array" aca="1" ref="Z82" ca="1">INDIRECT(Y82)</f>
        <v>0</v>
      </c>
      <c r="AA82" t="s">
        <v>2848</v>
      </c>
      <c r="AB82" t="str">
        <f t="shared" si="69"/>
        <v>required_capital:99_50:liability_risk:adjustments:non_life:premium:health</v>
      </c>
      <c r="AC82" s="9" t="str">
        <f t="shared" si="74"/>
        <v>N</v>
      </c>
      <c r="AD82" s="9" t="str">
        <f t="shared" si="70"/>
        <v>Output!N108</v>
      </c>
      <c r="AE82" s="360" cm="1">
        <f t="array" aca="1" ref="AE82" ca="1">INDIRECT(AD82)</f>
        <v>0</v>
      </c>
    </row>
    <row r="83" spans="2:31" x14ac:dyDescent="0.35">
      <c r="B83" t="str">
        <f t="shared" si="15"/>
        <v>required_capital</v>
      </c>
      <c r="C83" t="str">
        <f t="shared" si="16"/>
        <v>99_99</v>
      </c>
      <c r="D83" t="str">
        <f t="shared" si="23"/>
        <v>liability_risk</v>
      </c>
      <c r="E83" t="s">
        <v>2782</v>
      </c>
      <c r="F83" t="s">
        <v>2801</v>
      </c>
      <c r="G83" t="s">
        <v>2802</v>
      </c>
      <c r="H83" t="s">
        <v>2808</v>
      </c>
      <c r="I83" t="str">
        <f t="shared" si="63"/>
        <v>required_capital:99_99:liability_risk:adjustments:non_life:premium:marine_aviation_transport</v>
      </c>
      <c r="J83" s="9" t="s">
        <v>2840</v>
      </c>
      <c r="L83" s="9">
        <v>1</v>
      </c>
      <c r="M83" s="9">
        <f t="shared" si="43"/>
        <v>109</v>
      </c>
      <c r="N83" s="9" t="str">
        <f t="shared" si="71"/>
        <v>H</v>
      </c>
      <c r="O83" s="9" t="str">
        <f t="shared" si="64"/>
        <v>Output!H109</v>
      </c>
      <c r="P83" s="360" cm="1">
        <f t="array" aca="1" ref="P83" ca="1">INDIRECT(O83)</f>
        <v>0</v>
      </c>
      <c r="Q83" t="s">
        <v>2842</v>
      </c>
      <c r="R83" t="str">
        <f t="shared" si="65"/>
        <v>required_capital:99_95:liability_risk:adjustments:non_life:premium:marine_aviation_transport</v>
      </c>
      <c r="S83" s="9" t="str">
        <f t="shared" si="72"/>
        <v>J</v>
      </c>
      <c r="T83" s="9" t="str">
        <f t="shared" si="66"/>
        <v>Output!J109</v>
      </c>
      <c r="U83" s="360" cm="1">
        <f t="array" aca="1" ref="U83" ca="1">INDIRECT(T83)</f>
        <v>0</v>
      </c>
      <c r="V83" t="s">
        <v>2846</v>
      </c>
      <c r="W83" t="str">
        <f t="shared" si="67"/>
        <v>required_capital:99_80:liability_risk:adjustments:non_life:premium:marine_aviation_transport</v>
      </c>
      <c r="X83" s="9" t="str">
        <f t="shared" si="73"/>
        <v>L</v>
      </c>
      <c r="Y83" s="9" t="str">
        <f t="shared" si="68"/>
        <v>Output!L109</v>
      </c>
      <c r="Z83" s="360" cm="1">
        <f t="array" aca="1" ref="Z83" ca="1">INDIRECT(Y83)</f>
        <v>0</v>
      </c>
      <c r="AA83" t="s">
        <v>2848</v>
      </c>
      <c r="AB83" t="str">
        <f t="shared" si="69"/>
        <v>required_capital:99_50:liability_risk:adjustments:non_life:premium:marine_aviation_transport</v>
      </c>
      <c r="AC83" s="9" t="str">
        <f t="shared" si="74"/>
        <v>N</v>
      </c>
      <c r="AD83" s="9" t="str">
        <f t="shared" si="70"/>
        <v>Output!N109</v>
      </c>
      <c r="AE83" s="360" cm="1">
        <f t="array" aca="1" ref="AE83" ca="1">INDIRECT(AD83)</f>
        <v>0</v>
      </c>
    </row>
    <row r="84" spans="2:31" x14ac:dyDescent="0.35">
      <c r="B84" t="str">
        <f t="shared" si="15"/>
        <v>required_capital</v>
      </c>
      <c r="C84" t="str">
        <f t="shared" si="16"/>
        <v>99_99</v>
      </c>
      <c r="D84" t="str">
        <f t="shared" si="23"/>
        <v>liability_risk</v>
      </c>
      <c r="E84" t="s">
        <v>2782</v>
      </c>
      <c r="F84" t="s">
        <v>2801</v>
      </c>
      <c r="G84" t="s">
        <v>2802</v>
      </c>
      <c r="H84" t="s">
        <v>2809</v>
      </c>
      <c r="I84" t="str">
        <f t="shared" si="63"/>
        <v>required_capital:99_99:liability_risk:adjustments:non_life:premium:other</v>
      </c>
      <c r="J84" s="9" t="s">
        <v>2840</v>
      </c>
      <c r="L84" s="9">
        <v>1</v>
      </c>
      <c r="M84" s="9">
        <f t="shared" si="43"/>
        <v>110</v>
      </c>
      <c r="N84" s="9" t="str">
        <f t="shared" si="71"/>
        <v>H</v>
      </c>
      <c r="O84" s="9" t="str">
        <f t="shared" si="64"/>
        <v>Output!H110</v>
      </c>
      <c r="P84" s="360" cm="1">
        <f t="array" aca="1" ref="P84" ca="1">INDIRECT(O84)</f>
        <v>0</v>
      </c>
      <c r="Q84" t="s">
        <v>2842</v>
      </c>
      <c r="R84" t="str">
        <f t="shared" si="65"/>
        <v>required_capital:99_95:liability_risk:adjustments:non_life:premium:other</v>
      </c>
      <c r="S84" s="9" t="str">
        <f t="shared" si="72"/>
        <v>J</v>
      </c>
      <c r="T84" s="9" t="str">
        <f t="shared" si="66"/>
        <v>Output!J110</v>
      </c>
      <c r="U84" s="360" cm="1">
        <f t="array" aca="1" ref="U84" ca="1">INDIRECT(T84)</f>
        <v>0</v>
      </c>
      <c r="V84" t="s">
        <v>2846</v>
      </c>
      <c r="W84" t="str">
        <f t="shared" si="67"/>
        <v>required_capital:99_80:liability_risk:adjustments:non_life:premium:other</v>
      </c>
      <c r="X84" s="9" t="str">
        <f t="shared" si="73"/>
        <v>L</v>
      </c>
      <c r="Y84" s="9" t="str">
        <f t="shared" si="68"/>
        <v>Output!L110</v>
      </c>
      <c r="Z84" s="360" cm="1">
        <f t="array" aca="1" ref="Z84" ca="1">INDIRECT(Y84)</f>
        <v>0</v>
      </c>
      <c r="AA84" t="s">
        <v>2848</v>
      </c>
      <c r="AB84" t="str">
        <f t="shared" si="69"/>
        <v>required_capital:99_50:liability_risk:adjustments:non_life:premium:other</v>
      </c>
      <c r="AC84" s="9" t="str">
        <f t="shared" si="74"/>
        <v>N</v>
      </c>
      <c r="AD84" s="9" t="str">
        <f t="shared" si="70"/>
        <v>Output!N110</v>
      </c>
      <c r="AE84" s="360" cm="1">
        <f t="array" aca="1" ref="AE84" ca="1">INDIRECT(AD84)</f>
        <v>0</v>
      </c>
    </row>
    <row r="85" spans="2:31" x14ac:dyDescent="0.35">
      <c r="B85" t="str">
        <f t="shared" si="15"/>
        <v>required_capital</v>
      </c>
      <c r="C85" t="str">
        <f t="shared" si="16"/>
        <v>99_99</v>
      </c>
      <c r="D85" t="str">
        <f t="shared" si="23"/>
        <v>liability_risk</v>
      </c>
      <c r="E85" t="s">
        <v>2782</v>
      </c>
      <c r="F85" t="s">
        <v>2801</v>
      </c>
      <c r="G85" t="s">
        <v>2811</v>
      </c>
      <c r="H85" t="s">
        <v>2783</v>
      </c>
      <c r="I85" t="str">
        <f t="shared" si="63"/>
        <v>required_capital:99_99:liability_risk:adjustments:non_life:reserve:total</v>
      </c>
      <c r="J85" s="9" t="s">
        <v>2840</v>
      </c>
      <c r="L85" s="9">
        <v>1</v>
      </c>
      <c r="M85" s="9">
        <f t="shared" si="43"/>
        <v>111</v>
      </c>
      <c r="N85" s="9" t="str">
        <f t="shared" si="71"/>
        <v>H</v>
      </c>
      <c r="O85" s="9" t="str">
        <f t="shared" si="64"/>
        <v>Output!H111</v>
      </c>
      <c r="P85" s="360" cm="1">
        <f t="array" aca="1" ref="P85" ca="1">INDIRECT(O85)</f>
        <v>0</v>
      </c>
      <c r="Q85" t="s">
        <v>2842</v>
      </c>
      <c r="R85" t="str">
        <f t="shared" si="65"/>
        <v>required_capital:99_95:liability_risk:adjustments:non_life:reserve:total</v>
      </c>
      <c r="S85" s="9" t="str">
        <f t="shared" si="72"/>
        <v>J</v>
      </c>
      <c r="T85" s="9" t="str">
        <f t="shared" si="66"/>
        <v>Output!J111</v>
      </c>
      <c r="U85" s="360" cm="1">
        <f t="array" aca="1" ref="U85" ca="1">INDIRECT(T85)</f>
        <v>0</v>
      </c>
      <c r="V85" t="s">
        <v>2846</v>
      </c>
      <c r="W85" t="str">
        <f t="shared" si="67"/>
        <v>required_capital:99_80:liability_risk:adjustments:non_life:reserve:total</v>
      </c>
      <c r="X85" s="9" t="str">
        <f t="shared" si="73"/>
        <v>L</v>
      </c>
      <c r="Y85" s="9" t="str">
        <f t="shared" si="68"/>
        <v>Output!L111</v>
      </c>
      <c r="Z85" s="360" cm="1">
        <f t="array" aca="1" ref="Z85" ca="1">INDIRECT(Y85)</f>
        <v>0</v>
      </c>
      <c r="AA85" t="s">
        <v>2848</v>
      </c>
      <c r="AB85" t="str">
        <f t="shared" si="69"/>
        <v>required_capital:99_50:liability_risk:adjustments:non_life:reserve:total</v>
      </c>
      <c r="AC85" s="9" t="str">
        <f t="shared" si="74"/>
        <v>N</v>
      </c>
      <c r="AD85" s="9" t="str">
        <f t="shared" si="70"/>
        <v>Output!N111</v>
      </c>
      <c r="AE85" s="360" cm="1">
        <f t="array" aca="1" ref="AE85" ca="1">INDIRECT(AD85)</f>
        <v>0</v>
      </c>
    </row>
    <row r="86" spans="2:31" x14ac:dyDescent="0.35">
      <c r="B86" t="str">
        <f t="shared" ref="B86:B120" si="75">B85</f>
        <v>required_capital</v>
      </c>
      <c r="C86" t="str">
        <f t="shared" ref="C86:C120" si="76">C85</f>
        <v>99_99</v>
      </c>
      <c r="D86" t="str">
        <f t="shared" si="23"/>
        <v>liability_risk</v>
      </c>
      <c r="E86" t="s">
        <v>2782</v>
      </c>
      <c r="F86" t="s">
        <v>2801</v>
      </c>
      <c r="G86" t="s">
        <v>2811</v>
      </c>
      <c r="H86" t="s">
        <v>2803</v>
      </c>
      <c r="I86" t="str">
        <f t="shared" si="63"/>
        <v>required_capital:99_99:liability_risk:adjustments:non_life:reserve:liability</v>
      </c>
      <c r="J86" s="9" t="s">
        <v>2840</v>
      </c>
      <c r="L86" s="9">
        <v>1</v>
      </c>
      <c r="M86" s="9">
        <f t="shared" si="43"/>
        <v>112</v>
      </c>
      <c r="N86" s="9" t="str">
        <f t="shared" si="71"/>
        <v>H</v>
      </c>
      <c r="O86" s="9" t="str">
        <f t="shared" si="64"/>
        <v>Output!H112</v>
      </c>
      <c r="P86" s="360" cm="1">
        <f t="array" aca="1" ref="P86" ca="1">INDIRECT(O86)</f>
        <v>0</v>
      </c>
      <c r="Q86" t="s">
        <v>2842</v>
      </c>
      <c r="R86" t="str">
        <f t="shared" si="65"/>
        <v>required_capital:99_95:liability_risk:adjustments:non_life:reserve:liability</v>
      </c>
      <c r="S86" s="9" t="str">
        <f t="shared" si="72"/>
        <v>J</v>
      </c>
      <c r="T86" s="9" t="str">
        <f t="shared" si="66"/>
        <v>Output!J112</v>
      </c>
      <c r="U86" s="360" cm="1">
        <f t="array" aca="1" ref="U86" ca="1">INDIRECT(T86)</f>
        <v>0</v>
      </c>
      <c r="V86" t="s">
        <v>2846</v>
      </c>
      <c r="W86" t="str">
        <f t="shared" si="67"/>
        <v>required_capital:99_80:liability_risk:adjustments:non_life:reserve:liability</v>
      </c>
      <c r="X86" s="9" t="str">
        <f t="shared" si="73"/>
        <v>L</v>
      </c>
      <c r="Y86" s="9" t="str">
        <f t="shared" si="68"/>
        <v>Output!L112</v>
      </c>
      <c r="Z86" s="360" cm="1">
        <f t="array" aca="1" ref="Z86" ca="1">INDIRECT(Y86)</f>
        <v>0</v>
      </c>
      <c r="AA86" t="s">
        <v>2848</v>
      </c>
      <c r="AB86" t="str">
        <f t="shared" si="69"/>
        <v>required_capital:99_50:liability_risk:adjustments:non_life:reserve:liability</v>
      </c>
      <c r="AC86" s="9" t="str">
        <f t="shared" si="74"/>
        <v>N</v>
      </c>
      <c r="AD86" s="9" t="str">
        <f t="shared" si="70"/>
        <v>Output!N112</v>
      </c>
      <c r="AE86" s="360" cm="1">
        <f t="array" aca="1" ref="AE86" ca="1">INDIRECT(AD86)</f>
        <v>0</v>
      </c>
    </row>
    <row r="87" spans="2:31" x14ac:dyDescent="0.35">
      <c r="B87" t="str">
        <f t="shared" si="75"/>
        <v>required_capital</v>
      </c>
      <c r="C87" t="str">
        <f t="shared" si="76"/>
        <v>99_99</v>
      </c>
      <c r="D87" t="str">
        <f t="shared" si="23"/>
        <v>liability_risk</v>
      </c>
      <c r="E87" t="s">
        <v>2782</v>
      </c>
      <c r="F87" t="s">
        <v>2801</v>
      </c>
      <c r="G87" t="s">
        <v>2811</v>
      </c>
      <c r="H87" t="s">
        <v>2804</v>
      </c>
      <c r="I87" t="str">
        <f t="shared" si="63"/>
        <v>required_capital:99_99:liability_risk:adjustments:non_life:reserve:property</v>
      </c>
      <c r="J87" s="9" t="s">
        <v>2840</v>
      </c>
      <c r="L87" s="9">
        <v>1</v>
      </c>
      <c r="M87" s="9">
        <f t="shared" si="43"/>
        <v>113</v>
      </c>
      <c r="N87" s="9" t="str">
        <f t="shared" si="71"/>
        <v>H</v>
      </c>
      <c r="O87" s="9" t="str">
        <f t="shared" si="64"/>
        <v>Output!H113</v>
      </c>
      <c r="P87" s="360" cm="1">
        <f t="array" aca="1" ref="P87" ca="1">INDIRECT(O87)</f>
        <v>0</v>
      </c>
      <c r="Q87" t="s">
        <v>2842</v>
      </c>
      <c r="R87" t="str">
        <f t="shared" si="65"/>
        <v>required_capital:99_95:liability_risk:adjustments:non_life:reserve:property</v>
      </c>
      <c r="S87" s="9" t="str">
        <f t="shared" si="72"/>
        <v>J</v>
      </c>
      <c r="T87" s="9" t="str">
        <f t="shared" si="66"/>
        <v>Output!J113</v>
      </c>
      <c r="U87" s="360" cm="1">
        <f t="array" aca="1" ref="U87" ca="1">INDIRECT(T87)</f>
        <v>0</v>
      </c>
      <c r="V87" t="s">
        <v>2846</v>
      </c>
      <c r="W87" t="str">
        <f t="shared" si="67"/>
        <v>required_capital:99_80:liability_risk:adjustments:non_life:reserve:property</v>
      </c>
      <c r="X87" s="9" t="str">
        <f t="shared" si="73"/>
        <v>L</v>
      </c>
      <c r="Y87" s="9" t="str">
        <f t="shared" si="68"/>
        <v>Output!L113</v>
      </c>
      <c r="Z87" s="360" cm="1">
        <f t="array" aca="1" ref="Z87" ca="1">INDIRECT(Y87)</f>
        <v>0</v>
      </c>
      <c r="AA87" t="s">
        <v>2848</v>
      </c>
      <c r="AB87" t="str">
        <f t="shared" si="69"/>
        <v>required_capital:99_50:liability_risk:adjustments:non_life:reserve:property</v>
      </c>
      <c r="AC87" s="9" t="str">
        <f t="shared" si="74"/>
        <v>N</v>
      </c>
      <c r="AD87" s="9" t="str">
        <f t="shared" si="70"/>
        <v>Output!N113</v>
      </c>
      <c r="AE87" s="360" cm="1">
        <f t="array" aca="1" ref="AE87" ca="1">INDIRECT(AD87)</f>
        <v>0</v>
      </c>
    </row>
    <row r="88" spans="2:31" x14ac:dyDescent="0.35">
      <c r="B88" t="str">
        <f t="shared" si="75"/>
        <v>required_capital</v>
      </c>
      <c r="C88" t="str">
        <f t="shared" si="76"/>
        <v>99_99</v>
      </c>
      <c r="D88" t="str">
        <f t="shared" si="23"/>
        <v>liability_risk</v>
      </c>
      <c r="E88" t="s">
        <v>2782</v>
      </c>
      <c r="F88" t="s">
        <v>2801</v>
      </c>
      <c r="G88" t="s">
        <v>2811</v>
      </c>
      <c r="H88" t="s">
        <v>2805</v>
      </c>
      <c r="I88" t="str">
        <f t="shared" si="63"/>
        <v>required_capital:99_99:liability_risk:adjustments:non_life:reserve:motor</v>
      </c>
      <c r="J88" s="9" t="s">
        <v>2840</v>
      </c>
      <c r="L88" s="9">
        <v>1</v>
      </c>
      <c r="M88" s="9">
        <f t="shared" si="43"/>
        <v>114</v>
      </c>
      <c r="N88" s="9" t="str">
        <f t="shared" si="71"/>
        <v>H</v>
      </c>
      <c r="O88" s="9" t="str">
        <f t="shared" si="64"/>
        <v>Output!H114</v>
      </c>
      <c r="P88" s="360" cm="1">
        <f t="array" aca="1" ref="P88" ca="1">INDIRECT(O88)</f>
        <v>0</v>
      </c>
      <c r="Q88" t="s">
        <v>2842</v>
      </c>
      <c r="R88" t="str">
        <f t="shared" si="65"/>
        <v>required_capital:99_95:liability_risk:adjustments:non_life:reserve:motor</v>
      </c>
      <c r="S88" s="9" t="str">
        <f t="shared" si="72"/>
        <v>J</v>
      </c>
      <c r="T88" s="9" t="str">
        <f t="shared" si="66"/>
        <v>Output!J114</v>
      </c>
      <c r="U88" s="360" cm="1">
        <f t="array" aca="1" ref="U88" ca="1">INDIRECT(T88)</f>
        <v>0</v>
      </c>
      <c r="V88" t="s">
        <v>2846</v>
      </c>
      <c r="W88" t="str">
        <f t="shared" si="67"/>
        <v>required_capital:99_80:liability_risk:adjustments:non_life:reserve:motor</v>
      </c>
      <c r="X88" s="9" t="str">
        <f t="shared" si="73"/>
        <v>L</v>
      </c>
      <c r="Y88" s="9" t="str">
        <f t="shared" si="68"/>
        <v>Output!L114</v>
      </c>
      <c r="Z88" s="360" cm="1">
        <f t="array" aca="1" ref="Z88" ca="1">INDIRECT(Y88)</f>
        <v>0</v>
      </c>
      <c r="AA88" t="s">
        <v>2848</v>
      </c>
      <c r="AB88" t="str">
        <f t="shared" si="69"/>
        <v>required_capital:99_50:liability_risk:adjustments:non_life:reserve:motor</v>
      </c>
      <c r="AC88" s="9" t="str">
        <f t="shared" si="74"/>
        <v>N</v>
      </c>
      <c r="AD88" s="9" t="str">
        <f t="shared" si="70"/>
        <v>Output!N114</v>
      </c>
      <c r="AE88" s="360" cm="1">
        <f t="array" aca="1" ref="AE88" ca="1">INDIRECT(AD88)</f>
        <v>0</v>
      </c>
    </row>
    <row r="89" spans="2:31" x14ac:dyDescent="0.35">
      <c r="B89" t="str">
        <f t="shared" si="75"/>
        <v>required_capital</v>
      </c>
      <c r="C89" t="str">
        <f t="shared" si="76"/>
        <v>99_99</v>
      </c>
      <c r="D89" t="str">
        <f t="shared" si="23"/>
        <v>liability_risk</v>
      </c>
      <c r="E89" t="s">
        <v>2782</v>
      </c>
      <c r="F89" t="s">
        <v>2801</v>
      </c>
      <c r="G89" t="s">
        <v>2811</v>
      </c>
      <c r="H89" t="s">
        <v>2806</v>
      </c>
      <c r="I89" t="str">
        <f t="shared" si="63"/>
        <v>required_capital:99_99:liability_risk:adjustments:non_life:reserve:financial</v>
      </c>
      <c r="J89" s="9" t="s">
        <v>2840</v>
      </c>
      <c r="L89" s="9">
        <v>1</v>
      </c>
      <c r="M89" s="9">
        <f t="shared" si="43"/>
        <v>115</v>
      </c>
      <c r="N89" s="9" t="str">
        <f t="shared" si="71"/>
        <v>H</v>
      </c>
      <c r="O89" s="9" t="str">
        <f t="shared" si="64"/>
        <v>Output!H115</v>
      </c>
      <c r="P89" s="360" cm="1">
        <f t="array" aca="1" ref="P89" ca="1">INDIRECT(O89)</f>
        <v>0</v>
      </c>
      <c r="Q89" t="s">
        <v>2842</v>
      </c>
      <c r="R89" t="str">
        <f t="shared" si="65"/>
        <v>required_capital:99_95:liability_risk:adjustments:non_life:reserve:financial</v>
      </c>
      <c r="S89" s="9" t="str">
        <f t="shared" si="72"/>
        <v>J</v>
      </c>
      <c r="T89" s="9" t="str">
        <f t="shared" si="66"/>
        <v>Output!J115</v>
      </c>
      <c r="U89" s="360" cm="1">
        <f t="array" aca="1" ref="U89" ca="1">INDIRECT(T89)</f>
        <v>0</v>
      </c>
      <c r="V89" t="s">
        <v>2846</v>
      </c>
      <c r="W89" t="str">
        <f t="shared" si="67"/>
        <v>required_capital:99_80:liability_risk:adjustments:non_life:reserve:financial</v>
      </c>
      <c r="X89" s="9" t="str">
        <f t="shared" si="73"/>
        <v>L</v>
      </c>
      <c r="Y89" s="9" t="str">
        <f t="shared" si="68"/>
        <v>Output!L115</v>
      </c>
      <c r="Z89" s="360" cm="1">
        <f t="array" aca="1" ref="Z89" ca="1">INDIRECT(Y89)</f>
        <v>0</v>
      </c>
      <c r="AA89" t="s">
        <v>2848</v>
      </c>
      <c r="AB89" t="str">
        <f t="shared" si="69"/>
        <v>required_capital:99_50:liability_risk:adjustments:non_life:reserve:financial</v>
      </c>
      <c r="AC89" s="9" t="str">
        <f t="shared" si="74"/>
        <v>N</v>
      </c>
      <c r="AD89" s="9" t="str">
        <f t="shared" si="70"/>
        <v>Output!N115</v>
      </c>
      <c r="AE89" s="360" cm="1">
        <f t="array" aca="1" ref="AE89" ca="1">INDIRECT(AD89)</f>
        <v>0</v>
      </c>
    </row>
    <row r="90" spans="2:31" x14ac:dyDescent="0.35">
      <c r="B90" t="str">
        <f t="shared" si="75"/>
        <v>required_capital</v>
      </c>
      <c r="C90" t="str">
        <f t="shared" si="76"/>
        <v>99_99</v>
      </c>
      <c r="D90" t="str">
        <f t="shared" si="23"/>
        <v>liability_risk</v>
      </c>
      <c r="E90" t="s">
        <v>2782</v>
      </c>
      <c r="F90" t="s">
        <v>2801</v>
      </c>
      <c r="G90" t="s">
        <v>2811</v>
      </c>
      <c r="H90" t="s">
        <v>2807</v>
      </c>
      <c r="I90" t="str">
        <f t="shared" si="63"/>
        <v>required_capital:99_99:liability_risk:adjustments:non_life:reserve:health</v>
      </c>
      <c r="J90" s="9" t="s">
        <v>2840</v>
      </c>
      <c r="L90" s="9">
        <v>1</v>
      </c>
      <c r="M90" s="9">
        <f t="shared" si="43"/>
        <v>116</v>
      </c>
      <c r="N90" s="9" t="str">
        <f t="shared" si="71"/>
        <v>H</v>
      </c>
      <c r="O90" s="9" t="str">
        <f t="shared" si="64"/>
        <v>Output!H116</v>
      </c>
      <c r="P90" s="360" cm="1">
        <f t="array" aca="1" ref="P90" ca="1">INDIRECT(O90)</f>
        <v>0</v>
      </c>
      <c r="Q90" t="s">
        <v>2842</v>
      </c>
      <c r="R90" t="str">
        <f t="shared" si="65"/>
        <v>required_capital:99_95:liability_risk:adjustments:non_life:reserve:health</v>
      </c>
      <c r="S90" s="9" t="str">
        <f t="shared" si="72"/>
        <v>J</v>
      </c>
      <c r="T90" s="9" t="str">
        <f t="shared" si="66"/>
        <v>Output!J116</v>
      </c>
      <c r="U90" s="360" cm="1">
        <f t="array" aca="1" ref="U90" ca="1">INDIRECT(T90)</f>
        <v>0</v>
      </c>
      <c r="V90" t="s">
        <v>2846</v>
      </c>
      <c r="W90" t="str">
        <f t="shared" si="67"/>
        <v>required_capital:99_80:liability_risk:adjustments:non_life:reserve:health</v>
      </c>
      <c r="X90" s="9" t="str">
        <f t="shared" si="73"/>
        <v>L</v>
      </c>
      <c r="Y90" s="9" t="str">
        <f t="shared" si="68"/>
        <v>Output!L116</v>
      </c>
      <c r="Z90" s="360" cm="1">
        <f t="array" aca="1" ref="Z90" ca="1">INDIRECT(Y90)</f>
        <v>0</v>
      </c>
      <c r="AA90" t="s">
        <v>2848</v>
      </c>
      <c r="AB90" t="str">
        <f t="shared" si="69"/>
        <v>required_capital:99_50:liability_risk:adjustments:non_life:reserve:health</v>
      </c>
      <c r="AC90" s="9" t="str">
        <f t="shared" si="74"/>
        <v>N</v>
      </c>
      <c r="AD90" s="9" t="str">
        <f t="shared" si="70"/>
        <v>Output!N116</v>
      </c>
      <c r="AE90" s="360" cm="1">
        <f t="array" aca="1" ref="AE90" ca="1">INDIRECT(AD90)</f>
        <v>0</v>
      </c>
    </row>
    <row r="91" spans="2:31" x14ac:dyDescent="0.35">
      <c r="B91" t="str">
        <f t="shared" si="75"/>
        <v>required_capital</v>
      </c>
      <c r="C91" t="str">
        <f t="shared" si="76"/>
        <v>99_99</v>
      </c>
      <c r="D91" t="str">
        <f t="shared" si="23"/>
        <v>liability_risk</v>
      </c>
      <c r="E91" t="s">
        <v>2782</v>
      </c>
      <c r="F91" t="s">
        <v>2801</v>
      </c>
      <c r="G91" t="s">
        <v>2811</v>
      </c>
      <c r="H91" t="s">
        <v>2808</v>
      </c>
      <c r="I91" t="str">
        <f t="shared" si="63"/>
        <v>required_capital:99_99:liability_risk:adjustments:non_life:reserve:marine_aviation_transport</v>
      </c>
      <c r="J91" s="9" t="s">
        <v>2840</v>
      </c>
      <c r="L91" s="9">
        <v>1</v>
      </c>
      <c r="M91" s="9">
        <f t="shared" si="43"/>
        <v>117</v>
      </c>
      <c r="N91" s="9" t="str">
        <f t="shared" si="71"/>
        <v>H</v>
      </c>
      <c r="O91" s="9" t="str">
        <f t="shared" si="64"/>
        <v>Output!H117</v>
      </c>
      <c r="P91" s="360" cm="1">
        <f t="array" aca="1" ref="P91" ca="1">INDIRECT(O91)</f>
        <v>0</v>
      </c>
      <c r="Q91" t="s">
        <v>2842</v>
      </c>
      <c r="R91" t="str">
        <f t="shared" si="65"/>
        <v>required_capital:99_95:liability_risk:adjustments:non_life:reserve:marine_aviation_transport</v>
      </c>
      <c r="S91" s="9" t="str">
        <f t="shared" si="72"/>
        <v>J</v>
      </c>
      <c r="T91" s="9" t="str">
        <f t="shared" si="66"/>
        <v>Output!J117</v>
      </c>
      <c r="U91" s="360" cm="1">
        <f t="array" aca="1" ref="U91" ca="1">INDIRECT(T91)</f>
        <v>0</v>
      </c>
      <c r="V91" t="s">
        <v>2846</v>
      </c>
      <c r="W91" t="str">
        <f t="shared" si="67"/>
        <v>required_capital:99_80:liability_risk:adjustments:non_life:reserve:marine_aviation_transport</v>
      </c>
      <c r="X91" s="9" t="str">
        <f t="shared" si="73"/>
        <v>L</v>
      </c>
      <c r="Y91" s="9" t="str">
        <f t="shared" si="68"/>
        <v>Output!L117</v>
      </c>
      <c r="Z91" s="360" cm="1">
        <f t="array" aca="1" ref="Z91" ca="1">INDIRECT(Y91)</f>
        <v>0</v>
      </c>
      <c r="AA91" t="s">
        <v>2848</v>
      </c>
      <c r="AB91" t="str">
        <f t="shared" si="69"/>
        <v>required_capital:99_50:liability_risk:adjustments:non_life:reserve:marine_aviation_transport</v>
      </c>
      <c r="AC91" s="9" t="str">
        <f t="shared" si="74"/>
        <v>N</v>
      </c>
      <c r="AD91" s="9" t="str">
        <f t="shared" si="70"/>
        <v>Output!N117</v>
      </c>
      <c r="AE91" s="360" cm="1">
        <f t="array" aca="1" ref="AE91" ca="1">INDIRECT(AD91)</f>
        <v>0</v>
      </c>
    </row>
    <row r="92" spans="2:31" x14ac:dyDescent="0.35">
      <c r="B92" t="str">
        <f t="shared" si="75"/>
        <v>required_capital</v>
      </c>
      <c r="C92" t="str">
        <f t="shared" si="76"/>
        <v>99_99</v>
      </c>
      <c r="D92" t="str">
        <f t="shared" si="23"/>
        <v>liability_risk</v>
      </c>
      <c r="E92" t="s">
        <v>2782</v>
      </c>
      <c r="F92" t="s">
        <v>2801</v>
      </c>
      <c r="G92" t="s">
        <v>2811</v>
      </c>
      <c r="H92" t="s">
        <v>2809</v>
      </c>
      <c r="I92" t="str">
        <f t="shared" si="63"/>
        <v>required_capital:99_99:liability_risk:adjustments:non_life:reserve:other</v>
      </c>
      <c r="J92" s="9" t="s">
        <v>2840</v>
      </c>
      <c r="L92" s="9">
        <v>1</v>
      </c>
      <c r="M92" s="9">
        <f t="shared" si="43"/>
        <v>118</v>
      </c>
      <c r="N92" s="9" t="str">
        <f t="shared" si="71"/>
        <v>H</v>
      </c>
      <c r="O92" s="9" t="str">
        <f t="shared" si="64"/>
        <v>Output!H118</v>
      </c>
      <c r="P92" s="360" cm="1">
        <f t="array" aca="1" ref="P92" ca="1">INDIRECT(O92)</f>
        <v>0</v>
      </c>
      <c r="Q92" t="s">
        <v>2842</v>
      </c>
      <c r="R92" t="str">
        <f t="shared" si="65"/>
        <v>required_capital:99_95:liability_risk:adjustments:non_life:reserve:other</v>
      </c>
      <c r="S92" s="9" t="str">
        <f t="shared" si="72"/>
        <v>J</v>
      </c>
      <c r="T92" s="9" t="str">
        <f t="shared" si="66"/>
        <v>Output!J118</v>
      </c>
      <c r="U92" s="360" cm="1">
        <f t="array" aca="1" ref="U92" ca="1">INDIRECT(T92)</f>
        <v>0</v>
      </c>
      <c r="V92" t="s">
        <v>2846</v>
      </c>
      <c r="W92" t="str">
        <f t="shared" si="67"/>
        <v>required_capital:99_80:liability_risk:adjustments:non_life:reserve:other</v>
      </c>
      <c r="X92" s="9" t="str">
        <f t="shared" si="73"/>
        <v>L</v>
      </c>
      <c r="Y92" s="9" t="str">
        <f t="shared" si="68"/>
        <v>Output!L118</v>
      </c>
      <c r="Z92" s="360" cm="1">
        <f t="array" aca="1" ref="Z92" ca="1">INDIRECT(Y92)</f>
        <v>0</v>
      </c>
      <c r="AA92" t="s">
        <v>2848</v>
      </c>
      <c r="AB92" t="str">
        <f t="shared" si="69"/>
        <v>required_capital:99_50:liability_risk:adjustments:non_life:reserve:other</v>
      </c>
      <c r="AC92" s="9" t="str">
        <f t="shared" si="74"/>
        <v>N</v>
      </c>
      <c r="AD92" s="9" t="str">
        <f t="shared" si="70"/>
        <v>Output!N118</v>
      </c>
      <c r="AE92" s="360" cm="1">
        <f t="array" aca="1" ref="AE92" ca="1">INDIRECT(AD92)</f>
        <v>0</v>
      </c>
    </row>
    <row r="93" spans="2:31" x14ac:dyDescent="0.35">
      <c r="B93" t="str">
        <f t="shared" si="75"/>
        <v>required_capital</v>
      </c>
      <c r="C93" t="str">
        <f t="shared" si="76"/>
        <v>99_99</v>
      </c>
      <c r="D93" t="str">
        <f t="shared" si="23"/>
        <v>liability_risk</v>
      </c>
      <c r="E93" t="s">
        <v>2782</v>
      </c>
      <c r="F93" t="s">
        <v>2801</v>
      </c>
      <c r="G93" t="s">
        <v>2812</v>
      </c>
      <c r="H93" t="s">
        <v>2783</v>
      </c>
      <c r="I93" t="str">
        <f t="shared" si="63"/>
        <v>required_capital:99_99:liability_risk:adjustments:non_life:nat_cat:total</v>
      </c>
      <c r="J93" s="9" t="s">
        <v>2840</v>
      </c>
      <c r="L93" s="9">
        <v>1</v>
      </c>
      <c r="M93" s="9">
        <f t="shared" si="43"/>
        <v>119</v>
      </c>
      <c r="N93" s="9" t="str">
        <f t="shared" si="71"/>
        <v>H</v>
      </c>
      <c r="O93" s="9" t="str">
        <f t="shared" si="64"/>
        <v>Output!H119</v>
      </c>
      <c r="P93" s="360" cm="1">
        <f t="array" aca="1" ref="P93" ca="1">INDIRECT(O93)</f>
        <v>0</v>
      </c>
      <c r="Q93" t="s">
        <v>2842</v>
      </c>
      <c r="R93" t="str">
        <f t="shared" si="65"/>
        <v>required_capital:99_95:liability_risk:adjustments:non_life:nat_cat:total</v>
      </c>
      <c r="S93" s="9" t="str">
        <f t="shared" si="72"/>
        <v>J</v>
      </c>
      <c r="T93" s="9" t="str">
        <f t="shared" si="66"/>
        <v>Output!J119</v>
      </c>
      <c r="U93" s="360" cm="1">
        <f t="array" aca="1" ref="U93" ca="1">INDIRECT(T93)</f>
        <v>0</v>
      </c>
      <c r="V93" t="s">
        <v>2846</v>
      </c>
      <c r="W93" t="str">
        <f t="shared" si="67"/>
        <v>required_capital:99_80:liability_risk:adjustments:non_life:nat_cat:total</v>
      </c>
      <c r="X93" s="9" t="str">
        <f t="shared" si="73"/>
        <v>L</v>
      </c>
      <c r="Y93" s="9" t="str">
        <f t="shared" si="68"/>
        <v>Output!L119</v>
      </c>
      <c r="Z93" s="360" cm="1">
        <f t="array" aca="1" ref="Z93" ca="1">INDIRECT(Y93)</f>
        <v>0</v>
      </c>
      <c r="AA93" t="s">
        <v>2848</v>
      </c>
      <c r="AB93" t="str">
        <f t="shared" si="69"/>
        <v>required_capital:99_50:liability_risk:adjustments:non_life:nat_cat:total</v>
      </c>
      <c r="AC93" s="9" t="str">
        <f t="shared" si="74"/>
        <v>N</v>
      </c>
      <c r="AD93" s="9" t="str">
        <f t="shared" si="70"/>
        <v>Output!N119</v>
      </c>
      <c r="AE93" s="360" cm="1">
        <f t="array" aca="1" ref="AE93" ca="1">INDIRECT(AD93)</f>
        <v>0</v>
      </c>
    </row>
    <row r="94" spans="2:31" x14ac:dyDescent="0.35">
      <c r="B94" t="str">
        <f t="shared" si="75"/>
        <v>required_capital</v>
      </c>
      <c r="C94" t="str">
        <f t="shared" si="76"/>
        <v>99_99</v>
      </c>
      <c r="D94" t="str">
        <f t="shared" si="23"/>
        <v>liability_risk</v>
      </c>
      <c r="E94" t="s">
        <v>2782</v>
      </c>
      <c r="F94" t="s">
        <v>2801</v>
      </c>
      <c r="G94" t="s">
        <v>2812</v>
      </c>
      <c r="H94" t="s">
        <v>2822</v>
      </c>
      <c r="I94" t="str">
        <f t="shared" ref="I94" si="77">CONCATENATE($B94, ":",C94,":",$D94,":",$E94,":",$F94,":",$G94,":",$H94)</f>
        <v>required_capital:99_99:liability_risk:adjustments:non_life:nat_cat:value</v>
      </c>
      <c r="J94" s="9" t="s">
        <v>2840</v>
      </c>
      <c r="L94" s="9">
        <v>1</v>
      </c>
      <c r="M94" s="9">
        <f t="shared" ref="M94" si="78">M93+L94</f>
        <v>120</v>
      </c>
      <c r="N94" s="9" t="str">
        <f t="shared" si="71"/>
        <v>H</v>
      </c>
      <c r="O94" s="9" t="str">
        <f t="shared" ref="O94" si="79">CONCATENATE($J94,"!",N94,$M94)</f>
        <v>Output!H120</v>
      </c>
      <c r="P94" s="360" cm="1">
        <f t="array" aca="1" ref="P94" ca="1">INDIRECT(O94)</f>
        <v>0</v>
      </c>
      <c r="Q94" t="s">
        <v>2842</v>
      </c>
      <c r="R94" t="str">
        <f t="shared" ref="R94" si="80">IF(Q94="","",CONCATENATE($B94,":",Q94,":",$D94,":",$E94,":",$F94,":",$G94,":",$H94))</f>
        <v>required_capital:99_95:liability_risk:adjustments:non_life:nat_cat:value</v>
      </c>
      <c r="S94" s="9" t="str">
        <f t="shared" si="72"/>
        <v>J</v>
      </c>
      <c r="T94" s="9" t="str">
        <f t="shared" ref="T94" si="81">CONCATENATE($J94,"!",S94,$M94)</f>
        <v>Output!J120</v>
      </c>
      <c r="U94" s="360" cm="1">
        <f t="array" aca="1" ref="U94" ca="1">INDIRECT(T94)</f>
        <v>0</v>
      </c>
      <c r="V94" t="s">
        <v>2846</v>
      </c>
      <c r="W94" t="str">
        <f t="shared" ref="W94" si="82">IF(V94="","",CONCATENATE($B94,":",V94,":",$D94,":",$E94,":",$F94,":",$G94,":",$H94))</f>
        <v>required_capital:99_80:liability_risk:adjustments:non_life:nat_cat:value</v>
      </c>
      <c r="X94" s="9" t="str">
        <f t="shared" si="73"/>
        <v>L</v>
      </c>
      <c r="Y94" s="9" t="str">
        <f t="shared" ref="Y94" si="83">CONCATENATE($J94,"!",X94,$M94)</f>
        <v>Output!L120</v>
      </c>
      <c r="Z94" s="360" cm="1">
        <f t="array" aca="1" ref="Z94" ca="1">INDIRECT(Y94)</f>
        <v>0</v>
      </c>
      <c r="AA94" t="s">
        <v>2848</v>
      </c>
      <c r="AB94" t="str">
        <f t="shared" ref="AB94" si="84">IF(AA94="","",CONCATENATE($B94,":",AA94,":",$D94,":",$E94,":",$F94,":",$G94,":",$H94))</f>
        <v>required_capital:99_50:liability_risk:adjustments:non_life:nat_cat:value</v>
      </c>
      <c r="AC94" s="9" t="str">
        <f t="shared" si="74"/>
        <v>N</v>
      </c>
      <c r="AD94" s="9" t="str">
        <f t="shared" ref="AD94" si="85">CONCATENATE($J94,"!",AC94,$M94)</f>
        <v>Output!N120</v>
      </c>
      <c r="AE94" s="360" cm="1">
        <f t="array" aca="1" ref="AE94" ca="1">INDIRECT(AD94)</f>
        <v>0</v>
      </c>
    </row>
    <row r="95" spans="2:31" x14ac:dyDescent="0.35">
      <c r="B95" t="str">
        <f t="shared" si="75"/>
        <v>required_capital</v>
      </c>
      <c r="C95" t="str">
        <f t="shared" si="76"/>
        <v>99_99</v>
      </c>
      <c r="D95" t="str">
        <f t="shared" si="23"/>
        <v>liability_risk</v>
      </c>
      <c r="E95" t="s">
        <v>2782</v>
      </c>
      <c r="F95" t="s">
        <v>2801</v>
      </c>
      <c r="G95" t="s">
        <v>2812</v>
      </c>
      <c r="H95" t="s">
        <v>4373</v>
      </c>
      <c r="I95" t="str">
        <f t="shared" ref="I95" si="86">CONCATENATE($B95, ":",C95,":",$D95,":",$E95,":",$F95,":",$G95,":",$H95)</f>
        <v>required_capital:99_99:liability_risk:adjustments:non_life:nat_cat:reinsurance_recoveries</v>
      </c>
      <c r="J95" s="9" t="s">
        <v>2840</v>
      </c>
      <c r="L95" s="9">
        <v>1</v>
      </c>
      <c r="M95" s="9">
        <f t="shared" ref="M95" si="87">M94+L95</f>
        <v>121</v>
      </c>
      <c r="N95" s="9" t="str">
        <f t="shared" si="71"/>
        <v>H</v>
      </c>
      <c r="O95" s="9" t="str">
        <f t="shared" ref="O95" si="88">CONCATENATE($J95,"!",N95,$M95)</f>
        <v>Output!H121</v>
      </c>
      <c r="P95" s="360" cm="1">
        <f t="array" aca="1" ref="P95" ca="1">INDIRECT(O95)</f>
        <v>0</v>
      </c>
      <c r="Q95" t="s">
        <v>2842</v>
      </c>
      <c r="R95" t="str">
        <f t="shared" ref="R95" si="89">IF(Q95="","",CONCATENATE($B95,":",Q95,":",$D95,":",$E95,":",$F95,":",$G95,":",$H95))</f>
        <v>required_capital:99_95:liability_risk:adjustments:non_life:nat_cat:reinsurance_recoveries</v>
      </c>
      <c r="S95" s="9" t="str">
        <f t="shared" si="72"/>
        <v>J</v>
      </c>
      <c r="T95" s="9" t="str">
        <f t="shared" ref="T95" si="90">CONCATENATE($J95,"!",S95,$M95)</f>
        <v>Output!J121</v>
      </c>
      <c r="U95" s="360" cm="1">
        <f t="array" aca="1" ref="U95" ca="1">INDIRECT(T95)</f>
        <v>0</v>
      </c>
      <c r="V95" t="s">
        <v>2846</v>
      </c>
      <c r="W95" t="str">
        <f t="shared" ref="W95" si="91">IF(V95="","",CONCATENATE($B95,":",V95,":",$D95,":",$E95,":",$F95,":",$G95,":",$H95))</f>
        <v>required_capital:99_80:liability_risk:adjustments:non_life:nat_cat:reinsurance_recoveries</v>
      </c>
      <c r="X95" s="9" t="str">
        <f t="shared" si="73"/>
        <v>L</v>
      </c>
      <c r="Y95" s="9" t="str">
        <f t="shared" ref="Y95" si="92">CONCATENATE($J95,"!",X95,$M95)</f>
        <v>Output!L121</v>
      </c>
      <c r="Z95" s="360" cm="1">
        <f t="array" aca="1" ref="Z95" ca="1">INDIRECT(Y95)</f>
        <v>0</v>
      </c>
      <c r="AA95" t="s">
        <v>2848</v>
      </c>
      <c r="AB95" t="str">
        <f t="shared" ref="AB95" si="93">IF(AA95="","",CONCATENATE($B95,":",AA95,":",$D95,":",$E95,":",$F95,":",$G95,":",$H95))</f>
        <v>required_capital:99_50:liability_risk:adjustments:non_life:nat_cat:reinsurance_recoveries</v>
      </c>
      <c r="AC95" s="9" t="str">
        <f t="shared" si="74"/>
        <v>N</v>
      </c>
      <c r="AD95" s="9" t="str">
        <f t="shared" ref="AD95" si="94">CONCATENATE($J95,"!",AC95,$M95)</f>
        <v>Output!N121</v>
      </c>
      <c r="AE95" s="360" cm="1">
        <f t="array" aca="1" ref="AE95" ca="1">INDIRECT(AD95)</f>
        <v>0</v>
      </c>
    </row>
    <row r="96" spans="2:31" x14ac:dyDescent="0.35">
      <c r="B96" t="str">
        <f t="shared" si="75"/>
        <v>required_capital</v>
      </c>
      <c r="C96" t="str">
        <f t="shared" si="76"/>
        <v>99_99</v>
      </c>
      <c r="D96" t="str">
        <f t="shared" si="23"/>
        <v>liability_risk</v>
      </c>
      <c r="E96" t="s">
        <v>2782</v>
      </c>
      <c r="F96" t="s">
        <v>2813</v>
      </c>
      <c r="G96" s="283" t="s">
        <v>2822</v>
      </c>
      <c r="I96" t="str">
        <f t="shared" si="63"/>
        <v>required_capital:99_99:liability_risk:adjustments:life:value:</v>
      </c>
      <c r="J96" s="9" t="s">
        <v>2840</v>
      </c>
      <c r="L96" s="9">
        <v>1</v>
      </c>
      <c r="M96" s="9">
        <f t="shared" ref="M96" si="95">M95+L96</f>
        <v>122</v>
      </c>
      <c r="N96" s="9" t="str">
        <f t="shared" si="71"/>
        <v>H</v>
      </c>
      <c r="O96" s="9" t="str">
        <f t="shared" si="64"/>
        <v>Output!H122</v>
      </c>
      <c r="P96" s="360" cm="1">
        <f t="array" aca="1" ref="P96" ca="1">INDIRECT(O96)</f>
        <v>0</v>
      </c>
      <c r="Q96" t="s">
        <v>2842</v>
      </c>
      <c r="R96" t="str">
        <f t="shared" si="65"/>
        <v>required_capital:99_95:liability_risk:adjustments:life:value:</v>
      </c>
      <c r="S96" s="9" t="str">
        <f t="shared" si="72"/>
        <v>J</v>
      </c>
      <c r="T96" s="9" t="str">
        <f t="shared" si="66"/>
        <v>Output!J122</v>
      </c>
      <c r="U96" s="360" cm="1">
        <f t="array" aca="1" ref="U96" ca="1">INDIRECT(T96)</f>
        <v>0</v>
      </c>
      <c r="V96" t="s">
        <v>2846</v>
      </c>
      <c r="W96" t="str">
        <f t="shared" si="67"/>
        <v>required_capital:99_80:liability_risk:adjustments:life:value:</v>
      </c>
      <c r="X96" s="9" t="str">
        <f t="shared" si="73"/>
        <v>L</v>
      </c>
      <c r="Y96" s="9" t="str">
        <f t="shared" si="68"/>
        <v>Output!L122</v>
      </c>
      <c r="Z96" s="360" cm="1">
        <f t="array" aca="1" ref="Z96" ca="1">INDIRECT(Y96)</f>
        <v>0</v>
      </c>
      <c r="AA96" t="s">
        <v>2848</v>
      </c>
      <c r="AB96" t="str">
        <f t="shared" si="69"/>
        <v>required_capital:99_50:liability_risk:adjustments:life:value:</v>
      </c>
      <c r="AC96" s="9" t="str">
        <f t="shared" si="74"/>
        <v>N</v>
      </c>
      <c r="AD96" s="9" t="str">
        <f t="shared" si="70"/>
        <v>Output!N122</v>
      </c>
      <c r="AE96" s="360" cm="1">
        <f t="array" aca="1" ref="AE96" ca="1">INDIRECT(AD96)</f>
        <v>0</v>
      </c>
    </row>
    <row r="97" spans="2:31" x14ac:dyDescent="0.35">
      <c r="B97" t="str">
        <f t="shared" si="75"/>
        <v>required_capital</v>
      </c>
      <c r="C97" t="str">
        <f t="shared" si="76"/>
        <v>99_99</v>
      </c>
      <c r="D97" t="str">
        <f t="shared" si="23"/>
        <v>liability_risk</v>
      </c>
      <c r="E97" t="s">
        <v>2782</v>
      </c>
      <c r="F97" t="s">
        <v>2813</v>
      </c>
      <c r="G97" s="283" t="s">
        <v>2814</v>
      </c>
      <c r="I97" t="str">
        <f t="shared" si="63"/>
        <v>required_capital:99_99:liability_risk:adjustments:life:mortality:</v>
      </c>
      <c r="J97" s="9" t="s">
        <v>2840</v>
      </c>
      <c r="L97" s="9">
        <v>1</v>
      </c>
      <c r="M97" s="9">
        <f t="shared" si="43"/>
        <v>123</v>
      </c>
      <c r="N97" s="9" t="str">
        <f t="shared" si="71"/>
        <v>H</v>
      </c>
      <c r="O97" s="9" t="str">
        <f t="shared" si="64"/>
        <v>Output!H123</v>
      </c>
      <c r="P97" s="360" cm="1">
        <f t="array" aca="1" ref="P97" ca="1">INDIRECT(O97)</f>
        <v>0</v>
      </c>
      <c r="Q97" t="s">
        <v>2842</v>
      </c>
      <c r="R97" t="str">
        <f t="shared" si="65"/>
        <v>required_capital:99_95:liability_risk:adjustments:life:mortality:</v>
      </c>
      <c r="S97" s="9" t="str">
        <f t="shared" si="72"/>
        <v>J</v>
      </c>
      <c r="T97" s="9" t="str">
        <f t="shared" si="66"/>
        <v>Output!J123</v>
      </c>
      <c r="U97" s="360" cm="1">
        <f t="array" aca="1" ref="U97" ca="1">INDIRECT(T97)</f>
        <v>0</v>
      </c>
      <c r="V97" t="s">
        <v>2846</v>
      </c>
      <c r="W97" t="str">
        <f t="shared" si="67"/>
        <v>required_capital:99_80:liability_risk:adjustments:life:mortality:</v>
      </c>
      <c r="X97" s="9" t="str">
        <f t="shared" si="73"/>
        <v>L</v>
      </c>
      <c r="Y97" s="9" t="str">
        <f t="shared" si="68"/>
        <v>Output!L123</v>
      </c>
      <c r="Z97" s="360" cm="1">
        <f t="array" aca="1" ref="Z97" ca="1">INDIRECT(Y97)</f>
        <v>0</v>
      </c>
      <c r="AA97" t="s">
        <v>2848</v>
      </c>
      <c r="AB97" t="str">
        <f t="shared" si="69"/>
        <v>required_capital:99_50:liability_risk:adjustments:life:mortality:</v>
      </c>
      <c r="AC97" s="9" t="str">
        <f t="shared" si="74"/>
        <v>N</v>
      </c>
      <c r="AD97" s="9" t="str">
        <f t="shared" si="70"/>
        <v>Output!N123</v>
      </c>
      <c r="AE97" s="360" cm="1">
        <f t="array" aca="1" ref="AE97" ca="1">INDIRECT(AD97)</f>
        <v>0</v>
      </c>
    </row>
    <row r="98" spans="2:31" x14ac:dyDescent="0.35">
      <c r="B98" t="str">
        <f t="shared" si="75"/>
        <v>required_capital</v>
      </c>
      <c r="C98" t="str">
        <f t="shared" si="76"/>
        <v>99_99</v>
      </c>
      <c r="D98" t="str">
        <f t="shared" si="23"/>
        <v>liability_risk</v>
      </c>
      <c r="E98" t="s">
        <v>2782</v>
      </c>
      <c r="F98" t="s">
        <v>2813</v>
      </c>
      <c r="G98" s="283" t="s">
        <v>2815</v>
      </c>
      <c r="I98" t="str">
        <f t="shared" si="63"/>
        <v>required_capital:99_99:liability_risk:adjustments:life:morbidity:</v>
      </c>
      <c r="J98" s="9" t="s">
        <v>2840</v>
      </c>
      <c r="L98" s="9">
        <v>1</v>
      </c>
      <c r="M98" s="9">
        <f t="shared" si="43"/>
        <v>124</v>
      </c>
      <c r="N98" s="9" t="str">
        <f t="shared" si="71"/>
        <v>H</v>
      </c>
      <c r="O98" s="9" t="str">
        <f t="shared" si="64"/>
        <v>Output!H124</v>
      </c>
      <c r="P98" s="360" cm="1">
        <f t="array" aca="1" ref="P98" ca="1">INDIRECT(O98)</f>
        <v>0</v>
      </c>
      <c r="Q98" t="s">
        <v>2842</v>
      </c>
      <c r="R98" t="str">
        <f t="shared" si="65"/>
        <v>required_capital:99_95:liability_risk:adjustments:life:morbidity:</v>
      </c>
      <c r="S98" s="9" t="str">
        <f t="shared" si="72"/>
        <v>J</v>
      </c>
      <c r="T98" s="9" t="str">
        <f t="shared" si="66"/>
        <v>Output!J124</v>
      </c>
      <c r="U98" s="360" cm="1">
        <f t="array" aca="1" ref="U98" ca="1">INDIRECT(T98)</f>
        <v>0</v>
      </c>
      <c r="V98" t="s">
        <v>2846</v>
      </c>
      <c r="W98" t="str">
        <f t="shared" si="67"/>
        <v>required_capital:99_80:liability_risk:adjustments:life:morbidity:</v>
      </c>
      <c r="X98" s="9" t="str">
        <f t="shared" si="73"/>
        <v>L</v>
      </c>
      <c r="Y98" s="9" t="str">
        <f t="shared" si="68"/>
        <v>Output!L124</v>
      </c>
      <c r="Z98" s="360" cm="1">
        <f t="array" aca="1" ref="Z98" ca="1">INDIRECT(Y98)</f>
        <v>0</v>
      </c>
      <c r="AA98" t="s">
        <v>2848</v>
      </c>
      <c r="AB98" t="str">
        <f t="shared" si="69"/>
        <v>required_capital:99_50:liability_risk:adjustments:life:morbidity:</v>
      </c>
      <c r="AC98" s="9" t="str">
        <f t="shared" si="74"/>
        <v>N</v>
      </c>
      <c r="AD98" s="9" t="str">
        <f t="shared" si="70"/>
        <v>Output!N124</v>
      </c>
      <c r="AE98" s="360" cm="1">
        <f t="array" aca="1" ref="AE98" ca="1">INDIRECT(AD98)</f>
        <v>0</v>
      </c>
    </row>
    <row r="99" spans="2:31" x14ac:dyDescent="0.35">
      <c r="B99" t="str">
        <f t="shared" si="75"/>
        <v>required_capital</v>
      </c>
      <c r="C99" t="str">
        <f t="shared" si="76"/>
        <v>99_99</v>
      </c>
      <c r="D99" t="str">
        <f t="shared" si="23"/>
        <v>liability_risk</v>
      </c>
      <c r="E99" t="s">
        <v>2782</v>
      </c>
      <c r="F99" t="s">
        <v>2813</v>
      </c>
      <c r="G99" s="283" t="s">
        <v>2819</v>
      </c>
      <c r="I99" t="str">
        <f t="shared" si="63"/>
        <v>required_capital:99_99:liability_risk:adjustments:life:longevity:</v>
      </c>
      <c r="J99" s="9" t="s">
        <v>2840</v>
      </c>
      <c r="L99" s="9">
        <v>1</v>
      </c>
      <c r="M99" s="9">
        <f t="shared" si="43"/>
        <v>125</v>
      </c>
      <c r="N99" s="9" t="str">
        <f t="shared" si="71"/>
        <v>H</v>
      </c>
      <c r="O99" s="9" t="str">
        <f t="shared" si="64"/>
        <v>Output!H125</v>
      </c>
      <c r="P99" s="360" cm="1">
        <f t="array" aca="1" ref="P99" ca="1">INDIRECT(O99)</f>
        <v>0</v>
      </c>
      <c r="Q99" t="s">
        <v>2842</v>
      </c>
      <c r="R99" t="str">
        <f t="shared" si="65"/>
        <v>required_capital:99_95:liability_risk:adjustments:life:longevity:</v>
      </c>
      <c r="S99" s="9" t="str">
        <f t="shared" si="72"/>
        <v>J</v>
      </c>
      <c r="T99" s="9" t="str">
        <f t="shared" si="66"/>
        <v>Output!J125</v>
      </c>
      <c r="U99" s="360" cm="1">
        <f t="array" aca="1" ref="U99" ca="1">INDIRECT(T99)</f>
        <v>0</v>
      </c>
      <c r="V99" t="s">
        <v>2846</v>
      </c>
      <c r="W99" t="str">
        <f t="shared" si="67"/>
        <v>required_capital:99_80:liability_risk:adjustments:life:longevity:</v>
      </c>
      <c r="X99" s="9" t="str">
        <f t="shared" si="73"/>
        <v>L</v>
      </c>
      <c r="Y99" s="9" t="str">
        <f t="shared" si="68"/>
        <v>Output!L125</v>
      </c>
      <c r="Z99" s="360" cm="1">
        <f t="array" aca="1" ref="Z99" ca="1">INDIRECT(Y99)</f>
        <v>0</v>
      </c>
      <c r="AA99" t="s">
        <v>2848</v>
      </c>
      <c r="AB99" t="str">
        <f t="shared" si="69"/>
        <v>required_capital:99_50:liability_risk:adjustments:life:longevity:</v>
      </c>
      <c r="AC99" s="9" t="str">
        <f t="shared" si="74"/>
        <v>N</v>
      </c>
      <c r="AD99" s="9" t="str">
        <f t="shared" si="70"/>
        <v>Output!N125</v>
      </c>
      <c r="AE99" s="360" cm="1">
        <f t="array" aca="1" ref="AE99" ca="1">INDIRECT(AD99)</f>
        <v>0</v>
      </c>
    </row>
    <row r="100" spans="2:31" x14ac:dyDescent="0.35">
      <c r="B100" t="str">
        <f t="shared" si="75"/>
        <v>required_capital</v>
      </c>
      <c r="C100" t="str">
        <f t="shared" si="76"/>
        <v>99_99</v>
      </c>
      <c r="D100" t="str">
        <f t="shared" si="23"/>
        <v>liability_risk</v>
      </c>
      <c r="E100" t="s">
        <v>2782</v>
      </c>
      <c r="F100" t="s">
        <v>2813</v>
      </c>
      <c r="G100" s="283" t="s">
        <v>2823</v>
      </c>
      <c r="I100" t="str">
        <f t="shared" si="63"/>
        <v>required_capital:99_99:liability_risk:adjustments:life:other life:</v>
      </c>
      <c r="J100" s="9" t="s">
        <v>2840</v>
      </c>
      <c r="L100" s="9">
        <v>1</v>
      </c>
      <c r="M100" s="9">
        <f t="shared" si="43"/>
        <v>126</v>
      </c>
      <c r="N100" s="9" t="str">
        <f t="shared" si="71"/>
        <v>H</v>
      </c>
      <c r="O100" s="9" t="str">
        <f t="shared" si="64"/>
        <v>Output!H126</v>
      </c>
      <c r="P100" s="360" cm="1">
        <f t="array" aca="1" ref="P100" ca="1">INDIRECT(O100)</f>
        <v>0</v>
      </c>
      <c r="Q100" t="s">
        <v>2842</v>
      </c>
      <c r="R100" t="str">
        <f t="shared" si="65"/>
        <v>required_capital:99_95:liability_risk:adjustments:life:other life:</v>
      </c>
      <c r="S100" s="9" t="str">
        <f t="shared" si="72"/>
        <v>J</v>
      </c>
      <c r="T100" s="9" t="str">
        <f t="shared" si="66"/>
        <v>Output!J126</v>
      </c>
      <c r="U100" s="360" cm="1">
        <f t="array" aca="1" ref="U100" ca="1">INDIRECT(T100)</f>
        <v>0</v>
      </c>
      <c r="V100" t="s">
        <v>2846</v>
      </c>
      <c r="W100" t="str">
        <f t="shared" si="67"/>
        <v>required_capital:99_80:liability_risk:adjustments:life:other life:</v>
      </c>
      <c r="X100" s="9" t="str">
        <f t="shared" si="73"/>
        <v>L</v>
      </c>
      <c r="Y100" s="9" t="str">
        <f t="shared" si="68"/>
        <v>Output!L126</v>
      </c>
      <c r="Z100" s="360" cm="1">
        <f t="array" aca="1" ref="Z100" ca="1">INDIRECT(Y100)</f>
        <v>0</v>
      </c>
      <c r="AA100" t="s">
        <v>2848</v>
      </c>
      <c r="AB100" t="str">
        <f t="shared" si="69"/>
        <v>required_capital:99_50:liability_risk:adjustments:life:other life:</v>
      </c>
      <c r="AC100" s="9" t="str">
        <f t="shared" si="74"/>
        <v>N</v>
      </c>
      <c r="AD100" s="9" t="str">
        <f t="shared" si="70"/>
        <v>Output!N126</v>
      </c>
      <c r="AE100" s="360" cm="1">
        <f t="array" aca="1" ref="AE100" ca="1">INDIRECT(AD100)</f>
        <v>0</v>
      </c>
    </row>
    <row r="101" spans="2:31" x14ac:dyDescent="0.35">
      <c r="B101" t="str">
        <f t="shared" si="75"/>
        <v>required_capital</v>
      </c>
      <c r="C101" t="str">
        <f t="shared" si="76"/>
        <v>99_99</v>
      </c>
      <c r="D101" t="str">
        <f t="shared" si="23"/>
        <v>liability_risk</v>
      </c>
      <c r="E101" t="s">
        <v>2782</v>
      </c>
      <c r="F101" t="s">
        <v>2813</v>
      </c>
      <c r="G101" s="283" t="s">
        <v>2824</v>
      </c>
      <c r="H101" t="s">
        <v>2783</v>
      </c>
      <c r="I101" t="str">
        <f t="shared" si="63"/>
        <v>required_capital:99_99:liability_risk:adjustments:life:pandemic:total</v>
      </c>
      <c r="J101" s="9" t="s">
        <v>2840</v>
      </c>
      <c r="L101" s="9">
        <v>1</v>
      </c>
      <c r="M101" s="9">
        <f t="shared" si="43"/>
        <v>127</v>
      </c>
      <c r="N101" s="9" t="str">
        <f t="shared" si="71"/>
        <v>H</v>
      </c>
      <c r="O101" s="9" t="str">
        <f t="shared" si="64"/>
        <v>Output!H127</v>
      </c>
      <c r="P101" s="360" cm="1">
        <f t="array" aca="1" ref="P101" ca="1">INDIRECT(O101)</f>
        <v>0</v>
      </c>
      <c r="Q101" t="s">
        <v>2842</v>
      </c>
      <c r="R101" t="str">
        <f t="shared" si="65"/>
        <v>required_capital:99_95:liability_risk:adjustments:life:pandemic:total</v>
      </c>
      <c r="S101" s="9" t="str">
        <f t="shared" si="72"/>
        <v>J</v>
      </c>
      <c r="T101" s="9" t="str">
        <f t="shared" si="66"/>
        <v>Output!J127</v>
      </c>
      <c r="U101" s="360" cm="1">
        <f t="array" aca="1" ref="U101" ca="1">INDIRECT(T101)</f>
        <v>0</v>
      </c>
      <c r="V101" t="s">
        <v>2846</v>
      </c>
      <c r="W101" t="str">
        <f t="shared" si="67"/>
        <v>required_capital:99_80:liability_risk:adjustments:life:pandemic:total</v>
      </c>
      <c r="X101" s="9" t="str">
        <f t="shared" si="73"/>
        <v>L</v>
      </c>
      <c r="Y101" s="9" t="str">
        <f t="shared" si="68"/>
        <v>Output!L127</v>
      </c>
      <c r="Z101" s="360" cm="1">
        <f t="array" aca="1" ref="Z101" ca="1">INDIRECT(Y101)</f>
        <v>0</v>
      </c>
      <c r="AA101" t="s">
        <v>2848</v>
      </c>
      <c r="AB101" t="str">
        <f t="shared" si="69"/>
        <v>required_capital:99_50:liability_risk:adjustments:life:pandemic:total</v>
      </c>
      <c r="AC101" s="9" t="str">
        <f t="shared" si="74"/>
        <v>N</v>
      </c>
      <c r="AD101" s="9" t="str">
        <f t="shared" si="70"/>
        <v>Output!N127</v>
      </c>
      <c r="AE101" s="360" cm="1">
        <f t="array" aca="1" ref="AE101" ca="1">INDIRECT(AD101)</f>
        <v>0</v>
      </c>
    </row>
    <row r="102" spans="2:31" x14ac:dyDescent="0.35">
      <c r="B102" t="str">
        <f t="shared" si="75"/>
        <v>required_capital</v>
      </c>
      <c r="C102" t="str">
        <f t="shared" si="76"/>
        <v>99_99</v>
      </c>
      <c r="D102" t="str">
        <f t="shared" si="23"/>
        <v>liability_risk</v>
      </c>
      <c r="E102" t="s">
        <v>2782</v>
      </c>
      <c r="F102" t="s">
        <v>2813</v>
      </c>
      <c r="G102" s="283" t="s">
        <v>2824</v>
      </c>
      <c r="H102" t="s">
        <v>2822</v>
      </c>
      <c r="I102" t="str">
        <f t="shared" ref="I102" si="96">CONCATENATE($B102, ":",C102,":",$D102,":",$E102,":",$F102,":",$G102,":",$H102)</f>
        <v>required_capital:99_99:liability_risk:adjustments:life:pandemic:value</v>
      </c>
      <c r="J102" s="9" t="s">
        <v>2840</v>
      </c>
      <c r="L102" s="9">
        <v>1</v>
      </c>
      <c r="M102" s="9">
        <f t="shared" ref="M102" si="97">M101+L102</f>
        <v>128</v>
      </c>
      <c r="N102" s="9" t="str">
        <f t="shared" si="71"/>
        <v>H</v>
      </c>
      <c r="O102" s="9" t="str">
        <f t="shared" ref="O102" si="98">CONCATENATE($J102,"!",N102,$M102)</f>
        <v>Output!H128</v>
      </c>
      <c r="P102" s="360" cm="1">
        <f t="array" aca="1" ref="P102" ca="1">INDIRECT(O102)</f>
        <v>0</v>
      </c>
      <c r="Q102" t="s">
        <v>2842</v>
      </c>
      <c r="R102" t="str">
        <f t="shared" ref="R102" si="99">IF(Q102="","",CONCATENATE($B102,":",Q102,":",$D102,":",$E102,":",$F102,":",$G102,":",$H102))</f>
        <v>required_capital:99_95:liability_risk:adjustments:life:pandemic:value</v>
      </c>
      <c r="S102" s="9" t="str">
        <f t="shared" si="72"/>
        <v>J</v>
      </c>
      <c r="T102" s="9" t="str">
        <f t="shared" ref="T102" si="100">CONCATENATE($J102,"!",S102,$M102)</f>
        <v>Output!J128</v>
      </c>
      <c r="U102" s="360" cm="1">
        <f t="array" aca="1" ref="U102" ca="1">INDIRECT(T102)</f>
        <v>0</v>
      </c>
      <c r="V102" t="s">
        <v>2846</v>
      </c>
      <c r="W102" t="str">
        <f t="shared" ref="W102" si="101">IF(V102="","",CONCATENATE($B102,":",V102,":",$D102,":",$E102,":",$F102,":",$G102,":",$H102))</f>
        <v>required_capital:99_80:liability_risk:adjustments:life:pandemic:value</v>
      </c>
      <c r="X102" s="9" t="str">
        <f t="shared" si="73"/>
        <v>L</v>
      </c>
      <c r="Y102" s="9" t="str">
        <f t="shared" ref="Y102" si="102">CONCATENATE($J102,"!",X102,$M102)</f>
        <v>Output!L128</v>
      </c>
      <c r="Z102" s="360" cm="1">
        <f t="array" aca="1" ref="Z102" ca="1">INDIRECT(Y102)</f>
        <v>0</v>
      </c>
      <c r="AA102" t="s">
        <v>2848</v>
      </c>
      <c r="AB102" t="str">
        <f t="shared" ref="AB102" si="103">IF(AA102="","",CONCATENATE($B102,":",AA102,":",$D102,":",$E102,":",$F102,":",$G102,":",$H102))</f>
        <v>required_capital:99_50:liability_risk:adjustments:life:pandemic:value</v>
      </c>
      <c r="AC102" s="9" t="str">
        <f t="shared" si="74"/>
        <v>N</v>
      </c>
      <c r="AD102" s="9" t="str">
        <f t="shared" ref="AD102" si="104">CONCATENATE($J102,"!",AC102,$M102)</f>
        <v>Output!N128</v>
      </c>
      <c r="AE102" s="360" cm="1">
        <f t="array" aca="1" ref="AE102" ca="1">INDIRECT(AD102)</f>
        <v>0</v>
      </c>
    </row>
    <row r="103" spans="2:31" x14ac:dyDescent="0.35">
      <c r="B103" t="str">
        <f t="shared" si="75"/>
        <v>required_capital</v>
      </c>
      <c r="C103" t="str">
        <f t="shared" si="76"/>
        <v>99_99</v>
      </c>
      <c r="D103" t="str">
        <f t="shared" si="23"/>
        <v>liability_risk</v>
      </c>
      <c r="E103" t="s">
        <v>2782</v>
      </c>
      <c r="F103" t="s">
        <v>2813</v>
      </c>
      <c r="G103" s="283" t="s">
        <v>2824</v>
      </c>
      <c r="H103" t="s">
        <v>4373</v>
      </c>
      <c r="I103" t="str">
        <f t="shared" ref="I103" si="105">CONCATENATE($B103, ":",C103,":",$D103,":",$E103,":",$F103,":",$G103,":",$H103)</f>
        <v>required_capital:99_99:liability_risk:adjustments:life:pandemic:reinsurance_recoveries</v>
      </c>
      <c r="J103" s="9" t="s">
        <v>2840</v>
      </c>
      <c r="L103" s="9">
        <v>1</v>
      </c>
      <c r="M103" s="9">
        <f t="shared" ref="M103" si="106">M102+L103</f>
        <v>129</v>
      </c>
      <c r="N103" s="9" t="str">
        <f t="shared" si="71"/>
        <v>H</v>
      </c>
      <c r="O103" s="9" t="str">
        <f t="shared" ref="O103" si="107">CONCATENATE($J103,"!",N103,$M103)</f>
        <v>Output!H129</v>
      </c>
      <c r="P103" s="360" cm="1">
        <f t="array" aca="1" ref="P103" ca="1">INDIRECT(O103)</f>
        <v>0</v>
      </c>
      <c r="Q103" t="s">
        <v>2842</v>
      </c>
      <c r="R103" t="str">
        <f t="shared" ref="R103" si="108">IF(Q103="","",CONCATENATE($B103,":",Q103,":",$D103,":",$E103,":",$F103,":",$G103,":",$H103))</f>
        <v>required_capital:99_95:liability_risk:adjustments:life:pandemic:reinsurance_recoveries</v>
      </c>
      <c r="S103" s="9" t="str">
        <f t="shared" si="72"/>
        <v>J</v>
      </c>
      <c r="T103" s="9" t="str">
        <f t="shared" ref="T103" si="109">CONCATENATE($J103,"!",S103,$M103)</f>
        <v>Output!J129</v>
      </c>
      <c r="U103" s="360" cm="1">
        <f t="array" aca="1" ref="U103" ca="1">INDIRECT(T103)</f>
        <v>0</v>
      </c>
      <c r="V103" t="s">
        <v>2846</v>
      </c>
      <c r="W103" t="str">
        <f t="shared" ref="W103" si="110">IF(V103="","",CONCATENATE($B103,":",V103,":",$D103,":",$E103,":",$F103,":",$G103,":",$H103))</f>
        <v>required_capital:99_80:liability_risk:adjustments:life:pandemic:reinsurance_recoveries</v>
      </c>
      <c r="X103" s="9" t="str">
        <f t="shared" si="73"/>
        <v>L</v>
      </c>
      <c r="Y103" s="9" t="str">
        <f t="shared" ref="Y103" si="111">CONCATENATE($J103,"!",X103,$M103)</f>
        <v>Output!L129</v>
      </c>
      <c r="Z103" s="360" cm="1">
        <f t="array" aca="1" ref="Z103" ca="1">INDIRECT(Y103)</f>
        <v>0</v>
      </c>
      <c r="AA103" t="s">
        <v>2848</v>
      </c>
      <c r="AB103" t="str">
        <f t="shared" ref="AB103" si="112">IF(AA103="","",CONCATENATE($B103,":",AA103,":",$D103,":",$E103,":",$F103,":",$G103,":",$H103))</f>
        <v>required_capital:99_50:liability_risk:adjustments:life:pandemic:reinsurance_recoveries</v>
      </c>
      <c r="AC103" s="9" t="str">
        <f t="shared" si="74"/>
        <v>N</v>
      </c>
      <c r="AD103" s="9" t="str">
        <f t="shared" ref="AD103" si="113">CONCATENATE($J103,"!",AC103,$M103)</f>
        <v>Output!N129</v>
      </c>
      <c r="AE103" s="360" cm="1">
        <f t="array" aca="1" ref="AE103" ca="1">INDIRECT(AD103)</f>
        <v>0</v>
      </c>
    </row>
    <row r="104" spans="2:31" x14ac:dyDescent="0.35">
      <c r="B104" t="str">
        <f t="shared" si="75"/>
        <v>required_capital</v>
      </c>
      <c r="C104" t="str">
        <f t="shared" si="76"/>
        <v>99_99</v>
      </c>
      <c r="D104" t="str">
        <f t="shared" si="23"/>
        <v>liability_risk</v>
      </c>
      <c r="E104" t="s">
        <v>2783</v>
      </c>
      <c r="I104" t="str">
        <f t="shared" si="63"/>
        <v>required_capital:99_99:liability_risk:total:::</v>
      </c>
      <c r="J104" s="9" t="s">
        <v>2840</v>
      </c>
      <c r="L104" s="9">
        <v>2</v>
      </c>
      <c r="M104" s="9">
        <f t="shared" ref="M104" si="114">M103+L104</f>
        <v>131</v>
      </c>
      <c r="N104" s="9" t="str">
        <f t="shared" si="71"/>
        <v>H</v>
      </c>
      <c r="O104" s="9" t="str">
        <f t="shared" si="64"/>
        <v>Output!H131</v>
      </c>
      <c r="P104" s="360" cm="1">
        <f t="array" aca="1" ref="P104" ca="1">INDIRECT(O104)</f>
        <v>0</v>
      </c>
      <c r="Q104" t="s">
        <v>2842</v>
      </c>
      <c r="R104" t="str">
        <f t="shared" si="65"/>
        <v>required_capital:99_95:liability_risk:total:::</v>
      </c>
      <c r="S104" s="9" t="str">
        <f t="shared" si="72"/>
        <v>J</v>
      </c>
      <c r="T104" s="9" t="str">
        <f t="shared" si="66"/>
        <v>Output!J131</v>
      </c>
      <c r="U104" s="360" cm="1">
        <f t="array" aca="1" ref="U104" ca="1">INDIRECT(T104)</f>
        <v>0</v>
      </c>
      <c r="V104" t="s">
        <v>2846</v>
      </c>
      <c r="W104" t="str">
        <f t="shared" si="67"/>
        <v>required_capital:99_80:liability_risk:total:::</v>
      </c>
      <c r="X104" s="9" t="str">
        <f t="shared" si="73"/>
        <v>L</v>
      </c>
      <c r="Y104" s="9" t="str">
        <f t="shared" si="68"/>
        <v>Output!L131</v>
      </c>
      <c r="Z104" s="360" cm="1">
        <f t="array" aca="1" ref="Z104" ca="1">INDIRECT(Y104)</f>
        <v>0</v>
      </c>
      <c r="AA104" t="s">
        <v>2848</v>
      </c>
      <c r="AB104" t="str">
        <f t="shared" si="69"/>
        <v>required_capital:99_50:liability_risk:total:::</v>
      </c>
      <c r="AC104" s="9" t="str">
        <f t="shared" si="74"/>
        <v>N</v>
      </c>
      <c r="AD104" s="9" t="str">
        <f t="shared" si="70"/>
        <v>Output!N131</v>
      </c>
      <c r="AE104" s="360" cm="1">
        <f t="array" aca="1" ref="AE104" ca="1">INDIRECT(AD104)</f>
        <v>0</v>
      </c>
    </row>
    <row r="105" spans="2:31" x14ac:dyDescent="0.35">
      <c r="B105" t="str">
        <f t="shared" si="75"/>
        <v>required_capital</v>
      </c>
      <c r="C105" t="str">
        <f t="shared" si="76"/>
        <v>99_99</v>
      </c>
      <c r="D105" t="s">
        <v>2825</v>
      </c>
      <c r="E105" t="s">
        <v>2794</v>
      </c>
      <c r="I105" t="str">
        <f t="shared" si="63"/>
        <v>required_capital:99_99:diversification:market_risk:::</v>
      </c>
      <c r="J105" s="9" t="s">
        <v>2840</v>
      </c>
      <c r="K105" s="9">
        <f>ROW(out_section_diversification)</f>
        <v>134</v>
      </c>
      <c r="L105" s="9">
        <v>2</v>
      </c>
      <c r="M105" s="9">
        <f>K105+L105</f>
        <v>136</v>
      </c>
      <c r="N105" s="9" t="str">
        <f t="shared" si="71"/>
        <v>H</v>
      </c>
      <c r="O105" s="9" t="str">
        <f t="shared" si="64"/>
        <v>Output!H136</v>
      </c>
      <c r="P105" s="360" cm="1">
        <f t="array" aca="1" ref="P105" ca="1">INDIRECT(O105)</f>
        <v>0</v>
      </c>
      <c r="Q105" t="s">
        <v>2842</v>
      </c>
      <c r="R105" t="str">
        <f t="shared" si="65"/>
        <v>required_capital:99_95:diversification:market_risk:::</v>
      </c>
      <c r="S105" s="9" t="str">
        <f t="shared" si="72"/>
        <v>J</v>
      </c>
      <c r="T105" s="9" t="str">
        <f t="shared" si="66"/>
        <v>Output!J136</v>
      </c>
      <c r="U105" s="360" cm="1">
        <f t="array" aca="1" ref="U105" ca="1">INDIRECT(T105)</f>
        <v>0</v>
      </c>
      <c r="V105" t="s">
        <v>2846</v>
      </c>
      <c r="W105" t="str">
        <f t="shared" si="67"/>
        <v>required_capital:99_80:diversification:market_risk:::</v>
      </c>
      <c r="X105" s="9" t="str">
        <f t="shared" si="73"/>
        <v>L</v>
      </c>
      <c r="Y105" s="9" t="str">
        <f t="shared" si="68"/>
        <v>Output!L136</v>
      </c>
      <c r="Z105" s="360" cm="1">
        <f t="array" aca="1" ref="Z105" ca="1">INDIRECT(Y105)</f>
        <v>0</v>
      </c>
      <c r="AA105" t="s">
        <v>2848</v>
      </c>
      <c r="AB105" t="str">
        <f t="shared" si="69"/>
        <v>required_capital:99_50:diversification:market_risk:::</v>
      </c>
      <c r="AC105" s="9" t="str">
        <f t="shared" si="74"/>
        <v>N</v>
      </c>
      <c r="AD105" s="9" t="str">
        <f t="shared" si="70"/>
        <v>Output!N136</v>
      </c>
      <c r="AE105" s="360" cm="1">
        <f t="array" aca="1" ref="AE105" ca="1">INDIRECT(AD105)</f>
        <v>0</v>
      </c>
    </row>
    <row r="106" spans="2:31" x14ac:dyDescent="0.35">
      <c r="B106" t="str">
        <f t="shared" si="75"/>
        <v>required_capital</v>
      </c>
      <c r="C106" t="str">
        <f t="shared" si="76"/>
        <v>99_99</v>
      </c>
      <c r="D106" t="str">
        <f>D105</f>
        <v>diversification</v>
      </c>
      <c r="E106" t="s">
        <v>2801</v>
      </c>
      <c r="F106" t="s">
        <v>2783</v>
      </c>
      <c r="I106" t="str">
        <f t="shared" si="63"/>
        <v>required_capital:99_99:diversification:non_life:total::</v>
      </c>
      <c r="J106" s="9" t="s">
        <v>2840</v>
      </c>
      <c r="L106" s="9">
        <v>1</v>
      </c>
      <c r="M106" s="9">
        <f t="shared" si="43"/>
        <v>137</v>
      </c>
      <c r="N106" s="9" t="str">
        <f t="shared" si="71"/>
        <v>H</v>
      </c>
      <c r="O106" s="9" t="str">
        <f t="shared" si="64"/>
        <v>Output!H137</v>
      </c>
      <c r="P106" s="360" cm="1">
        <f t="array" aca="1" ref="P106" ca="1">INDIRECT(O106)</f>
        <v>0</v>
      </c>
      <c r="Q106" t="s">
        <v>2842</v>
      </c>
      <c r="R106" t="str">
        <f t="shared" si="65"/>
        <v>required_capital:99_95:diversification:non_life:total::</v>
      </c>
      <c r="S106" s="9" t="str">
        <f t="shared" si="72"/>
        <v>J</v>
      </c>
      <c r="T106" s="9" t="str">
        <f t="shared" si="66"/>
        <v>Output!J137</v>
      </c>
      <c r="U106" s="360" cm="1">
        <f t="array" aca="1" ref="U106" ca="1">INDIRECT(T106)</f>
        <v>0</v>
      </c>
      <c r="V106" t="s">
        <v>2846</v>
      </c>
      <c r="W106" t="str">
        <f t="shared" si="67"/>
        <v>required_capital:99_80:diversification:non_life:total::</v>
      </c>
      <c r="X106" s="9" t="str">
        <f t="shared" si="73"/>
        <v>L</v>
      </c>
      <c r="Y106" s="9" t="str">
        <f t="shared" si="68"/>
        <v>Output!L137</v>
      </c>
      <c r="Z106" s="360" cm="1">
        <f t="array" aca="1" ref="Z106" ca="1">INDIRECT(Y106)</f>
        <v>0</v>
      </c>
      <c r="AA106" t="s">
        <v>2848</v>
      </c>
      <c r="AB106" t="str">
        <f t="shared" si="69"/>
        <v>required_capital:99_50:diversification:non_life:total::</v>
      </c>
      <c r="AC106" s="9" t="str">
        <f t="shared" si="74"/>
        <v>N</v>
      </c>
      <c r="AD106" s="9" t="str">
        <f t="shared" si="70"/>
        <v>Output!N137</v>
      </c>
      <c r="AE106" s="360" cm="1">
        <f t="array" aca="1" ref="AE106" ca="1">INDIRECT(AD106)</f>
        <v>0</v>
      </c>
    </row>
    <row r="107" spans="2:31" x14ac:dyDescent="0.35">
      <c r="B107" t="str">
        <f t="shared" si="75"/>
        <v>required_capital</v>
      </c>
      <c r="C107" t="str">
        <f t="shared" si="76"/>
        <v>99_99</v>
      </c>
      <c r="D107" t="str">
        <f t="shared" ref="D107:D113" si="115">D106</f>
        <v>diversification</v>
      </c>
      <c r="E107" t="s">
        <v>2801</v>
      </c>
      <c r="F107" t="s">
        <v>2826</v>
      </c>
      <c r="I107" t="str">
        <f t="shared" si="63"/>
        <v>required_capital:99_99:diversification:non_life:premium_reserve::</v>
      </c>
      <c r="J107" s="9" t="s">
        <v>2840</v>
      </c>
      <c r="L107" s="9">
        <v>1</v>
      </c>
      <c r="M107" s="9">
        <f t="shared" si="43"/>
        <v>138</v>
      </c>
      <c r="N107" s="9" t="str">
        <f t="shared" si="71"/>
        <v>H</v>
      </c>
      <c r="O107" s="9" t="str">
        <f t="shared" si="64"/>
        <v>Output!H138</v>
      </c>
      <c r="P107" s="360" cm="1">
        <f t="array" aca="1" ref="P107" ca="1">INDIRECT(O107)</f>
        <v>0</v>
      </c>
      <c r="Q107" t="s">
        <v>2842</v>
      </c>
      <c r="R107" t="str">
        <f t="shared" si="65"/>
        <v>required_capital:99_95:diversification:non_life:premium_reserve::</v>
      </c>
      <c r="S107" s="9" t="str">
        <f t="shared" si="72"/>
        <v>J</v>
      </c>
      <c r="T107" s="9" t="str">
        <f t="shared" si="66"/>
        <v>Output!J138</v>
      </c>
      <c r="U107" s="360" cm="1">
        <f t="array" aca="1" ref="U107" ca="1">INDIRECT(T107)</f>
        <v>0</v>
      </c>
      <c r="V107" t="s">
        <v>2846</v>
      </c>
      <c r="W107" t="str">
        <f t="shared" si="67"/>
        <v>required_capital:99_80:diversification:non_life:premium_reserve::</v>
      </c>
      <c r="X107" s="9" t="str">
        <f t="shared" si="73"/>
        <v>L</v>
      </c>
      <c r="Y107" s="9" t="str">
        <f t="shared" si="68"/>
        <v>Output!L138</v>
      </c>
      <c r="Z107" s="360" cm="1">
        <f t="array" aca="1" ref="Z107" ca="1">INDIRECT(Y107)</f>
        <v>0</v>
      </c>
      <c r="AA107" t="s">
        <v>2848</v>
      </c>
      <c r="AB107" t="str">
        <f t="shared" si="69"/>
        <v>required_capital:99_50:diversification:non_life:premium_reserve::</v>
      </c>
      <c r="AC107" s="9" t="str">
        <f t="shared" si="74"/>
        <v>N</v>
      </c>
      <c r="AD107" s="9" t="str">
        <f t="shared" si="70"/>
        <v>Output!N138</v>
      </c>
      <c r="AE107" s="360" cm="1">
        <f t="array" aca="1" ref="AE107" ca="1">INDIRECT(AD107)</f>
        <v>0</v>
      </c>
    </row>
    <row r="108" spans="2:31" x14ac:dyDescent="0.35">
      <c r="B108" t="str">
        <f t="shared" si="75"/>
        <v>required_capital</v>
      </c>
      <c r="C108" t="str">
        <f t="shared" si="76"/>
        <v>99_99</v>
      </c>
      <c r="D108" t="str">
        <f t="shared" si="115"/>
        <v>diversification</v>
      </c>
      <c r="E108" t="s">
        <v>2801</v>
      </c>
      <c r="F108" t="s">
        <v>2827</v>
      </c>
      <c r="I108" t="str">
        <f t="shared" si="63"/>
        <v>required_capital:99_99:diversification:non_life:lines_of_business::</v>
      </c>
      <c r="J108" s="9" t="s">
        <v>2840</v>
      </c>
      <c r="L108" s="9">
        <v>1</v>
      </c>
      <c r="M108" s="9">
        <f t="shared" si="43"/>
        <v>139</v>
      </c>
      <c r="N108" s="9" t="str">
        <f t="shared" si="71"/>
        <v>H</v>
      </c>
      <c r="O108" s="9" t="str">
        <f t="shared" si="64"/>
        <v>Output!H139</v>
      </c>
      <c r="P108" s="360" cm="1">
        <f t="array" aca="1" ref="P108" ca="1">INDIRECT(O108)</f>
        <v>0</v>
      </c>
      <c r="Q108" t="s">
        <v>2842</v>
      </c>
      <c r="R108" t="str">
        <f t="shared" si="65"/>
        <v>required_capital:99_95:diversification:non_life:lines_of_business::</v>
      </c>
      <c r="S108" s="9" t="str">
        <f t="shared" si="72"/>
        <v>J</v>
      </c>
      <c r="T108" s="9" t="str">
        <f t="shared" si="66"/>
        <v>Output!J139</v>
      </c>
      <c r="U108" s="360" cm="1">
        <f t="array" aca="1" ref="U108" ca="1">INDIRECT(T108)</f>
        <v>0</v>
      </c>
      <c r="V108" t="s">
        <v>2846</v>
      </c>
      <c r="W108" t="str">
        <f t="shared" si="67"/>
        <v>required_capital:99_80:diversification:non_life:lines_of_business::</v>
      </c>
      <c r="X108" s="9" t="str">
        <f t="shared" si="73"/>
        <v>L</v>
      </c>
      <c r="Y108" s="9" t="str">
        <f t="shared" si="68"/>
        <v>Output!L139</v>
      </c>
      <c r="Z108" s="360" cm="1">
        <f t="array" aca="1" ref="Z108" ca="1">INDIRECT(Y108)</f>
        <v>0</v>
      </c>
      <c r="AA108" t="s">
        <v>2848</v>
      </c>
      <c r="AB108" t="str">
        <f t="shared" si="69"/>
        <v>required_capital:99_50:diversification:non_life:lines_of_business::</v>
      </c>
      <c r="AC108" s="9" t="str">
        <f t="shared" si="74"/>
        <v>N</v>
      </c>
      <c r="AD108" s="9" t="str">
        <f t="shared" si="70"/>
        <v>Output!N139</v>
      </c>
      <c r="AE108" s="360" cm="1">
        <f t="array" aca="1" ref="AE108" ca="1">INDIRECT(AD108)</f>
        <v>0</v>
      </c>
    </row>
    <row r="109" spans="2:31" x14ac:dyDescent="0.35">
      <c r="B109" t="str">
        <f t="shared" si="75"/>
        <v>required_capital</v>
      </c>
      <c r="C109" t="str">
        <f t="shared" si="76"/>
        <v>99_99</v>
      </c>
      <c r="D109" t="str">
        <f t="shared" si="115"/>
        <v>diversification</v>
      </c>
      <c r="E109" t="s">
        <v>2813</v>
      </c>
      <c r="F109" t="s">
        <v>2783</v>
      </c>
      <c r="I109" t="str">
        <f t="shared" si="63"/>
        <v>required_capital:99_99:diversification:life:total::</v>
      </c>
      <c r="J109" s="9" t="s">
        <v>2840</v>
      </c>
      <c r="L109" s="9">
        <v>1</v>
      </c>
      <c r="M109" s="9">
        <f t="shared" si="43"/>
        <v>140</v>
      </c>
      <c r="N109" s="9" t="str">
        <f t="shared" si="71"/>
        <v>H</v>
      </c>
      <c r="O109" s="9" t="str">
        <f t="shared" si="64"/>
        <v>Output!H140</v>
      </c>
      <c r="P109" s="360" cm="1">
        <f t="array" aca="1" ref="P109" ca="1">INDIRECT(O109)</f>
        <v>0</v>
      </c>
      <c r="Q109" t="s">
        <v>2842</v>
      </c>
      <c r="R109" t="str">
        <f t="shared" si="65"/>
        <v>required_capital:99_95:diversification:life:total::</v>
      </c>
      <c r="S109" s="9" t="str">
        <f t="shared" si="72"/>
        <v>J</v>
      </c>
      <c r="T109" s="9" t="str">
        <f t="shared" si="66"/>
        <v>Output!J140</v>
      </c>
      <c r="U109" s="360" cm="1">
        <f t="array" aca="1" ref="U109" ca="1">INDIRECT(T109)</f>
        <v>0</v>
      </c>
      <c r="V109" t="s">
        <v>2846</v>
      </c>
      <c r="W109" t="str">
        <f t="shared" si="67"/>
        <v>required_capital:99_80:diversification:life:total::</v>
      </c>
      <c r="X109" s="9" t="str">
        <f t="shared" si="73"/>
        <v>L</v>
      </c>
      <c r="Y109" s="9" t="str">
        <f t="shared" si="68"/>
        <v>Output!L140</v>
      </c>
      <c r="Z109" s="360" cm="1">
        <f t="array" aca="1" ref="Z109" ca="1">INDIRECT(Y109)</f>
        <v>0</v>
      </c>
      <c r="AA109" t="s">
        <v>2848</v>
      </c>
      <c r="AB109" t="str">
        <f t="shared" si="69"/>
        <v>required_capital:99_50:diversification:life:total::</v>
      </c>
      <c r="AC109" s="9" t="str">
        <f t="shared" si="74"/>
        <v>N</v>
      </c>
      <c r="AD109" s="9" t="str">
        <f t="shared" si="70"/>
        <v>Output!N140</v>
      </c>
      <c r="AE109" s="360" cm="1">
        <f t="array" aca="1" ref="AE109" ca="1">INDIRECT(AD109)</f>
        <v>0</v>
      </c>
    </row>
    <row r="110" spans="2:31" x14ac:dyDescent="0.35">
      <c r="B110" t="str">
        <f t="shared" si="75"/>
        <v>required_capital</v>
      </c>
      <c r="C110" t="str">
        <f t="shared" si="76"/>
        <v>99_99</v>
      </c>
      <c r="D110" t="str">
        <f t="shared" si="115"/>
        <v>diversification</v>
      </c>
      <c r="E110" t="s">
        <v>2828</v>
      </c>
      <c r="I110" t="str">
        <f t="shared" si="63"/>
        <v>required_capital:99_99:diversification:across_risks:::</v>
      </c>
      <c r="J110" s="9" t="s">
        <v>2840</v>
      </c>
      <c r="L110" s="9">
        <v>1</v>
      </c>
      <c r="M110" s="9">
        <f t="shared" si="43"/>
        <v>141</v>
      </c>
      <c r="N110" s="9" t="str">
        <f t="shared" si="71"/>
        <v>H</v>
      </c>
      <c r="O110" s="9" t="str">
        <f t="shared" si="64"/>
        <v>Output!H141</v>
      </c>
      <c r="P110" s="360" cm="1">
        <f t="array" aca="1" ref="P110" ca="1">INDIRECT(O110)</f>
        <v>0</v>
      </c>
      <c r="Q110" t="s">
        <v>2842</v>
      </c>
      <c r="R110" t="str">
        <f t="shared" si="65"/>
        <v>required_capital:99_95:diversification:across_risks:::</v>
      </c>
      <c r="S110" s="9" t="str">
        <f t="shared" si="72"/>
        <v>J</v>
      </c>
      <c r="T110" s="9" t="str">
        <f t="shared" si="66"/>
        <v>Output!J141</v>
      </c>
      <c r="U110" s="360" cm="1">
        <f t="array" aca="1" ref="U110" ca="1">INDIRECT(T110)</f>
        <v>0</v>
      </c>
      <c r="V110" t="s">
        <v>2846</v>
      </c>
      <c r="W110" t="str">
        <f t="shared" si="67"/>
        <v>required_capital:99_80:diversification:across_risks:::</v>
      </c>
      <c r="X110" s="9" t="str">
        <f t="shared" si="73"/>
        <v>L</v>
      </c>
      <c r="Y110" s="9" t="str">
        <f t="shared" si="68"/>
        <v>Output!L141</v>
      </c>
      <c r="Z110" s="360" cm="1">
        <f t="array" aca="1" ref="Z110" ca="1">INDIRECT(Y110)</f>
        <v>0</v>
      </c>
      <c r="AA110" t="s">
        <v>2848</v>
      </c>
      <c r="AB110" t="str">
        <f t="shared" si="69"/>
        <v>required_capital:99_50:diversification:across_risks:::</v>
      </c>
      <c r="AC110" s="9" t="str">
        <f t="shared" si="74"/>
        <v>N</v>
      </c>
      <c r="AD110" s="9" t="str">
        <f t="shared" si="70"/>
        <v>Output!N141</v>
      </c>
      <c r="AE110" s="360" cm="1">
        <f t="array" aca="1" ref="AE110" ca="1">INDIRECT(AD110)</f>
        <v>0</v>
      </c>
    </row>
    <row r="111" spans="2:31" x14ac:dyDescent="0.35">
      <c r="B111" t="str">
        <f t="shared" si="75"/>
        <v>required_capital</v>
      </c>
      <c r="C111" t="str">
        <f t="shared" si="76"/>
        <v>99_99</v>
      </c>
      <c r="D111" t="str">
        <f t="shared" si="115"/>
        <v>diversification</v>
      </c>
      <c r="E111" t="s">
        <v>2829</v>
      </c>
      <c r="F111" t="s">
        <v>2783</v>
      </c>
      <c r="I111" t="str">
        <f t="shared" si="63"/>
        <v>required_capital:99_99:diversification:pre_haircut:total::</v>
      </c>
      <c r="J111" s="9" t="s">
        <v>2840</v>
      </c>
      <c r="L111" s="9">
        <v>2</v>
      </c>
      <c r="M111" s="9">
        <f t="shared" ref="M111:M120" si="116">M110+L111</f>
        <v>143</v>
      </c>
      <c r="N111" s="9" t="str">
        <f t="shared" si="71"/>
        <v>H</v>
      </c>
      <c r="O111" s="9" t="str">
        <f t="shared" si="64"/>
        <v>Output!H143</v>
      </c>
      <c r="P111" s="360" cm="1">
        <f t="array" aca="1" ref="P111" ca="1">INDIRECT(O111)</f>
        <v>0</v>
      </c>
      <c r="Q111" t="s">
        <v>2842</v>
      </c>
      <c r="R111" t="str">
        <f t="shared" si="65"/>
        <v>required_capital:99_95:diversification:pre_haircut:total::</v>
      </c>
      <c r="S111" s="9" t="str">
        <f t="shared" si="72"/>
        <v>J</v>
      </c>
      <c r="T111" s="9" t="str">
        <f t="shared" si="66"/>
        <v>Output!J143</v>
      </c>
      <c r="U111" s="360" cm="1">
        <f t="array" aca="1" ref="U111" ca="1">INDIRECT(T111)</f>
        <v>0</v>
      </c>
      <c r="V111" t="s">
        <v>2846</v>
      </c>
      <c r="W111" t="str">
        <f t="shared" si="67"/>
        <v>required_capital:99_80:diversification:pre_haircut:total::</v>
      </c>
      <c r="X111" s="9" t="str">
        <f t="shared" si="73"/>
        <v>L</v>
      </c>
      <c r="Y111" s="9" t="str">
        <f t="shared" si="68"/>
        <v>Output!L143</v>
      </c>
      <c r="Z111" s="360" cm="1">
        <f t="array" aca="1" ref="Z111" ca="1">INDIRECT(Y111)</f>
        <v>0</v>
      </c>
      <c r="AA111" t="s">
        <v>2848</v>
      </c>
      <c r="AB111" t="str">
        <f t="shared" si="69"/>
        <v>required_capital:99_50:diversification:pre_haircut:total::</v>
      </c>
      <c r="AC111" s="9" t="str">
        <f t="shared" si="74"/>
        <v>N</v>
      </c>
      <c r="AD111" s="9" t="str">
        <f t="shared" si="70"/>
        <v>Output!N143</v>
      </c>
      <c r="AE111" s="360" cm="1">
        <f t="array" aca="1" ref="AE111" ca="1">INDIRECT(AD111)</f>
        <v>0</v>
      </c>
    </row>
    <row r="112" spans="2:31" x14ac:dyDescent="0.35">
      <c r="B112" t="str">
        <f t="shared" si="75"/>
        <v>required_capital</v>
      </c>
      <c r="C112" t="str">
        <f t="shared" si="76"/>
        <v>99_99</v>
      </c>
      <c r="D112" t="str">
        <f t="shared" si="115"/>
        <v>diversification</v>
      </c>
      <c r="E112" t="s">
        <v>2830</v>
      </c>
      <c r="I112" t="str">
        <f t="shared" si="63"/>
        <v>required_capital:99_99:diversification:haircut:::</v>
      </c>
      <c r="J112" s="9" t="s">
        <v>2840</v>
      </c>
      <c r="L112" s="9">
        <v>1</v>
      </c>
      <c r="M112" s="9">
        <f t="shared" si="116"/>
        <v>144</v>
      </c>
      <c r="N112" s="9" t="str">
        <f t="shared" si="71"/>
        <v>H</v>
      </c>
      <c r="O112" s="9" t="str">
        <f t="shared" si="64"/>
        <v>Output!H144</v>
      </c>
      <c r="P112" s="360" cm="1">
        <f t="array" aca="1" ref="P112" ca="1">INDIRECT(O112)</f>
        <v>0</v>
      </c>
      <c r="Q112" t="s">
        <v>2842</v>
      </c>
      <c r="R112" t="str">
        <f t="shared" si="65"/>
        <v>required_capital:99_95:diversification:haircut:::</v>
      </c>
      <c r="S112" s="9" t="str">
        <f t="shared" si="72"/>
        <v>J</v>
      </c>
      <c r="T112" s="9" t="str">
        <f t="shared" si="66"/>
        <v>Output!J144</v>
      </c>
      <c r="U112" s="360" cm="1">
        <f t="array" aca="1" ref="U112" ca="1">INDIRECT(T112)</f>
        <v>0</v>
      </c>
      <c r="V112" t="s">
        <v>2846</v>
      </c>
      <c r="W112" t="str">
        <f t="shared" si="67"/>
        <v>required_capital:99_80:diversification:haircut:::</v>
      </c>
      <c r="X112" s="9" t="str">
        <f t="shared" si="73"/>
        <v>L</v>
      </c>
      <c r="Y112" s="9" t="str">
        <f t="shared" si="68"/>
        <v>Output!L144</v>
      </c>
      <c r="Z112" s="360" cm="1">
        <f t="array" aca="1" ref="Z112" ca="1">INDIRECT(Y112)</f>
        <v>0</v>
      </c>
      <c r="AA112" t="s">
        <v>2848</v>
      </c>
      <c r="AB112" t="str">
        <f t="shared" si="69"/>
        <v>required_capital:99_50:diversification:haircut:::</v>
      </c>
      <c r="AC112" s="9" t="str">
        <f t="shared" si="74"/>
        <v>N</v>
      </c>
      <c r="AD112" s="9" t="str">
        <f t="shared" si="70"/>
        <v>Output!N144</v>
      </c>
      <c r="AE112" s="360" cm="1">
        <f t="array" aca="1" ref="AE112" ca="1">INDIRECT(AD112)</f>
        <v>0</v>
      </c>
    </row>
    <row r="113" spans="2:31" x14ac:dyDescent="0.35">
      <c r="B113" t="str">
        <f t="shared" si="75"/>
        <v>required_capital</v>
      </c>
      <c r="C113" t="str">
        <f t="shared" si="76"/>
        <v>99_99</v>
      </c>
      <c r="D113" t="str">
        <f t="shared" si="115"/>
        <v>diversification</v>
      </c>
      <c r="E113" t="s">
        <v>2783</v>
      </c>
      <c r="I113" t="str">
        <f t="shared" si="63"/>
        <v>required_capital:99_99:diversification:total:::</v>
      </c>
      <c r="J113" s="9" t="s">
        <v>2840</v>
      </c>
      <c r="L113" s="9">
        <v>1</v>
      </c>
      <c r="M113" s="9">
        <f t="shared" si="116"/>
        <v>145</v>
      </c>
      <c r="N113" s="9" t="str">
        <f t="shared" si="71"/>
        <v>H</v>
      </c>
      <c r="O113" s="9" t="str">
        <f t="shared" si="64"/>
        <v>Output!H145</v>
      </c>
      <c r="P113" s="360" cm="1">
        <f t="array" aca="1" ref="P113" ca="1">INDIRECT(O113)</f>
        <v>0</v>
      </c>
      <c r="Q113" t="s">
        <v>2842</v>
      </c>
      <c r="R113" t="str">
        <f t="shared" si="65"/>
        <v>required_capital:99_95:diversification:total:::</v>
      </c>
      <c r="S113" s="9" t="str">
        <f t="shared" si="72"/>
        <v>J</v>
      </c>
      <c r="T113" s="9" t="str">
        <f t="shared" si="66"/>
        <v>Output!J145</v>
      </c>
      <c r="U113" s="360" cm="1">
        <f t="array" aca="1" ref="U113" ca="1">INDIRECT(T113)</f>
        <v>0</v>
      </c>
      <c r="V113" t="s">
        <v>2846</v>
      </c>
      <c r="W113" t="str">
        <f t="shared" si="67"/>
        <v>required_capital:99_80:diversification:total:::</v>
      </c>
      <c r="X113" s="9" t="str">
        <f t="shared" si="73"/>
        <v>L</v>
      </c>
      <c r="Y113" s="9" t="str">
        <f t="shared" si="68"/>
        <v>Output!L145</v>
      </c>
      <c r="Z113" s="360" cm="1">
        <f t="array" aca="1" ref="Z113" ca="1">INDIRECT(Y113)</f>
        <v>0</v>
      </c>
      <c r="AA113" t="s">
        <v>2848</v>
      </c>
      <c r="AB113" t="str">
        <f t="shared" si="69"/>
        <v>required_capital:99_50:diversification:total:::</v>
      </c>
      <c r="AC113" s="9" t="str">
        <f t="shared" si="74"/>
        <v>N</v>
      </c>
      <c r="AD113" s="9" t="str">
        <f t="shared" si="70"/>
        <v>Output!N145</v>
      </c>
      <c r="AE113" s="360" cm="1">
        <f t="array" aca="1" ref="AE113" ca="1">INDIRECT(AD113)</f>
        <v>0</v>
      </c>
    </row>
    <row r="114" spans="2:31" x14ac:dyDescent="0.35">
      <c r="B114" t="str">
        <f t="shared" si="75"/>
        <v>required_capital</v>
      </c>
      <c r="C114" t="str">
        <f t="shared" si="76"/>
        <v>99_99</v>
      </c>
      <c r="D114" t="s">
        <v>2834</v>
      </c>
      <c r="E114" t="s">
        <v>2831</v>
      </c>
      <c r="F114" t="s">
        <v>2783</v>
      </c>
      <c r="I114" t="str">
        <f>CONCATENATE($B114, ":",C114,":",$D114,":",$E114,":",$F114,":",$G114,":",$H114)</f>
        <v>required_capital:99_99:diversified:undiversified:total::</v>
      </c>
      <c r="J114" s="9" t="s">
        <v>2840</v>
      </c>
      <c r="K114">
        <f>ROW(out_section_diversified)</f>
        <v>148</v>
      </c>
      <c r="L114" s="9">
        <v>1</v>
      </c>
      <c r="M114" s="9">
        <f>K114+L114</f>
        <v>149</v>
      </c>
      <c r="N114" s="9" t="str">
        <f t="shared" si="71"/>
        <v>H</v>
      </c>
      <c r="O114" s="9" t="str">
        <f t="shared" si="64"/>
        <v>Output!H149</v>
      </c>
      <c r="P114" s="360" cm="1">
        <f t="array" aca="1" ref="P114" ca="1">INDIRECT(O114)</f>
        <v>0</v>
      </c>
      <c r="Q114" t="s">
        <v>2842</v>
      </c>
      <c r="R114" t="str">
        <f>IF(Q114="","",CONCATENATE($B114,":",Q114,":",$D114,":",$E114,":",$F114,":",$G114,":",$H114))</f>
        <v>required_capital:99_95:diversified:undiversified:total::</v>
      </c>
      <c r="S114" s="9" t="str">
        <f t="shared" si="72"/>
        <v>J</v>
      </c>
      <c r="T114" s="9" t="str">
        <f t="shared" si="66"/>
        <v>Output!J149</v>
      </c>
      <c r="U114" s="360" cm="1">
        <f t="array" aca="1" ref="U114" ca="1">INDIRECT(T114)</f>
        <v>0</v>
      </c>
      <c r="V114" t="s">
        <v>2846</v>
      </c>
      <c r="W114" t="str">
        <f>IF(V114="","",CONCATENATE($B114,":",V114,":",$D114,":",$E114,":",$F114,":",$G114,":",$H114))</f>
        <v>required_capital:99_80:diversified:undiversified:total::</v>
      </c>
      <c r="X114" s="9" t="str">
        <f t="shared" si="73"/>
        <v>L</v>
      </c>
      <c r="Y114" s="9" t="str">
        <f t="shared" si="68"/>
        <v>Output!L149</v>
      </c>
      <c r="Z114" s="360" cm="1">
        <f t="array" aca="1" ref="Z114" ca="1">INDIRECT(Y114)</f>
        <v>0</v>
      </c>
      <c r="AA114" t="s">
        <v>2848</v>
      </c>
      <c r="AB114" t="str">
        <f>IF(AA114="","",CONCATENATE($B114,":",AA114,":",$D114,":",$E114,":",$F114,":",$G114,":",$H114))</f>
        <v>required_capital:99_50:diversified:undiversified:total::</v>
      </c>
      <c r="AC114" s="9" t="str">
        <f t="shared" si="74"/>
        <v>N</v>
      </c>
      <c r="AD114" s="9" t="str">
        <f t="shared" si="70"/>
        <v>Output!N149</v>
      </c>
      <c r="AE114" s="360" cm="1">
        <f t="array" aca="1" ref="AE114" ca="1">INDIRECT(AD114)</f>
        <v>0</v>
      </c>
    </row>
    <row r="115" spans="2:31" x14ac:dyDescent="0.35">
      <c r="B115" t="str">
        <f t="shared" si="75"/>
        <v>required_capital</v>
      </c>
      <c r="C115" t="str">
        <f t="shared" si="76"/>
        <v>99_99</v>
      </c>
      <c r="D115" t="str">
        <f>D114</f>
        <v>diversified</v>
      </c>
      <c r="E115" t="s">
        <v>2832</v>
      </c>
      <c r="I115" t="str">
        <f>CONCATENATE($B115, ":",C115,":",$D115,":",$E115,":",$F115,":",$G115,":",$H115)</f>
        <v>required_capital:99_99:diversified:value_in_force:::</v>
      </c>
      <c r="J115" s="9" t="s">
        <v>2840</v>
      </c>
      <c r="L115" s="9">
        <v>4</v>
      </c>
      <c r="M115" s="9">
        <f t="shared" si="116"/>
        <v>153</v>
      </c>
      <c r="N115" s="9" t="str">
        <f t="shared" si="71"/>
        <v>H</v>
      </c>
      <c r="O115" s="9" t="str">
        <f t="shared" si="64"/>
        <v>Output!H153</v>
      </c>
      <c r="P115" s="360" cm="1">
        <f t="array" aca="1" ref="P115" ca="1">INDIRECT(O115)</f>
        <v>0</v>
      </c>
      <c r="Q115" t="s">
        <v>2842</v>
      </c>
      <c r="R115" t="str">
        <f>IF(Q115="","",CONCATENATE($B115,":",Q115,":",$D115,":",$E115,":",$F115,":",$G115,":",$H115))</f>
        <v>required_capital:99_95:diversified:value_in_force:::</v>
      </c>
      <c r="S115" s="9" t="str">
        <f t="shared" si="72"/>
        <v>J</v>
      </c>
      <c r="T115" s="9" t="str">
        <f t="shared" si="66"/>
        <v>Output!J153</v>
      </c>
      <c r="U115" s="360" cm="1">
        <f t="array" aca="1" ref="U115" ca="1">INDIRECT(T115)</f>
        <v>0</v>
      </c>
      <c r="V115" t="s">
        <v>2846</v>
      </c>
      <c r="W115" t="str">
        <f>IF(V115="","",CONCATENATE($B115,":",V115,":",$D115,":",$E115,":",$F115,":",$G115,":",$H115))</f>
        <v>required_capital:99_80:diversified:value_in_force:::</v>
      </c>
      <c r="X115" s="9" t="str">
        <f t="shared" si="73"/>
        <v>L</v>
      </c>
      <c r="Y115" s="9" t="str">
        <f t="shared" si="68"/>
        <v>Output!L153</v>
      </c>
      <c r="Z115" s="360" cm="1">
        <f t="array" aca="1" ref="Z115" ca="1">INDIRECT(Y115)</f>
        <v>0</v>
      </c>
      <c r="AA115" t="s">
        <v>2848</v>
      </c>
      <c r="AB115" t="str">
        <f>IF(AA115="","",CONCATENATE($B115,":",AA115,":",$D115,":",$E115,":",$F115,":",$G115,":",$H115))</f>
        <v>required_capital:99_50:diversified:value_in_force:::</v>
      </c>
      <c r="AC115" s="9" t="str">
        <f t="shared" si="74"/>
        <v>N</v>
      </c>
      <c r="AD115" s="9" t="str">
        <f t="shared" si="70"/>
        <v>Output!N153</v>
      </c>
      <c r="AE115" s="360" cm="1">
        <f t="array" aca="1" ref="AE115" ca="1">INDIRECT(AD115)</f>
        <v>0</v>
      </c>
    </row>
    <row r="116" spans="2:31" x14ac:dyDescent="0.35">
      <c r="B116" t="str">
        <f t="shared" si="75"/>
        <v>required_capital</v>
      </c>
      <c r="C116" t="str">
        <f t="shared" si="76"/>
        <v>99_99</v>
      </c>
      <c r="D116" t="str">
        <f t="shared" ref="D116:D117" si="117">D115</f>
        <v>diversified</v>
      </c>
      <c r="E116" t="s">
        <v>2833</v>
      </c>
      <c r="I116" t="str">
        <f>CONCATENATE($B116, ":",C116,":",$D116,":",$E116,":",$F116,":",$G116,":",$H116)</f>
        <v>required_capital:99_99:diversified:ring_fenced_funds:::</v>
      </c>
      <c r="J116" s="9" t="s">
        <v>2840</v>
      </c>
      <c r="L116" s="9">
        <v>1</v>
      </c>
      <c r="M116" s="9">
        <f t="shared" si="116"/>
        <v>154</v>
      </c>
      <c r="N116" s="9" t="str">
        <f t="shared" si="71"/>
        <v>H</v>
      </c>
      <c r="O116" s="9" t="str">
        <f t="shared" si="64"/>
        <v>Output!H154</v>
      </c>
      <c r="P116" s="360" cm="1">
        <f t="array" aca="1" ref="P116" ca="1">INDIRECT(O116)</f>
        <v>0</v>
      </c>
      <c r="Q116" t="s">
        <v>2842</v>
      </c>
      <c r="R116" t="str">
        <f>IF(Q116="","",CONCATENATE($B116,":",Q116,":",$D116,":",$E116,":",$F116,":",$G116,":",$H116))</f>
        <v>required_capital:99_95:diversified:ring_fenced_funds:::</v>
      </c>
      <c r="S116" s="9" t="str">
        <f t="shared" si="72"/>
        <v>J</v>
      </c>
      <c r="T116" s="9" t="str">
        <f t="shared" si="66"/>
        <v>Output!J154</v>
      </c>
      <c r="U116" s="360" cm="1">
        <f t="array" aca="1" ref="U116" ca="1">INDIRECT(T116)</f>
        <v>0</v>
      </c>
      <c r="V116" t="s">
        <v>2846</v>
      </c>
      <c r="W116" t="str">
        <f>IF(V116="","",CONCATENATE($B116,":",V116,":",$D116,":",$E116,":",$F116,":",$G116,":",$H116))</f>
        <v>required_capital:99_80:diversified:ring_fenced_funds:::</v>
      </c>
      <c r="X116" s="9" t="str">
        <f t="shared" si="73"/>
        <v>L</v>
      </c>
      <c r="Y116" s="9" t="str">
        <f t="shared" si="68"/>
        <v>Output!L154</v>
      </c>
      <c r="Z116" s="360" cm="1">
        <f t="array" aca="1" ref="Z116" ca="1">INDIRECT(Y116)</f>
        <v>0</v>
      </c>
      <c r="AA116" t="s">
        <v>2848</v>
      </c>
      <c r="AB116" t="str">
        <f>IF(AA116="","",CONCATENATE($B116,":",AA116,":",$D116,":",$E116,":",$F116,":",$G116,":",$H116))</f>
        <v>required_capital:99_50:diversified:ring_fenced_funds:::</v>
      </c>
      <c r="AC116" s="9" t="str">
        <f t="shared" si="74"/>
        <v>N</v>
      </c>
      <c r="AD116" s="9" t="str">
        <f t="shared" si="70"/>
        <v>Output!N154</v>
      </c>
      <c r="AE116" s="360" cm="1">
        <f t="array" aca="1" ref="AE116" ca="1">INDIRECT(AD116)</f>
        <v>0</v>
      </c>
    </row>
    <row r="117" spans="2:31" x14ac:dyDescent="0.35">
      <c r="B117" t="str">
        <f t="shared" si="75"/>
        <v>required_capital</v>
      </c>
      <c r="C117" t="str">
        <f t="shared" si="76"/>
        <v>99_99</v>
      </c>
      <c r="D117" t="str">
        <f t="shared" si="117"/>
        <v>diversified</v>
      </c>
      <c r="E117" t="s">
        <v>2782</v>
      </c>
      <c r="I117" t="str">
        <f>CONCATENATE($B117, ":",C117,":",$D117,":",$E117,":",$F117,":",$G117,":",$H117)</f>
        <v>required_capital:99_99:diversified:adjustments:::</v>
      </c>
      <c r="J117" s="9" t="s">
        <v>2840</v>
      </c>
      <c r="L117" s="9">
        <v>1</v>
      </c>
      <c r="M117" s="9">
        <f t="shared" si="116"/>
        <v>155</v>
      </c>
      <c r="N117" s="9" t="str">
        <f t="shared" si="71"/>
        <v>H</v>
      </c>
      <c r="O117" s="9" t="str">
        <f t="shared" si="64"/>
        <v>Output!H155</v>
      </c>
      <c r="P117" s="360" cm="1">
        <f t="array" aca="1" ref="P117" ca="1">INDIRECT(O117)</f>
        <v>0</v>
      </c>
      <c r="Q117" t="s">
        <v>2842</v>
      </c>
      <c r="R117" t="str">
        <f>IF(Q117="","",CONCATENATE($B117,":",Q117,":",$D117,":",$E117,":",$F117,":",$G117,":",$H117))</f>
        <v>required_capital:99_95:diversified:adjustments:::</v>
      </c>
      <c r="S117" s="9" t="str">
        <f t="shared" si="72"/>
        <v>J</v>
      </c>
      <c r="T117" s="9" t="str">
        <f t="shared" si="66"/>
        <v>Output!J155</v>
      </c>
      <c r="U117" s="360" cm="1">
        <f t="array" aca="1" ref="U117" ca="1">INDIRECT(T117)</f>
        <v>0</v>
      </c>
      <c r="V117" t="s">
        <v>2846</v>
      </c>
      <c r="W117" t="str">
        <f>IF(V117="","",CONCATENATE($B117,":",V117,":",$D117,":",$E117,":",$F117,":",$G117,":",$H117))</f>
        <v>required_capital:99_80:diversified:adjustments:::</v>
      </c>
      <c r="X117" s="9" t="str">
        <f t="shared" si="73"/>
        <v>L</v>
      </c>
      <c r="Y117" s="9" t="str">
        <f t="shared" si="68"/>
        <v>Output!L155</v>
      </c>
      <c r="Z117" s="360" cm="1">
        <f t="array" aca="1" ref="Z117" ca="1">INDIRECT(Y117)</f>
        <v>0</v>
      </c>
      <c r="AA117" t="s">
        <v>2848</v>
      </c>
      <c r="AB117" t="str">
        <f>IF(AA117="","",CONCATENATE($B117,":",AA117,":",$D117,":",$E117,":",$F117,":",$G117,":",$H117))</f>
        <v>required_capital:99_50:diversified:adjustments:::</v>
      </c>
      <c r="AC117" s="9" t="str">
        <f t="shared" si="74"/>
        <v>N</v>
      </c>
      <c r="AD117" s="9" t="str">
        <f t="shared" si="70"/>
        <v>Output!N155</v>
      </c>
      <c r="AE117" s="360" cm="1">
        <f t="array" aca="1" ref="AE117" ca="1">INDIRECT(AD117)</f>
        <v>0</v>
      </c>
    </row>
    <row r="118" spans="2:31" x14ac:dyDescent="0.35">
      <c r="B118" t="str">
        <f t="shared" si="75"/>
        <v>required_capital</v>
      </c>
      <c r="C118" t="str">
        <f t="shared" si="76"/>
        <v>99_99</v>
      </c>
      <c r="D118" t="str">
        <f>D117</f>
        <v>diversified</v>
      </c>
      <c r="E118" t="s">
        <v>2783</v>
      </c>
      <c r="I118" t="str">
        <f t="shared" si="63"/>
        <v>required_capital:99_99:diversified:total:::</v>
      </c>
      <c r="J118" s="9" t="s">
        <v>2840</v>
      </c>
      <c r="L118" s="9">
        <v>1</v>
      </c>
      <c r="M118" s="9">
        <f t="shared" si="116"/>
        <v>156</v>
      </c>
      <c r="N118" s="9" t="str">
        <f t="shared" si="71"/>
        <v>H</v>
      </c>
      <c r="O118" s="9" t="str">
        <f t="shared" si="64"/>
        <v>Output!H156</v>
      </c>
      <c r="P118" s="360" cm="1">
        <f t="array" aca="1" ref="P118" ca="1">INDIRECT(O118)</f>
        <v>0</v>
      </c>
      <c r="Q118" t="s">
        <v>2842</v>
      </c>
      <c r="R118" t="str">
        <f t="shared" si="65"/>
        <v>required_capital:99_95:diversified:total:::</v>
      </c>
      <c r="S118" s="9" t="str">
        <f t="shared" si="72"/>
        <v>J</v>
      </c>
      <c r="T118" s="9" t="str">
        <f t="shared" si="66"/>
        <v>Output!J156</v>
      </c>
      <c r="U118" s="360" cm="1">
        <f t="array" aca="1" ref="U118" ca="1">INDIRECT(T118)</f>
        <v>0</v>
      </c>
      <c r="V118" t="s">
        <v>2846</v>
      </c>
      <c r="W118" t="str">
        <f t="shared" si="67"/>
        <v>required_capital:99_80:diversified:total:::</v>
      </c>
      <c r="X118" s="9" t="str">
        <f t="shared" si="73"/>
        <v>L</v>
      </c>
      <c r="Y118" s="9" t="str">
        <f t="shared" si="68"/>
        <v>Output!L156</v>
      </c>
      <c r="Z118" s="360" cm="1">
        <f t="array" aca="1" ref="Z118" ca="1">INDIRECT(Y118)</f>
        <v>0</v>
      </c>
      <c r="AA118" t="s">
        <v>2848</v>
      </c>
      <c r="AB118" t="str">
        <f t="shared" si="69"/>
        <v>required_capital:99_50:diversified:total:::</v>
      </c>
      <c r="AC118" s="9" t="str">
        <f t="shared" si="74"/>
        <v>N</v>
      </c>
      <c r="AD118" s="9" t="str">
        <f t="shared" si="70"/>
        <v>Output!N156</v>
      </c>
      <c r="AE118" s="360" cm="1">
        <f t="array" aca="1" ref="AE118" ca="1">INDIRECT(AD118)</f>
        <v>0</v>
      </c>
    </row>
    <row r="119" spans="2:31" x14ac:dyDescent="0.35">
      <c r="B119" t="str">
        <f t="shared" si="75"/>
        <v>required_capital</v>
      </c>
      <c r="C119" t="str">
        <f t="shared" si="76"/>
        <v>99_99</v>
      </c>
      <c r="D119" t="str">
        <f t="shared" ref="D119:D120" si="118">D118</f>
        <v>diversified</v>
      </c>
      <c r="E119" t="s">
        <v>2835</v>
      </c>
      <c r="F119" t="s">
        <v>2836</v>
      </c>
      <c r="I119" t="str">
        <f t="shared" si="63"/>
        <v>required_capital:99_99:diversified:redundancy:amount::</v>
      </c>
      <c r="J119" s="9" t="s">
        <v>2840</v>
      </c>
      <c r="K119">
        <f>ROW(out_section_summary)</f>
        <v>7</v>
      </c>
      <c r="L119" s="9">
        <v>4</v>
      </c>
      <c r="M119" s="9">
        <f>K119+L119</f>
        <v>11</v>
      </c>
      <c r="N119" s="9" t="str">
        <f t="shared" si="71"/>
        <v>H</v>
      </c>
      <c r="O119" s="9" t="str">
        <f t="shared" si="64"/>
        <v>Output!H11</v>
      </c>
      <c r="P119" s="360" cm="1">
        <f t="array" aca="1" ref="P119" ca="1">INDIRECT(O119)</f>
        <v>0</v>
      </c>
      <c r="Q119" t="s">
        <v>2842</v>
      </c>
      <c r="R119" t="str">
        <f t="shared" si="65"/>
        <v>required_capital:99_95:diversified:redundancy:amount::</v>
      </c>
      <c r="S119" s="9" t="str">
        <f t="shared" si="72"/>
        <v>J</v>
      </c>
      <c r="T119" s="9" t="str">
        <f t="shared" si="66"/>
        <v>Output!J11</v>
      </c>
      <c r="U119" s="360" cm="1">
        <f t="array" aca="1" ref="U119" ca="1">INDIRECT(T119)</f>
        <v>0</v>
      </c>
      <c r="V119" t="s">
        <v>2846</v>
      </c>
      <c r="W119" t="str">
        <f t="shared" si="67"/>
        <v>required_capital:99_80:diversified:redundancy:amount::</v>
      </c>
      <c r="X119" s="9" t="str">
        <f t="shared" si="73"/>
        <v>L</v>
      </c>
      <c r="Y119" s="9" t="str">
        <f t="shared" si="68"/>
        <v>Output!L11</v>
      </c>
      <c r="Z119" s="360" cm="1">
        <f t="array" aca="1" ref="Z119" ca="1">INDIRECT(Y119)</f>
        <v>0</v>
      </c>
      <c r="AA119" t="s">
        <v>2848</v>
      </c>
      <c r="AB119" t="str">
        <f t="shared" si="69"/>
        <v>required_capital:99_50:diversified:redundancy:amount::</v>
      </c>
      <c r="AC119" s="9" t="str">
        <f t="shared" si="74"/>
        <v>N</v>
      </c>
      <c r="AD119" s="9" t="str">
        <f t="shared" si="70"/>
        <v>Output!N11</v>
      </c>
      <c r="AE119" s="360" cm="1">
        <f t="array" aca="1" ref="AE119" ca="1">INDIRECT(AD119)</f>
        <v>0</v>
      </c>
    </row>
    <row r="120" spans="2:31" x14ac:dyDescent="0.35">
      <c r="B120" t="str">
        <f t="shared" si="75"/>
        <v>required_capital</v>
      </c>
      <c r="C120" t="str">
        <f t="shared" si="76"/>
        <v>99_99</v>
      </c>
      <c r="D120" t="str">
        <f t="shared" si="118"/>
        <v>diversified</v>
      </c>
      <c r="E120" t="s">
        <v>2835</v>
      </c>
      <c r="F120" t="s">
        <v>2837</v>
      </c>
      <c r="I120" t="str">
        <f t="shared" si="63"/>
        <v>required_capital:99_99:diversified:redundancy:percentage::</v>
      </c>
      <c r="J120" s="9" t="s">
        <v>2840</v>
      </c>
      <c r="L120" s="9">
        <v>1</v>
      </c>
      <c r="M120" s="9">
        <f t="shared" si="116"/>
        <v>12</v>
      </c>
      <c r="N120" s="9" t="str">
        <f t="shared" si="71"/>
        <v>H</v>
      </c>
      <c r="O120" s="9" t="str">
        <f t="shared" si="64"/>
        <v>Output!H12</v>
      </c>
      <c r="P120" s="360" t="str" cm="1">
        <f t="array" aca="1" ref="P120" ca="1">INDIRECT(O120)</f>
        <v>-</v>
      </c>
      <c r="Q120" t="s">
        <v>2842</v>
      </c>
      <c r="R120" t="str">
        <f t="shared" si="65"/>
        <v>required_capital:99_95:diversified:redundancy:percentage::</v>
      </c>
      <c r="S120" s="9" t="str">
        <f t="shared" si="72"/>
        <v>J</v>
      </c>
      <c r="T120" s="9" t="str">
        <f t="shared" si="66"/>
        <v>Output!J12</v>
      </c>
      <c r="U120" s="360" t="str" cm="1">
        <f t="array" aca="1" ref="U120" ca="1">INDIRECT(T120)</f>
        <v>-</v>
      </c>
      <c r="V120" t="s">
        <v>2846</v>
      </c>
      <c r="W120" t="str">
        <f t="shared" si="67"/>
        <v>required_capital:99_80:diversified:redundancy:percentage::</v>
      </c>
      <c r="X120" s="9" t="str">
        <f t="shared" si="73"/>
        <v>L</v>
      </c>
      <c r="Y120" s="9" t="str">
        <f t="shared" si="68"/>
        <v>Output!L12</v>
      </c>
      <c r="Z120" s="360" t="str" cm="1">
        <f t="array" aca="1" ref="Z120" ca="1">INDIRECT(Y120)</f>
        <v>-</v>
      </c>
      <c r="AA120" t="s">
        <v>2848</v>
      </c>
      <c r="AB120" t="str">
        <f t="shared" si="69"/>
        <v>required_capital:99_50:diversified:redundancy:percentage::</v>
      </c>
      <c r="AC120" s="9" t="str">
        <f t="shared" si="74"/>
        <v>N</v>
      </c>
      <c r="AD120" s="9" t="str">
        <f t="shared" si="70"/>
        <v>Output!N12</v>
      </c>
      <c r="AE120" s="360" t="str" cm="1">
        <f t="array" aca="1" ref="AE120" ca="1">INDIRECT(AD120)</f>
        <v>-</v>
      </c>
    </row>
  </sheetData>
  <sheetProtection algorithmName="SHA-512" hashValue="K1UHeGgE44JKS+LpX4tnyO1WhLbkkCcDcOzeeJvUQZ4bjyTxNMBXILTRCG64LmwhfpJtDm2KtM56DZbdVXtHAQ==" saltValue="AXdMl1Jo706qll0lcs1RZw==" spinCount="100000" sheet="1" objects="1" scenarios="1" formatColumns="0" formatRows="0"/>
  <phoneticPr fontId="14" type="noConversion"/>
  <conditionalFormatting sqref="A1:AG150">
    <cfRule type="expression" dxfId="3" priority="82">
      <formula>_xlfn.ISFORMULA(A1)</formula>
    </cfRule>
  </conditionalFormatting>
  <conditionalFormatting sqref="I1:I1048576">
    <cfRule type="duplicateValues" dxfId="2" priority="1"/>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A93AB-907E-4E9F-A333-E6430476A707}">
  <sheetPr codeName="Sheet17">
    <tabColor theme="2" tint="-0.249977111117893"/>
  </sheetPr>
  <dimension ref="A2:I22"/>
  <sheetViews>
    <sheetView zoomScaleNormal="100" workbookViewId="0"/>
  </sheetViews>
  <sheetFormatPr defaultRowHeight="14.5" x14ac:dyDescent="0.35"/>
  <cols>
    <col min="1" max="1" width="40.08984375" bestFit="1" customWidth="1"/>
    <col min="2" max="2" width="50.36328125" customWidth="1"/>
    <col min="6" max="6" width="15.6328125" bestFit="1" customWidth="1"/>
    <col min="7" max="7" width="31.54296875" bestFit="1" customWidth="1"/>
    <col min="8" max="8" width="32" bestFit="1" customWidth="1"/>
    <col min="9" max="9" width="27.6328125" style="9" bestFit="1" customWidth="1"/>
  </cols>
  <sheetData>
    <row r="2" spans="1:9" ht="29" x14ac:dyDescent="0.35">
      <c r="A2" s="228" t="s">
        <v>1141</v>
      </c>
      <c r="B2" s="228" t="s">
        <v>1143</v>
      </c>
      <c r="C2" s="228" t="s">
        <v>1134</v>
      </c>
      <c r="D2" s="228" t="s">
        <v>1135</v>
      </c>
      <c r="E2" s="228" t="s">
        <v>1136</v>
      </c>
      <c r="F2" s="228" t="s">
        <v>1183</v>
      </c>
      <c r="G2" s="228" t="s">
        <v>1182</v>
      </c>
      <c r="H2" s="122" t="s">
        <v>1174</v>
      </c>
      <c r="I2" s="228" t="s">
        <v>1138</v>
      </c>
    </row>
    <row r="3" spans="1:9" x14ac:dyDescent="0.35">
      <c r="A3" t="s">
        <v>1142</v>
      </c>
      <c r="B3" t="s">
        <v>1063</v>
      </c>
      <c r="C3" t="s">
        <v>1137</v>
      </c>
      <c r="F3" t="str">
        <f t="shared" ref="F3:F16" si="0">CONCATENATE(C3,"!",E3,D3)</f>
        <v>Input!</v>
      </c>
      <c r="G3" t="s">
        <v>1166</v>
      </c>
      <c r="H3" t="str">
        <f>IF(G3&lt;&gt;"",G3,F3)</f>
        <v>inp_summary_review_type</v>
      </c>
      <c r="I3" s="9" t="str">
        <f>Lists!J3</f>
        <v>Actual</v>
      </c>
    </row>
    <row r="4" spans="1:9" x14ac:dyDescent="0.35">
      <c r="A4" t="s">
        <v>1142</v>
      </c>
      <c r="B4" t="s">
        <v>809</v>
      </c>
      <c r="C4" t="s">
        <v>1137</v>
      </c>
      <c r="F4" t="str">
        <f t="shared" si="0"/>
        <v>Input!</v>
      </c>
      <c r="G4" t="s">
        <v>1169</v>
      </c>
      <c r="H4" t="str">
        <f t="shared" ref="H4:H19" si="1">IF(G4&lt;&gt;"",G4,F4)</f>
        <v>inp_summary_currency</v>
      </c>
      <c r="I4" s="9" t="s">
        <v>423</v>
      </c>
    </row>
    <row r="5" spans="1:9" x14ac:dyDescent="0.35">
      <c r="A5" t="s">
        <v>1142</v>
      </c>
      <c r="B5" t="s">
        <v>1120</v>
      </c>
      <c r="C5" t="s">
        <v>1137</v>
      </c>
      <c r="F5" t="str">
        <f t="shared" si="0"/>
        <v>Input!</v>
      </c>
      <c r="G5" t="s">
        <v>1168</v>
      </c>
      <c r="H5" t="str">
        <f t="shared" si="1"/>
        <v>inp_summary_usd_fx</v>
      </c>
      <c r="I5" s="9">
        <v>1</v>
      </c>
    </row>
    <row r="6" spans="1:9" x14ac:dyDescent="0.35">
      <c r="A6" t="s">
        <v>1142</v>
      </c>
      <c r="B6" t="s">
        <v>285</v>
      </c>
      <c r="C6" t="s">
        <v>1137</v>
      </c>
      <c r="F6" t="str">
        <f t="shared" si="0"/>
        <v>Input!</v>
      </c>
      <c r="G6" t="s">
        <v>1167</v>
      </c>
      <c r="H6" t="str">
        <f t="shared" si="1"/>
        <v>inp_summary_units</v>
      </c>
      <c r="I6" s="9" t="str">
        <f>Lists!K4</f>
        <v>Millions</v>
      </c>
    </row>
    <row r="7" spans="1:9" x14ac:dyDescent="0.35">
      <c r="A7" t="s">
        <v>238</v>
      </c>
      <c r="B7" t="s">
        <v>799</v>
      </c>
      <c r="C7" t="s">
        <v>1137</v>
      </c>
      <c r="F7" t="str">
        <f t="shared" si="0"/>
        <v>Input!</v>
      </c>
      <c r="G7" t="s">
        <v>1170</v>
      </c>
      <c r="H7" t="str">
        <f t="shared" si="1"/>
        <v>inp_tac_is_debt_eligible</v>
      </c>
      <c r="I7" s="9" t="s">
        <v>27</v>
      </c>
    </row>
    <row r="8" spans="1:9" x14ac:dyDescent="0.35">
      <c r="A8" t="s">
        <v>240</v>
      </c>
      <c r="B8" t="s">
        <v>276</v>
      </c>
      <c r="C8" t="s">
        <v>1137</v>
      </c>
      <c r="F8" t="str">
        <f t="shared" si="0"/>
        <v>Input!</v>
      </c>
      <c r="G8" t="s">
        <v>1171</v>
      </c>
      <c r="H8" t="str">
        <f t="shared" si="1"/>
        <v>inp_erg_adj_corp</v>
      </c>
      <c r="I8" s="9">
        <v>0</v>
      </c>
    </row>
    <row r="9" spans="1:9" x14ac:dyDescent="0.35">
      <c r="A9" t="s">
        <v>240</v>
      </c>
      <c r="B9" t="s">
        <v>276</v>
      </c>
      <c r="C9" t="s">
        <v>1137</v>
      </c>
      <c r="F9" t="str">
        <f t="shared" si="0"/>
        <v>Input!</v>
      </c>
      <c r="G9" t="s">
        <v>1173</v>
      </c>
      <c r="H9" t="str">
        <f t="shared" si="1"/>
        <v>inp_erg_adj_fin</v>
      </c>
      <c r="I9" s="9">
        <v>0</v>
      </c>
    </row>
    <row r="10" spans="1:9" x14ac:dyDescent="0.35">
      <c r="A10" t="s">
        <v>240</v>
      </c>
      <c r="B10" t="s">
        <v>276</v>
      </c>
      <c r="C10" t="s">
        <v>1137</v>
      </c>
      <c r="F10" t="str">
        <f t="shared" si="0"/>
        <v>Input!</v>
      </c>
      <c r="G10" t="s">
        <v>1172</v>
      </c>
      <c r="H10" t="str">
        <f t="shared" si="1"/>
        <v>inp_erg_adj_sov</v>
      </c>
      <c r="I10" s="9">
        <v>0</v>
      </c>
    </row>
    <row r="11" spans="1:9" x14ac:dyDescent="0.35">
      <c r="A11" t="s">
        <v>240</v>
      </c>
      <c r="B11" t="s">
        <v>276</v>
      </c>
      <c r="C11" t="s">
        <v>1137</v>
      </c>
      <c r="F11" t="str">
        <f t="shared" si="0"/>
        <v>Input!</v>
      </c>
      <c r="G11" t="s">
        <v>4129</v>
      </c>
      <c r="H11" t="str">
        <f t="shared" si="1"/>
        <v>inp_erg_adj_sf_senior</v>
      </c>
      <c r="I11" s="9">
        <v>0</v>
      </c>
    </row>
    <row r="12" spans="1:9" x14ac:dyDescent="0.35">
      <c r="A12" t="s">
        <v>240</v>
      </c>
      <c r="B12" t="s">
        <v>276</v>
      </c>
      <c r="C12" t="s">
        <v>1137</v>
      </c>
      <c r="F12" t="str">
        <f t="shared" ref="F12" si="2">CONCATENATE(C12,"!",E12,D12)</f>
        <v>Input!</v>
      </c>
      <c r="G12" t="s">
        <v>4127</v>
      </c>
      <c r="H12" t="str">
        <f t="shared" ref="H12" si="3">IF(G12&lt;&gt;"",G12,F12)</f>
        <v>inp_erg_adj_sf_mezz</v>
      </c>
      <c r="I12" s="9">
        <v>0</v>
      </c>
    </row>
    <row r="13" spans="1:9" x14ac:dyDescent="0.35">
      <c r="A13" t="s">
        <v>240</v>
      </c>
      <c r="B13" t="s">
        <v>276</v>
      </c>
      <c r="C13" t="s">
        <v>1137</v>
      </c>
      <c r="F13" t="str">
        <f t="shared" ref="F13:F14" si="4">CONCATENATE(C13,"!",E13,D13)</f>
        <v>Input!</v>
      </c>
      <c r="G13" t="s">
        <v>4128</v>
      </c>
      <c r="H13" t="str">
        <f t="shared" ref="H13:H14" si="5">IF(G13&lt;&gt;"",G13,F13)</f>
        <v>inp_erg_adj_sf_junior</v>
      </c>
      <c r="I13" s="9">
        <v>0</v>
      </c>
    </row>
    <row r="14" spans="1:9" x14ac:dyDescent="0.35">
      <c r="A14" t="s">
        <v>2120</v>
      </c>
      <c r="B14" t="s">
        <v>2110</v>
      </c>
      <c r="C14" t="s">
        <v>1137</v>
      </c>
      <c r="F14" t="str">
        <f t="shared" si="4"/>
        <v>Input!</v>
      </c>
      <c r="G14" t="s">
        <v>4367</v>
      </c>
      <c r="H14" t="str">
        <f t="shared" si="5"/>
        <v>inp_is_nat_cat_prem_removed</v>
      </c>
      <c r="I14" s="9" t="s">
        <v>27</v>
      </c>
    </row>
    <row r="15" spans="1:9" x14ac:dyDescent="0.35">
      <c r="A15" t="s">
        <v>1175</v>
      </c>
      <c r="B15" t="s">
        <v>963</v>
      </c>
      <c r="C15" t="s">
        <v>1137</v>
      </c>
      <c r="F15" t="str">
        <f t="shared" si="0"/>
        <v>Input!</v>
      </c>
      <c r="G15" t="s">
        <v>1165</v>
      </c>
      <c r="H15" t="str">
        <f t="shared" si="1"/>
        <v>inp_nat_cat_is_aep_curve_available</v>
      </c>
      <c r="I15" s="9" t="str">
        <f>Lists!Y3</f>
        <v>Yes, AEP</v>
      </c>
    </row>
    <row r="16" spans="1:9" x14ac:dyDescent="0.35">
      <c r="A16" t="s">
        <v>1176</v>
      </c>
      <c r="B16" t="s">
        <v>1115</v>
      </c>
      <c r="C16" t="s">
        <v>1137</v>
      </c>
      <c r="F16" t="str">
        <f t="shared" si="0"/>
        <v>Input!</v>
      </c>
      <c r="G16" t="s">
        <v>1177</v>
      </c>
      <c r="H16" t="str">
        <f t="shared" si="1"/>
        <v>duration_mismatch_bespoke</v>
      </c>
      <c r="I16" s="9" t="s">
        <v>27</v>
      </c>
    </row>
    <row r="17" spans="1:9" x14ac:dyDescent="0.35">
      <c r="A17" t="s">
        <v>1176</v>
      </c>
      <c r="B17" t="s">
        <v>1116</v>
      </c>
      <c r="C17" t="s">
        <v>1137</v>
      </c>
      <c r="F17" t="str">
        <f>CONCATENATE(C17,"!",E17,D17)</f>
        <v>Input!</v>
      </c>
      <c r="G17" t="s">
        <v>1178</v>
      </c>
      <c r="H17" t="str">
        <f t="shared" si="1"/>
        <v>inp_ir_mismatch_directiion_bespoke</v>
      </c>
      <c r="I17" s="9" t="s">
        <v>27</v>
      </c>
    </row>
    <row r="18" spans="1:9" x14ac:dyDescent="0.35">
      <c r="A18" t="s">
        <v>1176</v>
      </c>
      <c r="B18" t="s">
        <v>1146</v>
      </c>
      <c r="C18" t="s">
        <v>1137</v>
      </c>
      <c r="F18" t="str">
        <f t="shared" ref="F18:F19" si="6">CONCATENATE(C18,"!",E18,D18)</f>
        <v>Input!</v>
      </c>
      <c r="G18" t="s">
        <v>1179</v>
      </c>
      <c r="H18" t="str">
        <f t="shared" si="1"/>
        <v>inp_ir_mismatch_directiion_life</v>
      </c>
      <c r="I18" s="9" t="str">
        <f>Lists!T5</f>
        <v>Unknown</v>
      </c>
    </row>
    <row r="19" spans="1:9" x14ac:dyDescent="0.35">
      <c r="A19" t="s">
        <v>1176</v>
      </c>
      <c r="B19" t="s">
        <v>1147</v>
      </c>
      <c r="C19" t="s">
        <v>1137</v>
      </c>
      <c r="F19" t="str">
        <f t="shared" si="6"/>
        <v>Input!</v>
      </c>
      <c r="G19" t="s">
        <v>1180</v>
      </c>
      <c r="H19" t="str">
        <f t="shared" si="1"/>
        <v>inp_ir_mismatch_directiion_non_life</v>
      </c>
      <c r="I19" s="9" t="str">
        <f>Lists!T5</f>
        <v>Unknown</v>
      </c>
    </row>
    <row r="20" spans="1:9" x14ac:dyDescent="0.35">
      <c r="A20" t="s">
        <v>1176</v>
      </c>
      <c r="B20" t="s">
        <v>1477</v>
      </c>
      <c r="C20" t="s">
        <v>1137</v>
      </c>
      <c r="F20" t="str">
        <f t="shared" ref="F20:F22" si="7">CONCATENATE(C20,"!",E20,D20)</f>
        <v>Input!</v>
      </c>
      <c r="G20" t="s">
        <v>2085</v>
      </c>
      <c r="H20" t="str">
        <f t="shared" ref="H20:H22" si="8">IF(G20&lt;&gt;"",G20,F20)</f>
        <v>inp_ir_exposure_to_fx</v>
      </c>
      <c r="I20" s="9" t="s">
        <v>27</v>
      </c>
    </row>
    <row r="21" spans="1:9" x14ac:dyDescent="0.35">
      <c r="A21" t="s">
        <v>4101</v>
      </c>
      <c r="B21" t="s">
        <v>4099</v>
      </c>
      <c r="C21" t="s">
        <v>1137</v>
      </c>
      <c r="F21" t="str">
        <f t="shared" si="7"/>
        <v>Input!</v>
      </c>
      <c r="G21" t="s">
        <v>4113</v>
      </c>
      <c r="H21" t="str">
        <f t="shared" si="8"/>
        <v>inp_long_reserve_cl</v>
      </c>
      <c r="I21" s="9" t="str">
        <f>Lists!Z3</f>
        <v>Default</v>
      </c>
    </row>
    <row r="22" spans="1:9" x14ac:dyDescent="0.35">
      <c r="A22" t="s">
        <v>2961</v>
      </c>
      <c r="B22" t="s">
        <v>4459</v>
      </c>
      <c r="C22" t="s">
        <v>1137</v>
      </c>
      <c r="F22" t="str">
        <f t="shared" si="7"/>
        <v>Input!</v>
      </c>
      <c r="G22" t="s">
        <v>4468</v>
      </c>
      <c r="H22" t="str">
        <f t="shared" si="8"/>
        <v>inp_mi_upr_earn_pattern</v>
      </c>
      <c r="I22" s="695">
        <v>0.2</v>
      </c>
    </row>
  </sheetData>
  <sheetProtection algorithmName="SHA-512" hashValue="1S3Wxyxud99xbRx2hqKli3QVsiK7PJ8uaIStE4OzFFiifNsOYdlCyj3/Q14j/bS5KyELHYRyrchrxYoCInFAkw==" saltValue="dvWFztXlyGkSObaEZWe08g==" spinCount="100000" sheet="1" objects="1" scenarios="1" formatColumns="0" formatRows="0"/>
  <conditionalFormatting sqref="A1:I2 A22:C22 A3:H21 F22:H22">
    <cfRule type="expression" dxfId="1" priority="6">
      <formula>_xlfn.ISFORMULA(A1)</formula>
    </cfRule>
  </conditionalFormatting>
  <conditionalFormatting sqref="I3:I21">
    <cfRule type="expression" dxfId="0" priority="1">
      <formula>_xlfn.ISFORMULA(I3)</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root xmlns="urn:sdetective:euca:v1"/>
</file>

<file path=customXml/item2.xml><?xml version="1.0" encoding="utf-8"?>
<ct:contentTypeSchema xmlns:ct="http://schemas.microsoft.com/office/2006/metadata/contentType" xmlns:ma="http://schemas.microsoft.com/office/2006/metadata/properties/metaAttributes" ct:_="" ma:_="" ma:contentTypeName="Document" ma:contentTypeID="0x010100BA41F65D8D85C643B279395178BBB636" ma:contentTypeVersion="9" ma:contentTypeDescription="Create a new document." ma:contentTypeScope="" ma:versionID="f67b7beac2539b880dc5b47d0118de51">
  <xsd:schema xmlns:xsd="http://www.w3.org/2001/XMLSchema" xmlns:xs="http://www.w3.org/2001/XMLSchema" xmlns:p="http://schemas.microsoft.com/office/2006/metadata/properties" xmlns:ns3="d0640473-7254-4dee-a68e-1aa7dfe87080" targetNamespace="http://schemas.microsoft.com/office/2006/metadata/properties" ma:root="true" ma:fieldsID="f5030971ded81d8d5e7132ab6dfc5fd5" ns3:_="">
    <xsd:import namespace="d0640473-7254-4dee-a68e-1aa7dfe87080"/>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0640473-7254-4dee-a68e-1aa7dfe870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 
</file>

<file path=customXml/itemProps1.xml><?xml version="1.0" encoding="utf-8"?>
<ds:datastoreItem xmlns:ds="http://schemas.openxmlformats.org/officeDocument/2006/customXml" ds:itemID="{E5EA0283-FC78-4965-A635-1F6F62C8C492}">
  <ds:schemaRefs>
    <ds:schemaRef ds:uri="urn:sdetective:euca:v1"/>
  </ds:schemaRefs>
</ds:datastoreItem>
</file>

<file path=customXml/itemProps2.xml><?xml version="1.0" encoding="utf-8"?>
<ds:datastoreItem xmlns:ds="http://schemas.openxmlformats.org/officeDocument/2006/customXml" ds:itemID="{505325F8-D61E-4735-8AAC-C763055055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0640473-7254-4dee-a68e-1aa7dfe870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6DD3D2F-84A0-4FE6-812A-9787F7DA43F1}">
  <ds:schemaRefs>
    <ds:schemaRef ds:uri="http://schemas.microsoft.com/sharepoint/v3/contenttype/forms"/>
  </ds:schemaRefs>
</ds:datastoreItem>
</file>

<file path=customXml/itemProps4.xml><?xml version="1.0" encoding="utf-8"?>
<ds:datastoreItem xmlns:ds="http://schemas.openxmlformats.org/officeDocument/2006/customXml" ds:itemID="{C0EB01E0-3EFB-4054-BBAB-1C8FDB003380}">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d0640473-7254-4dee-a68e-1aa7dfe87080"/>
    <ds:schemaRef ds:uri="http://www.w3.org/XML/1998/namespace"/>
    <ds:schemaRef ds:uri="http://purl.org/dc/dcmitype/"/>
  </ds:schemaRefs>
</ds:datastoreItem>
</file>

<file path=customXml/itemProps5.xml><?xml version="1.0" encoding="utf-8"?>
<ds:datastoreItem xmlns:ds="http://schemas.openxmlformats.org/officeDocument/2006/customXml" ds:itemID="{9AB0C759-DD92-4529-B167-34AD32E7AA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220</vt:i4>
      </vt:variant>
    </vt:vector>
  </HeadingPairs>
  <TitlesOfParts>
    <vt:vector size="241" baseType="lpstr">
      <vt:lpstr>S&amp;P Only</vt:lpstr>
      <vt:lpstr>Disclaimer</vt:lpstr>
      <vt:lpstr>Input</vt:lpstr>
      <vt:lpstr>Adjustment</vt:lpstr>
      <vt:lpstr>Output</vt:lpstr>
      <vt:lpstr>TAC</vt:lpstr>
      <vt:lpstr>Asset Risk</vt:lpstr>
      <vt:lpstr>Nat Cat Risk</vt:lpstr>
      <vt:lpstr>Non-Life Risk</vt:lpstr>
      <vt:lpstr>Life Risk</vt:lpstr>
      <vt:lpstr>Interest Rate Risk</vt:lpstr>
      <vt:lpstr>Diversification</vt:lpstr>
      <vt:lpstr>Risk Charges</vt:lpstr>
      <vt:lpstr>Lists</vt:lpstr>
      <vt:lpstr>Countries</vt:lpstr>
      <vt:lpstr>Currencies</vt:lpstr>
      <vt:lpstr>Step 4 bond aggregation</vt:lpstr>
      <vt:lpstr>Raw Data</vt:lpstr>
      <vt:lpstr>Processed Data</vt:lpstr>
      <vt:lpstr>Data storage - Outputs</vt:lpstr>
      <vt:lpstr>Default Values</vt:lpstr>
      <vt:lpstr>base_url_dev</vt:lpstr>
      <vt:lpstr>base_url_prod</vt:lpstr>
      <vt:lpstr>bond_wam</vt:lpstr>
      <vt:lpstr>calc_ir_in_step_1</vt:lpstr>
      <vt:lpstr>calc_ir_in_step_1a</vt:lpstr>
      <vt:lpstr>calc_ir_in_step_1b</vt:lpstr>
      <vt:lpstr>calc_ir_in_step_2</vt:lpstr>
      <vt:lpstr>calc_tac_non_life_resv_disc_adj</vt:lpstr>
      <vt:lpstr>calc_urgl</vt:lpstr>
      <vt:lpstr>default_val_dest_addr</vt:lpstr>
      <vt:lpstr>default_val_value</vt:lpstr>
      <vt:lpstr>downloaded_fx_rate</vt:lpstr>
      <vt:lpstr>downloaded_fx_rate2</vt:lpstr>
      <vt:lpstr>downloaded_fx_rate3</vt:lpstr>
      <vt:lpstr>duration_mismatch_bespoke</vt:lpstr>
      <vt:lpstr>entities_service</vt:lpstr>
      <vt:lpstr>entities_url</vt:lpstr>
      <vt:lpstr>Error_Check_Precision</vt:lpstr>
      <vt:lpstr>Error_Message</vt:lpstr>
      <vt:lpstr>exchange_rates_service</vt:lpstr>
      <vt:lpstr>exchange_rates_service2</vt:lpstr>
      <vt:lpstr>exchange_rates_service3</vt:lpstr>
      <vt:lpstr>fx_rates_url</vt:lpstr>
      <vt:lpstr>fx_rates_url2</vt:lpstr>
      <vt:lpstr>fx_rates_url3</vt:lpstr>
      <vt:lpstr>init_service</vt:lpstr>
      <vt:lpstr>init_url</vt:lpstr>
      <vt:lpstr>inp_appl_tax_rate</vt:lpstr>
      <vt:lpstr>inp_domicile</vt:lpstr>
      <vt:lpstr>inp_entity_id</vt:lpstr>
      <vt:lpstr>inp_entity_name</vt:lpstr>
      <vt:lpstr>inp_erg_adj_corp</vt:lpstr>
      <vt:lpstr>inp_erg_adj_fin</vt:lpstr>
      <vt:lpstr>inp_erg_adj_sf_junior</vt:lpstr>
      <vt:lpstr>inp_erg_adj_sf_mezz</vt:lpstr>
      <vt:lpstr>inp_erg_adj_sf_senior</vt:lpstr>
      <vt:lpstr>inp_erg_adj_sov</vt:lpstr>
      <vt:lpstr>inp_ir_exposure_to_fx</vt:lpstr>
      <vt:lpstr>inp_ir_mismatch_directiion_bespoke</vt:lpstr>
      <vt:lpstr>inp_ir_mismatch_directiion_life</vt:lpstr>
      <vt:lpstr>inp_ir_mismatch_directiion_non_life</vt:lpstr>
      <vt:lpstr>inp_is_nat_cat_prem_removed</vt:lpstr>
      <vt:lpstr>inp_long_reserve_cl</vt:lpstr>
      <vt:lpstr>inp_ltc_non_us_liabilities</vt:lpstr>
      <vt:lpstr>inp_ltc_us_active_life_reserves</vt:lpstr>
      <vt:lpstr>inp_ltc_us_claims_reserves</vt:lpstr>
      <vt:lpstr>inp_mi_upr_earn_pattern</vt:lpstr>
      <vt:lpstr>inp_nat_cat_aal</vt:lpstr>
      <vt:lpstr>inp_nat_cat_cl_99_5_charge</vt:lpstr>
      <vt:lpstr>inp_nat_cat_is_aep_curve_available</vt:lpstr>
      <vt:lpstr>inp_net_aging_reserves</vt:lpstr>
      <vt:lpstr>inp_oth_life_linked_bus_with_guarantee</vt:lpstr>
      <vt:lpstr>inp_oth_life_linked_bus_wo_guarantee</vt:lpstr>
      <vt:lpstr>inp_region</vt:lpstr>
      <vt:lpstr>inp_reins_recov_rtg_adj</vt:lpstr>
      <vt:lpstr>inp_reporting_year</vt:lpstr>
      <vt:lpstr>inp_scenario</vt:lpstr>
      <vt:lpstr>inp_sector</vt:lpstr>
      <vt:lpstr>inp_summary_currency</vt:lpstr>
      <vt:lpstr>inp_summary_review_type</vt:lpstr>
      <vt:lpstr>inp_summary_units</vt:lpstr>
      <vt:lpstr>inp_summary_usd_fx</vt:lpstr>
      <vt:lpstr>inp_tac_adj_life_resv_oth_eqty_like</vt:lpstr>
      <vt:lpstr>inp_tac_adj_life_resv_valuation</vt:lpstr>
      <vt:lpstr>inp_tac_adj_life_resv_vif_off_bal</vt:lpstr>
      <vt:lpstr>inp_tac_adj_non_life_resv_disc_on_bal</vt:lpstr>
      <vt:lpstr>inp_tac_adj_non_life_resv_not_disc_on_bal</vt:lpstr>
      <vt:lpstr>inp_tac_adj_non_life_resv_surplus_not_disc</vt:lpstr>
      <vt:lpstr>inp_tac_is_debt_eligible</vt:lpstr>
      <vt:lpstr>inp_tac_policyholder_cptl</vt:lpstr>
      <vt:lpstr>inp_tac_urg_on_invest</vt:lpstr>
      <vt:lpstr>inp_year_end</vt:lpstr>
      <vt:lpstr>lov_adjustment_types</vt:lpstr>
      <vt:lpstr>lov_bond_sectors</vt:lpstr>
      <vt:lpstr>lov_countries</vt:lpstr>
      <vt:lpstr>lov_currencies</vt:lpstr>
      <vt:lpstr>lov_domicile_countries</vt:lpstr>
      <vt:lpstr>lov_dur_mismtch_direction</vt:lpstr>
      <vt:lpstr>lov_duration_mismatch_groups</vt:lpstr>
      <vt:lpstr>lov_entities</vt:lpstr>
      <vt:lpstr>lov_erg_mapped_rtg</vt:lpstr>
      <vt:lpstr>lov_erg_rtg_map_adj</vt:lpstr>
      <vt:lpstr>lov_file_versions</vt:lpstr>
      <vt:lpstr>lov_ins_sectors</vt:lpstr>
      <vt:lpstr>lov_ir_bespoke_duration_mismatch</vt:lpstr>
      <vt:lpstr>lov_ir_categories</vt:lpstr>
      <vt:lpstr>lov_ir_exposure_ctg_inp</vt:lpstr>
      <vt:lpstr>lov_ir_exposure_ctg_life</vt:lpstr>
      <vt:lpstr>lov_ir_risk_by_country</vt:lpstr>
      <vt:lpstr>lov_long_reserve_cl</vt:lpstr>
      <vt:lpstr>lov_nat_cat_aep_oep</vt:lpstr>
      <vt:lpstr>lov_non_blank_entities</vt:lpstr>
      <vt:lpstr>lov_non_blank_file_versions</vt:lpstr>
      <vt:lpstr>lov_non_blank_reference_entities</vt:lpstr>
      <vt:lpstr>lov_non_blank_scenarios</vt:lpstr>
      <vt:lpstr>lov_non_blank_years</vt:lpstr>
      <vt:lpstr>lov_recovery_levels</vt:lpstr>
      <vt:lpstr>lov_reference_entities</vt:lpstr>
      <vt:lpstr>lov_regions</vt:lpstr>
      <vt:lpstr>lov_reporting_years</vt:lpstr>
      <vt:lpstr>lov_resinsurer_rtg</vt:lpstr>
      <vt:lpstr>lov_review_type</vt:lpstr>
      <vt:lpstr>lov_rtg_categories</vt:lpstr>
      <vt:lpstr>lov_scenarios</vt:lpstr>
      <vt:lpstr>lov_tac_adjustment_types</vt:lpstr>
      <vt:lpstr>lov_term_buckets</vt:lpstr>
      <vt:lpstr>lov_units</vt:lpstr>
      <vt:lpstr>lov_years</vt:lpstr>
      <vt:lpstr>lov_yes_no</vt:lpstr>
      <vt:lpstr>model_data_service</vt:lpstr>
      <vt:lpstr>model_data_service2</vt:lpstr>
      <vt:lpstr>model_data_url</vt:lpstr>
      <vt:lpstr>model_data_url2</vt:lpstr>
      <vt:lpstr>model_id</vt:lpstr>
      <vt:lpstr>model_version</vt:lpstr>
      <vt:lpstr>num_mnemonics_returned</vt:lpstr>
      <vt:lpstr>num_mnemonics_success</vt:lpstr>
      <vt:lpstr>out_key_1</vt:lpstr>
      <vt:lpstr>out_key_2</vt:lpstr>
      <vt:lpstr>out_key_3</vt:lpstr>
      <vt:lpstr>out_key_4</vt:lpstr>
      <vt:lpstr>out_section_asset_risk</vt:lpstr>
      <vt:lpstr>out_section_diversification</vt:lpstr>
      <vt:lpstr>out_section_diversified</vt:lpstr>
      <vt:lpstr>out_section_liability_risk</vt:lpstr>
      <vt:lpstr>out_section_summary</vt:lpstr>
      <vt:lpstr>out_section_tac</vt:lpstr>
      <vt:lpstr>out_table_top_left</vt:lpstr>
      <vt:lpstr>out_tac</vt:lpstr>
      <vt:lpstr>out_target_capital_div_99_99</vt:lpstr>
      <vt:lpstr>out_value_1</vt:lpstr>
      <vt:lpstr>out_value_2</vt:lpstr>
      <vt:lpstr>out_value_3</vt:lpstr>
      <vt:lpstr>out_value_4</vt:lpstr>
      <vt:lpstr>prompt_save_draft</vt:lpstr>
      <vt:lpstr>prompt_save_final</vt:lpstr>
      <vt:lpstr>record_status</vt:lpstr>
      <vt:lpstr>reference_entities_service</vt:lpstr>
      <vt:lpstr>reference_entities_url</vt:lpstr>
      <vt:lpstr>request_headers_output</vt:lpstr>
      <vt:lpstr>request_headers_service</vt:lpstr>
      <vt:lpstr>request_headers_url</vt:lpstr>
      <vt:lpstr>save_service</vt:lpstr>
      <vt:lpstr>save_url</vt:lpstr>
      <vt:lpstr>scenarios_service</vt:lpstr>
      <vt:lpstr>scenarios_url</vt:lpstr>
      <vt:lpstr>section_additional_information</vt:lpstr>
      <vt:lpstr>section_adj_ace_tac</vt:lpstr>
      <vt:lpstr>section_adj_req_capital</vt:lpstr>
      <vt:lpstr>section_bonds_sp_rated</vt:lpstr>
      <vt:lpstr>section_bonds_sp_unrated_step_2_3</vt:lpstr>
      <vt:lpstr>section_bonds_sp_unrated_step_4</vt:lpstr>
      <vt:lpstr>section_equity</vt:lpstr>
      <vt:lpstr>section_erg_to_rtg_map</vt:lpstr>
      <vt:lpstr>section_german_health</vt:lpstr>
      <vt:lpstr>section_interest_rate</vt:lpstr>
      <vt:lpstr>section_longevity</vt:lpstr>
      <vt:lpstr>section_morbidity_ci</vt:lpstr>
      <vt:lpstr>section_morbidity_disability</vt:lpstr>
      <vt:lpstr>section_morbidity_ltc</vt:lpstr>
      <vt:lpstr>section_mort_and_pandemic</vt:lpstr>
      <vt:lpstr>section_mortgage_insurance</vt:lpstr>
      <vt:lpstr>section_natural_catastrophe</vt:lpstr>
      <vt:lpstr>section_non_invested_assets</vt:lpstr>
      <vt:lpstr>section_non_life_prem</vt:lpstr>
      <vt:lpstr>section_non_life_resv</vt:lpstr>
      <vt:lpstr>section_other_invested_assets</vt:lpstr>
      <vt:lpstr>section_other_life</vt:lpstr>
      <vt:lpstr>section_real_estate</vt:lpstr>
      <vt:lpstr>section_ring_fenced_funds</vt:lpstr>
      <vt:lpstr>section_sp_internal</vt:lpstr>
      <vt:lpstr>section_summary</vt:lpstr>
      <vt:lpstr>section_tac</vt:lpstr>
      <vt:lpstr>section_variable_annuities</vt:lpstr>
      <vt:lpstr>selected_domicile</vt:lpstr>
      <vt:lpstr>selected_entity</vt:lpstr>
      <vt:lpstr>selected_file_version</vt:lpstr>
      <vt:lpstr>selected_key</vt:lpstr>
      <vt:lpstr>selected_my_records_only</vt:lpstr>
      <vt:lpstr>selected_naic_code</vt:lpstr>
      <vt:lpstr>selected_partial_name</vt:lpstr>
      <vt:lpstr>selected_reference_entity</vt:lpstr>
      <vt:lpstr>selected_reference_partial_analyst_name</vt:lpstr>
      <vt:lpstr>selected_reference_partial_entity_name</vt:lpstr>
      <vt:lpstr>selected_reporting_year</vt:lpstr>
      <vt:lpstr>selected_reporting_year2</vt:lpstr>
      <vt:lpstr>selected_scenario</vt:lpstr>
      <vt:lpstr>selected_sector</vt:lpstr>
      <vt:lpstr>server_address</vt:lpstr>
      <vt:lpstr>service_host</vt:lpstr>
      <vt:lpstr>service1_full_url</vt:lpstr>
      <vt:lpstr>service1_path</vt:lpstr>
      <vt:lpstr>service2_full_url</vt:lpstr>
      <vt:lpstr>service2_path</vt:lpstr>
      <vt:lpstr>stress_levels</vt:lpstr>
      <vt:lpstr>survey_data_dest_addr</vt:lpstr>
      <vt:lpstr>survey_data_error_code</vt:lpstr>
      <vt:lpstr>survey_data_from_api</vt:lpstr>
      <vt:lpstr>survey_data_value</vt:lpstr>
      <vt:lpstr>table_model_data</vt:lpstr>
      <vt:lpstr>table_reference_entities</vt:lpstr>
      <vt:lpstr>table_request_headers</vt:lpstr>
      <vt:lpstr>table_versions</vt:lpstr>
      <vt:lpstr>total_bonds</vt:lpstr>
      <vt:lpstr>total_bonds_steps_2_3</vt:lpstr>
      <vt:lpstr>total_equity</vt:lpstr>
      <vt:lpstr>total_invested_assets</vt:lpstr>
      <vt:lpstr>total_ir_exposure_life</vt:lpstr>
      <vt:lpstr>total_ir_exposure_non_life</vt:lpstr>
      <vt:lpstr>total_life_reserves</vt:lpstr>
      <vt:lpstr>total_mortgages</vt:lpstr>
      <vt:lpstr>total_net_reinsurance_recoverables</vt:lpstr>
      <vt:lpstr>total_non_invested_assets</vt:lpstr>
      <vt:lpstr>total_other_invested_assets</vt:lpstr>
      <vt:lpstr>total_property</vt:lpstr>
      <vt:lpstr>total_rated_bonds</vt:lpstr>
      <vt:lpstr>versions_service</vt:lpstr>
      <vt:lpstr>versions_url</vt:lpstr>
      <vt:lpstr>years_service</vt:lpstr>
      <vt:lpstr>years_url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Insurer Risk-Based Capital Model-EUCA</dc:subject>
  <dc:creator>Zhu, Jessica (Analytical)</dc:creator>
  <cp:lastModifiedBy>Ding, Derek (Analytical)</cp:lastModifiedBy>
  <cp:lastPrinted>2023-04-06T13:15:27Z</cp:lastPrinted>
  <dcterms:created xsi:type="dcterms:W3CDTF">2021-03-16T17:07:14Z</dcterms:created>
  <dcterms:modified xsi:type="dcterms:W3CDTF">2026-08-26T16:53:52Z</dcterms:modified>
  <cp:contentStatus>Unnecessary-EUCA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0x010100BA41F65D8D85C643B279395178BBB636</vt:lpwstr>
  </property>
  <property fmtid="{D5CDD505-2E9C-101B-9397-08002B2CF9AE}" pid="3" name="EUCA-GUID">
    <vt:lpwstr>DC4DCE68-A5C9-4F4A-8048-033D00438D97</vt:lpwstr>
  </property>
  <property fmtid="{D5CDD505-2E9C-101B-9397-08002B2CF9AE}" pid="4" name="EUCA-JSON">
    <vt:lpwstr>{"ReviewStatus": "Unnecessary", 
"MasterName": "Insurer Risk-Based Capital Model", 
"MasterVersion": "V003", 
"EUCAType": "Model"}</vt:lpwstr>
  </property>
  <property fmtid="{D5CDD505-2E9C-101B-9397-08002B2CF9AE}" pid="5" name="EUCA-Complexity">
    <vt:lpwstr>Complex</vt:lpwstr>
  </property>
  <property fmtid="{D5CDD505-2E9C-101B-9397-08002B2CF9AE}" pid="6" name="EUCA-MaterialChange">
    <vt:lpwstr>Material Change</vt:lpwstr>
  </property>
  <property fmtid="{D5CDD505-2E9C-101B-9397-08002B2CF9AE}" pid="7" name="EUCA-MacroComplexity">
    <vt:lpwstr>Complex</vt:lpwstr>
  </property>
  <property fmtid="{D5CDD505-2E9C-101B-9397-08002B2CF9AE}" pid="8" name="EUCA-SoftwareVersion">
    <vt:lpwstr>2019-09-01</vt:lpwstr>
  </property>
  <property fmtid="{D5CDD505-2E9C-101B-9397-08002B2CF9AE}" pid="9" name="EUCA-ComplexityRulesVersion">
    <vt:lpwstr>2019-07-12</vt:lpwstr>
  </property>
  <property fmtid="{D5CDD505-2E9C-101B-9397-08002B2CF9AE}" pid="10" name="EUCA-NrFormulas">
    <vt:lpwstr>47628</vt:lpwstr>
  </property>
  <property fmtid="{D5CDD505-2E9C-101B-9397-08002B2CF9AE}" pid="11" name="EUCA-NrDistinct">
    <vt:lpwstr>3460</vt:lpwstr>
  </property>
  <property fmtid="{D5CDD505-2E9C-101B-9397-08002B2CF9AE}" pid="12" name="EUCA-NrErrorValues">
    <vt:lpwstr>0</vt:lpwstr>
  </property>
  <property fmtid="{D5CDD505-2E9C-101B-9397-08002B2CF9AE}" pid="13" name="EUCA-NrDistinctErrorValues">
    <vt:lpwstr>0</vt:lpwstr>
  </property>
  <property fmtid="{D5CDD505-2E9C-101B-9397-08002B2CF9AE}" pid="14" name="EUCA-NrMacroLines">
    <vt:lpwstr>2374</vt:lpwstr>
  </property>
  <property fmtid="{D5CDD505-2E9C-101B-9397-08002B2CF9AE}" pid="15" name="EUCA-NrChangedTotal">
    <vt:lpwstr>47628</vt:lpwstr>
  </property>
  <property fmtid="{D5CDD505-2E9C-101B-9397-08002B2CF9AE}" pid="16" name="EUCA-NrChanged">
    <vt:lpwstr>3460</vt:lpwstr>
  </property>
  <property fmtid="{D5CDD505-2E9C-101B-9397-08002B2CF9AE}" pid="17" name="EUCA-ReviewStatus">
    <vt:lpwstr>Unnecessary</vt:lpwstr>
  </property>
  <property fmtid="{D5CDD505-2E9C-101B-9397-08002B2CF9AE}" pid="18" name="EUCA-MasterName">
    <vt:lpwstr>Insurer Risk-Based Capital Model</vt:lpwstr>
  </property>
  <property fmtid="{D5CDD505-2E9C-101B-9397-08002B2CF9AE}" pid="19" name="EUCA-MasterVersion">
    <vt:lpwstr>V003</vt:lpwstr>
  </property>
  <property fmtid="{D5CDD505-2E9C-101B-9397-08002B2CF9AE}" pid="20" name="EUCA-MasterId">
    <vt:lpwstr>RS-INS-GLB-D-001125-V003</vt:lpwstr>
  </property>
  <property fmtid="{D5CDD505-2E9C-101B-9397-08002B2CF9AE}" pid="21" name="EUCA-EUCAType">
    <vt:lpwstr>Model</vt:lpwstr>
  </property>
  <property fmtid="{D5CDD505-2E9C-101B-9397-08002B2CF9AE}" pid="22" name="EUCA-SelfReviewedBy">
    <vt:lpwstr/>
  </property>
  <property fmtid="{D5CDD505-2E9C-101B-9397-08002B2CF9AE}" pid="23" name="EUCA-SelfReviewedDate">
    <vt:lpwstr/>
  </property>
  <property fmtid="{D5CDD505-2E9C-101B-9397-08002B2CF9AE}" pid="24" name="EUCA-PeerReviewedBy">
    <vt:lpwstr/>
  </property>
  <property fmtid="{D5CDD505-2E9C-101B-9397-08002B2CF9AE}" pid="25" name="EUCA-PeerReviewedDate">
    <vt:lpwstr/>
  </property>
  <property fmtid="{D5CDD505-2E9C-101B-9397-08002B2CF9AE}" pid="26" name="EUCA-MasterSelfReviewedBy">
    <vt:lpwstr/>
  </property>
  <property fmtid="{D5CDD505-2E9C-101B-9397-08002B2CF9AE}" pid="27" name="EUCA-MasterSelfReviewedDate">
    <vt:lpwstr/>
  </property>
  <property fmtid="{D5CDD505-2E9C-101B-9397-08002B2CF9AE}" pid="28" name="EUCA-MasterPeerReviewedBy">
    <vt:lpwstr/>
  </property>
  <property fmtid="{D5CDD505-2E9C-101B-9397-08002B2CF9AE}" pid="29" name="EUCA-MasterPeerReviewedDate">
    <vt:lpwstr/>
  </property>
  <property fmtid="{D5CDD505-2E9C-101B-9397-08002B2CF9AE}" pid="30" name="EUCA-BusinessUse">
    <vt:lpwstr>Credit Rating</vt:lpwstr>
  </property>
  <property fmtid="{D5CDD505-2E9C-101B-9397-08002B2CF9AE}" pid="31" name="EUCA-Confidentiality">
    <vt:lpwstr>Confidential</vt:lpwstr>
  </property>
  <property fmtid="{D5CDD505-2E9C-101B-9397-08002B2CF9AE}" pid="32" name="EUCA-IsInstance">
    <vt:lpwstr>True</vt:lpwstr>
  </property>
  <property fmtid="{D5CDD505-2E9C-101B-9397-08002B2CF9AE}" pid="33" name="EUCA-IsPreMaster">
    <vt:lpwstr>False</vt:lpwstr>
  </property>
  <property fmtid="{D5CDD505-2E9C-101B-9397-08002B2CF9AE}" pid="34" name="TitusGUID">
    <vt:lpwstr>5c3fb429-a218-479d-b007-6581f9b3c52e</vt:lpwstr>
  </property>
  <property fmtid="{D5CDD505-2E9C-101B-9397-08002B2CF9AE}" pid="35" name="MSIP_Label_1e4321fe-1db3-4305-a2cc-aad91140672d_Enabled">
    <vt:lpwstr>true</vt:lpwstr>
  </property>
  <property fmtid="{D5CDD505-2E9C-101B-9397-08002B2CF9AE}" pid="36" name="MSIP_Label_1e4321fe-1db3-4305-a2cc-aad91140672d_SetDate">
    <vt:lpwstr>2023-04-27T12:13:13Z</vt:lpwstr>
  </property>
  <property fmtid="{D5CDD505-2E9C-101B-9397-08002B2CF9AE}" pid="37" name="MSIP_Label_1e4321fe-1db3-4305-a2cc-aad91140672d_Method">
    <vt:lpwstr>Privileged</vt:lpwstr>
  </property>
  <property fmtid="{D5CDD505-2E9C-101B-9397-08002B2CF9AE}" pid="38" name="MSIP_Label_1e4321fe-1db3-4305-a2cc-aad91140672d_Name">
    <vt:lpwstr>External</vt:lpwstr>
  </property>
  <property fmtid="{D5CDD505-2E9C-101B-9397-08002B2CF9AE}" pid="39" name="MSIP_Label_1e4321fe-1db3-4305-a2cc-aad91140672d_SiteId">
    <vt:lpwstr>8f3e36ea-8039-4b40-81a7-7dc0599e8645</vt:lpwstr>
  </property>
  <property fmtid="{D5CDD505-2E9C-101B-9397-08002B2CF9AE}" pid="40" name="MSIP_Label_1e4321fe-1db3-4305-a2cc-aad91140672d_ActionId">
    <vt:lpwstr>1717132b-09d1-48a1-8e9b-9f8220661c08</vt:lpwstr>
  </property>
  <property fmtid="{D5CDD505-2E9C-101B-9397-08002B2CF9AE}" pid="41" name="MSIP_Label_1e4321fe-1db3-4305-a2cc-aad91140672d_ContentBits">
    <vt:lpwstr>0</vt:lpwstr>
  </property>
  <property fmtid="{D5CDD505-2E9C-101B-9397-08002B2CF9AE}" pid="42" name="EUCA-ActivatedBy">
    <vt:lpwstr>Garg, Anoop (Analytical)</vt:lpwstr>
  </property>
  <property fmtid="{D5CDD505-2E9C-101B-9397-08002B2CF9AE}" pid="43" name="EUCA-ActivatedDate">
    <vt:lpwstr>2023-09-06 08:22:26</vt:lpwstr>
  </property>
</Properties>
</file>